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activeX/activeX1.xml" ContentType="application/vnd.ms-office.activeX+xml"/>
  <Override PartName="/xl/activeX/activeX1.bin" ContentType="application/vnd.ms-office.activeX"/>
  <Override PartName="/xl/activeX/activeX2.xml" ContentType="application/vnd.ms-office.activeX+xml"/>
  <Override PartName="/xl/activeX/activeX2.bin" ContentType="application/vnd.ms-office.activeX"/>
  <Override PartName="/xl/activeX/activeX3.xml" ContentType="application/vnd.ms-office.activeX+xml"/>
  <Override PartName="/xl/activeX/activeX3.bin" ContentType="application/vnd.ms-office.activeX"/>
  <Override PartName="/xl/activeX/activeX4.xml" ContentType="application/vnd.ms-office.activeX+xml"/>
  <Override PartName="/xl/activeX/activeX4.bin" ContentType="application/vnd.ms-office.activeX"/>
  <Override PartName="/xl/activeX/activeX5.xml" ContentType="application/vnd.ms-office.activeX+xml"/>
  <Override PartName="/xl/activeX/activeX5.bin" ContentType="application/vnd.ms-office.activeX"/>
  <Override PartName="/xl/activeX/activeX6.xml" ContentType="application/vnd.ms-office.activeX+xml"/>
  <Override PartName="/xl/activeX/activeX6.bin" ContentType="application/vnd.ms-office.activeX"/>
  <Override PartName="/xl/activeX/activeX7.xml" ContentType="application/vnd.ms-office.activeX+xml"/>
  <Override PartName="/xl/activeX/activeX7.bin" ContentType="application/vnd.ms-office.activeX"/>
  <Override PartName="/xl/activeX/activeX8.xml" ContentType="application/vnd.ms-office.activeX+xml"/>
  <Override PartName="/xl/activeX/activeX8.bin" ContentType="application/vnd.ms-office.activeX"/>
  <Override PartName="/xl/activeX/activeX9.xml" ContentType="application/vnd.ms-office.activeX+xml"/>
  <Override PartName="/xl/activeX/activeX9.bin" ContentType="application/vnd.ms-office.activeX"/>
  <Override PartName="/xl/drawings/drawing2.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drawings/drawing8.xml" ContentType="application/vnd.openxmlformats-officedocument.drawing+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drawings/drawing12.xml" ContentType="application/vnd.openxmlformats-officedocument.drawing+xml"/>
  <Override PartName="/xl/activeX/activeX10.xml" ContentType="application/vnd.ms-office.activeX+xml"/>
  <Override PartName="/xl/activeX/activeX10.bin" ContentType="application/vnd.ms-office.activeX"/>
  <Override PartName="/xl/drawings/drawing13.xml" ContentType="application/vnd.openxmlformats-officedocument.drawing+xml"/>
  <Override PartName="/xl/drawings/drawing14.xml" ContentType="application/vnd.openxmlformats-officedocument.drawing+xml"/>
  <Override PartName="/xl/activeX/activeX11.xml" ContentType="application/vnd.ms-office.activeX+xml"/>
  <Override PartName="/xl/activeX/activeX11.bin" ContentType="application/vnd.ms-office.activeX"/>
  <Override PartName="/xl/activeX/activeX12.xml" ContentType="application/vnd.ms-office.activeX+xml"/>
  <Override PartName="/xl/activeX/activeX12.bin" ContentType="application/vnd.ms-office.activeX"/>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drawings/drawing15.xml" ContentType="application/vnd.openxmlformats-officedocument.drawing+xml"/>
  <Override PartName="/xl/activeX/activeX13.xml" ContentType="application/vnd.ms-office.activeX+xml"/>
  <Override PartName="/xl/activeX/activeX13.bin" ContentType="application/vnd.ms-office.activeX"/>
  <Override PartName="/xl/activeX/activeX14.xml" ContentType="application/vnd.ms-office.activeX+xml"/>
  <Override PartName="/xl/activeX/activeX14.bin" ContentType="application/vnd.ms-office.activeX"/>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drawings/drawing16.xml" ContentType="application/vnd.openxmlformats-officedocument.drawing+xml"/>
  <Override PartName="/xl/drawings/drawing17.xml" ContentType="application/vnd.openxmlformats-officedocument.drawing+xml"/>
  <Override PartName="/xl/ctrlProps/ctrlProp76.xml" ContentType="application/vnd.ms-excel.controlproperties+xml"/>
  <Override PartName="/xl/drawings/drawing18.xml" ContentType="application/vnd.openxmlformats-officedocument.drawing+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drawings/drawing19.xml" ContentType="application/vnd.openxmlformats-officedocument.drawing+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drawings/drawing20.xml" ContentType="application/vnd.openxmlformats-officedocument.drawing+xml"/>
  <Override PartName="/xl/drawings/drawing21.xml" ContentType="application/vnd.openxmlformats-officedocument.drawing+xml"/>
  <Override PartName="/xl/ctrlProps/ctrlProp125.xml" ContentType="application/vnd.ms-excel.controlproperties+xml"/>
  <Override PartName="/xl/ctrlProps/ctrlProp126.xml" ContentType="application/vnd.ms-excel.controlproperties+xml"/>
  <Override PartName="/xl/drawings/drawing22.xml" ContentType="application/vnd.openxmlformats-officedocument.drawing+xml"/>
  <Override PartName="/xl/drawings/drawing23.xml" ContentType="application/vnd.openxmlformats-officedocument.drawing+xml"/>
  <Override PartName="/xl/ctrlProps/ctrlProp127.xml" ContentType="application/vnd.ms-excel.controlproperties+xml"/>
  <Override PartName="/xl/ctrlProps/ctrlProp128.xml" ContentType="application/vnd.ms-excel.controlproperties+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activeX/activeX15.xml" ContentType="application/vnd.ms-office.activeX+xml"/>
  <Override PartName="/xl/activeX/activeX15.bin" ContentType="application/vnd.ms-office.activeX"/>
  <Override PartName="/xl/drawings/drawing27.xml" ContentType="application/vnd.openxmlformats-officedocument.drawing+xml"/>
  <Override PartName="/xl/drawings/drawing28.xml" ContentType="application/vnd.openxmlformats-officedocument.drawing+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omments2.xml" ContentType="application/vnd.openxmlformats-officedocument.spreadsheetml.comments+xml"/>
  <Override PartName="/xl/drawings/drawing29.xml" ContentType="application/vnd.openxmlformats-officedocument.drawing+xml"/>
  <Override PartName="/xl/activeX/activeX16.xml" ContentType="application/vnd.ms-office.activeX+xml"/>
  <Override PartName="/xl/activeX/activeX16.bin" ContentType="application/vnd.ms-office.activeX"/>
  <Override PartName="/xl/drawings/drawing30.xml" ContentType="application/vnd.openxmlformats-officedocument.drawing+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drawings/drawing31.xml" ContentType="application/vnd.openxmlformats-officedocument.drawing+xml"/>
  <Override PartName="/xl/comments3.xml" ContentType="application/vnd.openxmlformats-officedocument.spreadsheetml.comments+xml"/>
  <Override PartName="/xl/drawings/drawing32.xml" ContentType="application/vnd.openxmlformats-officedocument.drawing+xml"/>
  <Override PartName="/xl/activeX/activeX17.xml" ContentType="application/vnd.ms-office.activeX+xml"/>
  <Override PartName="/xl/activeX/activeX17.bin" ContentType="application/vnd.ms-office.activeX"/>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drawings/drawing33.xml" ContentType="application/vnd.openxmlformats-officedocument.drawing+xml"/>
  <Override PartName="/xl/activeX/activeX18.xml" ContentType="application/vnd.ms-office.activeX+xml"/>
  <Override PartName="/xl/activeX/activeX18.bin" ContentType="application/vnd.ms-office.activeX"/>
  <Override PartName="/xl/activeX/activeX19.xml" ContentType="application/vnd.ms-office.activeX+xml"/>
  <Override PartName="/xl/activeX/activeX19.bin" ContentType="application/vnd.ms-office.activeX"/>
  <Override PartName="/xl/activeX/activeX20.xml" ContentType="application/vnd.ms-office.activeX+xml"/>
  <Override PartName="/xl/activeX/activeX20.bin" ContentType="application/vnd.ms-office.activeX"/>
  <Override PartName="/xl/activeX/activeX21.xml" ContentType="application/vnd.ms-office.activeX+xml"/>
  <Override PartName="/xl/activeX/activeX21.bin" ContentType="application/vnd.ms-office.activeX"/>
  <Override PartName="/xl/activeX/activeX22.xml" ContentType="application/vnd.ms-office.activeX+xml"/>
  <Override PartName="/xl/activeX/activeX22.bin" ContentType="application/vnd.ms-office.activeX"/>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drawings/drawing34.xml" ContentType="application/vnd.openxmlformats-officedocument.drawing+xml"/>
  <Override PartName="/xl/activeX/activeX23.xml" ContentType="application/vnd.ms-office.activeX+xml"/>
  <Override PartName="/xl/activeX/activeX23.bin" ContentType="application/vnd.ms-office.activeX"/>
  <Override PartName="/xl/activeX/activeX24.xml" ContentType="application/vnd.ms-office.activeX+xml"/>
  <Override PartName="/xl/activeX/activeX24.bin" ContentType="application/vnd.ms-office.activeX"/>
  <Override PartName="/xl/activeX/activeX25.xml" ContentType="application/vnd.ms-office.activeX+xml"/>
  <Override PartName="/xl/activeX/activeX25.bin" ContentType="application/vnd.ms-office.activeX"/>
  <Override PartName="/xl/activeX/activeX26.xml" ContentType="application/vnd.ms-office.activeX+xml"/>
  <Override PartName="/xl/activeX/activeX26.bin" ContentType="application/vnd.ms-office.activeX"/>
  <Override PartName="/xl/activeX/activeX27.xml" ContentType="application/vnd.ms-office.activeX+xml"/>
  <Override PartName="/xl/activeX/activeX27.bin" ContentType="application/vnd.ms-office.activeX"/>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drawings/drawing35.xml" ContentType="application/vnd.openxmlformats-officedocument.drawing+xml"/>
  <Override PartName="/xl/activeX/activeX28.xml" ContentType="application/vnd.ms-office.activeX+xml"/>
  <Override PartName="/xl/activeX/activeX28.bin" ContentType="application/vnd.ms-office.activeX"/>
  <Override PartName="/xl/activeX/activeX29.xml" ContentType="application/vnd.ms-office.activeX+xml"/>
  <Override PartName="/xl/activeX/activeX29.bin" ContentType="application/vnd.ms-office.activeX"/>
  <Override PartName="/xl/activeX/activeX30.xml" ContentType="application/vnd.ms-office.activeX+xml"/>
  <Override PartName="/xl/activeX/activeX30.bin" ContentType="application/vnd.ms-office.activeX"/>
  <Override PartName="/xl/activeX/activeX31.xml" ContentType="application/vnd.ms-office.activeX+xml"/>
  <Override PartName="/xl/activeX/activeX31.bin" ContentType="application/vnd.ms-office.activeX"/>
  <Override PartName="/xl/activeX/activeX32.xml" ContentType="application/vnd.ms-office.activeX+xml"/>
  <Override PartName="/xl/activeX/activeX32.bin" ContentType="application/vnd.ms-office.activeX"/>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drawings/drawing36.xml" ContentType="application/vnd.openxmlformats-officedocument.drawing+xml"/>
  <Override PartName="/xl/activeX/activeX33.xml" ContentType="application/vnd.ms-office.activeX+xml"/>
  <Override PartName="/xl/activeX/activeX33.bin" ContentType="application/vnd.ms-office.activeX"/>
  <Override PartName="/xl/activeX/activeX34.xml" ContentType="application/vnd.ms-office.activeX+xml"/>
  <Override PartName="/xl/activeX/activeX34.bin" ContentType="application/vnd.ms-office.activeX"/>
  <Override PartName="/xl/activeX/activeX35.xml" ContentType="application/vnd.ms-office.activeX+xml"/>
  <Override PartName="/xl/activeX/activeX35.bin" ContentType="application/vnd.ms-office.activeX"/>
  <Override PartName="/xl/activeX/activeX36.xml" ContentType="application/vnd.ms-office.activeX+xml"/>
  <Override PartName="/xl/activeX/activeX36.bin" ContentType="application/vnd.ms-office.activeX"/>
  <Override PartName="/xl/activeX/activeX37.xml" ContentType="application/vnd.ms-office.activeX+xml"/>
  <Override PartName="/xl/activeX/activeX37.bin" ContentType="application/vnd.ms-office.activeX"/>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drawings/drawing37.xml" ContentType="application/vnd.openxmlformats-officedocument.drawing+xml"/>
  <Override PartName="/xl/activeX/activeX38.xml" ContentType="application/vnd.ms-office.activeX+xml"/>
  <Override PartName="/xl/activeX/activeX38.bin" ContentType="application/vnd.ms-office.activeX"/>
  <Override PartName="/xl/activeX/activeX39.xml" ContentType="application/vnd.ms-office.activeX+xml"/>
  <Override PartName="/xl/activeX/activeX39.bin" ContentType="application/vnd.ms-office.activeX"/>
  <Override PartName="/xl/activeX/activeX40.xml" ContentType="application/vnd.ms-office.activeX+xml"/>
  <Override PartName="/xl/activeX/activeX40.bin" ContentType="application/vnd.ms-office.activeX"/>
  <Override PartName="/xl/activeX/activeX41.xml" ContentType="application/vnd.ms-office.activeX+xml"/>
  <Override PartName="/xl/activeX/activeX41.bin" ContentType="application/vnd.ms-office.activeX"/>
  <Override PartName="/xl/activeX/activeX42.xml" ContentType="application/vnd.ms-office.activeX+xml"/>
  <Override PartName="/xl/activeX/activeX42.bin" ContentType="application/vnd.ms-office.activeX"/>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drawings/drawing38.xml" ContentType="application/vnd.openxmlformats-officedocument.drawing+xml"/>
  <Override PartName="/xl/activeX/activeX43.xml" ContentType="application/vnd.ms-office.activeX+xml"/>
  <Override PartName="/xl/activeX/activeX43.bin" ContentType="application/vnd.ms-office.activeX"/>
  <Override PartName="/xl/activeX/activeX44.xml" ContentType="application/vnd.ms-office.activeX+xml"/>
  <Override PartName="/xl/activeX/activeX44.bin" ContentType="application/vnd.ms-office.activeX"/>
  <Override PartName="/xl/activeX/activeX45.xml" ContentType="application/vnd.ms-office.activeX+xml"/>
  <Override PartName="/xl/activeX/activeX45.bin" ContentType="application/vnd.ms-office.activeX"/>
  <Override PartName="/xl/activeX/activeX46.xml" ContentType="application/vnd.ms-office.activeX+xml"/>
  <Override PartName="/xl/activeX/activeX46.bin" ContentType="application/vnd.ms-office.activeX"/>
  <Override PartName="/xl/activeX/activeX47.xml" ContentType="application/vnd.ms-office.activeX+xml"/>
  <Override PartName="/xl/activeX/activeX47.bin" ContentType="application/vnd.ms-office.activeX"/>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drawings/drawing39.xml" ContentType="application/vnd.openxmlformats-officedocument.drawing+xml"/>
  <Override PartName="/xl/activeX/activeX48.xml" ContentType="application/vnd.ms-office.activeX+xml"/>
  <Override PartName="/xl/activeX/activeX48.bin" ContentType="application/vnd.ms-office.activeX"/>
  <Override PartName="/xl/activeX/activeX49.xml" ContentType="application/vnd.ms-office.activeX+xml"/>
  <Override PartName="/xl/activeX/activeX49.bin" ContentType="application/vnd.ms-office.activeX"/>
  <Override PartName="/xl/activeX/activeX50.xml" ContentType="application/vnd.ms-office.activeX+xml"/>
  <Override PartName="/xl/activeX/activeX50.bin" ContentType="application/vnd.ms-office.activeX"/>
  <Override PartName="/xl/activeX/activeX51.xml" ContentType="application/vnd.ms-office.activeX+xml"/>
  <Override PartName="/xl/activeX/activeX51.bin" ContentType="application/vnd.ms-office.activeX"/>
  <Override PartName="/xl/activeX/activeX52.xml" ContentType="application/vnd.ms-office.activeX+xml"/>
  <Override PartName="/xl/activeX/activeX52.bin" ContentType="application/vnd.ms-office.activeX"/>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drawings/drawing40.xml" ContentType="application/vnd.openxmlformats-officedocument.drawing+xml"/>
  <Override PartName="/xl/activeX/activeX53.xml" ContentType="application/vnd.ms-office.activeX+xml"/>
  <Override PartName="/xl/activeX/activeX53.bin" ContentType="application/vnd.ms-office.activeX"/>
  <Override PartName="/xl/activeX/activeX54.xml" ContentType="application/vnd.ms-office.activeX+xml"/>
  <Override PartName="/xl/activeX/activeX54.bin" ContentType="application/vnd.ms-office.activeX"/>
  <Override PartName="/xl/activeX/activeX55.xml" ContentType="application/vnd.ms-office.activeX+xml"/>
  <Override PartName="/xl/activeX/activeX55.bin" ContentType="application/vnd.ms-office.activeX"/>
  <Override PartName="/xl/activeX/activeX56.xml" ContentType="application/vnd.ms-office.activeX+xml"/>
  <Override PartName="/xl/activeX/activeX56.bin" ContentType="application/vnd.ms-office.activeX"/>
  <Override PartName="/xl/activeX/activeX57.xml" ContentType="application/vnd.ms-office.activeX+xml"/>
  <Override PartName="/xl/activeX/activeX57.bin" ContentType="application/vnd.ms-office.activeX"/>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drawings/drawing41.xml" ContentType="application/vnd.openxmlformats-officedocument.drawing+xml"/>
  <Override PartName="/xl/activeX/activeX58.xml" ContentType="application/vnd.ms-office.activeX+xml"/>
  <Override PartName="/xl/activeX/activeX58.bin" ContentType="application/vnd.ms-office.activeX"/>
  <Override PartName="/xl/activeX/activeX59.xml" ContentType="application/vnd.ms-office.activeX+xml"/>
  <Override PartName="/xl/activeX/activeX59.bin" ContentType="application/vnd.ms-office.activeX"/>
  <Override PartName="/xl/activeX/activeX60.xml" ContentType="application/vnd.ms-office.activeX+xml"/>
  <Override PartName="/xl/activeX/activeX60.bin" ContentType="application/vnd.ms-office.activeX"/>
  <Override PartName="/xl/activeX/activeX61.xml" ContentType="application/vnd.ms-office.activeX+xml"/>
  <Override PartName="/xl/activeX/activeX61.bin" ContentType="application/vnd.ms-office.activeX"/>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drawings/drawing42.xml" ContentType="application/vnd.openxmlformats-officedocument.drawing+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drawings/drawing43.xml" ContentType="application/vnd.openxmlformats-officedocument.drawing+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omments4.xml" ContentType="application/vnd.openxmlformats-officedocument.spreadsheetml.comments+xml"/>
  <Override PartName="/xl/threadedComments/threadedComment2.xml" ContentType="application/vnd.ms-excel.threadedcomments+xml"/>
  <Override PartName="/xl/comments5.xml" ContentType="application/vnd.openxmlformats-officedocument.spreadsheetml.comments+xml"/>
  <Override PartName="/xl/drawings/drawing44.xml" ContentType="application/vnd.openxmlformats-officedocument.drawing+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drawings/drawing45.xml" ContentType="application/vnd.openxmlformats-officedocument.drawing+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drawings/drawing46.xml" ContentType="application/vnd.openxmlformats-officedocument.drawing+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drawings/drawing47.xml" ContentType="application/vnd.openxmlformats-officedocument.drawing+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omments6.xml" ContentType="application/vnd.openxmlformats-officedocument.spreadsheetml.comments+xml"/>
  <Override PartName="/xl/comments7.xml" ContentType="application/vnd.openxmlformats-officedocument.spreadsheetml.comments+xml"/>
  <Override PartName="/xl/threadedComments/threadedComment3.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updateLinks="never" codeName="ThisWorkbook" defaultThemeVersion="124226"/>
  <mc:AlternateContent xmlns:mc="http://schemas.openxmlformats.org/markup-compatibility/2006">
    <mc:Choice Requires="x15">
      <x15ac:absPath xmlns:x15ac="http://schemas.microsoft.com/office/spreadsheetml/2010/11/ac" url="M:\ees_mgmt\11_PSEG-Program Planning\Applications\2024 Active\MultiFamily\"/>
    </mc:Choice>
  </mc:AlternateContent>
  <xr:revisionPtr revIDLastSave="0" documentId="8_{2E3A7C8E-8747-4B5D-BEC1-A563249AEDB3}" xr6:coauthVersionLast="47" xr6:coauthVersionMax="47" xr10:uidLastSave="{00000000-0000-0000-0000-000000000000}"/>
  <workbookProtection workbookAlgorithmName="SHA-512" workbookHashValue="lrj6/vyBVL/I/SA7uYScqcTbR+VgZ+vIimF3Bsh30wznJ4IJR6/GKbhihToKI/1rbySHhJX4Zucs645DUyJpZw==" workbookSaltValue="77Lxrszk1qL3O2RufTbESA==" workbookSpinCount="100000" lockStructure="1"/>
  <bookViews>
    <workbookView xWindow="-110" yWindow="-110" windowWidth="19420" windowHeight="10420" tabRatio="729" firstSheet="2" activeTab="2" xr2:uid="{00000000-000D-0000-FFFF-FFFF00000000}"/>
  </bookViews>
  <sheets>
    <sheet name="Application Form" sheetId="42" state="veryHidden" r:id="rId1"/>
    <sheet name="Development" sheetId="18" state="veryHidden" r:id="rId2"/>
    <sheet name="Customer Information" sheetId="45" r:id="rId3"/>
    <sheet name="HC - Ts and Cs" sheetId="22" state="veryHidden" r:id="rId4"/>
    <sheet name="AssignmentForm" sheetId="25" state="veryHidden" r:id="rId5"/>
    <sheet name="Ts and Cs" sheetId="88" r:id="rId6"/>
    <sheet name="Required Documents (2)" sheetId="101" state="veryHidden" r:id="rId7"/>
    <sheet name="Required Documents" sheetId="89" r:id="rId8"/>
    <sheet name="Guidelines DNU" sheetId="90" state="veryHidden" r:id="rId9"/>
    <sheet name="Guidelines" sheetId="102" r:id="rId10"/>
    <sheet name="Multi-Family Heat Pumps" sheetId="55" r:id="rId11"/>
    <sheet name="In Unit HVAC Worksheet" sheetId="44" state="hidden" r:id="rId12"/>
    <sheet name="Integrated Controls" sheetId="49" state="hidden" r:id="rId13"/>
    <sheet name="In Unit HVAC Pre Inspection" sheetId="91" state="hidden" r:id="rId14"/>
    <sheet name="In Unit HVAC Post Inspection" sheetId="92" state="hidden" r:id="rId15"/>
    <sheet name="Smart T-Stats" sheetId="41" state="hidden" r:id="rId16"/>
    <sheet name="Worksheet Common HVAC" sheetId="69" state="hidden" r:id="rId17"/>
    <sheet name="Common HVAC Inspection" sheetId="93" state="hidden" r:id="rId18"/>
    <sheet name="Worksheet Common Lighting" sheetId="57" state="hidden" r:id="rId19"/>
    <sheet name="Elevator Modernization" sheetId="86" state="hidden" r:id="rId20"/>
    <sheet name="Elevator Inspect" sheetId="96" state="hidden" r:id="rId21"/>
    <sheet name="Worksheet Common Pool" sheetId="64" state="hidden" r:id="rId22"/>
    <sheet name="Pool Equip Inspect" sheetId="97" state="hidden" r:id="rId23"/>
    <sheet name="Worksheet Common VFD Motors" sheetId="63" state="hidden" r:id="rId24"/>
    <sheet name="VFD Motor Inspect" sheetId="98" state="hidden" r:id="rId25"/>
    <sheet name="Space Heating Worksheet" sheetId="79" state="hidden" r:id="rId26"/>
    <sheet name="Dedicated Water Heating" sheetId="80" state="hidden" r:id="rId27"/>
    <sheet name="Loop Field Cx Form" sheetId="81" state="hidden" r:id="rId28"/>
    <sheet name="Qualifying_Index" sheetId="35" state="veryHidden" r:id="rId29"/>
    <sheet name="HPwES" sheetId="50" state="veryHidden" r:id="rId30"/>
    <sheet name="HPwES H&amp;S" sheetId="51" state="veryHidden" r:id="rId31"/>
    <sheet name="Air Flow References" sheetId="54" state="hidden" r:id="rId32"/>
    <sheet name="Tables" sheetId="48" state="veryHidden" r:id="rId33"/>
    <sheet name="ProposedEquipment0" sheetId="6" state="veryHidden" r:id="rId34"/>
    <sheet name="EFS Pre-Approval" sheetId="53" state="veryHidden" r:id="rId35"/>
    <sheet name="AIRFLOW FORM" sheetId="9" state="hidden" r:id="rId36"/>
    <sheet name="AIRFLOW FORM 2" sheetId="15" state="hidden" r:id="rId37"/>
    <sheet name="AIRFLOW FORM 3" sheetId="29" state="hidden" r:id="rId38"/>
    <sheet name="AIRFLOW FORM 4" sheetId="31" state="hidden" r:id="rId39"/>
    <sheet name="AIRFLOW FORM 5" sheetId="30" state="hidden" r:id="rId40"/>
    <sheet name="AIRFLOW FORM 6" sheetId="40" state="hidden" r:id="rId41"/>
    <sheet name="AIRFLOW FORM 7" sheetId="39" state="hidden" r:id="rId42"/>
    <sheet name="AIRFLOW FORM 8" sheetId="38" state="hidden" r:id="rId43"/>
    <sheet name="AIRFLOW FORM 9" sheetId="37" state="hidden" r:id="rId44"/>
    <sheet name="AIRFLOW FORM 10" sheetId="36" state="hidden" r:id="rId45"/>
    <sheet name="Project Completion Form" sheetId="23" state="veryHidden" r:id="rId46"/>
    <sheet name="Project Completion Form HPwES" sheetId="52" state="veryHidden" r:id="rId47"/>
    <sheet name="Common Lighting References" sheetId="59" state="veryHidden" r:id="rId48"/>
    <sheet name="Common HVAC Calculation" sheetId="70" state="veryHidden" r:id="rId49"/>
    <sheet name="Appliances References" sheetId="56" state="veryHidden" r:id="rId50"/>
    <sheet name="Geothermal Pre Inspection Form" sheetId="99" state="hidden" r:id="rId51"/>
    <sheet name="Geothermal Post Inspection Form" sheetId="100" state="hidden" r:id="rId52"/>
    <sheet name="Common Lighting Inspection" sheetId="95" state="hidden" r:id="rId53"/>
    <sheet name="Appliances Inspection Form" sheetId="94" state="hidden" r:id="rId54"/>
    <sheet name="Common HVAC References" sheetId="71" state="veryHidden" r:id="rId55"/>
    <sheet name="Elevator Mod Calculations" sheetId="87" state="veryHidden" r:id="rId56"/>
    <sheet name="References" sheetId="3" state="veryHidden" r:id="rId57"/>
    <sheet name="Admin" sheetId="43" state="veryHidden" r:id="rId58"/>
  </sheets>
  <externalReferences>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s>
  <definedNames>
    <definedName name="AC_Types">References!$AX$49:$AX$56</definedName>
    <definedName name="Account_Name">'Worksheet Common HVAC'!$C$6</definedName>
    <definedName name="Additional_Incentive">[1]References!$R$4:$R$11</definedName>
    <definedName name="AddRange">" "</definedName>
    <definedName name="Admin_Table" localSheetId="51">[2]Admin!$C$3:$I$13,[2]Admin!$P$3:$Q$13,[2]Admin!$AL$3:$AL$13,[2]Admin!$AO$3:$AU$13</definedName>
    <definedName name="Admin_Table" localSheetId="50">[2]Admin!$C$3:$I$13,[2]Admin!$P$3:$Q$13,[2]Admin!$AL$3:$AL$13,[2]Admin!$AO$3:$AU$13</definedName>
    <definedName name="Admin_Table">'[3]Project Review'!$B$67:$H$77,'[3]Project Review'!$P$67:$Q$77,'[3]Project Review'!$AL$67:$AL$77,'[3]Project Review'!$AO$67:$AU$77</definedName>
    <definedName name="AEH_AirPur_CADRsz">'[3]Appliances References'!$H$193:$H$195</definedName>
    <definedName name="Air_Flow_Refernce_Tabs">'Air Flow References'!$A$1</definedName>
    <definedName name="Application_Code" localSheetId="48">[1]References!$M$19:$R$19</definedName>
    <definedName name="Application_Code" localSheetId="17">[1]References!$M$19:$R$19</definedName>
    <definedName name="Application_Code" localSheetId="54">[1]References!$M$19:$R$19</definedName>
    <definedName name="Application_Code" localSheetId="20">[4]References!$N$19:$W$19</definedName>
    <definedName name="Application_Code" localSheetId="22">[4]References!$N$19:$W$19</definedName>
    <definedName name="Application_Code" localSheetId="24">[4]References!$N$19:$W$19</definedName>
    <definedName name="Application_Code" localSheetId="16">[1]References!$M$19:$R$19</definedName>
    <definedName name="Application_Code">References!$DJ$3:$DS$3</definedName>
    <definedName name="Apt_Type">'Appliances References'!$J$41:$J$46</definedName>
    <definedName name="attic" localSheetId="30">References!$BB$28:$BB$35</definedName>
    <definedName name="attic_code">References!$BB$28:$BC$35</definedName>
    <definedName name="attic_rvalues">References!$BB$38:$BC$43</definedName>
    <definedName name="atticins">References!$BB$38:$BB$43</definedName>
    <definedName name="Baseline_Drive_Eff" localSheetId="20">[4]References!$AV$9:$AV$11</definedName>
    <definedName name="Baseline_Drive_Eff" localSheetId="22">[4]References!$AV$9:$AV$11</definedName>
    <definedName name="Baseline_Drive_Eff" localSheetId="24">[4]References!$AV$9:$AV$11</definedName>
    <definedName name="Baseline_Drive_Eff">References!$FZ$7:$FZ$9</definedName>
    <definedName name="Baseline_Motor_Drive" localSheetId="20">[4]References!$BG$9</definedName>
    <definedName name="Baseline_Motor_Drive" localSheetId="22">[4]References!$BG$9</definedName>
    <definedName name="Baseline_Motor_Drive" localSheetId="24">[4]References!$BG$9</definedName>
    <definedName name="Baseline_Motor_Drive">References!$GK$7</definedName>
    <definedName name="Belt_Type" localSheetId="20">[4]References!$S$95:$S$96</definedName>
    <definedName name="Belt_Type" localSheetId="22">[4]References!$S$95:$S$96</definedName>
    <definedName name="Belt_Type" localSheetId="24">[4]References!$S$95:$S$96</definedName>
    <definedName name="Belt_Type">References!$DK$100:$DK$101</definedName>
    <definedName name="Blddg_Type" localSheetId="48">[1]References!$B$49:$B$61</definedName>
    <definedName name="Blddg_Type" localSheetId="17">[1]References!$B$49:$B$61</definedName>
    <definedName name="Blddg_Type" localSheetId="54">[1]References!$B$49:$B$61</definedName>
    <definedName name="Blddg_Type" localSheetId="20">[4]References!$B$49:$B$61</definedName>
    <definedName name="Blddg_Type" localSheetId="22">[4]References!$B$49:$B$61</definedName>
    <definedName name="Blddg_Type" localSheetId="24">[4]References!$B$49:$B$61</definedName>
    <definedName name="Blddg_Type" localSheetId="16">[1]References!$B$49:$B$61</definedName>
    <definedName name="Blddg_Type">'Common Lighting References'!$AQ$2</definedName>
    <definedName name="Building_Type" localSheetId="52">[5]References!$M$2:$M$15</definedName>
    <definedName name="Building_Type">[1]References!$G$49:$G$61</definedName>
    <definedName name="BuildingList">'Common Lighting References'!$HL$4:$HL$64</definedName>
    <definedName name="BuildingType" localSheetId="17">'[6]Customer Inputs'!$R$5</definedName>
    <definedName name="BuildingType">'[7]HVAC Worksheet'!$G$7</definedName>
    <definedName name="BuildingType_List" localSheetId="17">[7]References!$G$21:$G$81</definedName>
    <definedName name="BuildingType_List">'Common HVAC References'!$G$21:$G$81</definedName>
    <definedName name="bypass">References!$BE$28:$BE$35</definedName>
    <definedName name="bypass_codes">References!$BE$28:$BF$35</definedName>
    <definedName name="Chiller_Type" localSheetId="44">'[8]Chiller NC'!$B$15:$B$17,'[8]Chiller NC'!#REF!</definedName>
    <definedName name="Chiller_Type" localSheetId="36">'[8]Chiller NC'!$B$15:$B$17,'[8]Chiller NC'!#REF!</definedName>
    <definedName name="Chiller_Type" localSheetId="37">'[8]Chiller NC'!$B$15:$B$17,'[8]Chiller NC'!#REF!</definedName>
    <definedName name="Chiller_Type" localSheetId="38">'[8]Chiller NC'!$B$15:$B$17,'[8]Chiller NC'!#REF!</definedName>
    <definedName name="Chiller_Type" localSheetId="39">'[8]Chiller NC'!$B$15:$B$17,'[8]Chiller NC'!#REF!</definedName>
    <definedName name="Chiller_Type" localSheetId="40">'[8]Chiller NC'!$B$15:$B$17,'[8]Chiller NC'!#REF!</definedName>
    <definedName name="Chiller_Type" localSheetId="41">'[8]Chiller NC'!$B$15:$B$17,'[8]Chiller NC'!#REF!</definedName>
    <definedName name="Chiller_Type" localSheetId="42">'[8]Chiller NC'!$B$15:$B$17,'[8]Chiller NC'!#REF!</definedName>
    <definedName name="Chiller_Type" localSheetId="43">'[8]Chiller NC'!$B$15:$B$17,'[8]Chiller NC'!#REF!</definedName>
    <definedName name="Chiller_Type" localSheetId="20">#REF!,#REF!</definedName>
    <definedName name="Chiller_Type" localSheetId="22">#REF!,#REF!</definedName>
    <definedName name="Chiller_Type" localSheetId="24">#REF!,#REF!</definedName>
    <definedName name="Chiller_Type">'[1]Chiller EB'!$B$12:$B$14,'[1]Chiller EB'!#REF!</definedName>
    <definedName name="Code_Table">'Common HVAC References'!$AF$4:$AG$74</definedName>
    <definedName name="Color">References!$AZ$28:$AZ$31</definedName>
    <definedName name="Color2">References!$AZ$34:$AZ$37</definedName>
    <definedName name="Combustion_Equip" localSheetId="53">[3]References!$AX$21:$AX$25</definedName>
    <definedName name="Combustion_Equip" localSheetId="14">[9]References!$AX$21:$AX$25</definedName>
    <definedName name="Combustion_Equip" localSheetId="13">[9]References!$AX$21:$AX$25</definedName>
    <definedName name="Combustion_Equip">References!$AX$21:$AX$25</definedName>
    <definedName name="CON">References!$BE$38:$BE$44</definedName>
    <definedName name="CON_CODES">References!$BE$38:$BF$44</definedName>
    <definedName name="condition">References!$AZ$40:$AZ$43</definedName>
    <definedName name="Conditioned">References!$AX$34:$AX$36</definedName>
    <definedName name="Conditioned_Unconditioned">References!$AX$39:$AX$42</definedName>
    <definedName name="Conditioned_Unconditioned2">References!$AX$39:$AX$41</definedName>
    <definedName name="Configuration">[10]References!$J$54:$J$55</definedName>
    <definedName name="Contractor_Lookup" localSheetId="0">[11]References!$K$18:$N$26</definedName>
    <definedName name="Contractor_Lookup" localSheetId="26">References!$CB$42:$CE$50</definedName>
    <definedName name="Contractor_Lookup" localSheetId="51">[2]References!$N$41:$Q$49</definedName>
    <definedName name="Contractor_Lookup" localSheetId="14">[9]References!$R$41:$S$49</definedName>
    <definedName name="Contractor_Lookup" localSheetId="27">References!$CB$42:$CE$50</definedName>
    <definedName name="Contractor_Lookup" localSheetId="25">References!$CB$42:$CE$50</definedName>
    <definedName name="Contractor_Lookup">References!$R$41:$S$49</definedName>
    <definedName name="Count">References!$BF$5:$BF$20</definedName>
    <definedName name="CrawlSpace_Duct_Attribute" localSheetId="53">[3]References!$BG$49:$BG$52</definedName>
    <definedName name="CrawlSpace_Duct_Attribute" localSheetId="14">[9]References!$BG$49:$BG$52</definedName>
    <definedName name="CrawlSpace_Duct_Attribute" localSheetId="13">[9]References!$BG$49:$BG$52</definedName>
    <definedName name="CrawlSpace_Duct_Attribute">References!$BG$49:$BG$52</definedName>
    <definedName name="Customer_Info">'Worksheet Common HVAC'!$C$6:$E$11,'Worksheet Common HVAC'!$G$6:$H$10</definedName>
    <definedName name="Customer_Sector" localSheetId="53">[3]References!$CC$26</definedName>
    <definedName name="Customer_Sector" localSheetId="51">[2]References!$C$25</definedName>
    <definedName name="Customer_Sector" localSheetId="50">[2]References!$C$25</definedName>
    <definedName name="Customer_Sector">References!$BQ$26</definedName>
    <definedName name="CustomerInfo" localSheetId="17">'[6]Customer Inputs'!$C$5:$I$9,'[6]Customer Inputs'!$M$5,'[6]Customer Inputs'!$M$7:$M$9</definedName>
    <definedName name="CustomerInfo">'Worksheet Common HVAC'!$C$6:$E$11,'Worksheet Common HVAC'!$G$6:$H$10</definedName>
    <definedName name="CustomerInputs">'Worksheet Common HVAC'!$A$1:$AD$1</definedName>
    <definedName name="Data_Inputs" localSheetId="53">'[3]Space Heating Worksheet'!$C$33:$I$42,'[3]Space Heating Worksheet'!$M$33:$U$42,'[3]Space Heating Worksheet'!$X$33:$AB$42,'[3]Space Heating Worksheet'!$C$52:$V$61,'[3]Space Heating Worksheet'!$X$52:$AB$61,'[3]Space Heating Worksheet'!$AH$52:$AI$61</definedName>
    <definedName name="Data_Inputs" localSheetId="26">'Dedicated Water Heating'!$D$30:$F$39,'Dedicated Water Heating'!$G$30:$H$39,'Dedicated Water Heating'!$J$30:$J$39,'Dedicated Water Heating'!$K$30:$K$39,'Dedicated Water Heating'!$N$30:$N$39,'Dedicated Water Heating'!$O$30:$O$39,'Dedicated Water Heating'!$R$30:$S$39,'Dedicated Water Heating'!$T$30:$T$39,'Dedicated Water Heating'!$U$30:$U$39,'Dedicated Water Heating'!$C$49:$D$58,'Dedicated Water Heating'!$E$49:$F$58,'Dedicated Water Heating'!$H$49:$H$58,'Dedicated Water Heating'!$J$49:$K$58,'Dedicated Water Heating'!$N$49:$N$58,'Dedicated Water Heating'!$O$49:$O$58,'Dedicated Water Heating'!$P$49:$P$58,'Dedicated Water Heating'!$R$49:$R$58,'Dedicated Water Heating'!$S$49:$S$58,'Dedicated Water Heating'!$T$49:$T$58,'Dedicated Water Heating'!$U$49:$U$58</definedName>
    <definedName name="Data_Inputs" localSheetId="51">'[2]Space Heating Worksheet'!$C$33:$I$42,'[2]Space Heating Worksheet'!$M$33:$U$42,'[2]Space Heating Worksheet'!$X$33:$AB$42,'[2]Space Heating Worksheet'!$C$52:$V$61,'[2]Space Heating Worksheet'!$X$52:$AB$61,'[2]Space Heating Worksheet'!$AF$52:$AG$61</definedName>
    <definedName name="Data_Inputs" localSheetId="50">'[2]Space Heating Worksheet'!$C$33:$I$42,'[2]Space Heating Worksheet'!$M$33:$U$42,'[2]Space Heating Worksheet'!$X$33:$AB$42,'[2]Space Heating Worksheet'!$C$52:$V$61,'[2]Space Heating Worksheet'!$X$52:$AB$61,'[2]Space Heating Worksheet'!$AF$52:$AG$61</definedName>
    <definedName name="Data_Inputs">'Space Heating Worksheet'!$D$37:$K$46,'Space Heating Worksheet'!$O$37:$X$46,'Space Heating Worksheet'!$AA$37:$AE$46,'Space Heating Worksheet'!$C$56:$Y$65,'Space Heating Worksheet'!$AA$56:$AE$65,'Space Heating Worksheet'!$AI$56:$AJ$65</definedName>
    <definedName name="DeviceCategory">'Common Lighting References'!$EM$3:$HJ$3</definedName>
    <definedName name="DHW_Equipment" localSheetId="53">[3]References!$AX$28:$AX$31</definedName>
    <definedName name="DHW_Equipment" localSheetId="14">[9]References!$AX$28:$AX$31</definedName>
    <definedName name="DHW_Equipment" localSheetId="13">[9]References!$AX$28:$AX$31</definedName>
    <definedName name="DHW_Equipment">References!$AX$28:$AX$31</definedName>
    <definedName name="Distribution" localSheetId="53">[3]References!$BD$21:$BD$23</definedName>
    <definedName name="Distribution" localSheetId="14">[9]References!$BD$21:$BD$23</definedName>
    <definedName name="Distribution" localSheetId="13">[9]References!$BD$21:$BD$23</definedName>
    <definedName name="Distribution">References!$BD$21:$BD$23</definedName>
    <definedName name="DLC_Rating" localSheetId="52">[5]References!$K$2:$K$3</definedName>
    <definedName name="DLC_Rating" localSheetId="20">[12]References!$K$2:$K$3</definedName>
    <definedName name="DLC_Rating" localSheetId="22">[12]References!$K$2:$K$3</definedName>
    <definedName name="DLC_Rating" localSheetId="24">[12]References!$K$2:$K$3</definedName>
    <definedName name="DLC_Rating">'Common Lighting References'!$BV$15:$BV$16</definedName>
    <definedName name="Downlights" localSheetId="52">[5]References!$E$3:$E$8</definedName>
    <definedName name="Downlights" localSheetId="20">[12]References!$E$3:$E$8</definedName>
    <definedName name="Downlights" localSheetId="22">[12]References!$E$3:$E$8</definedName>
    <definedName name="Downlights" localSheetId="24">[12]References!$E$3:$E$8</definedName>
    <definedName name="Downlights">'Common Lighting References'!$BN$16:$BN$20</definedName>
    <definedName name="Dual_Fuel_Thermostat">'Integrated Controls'!$B$17:$H$18</definedName>
    <definedName name="Duct_Attribute" localSheetId="53">[3]References!$BF$49:$BF$51</definedName>
    <definedName name="Duct_Attribute" localSheetId="14">[9]References!$BF$49:$BF$51</definedName>
    <definedName name="Duct_Attribute" localSheetId="13">[9]References!$BF$49:$BF$51</definedName>
    <definedName name="Duct_Attribute">References!$BF$49:$BF$51</definedName>
    <definedName name="Duct_HeatingCooling_System" localSheetId="53">[3]References!$BD$3:$BD$12</definedName>
    <definedName name="Duct_HeatingCooling_System" localSheetId="14">[9]References!$BD$3:$BD$12</definedName>
    <definedName name="Duct_HeatingCooling_System" localSheetId="13">[9]References!$BD$3:$BD$12</definedName>
    <definedName name="Duct_HeatingCooling_System">References!$BD$3:$BD$12</definedName>
    <definedName name="Duct_Location" localSheetId="53">[3]References!$BB$6:$BB$10</definedName>
    <definedName name="Duct_Location" localSheetId="14">[9]References!$BB$6:$BB$10</definedName>
    <definedName name="Duct_Location" localSheetId="13">[9]References!$BB$6:$BB$10</definedName>
    <definedName name="Duct_Location">References!$BB$6:$BB$10</definedName>
    <definedName name="EB_NC">[4]References!$G$27:$G$29</definedName>
    <definedName name="ECM_VFD_Size">References!$DJ$89:$DJ$91</definedName>
    <definedName name="Efficiency" localSheetId="0">[11]References!$A$10:$D$15</definedName>
    <definedName name="Efficiency" localSheetId="26">References!$BO$13:$BS$17</definedName>
    <definedName name="Efficiency" localSheetId="51">[2]References!$A$12:$E$16</definedName>
    <definedName name="Efficiency" localSheetId="14">[9]References!$S$7:$X$11</definedName>
    <definedName name="Efficiency" localSheetId="27">References!$BO$13:$BS$17</definedName>
    <definedName name="Efficiency" localSheetId="25">References!$BO$13:$BS$17</definedName>
    <definedName name="Efficiency">References!$S$7:$X$10</definedName>
    <definedName name="Elevator_Gear_System" localSheetId="20">[4]References!$AV$5:$AV$6</definedName>
    <definedName name="Elevator_Gear_System" localSheetId="22">[4]References!$AV$5:$AV$6</definedName>
    <definedName name="Elevator_Gear_System" localSheetId="24">[4]References!$AV$5:$AV$6</definedName>
    <definedName name="Elevator_Gear_System">References!$FZ$3:$FZ$4</definedName>
    <definedName name="Equip_Clear1" localSheetId="53">'[3]ASHP Equipment Information'!$D$11,'[3]ASHP Equipment Information'!$D$15,'[3]ASHP Equipment Information'!$D$17,'[3]ASHP Equipment Information'!$D$19,'[3]ASHP Equipment Information'!$D$21,'[3]ASHP Equipment Information'!$D$23,'[3]ASHP Equipment Information'!$D$25,'[3]ASHP Equipment Information'!$G$25,'[3]ASHP Equipment Information'!$G$23,'[3]ASHP Equipment Information'!$G$21,'[3]ASHP Equipment Information'!$G$19,'[3]ASHP Equipment Information'!$G$17,'[3]ASHP Equipment Information'!$G$15,'[3]ASHP Equipment Information'!$G$11,'[3]ASHP Equipment Information'!$D$30,'[3]ASHP Equipment Information'!$D$34,'[3]ASHP Equipment Information'!$D$36,'[3]ASHP Equipment Information'!$D$38,'[3]ASHP Equipment Information'!$D$40,'[3]ASHP Equipment Information'!$D$42,'[3]ASHP Equipment Information'!$D$44,'[3]ASHP Equipment Information'!$G$30,'[3]ASHP Equipment Information'!$G$34,'[3]ASHP Equipment Information'!$G$36,'[3]ASHP Equipment Information'!$G$38,'[3]ASHP Equipment Information'!$G$40,'[3]ASHP Equipment Information'!$G$42,'[3]ASHP Equipment Information'!$G$44,'[3]ASHP Equipment Information'!$D$49,'[3]ASHP Equipment Information'!$D$53,'[3]ASHP Equipment Information'!$D$55,'[3]ASHP Equipment Information'!$D$57,'[3]ASHP Equipment Information'!$D$59,'[3]ASHP Equipment Information'!$D$61,'[3]ASHP Equipment Information'!$D$63,'[3]ASHP Equipment Information'!$G$49,'[3]ASHP Equipment Information'!$G$53,'[3]ASHP Equipment Information'!$G$55,'[3]ASHP Equipment Information'!$G$57,'[3]ASHP Equipment Information'!$G$59,'[3]ASHP Equipment Information'!$G$61,'[3]ASHP Equipment Information'!$G$63,'[3]ASHP Equipment Information'!$D$68,'[3]ASHP Equipment Information'!$D$72,'[3]ASHP Equipment Information'!$D$74,'[3]ASHP Equipment Information'!$D$76,'[3]ASHP Equipment Information'!$D$78,'[3]ASHP Equipment Information'!$D$80,'[3]ASHP Equipment Information'!$D$82,'[3]ASHP Equipment Information'!$G$68,'[3]ASHP Equipment Information'!$G$72,'[3]ASHP Equipment Information'!$G$74,'[3]ASHP Equipment Information'!$G$76,'[3]ASHP Equipment Information'!$G$78,'[3]ASHP Equipment Information'!$G$80,'[3]ASHP Equipment Information'!$G$82</definedName>
    <definedName name="Equip_Clear1">'[9]ASHP Equipment Information'!$D$11,'[9]ASHP Equipment Information'!$D$15,'[9]ASHP Equipment Information'!$D$17,'[9]ASHP Equipment Information'!$D$19,'[9]ASHP Equipment Information'!$D$21,'[9]ASHP Equipment Information'!$D$23,'[9]ASHP Equipment Information'!$D$25,'[9]ASHP Equipment Information'!$G$25,'[9]ASHP Equipment Information'!$G$23,'[9]ASHP Equipment Information'!$G$21,'[9]ASHP Equipment Information'!$G$17,'[9]ASHP Equipment Information'!$G$15,'[9]ASHP Equipment Information'!$G$13,'[9]ASHP Equipment Information'!$G$11,'[9]ASHP Equipment Information'!$D$30,'[9]ASHP Equipment Information'!$D$34,'[9]ASHP Equipment Information'!$D$36,'[9]ASHP Equipment Information'!$D$38,'[9]ASHP Equipment Information'!$D$40,'[9]ASHP Equipment Information'!$D$42,'[9]ASHP Equipment Information'!$D$44,'[9]ASHP Equipment Information'!$G$30,'[9]ASHP Equipment Information'!$G$32,'[9]ASHP Equipment Information'!$G$34,'[9]ASHP Equipment Information'!$G$36,'[9]ASHP Equipment Information'!$G$40,'[9]ASHP Equipment Information'!$G$42,'[9]ASHP Equipment Information'!$G$44,'[9]ASHP Equipment Information'!$D$49,'[9]ASHP Equipment Information'!$D$53,'[9]ASHP Equipment Information'!$D$55,'[9]ASHP Equipment Information'!$D$57,'[9]ASHP Equipment Information'!$D$59,'[9]ASHP Equipment Information'!$D$61,'[9]ASHP Equipment Information'!$D$63,'[9]ASHP Equipment Information'!$G$49,'[9]ASHP Equipment Information'!$G$51,'[9]ASHP Equipment Information'!$G$53,'[9]ASHP Equipment Information'!$G$55,'[9]ASHP Equipment Information'!$G$59,'[9]ASHP Equipment Information'!$G$61,'[9]ASHP Equipment Information'!$G$63,'[9]ASHP Equipment Information'!$D$68,'[9]ASHP Equipment Information'!$D$72,'[9]ASHP Equipment Information'!$D$74,'[9]ASHP Equipment Information'!$D$76,'[9]ASHP Equipment Information'!$D$78,'[9]ASHP Equipment Information'!$D$80,'[9]ASHP Equipment Information'!$D$82,'[9]ASHP Equipment Information'!$G$68,'[9]ASHP Equipment Information'!$G$70,'[9]ASHP Equipment Information'!$G$72,'[9]ASHP Equipment Information'!$G$74,'[9]ASHP Equipment Information'!$G$78,'[9]ASHP Equipment Information'!$G$80,'[9]ASHP Equipment Information'!$G$82</definedName>
    <definedName name="Equip_Clear2" localSheetId="53">'[3]ASHP Equipment Information'!$D$87,'[3]ASHP Equipment Information'!$D$91,'[3]ASHP Equipment Information'!$D$93,'[3]ASHP Equipment Information'!$D$95,'[3]ASHP Equipment Information'!$D$97,'[3]ASHP Equipment Information'!$D$99,'[3]ASHP Equipment Information'!$D$101,'[3]ASHP Equipment Information'!$G$87,'[3]ASHP Equipment Information'!$G$91,'[3]ASHP Equipment Information'!$G$93,'[3]ASHP Equipment Information'!$G$95,'[3]ASHP Equipment Information'!$G$97,'[3]ASHP Equipment Information'!$G$99,'[3]ASHP Equipment Information'!$G$101,'[3]ASHP Equipment Information'!$D$106,'[3]ASHP Equipment Information'!$D$110,'[3]ASHP Equipment Information'!$D$112,'[3]ASHP Equipment Information'!$D$114,'[3]ASHP Equipment Information'!$D$116,'[3]ASHP Equipment Information'!$D$118,'[3]ASHP Equipment Information'!$D$120,'[3]ASHP Equipment Information'!$G$106,'[3]ASHP Equipment Information'!$G$110,'[3]ASHP Equipment Information'!$G$112,'[3]ASHP Equipment Information'!$G$114,'[3]ASHP Equipment Information'!$G$116,'[3]ASHP Equipment Information'!$G$118,'[3]ASHP Equipment Information'!$G$120,'[3]ASHP Equipment Information'!$D$125,'[3]ASHP Equipment Information'!$D$129,'[3]ASHP Equipment Information'!$D$131,'[3]ASHP Equipment Information'!$D$133,'[3]ASHP Equipment Information'!$D$135,'[3]ASHP Equipment Information'!$D$137,'[3]ASHP Equipment Information'!$D$139,'[3]ASHP Equipment Information'!$G$125,'[3]ASHP Equipment Information'!$G$129,'[3]ASHP Equipment Information'!$G$131,'[3]ASHP Equipment Information'!$G$133,'[3]ASHP Equipment Information'!$G$135,'[3]ASHP Equipment Information'!$G$137,'[3]ASHP Equipment Information'!$G$139</definedName>
    <definedName name="Equip_Clear2">'[9]ASHP Equipment Information'!$D$87,'[9]ASHP Equipment Information'!$D$91,'[9]ASHP Equipment Information'!$D$93,'[9]ASHP Equipment Information'!$D$95,'[9]ASHP Equipment Information'!$D$97,'[9]ASHP Equipment Information'!$D$99,'[9]ASHP Equipment Information'!$D$101,'[9]ASHP Equipment Information'!$G$87,'[9]ASHP Equipment Information'!$G$89,'[9]ASHP Equipment Information'!$G$91,'[9]ASHP Equipment Information'!$G$93,'[9]ASHP Equipment Information'!$G$97,'[9]ASHP Equipment Information'!$G$99,'[9]ASHP Equipment Information'!$G$101,'[9]ASHP Equipment Information'!$D$106,'[9]ASHP Equipment Information'!$D$110,'[9]ASHP Equipment Information'!$D$112,'[9]ASHP Equipment Information'!$D$114,'[9]ASHP Equipment Information'!$D$116,'[9]ASHP Equipment Information'!$D$118,'[9]ASHP Equipment Information'!$D$120,'[9]ASHP Equipment Information'!$G$106,'[9]ASHP Equipment Information'!$G$108,'[9]ASHP Equipment Information'!$G$110,'[9]ASHP Equipment Information'!$G$112,'[9]ASHP Equipment Information'!$G$116,'[9]ASHP Equipment Information'!$G$118,'[9]ASHP Equipment Information'!$G$120,'[9]ASHP Equipment Information'!$D$125,'[9]ASHP Equipment Information'!$D$129,'[9]ASHP Equipment Information'!$D$131,'[9]ASHP Equipment Information'!$D$133,'[9]ASHP Equipment Information'!$D$135,'[9]ASHP Equipment Information'!$D$137,'[9]ASHP Equipment Information'!$D$139,'[9]ASHP Equipment Information'!$G$125,'[9]ASHP Equipment Information'!$G$127,'[9]ASHP Equipment Information'!$G$129,'[9]ASHP Equipment Information'!$G$131,'[9]ASHP Equipment Information'!$G$135,'[9]ASHP Equipment Information'!$G$137,'[9]ASHP Equipment Information'!$G$139</definedName>
    <definedName name="Equip_Clear3" localSheetId="53">'[3]ASHP Equipment Information'!$D$144,'[3]ASHP Equipment Information'!$D$148,'[3]ASHP Equipment Information'!$D$150,'[3]ASHP Equipment Information'!$D$152,'[3]ASHP Equipment Information'!$D$154,'[3]ASHP Equipment Information'!$D$156,'[3]ASHP Equipment Information'!$D$158,'[3]ASHP Equipment Information'!$G$144,'[3]ASHP Equipment Information'!$G$148,'[3]ASHP Equipment Information'!$G$150,'[3]ASHP Equipment Information'!$G$152,'[3]ASHP Equipment Information'!$G$154,'[3]ASHP Equipment Information'!$G$156,'[3]ASHP Equipment Information'!$G$158,'[3]ASHP Equipment Information'!$D$163,'[3]ASHP Equipment Information'!$D$167,'[3]ASHP Equipment Information'!$D$169,'[3]ASHP Equipment Information'!$D$171,'[3]ASHP Equipment Information'!$D$173,'[3]ASHP Equipment Information'!$D$175,'[3]ASHP Equipment Information'!$D$177,'[3]ASHP Equipment Information'!$G$163,'[3]ASHP Equipment Information'!$G$167,'[3]ASHP Equipment Information'!$G$169,'[3]ASHP Equipment Information'!$G$171,'[3]ASHP Equipment Information'!$G$173,'[3]ASHP Equipment Information'!$G$175,'[3]ASHP Equipment Information'!$G$177,'[3]ASHP Equipment Information'!$D$182,'[3]ASHP Equipment Information'!$D$186,'[3]ASHP Equipment Information'!$D$188,'[3]ASHP Equipment Information'!$D$190,'[3]ASHP Equipment Information'!$D$192,'[3]ASHP Equipment Information'!$D$194,'[3]ASHP Equipment Information'!$D$196,'[3]ASHP Equipment Information'!$G$182,'[3]ASHP Equipment Information'!$G$186,'[3]ASHP Equipment Information'!$G$188,'[3]ASHP Equipment Information'!$G$190,'[3]ASHP Equipment Information'!$G$192,'[3]ASHP Equipment Information'!$G$194,'[3]ASHP Equipment Information'!$G$196</definedName>
    <definedName name="Equip_Clear3">'[9]ASHP Equipment Information'!$D$144,'[9]ASHP Equipment Information'!$D$148,'[9]ASHP Equipment Information'!$D$150,'[9]ASHP Equipment Information'!$D$152,'[9]ASHP Equipment Information'!$D$154,'[9]ASHP Equipment Information'!$D$156,'[9]ASHP Equipment Information'!$D$158,'[9]ASHP Equipment Information'!$G$144,'[9]ASHP Equipment Information'!$G$146,'[9]ASHP Equipment Information'!$G$148,'[9]ASHP Equipment Information'!$G$150,'[9]ASHP Equipment Information'!$G$154,'[9]ASHP Equipment Information'!$G$156,'[9]ASHP Equipment Information'!$G$158,'[9]ASHP Equipment Information'!$D$163,'[9]ASHP Equipment Information'!$D$167,'[9]ASHP Equipment Information'!$D$169,'[9]ASHP Equipment Information'!$D$171,'[9]ASHP Equipment Information'!$D$173,'[9]ASHP Equipment Information'!$D$175,'[9]ASHP Equipment Information'!$D$177,'[9]ASHP Equipment Information'!$G$163,'[9]ASHP Equipment Information'!$G$165,'[9]ASHP Equipment Information'!$G$167,'[9]ASHP Equipment Information'!$G$169,'[9]ASHP Equipment Information'!$G$173,'[9]ASHP Equipment Information'!$G$175,'[9]ASHP Equipment Information'!$G$177,'[9]ASHP Equipment Information'!$D$182,'[9]ASHP Equipment Information'!$D$186,'[9]ASHP Equipment Information'!$D$188,'[9]ASHP Equipment Information'!$D$190,'[9]ASHP Equipment Information'!$D$192,'[9]ASHP Equipment Information'!$D$194,'[9]ASHP Equipment Information'!$D$196,'[9]ASHP Equipment Information'!$G$182,'[9]ASHP Equipment Information'!$G$184,'[9]ASHP Equipment Information'!$G$186,'[9]ASHP Equipment Information'!$G$188,'[9]ASHP Equipment Information'!$G$192,'[9]ASHP Equipment Information'!$G$194,'[9]ASHP Equipment Information'!$G$196</definedName>
    <definedName name="Equipment_Info">'Worksheet Common HVAC'!$B$16:$C$40,'Worksheet Common HVAC'!$E$16:$M$40,'Worksheet Common HVAC'!$O$16:$P$40,'Worksheet Common HVAC'!$T$16:$U$40,'Worksheet Common HVAC'!$W$16:$AA$40</definedName>
    <definedName name="Equipment_Type" localSheetId="53">[3]References!$S$7:$S$17</definedName>
    <definedName name="Equipment_Type" localSheetId="0">[11]References!$A$2:$A$5</definedName>
    <definedName name="Equipment_Type" localSheetId="48">[1]References!$I$4:$I$11</definedName>
    <definedName name="Equipment_Type" localSheetId="17">[1]References!$I$4:$I$11</definedName>
    <definedName name="Equipment_Type" localSheetId="54">[1]References!$I$4:$I$11</definedName>
    <definedName name="Equipment_Type" localSheetId="26">References!$BO$17:$BO$21</definedName>
    <definedName name="Equipment_Type" localSheetId="51">[2]References!$A$2:$A$5</definedName>
    <definedName name="Equipment_Type" localSheetId="50">[2]References!$A$16:$A$20</definedName>
    <definedName name="Equipment_Type" localSheetId="29">References!$S$7:$S$15</definedName>
    <definedName name="Equipment_Type" localSheetId="30">References!$S$7:$S$15</definedName>
    <definedName name="Equipment_Type" localSheetId="14">[9]References!$S$7:$S$17</definedName>
    <definedName name="Equipment_Type" localSheetId="13">[9]References!$S$7:$S$17</definedName>
    <definedName name="Equipment_Type" localSheetId="27">References!$BO$3:$BO$6</definedName>
    <definedName name="Equipment_Type" localSheetId="25">References!$BO$17:$BO$23</definedName>
    <definedName name="Equipment_Type" localSheetId="16">[1]References!$I$4:$I$11</definedName>
    <definedName name="Equipment_Type">References!$S$7:$S$15</definedName>
    <definedName name="Equipment_Type_DHW" localSheetId="53">[3]References!$CA$19:$CA$20</definedName>
    <definedName name="Equipment_Type_DHW" localSheetId="51">[2]References!$A$18:$A$19</definedName>
    <definedName name="Equipment_Type_DHW" localSheetId="50">[2]References!$A$18:$A$19</definedName>
    <definedName name="Equipment_Type_DHW">References!$BO$19:$BO$20</definedName>
    <definedName name="Equipment1" localSheetId="53">'[3]Space Heating Worksheet'!$C$33:$G$33,'[3]Space Heating Worksheet'!$M$33,'[3]Space Heating Worksheet'!$Q$33:$Q$33,'[3]Space Heating Worksheet'!$R$33:$S$33,'[3]Space Heating Worksheet'!#REF!</definedName>
    <definedName name="Equipment1" localSheetId="0">[11]Worksheet!$C$28:$H$28,[11]Worksheet!$O$28,[11]Worksheet!$Q$28:$Q$28,[11]Worksheet!$U$28:$W$28,[11]Worksheet!$F$31:$X$31</definedName>
    <definedName name="Equipment1" localSheetId="26">'Dedicated Water Heating'!$D$30:$H$30,'Dedicated Water Heating'!#REF!,'Dedicated Water Heating'!$N$30:$N$30,'Dedicated Water Heating'!#REF!,'Dedicated Water Heating'!#REF!</definedName>
    <definedName name="Equipment1" localSheetId="51">'[2]Space Heating Worksheet'!$C$33:$G$33,'[2]Space Heating Worksheet'!$M$33,'[2]Space Heating Worksheet'!$Q$33:$Q$33,'[2]Space Heating Worksheet'!$R$33:$S$33,'[2]Space Heating Worksheet'!#REF!</definedName>
    <definedName name="Equipment1" localSheetId="50">'[2]Space Heating Worksheet'!$C$33:$G$33,'[2]Space Heating Worksheet'!$M$33,'[2]Space Heating Worksheet'!$Q$33:$Q$33,'[2]Space Heating Worksheet'!$R$33:$S$33,'[2]Space Heating Worksheet'!#REF!</definedName>
    <definedName name="Equipment1" localSheetId="27">'Space Heating Worksheet'!$D$37:$H$37,'Space Heating Worksheet'!$O$37,'Space Heating Worksheet'!$S$37:$S$37,'Space Heating Worksheet'!$U$37:$V$37,'Space Heating Worksheet'!#REF!</definedName>
    <definedName name="Equipment1">'Space Heating Worksheet'!$D$37:$H$37,'Space Heating Worksheet'!$O$37,'Space Heating Worksheet'!$S$37:$S$37,'Space Heating Worksheet'!$U$37:$V$37,'Space Heating Worksheet'!#REF!</definedName>
    <definedName name="Equipment10" localSheetId="0">[11]Worksheet!$C$67:$H$67,[11]Worksheet!$O$67:$Q$67,[11]Worksheet!$U$67:$W$67,[11]Worksheet!$F$70:$Q$70,[11]Worksheet!$U$70:$X$70</definedName>
    <definedName name="Equipment2" localSheetId="0">[11]Worksheet!$C$35:$H$35,[11]Worksheet!$O$35,[11]Worksheet!$Q$35,[11]Worksheet!$U$35:$W$35,[11]Worksheet!$F$38:$H$38,[11]Worksheet!$O$38,[11]Worksheet!$Q$38,[11]Worksheet!$U$38:$X$38</definedName>
    <definedName name="Equipment2" localSheetId="51">'[2]Space Heating Worksheet'!$C$34:$G$34,'[2]Space Heating Worksheet'!$M$34,'[2]Space Heating Worksheet'!$Q$34,'[2]Space Heating Worksheet'!$R$34:$S$34,'[2]Space Heating Worksheet'!#REF!,'[2]Space Heating Worksheet'!#REF!,'[2]Space Heating Worksheet'!#REF!,'[2]Space Heating Worksheet'!#REF!</definedName>
    <definedName name="Equipment2" localSheetId="27">'Space Heating Worksheet'!$D$38:$H$38,'Space Heating Worksheet'!$O$38,'Space Heating Worksheet'!$S$38,'Space Heating Worksheet'!$U$38:$V$38,'Space Heating Worksheet'!#REF!,'Space Heating Worksheet'!#REF!,'Space Heating Worksheet'!#REF!,'Space Heating Worksheet'!#REF!</definedName>
    <definedName name="Equipment3" localSheetId="0">[11]Worksheet!$C$42:$H$42,[11]Worksheet!$O$42,[11]Worksheet!$Q$42,[11]Worksheet!$U$42:$W$42,[11]Worksheet!$F$45:$H$45,[11]Worksheet!$O$45,[11]Worksheet!$Q$45,[11]Worksheet!$U$45:$X$45</definedName>
    <definedName name="Equipment3" localSheetId="51">'[2]Space Heating Worksheet'!$C$35:$G$35,'[2]Space Heating Worksheet'!$M$35,'[2]Space Heating Worksheet'!$Q$35,'[2]Space Heating Worksheet'!$R$35:$S$35,'[2]Space Heating Worksheet'!#REF!,'[2]Space Heating Worksheet'!#REF!,'[2]Space Heating Worksheet'!#REF!,'[2]Space Heating Worksheet'!#REF!</definedName>
    <definedName name="Equipment3" localSheetId="27">'Space Heating Worksheet'!$D$39:$H$39,'Space Heating Worksheet'!$O$39,'Space Heating Worksheet'!$S$39,'Space Heating Worksheet'!$U$39:$V$39,'Space Heating Worksheet'!#REF!,'Space Heating Worksheet'!#REF!,'Space Heating Worksheet'!#REF!,'Space Heating Worksheet'!#REF!</definedName>
    <definedName name="Equipment4" localSheetId="0">[11]Worksheet!$C$49:$H$49,[11]Worksheet!$O$49,[11]Worksheet!$U$49:$W$49,[11]Worksheet!$Q$49,[11]Worksheet!$U$52:$X$52,[11]Worksheet!$O$52,[11]Worksheet!$Q$52,[11]Worksheet!$F$52:$H$52</definedName>
    <definedName name="Equipment4" localSheetId="51">'[2]Space Heating Worksheet'!$C$36:$G$36,'[2]Space Heating Worksheet'!$M$36,'[2]Space Heating Worksheet'!$R$36:$S$36,'[2]Space Heating Worksheet'!$Q$36,'[2]Space Heating Worksheet'!#REF!,'[2]Space Heating Worksheet'!#REF!,'[2]Space Heating Worksheet'!#REF!,'[2]Space Heating Worksheet'!#REF!</definedName>
    <definedName name="Equipment4" localSheetId="27">'Space Heating Worksheet'!$D$40:$H$40,'Space Heating Worksheet'!$O$40,'Space Heating Worksheet'!$U$40:$V$40,'Space Heating Worksheet'!$S$40,'Space Heating Worksheet'!#REF!,'Space Heating Worksheet'!#REF!,'Space Heating Worksheet'!#REF!,'Space Heating Worksheet'!#REF!</definedName>
    <definedName name="Equipment5" localSheetId="0">[11]Worksheet!$C$56:$H$56,[11]Worksheet!$O$56,[11]Worksheet!$Q$56,[11]Worksheet!$U$56:$W$56,[11]Worksheet!$U$59:$X$59,[11]Worksheet!$O$59:$Q$59,[11]Worksheet!$F$59:$H$59</definedName>
    <definedName name="Equipment5" localSheetId="51">'[2]Space Heating Worksheet'!$C$37:$G$37,'[2]Space Heating Worksheet'!$M$37,'[2]Space Heating Worksheet'!$Q$37,'[2]Space Heating Worksheet'!$R$37:$S$37,'[2]Space Heating Worksheet'!#REF!,'[2]Space Heating Worksheet'!#REF!,'[2]Space Heating Worksheet'!#REF!</definedName>
    <definedName name="Equipment5" localSheetId="27">'Space Heating Worksheet'!$D$41:$H$41,'Space Heating Worksheet'!$O$41,'Space Heating Worksheet'!$S$41,'Space Heating Worksheet'!$U$41:$V$41,'Space Heating Worksheet'!#REF!,'Space Heating Worksheet'!#REF!,'Space Heating Worksheet'!#REF!</definedName>
    <definedName name="Equipment6" localSheetId="0">[11]Worksheet!$C$47:$H$47,[11]Worksheet!$O$47:$Q$47,[11]Worksheet!$U$47:$W$47,[11]Worksheet!$F$50:$X$50</definedName>
    <definedName name="Equipment7" localSheetId="0">[11]Worksheet!$C$52:$H$52,[11]Worksheet!$O$52:$Q$52,[11]Worksheet!$U$52:$W$52,[11]Worksheet!$F$55:$W$55</definedName>
    <definedName name="Equipment8" localSheetId="0">[11]Worksheet!$C$57:$H$57,[11]Worksheet!$O$57:$Q$57,[11]Worksheet!$U$57:$W$57,[11]Worksheet!$F$60:$X$60</definedName>
    <definedName name="Equipment9" localSheetId="0">[11]Worksheet!$C$62:$H$62,[11]Worksheet!$O$62:$Q$62,[11]Worksheet!$U$62:$W$62,[11]Worksheet!$F$65:$X$65</definedName>
    <definedName name="EquipmentTypeEE" localSheetId="48">'Common HVAC References'!$D$21:$D$31</definedName>
    <definedName name="EquipmentTypeEE" localSheetId="54">'Common HVAC References'!$D$21:$D$31</definedName>
    <definedName name="EquipmentTypeEE" localSheetId="16">'Common HVAC References'!$D$21:$D$31</definedName>
    <definedName name="EquipmentTypeNC">'Common HVAC References'!$E$21:$E$30</definedName>
    <definedName name="EquipTypeDD">'Worksheet Common HVAC'!$B$16:$B$40</definedName>
    <definedName name="ERVHRV_Info">[7]Ventilation!$B$20:$C$29,[7]Ventilation!$E$20:$H$29,[7]Ventilation!$K$20:$L$29,[7]Ventilation!$O$20:$U$29</definedName>
    <definedName name="Ex_LED_Downlights">'Appliances References'!$J$49:$J$54</definedName>
    <definedName name="Exist_Water_heaters" localSheetId="53">[3]References!$A$203:$A$211</definedName>
    <definedName name="Exist_Water_heaters">[9]References!$A$203:$A$211</definedName>
    <definedName name="Existing_Equipment" localSheetId="0">[11]References!$P$2:$P$6</definedName>
    <definedName name="Existing_Equipment" localSheetId="26">References!$CG$5:$CG$9</definedName>
    <definedName name="Existing_Equipment" localSheetId="51">[2]References!$S$4:$S$8</definedName>
    <definedName name="Existing_Equipment" localSheetId="27">References!$CG$5:$CG$9</definedName>
    <definedName name="Existing_Equipment" localSheetId="25">References!$CG$5:$CG$9</definedName>
    <definedName name="Existing_Equipment">References!$K$9:$K$13</definedName>
    <definedName name="Existing_Equipment_Entry" localSheetId="53">'[3]Space Heating Worksheet'!$X$33:$AB$42,'[3]Space Heating Worksheet'!$X$52:$AB$61</definedName>
    <definedName name="Existing_Equipment_Entry" localSheetId="26">'Dedicated Water Heating'!$R$30:$U$39,'Dedicated Water Heating'!$R$49:$U$58</definedName>
    <definedName name="Existing_Equipment_Entry" localSheetId="51">'[2]Space Heating Worksheet'!$X$33:$AB$42,'[2]Space Heating Worksheet'!$X$52:$AB$61</definedName>
    <definedName name="Existing_Equipment_Entry" localSheetId="50">'[2]Space Heating Worksheet'!$X$33:$AB$42,'[2]Space Heating Worksheet'!$X$52:$AB$61</definedName>
    <definedName name="Existing_Equipment_Entry">'Space Heating Worksheet'!$AA$37:$AE$46,'Space Heating Worksheet'!$AA$56:$AE$65</definedName>
    <definedName name="Existing_Equipment_Fields" localSheetId="26">'Dedicated Water Heating'!$Q$29:$U$29</definedName>
    <definedName name="Existing_Equipment_Fields">'Space Heating Worksheet'!$Z$36:$AE$36</definedName>
    <definedName name="Existing_FanType">[7]References!$I$149:$I$153</definedName>
    <definedName name="Existing_Heating_Source" localSheetId="53">[3]References!$CC$31</definedName>
    <definedName name="Existing_Heating_Source" localSheetId="51">[2]References!$C$30</definedName>
    <definedName name="Existing_Heating_Source" localSheetId="50">[2]References!$C$30</definedName>
    <definedName name="Existing_Heating_Source">References!$BQ$31</definedName>
    <definedName name="ExistingEquipToggleCI">'Worksheet Common HVAC'!$T$13:$AB$40</definedName>
    <definedName name="ExistingUnitInventory">'Worksheet Common HVAC'!$T$16:$Z$40</definedName>
    <definedName name="ExistingUnitType" localSheetId="17">[7]References!$T$4:$T$44</definedName>
    <definedName name="ExistingUnitType">'Common HVAC References'!$S$4:$S$44</definedName>
    <definedName name="Exterior_Existing">'Common Lighting References'!$BO$16:$BO$22</definedName>
    <definedName name="ExtraRows" localSheetId="44">'[13]Customer Inputs'!#REF!</definedName>
    <definedName name="ExtraRows" localSheetId="37">'[13]Customer Inputs'!#REF!</definedName>
    <definedName name="ExtraRows" localSheetId="38">'[13]Customer Inputs'!#REF!</definedName>
    <definedName name="ExtraRows" localSheetId="39">'[13]Customer Inputs'!#REF!</definedName>
    <definedName name="ExtraRows" localSheetId="40">'[13]Customer Inputs'!#REF!</definedName>
    <definedName name="ExtraRows" localSheetId="41">'[13]Customer Inputs'!#REF!</definedName>
    <definedName name="ExtraRows" localSheetId="42">'[13]Customer Inputs'!#REF!</definedName>
    <definedName name="ExtraRows" localSheetId="43">'[13]Customer Inputs'!#REF!</definedName>
    <definedName name="ExtraRows" localSheetId="20">'[14]Customer Inputs'!#REF!</definedName>
    <definedName name="ExtraRows" localSheetId="22">'[14]Customer Inputs'!#REF!</definedName>
    <definedName name="ExtraRows" localSheetId="24">'[14]Customer Inputs'!#REF!</definedName>
    <definedName name="Fan_BuildingType">[7]References!$H$149:$H$150</definedName>
    <definedName name="Fan_Info">[7]Ventilation!$B$36:$C$45,[7]Ventilation!$E$36:$H$45,[7]Ventilation!$K$36:$L$45,[7]Ventilation!$O$36:$R$45</definedName>
    <definedName name="FanType">[7]References!$G$149:$G$157</definedName>
    <definedName name="FF_Heater_Removed">[3]References!$S$104:$S$107</definedName>
    <definedName name="Fixture_Type">[10]References!$V$44:$V$62</definedName>
    <definedName name="FLH_Cool" localSheetId="53">[3]References!$B$25</definedName>
    <definedName name="FLH_Cool" localSheetId="0">[11]References!$G$19</definedName>
    <definedName name="FLH_Cool" localSheetId="26">References!$BX$20</definedName>
    <definedName name="FLH_Cool" localSheetId="51">[2]References!$J$19</definedName>
    <definedName name="FLH_Cool" localSheetId="50">[2]References!$J$19</definedName>
    <definedName name="FLH_Cool" localSheetId="14">[9]References!$B$25</definedName>
    <definedName name="FLH_Cool" localSheetId="13">[9]References!$B$25</definedName>
    <definedName name="FLH_Cool" localSheetId="27">References!$BX$20</definedName>
    <definedName name="FLH_Cool" localSheetId="25">References!$BX$20</definedName>
    <definedName name="FLH_Cool">References!$B$32</definedName>
    <definedName name="FLH_Heat" localSheetId="53">[3]References!$B$26</definedName>
    <definedName name="FLH_Heat" localSheetId="0">[11]References!$G$20</definedName>
    <definedName name="FLH_Heat" localSheetId="26">References!$BX$21</definedName>
    <definedName name="FLH_Heat" localSheetId="51">[2]References!$J$20</definedName>
    <definedName name="FLH_Heat" localSheetId="50">[2]References!$J$20</definedName>
    <definedName name="FLH_Heat" localSheetId="14">[9]References!$B$26</definedName>
    <definedName name="FLH_Heat" localSheetId="13">[9]References!$B$26</definedName>
    <definedName name="FLH_Heat" localSheetId="27">References!$BX$21</definedName>
    <definedName name="FLH_Heat" localSheetId="25">References!$BX$21</definedName>
    <definedName name="FLH_Heat">References!$B$33</definedName>
    <definedName name="FLH_Hours">'Common Lighting References'!$HM$4:$HM$64</definedName>
    <definedName name="FLH_Table">'Common Lighting References'!$HL$4:$HM$64</definedName>
    <definedName name="FT_Measure_Data">'Worksheet Common Lighting'!$E$20:$S$23,'Worksheet Common Lighting'!$E$28:$S$31,'Worksheet Common Lighting'!$E$37:$S$40,'Worksheet Common Lighting'!$E$45:$S$48,'Worksheet Common Lighting'!$E$53:$S$56,'Worksheet Common Lighting'!$E$61:$S$64,'Worksheet Common Lighting'!$E$69:$S$72,'Worksheet Common Lighting'!$E$77:$S$80,'Worksheet Common Lighting'!$E$85:$S$88,'Worksheet Common Lighting'!$E$93:$S$96,'Worksheet Common Lighting'!$E$101:$S$104,'Worksheet Common Lighting'!$E$110:$S$113,'Worksheet Common Lighting'!$E$120:$S$123,'Worksheet Common Lighting'!$E$129:$S$132,'Worksheet Common Lighting'!$E$137:$S$140,'Worksheet Common Lighting'!$E$145:$S$148,'Worksheet Common Lighting'!$G$169:$Q$173</definedName>
    <definedName name="Fuel_Type" localSheetId="53">[3]References!$BB$21:$BB$25</definedName>
    <definedName name="Fuel_Type" localSheetId="14">[9]References!$BB$21:$BB$25</definedName>
    <definedName name="Fuel_Type" localSheetId="13">[9]References!$BB$21:$BB$25</definedName>
    <definedName name="Fuel_Type">References!$BB$21:$BB$25</definedName>
    <definedName name="Full_Load">[1]References!$O$4:$O$11</definedName>
    <definedName name="Full_Load_Hours_Cool_1">ProposedEquipment0!$BV$2</definedName>
    <definedName name="Full_Load_Hours_Cool_2">ProposedEquipment0!$BV$7</definedName>
    <definedName name="Full_LOad_Hours_Cool_3">ProposedEquipment0!$BV$12</definedName>
    <definedName name="Full_Load_Hours_Heat_1">ProposedEquipment0!$BW$2</definedName>
    <definedName name="Full_Load_Hours_Heat_2">ProposedEquipment0!$BW$7</definedName>
    <definedName name="Full_Load_Hours_Heat_3">ProposedEquipment0!$BW$12</definedName>
    <definedName name="HeaderTopCI">'Worksheet Common HVAC'!$B$2:$AC$3</definedName>
    <definedName name="HeadingsCI">'Worksheet Common HVAC'!$B$13:$M$14,'Worksheet Common HVAC'!$AC$13:$AD$14,'Worksheet Common HVAC'!$O$13:$Q$14</definedName>
    <definedName name="HeadingsSY">[7]Summary!$B$5:$E$5,[7]Summary!$H$5:$K$5,[7]Summary!$B$95</definedName>
    <definedName name="Heating_Install_Type" localSheetId="51">[2]References!$U$2:$V$2</definedName>
    <definedName name="Heating_Install_Type" localSheetId="50">[2]References!$U$2:$V$2</definedName>
    <definedName name="Heating_Install_Type">References!$CI$3:$CJ$3</definedName>
    <definedName name="Heating_Source" localSheetId="53">[3]References!$AZ$46:$AZ$49</definedName>
    <definedName name="Heating_Source" localSheetId="14">[9]References!$AZ$46:$AZ$49</definedName>
    <definedName name="Heating_Source" localSheetId="13">[9]References!$AZ$46:$AZ$49</definedName>
    <definedName name="Heating_Source">References!$AZ$46:$AZ$52</definedName>
    <definedName name="Heating_Type" localSheetId="53">[3]References!$A$31:$A$36</definedName>
    <definedName name="Heating_Type" localSheetId="29">References!$A$40:$A$45</definedName>
    <definedName name="Heating_Type" localSheetId="14">[9]References!$A$31:$A$36</definedName>
    <definedName name="Heating_Type" localSheetId="13">[9]References!$A$31:$A$36</definedName>
    <definedName name="Heating_Type">References!$A$40:$A$45</definedName>
    <definedName name="Hinge">References!$AX$45:$AX$47</definedName>
    <definedName name="Home" localSheetId="26">References!$BY$3:$BY$4</definedName>
    <definedName name="Home" localSheetId="27">References!$BY$3:$BY$4</definedName>
    <definedName name="Home" localSheetId="25">References!$BY$3:$BY$4</definedName>
    <definedName name="Home">References!$E$19:$E$20</definedName>
    <definedName name="Home_Performance_Reference_Tab">References!$AX$1</definedName>
    <definedName name="HP_Content1" localSheetId="53">[3]HPwES!$D$20,[3]HPwES!$J$20,[3]HPwES!$J$30,[3]HPwES!$D$32,[3]HPwES!$D$37,[3]HPwES!$J$37,[3]HPwES!$D$49,[3]HPwES!$J$47</definedName>
    <definedName name="HP_Content1" localSheetId="14">[9]HPwES!$D$20,[9]HPwES!$J$20,[9]HPwES!$J$30,[9]HPwES!$D$32,[9]HPwES!$D$37,[9]HPwES!$J$37,[9]HPwES!$D$49,[9]HPwES!$J$47</definedName>
    <definedName name="HP_Content1" localSheetId="13">[9]HPwES!$D$20,[9]HPwES!$J$20,[9]HPwES!$J$30,[9]HPwES!$D$32,[9]HPwES!$D$37,[9]HPwES!$J$37,[9]HPwES!$D$49,[9]HPwES!$J$47</definedName>
    <definedName name="HP_Content1">HPwES!$D$17,HPwES!$D$19,HPwES!$D$21,HPwES!$D$23,HPwES!$D$25,HPwES!$D$27,HPwES!$J$17,HPwES!$J$19,HPwES!$J$21,HPwES!$J$23,HPwES!$J$25,HPwES!$D$32,HPwES!$D$34,HPwES!$D$36,HPwES!$D$38,HPwES!$D$40,HPwES!$D$42,HPwES!$J$32,HPwES!$J$34,HPwES!$J$36,HPwES!$J$38,HPwES!$J$40</definedName>
    <definedName name="HP_Content2" localSheetId="53">[3]HPwES!$D$54,[3]HPwES!$D$56,[3]HPwES!$J$54,[3]HPwES!$D$60,[3]HPwES!$D$62,[3]HPwES!$D$64,[3]HPwES!$D$66,[3]HPwES!$D$68,[3]HPwES!$J$60,[3]HPwES!$J$62,[3]HPwES!$J$64,[3]HPwES!$J$66,[3]HPwES!$J$68,[3]HPwES!$D$72,[3]HPwES!$D$74,[3]HPwES!$D$76,[3]HPwES!$D$78,[3]HPwES!$D$80</definedName>
    <definedName name="HP_Content2" localSheetId="14">[9]HPwES!$D$54,[9]HPwES!$D$56,[9]HPwES!$J$54,[9]HPwES!$D$60,[9]HPwES!$D$62,[9]HPwES!$D$64,[9]HPwES!$D$66,[9]HPwES!$D$68,[9]HPwES!$J$60,[9]HPwES!$J$62,[9]HPwES!$J$64,[9]HPwES!$J$66,[9]HPwES!$J$68,[9]HPwES!$D$72,[9]HPwES!$D$74,[9]HPwES!$D$76,[9]HPwES!$D$78,[9]HPwES!$D$80</definedName>
    <definedName name="HP_Content2" localSheetId="13">[9]HPwES!$D$54,[9]HPwES!$D$56,[9]HPwES!$J$54,[9]HPwES!$D$60,[9]HPwES!$D$62,[9]HPwES!$D$64,[9]HPwES!$D$66,[9]HPwES!$D$68,[9]HPwES!$J$60,[9]HPwES!$J$62,[9]HPwES!$J$64,[9]HPwES!$J$66,[9]HPwES!$J$68,[9]HPwES!$D$72,[9]HPwES!$D$74,[9]HPwES!$D$76,[9]HPwES!$D$78,[9]HPwES!$D$80</definedName>
    <definedName name="HP_Content2">HPwES!$D$47,HPwES!$D$49,HPwES!$J$47,HPwES!$D$53,HPwES!$D$55,HPwES!$D$57,HPwES!$D$59,HPwES!$D$61,HPwES!$J$53,HPwES!$J$55,HPwES!$J$57,HPwES!$J$59,HPwES!$J$61,HPwES!$D$65,HPwES!$D$67,HPwES!$D$69,HPwES!$D$71,HPwES!$D$73</definedName>
    <definedName name="HP_Content3" localSheetId="53">[3]HPwES!$D$146,[3]HPwES!$J$146,[3]HPwES!$D$152,[3]HPwES!$D$154,[3]HPwES!$D$156,[3]HPwES!$D$158,[3]HPwES!$D$160,[3]HPwES!$J$152,[3]HPwES!$J$154,[3]HPwES!$J$156,[3]HPwES!$J$158,[3]HPwES!$J$160,[3]HPwES!$D$164,[3]HPwES!$D$166,[3]HPwES!$D$168,[3]HPwES!$D$170,[3]HPwES!$D$172,[3]HPwES!$J$164,[3]HPwES!$J$166,[3]HPwES!$J$168,[3]HPwES!$J$170,[3]HPwES!$J$172,[3]HPwES!$D$176,[3]HPwES!$D$178,[3]HPwES!$D$180,[3]HPwES!$D$182,[3]HPwES!$D$184,[3]HPwES!$D$107,[3]HPwES!$J$107,[3]HPwES!$D$112,[3]HPwES!$D$114,[3]HPwES!$D$116,[3]HPwES!$D$119,[3]HPwES!$D$146,[3]HPwES!$J$146,[3]HPwES!$D$152,[3]HPwES!$D$154,[3]HPwES!$D$156,[3]HPwES!$D$158,[3]HPwES!$D$160,[3]HPwES!$J$152,[3]HPwES!$J$154,[3]HPwES!$J$156,[3]HPwES!$J$158,[3]HPwES!$J$160,[3]HPwES!$D$164,[3]HPwES!$D$166,[3]HPwES!$D$168,[3]HPwES!$D$170,[3]HPwES!$D$172,[3]HPwES!$J$164,[3]HPwES!$J$166,[3]HPwES!$J$168,[3]HPwES!$J$170,[3]HPwES!$J$172,[3]HPwES!$D$176,[3]HPwES!$D$178,[3]HPwES!$D$180,[3]HPwES!$D$182,[3]HPwES!$D$184</definedName>
    <definedName name="HP_Content3" localSheetId="14">[9]HPwES!$D$146,[9]HPwES!$J$146,[9]HPwES!$D$152,[9]HPwES!$D$154,[9]HPwES!$D$156,[9]HPwES!$D$158,[9]HPwES!$D$160,[9]HPwES!$J$152,[9]HPwES!$J$154,[9]HPwES!$J$156,[9]HPwES!$J$158,[9]HPwES!$J$160,[9]HPwES!$D$164,[9]HPwES!$D$166,[9]HPwES!$D$168,[9]HPwES!$D$170,[9]HPwES!$D$172,[9]HPwES!$J$164,[9]HPwES!$J$166,[9]HPwES!$J$168,[9]HPwES!$J$170,[9]HPwES!$J$172,[9]HPwES!$D$176,[9]HPwES!$D$178,[9]HPwES!$D$180,[9]HPwES!$D$182,[9]HPwES!$D$184,[9]HPwES!$D$107,[9]HPwES!$J$107,[9]HPwES!$D$112,[9]HPwES!$D$114,[9]HPwES!$D$116,[9]HPwES!$D$119,[9]HPwES!$D$146,[9]HPwES!$J$146,[9]HPwES!$D$152,[9]HPwES!$D$154,[9]HPwES!$D$156,[9]HPwES!$D$158,[9]HPwES!$D$160,[9]HPwES!$J$152,[9]HPwES!$J$154,[9]HPwES!$J$156,[9]HPwES!$J$158,[9]HPwES!$J$160,[9]HPwES!$D$164,[9]HPwES!$D$166,[9]HPwES!$D$168,[9]HPwES!$D$170,[9]HPwES!$D$172,[9]HPwES!$J$164,[9]HPwES!$J$166,[9]HPwES!$J$168,[9]HPwES!$J$170,[9]HPwES!$J$172,[9]HPwES!$D$176,[9]HPwES!$D$178,[9]HPwES!$D$180,[9]HPwES!$D$182,[9]HPwES!$D$184</definedName>
    <definedName name="HP_Content3" localSheetId="13">[9]HPwES!$D$146,[9]HPwES!$J$146,[9]HPwES!$D$152,[9]HPwES!$D$154,[9]HPwES!$D$156,[9]HPwES!$D$158,[9]HPwES!$D$160,[9]HPwES!$J$152,[9]HPwES!$J$154,[9]HPwES!$J$156,[9]HPwES!$J$158,[9]HPwES!$J$160,[9]HPwES!$D$164,[9]HPwES!$D$166,[9]HPwES!$D$168,[9]HPwES!$D$170,[9]HPwES!$D$172,[9]HPwES!$J$164,[9]HPwES!$J$166,[9]HPwES!$J$168,[9]HPwES!$J$170,[9]HPwES!$J$172,[9]HPwES!$D$176,[9]HPwES!$D$178,[9]HPwES!$D$180,[9]HPwES!$D$182,[9]HPwES!$D$184,[9]HPwES!$D$107,[9]HPwES!$J$107,[9]HPwES!$D$112,[9]HPwES!$D$114,[9]HPwES!$D$116,[9]HPwES!$D$119,[9]HPwES!$D$146,[9]HPwES!$J$146,[9]HPwES!$D$152,[9]HPwES!$D$154,[9]HPwES!$D$156,[9]HPwES!$D$158,[9]HPwES!$D$160,[9]HPwES!$J$152,[9]HPwES!$J$154,[9]HPwES!$J$156,[9]HPwES!$J$158,[9]HPwES!$J$160,[9]HPwES!$D$164,[9]HPwES!$D$166,[9]HPwES!$D$168,[9]HPwES!$D$170,[9]HPwES!$D$172,[9]HPwES!$J$164,[9]HPwES!$J$166,[9]HPwES!$J$168,[9]HPwES!$J$170,[9]HPwES!$J$172,[9]HPwES!$D$176,[9]HPwES!$D$178,[9]HPwES!$D$180,[9]HPwES!$D$182,[9]HPwES!$D$184</definedName>
    <definedName name="HP_Content3">HPwES!$D$139,HPwES!$J$139,HPwES!$D$145,HPwES!$D$147,HPwES!$D$149,HPwES!$D$151,HPwES!$D$153,HPwES!$J$145,HPwES!$J$147,HPwES!$J$149,HPwES!$J$151,HPwES!$J$153,HPwES!$D$157,HPwES!$D$159,HPwES!$D$161,HPwES!$D$163,HPwES!$D$165,HPwES!$J$157,HPwES!$J$159,HPwES!$J$161,HPwES!$J$163,HPwES!$J$165,HPwES!$D$169,HPwES!$D$171,HPwES!$D$173,HPwES!$D$175,HPwES!$D$177,HPwES!$D$100,HPwES!$J$100,HPwES!$D$105,HPwES!$D$107,HPwES!$D$109,HPwES!$D$112,HPwES!$D$139,HPwES!$J$139,HPwES!$D$145,HPwES!$D$147,HPwES!$D$149,HPwES!$D$151,HPwES!$D$153,HPwES!$J$145,HPwES!$J$147,HPwES!$J$149,HPwES!$J$151,HPwES!$J$153,HPwES!$D$157,HPwES!$D$159,HPwES!$D$161,HPwES!$D$163,HPwES!$D$165,HPwES!$J$157,HPwES!$J$159,HPwES!$J$161,HPwES!$J$163,HPwES!$J$165,HPwES!$D$169,HPwES!$D$171,HPwES!$D$173,HPwES!$D$175,HPwES!$D$177</definedName>
    <definedName name="HP_kW_CA" localSheetId="53">[3]References!$T$25</definedName>
    <definedName name="HP_kW_CA">References!$T$27</definedName>
    <definedName name="HP_kW_RS">References!$U$27</definedName>
    <definedName name="HP_QI_kWh">References!$V$27</definedName>
    <definedName name="HP_Unit1_QI_CA">Qualifying_Index!$BP$27</definedName>
    <definedName name="HP_Unit1_QI_kWh" localSheetId="14">[9]Qualifying_Index!$BR$27</definedName>
    <definedName name="HP_Unit1_QI_kWh" localSheetId="13">[9]Qualifying_Index!$BR$27</definedName>
    <definedName name="HP_Unit1_QI_kWh">Qualifying_Index!$BR$27</definedName>
    <definedName name="HPWH_Size">'Appliances References'!$B$7:$B$8</definedName>
    <definedName name="HPWH_Size_AEH">'[3]Appliances References'!$B$7:$B$9</definedName>
    <definedName name="HSPF1" localSheetId="0">[15]Worksheet!$V$30</definedName>
    <definedName name="HVAC_Equipment_Info" localSheetId="17">'[7]HVAC Worksheet'!$B$17:$C$41,'[7]HVAC Worksheet'!$E$17:$M$41,'[7]HVAC Worksheet'!$O$17:$P$41,'[7]HVAC Worksheet'!$T$17:$U$41,'[7]HVAC Worksheet'!$W$17:$AB$41</definedName>
    <definedName name="HVAC_Equipment_Info">'Worksheet Common HVAC'!$B$16:$C$40,'Worksheet Common HVAC'!$E$16:$M$40,'Worksheet Common HVAC'!$O$16:$P$40,'Worksheet Common HVAC'!$W$16:$AA$40,'Worksheet Common HVAC'!$T$16:$U$40</definedName>
    <definedName name="HVAC_T1T2ReferenceTable" localSheetId="48">'Common HVAC References'!$AX$4:$BN$45</definedName>
    <definedName name="HVAC_T1T2ReferenceTable" localSheetId="54">'Common HVAC References'!$AX$4:$BN$45</definedName>
    <definedName name="HVAC_T1T2ReferenceTable" localSheetId="16">'Common HVAC References'!$AX$4:$BN$45</definedName>
    <definedName name="HVAC_T1T2ReferenceTable">[7]References!$AY$4:$BO$44</definedName>
    <definedName name="HVAC_Type">References!$BW$15:$BW$16</definedName>
    <definedName name="HVACInventory">'Worksheet Common HVAC'!$B$16:$M$40,'Worksheet Common HVAC'!$O$16:$P$40,'Worksheet Common HVAC'!$T$16:$Z$40</definedName>
    <definedName name="Idling_Factor" localSheetId="20">[4]References!$AZ$18:$AZ$20</definedName>
    <definedName name="Idling_Factor" localSheetId="22">[4]References!$AZ$18:$AZ$20</definedName>
    <definedName name="Idling_Factor" localSheetId="24">[4]References!$AZ$18:$AZ$20</definedName>
    <definedName name="Idling_Factor">References!$GD$16:$GD$18</definedName>
    <definedName name="Import_All">ProposedEquipment0!$A$1:$EG$25</definedName>
    <definedName name="Import_CH">ProposedEquipment0!$A$1:$DE$23</definedName>
    <definedName name="Incentive_ton">[1]References!$Q$4:$Q$11</definedName>
    <definedName name="Income_Eligible" localSheetId="53">[3]References!$Q$22:$Q$24</definedName>
    <definedName name="Income_Eligible">[9]References!$Q$22:$Q$24</definedName>
    <definedName name="Industrial" localSheetId="52">[5]References!$F$3:$F$8</definedName>
    <definedName name="Industrial" localSheetId="20">[12]References!$F$3:$F$8</definedName>
    <definedName name="Industrial" localSheetId="22">[12]References!$F$3:$F$8</definedName>
    <definedName name="Industrial" localSheetId="24">[12]References!$F$3:$F$8</definedName>
    <definedName name="Industrial">'Common Lighting References'!$BP$16:$BP$21</definedName>
    <definedName name="Industrials">'Common Lighting References'!$BP$16:$BP$21</definedName>
    <definedName name="InspectionForm">'Common Lighting Inspection'!$B$38:$S$185</definedName>
    <definedName name="Install_Type" localSheetId="51">[2]References!$S$2:$T$2</definedName>
    <definedName name="Install_Type" localSheetId="50">[2]References!$S$2:$T$2</definedName>
    <definedName name="Install_Type">References!$CG$3:$CH$3</definedName>
    <definedName name="Installed_Drive_eff" localSheetId="20">[4]References!$AV$18:$AV$21</definedName>
    <definedName name="Installed_Drive_eff" localSheetId="22">[4]References!$AV$18:$AV$21</definedName>
    <definedName name="Installed_Drive_eff" localSheetId="24">[4]References!$AV$18:$AV$21</definedName>
    <definedName name="Installed_Drive_Eff">References!$FZ$16:$FZ$19</definedName>
    <definedName name="InstalledCost_Cap">'Common Lighting References'!$B$36</definedName>
    <definedName name="Insulation_Existing_RValue">References!$BG$62:$BG$67</definedName>
    <definedName name="Insulation_Installed_RValue">References!$BH$62:$BH$69</definedName>
    <definedName name="Insulation_Location" localSheetId="53">[3]References!$AX$11:$AX$15</definedName>
    <definedName name="Insulation_Location" localSheetId="14">[9]References!$AX$11:$AX$15</definedName>
    <definedName name="Insulation_Location" localSheetId="13">[9]References!$AX$11:$AX$15</definedName>
    <definedName name="Insulation_Location">References!$AX$11:$AX$15</definedName>
    <definedName name="insulations">References!$BD$62:$BD$66</definedName>
    <definedName name="IPLV">[1]References!$P$4:$P$11</definedName>
    <definedName name="Kitchen_FuelType">[4]References!$K$39:$K$41</definedName>
    <definedName name="kW_CA" localSheetId="53">[3]References!$T$25</definedName>
    <definedName name="kW_CA" localSheetId="0">[11]References!$L$31</definedName>
    <definedName name="kW_CA" localSheetId="26">References!$CB$41</definedName>
    <definedName name="kW_CA" localSheetId="51">[2]References!$N$67</definedName>
    <definedName name="kW_CA" localSheetId="50">[2]References!$N$67</definedName>
    <definedName name="kW_CA" localSheetId="14">[9]References!$T$25</definedName>
    <definedName name="kW_CA" localSheetId="13">[9]References!$T$25</definedName>
    <definedName name="kW_CA" localSheetId="27">References!$CB$41</definedName>
    <definedName name="kW_CA" localSheetId="25">References!$CB$41</definedName>
    <definedName name="kW_CA">References!$T$27</definedName>
    <definedName name="kW_RS" localSheetId="53">[3]References!$U$25</definedName>
    <definedName name="kW_RS" localSheetId="0">[11]References!$M$31</definedName>
    <definedName name="kW_RS" localSheetId="14">[9]References!$U$25</definedName>
    <definedName name="kW_RS" localSheetId="13">[9]References!$U$25</definedName>
    <definedName name="kW_RS">References!$U$27</definedName>
    <definedName name="kWh_Cap">'Common Lighting References'!$B$26</definedName>
    <definedName name="Lamp">'Common Lighting References'!$BJ$16:$BJ$18</definedName>
    <definedName name="Lamps" localSheetId="52">[5]References!$A$3:$A$6</definedName>
    <definedName name="Lamps" localSheetId="20">[12]References!$A$3:$A$6</definedName>
    <definedName name="Lamps" localSheetId="22">[12]References!$A$3:$A$6</definedName>
    <definedName name="Lamps" localSheetId="24">[12]References!$A$3:$A$6</definedName>
    <definedName name="Lamps">'Common Lighting References'!$BJ$16:$BJ$18</definedName>
    <definedName name="Linear">'Common Lighting References'!$BK$16:$BK$18</definedName>
    <definedName name="Linear_Lamps" localSheetId="52">[5]References!$B$3:$B$6</definedName>
    <definedName name="Linear_Lamps" localSheetId="20">[12]References!$B$3:$B$6</definedName>
    <definedName name="Linear_Lamps" localSheetId="22">[12]References!$B$3:$B$6</definedName>
    <definedName name="Linear_Lamps" localSheetId="24">[12]References!$B$3:$B$6</definedName>
    <definedName name="Linear_Lamps">'Common Lighting References'!$BK$16:$BK$18</definedName>
    <definedName name="Linear_Lamps2" localSheetId="52">[5]References!$D$3:$D$7</definedName>
    <definedName name="Linear_Lamps2" localSheetId="20">[12]References!$D$3:$D$7</definedName>
    <definedName name="Linear_Lamps2" localSheetId="22">[12]References!$D$3:$D$7</definedName>
    <definedName name="Linear_Lamps2" localSheetId="24">[12]References!$D$3:$D$7</definedName>
    <definedName name="Linear_Lamps2">'Common Lighting References'!$BM$16:$BM$20</definedName>
    <definedName name="Linear2">'Common Lighting References'!$BM$16:$BM$20</definedName>
    <definedName name="Liq_Line_Temp" localSheetId="53">[3]References!$BG$93:$BG$93</definedName>
    <definedName name="Liq_Line_Temp">References!$BG$93:$BG$93</definedName>
    <definedName name="Liquid_Line_Pressure">References!$DL$20:$DL$76</definedName>
    <definedName name="LoadC_Clear1" localSheetId="53">'[3]ASHP Load Calculations'!$G$13,'[3]ASHP Load Calculations'!$D$15,'[3]ASHP Load Calculations'!$D$17,'[3]ASHP Load Calculations'!$D$28,'[3]ASHP Load Calculations'!$D$30,'[3]ASHP Load Calculations'!$G$26,'[3]ASHP Load Calculations'!$D$41,'[3]ASHP Load Calculations'!$D$43,'[3]ASHP Load Calculations'!$G$39,'[3]ASHP Load Calculations'!$D$54,'[3]ASHP Load Calculations'!$D$56,'[3]ASHP Load Calculations'!$G$52,'[3]ASHP Load Calculations'!$D$67,'[3]ASHP Load Calculations'!$D$69,'[3]ASHP Load Calculations'!$G$65,'[3]ASHP Load Calculations'!$D$80,'[3]ASHP Load Calculations'!$D$82,'[3]ASHP Load Calculations'!$G$78</definedName>
    <definedName name="LoadC_Clear1">'[9]ASHP Load Calculations'!$G$13,'[9]ASHP Load Calculations'!$D$15,'[9]ASHP Load Calculations'!$D$17,'[9]ASHP Load Calculations'!$D$28,'[9]ASHP Load Calculations'!$D$30,'[9]ASHP Load Calculations'!$G$26,'[9]ASHP Load Calculations'!$D$41,'[9]ASHP Load Calculations'!$D$43,'[9]ASHP Load Calculations'!$G$39,'[9]ASHP Load Calculations'!$D$54,'[9]ASHP Load Calculations'!$D$56,'[9]ASHP Load Calculations'!$G$52,'[9]ASHP Load Calculations'!$D$67,'[9]ASHP Load Calculations'!$D$69,'[9]ASHP Load Calculations'!$G$65,'[9]ASHP Load Calculations'!$D$80,'[9]ASHP Load Calculations'!$D$82,'[9]ASHP Load Calculations'!$G$78</definedName>
    <definedName name="LoadC_Clear2" localSheetId="53">'[3]ASHP Load Calculations'!$D$93,'[3]ASHP Load Calculations'!$D$95,'[3]ASHP Load Calculations'!$G$91,'[3]ASHP Load Calculations'!$D$106,'[3]ASHP Load Calculations'!$D$108,'[3]ASHP Load Calculations'!$G$104,'[3]ASHP Load Calculations'!$D$119,'[3]ASHP Load Calculations'!$D$121,'[3]ASHP Load Calculations'!$G$117,'[3]ASHP Load Calculations'!$D$132,'[3]ASHP Load Calculations'!$D$134,'[3]ASHP Load Calculations'!$G$130</definedName>
    <definedName name="LoadC_Clear2">'[9]ASHP Load Calculations'!$D$93,'[9]ASHP Load Calculations'!$D$95,'[9]ASHP Load Calculations'!$G$91,'[9]ASHP Load Calculations'!$D$106,'[9]ASHP Load Calculations'!$D$108,'[9]ASHP Load Calculations'!$G$104,'[9]ASHP Load Calculations'!$D$119,'[9]ASHP Load Calculations'!$D$121,'[9]ASHP Load Calculations'!$G$117,'[9]ASHP Load Calculations'!$D$132,'[9]ASHP Load Calculations'!$D$134,'[9]ASHP Load Calculations'!$G$130</definedName>
    <definedName name="Location_Code">References!$BD$47:$BD$58</definedName>
    <definedName name="location3">References!$AX$60:$AX$71</definedName>
    <definedName name="Locations_2">References!$BB$46:$BB$49</definedName>
    <definedName name="LR700_E">'Common Lighting References'!$BL$16:$BL$19</definedName>
    <definedName name="LR700_Existing" localSheetId="52">[5]References!$C$3:$C$6</definedName>
    <definedName name="LR700_Existing" localSheetId="20">[12]References!$C$3:$C$6</definedName>
    <definedName name="LR700_Existing" localSheetId="22">[12]References!$C$3:$C$6</definedName>
    <definedName name="LR700_Existing" localSheetId="24">[12]References!$C$3:$C$6</definedName>
    <definedName name="LR700_Existing">'Common Lighting References'!$BL$16:$BL$19</definedName>
    <definedName name="Manufacturer2">'Common HVAC References'!$F$21:$F$111</definedName>
    <definedName name="ManufacturerList">'Common HVAC References'!$F$21:$F$78</definedName>
    <definedName name="Manufacturers" localSheetId="53">[3]References!$A$57:$I$57</definedName>
    <definedName name="Manufacturers" localSheetId="14">[9]References!$A$57:$H$57</definedName>
    <definedName name="Manufacturers" localSheetId="13">[9]References!$A$57:$H$57</definedName>
    <definedName name="Manufacturers">References!$A$67:$I$67</definedName>
    <definedName name="Manufacturers2" localSheetId="53">[3]References!$A$69:$I$69</definedName>
    <definedName name="Manufacturers2" localSheetId="14">[9]References!$A$69:$I$69</definedName>
    <definedName name="Manufacturers2" localSheetId="13">[9]References!$A$69:$I$69</definedName>
    <definedName name="Manufacturers2">References!$A$79:$I$79</definedName>
    <definedName name="Measure_Data" localSheetId="20">[4]Worksheet!$K$139:$Q$143,[4]Worksheet!$E$131:$Q$134,[4]Worksheet!$E$123:$Q$126,[4]Worksheet!$E$115:$Q$118,[4]Worksheet!$E$107:$Q$110,[4]Worksheet!$E$99:$Q$102,[4]Worksheet!$E$91:$Q$94,[4]Worksheet!$E$83:$Q$86,[4]Worksheet!$E$75:$Q$78,[4]Worksheet!$E$67:$Q$70,[4]Worksheet!$E$59:$Q$62,[4]Worksheet!$E$51:$Q$54,[4]Worksheet!$E$43:$Q$46,[4]Worksheet!$E$35:$Q$38,[4]Worksheet!$E$27:$Q$30,[4]Worksheet!$E$19:$Q$22,[4]Worksheet!$E$11:$Q$14</definedName>
    <definedName name="Measure_Data" localSheetId="22">[4]Worksheet!$K$139:$Q$143,[4]Worksheet!$E$131:$Q$134,[4]Worksheet!$E$123:$Q$126,[4]Worksheet!$E$115:$Q$118,[4]Worksheet!$E$107:$Q$110,[4]Worksheet!$E$99:$Q$102,[4]Worksheet!$E$91:$Q$94,[4]Worksheet!$E$83:$Q$86,[4]Worksheet!$E$75:$Q$78,[4]Worksheet!$E$67:$Q$70,[4]Worksheet!$E$59:$Q$62,[4]Worksheet!$E$51:$Q$54,[4]Worksheet!$E$43:$Q$46,[4]Worksheet!$E$35:$Q$38,[4]Worksheet!$E$27:$Q$30,[4]Worksheet!$E$19:$Q$22,[4]Worksheet!$E$11:$Q$14</definedName>
    <definedName name="Measure_Data" localSheetId="24">[4]Worksheet!$K$139:$Q$143,[4]Worksheet!$E$131:$Q$134,[4]Worksheet!$E$123:$Q$126,[4]Worksheet!$E$115:$Q$118,[4]Worksheet!$E$107:$Q$110,[4]Worksheet!$E$99:$Q$102,[4]Worksheet!$E$91:$Q$94,[4]Worksheet!$E$83:$Q$86,[4]Worksheet!$E$75:$Q$78,[4]Worksheet!$E$67:$Q$70,[4]Worksheet!$E$59:$Q$62,[4]Worksheet!$E$51:$Q$54,[4]Worksheet!$E$43:$Q$46,[4]Worksheet!$E$35:$Q$38,[4]Worksheet!$E$27:$Q$30,[4]Worksheet!$E$19:$Q$22,[4]Worksheet!$E$11:$Q$14</definedName>
    <definedName name="Measure_Data">[5]Worksheet!$K$155:$Q$159,[5]Worksheet!$E$131:$Q$134,[5]Worksheet!$E$123:$Q$126,[5]Worksheet!$E$115:$Q$118,[5]Worksheet!$E$107:$Q$110,[5]Worksheet!$E$99:$Q$102,[5]Worksheet!$E$91:$Q$94,[5]Worksheet!$E$83:$Q$86,[5]Worksheet!$E$75:$Q$78,[5]Worksheet!$E$67:$Q$70,[5]Worksheet!$E$59:$Q$62,[5]Worksheet!$E$51:$Q$54,[5]Worksheet!$E$43:$Q$46,[5]Worksheet!$E$35:$Q$38,[5]Worksheet!$E$27:$Q$30,[5]Worksheet!$E$19:$Q$22,[5]Worksheet!$E$11:$Q$14</definedName>
    <definedName name="Measure_Data_3">[5]Worksheet!$E$139:$E$142,[5]Worksheet!$G$139:$G$142,[5]Worksheet!$I$139:$I$142,[5]Worksheet!$K$139:$K$142,[5]Worksheet!$M$139:$O$142,[5]Worksheet!$Q$139:$Q$142</definedName>
    <definedName name="Measure_Data_4">[5]Worksheet!$E$147:$E$150,[5]Worksheet!$G$147:$G$150,[5]Worksheet!$I$147:$I$150,[5]Worksheet!$K$147:$K$150,[5]Worksheet!$M$147:$M$150,[5]Worksheet!$O$147:$O$150,[5]Worksheet!$Q$147:$Q$150</definedName>
    <definedName name="Measure_Description">'Common Lighting References'!$B$168:$Y$203</definedName>
    <definedName name="MeasureCodeProposed">'Common Lighting References'!$BJ$3:$EI$3</definedName>
    <definedName name="MF_CommonArea_HPs">References!$F$109:$F$113</definedName>
    <definedName name="MFG_Spec_SuperHeat">References!$DL$81:$DL$86</definedName>
    <definedName name="MinSavings_Cap">'Common Lighting References'!$B$39</definedName>
    <definedName name="MinSavings_CostEffectiveness">'Common Lighting References'!$B$41</definedName>
    <definedName name="MinSavings_PercentRebate">'Common Lighting References'!$B$43</definedName>
    <definedName name="Model_Data" localSheetId="53">'[3]ASHP Equipment Information'!$C$49:$D$60,'[3]ASHP Equipment Information'!$E$49:$E$60,'[3]ASHP Equipment Information'!$F$49:$G$60,'[3]ASHP Equipment Information'!$H$49:$I$60,'[3]ASHP Equipment Information'!$J$49:$T$60,'[3]ASHP Equipment Information'!$U$49:$U$60,'[3]ASHP Equipment Information'!$V$49:$W$60</definedName>
    <definedName name="Model_Data" localSheetId="14">'[9]ASHP Equipment Information'!$C$49:$D$60,'[9]ASHP Equipment Information'!$E$49:$E$60,'[9]ASHP Equipment Information'!$F$49:$G$60,'[9]ASHP Equipment Information'!$H$49:$I$60,'[9]ASHP Equipment Information'!$J$49:$T$60,'[9]ASHP Equipment Information'!$U$49:$U$60,'[9]ASHP Equipment Information'!$V$49:$W$60</definedName>
    <definedName name="Model_Data" localSheetId="13">'[9]ASHP Equipment Information'!$C$49:$D$60,'[9]ASHP Equipment Information'!$E$49:$E$60,'[9]ASHP Equipment Information'!$F$49:$G$60,'[9]ASHP Equipment Information'!$H$49:$I$60,'[9]ASHP Equipment Information'!$J$49:$T$60,'[9]ASHP Equipment Information'!$U$49:$U$60,'[9]ASHP Equipment Information'!$V$49:$W$60</definedName>
    <definedName name="Model_Data">'In Unit HVAC Worksheet'!$AA$82:$AA$91,'In Unit HVAC Worksheet'!$Y$82:$Z$91,'In Unit HVAC Worksheet'!$W$82:$X$91,'In Unit HVAC Worksheet'!$T$82:$V$91,'In Unit HVAC Worksheet'!$S$82:$S$91,'In Unit HVAC Worksheet'!$R$82:$R$91,'In Unit HVAC Worksheet'!$M$82:$O$91,'In Unit HVAC Worksheet'!$K$82:$L$91,'In Unit HVAC Worksheet'!$I$82:$J$91,'In Unit HVAC Worksheet'!$F$82:$H$91,'In Unit HVAC Worksheet'!$E$82:$E$91,'In Unit HVAC Worksheet'!$C$82:$D$91</definedName>
    <definedName name="New_Equipment_Data" localSheetId="53">'[3]ASHP Equipment Information'!$C$25:$E$37,'[3]ASHP Equipment Information'!$F$25:$G$37,'[3]ASHP Equipment Information'!$H$25:$H$37,'[3]ASHP Equipment Information'!$I$25:$I$37,'[3]ASHP Equipment Information'!$J$25:$J$37,'[3]ASHP Equipment Information'!$K$25:$K$37,'[3]ASHP Equipment Information'!$L$25:$L$37,'[3]ASHP Equipment Information'!$P$25:$P$37,'[3]ASHP Equipment Information'!$R$25:$R$37,'[3]ASHP Equipment Information'!$S$25:$S$37,'[3]ASHP Equipment Information'!$T$25:$T$37,'[3]ASHP Equipment Information'!$Q$25:$Q$37</definedName>
    <definedName name="New_Equipment_Data" localSheetId="14">'[9]ASHP Equipment Information'!$C$25:$E$35,'[9]ASHP Equipment Information'!$F$25:$G$35,'[9]ASHP Equipment Information'!$H$25:$H$35,'[9]ASHP Equipment Information'!$I$25:$I$35,'[9]ASHP Equipment Information'!$J$25:$J$35,'[9]ASHP Equipment Information'!$K$25:$K$35,'[9]ASHP Equipment Information'!$L$25:$L$35,'[9]ASHP Equipment Information'!$P$25:$P$35,'[9]ASHP Equipment Information'!$R$25:$R$35,'[9]ASHP Equipment Information'!$S$25:$S$35,'[9]ASHP Equipment Information'!$T$25:$T$35,'[9]ASHP Equipment Information'!$Q$25:$Q$35</definedName>
    <definedName name="New_Equipment_Data" localSheetId="13">'[9]ASHP Equipment Information'!$C$25:$E$35,'[9]ASHP Equipment Information'!$F$25:$G$35,'[9]ASHP Equipment Information'!$H$25:$H$35,'[9]ASHP Equipment Information'!$I$25:$I$35,'[9]ASHP Equipment Information'!$J$25:$J$35,'[9]ASHP Equipment Information'!$K$25:$K$35,'[9]ASHP Equipment Information'!$L$25:$L$35,'[9]ASHP Equipment Information'!$P$25:$P$35,'[9]ASHP Equipment Information'!$R$25:$R$35,'[9]ASHP Equipment Information'!$S$25:$S$35,'[9]ASHP Equipment Information'!$T$25:$T$35,'[9]ASHP Equipment Information'!$Q$25:$Q$35</definedName>
    <definedName name="New_Equipment_Data">'In Unit HVAC Worksheet'!$C$61:$E$70,'In Unit HVAC Worksheet'!$F$61:$F$70,'In Unit HVAC Worksheet'!$G$61:$H$70,'In Unit HVAC Worksheet'!$I$61:$I$70,'In Unit HVAC Worksheet'!$J$61:$J$70,'In Unit HVAC Worksheet'!$L$61:$L$70,'In Unit HVAC Worksheet'!$M$61:$M$70,'In Unit HVAC Worksheet'!$N$61:$N$70,'In Unit HVAC Worksheet'!$S$61:$S$70,'In Unit HVAC Worksheet'!$U$61:$U$70,'In Unit HVAC Worksheet'!$V$61:$V$70,'In Unit HVAC Worksheet'!$W$61:$W$70,'In Unit HVAC Worksheet'!$T$61:$T$70,'In Unit HVAC Worksheet'!$K$61:$K$70,'In Unit HVAC Worksheet'!$X$61:$X$70,'In Unit HVAC Worksheet'!$F$61:$F$70,'In Unit HVAC Worksheet'!$G$61:$H$70,'In Unit HVAC Worksheet'!$I$61:$I$70,'In Unit HVAC Worksheet'!$J$61:$J$70,'In Unit HVAC Worksheet'!$L$61:$L$70,'In Unit HVAC Worksheet'!$M$61:$M$70,'In Unit HVAC Worksheet'!$N$61:$N$70,'In Unit HVAC Worksheet'!$S$61:$S$70,'In Unit HVAC Worksheet'!$U$61:$U$70,'In Unit HVAC Worksheet'!$V$61:$V$70,'In Unit HVAC Worksheet'!$W$61:$W$70,'In Unit HVAC Worksheet'!$T$61:$T$70</definedName>
    <definedName name="New_Existing1" localSheetId="0">[15]Worksheet!$I$30</definedName>
    <definedName name="New_Existing3" localSheetId="0">[15]Worksheet!$I$44</definedName>
    <definedName name="New_Existing4" localSheetId="0">[15]Worksheet!$I$51</definedName>
    <definedName name="New_Existing5" localSheetId="0">[15]Worksheet!$I$58</definedName>
    <definedName name="NewConstruction">'Common Lighting References'!$BT$16</definedName>
    <definedName name="notes">References!$BB$52:$BB$59</definedName>
    <definedName name="OLE_LINK2" localSheetId="3">'HC - Ts and Cs'!$C$6</definedName>
    <definedName name="OLE_LINK2" localSheetId="5">'Ts and Cs'!$C$7</definedName>
    <definedName name="Org_Type" localSheetId="52">[5]References!$M$59:$M$63</definedName>
    <definedName name="Org_Type" localSheetId="20">[4]References!$E$11:$E$15</definedName>
    <definedName name="Org_Type" localSheetId="22">[4]References!$E$11:$E$15</definedName>
    <definedName name="Org_Type" localSheetId="24">[4]References!$E$11:$E$15</definedName>
    <definedName name="Org_Type">[7]References!$B$54:$B$58</definedName>
    <definedName name="Outdoor_DryBulb_Temp">References!$BN$17:$BN$25</definedName>
    <definedName name="PASS_FAIL2" localSheetId="53">[3]References!$AZ$55:$AZ$57</definedName>
    <definedName name="PASS_FAIL2" localSheetId="14">[9]References!$AZ$55:$AZ$57</definedName>
    <definedName name="PASS_FAIL2" localSheetId="13">[9]References!$AZ$55:$AZ$57</definedName>
    <definedName name="PASS_FAIL2">References!$AZ$55:$AZ$57</definedName>
    <definedName name="PoolHeater_Fuel" localSheetId="20">[4]References!$K$29:$K$34</definedName>
    <definedName name="PoolHeater_Fuel" localSheetId="22">[4]References!$K$29:$K$34</definedName>
    <definedName name="PoolHeater_Fuel" localSheetId="24">[4]References!$K$29:$K$34</definedName>
    <definedName name="PoolHeater_Fuel">References!$EW$14:$EW$18</definedName>
    <definedName name="Post_Install" localSheetId="53">'[3]Space Heating Worksheet'!$C$52:$K$61,'[3]Space Heating Worksheet'!#REF!,'[3]Space Heating Worksheet'!$O$52:$O$61,'[3]Space Heating Worksheet'!$Q$52:$AI$61</definedName>
    <definedName name="Post_Install" localSheetId="0">[11]Worksheet!$C$78:$H$106,[11]Worksheet!$O$78:$O$106,[11]Worksheet!$Q$78:$Q$106,[11]Worksheet!$T$78:$X$106</definedName>
    <definedName name="Post_Install" localSheetId="26">'Dedicated Water Heating'!$C$49:$L$58,'Dedicated Water Heating'!#REF!,'Dedicated Water Heating'!#REF!,'Dedicated Water Heating'!$O$49:$Y$58</definedName>
    <definedName name="Post_Install" localSheetId="51">'[2]Space Heating Worksheet'!$C$52:$K$61,'[2]Space Heating Worksheet'!#REF!,'[2]Space Heating Worksheet'!$O$52:$O$61,'[2]Space Heating Worksheet'!$Q$52:$AG$61</definedName>
    <definedName name="Post_Install" localSheetId="50">'[2]Space Heating Worksheet'!$C$52:$K$61,'[2]Space Heating Worksheet'!#REF!,'[2]Space Heating Worksheet'!$O$52:$O$61,'[2]Space Heating Worksheet'!$Q$52:$AG$61</definedName>
    <definedName name="Post_Install" localSheetId="27">'Space Heating Worksheet'!$C$56:$M$65,#REF!,'Space Heating Worksheet'!$Q$56:$Q$65,'Space Heating Worksheet'!$S$56:$AJ$65</definedName>
    <definedName name="Post_Install">'Space Heating Worksheet'!$C$56:$M$65,'Space Heating Worksheet'!#REF!,'Space Heating Worksheet'!$Q$56:$Q$65,'Space Heating Worksheet'!$S$56:$AJ$65</definedName>
    <definedName name="PreApproval_Length">'Common Lighting References'!$AK$26:$AK$28</definedName>
    <definedName name="Primary_Cooling_Equipment" localSheetId="53">[3]References!$Q$90:$Q$97</definedName>
    <definedName name="Primary_Cooling_Equipment">[9]References!$Q$90:$Q$97</definedName>
    <definedName name="Primary_Device_Category">'Common Lighting References'!$HQ$3:$HQ$35</definedName>
    <definedName name="Primary_Heat_Equipment" localSheetId="53">[3]References!$Q$44:$Q$61</definedName>
    <definedName name="Primary_Heat_Equipment">[9]References!$Q$44:$Q$61</definedName>
    <definedName name="_xlnm.Print_Area" localSheetId="44">'AIRFLOW FORM 10'!$A$1:$CD$116</definedName>
    <definedName name="_xlnm.Print_Area" localSheetId="36">'AIRFLOW FORM 2'!$A$1:$AU$125</definedName>
    <definedName name="_xlnm.Print_Area" localSheetId="37">'AIRFLOW FORM 3'!$A$1:$O$123</definedName>
    <definedName name="_xlnm.Print_Area" localSheetId="38">'AIRFLOW FORM 4'!$A$1:$CE$146</definedName>
    <definedName name="_xlnm.Print_Area" localSheetId="39">'AIRFLOW FORM 5'!$A$1:$CD$125</definedName>
    <definedName name="_xlnm.Print_Area" localSheetId="40">'AIRFLOW FORM 6'!$A$1:$CD$124</definedName>
    <definedName name="_xlnm.Print_Area" localSheetId="41">'AIRFLOW FORM 7'!$A$1:$CD$120</definedName>
    <definedName name="_xlnm.Print_Area" localSheetId="42">'AIRFLOW FORM 8'!$A$1:$CD$126</definedName>
    <definedName name="_xlnm.Print_Area" localSheetId="43">'AIRFLOW FORM 9'!$A$1:$CD$124</definedName>
    <definedName name="_xlnm.Print_Area" localSheetId="0">'Application Form'!$B$1:$K$127</definedName>
    <definedName name="_xlnm.Print_Area" localSheetId="52">'Common Lighting Inspection'!$A$1:$T$55</definedName>
    <definedName name="_xlnm.Print_Area" localSheetId="20">'Elevator Inspect'!$A$1:$N$33</definedName>
    <definedName name="_xlnm.Print_Area" localSheetId="3">'HC - Ts and Cs'!$A$1:$K$29</definedName>
    <definedName name="_xlnm.Print_Area" localSheetId="29">HPwES!$A$1:$M$178</definedName>
    <definedName name="_xlnm.Print_Area" localSheetId="30">'HPwES H&amp;S'!$B$1:$N$78</definedName>
    <definedName name="_xlnm.Print_Area" localSheetId="12">'Integrated Controls'!$A$1:$K$39</definedName>
    <definedName name="_xlnm.Print_Area" localSheetId="10">'Multi-Family Heat Pumps'!$A$1:$AA$144</definedName>
    <definedName name="_xlnm.Print_Area" localSheetId="22">'Pool Equip Inspect'!$A$1:$Q$28</definedName>
    <definedName name="_xlnm.Print_Area" localSheetId="45">'Project Completion Form'!$A$1:$L$79</definedName>
    <definedName name="_xlnm.Print_Area" localSheetId="46">'Project Completion Form HPwES'!$A$1:$L$63</definedName>
    <definedName name="_xlnm.Print_Area" localSheetId="7">'Required Documents'!$A$1:$L$38</definedName>
    <definedName name="_xlnm.Print_Area" localSheetId="6">'Required Documents (2)'!$A$1:$L$55</definedName>
    <definedName name="_xlnm.Print_Area" localSheetId="15">'Smart T-Stats'!$B$1:$L$36</definedName>
    <definedName name="_xlnm.Print_Area" localSheetId="5">'Ts and Cs'!$A$1:$AA$79</definedName>
    <definedName name="_xlnm.Print_Titles" localSheetId="30">'HPwES H&amp;S'!$1:$3</definedName>
    <definedName name="Product_Lookup" localSheetId="0">[11]Naming!$A$3:$D$46</definedName>
    <definedName name="Product_Lookup" localSheetId="51">[2]Naming!$A$3:$E$63</definedName>
    <definedName name="Product_Lookup">[2]Naming!$A$3:$E$63</definedName>
    <definedName name="Project_Type">[5]References!$M$66:$M$68</definedName>
    <definedName name="Project_Type_HP" localSheetId="53">[3]References!$Q$9:$Q$11</definedName>
    <definedName name="Project_Type_HP">[9]References!$Q$9:$Q$12</definedName>
    <definedName name="Project_Type_TuneUp">[9]References!$H$203:$H$205</definedName>
    <definedName name="Project_Type_WaterHeating" localSheetId="53">[3]References!$E$203:$E$205</definedName>
    <definedName name="Project_Type_WaterHeating">[9]References!$E$203:$E$205</definedName>
    <definedName name="Project_Type_Weatherization" localSheetId="53">[3]References!$Q$16:$Q$18</definedName>
    <definedName name="Project_Type_Weatherization">[9]References!$Q$16:$Q$18</definedName>
    <definedName name="Proposed_Water_Heater" localSheetId="53">[3]References!$C$203:$C$208</definedName>
    <definedName name="Proposed_Water_Heater">[9]References!$C$203:$C$208</definedName>
    <definedName name="Pump_Type" localSheetId="53">[3]References!$CD$45:$CD$47</definedName>
    <definedName name="Pump_Type" localSheetId="51">[2]References!$D$44:$D$46</definedName>
    <definedName name="Pump_Type" localSheetId="50">[2]References!$D$44:$D$46</definedName>
    <definedName name="Pump_Type">References!$BR$45:$BR$47</definedName>
    <definedName name="QI_kWh" localSheetId="53">[3]References!$V$25</definedName>
    <definedName name="QI_kWh" localSheetId="0">[11]References!$N$21</definedName>
    <definedName name="QI_kWh" localSheetId="14">[9]References!$V$25</definedName>
    <definedName name="QI_kWh" localSheetId="13">[9]References!$V$25</definedName>
    <definedName name="QI_kWh">References!$V$27</definedName>
    <definedName name="R_100" localSheetId="20">[4]Worksheet!#REF!</definedName>
    <definedName name="R_100" localSheetId="22">[4]Worksheet!#REF!</definedName>
    <definedName name="R_100" localSheetId="24">[4]Worksheet!#REF!</definedName>
    <definedName name="R_100">[5]Worksheet!#REF!</definedName>
    <definedName name="RatingType">[3]References!$Q$115:$Q$117</definedName>
    <definedName name="Rebate_Lookup" localSheetId="0">[11]References!$K$3:$M$11</definedName>
    <definedName name="Rebate_Lookup" localSheetId="26">References!$CB$3:$CD$9</definedName>
    <definedName name="Rebate_Lookup" localSheetId="51">[2]References!$N$2:$P$8</definedName>
    <definedName name="Rebate_Lookup" localSheetId="14">[9]References!$AE$29:$AL$31</definedName>
    <definedName name="Rebate_Lookup" localSheetId="27">References!$CB$3:$CD$9</definedName>
    <definedName name="Rebate_Lookup" localSheetId="25">References!$CB$3:$CD$9</definedName>
    <definedName name="Rebate_Lookup">References!$AE$29:$AL$31</definedName>
    <definedName name="Rebate_Payment_Method" localSheetId="53">[3]References!$O$9:$O$12</definedName>
    <definedName name="Rebate_Payment_Method">[9]References!$O$9:$O$12</definedName>
    <definedName name="RebateTable">'Common Lighting References'!$AR$4:$BE$120</definedName>
    <definedName name="RebateYear">'Common Lighting References'!$B$4</definedName>
    <definedName name="RebateYear_Range">'Common Lighting References'!$AT$3:$BC$3</definedName>
    <definedName name="Regen_Breaking" localSheetId="20">[4]References!$BC$14:$BC$15</definedName>
    <definedName name="Regen_Breaking" localSheetId="22">[4]References!$BC$14:$BC$15</definedName>
    <definedName name="Regen_Breaking" localSheetId="24">[4]References!$BC$14:$BC$15</definedName>
    <definedName name="Regen_Breaking">References!$GG$12:$GG$13</definedName>
    <definedName name="Replacement_Type" localSheetId="0">[11]References!$F$2:$F$3</definedName>
    <definedName name="Replacement_Type" localSheetId="26">References!$BW$3:$BW$4</definedName>
    <definedName name="Replacement_Type" localSheetId="51">[2]References!$I$2:$I$3</definedName>
    <definedName name="Replacement_Type" localSheetId="50">[2]References!$I$2:$I$3</definedName>
    <definedName name="Replacement_Type" localSheetId="14">[9]References!$E$15:$E$16</definedName>
    <definedName name="Replacement_Type" localSheetId="27">References!$BW$3:$BW$4</definedName>
    <definedName name="Replacement_Type" localSheetId="25">References!$BW$3:$BW$4</definedName>
    <definedName name="Replacement_Type">References!$E$15:$E$16</definedName>
    <definedName name="Reqd_SubCooling">References!$BN$2:$BN$19</definedName>
    <definedName name="Residence_Type" localSheetId="53">[3]References!$Q$3:$Q$5</definedName>
    <definedName name="Residence_Type">[9]References!$Q$3:$Q$5</definedName>
    <definedName name="Retro_2foot">'Common Lighting References'!$BQ$16:$BQ$18</definedName>
    <definedName name="Retro_2ft" localSheetId="52">[5]References!$G$3:$G$6</definedName>
    <definedName name="Retro_2ft" localSheetId="20">[12]References!$G$3:$G$6</definedName>
    <definedName name="Retro_2ft" localSheetId="22">[12]References!$G$3:$G$6</definedName>
    <definedName name="Retro_2ft" localSheetId="24">[12]References!$G$3:$G$6</definedName>
    <definedName name="Retro_2ft">'Common Lighting References'!$BQ$16:$BQ$18</definedName>
    <definedName name="Retro_4foot">'Common Lighting References'!$BR$16:$BR$17</definedName>
    <definedName name="Retro_4ft" localSheetId="52">[5]References!$H$3:$H$4</definedName>
    <definedName name="Retro_4ft" localSheetId="20">[12]References!$H$3:$H$4</definedName>
    <definedName name="Retro_4ft" localSheetId="22">[12]References!$H$3:$H$4</definedName>
    <definedName name="Retro_4ft" localSheetId="24">[12]References!$H$3:$H$4</definedName>
    <definedName name="Retro_4ft">'Common Lighting References'!$BR$16:$BR$17</definedName>
    <definedName name="Retrofit_FixtureCodeList">'Common Lighting References'!$AR$4:$AR$79</definedName>
    <definedName name="Retrofit_MeasureCodeList">'Common Lighting References'!$AN$4:$AN$73</definedName>
    <definedName name="Retrofit_MeasureCodeTable">'Common Lighting References'!$AN$4:$AO$73</definedName>
    <definedName name="Retrofit_SensorCodeList">'Common Lighting References'!$AN$76:$AP$91</definedName>
    <definedName name="rvalues">References!$BD$62:$BE$66</definedName>
    <definedName name="Sat_Temp">References!$BE$93:$BE$93</definedName>
    <definedName name="SatTemp_SuperHeat">References!$BF$138:$BF$141</definedName>
    <definedName name="Secondary_Cooling_Equipment" localSheetId="53">[3]References!$Q$104:$Q$111</definedName>
    <definedName name="Secondary_Cooling_Equipment">[9]References!$Q$104:$Q$111</definedName>
    <definedName name="Secondary_Heat_Equipment" localSheetId="53">[3]References!$Q$65:$Q$82</definedName>
    <definedName name="Secondary_Heat_Equipment">[9]References!$Q$65:$Q$82</definedName>
    <definedName name="Side">References!$BA$62:$BA$71</definedName>
    <definedName name="Siding">References!$BA$62:$BB$71</definedName>
    <definedName name="Size_Table">'Common HVAC References'!$K$21:$M$32</definedName>
    <definedName name="SizeCategory" localSheetId="48">'Common HVAC References'!$D$10:$Q$10</definedName>
    <definedName name="SizeCategory" localSheetId="54">'Common HVAC References'!$D$10:$Q$10</definedName>
    <definedName name="SizeCategory" localSheetId="16">'Common HVAC References'!$D$10:$Q$10</definedName>
    <definedName name="SizeCategory">[7]References!$D$10:$R$10</definedName>
    <definedName name="Smart_Thermostat">References!$B$51:$B$52</definedName>
    <definedName name="SmartTherm_Entries">'Multi-Family Heat Pumps'!$F$219:$F$222,'Multi-Family Heat Pumps'!$H$219:$I$222,'Multi-Family Heat Pumps'!$K$219:$L$222,'Multi-Family Heat Pumps'!$F$231:$F$234,'Multi-Family Heat Pumps'!$H$231:$I$234,'Multi-Family Heat Pumps'!$K$231:$L$234</definedName>
    <definedName name="Stages" localSheetId="53">[3]References!$CB$45:$CB$48</definedName>
    <definedName name="Stages" localSheetId="51">[2]References!$B$44:$B$47</definedName>
    <definedName name="Stages" localSheetId="50">[2]References!$B$44:$B$47</definedName>
    <definedName name="Stages">References!$BP$45:$BP$48</definedName>
    <definedName name="Stages_Range">'Space Heating Worksheet'!$J$37:$J$46</definedName>
    <definedName name="Start_ApprovedStats" localSheetId="53">[3]References!$A$58</definedName>
    <definedName name="Start_ApprovedStats" localSheetId="14">[9]References!$A$58</definedName>
    <definedName name="Start_ApprovedStats" localSheetId="13">[9]References!$A$58</definedName>
    <definedName name="Start_ApprovedStats">References!$A$68</definedName>
    <definedName name="Start_Baseline_Code" localSheetId="48">[1]References!$M$20</definedName>
    <definedName name="Start_Baseline_Code" localSheetId="17">[1]References!$M$20</definedName>
    <definedName name="Start_Baseline_Code" localSheetId="54">[1]References!$M$20</definedName>
    <definedName name="Start_Baseline_Code" localSheetId="20">[4]References!$N$20</definedName>
    <definedName name="Start_Baseline_Code" localSheetId="22">[4]References!$N$20</definedName>
    <definedName name="Start_Baseline_Code" localSheetId="24">[4]References!$N$20</definedName>
    <definedName name="Start_Baseline_Code" localSheetId="16">[1]References!$M$20</definedName>
    <definedName name="Start_Baseline_Code">References!$DJ$4</definedName>
    <definedName name="Start_DeviceCode">'Common Lighting References'!$EM$4</definedName>
    <definedName name="Start_Devicecodeproposed">'Common Lighting References'!$BJ$4</definedName>
    <definedName name="Start_Existing_Cooling" localSheetId="51">[2]References!$S$3</definedName>
    <definedName name="Start_Existing_Cooling" localSheetId="50">[2]References!$S$3</definedName>
    <definedName name="Start_Existing_Cooling">References!$CG$4</definedName>
    <definedName name="Start_Existing_Heating" localSheetId="51">[2]References!$U$3</definedName>
    <definedName name="Start_Existing_Heating" localSheetId="50">[2]References!$U$3</definedName>
    <definedName name="Start_Existing_Heating">References!$CI$4</definedName>
    <definedName name="Start_Existing_Water" localSheetId="53">[3]References!$CS$63</definedName>
    <definedName name="Start_Existing_Water" localSheetId="51">[2]References!$S$57</definedName>
    <definedName name="Start_Existing_Water" localSheetId="50">[2]References!$S$57</definedName>
    <definedName name="Start_Existing_Water">References!$CG$58</definedName>
    <definedName name="Start_ExistingUnitType" localSheetId="17">[7]References!$Z$4:$AC$42</definedName>
    <definedName name="Start_ExistingUnitType">'Common HVAC References'!$Y$4:$AB$42</definedName>
    <definedName name="Start_Models" localSheetId="53">[3]References!$A$70</definedName>
    <definedName name="Start_Models" localSheetId="14">[9]References!$A$70</definedName>
    <definedName name="Start_Models" localSheetId="13">[9]References!$A$70</definedName>
    <definedName name="Start_Models">References!$A$80</definedName>
    <definedName name="Start_SizeCategory" localSheetId="48">'Common HVAC References'!$D$11</definedName>
    <definedName name="Start_SizeCategory" localSheetId="54">'Common HVAC References'!$D$11</definedName>
    <definedName name="Start_SizeCategory" localSheetId="16">'Common HVAC References'!$D$11</definedName>
    <definedName name="Start_SizeCategory">[7]References!$D$11</definedName>
    <definedName name="Start_SubCategory" localSheetId="48">'Common HVAC References'!$D$4</definedName>
    <definedName name="Start_SubCategory" localSheetId="54">'Common HVAC References'!$D$4</definedName>
    <definedName name="Start_SubCategory" localSheetId="16">'Common HVAC References'!$D$4</definedName>
    <definedName name="Start_SubCategory">[7]References!$D$4</definedName>
    <definedName name="SubCategory" localSheetId="48">'Common HVAC References'!$D$3:$Q$3</definedName>
    <definedName name="SubCategory" localSheetId="54">'Common HVAC References'!$D$3:$Q$3</definedName>
    <definedName name="SubCategory" localSheetId="16">'Common HVAC References'!$D$3:$Q$3</definedName>
    <definedName name="SubCategory">[7]References!$D$3:$R$3</definedName>
    <definedName name="System">References!$BW$7:$BW$8</definedName>
    <definedName name="T0_ReferenceTable">'Common HVAC References'!$AM$4:$AV$59</definedName>
    <definedName name="T1T2_ReferenceTable" localSheetId="17">[7]References!$AY$4:$BO$44</definedName>
    <definedName name="T1T2_ReferenceTable">'Common HVAC References'!$AX$4:$BN$45</definedName>
    <definedName name="TandC_Tab" localSheetId="20">[4]References!#REF!</definedName>
    <definedName name="TandC_Tab" localSheetId="22">[4]References!#REF!</definedName>
    <definedName name="TandC_Tab" localSheetId="24">[4]References!#REF!</definedName>
    <definedName name="TandC_Tab">[1]References!#REF!</definedName>
    <definedName name="TankWH_Size_AEH">'[3]Appliances References'!$C$7:$C$9</definedName>
    <definedName name="Thermal_Storage_Equipment" localSheetId="20">[4]References!$J$26:$J$28</definedName>
    <definedName name="Thermal_Storage_Equipment" localSheetId="22">[4]References!$J$26:$J$28</definedName>
    <definedName name="Thermal_Storage_Equipment" localSheetId="24">[4]References!$J$26:$J$28</definedName>
    <definedName name="Thermal_Storage_Equipment">[1]References!$I$26:$I$28</definedName>
    <definedName name="True_Flow_CFM_Measured" localSheetId="53">'[3]Air Flow References'!$T$34:$T$36</definedName>
    <definedName name="True_Flow_CFM_Measured" localSheetId="14">'[9]Air Flow References'!$T$34:$T$36</definedName>
    <definedName name="True_Flow_CFM_Measured" localSheetId="13">'[9]Air Flow References'!$T$34:$T$36</definedName>
    <definedName name="True_Flow_CFM_Measured">'Air Flow References'!$T$34:$T$36</definedName>
    <definedName name="Tstat_Data" localSheetId="53">'[3]Smart T-Stats'!$B$21:$G$21,'[3]Smart T-Stats'!$B$22:$G$22,'[3]Smart T-Stats'!$B$23:$G$23,'[3]Smart T-Stats'!$B$24:$G$24,'[3]Smart T-Stats'!$B$25:$G$25,'[3]Smart T-Stats'!$B$26:$G$26,'[3]Smart T-Stats'!$B$27:$G$27,'[3]Smart T-Stats'!$B$28:$G$28,'[3]Smart T-Stats'!$B$29:$G$29,'[3]Smart T-Stats'!$B$30:$G$30,'[3]Smart T-Stats'!$B$32:$G$32</definedName>
    <definedName name="Tstat_Data" localSheetId="12">'Integrated Controls'!$B$17:$I$27</definedName>
    <definedName name="Tstat_Data">'Smart T-Stats'!$B$21:$H$31</definedName>
    <definedName name="TStat_Equipment_Type" localSheetId="53">[3]References!$A$31:$A$38</definedName>
    <definedName name="TStat_Equipment_Type" localSheetId="14">[9]References!$A$31:$A$38</definedName>
    <definedName name="TStat_Equipment_Type" localSheetId="13">[9]References!$A$31:$A$38</definedName>
    <definedName name="TStat_Equipment_Type">References!$A$40:$A$47</definedName>
    <definedName name="Tstat_Manufacturers" localSheetId="53">[3]References!$A$47:$A$55</definedName>
    <definedName name="Tstat_Manufacturers" localSheetId="14">[9]References!$A$47:$A$55</definedName>
    <definedName name="Tstat_Manufacturers" localSheetId="13">[9]References!$A$47:$A$55</definedName>
    <definedName name="Tstat_Manufacturers">References!$A$56:$A$64</definedName>
    <definedName name="Tune_Up_Type" localSheetId="53">[3]References!$J$203:$J$205</definedName>
    <definedName name="Tune_Up_Type">[9]References!$J$203:$J$205</definedName>
    <definedName name="Unit_Data">#REF!</definedName>
    <definedName name="Unit_Data2">#REF!</definedName>
    <definedName name="Unit_Number" localSheetId="53">[3]References!$A$85:$A$95</definedName>
    <definedName name="Unit_Number" localSheetId="29">References!$A$96:$A$105</definedName>
    <definedName name="Unit_Number" localSheetId="30">References!$A$96:$A$105</definedName>
    <definedName name="Unit_Number" localSheetId="14">[9]References!$A$85:$A$95</definedName>
    <definedName name="Unit_Number" localSheetId="13">[9]References!$A$85:$A$95</definedName>
    <definedName name="Unit_Number">References!$A$95:$A$105</definedName>
    <definedName name="Unit1_QI_CA" localSheetId="53">[3]Qualifying_Index!$BP$27</definedName>
    <definedName name="Unit1_QI_CA" localSheetId="0">[11]References!$L$36</definedName>
    <definedName name="Unit1_QI_CA" localSheetId="26">References!$CB$41</definedName>
    <definedName name="Unit1_QI_CA" localSheetId="51">[2]References!$N$67</definedName>
    <definedName name="Unit1_QI_CA" localSheetId="14">[9]Qualifying_Index!$BP$27</definedName>
    <definedName name="Unit1_QI_CA" localSheetId="13">[9]Qualifying_Index!$BP$27</definedName>
    <definedName name="Unit1_QI_CA" localSheetId="27">References!$CB$41</definedName>
    <definedName name="Unit1_QI_CA" localSheetId="25">References!$CB$41</definedName>
    <definedName name="Unit1_QI_CA">Qualifying_Index!$BP$27</definedName>
    <definedName name="Unit1_QI_kWh" localSheetId="53">[3]Qualifying_Index!$BR$27</definedName>
    <definedName name="Unit1_QI_kWh" localSheetId="0">[11]References!$N$26</definedName>
    <definedName name="Unit1_QI_kWh" localSheetId="26">References!$CD$41</definedName>
    <definedName name="Unit1_QI_kWh" localSheetId="51">[2]References!$P$67</definedName>
    <definedName name="Unit1_QI_kWh" localSheetId="14">[9]Qualifying_Index!$BR$27</definedName>
    <definedName name="Unit1_QI_kWh" localSheetId="13">[9]Qualifying_Index!$BR$27</definedName>
    <definedName name="Unit1_QI_kWh" localSheetId="27">References!$CD$41</definedName>
    <definedName name="Unit1_QI_kWh" localSheetId="25">References!$CD$41</definedName>
    <definedName name="Unit1_QI_kWh">Qualifying_Index!$BR$27</definedName>
    <definedName name="Unit1_QI_RS" localSheetId="0">[11]References!$M$36</definedName>
    <definedName name="Unit1_QI_RS" localSheetId="26">References!$CC$41</definedName>
    <definedName name="Unit1_QI_RS" localSheetId="51">[2]References!$O$67</definedName>
    <definedName name="Unit1_QI_RS" localSheetId="14">[9]Qualifying_Index!$BQ$27</definedName>
    <definedName name="Unit1_QI_RS" localSheetId="27">References!$CC$41</definedName>
    <definedName name="Unit1_QI_RS" localSheetId="25">References!$CC$41</definedName>
    <definedName name="Unit1_QI_RS">Qualifying_Index!$BQ$27</definedName>
    <definedName name="Unit10_QI_CA">Qualifying_Index!$BP$36</definedName>
    <definedName name="Unit10_QI_kWh">Qualifying_Index!$BR$36</definedName>
    <definedName name="Unit10_QI_RS">Qualifying_Index!$BQ$36</definedName>
    <definedName name="Unit2_QI_CA" localSheetId="0">[11]References!$L$37</definedName>
    <definedName name="Unit2_QI_CA" localSheetId="26">References!$CB$42</definedName>
    <definedName name="Unit2_QI_CA" localSheetId="51">[2]References!$N$68</definedName>
    <definedName name="Unit2_QI_CA" localSheetId="14">[9]Qualifying_Index!$BP$28</definedName>
    <definedName name="Unit2_QI_CA" localSheetId="27">References!$CB$42</definedName>
    <definedName name="Unit2_QI_CA" localSheetId="25">References!$CB$42</definedName>
    <definedName name="Unit2_QI_CA">Qualifying_Index!$BP$28</definedName>
    <definedName name="Unit2_QI_kWh" localSheetId="0">[11]References!$N$27</definedName>
    <definedName name="Unit2_QI_kWh" localSheetId="26">References!$CD$42</definedName>
    <definedName name="Unit2_QI_kWh" localSheetId="51">[2]References!$P$68</definedName>
    <definedName name="Unit2_QI_kWh" localSheetId="14">[9]Qualifying_Index!$BR$28</definedName>
    <definedName name="Unit2_QI_kWh" localSheetId="27">References!$CD$42</definedName>
    <definedName name="Unit2_QI_kWh" localSheetId="25">References!$CD$42</definedName>
    <definedName name="Unit2_QI_kWh">Qualifying_Index!$BR$28</definedName>
    <definedName name="Unit2_QI_RS" localSheetId="0">[11]References!$M$37</definedName>
    <definedName name="Unit2_QI_RS" localSheetId="26">References!$CC$42</definedName>
    <definedName name="Unit2_QI_RS" localSheetId="51">[2]References!$O$68</definedName>
    <definedName name="Unit2_QI_RS" localSheetId="14">[9]Qualifying_Index!$BQ$28</definedName>
    <definedName name="Unit2_QI_RS" localSheetId="27">References!$CC$42</definedName>
    <definedName name="Unit2_QI_RS" localSheetId="25">References!$CC$42</definedName>
    <definedName name="Unit2_QI_RS">Qualifying_Index!$BQ$28</definedName>
    <definedName name="Unit3_QI_CA" localSheetId="0">[11]References!$L$38</definedName>
    <definedName name="Unit3_QI_CA" localSheetId="26">References!$CB$43</definedName>
    <definedName name="Unit3_QI_CA" localSheetId="51">[2]References!$N$69</definedName>
    <definedName name="Unit3_QI_CA" localSheetId="14">[9]Qualifying_Index!$BP$29</definedName>
    <definedName name="Unit3_QI_CA" localSheetId="27">References!$CB$43</definedName>
    <definedName name="Unit3_QI_CA" localSheetId="25">References!$CB$43</definedName>
    <definedName name="Unit3_QI_CA">Qualifying_Index!$BP$29</definedName>
    <definedName name="Unit3_QI_kWh" localSheetId="0">[11]References!$N$28</definedName>
    <definedName name="Unit3_QI_kWh" localSheetId="26">References!$CD$43</definedName>
    <definedName name="Unit3_QI_kWh" localSheetId="51">[2]References!$P$69</definedName>
    <definedName name="Unit3_QI_kWh" localSheetId="14">[9]Qualifying_Index!$BR$29</definedName>
    <definedName name="Unit3_QI_kWh" localSheetId="27">References!$CD$43</definedName>
    <definedName name="Unit3_QI_kWh" localSheetId="25">References!$CD$43</definedName>
    <definedName name="Unit3_QI_kWh">Qualifying_Index!$BR$29</definedName>
    <definedName name="Unit3_QI_RS" localSheetId="0">[11]References!$M$38</definedName>
    <definedName name="Unit3_QI_RS" localSheetId="26">References!$CC$43</definedName>
    <definedName name="Unit3_QI_RS" localSheetId="51">[2]References!$O$69</definedName>
    <definedName name="Unit3_QI_RS" localSheetId="14">[9]Qualifying_Index!$BQ$29</definedName>
    <definedName name="Unit3_QI_RS" localSheetId="27">References!$CC$43</definedName>
    <definedName name="Unit3_QI_RS" localSheetId="25">References!$CC$43</definedName>
    <definedName name="Unit3_QI_RS">Qualifying_Index!$BQ$29</definedName>
    <definedName name="Unit4_QI_CA" localSheetId="0">[11]References!$L$39</definedName>
    <definedName name="Unit4_QI_CA" localSheetId="26">References!$CB$44</definedName>
    <definedName name="Unit4_QI_CA" localSheetId="51">[2]References!$N$70</definedName>
    <definedName name="Unit4_QI_CA" localSheetId="14">[9]Qualifying_Index!$BP$30</definedName>
    <definedName name="Unit4_QI_CA" localSheetId="27">References!$CB$44</definedName>
    <definedName name="Unit4_QI_CA" localSheetId="25">References!$CB$44</definedName>
    <definedName name="Unit4_QI_CA">Qualifying_Index!$BP$30</definedName>
    <definedName name="Unit4_QI_kWh" localSheetId="0">[11]References!$N$29</definedName>
    <definedName name="Unit4_QI_kWh" localSheetId="26">References!$CD$44</definedName>
    <definedName name="Unit4_QI_kWh" localSheetId="51">[2]References!$P$70</definedName>
    <definedName name="Unit4_QI_kWh" localSheetId="14">[9]Qualifying_Index!$BR$30</definedName>
    <definedName name="Unit4_QI_kWh" localSheetId="27">References!$CD$44</definedName>
    <definedName name="Unit4_QI_kWh" localSheetId="25">References!$CD$44</definedName>
    <definedName name="Unit4_QI_kWh">Qualifying_Index!$BR$30</definedName>
    <definedName name="Unit4_QI_RS" localSheetId="0">[11]References!$M$39</definedName>
    <definedName name="Unit4_QI_RS" localSheetId="26">References!$CC$44</definedName>
    <definedName name="Unit4_QI_RS" localSheetId="51">[2]References!$O$70</definedName>
    <definedName name="Unit4_QI_RS" localSheetId="14">[9]Qualifying_Index!$BQ$30</definedName>
    <definedName name="Unit4_QI_RS" localSheetId="27">References!$CC$44</definedName>
    <definedName name="Unit4_QI_RS" localSheetId="25">References!$CC$44</definedName>
    <definedName name="Unit4_QI_RS">Qualifying_Index!$BQ$30</definedName>
    <definedName name="Unit5_QI_CA" localSheetId="0">[11]References!$L$40</definedName>
    <definedName name="Unit5_QI_CA" localSheetId="26">References!$CB$45</definedName>
    <definedName name="Unit5_QI_CA" localSheetId="51">[2]References!$N$71</definedName>
    <definedName name="Unit5_QI_CA" localSheetId="14">[9]Qualifying_Index!$BP$31</definedName>
    <definedName name="Unit5_QI_CA" localSheetId="27">References!$CB$45</definedName>
    <definedName name="Unit5_QI_CA" localSheetId="25">References!$CB$45</definedName>
    <definedName name="Unit5_QI_CA">Qualifying_Index!$BP$31</definedName>
    <definedName name="Unit5_QI_kWh" localSheetId="0">[11]References!$N$30</definedName>
    <definedName name="Unit5_QI_kWh" localSheetId="26">References!$CD$45</definedName>
    <definedName name="Unit5_QI_kWh" localSheetId="51">[2]References!$P$71</definedName>
    <definedName name="Unit5_QI_kWh" localSheetId="14">[9]Qualifying_Index!$BR$31</definedName>
    <definedName name="Unit5_QI_kWh" localSheetId="27">References!$CD$45</definedName>
    <definedName name="Unit5_QI_kWh" localSheetId="25">References!$CD$45</definedName>
    <definedName name="Unit5_QI_kWh">Qualifying_Index!$BR$31</definedName>
    <definedName name="Unit5_QI_RS" localSheetId="0">[11]References!$M$40</definedName>
    <definedName name="Unit5_QI_RS" localSheetId="26">References!$CC$45</definedName>
    <definedName name="Unit5_QI_RS" localSheetId="51">[2]References!$O$71</definedName>
    <definedName name="Unit5_QI_RS" localSheetId="14">[9]Qualifying_Index!$BQ$31</definedName>
    <definedName name="Unit5_QI_RS" localSheetId="27">References!$CC$45</definedName>
    <definedName name="Unit5_QI_RS" localSheetId="25">References!$CC$45</definedName>
    <definedName name="Unit5_QI_RS">Qualifying_Index!$BQ$31</definedName>
    <definedName name="Unit6_QI_CA">Qualifying_Index!$BP$32</definedName>
    <definedName name="Unit6_QI_kWh">Qualifying_Index!$BR$32</definedName>
    <definedName name="Unit6_QI_RS">Qualifying_Index!$BQ$32</definedName>
    <definedName name="Unit7_QI_CA">Qualifying_Index!$BP$33</definedName>
    <definedName name="Unit7_QI_kWh">Qualifying_Index!$BR$33</definedName>
    <definedName name="Unit7_QI_RS">Qualifying_Index!$BQ$33</definedName>
    <definedName name="Unit8_QI_CA">Qualifying_Index!$BP$34</definedName>
    <definedName name="Unit8_QI_kWh">Qualifying_Index!$BR$34</definedName>
    <definedName name="Unit8_QI_RS">Qualifying_Index!$BQ$34</definedName>
    <definedName name="Unit9_QI_CA">Qualifying_Index!$BP$35</definedName>
    <definedName name="Unit9_QI_kWh">Qualifying_Index!$BR$35</definedName>
    <definedName name="Unit9_QI_RS">Qualifying_Index!$BQ$35</definedName>
    <definedName name="Use" localSheetId="53">[3]References!$CI$11:$CI$12</definedName>
    <definedName name="Use" localSheetId="0">[11]References!$F$10:$F$11</definedName>
    <definedName name="Use" localSheetId="51">[2]References!$I$10:$I$11</definedName>
    <definedName name="Use" localSheetId="50">[2]References!$I$10:$I$11</definedName>
    <definedName name="Use" localSheetId="27">References!$BW$11:$BW$12</definedName>
    <definedName name="Use">References!$BW$11:$BW$12</definedName>
    <definedName name="Ventilation_IEERLookup">[7]References!$D$190:$E$201</definedName>
    <definedName name="Venting" localSheetId="53">[3]References!$AZ$21:$AZ$24</definedName>
    <definedName name="Venting" localSheetId="14">[9]References!$AZ$21:$AZ$24</definedName>
    <definedName name="Venting" localSheetId="13">[9]References!$AZ$21:$AZ$24</definedName>
    <definedName name="Venting">References!$AZ$21:$AZ$24</definedName>
    <definedName name="Version" localSheetId="17">[16]Development!$B$4</definedName>
    <definedName name="Version">Development!$A$2</definedName>
    <definedName name="VFD_HP" localSheetId="20">OFFSET([4]References!$F$12,0,[4]References!$F$4,OFFSET([4]References!$F$11,0,[4]References!$F$4,1,1),1)</definedName>
    <definedName name="VFD_HP" localSheetId="22">OFFSET([4]References!$F$12,0,[4]References!$F$4,OFFSET([4]References!$F$11,0,[4]References!$F$4,1,1),1)</definedName>
    <definedName name="VFD_HP" localSheetId="24">OFFSET([4]References!$F$12,0,[4]References!$F$4,OFFSET([4]References!$F$11,0,[4]References!$F$4,1,1),1)</definedName>
    <definedName name="VFD_HP">OFFSET([17]References!$F$12,0,[17]References!$F$4,OFFSET([17]References!$F$11,0,[17]References!$F$4,1,1),1)</definedName>
    <definedName name="Water_Type" localSheetId="53">[3]References!$CS$62:$CT$62</definedName>
    <definedName name="Water_Type" localSheetId="51">[2]References!$S$56:$T$56</definedName>
    <definedName name="Water_Type" localSheetId="50">[2]References!$S$56:$T$56</definedName>
    <definedName name="Water_Type">References!$CG$57:$CH$57</definedName>
    <definedName name="WholeBuilding_EB" localSheetId="17">[7]References!$D$31:$D$34</definedName>
    <definedName name="WholeBuilding_EB">'Common HVAC References'!#REF!</definedName>
    <definedName name="WholeBuilding_NC">'Common HVAC References'!#REF!</definedName>
    <definedName name="WholeHouse_TF">References!$C$21</definedName>
    <definedName name="WkshtName" localSheetId="17">[7]References!$B$8</definedName>
    <definedName name="WkshtName">'Common HVAC References'!$B$8</definedName>
    <definedName name="YES_NO" localSheetId="0">[11]References!$C$2:$C$3</definedName>
    <definedName name="YES_NO" localSheetId="26">References!$BQ$3:$BQ$4</definedName>
    <definedName name="YES_NO" localSheetId="51">[2]References!$C$2:$C$3</definedName>
    <definedName name="YES_NO" localSheetId="50">[2]References!$C$2:$C$3</definedName>
    <definedName name="YES_NO" localSheetId="29">References!$AX$5:$AX$8</definedName>
    <definedName name="YES_NO" localSheetId="30">References!$AX$5:$AX$9</definedName>
    <definedName name="YES_NO" localSheetId="14">[9]References!$A$8:$A$9</definedName>
    <definedName name="YES_NO" localSheetId="27">References!$BQ$3:$BQ$4</definedName>
    <definedName name="YES_NO" localSheetId="25">References!$BQ$3:$BQ$4</definedName>
    <definedName name="YES_NO">References!$A$8:$A$9</definedName>
    <definedName name="Z_3E98CB88_96C1_4B76_A23D_42BE2C3750E1_.wvu.Cols" localSheetId="9" hidden="1">Guidelines!$M:$IV</definedName>
    <definedName name="Z_3E98CB88_96C1_4B76_A23D_42BE2C3750E1_.wvu.Cols" localSheetId="8" hidden="1">'Guidelines DNU'!$M:$IV</definedName>
    <definedName name="Z_3E98CB88_96C1_4B76_A23D_42BE2C3750E1_.wvu.Cols" localSheetId="3" hidden="1">'HC - Ts and Cs'!$M:$IV</definedName>
    <definedName name="Z_3E98CB88_96C1_4B76_A23D_42BE2C3750E1_.wvu.Cols" localSheetId="5" hidden="1">'Ts and Cs'!$M:$IV</definedName>
    <definedName name="Z_3E98CB88_96C1_4B76_A23D_42BE2C3750E1_.wvu.PrintArea" localSheetId="9" hidden="1">Guidelines!$A$1:$L$77</definedName>
    <definedName name="Z_3E98CB88_96C1_4B76_A23D_42BE2C3750E1_.wvu.PrintArea" localSheetId="8" hidden="1">'Guidelines DNU'!$A$1:$L$80</definedName>
    <definedName name="Z_3E98CB88_96C1_4B76_A23D_42BE2C3750E1_.wvu.PrintArea" localSheetId="3" hidden="1">'HC - Ts and Cs'!$A$1:$L$79</definedName>
    <definedName name="Z_3E98CB88_96C1_4B76_A23D_42BE2C3750E1_.wvu.PrintArea" localSheetId="5" hidden="1">'Ts and Cs'!$A$1:$L$76</definedName>
    <definedName name="Z_3E98CB88_96C1_4B76_A23D_42BE2C3750E1_.wvu.Rows" localSheetId="9" hidden="1">Guidelines!$80:$65566,Guidelines!#REF!</definedName>
    <definedName name="Z_3E98CB88_96C1_4B76_A23D_42BE2C3750E1_.wvu.Rows" localSheetId="8" hidden="1">'Guidelines DNU'!$83:$65569,'Guidelines DNU'!#REF!</definedName>
    <definedName name="Z_3E98CB88_96C1_4B76_A23D_42BE2C3750E1_.wvu.Rows" localSheetId="3" hidden="1">'HC - Ts and Cs'!$108:$65535,'HC - Ts and Cs'!$80:$107</definedName>
    <definedName name="Z_3E98CB88_96C1_4B76_A23D_42BE2C3750E1_.wvu.Rows" localSheetId="5" hidden="1">'Ts and Cs'!$105:$65532,'Ts and Cs'!$77:$104</definedName>
    <definedName name="Z_413575D0_A88C_4EFD_A604_365F28B09173_.wvu.Cols" localSheetId="4" hidden="1">AssignmentForm!$M:$IV</definedName>
    <definedName name="Z_413575D0_A88C_4EFD_A604_365F28B09173_.wvu.Cols" localSheetId="7" hidden="1">'Required Documents'!$H:$IV</definedName>
    <definedName name="Z_413575D0_A88C_4EFD_A604_365F28B09173_.wvu.Cols" localSheetId="6" hidden="1">'Required Documents (2)'!$H:$IV</definedName>
    <definedName name="Z_413575D0_A88C_4EFD_A604_365F28B09173_.wvu.PrintArea" localSheetId="4" hidden="1">AssignmentForm!$A$1:$L$34</definedName>
    <definedName name="Z_413575D0_A88C_4EFD_A604_365F28B09173_.wvu.PrintArea" localSheetId="7" hidden="1">[18]Sheet2!#REF!</definedName>
    <definedName name="Z_413575D0_A88C_4EFD_A604_365F28B09173_.wvu.PrintArea" localSheetId="6" hidden="1">[18]Sheet2!#REF!</definedName>
    <definedName name="Z_413575D0_A88C_4EFD_A604_365F28B09173_.wvu.Rows" localSheetId="4" hidden="1">AssignmentForm!$41:$65536,AssignmentForm!$35:$40</definedName>
    <definedName name="Z_413575D0_A88C_4EFD_A604_365F28B09173_.wvu.Rows" localSheetId="7" hidden="1">'Required Documents'!$32:$65521</definedName>
    <definedName name="Z_413575D0_A88C_4EFD_A604_365F28B09173_.wvu.Rows" localSheetId="6" hidden="1">'Required Documents (2)'!$35:$65538</definedName>
    <definedName name="Z_96593B1C_9974_4E72_92E4_142C93F3786E_.wvu.Cols" localSheetId="30" hidden="1">'HPwES H&amp;S'!$Q:$IV</definedName>
    <definedName name="Z_96593B1C_9974_4E72_92E4_142C93F3786E_.wvu.PrintArea" localSheetId="30" hidden="1">'HPwES H&amp;S'!$B$1:$N$78</definedName>
    <definedName name="Z_96593B1C_9974_4E72_92E4_142C93F3786E_.wvu.PrintTitles" localSheetId="30" hidden="1">'HPwES H&amp;S'!$1:$3</definedName>
    <definedName name="Z_96593B1C_9974_4E72_92E4_142C93F3786E_.wvu.Rows" localSheetId="30" hidden="1">'HPwES H&amp;S'!$101:$65536,'HPwES H&amp;S'!$79:$80,'HPwES H&amp;S'!$82:$99</definedName>
    <definedName name="Z_BE55F258_44BC_4FB6_88BE_39351DF10384_.wvu.Cols" localSheetId="16" hidden="1">'Worksheet Common HVAC'!#REF!</definedName>
    <definedName name="Z_BE55F258_44BC_4FB6_88BE_39351DF10384_.wvu.Rows" localSheetId="16" hidden="1">'Worksheet Common HVAC'!$44:$65536</definedName>
    <definedName name="Z_DF1EA3E7_8F50_4113_9124_A0A2972E8B94_.wvu.Cols" localSheetId="30" hidden="1">'HPwES H&amp;S'!$Q:$IV</definedName>
    <definedName name="Z_DF1EA3E7_8F50_4113_9124_A0A2972E8B94_.wvu.PrintArea" localSheetId="30" hidden="1">'HPwES H&amp;S'!$B$1:$N$78</definedName>
    <definedName name="Z_DF1EA3E7_8F50_4113_9124_A0A2972E8B94_.wvu.PrintTitles" localSheetId="30" hidden="1">'HPwES H&amp;S'!$1:$3</definedName>
    <definedName name="Z_DF1EA3E7_8F50_4113_9124_A0A2972E8B94_.wvu.Rows" localSheetId="30" hidden="1">'HPwES H&amp;S'!$101:$65536,'HPwES H&amp;S'!$79:$80,'HPwES H&amp;S'!$82:$99</definedName>
  </definedNames>
  <calcPr calcId="191029" iterate="1"/>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 i="55" l="1"/>
  <c r="N28" i="55"/>
  <c r="K101" i="3"/>
  <c r="M33" i="56" l="1"/>
  <c r="W135" i="55" s="1"/>
  <c r="M32" i="56"/>
  <c r="W133" i="55" s="1"/>
  <c r="M31" i="56"/>
  <c r="W131" i="55" s="1"/>
  <c r="M30" i="56"/>
  <c r="W129" i="55" s="1"/>
  <c r="F116" i="3"/>
  <c r="G116" i="3" s="1"/>
  <c r="H116" i="3" l="1"/>
  <c r="J45" i="55" s="1"/>
  <c r="J46" i="55"/>
  <c r="J48" i="55" l="1"/>
  <c r="J47" i="55"/>
  <c r="J50" i="55" s="1"/>
  <c r="Z143" i="55" l="1"/>
  <c r="D143" i="55"/>
  <c r="B122" i="55"/>
  <c r="L92" i="102" l="1"/>
  <c r="C92" i="102"/>
  <c r="A1" i="102"/>
  <c r="I101" i="3" l="1"/>
  <c r="N26" i="55" s="1"/>
  <c r="N24" i="55" l="1"/>
  <c r="N25" i="55"/>
  <c r="A18" i="3"/>
  <c r="A15" i="3"/>
  <c r="A21" i="3"/>
  <c r="F13" i="64" l="1"/>
  <c r="L13" i="64" s="1"/>
  <c r="AD67" i="55" l="1"/>
  <c r="L37" i="79" l="1"/>
  <c r="M37" i="79"/>
  <c r="H66" i="55"/>
  <c r="AD69" i="55"/>
  <c r="AD70" i="55"/>
  <c r="AD71" i="55"/>
  <c r="AD72" i="55"/>
  <c r="AD68" i="55"/>
  <c r="E139" i="94"/>
  <c r="H139" i="94"/>
  <c r="J139" i="94"/>
  <c r="N139" i="94"/>
  <c r="P139" i="94"/>
  <c r="E138" i="94"/>
  <c r="H138" i="94"/>
  <c r="J138" i="94"/>
  <c r="N138" i="94"/>
  <c r="P138" i="94"/>
  <c r="D135" i="94"/>
  <c r="D136" i="94"/>
  <c r="D137" i="94"/>
  <c r="D138" i="94"/>
  <c r="D139" i="94"/>
  <c r="H55" i="101"/>
  <c r="C55" i="101"/>
  <c r="A1" i="101"/>
  <c r="K49" i="56"/>
  <c r="P137" i="94" l="1"/>
  <c r="N137" i="94"/>
  <c r="J137" i="94"/>
  <c r="H137" i="94"/>
  <c r="E137" i="94"/>
  <c r="P136" i="94"/>
  <c r="N136" i="94"/>
  <c r="J136" i="94"/>
  <c r="H136" i="94"/>
  <c r="E136" i="94"/>
  <c r="P135" i="94"/>
  <c r="N135" i="94"/>
  <c r="J135" i="94"/>
  <c r="H135" i="94"/>
  <c r="E135" i="94"/>
  <c r="P134" i="94"/>
  <c r="J134" i="94"/>
  <c r="N134" i="94"/>
  <c r="H134" i="94"/>
  <c r="E134" i="94"/>
  <c r="D134" i="94"/>
  <c r="U133" i="94" s="1"/>
  <c r="D133" i="94" l="1"/>
  <c r="N133" i="94"/>
  <c r="E133" i="94"/>
  <c r="P133" i="94"/>
  <c r="B132" i="94"/>
  <c r="H133" i="94"/>
  <c r="R133" i="94"/>
  <c r="B133" i="94"/>
  <c r="J133" i="94"/>
  <c r="B63" i="55"/>
  <c r="M46" i="100" l="1"/>
  <c r="M47" i="100"/>
  <c r="M48" i="100"/>
  <c r="M49" i="100"/>
  <c r="M50" i="100"/>
  <c r="M51" i="100"/>
  <c r="M52" i="100"/>
  <c r="M53" i="100"/>
  <c r="M54" i="100"/>
  <c r="M45" i="100"/>
  <c r="C14" i="96" l="1"/>
  <c r="C12" i="96"/>
  <c r="C11" i="96"/>
  <c r="C10" i="96"/>
  <c r="C9" i="96"/>
  <c r="C8" i="96"/>
  <c r="C6" i="96"/>
  <c r="I9" i="99" l="1"/>
  <c r="I8" i="99"/>
  <c r="C9" i="99"/>
  <c r="C8" i="99"/>
  <c r="I9" i="100"/>
  <c r="C9" i="100"/>
  <c r="I8" i="100"/>
  <c r="C8" i="100"/>
  <c r="G20" i="97"/>
  <c r="G21" i="97"/>
  <c r="G22" i="97"/>
  <c r="G23" i="97"/>
  <c r="G24" i="97"/>
  <c r="G25" i="97"/>
  <c r="G26" i="97"/>
  <c r="G27" i="97"/>
  <c r="G28" i="97"/>
  <c r="G19" i="97"/>
  <c r="J20" i="97"/>
  <c r="J21" i="97"/>
  <c r="J22" i="97"/>
  <c r="J23" i="97"/>
  <c r="J24" i="97"/>
  <c r="J25" i="97"/>
  <c r="J26" i="97"/>
  <c r="J27" i="97"/>
  <c r="J28" i="97"/>
  <c r="J19" i="97"/>
  <c r="C14" i="97"/>
  <c r="C12" i="97"/>
  <c r="C11" i="97"/>
  <c r="C10" i="97"/>
  <c r="C9" i="97"/>
  <c r="C8" i="97"/>
  <c r="C6" i="97"/>
  <c r="C11" i="95"/>
  <c r="C10" i="95"/>
  <c r="C9" i="95"/>
  <c r="C8" i="95"/>
  <c r="C7" i="95"/>
  <c r="C6" i="95"/>
  <c r="C4" i="95"/>
  <c r="C10" i="94"/>
  <c r="C9" i="94"/>
  <c r="C8" i="94"/>
  <c r="C7" i="94"/>
  <c r="C6" i="94"/>
  <c r="C5" i="94"/>
  <c r="C4" i="94"/>
  <c r="C14" i="98"/>
  <c r="C12" i="98"/>
  <c r="C11" i="98"/>
  <c r="C10" i="98"/>
  <c r="C9" i="98"/>
  <c r="C8" i="98"/>
  <c r="C6" i="98"/>
  <c r="I30" i="92"/>
  <c r="J31" i="91"/>
  <c r="J29" i="91"/>
  <c r="C29" i="91"/>
  <c r="C31" i="91"/>
  <c r="B2" i="94"/>
  <c r="H187" i="95"/>
  <c r="E187" i="95"/>
  <c r="D187" i="95"/>
  <c r="S224" i="57"/>
  <c r="H137" i="95" s="1"/>
  <c r="S61" i="57"/>
  <c r="C58" i="95" s="1"/>
  <c r="C187" i="95"/>
  <c r="J59" i="100"/>
  <c r="J60" i="100"/>
  <c r="J61" i="100"/>
  <c r="J62" i="100"/>
  <c r="J63" i="100"/>
  <c r="J64" i="100"/>
  <c r="J65" i="100"/>
  <c r="J66" i="100"/>
  <c r="J67" i="100"/>
  <c r="I59" i="100"/>
  <c r="I60" i="100"/>
  <c r="I61" i="100"/>
  <c r="I62" i="100"/>
  <c r="I63" i="100"/>
  <c r="I64" i="100"/>
  <c r="I65" i="100"/>
  <c r="I66" i="100"/>
  <c r="I67" i="100"/>
  <c r="G59" i="100"/>
  <c r="G60" i="100"/>
  <c r="G61" i="100"/>
  <c r="G62" i="100"/>
  <c r="G63" i="100"/>
  <c r="G64" i="100"/>
  <c r="G65" i="100"/>
  <c r="G66" i="100"/>
  <c r="G67" i="100"/>
  <c r="E59" i="100"/>
  <c r="E60" i="100"/>
  <c r="E61" i="100"/>
  <c r="E62" i="100"/>
  <c r="E63" i="100"/>
  <c r="E64" i="100"/>
  <c r="E65" i="100"/>
  <c r="E66" i="100"/>
  <c r="E67" i="100"/>
  <c r="C59" i="100"/>
  <c r="C60" i="100"/>
  <c r="C61" i="100"/>
  <c r="C62" i="100"/>
  <c r="C63" i="100"/>
  <c r="C64" i="100"/>
  <c r="C65" i="100"/>
  <c r="C66" i="100"/>
  <c r="C67" i="100"/>
  <c r="J58" i="100"/>
  <c r="C58" i="100"/>
  <c r="I58" i="100"/>
  <c r="G58" i="100"/>
  <c r="E58" i="100"/>
  <c r="G46" i="100"/>
  <c r="G47" i="100"/>
  <c r="G48" i="100"/>
  <c r="G49" i="100"/>
  <c r="G50" i="100"/>
  <c r="G51" i="100"/>
  <c r="G52" i="100"/>
  <c r="G53" i="100"/>
  <c r="G54" i="100"/>
  <c r="E46" i="100"/>
  <c r="E47" i="100"/>
  <c r="E48" i="100"/>
  <c r="E49" i="100"/>
  <c r="E50" i="100"/>
  <c r="E51" i="100"/>
  <c r="E52" i="100"/>
  <c r="E53" i="100"/>
  <c r="E54" i="100"/>
  <c r="C46" i="100"/>
  <c r="C47" i="100"/>
  <c r="C48" i="100"/>
  <c r="C49" i="100"/>
  <c r="C50" i="100"/>
  <c r="C51" i="100"/>
  <c r="C52" i="100"/>
  <c r="C53" i="100"/>
  <c r="C54" i="100"/>
  <c r="G45" i="100"/>
  <c r="E45" i="100"/>
  <c r="C45" i="100"/>
  <c r="J28" i="100"/>
  <c r="J29" i="100"/>
  <c r="J30" i="100"/>
  <c r="J31" i="100"/>
  <c r="J32" i="100"/>
  <c r="J33" i="100"/>
  <c r="J34" i="100"/>
  <c r="J35" i="100"/>
  <c r="J36" i="100"/>
  <c r="I28" i="100"/>
  <c r="I29" i="100"/>
  <c r="I30" i="100"/>
  <c r="I31" i="100"/>
  <c r="I32" i="100"/>
  <c r="I33" i="100"/>
  <c r="I34" i="100"/>
  <c r="I35" i="100"/>
  <c r="I36" i="100"/>
  <c r="G28" i="100"/>
  <c r="G29" i="100"/>
  <c r="G30" i="100"/>
  <c r="G31" i="100"/>
  <c r="G32" i="100"/>
  <c r="G33" i="100"/>
  <c r="G34" i="100"/>
  <c r="G35" i="100"/>
  <c r="G36" i="100"/>
  <c r="E28" i="100"/>
  <c r="E29" i="100"/>
  <c r="E30" i="100"/>
  <c r="E31" i="100"/>
  <c r="E32" i="100"/>
  <c r="E33" i="100"/>
  <c r="E34" i="100"/>
  <c r="E35" i="100"/>
  <c r="E36" i="100"/>
  <c r="C28" i="100"/>
  <c r="C29" i="100"/>
  <c r="C30" i="100"/>
  <c r="C31" i="100"/>
  <c r="C32" i="100"/>
  <c r="C33" i="100"/>
  <c r="C34" i="100"/>
  <c r="C35" i="100"/>
  <c r="C36" i="100"/>
  <c r="J27" i="100"/>
  <c r="I27" i="100"/>
  <c r="G27" i="100"/>
  <c r="E27" i="100"/>
  <c r="C27" i="100"/>
  <c r="I22" i="100"/>
  <c r="I23" i="100"/>
  <c r="C23" i="100"/>
  <c r="C23" i="99"/>
  <c r="C22" i="100"/>
  <c r="L76" i="100"/>
  <c r="C76" i="100"/>
  <c r="I4" i="100"/>
  <c r="I4" i="99"/>
  <c r="J58" i="99"/>
  <c r="J59" i="99"/>
  <c r="J60" i="99"/>
  <c r="J61" i="99"/>
  <c r="J62" i="99"/>
  <c r="J63" i="99"/>
  <c r="J64" i="99"/>
  <c r="J65" i="99"/>
  <c r="J66" i="99"/>
  <c r="I58" i="99"/>
  <c r="I59" i="99"/>
  <c r="I60" i="99"/>
  <c r="I61" i="99"/>
  <c r="I62" i="99"/>
  <c r="I63" i="99"/>
  <c r="I64" i="99"/>
  <c r="I65" i="99"/>
  <c r="I66" i="99"/>
  <c r="G58" i="99"/>
  <c r="G59" i="99"/>
  <c r="G60" i="99"/>
  <c r="G61" i="99"/>
  <c r="G62" i="99"/>
  <c r="G63" i="99"/>
  <c r="G64" i="99"/>
  <c r="G65" i="99"/>
  <c r="G66" i="99"/>
  <c r="E58" i="99"/>
  <c r="E59" i="99"/>
  <c r="E60" i="99"/>
  <c r="E61" i="99"/>
  <c r="E62" i="99"/>
  <c r="E63" i="99"/>
  <c r="E64" i="99"/>
  <c r="E65" i="99"/>
  <c r="E66" i="99"/>
  <c r="C58" i="99"/>
  <c r="C59" i="99"/>
  <c r="C60" i="99"/>
  <c r="C61" i="99"/>
  <c r="C62" i="99"/>
  <c r="C63" i="99"/>
  <c r="C64" i="99"/>
  <c r="C65" i="99"/>
  <c r="C66" i="99"/>
  <c r="J57" i="99"/>
  <c r="I57" i="99"/>
  <c r="G57" i="99"/>
  <c r="E57" i="99"/>
  <c r="C57" i="99"/>
  <c r="L78" i="99"/>
  <c r="C78" i="99"/>
  <c r="J28" i="99"/>
  <c r="J29" i="99"/>
  <c r="J30" i="99"/>
  <c r="J31" i="99"/>
  <c r="J32" i="99"/>
  <c r="J33" i="99"/>
  <c r="J34" i="99"/>
  <c r="J35" i="99"/>
  <c r="J36" i="99"/>
  <c r="I28" i="99"/>
  <c r="I29" i="99"/>
  <c r="I30" i="99"/>
  <c r="I31" i="99"/>
  <c r="I32" i="99"/>
  <c r="I33" i="99"/>
  <c r="I34" i="99"/>
  <c r="I35" i="99"/>
  <c r="I36" i="99"/>
  <c r="G28" i="99"/>
  <c r="G29" i="99"/>
  <c r="G30" i="99"/>
  <c r="G31" i="99"/>
  <c r="G32" i="99"/>
  <c r="G33" i="99"/>
  <c r="G34" i="99"/>
  <c r="G35" i="99"/>
  <c r="G36" i="99"/>
  <c r="E28" i="99"/>
  <c r="E29" i="99"/>
  <c r="E30" i="99"/>
  <c r="E31" i="99"/>
  <c r="E32" i="99"/>
  <c r="E33" i="99"/>
  <c r="E34" i="99"/>
  <c r="E35" i="99"/>
  <c r="E36" i="99"/>
  <c r="C28" i="99"/>
  <c r="C29" i="99"/>
  <c r="C30" i="99"/>
  <c r="C31" i="99"/>
  <c r="C32" i="99"/>
  <c r="C33" i="99"/>
  <c r="C34" i="99"/>
  <c r="C35" i="99"/>
  <c r="C36" i="99"/>
  <c r="J27" i="99"/>
  <c r="I27" i="99"/>
  <c r="G27" i="99"/>
  <c r="E27" i="99"/>
  <c r="C27" i="99"/>
  <c r="I23" i="99"/>
  <c r="I22" i="99"/>
  <c r="C22" i="99"/>
  <c r="C5" i="98"/>
  <c r="D42" i="100" l="1"/>
  <c r="E137" i="95"/>
  <c r="D137" i="95"/>
  <c r="D58" i="95"/>
  <c r="H58" i="95"/>
  <c r="E58" i="95"/>
  <c r="C13" i="98" l="1"/>
  <c r="H25" i="97"/>
  <c r="C20" i="97"/>
  <c r="D20" i="97"/>
  <c r="E20" i="97"/>
  <c r="F20" i="97"/>
  <c r="C21" i="97"/>
  <c r="D21" i="97"/>
  <c r="E21" i="97"/>
  <c r="F21" i="97"/>
  <c r="C22" i="97"/>
  <c r="D22" i="97"/>
  <c r="E22" i="97"/>
  <c r="F22" i="97"/>
  <c r="C23" i="97"/>
  <c r="D23" i="97"/>
  <c r="E23" i="97"/>
  <c r="F23" i="97"/>
  <c r="C24" i="97"/>
  <c r="D24" i="97"/>
  <c r="E24" i="97"/>
  <c r="F24" i="97"/>
  <c r="C25" i="97"/>
  <c r="D25" i="97"/>
  <c r="E25" i="97"/>
  <c r="F25" i="97"/>
  <c r="C26" i="97"/>
  <c r="D26" i="97"/>
  <c r="E26" i="97"/>
  <c r="F26" i="97"/>
  <c r="C27" i="97"/>
  <c r="D27" i="97"/>
  <c r="E27" i="97"/>
  <c r="F27" i="97"/>
  <c r="C28" i="97"/>
  <c r="D28" i="97"/>
  <c r="E28" i="97"/>
  <c r="F28" i="97"/>
  <c r="F19" i="97"/>
  <c r="E19" i="97"/>
  <c r="D19" i="97"/>
  <c r="C19" i="97"/>
  <c r="B20" i="97"/>
  <c r="B21" i="97"/>
  <c r="H21" i="97" s="1"/>
  <c r="B22" i="97"/>
  <c r="H22" i="97" s="1"/>
  <c r="B23" i="97"/>
  <c r="H23" i="97" s="1"/>
  <c r="B24" i="97"/>
  <c r="H24" i="97" s="1"/>
  <c r="B25" i="97"/>
  <c r="B26" i="97"/>
  <c r="H26" i="97" s="1"/>
  <c r="B27" i="97"/>
  <c r="H27" i="97" s="1"/>
  <c r="B28" i="97"/>
  <c r="H28" i="97" s="1"/>
  <c r="B19" i="97"/>
  <c r="C13" i="97"/>
  <c r="C13" i="96"/>
  <c r="C5" i="97"/>
  <c r="C5" i="96"/>
  <c r="G30" i="96"/>
  <c r="G31" i="96"/>
  <c r="G32" i="96"/>
  <c r="G33" i="96"/>
  <c r="G34" i="96"/>
  <c r="G29" i="96"/>
  <c r="G19" i="96"/>
  <c r="F30" i="96"/>
  <c r="F31" i="96"/>
  <c r="F32" i="96"/>
  <c r="F33" i="96"/>
  <c r="F34" i="96"/>
  <c r="F29" i="96"/>
  <c r="F19" i="96"/>
  <c r="E30" i="96"/>
  <c r="E31" i="96"/>
  <c r="E32" i="96"/>
  <c r="E33" i="96"/>
  <c r="E34" i="96"/>
  <c r="E29" i="96"/>
  <c r="E19" i="96"/>
  <c r="D30" i="96"/>
  <c r="D31" i="96"/>
  <c r="D32" i="96"/>
  <c r="D33" i="96"/>
  <c r="D34" i="96"/>
  <c r="D29" i="96"/>
  <c r="D19" i="96"/>
  <c r="C30" i="96"/>
  <c r="C31" i="96"/>
  <c r="C32" i="96"/>
  <c r="C33" i="96"/>
  <c r="C34" i="96"/>
  <c r="C29" i="96"/>
  <c r="C19" i="96"/>
  <c r="G20" i="96"/>
  <c r="G21" i="96"/>
  <c r="G22" i="96"/>
  <c r="G23" i="96"/>
  <c r="G24" i="96"/>
  <c r="F20" i="96"/>
  <c r="F21" i="96"/>
  <c r="F22" i="96"/>
  <c r="F23" i="96"/>
  <c r="F24" i="96"/>
  <c r="E20" i="96"/>
  <c r="E21" i="96"/>
  <c r="E22" i="96"/>
  <c r="E23" i="96"/>
  <c r="E24" i="96"/>
  <c r="D20" i="96"/>
  <c r="D21" i="96"/>
  <c r="D22" i="96"/>
  <c r="D23" i="96"/>
  <c r="D24" i="96"/>
  <c r="C20" i="96"/>
  <c r="C21" i="96"/>
  <c r="C22" i="96"/>
  <c r="C23" i="96"/>
  <c r="C24" i="96"/>
  <c r="D5" i="93"/>
  <c r="I55" i="93" l="1"/>
  <c r="I56" i="93"/>
  <c r="I57" i="93"/>
  <c r="I58" i="93"/>
  <c r="I59" i="93"/>
  <c r="I60" i="93"/>
  <c r="I61" i="93"/>
  <c r="I62" i="93"/>
  <c r="I63" i="93"/>
  <c r="I64" i="93"/>
  <c r="I65" i="93"/>
  <c r="I66" i="93"/>
  <c r="I67" i="93"/>
  <c r="I68" i="93"/>
  <c r="I69" i="93"/>
  <c r="I70" i="93"/>
  <c r="I71" i="93"/>
  <c r="I72" i="93"/>
  <c r="I73" i="93"/>
  <c r="I74" i="93"/>
  <c r="I75" i="93"/>
  <c r="I76" i="93"/>
  <c r="I77" i="93"/>
  <c r="I78" i="93"/>
  <c r="I54" i="93"/>
  <c r="H55" i="93"/>
  <c r="H56" i="93"/>
  <c r="H57" i="93"/>
  <c r="H58" i="93"/>
  <c r="H59" i="93"/>
  <c r="H60" i="93"/>
  <c r="H61" i="93"/>
  <c r="H62" i="93"/>
  <c r="H63" i="93"/>
  <c r="H64" i="93"/>
  <c r="H65" i="93"/>
  <c r="H66" i="93"/>
  <c r="H67" i="93"/>
  <c r="H68" i="93"/>
  <c r="H69" i="93"/>
  <c r="H70" i="93"/>
  <c r="H71" i="93"/>
  <c r="H72" i="93"/>
  <c r="H73" i="93"/>
  <c r="H74" i="93"/>
  <c r="H75" i="93"/>
  <c r="H76" i="93"/>
  <c r="H77" i="93"/>
  <c r="H78" i="93"/>
  <c r="H54" i="93"/>
  <c r="F55" i="93"/>
  <c r="F56" i="93"/>
  <c r="F57" i="93"/>
  <c r="F58" i="93"/>
  <c r="F59" i="93"/>
  <c r="F60" i="93"/>
  <c r="F61" i="93"/>
  <c r="F62" i="93"/>
  <c r="F63" i="93"/>
  <c r="F64" i="93"/>
  <c r="F65" i="93"/>
  <c r="F66" i="93"/>
  <c r="F67" i="93"/>
  <c r="F68" i="93"/>
  <c r="F69" i="93"/>
  <c r="F70" i="93"/>
  <c r="F71" i="93"/>
  <c r="F72" i="93"/>
  <c r="F73" i="93"/>
  <c r="F74" i="93"/>
  <c r="F75" i="93"/>
  <c r="F76" i="93"/>
  <c r="F77" i="93"/>
  <c r="F78" i="93"/>
  <c r="F54" i="93"/>
  <c r="E55" i="93"/>
  <c r="E56" i="93"/>
  <c r="E57" i="93"/>
  <c r="E58" i="93"/>
  <c r="E59" i="93"/>
  <c r="E60" i="93"/>
  <c r="E61" i="93"/>
  <c r="E62" i="93"/>
  <c r="E63" i="93"/>
  <c r="E64" i="93"/>
  <c r="E65" i="93"/>
  <c r="E66" i="93"/>
  <c r="E67" i="93"/>
  <c r="E68" i="93"/>
  <c r="E69" i="93"/>
  <c r="E70" i="93"/>
  <c r="E71" i="93"/>
  <c r="E72" i="93"/>
  <c r="E73" i="93"/>
  <c r="E74" i="93"/>
  <c r="E75" i="93"/>
  <c r="E76" i="93"/>
  <c r="E77" i="93"/>
  <c r="E78" i="93"/>
  <c r="E54" i="93"/>
  <c r="C55" i="93"/>
  <c r="C56" i="93"/>
  <c r="C57" i="93"/>
  <c r="C58" i="93"/>
  <c r="C59" i="93"/>
  <c r="C60" i="93"/>
  <c r="C61" i="93"/>
  <c r="C62" i="93"/>
  <c r="C63" i="93"/>
  <c r="C64" i="93"/>
  <c r="C65" i="93"/>
  <c r="C66" i="93"/>
  <c r="C67" i="93"/>
  <c r="C68" i="93"/>
  <c r="C69" i="93"/>
  <c r="C70" i="93"/>
  <c r="C71" i="93"/>
  <c r="C72" i="93"/>
  <c r="C73" i="93"/>
  <c r="C74" i="93"/>
  <c r="C75" i="93"/>
  <c r="C76" i="93"/>
  <c r="C77" i="93"/>
  <c r="C78" i="93"/>
  <c r="C54" i="93"/>
  <c r="D13" i="93"/>
  <c r="D12" i="93"/>
  <c r="D11" i="93"/>
  <c r="D10" i="93"/>
  <c r="D9" i="93"/>
  <c r="D8" i="93"/>
  <c r="D7" i="93"/>
  <c r="D6" i="93"/>
  <c r="O23" i="93" s="1"/>
  <c r="E27" i="93"/>
  <c r="E28" i="93"/>
  <c r="E29" i="93"/>
  <c r="E30" i="93"/>
  <c r="E31" i="93"/>
  <c r="E32" i="93"/>
  <c r="E33" i="93"/>
  <c r="E34" i="93"/>
  <c r="E35" i="93"/>
  <c r="E36" i="93"/>
  <c r="E37" i="93"/>
  <c r="E38" i="93"/>
  <c r="E39" i="93"/>
  <c r="E40" i="93"/>
  <c r="E41" i="93"/>
  <c r="E42" i="93"/>
  <c r="E43" i="93"/>
  <c r="E44" i="93"/>
  <c r="E45" i="93"/>
  <c r="E46" i="93"/>
  <c r="E47" i="93"/>
  <c r="E48" i="93"/>
  <c r="E49" i="93"/>
  <c r="E50" i="93"/>
  <c r="C27" i="93"/>
  <c r="C28" i="93"/>
  <c r="C29" i="93"/>
  <c r="C30" i="93"/>
  <c r="C31" i="93"/>
  <c r="C32" i="93"/>
  <c r="C33" i="93"/>
  <c r="C34" i="93"/>
  <c r="C35" i="93"/>
  <c r="C36" i="93"/>
  <c r="C37" i="93"/>
  <c r="C38" i="93"/>
  <c r="C39" i="93"/>
  <c r="C40" i="93"/>
  <c r="C41" i="93"/>
  <c r="C42" i="93"/>
  <c r="C43" i="93"/>
  <c r="C44" i="93"/>
  <c r="C45" i="93"/>
  <c r="C46" i="93"/>
  <c r="C47" i="93"/>
  <c r="C48" i="93"/>
  <c r="C49" i="93"/>
  <c r="C50" i="93"/>
  <c r="C26" i="93"/>
  <c r="E26" i="93" s="1"/>
  <c r="G95" i="92" l="1"/>
  <c r="G96" i="92"/>
  <c r="G97" i="92"/>
  <c r="G98" i="92"/>
  <c r="G99" i="92"/>
  <c r="G100" i="92"/>
  <c r="G101" i="92"/>
  <c r="G102" i="92"/>
  <c r="G103" i="92"/>
  <c r="G94" i="92"/>
  <c r="C95" i="92"/>
  <c r="C96" i="92"/>
  <c r="C97" i="92"/>
  <c r="C98" i="92"/>
  <c r="C99" i="92"/>
  <c r="C100" i="92"/>
  <c r="C101" i="92"/>
  <c r="C102" i="92"/>
  <c r="C103" i="92"/>
  <c r="C94" i="92"/>
  <c r="E94" i="92"/>
  <c r="D91" i="92" l="1"/>
  <c r="E95" i="92"/>
  <c r="E96" i="92"/>
  <c r="E97" i="92"/>
  <c r="E98" i="92"/>
  <c r="E99" i="92"/>
  <c r="E100" i="92"/>
  <c r="E101" i="92"/>
  <c r="E102" i="92"/>
  <c r="E103" i="92"/>
  <c r="C69" i="92"/>
  <c r="I69" i="92" s="1"/>
  <c r="I55" i="92"/>
  <c r="I54" i="92"/>
  <c r="G54" i="92"/>
  <c r="G55" i="92"/>
  <c r="E55" i="92"/>
  <c r="E54" i="92"/>
  <c r="C55" i="92"/>
  <c r="C54" i="92"/>
  <c r="I39" i="92"/>
  <c r="I40" i="92"/>
  <c r="I41" i="92"/>
  <c r="I42" i="92"/>
  <c r="I43" i="92"/>
  <c r="I44" i="92"/>
  <c r="I45" i="92"/>
  <c r="I46" i="92"/>
  <c r="I47" i="92"/>
  <c r="I38" i="92"/>
  <c r="G38" i="92"/>
  <c r="G39" i="92"/>
  <c r="G40" i="92"/>
  <c r="G41" i="92"/>
  <c r="G42" i="92"/>
  <c r="G43" i="92"/>
  <c r="G44" i="92"/>
  <c r="G45" i="92"/>
  <c r="G46" i="92"/>
  <c r="G47" i="92"/>
  <c r="E38" i="92"/>
  <c r="E39" i="92"/>
  <c r="E40" i="92"/>
  <c r="E41" i="92"/>
  <c r="E42" i="92"/>
  <c r="E43" i="92"/>
  <c r="E44" i="92"/>
  <c r="E45" i="92"/>
  <c r="E46" i="92"/>
  <c r="E47" i="92"/>
  <c r="C39" i="92"/>
  <c r="C40" i="92"/>
  <c r="C41" i="92"/>
  <c r="C42" i="92"/>
  <c r="C43" i="92"/>
  <c r="C44" i="92"/>
  <c r="C45" i="92"/>
  <c r="C46" i="92"/>
  <c r="C47" i="92"/>
  <c r="C38" i="92"/>
  <c r="I32" i="92"/>
  <c r="C32" i="92"/>
  <c r="C30" i="92"/>
  <c r="I23" i="92"/>
  <c r="I21" i="92"/>
  <c r="C23" i="92"/>
  <c r="C21" i="92"/>
  <c r="I7" i="92"/>
  <c r="K49" i="91"/>
  <c r="K50" i="91"/>
  <c r="K51" i="91"/>
  <c r="K52" i="91"/>
  <c r="K53" i="91"/>
  <c r="K54" i="91"/>
  <c r="K55" i="91"/>
  <c r="K56" i="91"/>
  <c r="K57" i="91"/>
  <c r="K48" i="91"/>
  <c r="I49" i="91"/>
  <c r="I50" i="91"/>
  <c r="I51" i="91"/>
  <c r="I52" i="91"/>
  <c r="I53" i="91"/>
  <c r="I54" i="91"/>
  <c r="I55" i="91"/>
  <c r="I56" i="91"/>
  <c r="I57" i="91"/>
  <c r="I48" i="91"/>
  <c r="H49" i="91"/>
  <c r="H50" i="91"/>
  <c r="H51" i="91"/>
  <c r="H52" i="91"/>
  <c r="H53" i="91"/>
  <c r="H54" i="91"/>
  <c r="H55" i="91"/>
  <c r="H56" i="91"/>
  <c r="H57" i="91"/>
  <c r="H48" i="91"/>
  <c r="C49" i="91"/>
  <c r="C50" i="91"/>
  <c r="C51" i="91"/>
  <c r="C52" i="91"/>
  <c r="C53" i="91"/>
  <c r="C54" i="91"/>
  <c r="C55" i="91"/>
  <c r="C56" i="91"/>
  <c r="C57" i="91"/>
  <c r="C48" i="91"/>
  <c r="C36" i="91"/>
  <c r="F37" i="91"/>
  <c r="F38" i="91"/>
  <c r="F39" i="91"/>
  <c r="F40" i="91"/>
  <c r="F41" i="91"/>
  <c r="F42" i="91"/>
  <c r="F43" i="91"/>
  <c r="F44" i="91"/>
  <c r="F45" i="91"/>
  <c r="F36" i="91"/>
  <c r="E36" i="91"/>
  <c r="E37" i="91"/>
  <c r="E38" i="91"/>
  <c r="E39" i="91"/>
  <c r="E40" i="91"/>
  <c r="E41" i="91"/>
  <c r="E42" i="91"/>
  <c r="E43" i="91"/>
  <c r="E44" i="91"/>
  <c r="E45" i="91"/>
  <c r="C37" i="91"/>
  <c r="C38" i="91"/>
  <c r="C39" i="91"/>
  <c r="C40" i="91"/>
  <c r="C41" i="91"/>
  <c r="C42" i="91"/>
  <c r="C43" i="91"/>
  <c r="C44" i="91"/>
  <c r="C45" i="91"/>
  <c r="J22" i="91"/>
  <c r="J20" i="91"/>
  <c r="C22" i="91"/>
  <c r="C20" i="91"/>
  <c r="J6" i="91"/>
  <c r="E69" i="92" l="1"/>
  <c r="G69" i="92"/>
  <c r="B3" i="98"/>
  <c r="B3" i="97"/>
  <c r="B3" i="96"/>
  <c r="B2" i="95"/>
  <c r="C3" i="93"/>
  <c r="B4" i="91"/>
  <c r="B4" i="92"/>
  <c r="B28" i="100"/>
  <c r="B29" i="100"/>
  <c r="B30" i="100"/>
  <c r="B31" i="100"/>
  <c r="B32" i="100"/>
  <c r="B33" i="100"/>
  <c r="B34" i="100"/>
  <c r="B35" i="100"/>
  <c r="B36" i="100" s="1"/>
  <c r="B59" i="100"/>
  <c r="B60" i="100" s="1"/>
  <c r="B61" i="100" s="1"/>
  <c r="B62" i="100" s="1"/>
  <c r="B63" i="100" s="1"/>
  <c r="B64" i="100" s="1"/>
  <c r="B65" i="100" s="1"/>
  <c r="B66" i="100" s="1"/>
  <c r="B67" i="100" s="1"/>
  <c r="B58" i="99"/>
  <c r="B59" i="99" s="1"/>
  <c r="B60" i="99" s="1"/>
  <c r="B61" i="99" s="1"/>
  <c r="B62" i="99" s="1"/>
  <c r="B63" i="99" s="1"/>
  <c r="B64" i="99" s="1"/>
  <c r="B65" i="99" s="1"/>
  <c r="B66" i="99" s="1"/>
  <c r="G54" i="99"/>
  <c r="E54" i="99"/>
  <c r="C54" i="99"/>
  <c r="G53" i="99"/>
  <c r="E53" i="99"/>
  <c r="C53" i="99"/>
  <c r="G52" i="99"/>
  <c r="E52" i="99"/>
  <c r="C52" i="99"/>
  <c r="G51" i="99"/>
  <c r="E51" i="99"/>
  <c r="C51" i="99"/>
  <c r="G50" i="99"/>
  <c r="E50" i="99"/>
  <c r="C50" i="99"/>
  <c r="G49" i="99"/>
  <c r="E49" i="99"/>
  <c r="C49" i="99"/>
  <c r="G48" i="99"/>
  <c r="E48" i="99"/>
  <c r="C48" i="99"/>
  <c r="D42" i="99" s="1"/>
  <c r="G47" i="99"/>
  <c r="E47" i="99"/>
  <c r="C47" i="99"/>
  <c r="G46" i="99"/>
  <c r="E46" i="99"/>
  <c r="C46" i="99"/>
  <c r="G45" i="99"/>
  <c r="E45" i="99"/>
  <c r="C45" i="99"/>
  <c r="B29" i="99"/>
  <c r="B30" i="99" s="1"/>
  <c r="B31" i="99" s="1"/>
  <c r="B32" i="99" s="1"/>
  <c r="B33" i="99" s="1"/>
  <c r="B34" i="99" s="1"/>
  <c r="B35" i="99" s="1"/>
  <c r="B36" i="99" s="1"/>
  <c r="B28" i="99"/>
  <c r="B194" i="95"/>
  <c r="A55" i="93"/>
  <c r="A56" i="93" s="1"/>
  <c r="A57" i="93" s="1"/>
  <c r="A58" i="93" s="1"/>
  <c r="A59" i="93" s="1"/>
  <c r="A60" i="93" s="1"/>
  <c r="A61" i="93" s="1"/>
  <c r="A62" i="93" s="1"/>
  <c r="A63" i="93" s="1"/>
  <c r="A64" i="93" s="1"/>
  <c r="A65" i="93" s="1"/>
  <c r="A66" i="93" s="1"/>
  <c r="A67" i="93" s="1"/>
  <c r="A68" i="93" s="1"/>
  <c r="A69" i="93" s="1"/>
  <c r="A70" i="93" s="1"/>
  <c r="A71" i="93" s="1"/>
  <c r="A72" i="93" s="1"/>
  <c r="A73" i="93" s="1"/>
  <c r="A74" i="93" s="1"/>
  <c r="A75" i="93" s="1"/>
  <c r="A76" i="93" s="1"/>
  <c r="A77" i="93" s="1"/>
  <c r="A78" i="93" s="1"/>
  <c r="A27" i="93"/>
  <c r="A28" i="93" s="1"/>
  <c r="A29" i="93" s="1"/>
  <c r="A30" i="93" s="1"/>
  <c r="A31" i="93" s="1"/>
  <c r="A32" i="93" s="1"/>
  <c r="A33" i="93" s="1"/>
  <c r="A34" i="93" s="1"/>
  <c r="A35" i="93" s="1"/>
  <c r="A36" i="93" s="1"/>
  <c r="A37" i="93" s="1"/>
  <c r="A38" i="93" s="1"/>
  <c r="A39" i="93" s="1"/>
  <c r="A40" i="93" s="1"/>
  <c r="A41" i="93" s="1"/>
  <c r="A42" i="93" s="1"/>
  <c r="A43" i="93" s="1"/>
  <c r="A44" i="93" s="1"/>
  <c r="A45" i="93" s="1"/>
  <c r="A46" i="93" s="1"/>
  <c r="A47" i="93" s="1"/>
  <c r="A48" i="93" s="1"/>
  <c r="A49" i="93" s="1"/>
  <c r="A50" i="93" s="1"/>
  <c r="E12" i="93"/>
  <c r="E11" i="93"/>
  <c r="B39" i="92"/>
  <c r="B40" i="92" s="1"/>
  <c r="B41" i="92" s="1"/>
  <c r="B42" i="92" s="1"/>
  <c r="B43" i="92" s="1"/>
  <c r="B44" i="92" s="1"/>
  <c r="B45" i="92" s="1"/>
  <c r="B46" i="92" s="1"/>
  <c r="B47" i="92" s="1"/>
  <c r="B60" i="92"/>
  <c r="B61" i="92" s="1"/>
  <c r="B62" i="92" s="1"/>
  <c r="B63" i="92" s="1"/>
  <c r="B64" i="92" s="1"/>
  <c r="B65" i="92" s="1"/>
  <c r="B66" i="92" s="1"/>
  <c r="B67" i="92" s="1"/>
  <c r="B68" i="92" s="1"/>
  <c r="B69" i="92" s="1"/>
  <c r="B73" i="92"/>
  <c r="E73" i="92"/>
  <c r="G73" i="92"/>
  <c r="I73" i="92"/>
  <c r="E77" i="92"/>
  <c r="C77" i="92" s="1"/>
  <c r="G77" i="92"/>
  <c r="B78" i="92"/>
  <c r="E78" i="92"/>
  <c r="C78" i="92" s="1"/>
  <c r="G78" i="92"/>
  <c r="B79" i="92"/>
  <c r="B80" i="92" s="1"/>
  <c r="B81" i="92" s="1"/>
  <c r="B82" i="92" s="1"/>
  <c r="B83" i="92" s="1"/>
  <c r="B84" i="92" s="1"/>
  <c r="B85" i="92" s="1"/>
  <c r="E79" i="92"/>
  <c r="C79" i="92" s="1"/>
  <c r="G79" i="92"/>
  <c r="C80" i="92"/>
  <c r="E81" i="92"/>
  <c r="C81" i="92" s="1"/>
  <c r="G81" i="92"/>
  <c r="E82" i="92"/>
  <c r="C82" i="92" s="1"/>
  <c r="G82" i="92"/>
  <c r="E83" i="92"/>
  <c r="C83" i="92" s="1"/>
  <c r="G83" i="92"/>
  <c r="E84" i="92"/>
  <c r="C84" i="92" s="1"/>
  <c r="G84" i="92"/>
  <c r="E85" i="92"/>
  <c r="C85" i="92" s="1"/>
  <c r="G85" i="92"/>
  <c r="J94" i="92"/>
  <c r="J95" i="92"/>
  <c r="J96" i="92"/>
  <c r="J97" i="92"/>
  <c r="J98" i="92"/>
  <c r="J99" i="92"/>
  <c r="J100" i="92"/>
  <c r="J101" i="92"/>
  <c r="J102" i="92"/>
  <c r="J103" i="92"/>
  <c r="C63" i="91"/>
  <c r="S366" i="57" l="1"/>
  <c r="S365" i="57"/>
  <c r="S364" i="57"/>
  <c r="S363" i="57"/>
  <c r="S371" i="57"/>
  <c r="S372" i="57"/>
  <c r="S373" i="57"/>
  <c r="S374" i="57"/>
  <c r="E211" i="95" l="1"/>
  <c r="H211" i="95"/>
  <c r="D211" i="95"/>
  <c r="H210" i="95"/>
  <c r="E210" i="95"/>
  <c r="C210" i="95"/>
  <c r="D210" i="95"/>
  <c r="H209" i="95"/>
  <c r="D209" i="95"/>
  <c r="C209" i="95"/>
  <c r="E209" i="95"/>
  <c r="H208" i="95"/>
  <c r="D208" i="95"/>
  <c r="C208" i="95"/>
  <c r="E208" i="95"/>
  <c r="E207" i="95"/>
  <c r="H207" i="95"/>
  <c r="D207" i="95"/>
  <c r="C206" i="95"/>
  <c r="H206" i="95"/>
  <c r="E206" i="95"/>
  <c r="D206" i="95"/>
  <c r="C205" i="95"/>
  <c r="H205" i="95"/>
  <c r="D205" i="95"/>
  <c r="E205" i="95"/>
  <c r="C204" i="95"/>
  <c r="H204" i="95"/>
  <c r="D204" i="95"/>
  <c r="E204" i="95"/>
  <c r="C207" i="95"/>
  <c r="C211" i="95"/>
  <c r="S162" i="57"/>
  <c r="S163" i="57"/>
  <c r="S164" i="57"/>
  <c r="S161" i="57"/>
  <c r="S156" i="57"/>
  <c r="S154" i="57"/>
  <c r="S155" i="57"/>
  <c r="S153" i="57"/>
  <c r="S329" i="57"/>
  <c r="S337" i="57"/>
  <c r="S345" i="57"/>
  <c r="S353" i="57"/>
  <c r="C107" i="95" l="1"/>
  <c r="H107" i="95"/>
  <c r="D107" i="95"/>
  <c r="E107" i="95"/>
  <c r="C103" i="95"/>
  <c r="H103" i="95"/>
  <c r="D103" i="95"/>
  <c r="E103" i="95"/>
  <c r="C104" i="95"/>
  <c r="E104" i="95"/>
  <c r="H104" i="95"/>
  <c r="D104" i="95"/>
  <c r="C106" i="95"/>
  <c r="D106" i="95"/>
  <c r="E106" i="95"/>
  <c r="H106" i="95"/>
  <c r="C102" i="95"/>
  <c r="E102" i="95"/>
  <c r="H102" i="95"/>
  <c r="D102" i="95"/>
  <c r="C109" i="95"/>
  <c r="H109" i="95"/>
  <c r="D109" i="95"/>
  <c r="E109" i="95"/>
  <c r="C200" i="95"/>
  <c r="E200" i="95"/>
  <c r="D200" i="95"/>
  <c r="H200" i="95"/>
  <c r="H196" i="95"/>
  <c r="E196" i="95"/>
  <c r="D196" i="95"/>
  <c r="C192" i="95"/>
  <c r="H192" i="95"/>
  <c r="E192" i="95"/>
  <c r="D192" i="95"/>
  <c r="C188" i="95"/>
  <c r="E188" i="95"/>
  <c r="D188" i="95"/>
  <c r="H188" i="95"/>
  <c r="C108" i="95"/>
  <c r="D108" i="95"/>
  <c r="E108" i="95"/>
  <c r="H108" i="95"/>
  <c r="C105" i="95"/>
  <c r="H105" i="95"/>
  <c r="E105" i="95"/>
  <c r="D105" i="95"/>
  <c r="C196" i="95"/>
  <c r="O15" i="70"/>
  <c r="O16" i="70"/>
  <c r="O17" i="70"/>
  <c r="O18" i="70"/>
  <c r="O19" i="70"/>
  <c r="O20" i="70"/>
  <c r="O21" i="70"/>
  <c r="O22" i="70"/>
  <c r="O23" i="70"/>
  <c r="O24" i="70"/>
  <c r="O25" i="70"/>
  <c r="O26" i="70"/>
  <c r="O27" i="70"/>
  <c r="O28" i="70"/>
  <c r="O29" i="70"/>
  <c r="O30" i="70"/>
  <c r="O31" i="70"/>
  <c r="BN23" i="71"/>
  <c r="BL23" i="71"/>
  <c r="BN22" i="71"/>
  <c r="BL22" i="71"/>
  <c r="BL7" i="71"/>
  <c r="BL6" i="71"/>
  <c r="D24" i="69" l="1"/>
  <c r="D25" i="69"/>
  <c r="D26" i="69"/>
  <c r="D27" i="69"/>
  <c r="D28" i="69"/>
  <c r="D29" i="69"/>
  <c r="D30" i="69"/>
  <c r="D31" i="69"/>
  <c r="D32" i="69"/>
  <c r="D33" i="69"/>
  <c r="D34" i="69"/>
  <c r="D35" i="69"/>
  <c r="D36" i="69"/>
  <c r="D37" i="69"/>
  <c r="D38" i="69"/>
  <c r="D39" i="69"/>
  <c r="D40" i="69"/>
  <c r="V24" i="69"/>
  <c r="V25" i="69"/>
  <c r="V26" i="69"/>
  <c r="V27" i="69"/>
  <c r="V28" i="69"/>
  <c r="V29" i="69"/>
  <c r="V30" i="69"/>
  <c r="V31" i="69"/>
  <c r="V32" i="69"/>
  <c r="V33" i="69"/>
  <c r="V34" i="69"/>
  <c r="V35" i="69"/>
  <c r="V36" i="69"/>
  <c r="V37" i="69"/>
  <c r="V38" i="69"/>
  <c r="V39" i="69"/>
  <c r="V40" i="69"/>
  <c r="X28" i="35" l="1"/>
  <c r="X29" i="35"/>
  <c r="X30" i="35"/>
  <c r="X31" i="35"/>
  <c r="X32" i="35"/>
  <c r="X33" i="35"/>
  <c r="X34" i="35"/>
  <c r="X35" i="35"/>
  <c r="X36" i="35"/>
  <c r="X27" i="35"/>
  <c r="W28" i="35"/>
  <c r="W29" i="35"/>
  <c r="W30" i="35"/>
  <c r="W31" i="35"/>
  <c r="W32" i="35"/>
  <c r="W33" i="35"/>
  <c r="W34" i="35"/>
  <c r="W35" i="35"/>
  <c r="W36" i="35"/>
  <c r="W27" i="35"/>
  <c r="V36" i="35"/>
  <c r="V28" i="35"/>
  <c r="V29" i="35"/>
  <c r="V30" i="35"/>
  <c r="V31" i="35"/>
  <c r="V32" i="35"/>
  <c r="V33" i="35"/>
  <c r="V34" i="35"/>
  <c r="V35" i="35"/>
  <c r="V27" i="35"/>
  <c r="AK29" i="35" l="1"/>
  <c r="AK30" i="35"/>
  <c r="AK31" i="35"/>
  <c r="AK32" i="35"/>
  <c r="AK33" i="35"/>
  <c r="AK34" i="35"/>
  <c r="AK35" i="35"/>
  <c r="AK36" i="35"/>
  <c r="U28" i="35" l="1"/>
  <c r="U29" i="35"/>
  <c r="U30" i="35"/>
  <c r="U31" i="35"/>
  <c r="U32" i="35"/>
  <c r="U33" i="35"/>
  <c r="U34" i="35"/>
  <c r="U35" i="35"/>
  <c r="U36" i="35"/>
  <c r="U27" i="35"/>
  <c r="T27" i="35"/>
  <c r="CQ30" i="35" l="1"/>
  <c r="CQ31" i="35"/>
  <c r="CQ35" i="35"/>
  <c r="CQ27" i="35"/>
  <c r="CQ28" i="35"/>
  <c r="CQ29" i="35"/>
  <c r="CQ32" i="35"/>
  <c r="CQ33" i="35"/>
  <c r="CQ34" i="35"/>
  <c r="CQ36" i="35"/>
  <c r="CQ37" i="35"/>
  <c r="M7" i="56" l="1"/>
  <c r="P63" i="94" l="1"/>
  <c r="N63" i="94"/>
  <c r="J63" i="94"/>
  <c r="D63" i="94"/>
  <c r="V88" i="59"/>
  <c r="V87" i="59"/>
  <c r="V118" i="59"/>
  <c r="V117" i="59"/>
  <c r="V116" i="59"/>
  <c r="V115" i="59"/>
  <c r="S145" i="57"/>
  <c r="C98" i="95" l="1"/>
  <c r="H98" i="95"/>
  <c r="D98" i="95"/>
  <c r="E98" i="95"/>
  <c r="C88" i="90"/>
  <c r="C38" i="89"/>
  <c r="B45" i="45"/>
  <c r="L88" i="90"/>
  <c r="H38" i="89"/>
  <c r="A1" i="89"/>
  <c r="A1" i="88"/>
  <c r="A1" i="90"/>
  <c r="M118" i="29" l="1"/>
  <c r="M118" i="15"/>
  <c r="M117" i="29"/>
  <c r="AD28" i="35"/>
  <c r="AD29" i="35"/>
  <c r="AD30" i="35"/>
  <c r="AD31" i="35"/>
  <c r="AD32" i="35"/>
  <c r="AD33" i="35"/>
  <c r="AD34" i="35"/>
  <c r="AD35" i="35"/>
  <c r="AD36" i="35"/>
  <c r="AE28" i="35"/>
  <c r="AE29" i="35"/>
  <c r="AE30" i="35"/>
  <c r="AE31" i="35"/>
  <c r="AE32" i="35"/>
  <c r="AE33" i="35"/>
  <c r="AE34" i="35"/>
  <c r="AE35" i="35"/>
  <c r="AE36" i="35"/>
  <c r="AA28" i="35"/>
  <c r="AA29" i="35"/>
  <c r="AA30" i="35"/>
  <c r="AA31" i="35"/>
  <c r="AA32" i="35"/>
  <c r="AA33" i="35"/>
  <c r="AA34" i="35"/>
  <c r="AA35" i="35"/>
  <c r="AA36" i="35"/>
  <c r="Z28" i="35"/>
  <c r="Z29" i="35"/>
  <c r="Z30" i="35"/>
  <c r="Z31" i="35"/>
  <c r="Z32" i="35"/>
  <c r="Z33" i="35"/>
  <c r="Z34" i="35"/>
  <c r="Z35" i="35"/>
  <c r="Z36" i="35"/>
  <c r="AE27" i="35"/>
  <c r="AD27" i="35"/>
  <c r="AA27" i="35"/>
  <c r="Z27" i="35"/>
  <c r="Y36" i="35"/>
  <c r="Y35" i="35"/>
  <c r="Y34" i="35"/>
  <c r="Y33" i="35"/>
  <c r="Y32" i="35"/>
  <c r="Y31" i="35"/>
  <c r="Y30" i="35"/>
  <c r="Y29" i="35"/>
  <c r="Y28" i="35"/>
  <c r="Y27" i="35"/>
  <c r="X23" i="56" l="1"/>
  <c r="Y23" i="56"/>
  <c r="X24" i="56"/>
  <c r="Y24" i="56"/>
  <c r="X25" i="56"/>
  <c r="Y25" i="56"/>
  <c r="Q296" i="55" l="1"/>
  <c r="Q297" i="55"/>
  <c r="Q298" i="55"/>
  <c r="Q299" i="55"/>
  <c r="Q303" i="55"/>
  <c r="Q304" i="55"/>
  <c r="Q305" i="55"/>
  <c r="Q306" i="55"/>
  <c r="Q313" i="55"/>
  <c r="Q311" i="55"/>
  <c r="Q312" i="55"/>
  <c r="Q310" i="55"/>
  <c r="Q286" i="55"/>
  <c r="Q284" i="55"/>
  <c r="Q285" i="55"/>
  <c r="Q283" i="55"/>
  <c r="Q279" i="55"/>
  <c r="Q277" i="55"/>
  <c r="Q278" i="55"/>
  <c r="Q276" i="55"/>
  <c r="Q264" i="55"/>
  <c r="Q265" i="55"/>
  <c r="Q266" i="55"/>
  <c r="Q263" i="55"/>
  <c r="Q259" i="55"/>
  <c r="Q258" i="55"/>
  <c r="Q257" i="55"/>
  <c r="Q256" i="55"/>
  <c r="Q241" i="55"/>
  <c r="Q244" i="55"/>
  <c r="Q242" i="55"/>
  <c r="Q243" i="55"/>
  <c r="Q172" i="55"/>
  <c r="J126" i="94" l="1"/>
  <c r="D126" i="94"/>
  <c r="P126" i="94"/>
  <c r="N126" i="94"/>
  <c r="W305" i="55"/>
  <c r="P125" i="94"/>
  <c r="N125" i="94"/>
  <c r="J125" i="94"/>
  <c r="D125" i="94"/>
  <c r="P107" i="94"/>
  <c r="N107" i="94"/>
  <c r="J107" i="94"/>
  <c r="D107" i="94"/>
  <c r="J124" i="94"/>
  <c r="D124" i="94"/>
  <c r="P124" i="94"/>
  <c r="N124" i="94"/>
  <c r="W266" i="55"/>
  <c r="J110" i="94"/>
  <c r="D110" i="94"/>
  <c r="P110" i="94"/>
  <c r="N110" i="94"/>
  <c r="W284" i="55"/>
  <c r="J116" i="94"/>
  <c r="D116" i="94"/>
  <c r="P116" i="94"/>
  <c r="N116" i="94"/>
  <c r="P103" i="94"/>
  <c r="N103" i="94"/>
  <c r="J103" i="94"/>
  <c r="D103" i="94"/>
  <c r="W299" i="55"/>
  <c r="P122" i="94"/>
  <c r="N122" i="94"/>
  <c r="J122" i="94"/>
  <c r="D122" i="94"/>
  <c r="W276" i="55"/>
  <c r="P111" i="94"/>
  <c r="N111" i="94"/>
  <c r="J111" i="94"/>
  <c r="D111" i="94"/>
  <c r="J129" i="94"/>
  <c r="D129" i="94"/>
  <c r="P129" i="94"/>
  <c r="N129" i="94"/>
  <c r="W298" i="55"/>
  <c r="J121" i="94"/>
  <c r="D121" i="94"/>
  <c r="P121" i="94"/>
  <c r="N121" i="94"/>
  <c r="W285" i="55"/>
  <c r="P117" i="94"/>
  <c r="N117" i="94"/>
  <c r="J117" i="94"/>
  <c r="D117" i="94"/>
  <c r="W286" i="55"/>
  <c r="J118" i="94"/>
  <c r="D118" i="94"/>
  <c r="P118" i="94"/>
  <c r="N118" i="94"/>
  <c r="W258" i="55"/>
  <c r="P105" i="94"/>
  <c r="N105" i="94"/>
  <c r="J105" i="94"/>
  <c r="D105" i="94"/>
  <c r="P128" i="94"/>
  <c r="N128" i="94"/>
  <c r="J128" i="94"/>
  <c r="D128" i="94"/>
  <c r="W297" i="55"/>
  <c r="P120" i="94"/>
  <c r="N120" i="94"/>
  <c r="J120" i="94"/>
  <c r="D120" i="94"/>
  <c r="W283" i="55"/>
  <c r="P115" i="94"/>
  <c r="N115" i="94"/>
  <c r="J115" i="94"/>
  <c r="D115" i="94"/>
  <c r="W265" i="55"/>
  <c r="P109" i="94"/>
  <c r="N109" i="94"/>
  <c r="J109" i="94"/>
  <c r="D109" i="94"/>
  <c r="W264" i="55"/>
  <c r="J108" i="94"/>
  <c r="D108" i="94"/>
  <c r="P108" i="94"/>
  <c r="N108" i="94"/>
  <c r="W257" i="55"/>
  <c r="J104" i="94"/>
  <c r="D104" i="94"/>
  <c r="P104" i="94"/>
  <c r="N104" i="94"/>
  <c r="W278" i="55"/>
  <c r="P113" i="94"/>
  <c r="N113" i="94"/>
  <c r="J113" i="94"/>
  <c r="D113" i="94"/>
  <c r="W277" i="55"/>
  <c r="J112" i="94"/>
  <c r="D112" i="94"/>
  <c r="P112" i="94"/>
  <c r="N112" i="94"/>
  <c r="W259" i="55"/>
  <c r="J106" i="94"/>
  <c r="D106" i="94"/>
  <c r="P106" i="94"/>
  <c r="N106" i="94"/>
  <c r="W279" i="55"/>
  <c r="J114" i="94"/>
  <c r="D114" i="94"/>
  <c r="P114" i="94"/>
  <c r="N114" i="94"/>
  <c r="P130" i="94"/>
  <c r="N130" i="94"/>
  <c r="J130" i="94"/>
  <c r="D130" i="94"/>
  <c r="J100" i="94"/>
  <c r="D100" i="94"/>
  <c r="P100" i="94"/>
  <c r="N100" i="94"/>
  <c r="J102" i="94"/>
  <c r="D102" i="94"/>
  <c r="P102" i="94"/>
  <c r="N102" i="94"/>
  <c r="J101" i="94"/>
  <c r="D101" i="94"/>
  <c r="P101" i="94"/>
  <c r="N101" i="94"/>
  <c r="J75" i="94"/>
  <c r="D75" i="94"/>
  <c r="P75" i="94"/>
  <c r="N75" i="94"/>
  <c r="J99" i="94"/>
  <c r="D99" i="94"/>
  <c r="P99" i="94"/>
  <c r="N99" i="94"/>
  <c r="P127" i="94"/>
  <c r="D127" i="94"/>
  <c r="N127" i="94"/>
  <c r="J127" i="94"/>
  <c r="P123" i="94"/>
  <c r="J123" i="94"/>
  <c r="N123" i="94"/>
  <c r="D123" i="94"/>
  <c r="P119" i="94"/>
  <c r="D119" i="94"/>
  <c r="N119" i="94"/>
  <c r="J119" i="94"/>
  <c r="W306" i="55"/>
  <c r="W304" i="55"/>
  <c r="W310" i="55"/>
  <c r="W311" i="55"/>
  <c r="W312" i="55"/>
  <c r="W313" i="55"/>
  <c r="W296" i="55"/>
  <c r="W303" i="55"/>
  <c r="W263" i="55"/>
  <c r="W256" i="55"/>
  <c r="B237" i="55"/>
  <c r="S354" i="57"/>
  <c r="S355" i="57"/>
  <c r="S356" i="57"/>
  <c r="S348" i="57"/>
  <c r="S346" i="57"/>
  <c r="S347" i="57"/>
  <c r="S340" i="57"/>
  <c r="S338" i="57"/>
  <c r="S339" i="57"/>
  <c r="S332" i="57"/>
  <c r="S330" i="57"/>
  <c r="S331" i="57"/>
  <c r="S324" i="57"/>
  <c r="S322" i="57"/>
  <c r="S323" i="57"/>
  <c r="S321" i="57"/>
  <c r="S316" i="57"/>
  <c r="S314" i="57"/>
  <c r="S315" i="57"/>
  <c r="S313" i="57"/>
  <c r="S307" i="57"/>
  <c r="S304" i="57"/>
  <c r="S299" i="57"/>
  <c r="S297" i="57"/>
  <c r="S298" i="57"/>
  <c r="S296" i="57"/>
  <c r="S305" i="57"/>
  <c r="S306" i="57"/>
  <c r="S291" i="57"/>
  <c r="S289" i="57"/>
  <c r="S290" i="57"/>
  <c r="S288" i="57"/>
  <c r="S283" i="57"/>
  <c r="S280" i="57"/>
  <c r="S281" i="57"/>
  <c r="S282" i="57"/>
  <c r="S274" i="57"/>
  <c r="S271" i="57"/>
  <c r="S272" i="57"/>
  <c r="S273" i="57"/>
  <c r="S266" i="57"/>
  <c r="S264" i="57"/>
  <c r="S265" i="57"/>
  <c r="S263" i="57"/>
  <c r="S258" i="57"/>
  <c r="S247" i="57"/>
  <c r="S248" i="57"/>
  <c r="S249" i="57"/>
  <c r="S250" i="57"/>
  <c r="S255" i="57"/>
  <c r="S256" i="57"/>
  <c r="S257" i="57"/>
  <c r="S242" i="57"/>
  <c r="S239" i="57"/>
  <c r="S240" i="57"/>
  <c r="S241" i="57"/>
  <c r="S234" i="57"/>
  <c r="S243" i="57"/>
  <c r="S225" i="57"/>
  <c r="S232" i="57"/>
  <c r="S233" i="57"/>
  <c r="S231" i="57"/>
  <c r="S223" i="57"/>
  <c r="C137" i="95"/>
  <c r="S222" i="57"/>
  <c r="S217" i="57"/>
  <c r="S215" i="57"/>
  <c r="S216" i="57"/>
  <c r="S214" i="57"/>
  <c r="S209" i="57"/>
  <c r="S207" i="57"/>
  <c r="S208" i="57"/>
  <c r="S206" i="57"/>
  <c r="S201" i="57"/>
  <c r="S199" i="57"/>
  <c r="S200" i="57"/>
  <c r="S198" i="57"/>
  <c r="S193" i="57"/>
  <c r="S191" i="57"/>
  <c r="S192" i="57"/>
  <c r="S190" i="57"/>
  <c r="S185" i="57"/>
  <c r="S183" i="57"/>
  <c r="S184" i="57"/>
  <c r="S182" i="57"/>
  <c r="S148" i="57"/>
  <c r="Q173" i="57"/>
  <c r="Q172" i="57"/>
  <c r="Q171" i="57"/>
  <c r="Q170" i="57"/>
  <c r="Q169" i="57"/>
  <c r="S146" i="57"/>
  <c r="S147" i="57"/>
  <c r="S140" i="57"/>
  <c r="S139" i="57"/>
  <c r="S138" i="57"/>
  <c r="S137" i="57"/>
  <c r="S132" i="57"/>
  <c r="S130" i="57"/>
  <c r="S131" i="57"/>
  <c r="S129" i="57"/>
  <c r="S123" i="57"/>
  <c r="S121" i="57"/>
  <c r="S122" i="57"/>
  <c r="S120" i="57"/>
  <c r="S88" i="57"/>
  <c r="S113" i="57"/>
  <c r="S111" i="57"/>
  <c r="S112" i="57"/>
  <c r="S110" i="57"/>
  <c r="S104" i="57"/>
  <c r="S102" i="57"/>
  <c r="S103" i="57"/>
  <c r="S101" i="57"/>
  <c r="S96" i="57"/>
  <c r="S94" i="57"/>
  <c r="S95" i="57"/>
  <c r="S93" i="57"/>
  <c r="S86" i="57"/>
  <c r="S87" i="57"/>
  <c r="S85" i="57"/>
  <c r="S80" i="57"/>
  <c r="S78" i="57"/>
  <c r="S79" i="57"/>
  <c r="S77" i="57"/>
  <c r="S72" i="57"/>
  <c r="S70" i="57"/>
  <c r="S71" i="57"/>
  <c r="S69" i="57"/>
  <c r="S62" i="57"/>
  <c r="S63" i="57"/>
  <c r="S64" i="57"/>
  <c r="S28" i="57"/>
  <c r="S23" i="57"/>
  <c r="S56" i="57"/>
  <c r="S54" i="57"/>
  <c r="S55" i="57"/>
  <c r="S53" i="57"/>
  <c r="S48" i="57"/>
  <c r="S46" i="57"/>
  <c r="S47" i="57"/>
  <c r="S45" i="57"/>
  <c r="S40" i="57"/>
  <c r="S38" i="57"/>
  <c r="S39" i="57"/>
  <c r="S37" i="57"/>
  <c r="S31" i="57"/>
  <c r="S29" i="57"/>
  <c r="S30" i="57"/>
  <c r="S21" i="57"/>
  <c r="S22" i="57"/>
  <c r="S20" i="57"/>
  <c r="C120" i="95" l="1"/>
  <c r="H120" i="95"/>
  <c r="D120" i="95"/>
  <c r="E120" i="95"/>
  <c r="C128" i="95"/>
  <c r="H128" i="95"/>
  <c r="D128" i="95"/>
  <c r="E128" i="95"/>
  <c r="C144" i="95"/>
  <c r="H144" i="95"/>
  <c r="D144" i="95"/>
  <c r="E144" i="95"/>
  <c r="C148" i="95"/>
  <c r="H148" i="95"/>
  <c r="D148" i="95"/>
  <c r="E148" i="95"/>
  <c r="C160" i="95"/>
  <c r="E160" i="95"/>
  <c r="H160" i="95"/>
  <c r="D160" i="95"/>
  <c r="C169" i="95"/>
  <c r="H169" i="95"/>
  <c r="D169" i="95"/>
  <c r="E169" i="95"/>
  <c r="C174" i="95"/>
  <c r="H174" i="95"/>
  <c r="E174" i="95"/>
  <c r="D174" i="95"/>
  <c r="C185" i="95"/>
  <c r="H185" i="95"/>
  <c r="E185" i="95"/>
  <c r="D185" i="95"/>
  <c r="C130" i="95"/>
  <c r="H130" i="95"/>
  <c r="D130" i="95"/>
  <c r="E130" i="95"/>
  <c r="C168" i="95"/>
  <c r="H168" i="95"/>
  <c r="D168" i="95"/>
  <c r="E168" i="95"/>
  <c r="C184" i="95"/>
  <c r="E184" i="95"/>
  <c r="H184" i="95"/>
  <c r="D184" i="95"/>
  <c r="C141" i="95"/>
  <c r="E141" i="95"/>
  <c r="H141" i="95"/>
  <c r="D141" i="95"/>
  <c r="C146" i="95"/>
  <c r="H146" i="95"/>
  <c r="D146" i="95"/>
  <c r="E146" i="95"/>
  <c r="C154" i="95"/>
  <c r="H154" i="95"/>
  <c r="D154" i="95"/>
  <c r="E154" i="95"/>
  <c r="C162" i="95"/>
  <c r="E162" i="95"/>
  <c r="H162" i="95"/>
  <c r="D162" i="95"/>
  <c r="C170" i="95"/>
  <c r="E170" i="95"/>
  <c r="H170" i="95"/>
  <c r="D170" i="95"/>
  <c r="C178" i="95"/>
  <c r="H178" i="95"/>
  <c r="D178" i="95"/>
  <c r="E178" i="95"/>
  <c r="C186" i="95"/>
  <c r="H186" i="95"/>
  <c r="D186" i="95"/>
  <c r="E186" i="95"/>
  <c r="C115" i="95"/>
  <c r="E115" i="95"/>
  <c r="H115" i="95"/>
  <c r="D115" i="95"/>
  <c r="C117" i="95"/>
  <c r="H117" i="95"/>
  <c r="D117" i="95"/>
  <c r="E117" i="95"/>
  <c r="C133" i="95"/>
  <c r="H133" i="95"/>
  <c r="D133" i="95"/>
  <c r="E133" i="95"/>
  <c r="C153" i="95"/>
  <c r="H153" i="95"/>
  <c r="E153" i="95"/>
  <c r="D153" i="95"/>
  <c r="C165" i="95"/>
  <c r="H165" i="95"/>
  <c r="D165" i="95"/>
  <c r="E165" i="95"/>
  <c r="C177" i="95"/>
  <c r="H177" i="95"/>
  <c r="D177" i="95"/>
  <c r="E177" i="95"/>
  <c r="C123" i="95"/>
  <c r="E123" i="95"/>
  <c r="H123" i="95"/>
  <c r="D123" i="95"/>
  <c r="C125" i="95"/>
  <c r="E125" i="95"/>
  <c r="H125" i="95"/>
  <c r="D125" i="95"/>
  <c r="C140" i="95"/>
  <c r="E140" i="95"/>
  <c r="H140" i="95"/>
  <c r="D140" i="95"/>
  <c r="C116" i="95"/>
  <c r="D116" i="95"/>
  <c r="E116" i="95"/>
  <c r="H116" i="95"/>
  <c r="C124" i="95"/>
  <c r="E124" i="95"/>
  <c r="H124" i="95"/>
  <c r="D124" i="95"/>
  <c r="C132" i="95"/>
  <c r="H132" i="95"/>
  <c r="D132" i="95"/>
  <c r="E132" i="95"/>
  <c r="C152" i="95"/>
  <c r="E152" i="95"/>
  <c r="H152" i="95"/>
  <c r="D152" i="95"/>
  <c r="C157" i="95"/>
  <c r="H157" i="95"/>
  <c r="D157" i="95"/>
  <c r="E157" i="95"/>
  <c r="C164" i="95"/>
  <c r="D164" i="95"/>
  <c r="E164" i="95"/>
  <c r="H164" i="95"/>
  <c r="C176" i="95"/>
  <c r="H176" i="95"/>
  <c r="D176" i="95"/>
  <c r="E176" i="95"/>
  <c r="E181" i="95"/>
  <c r="C181" i="95"/>
  <c r="H181" i="95"/>
  <c r="D181" i="95"/>
  <c r="C134" i="95"/>
  <c r="E134" i="95"/>
  <c r="H134" i="95"/>
  <c r="D134" i="95"/>
  <c r="E180" i="95"/>
  <c r="C180" i="95"/>
  <c r="H180" i="95"/>
  <c r="D180" i="95"/>
  <c r="C119" i="95"/>
  <c r="H119" i="95"/>
  <c r="D119" i="95"/>
  <c r="E119" i="95"/>
  <c r="C127" i="95"/>
  <c r="D127" i="95"/>
  <c r="E127" i="95"/>
  <c r="H127" i="95"/>
  <c r="C142" i="95"/>
  <c r="E142" i="95"/>
  <c r="H142" i="95"/>
  <c r="D142" i="95"/>
  <c r="C150" i="95"/>
  <c r="E150" i="95"/>
  <c r="H150" i="95"/>
  <c r="D150" i="95"/>
  <c r="C158" i="95"/>
  <c r="H158" i="95"/>
  <c r="D158" i="95"/>
  <c r="E158" i="95"/>
  <c r="C166" i="95"/>
  <c r="H166" i="95"/>
  <c r="D166" i="95"/>
  <c r="E166" i="95"/>
  <c r="C173" i="95"/>
  <c r="E173" i="95"/>
  <c r="H173" i="95"/>
  <c r="D173" i="95"/>
  <c r="E182" i="95"/>
  <c r="C182" i="95"/>
  <c r="H182" i="95"/>
  <c r="D182" i="95"/>
  <c r="C156" i="95"/>
  <c r="H156" i="95"/>
  <c r="D156" i="95"/>
  <c r="E156" i="95"/>
  <c r="C121" i="95"/>
  <c r="E121" i="95"/>
  <c r="H121" i="95"/>
  <c r="D121" i="95"/>
  <c r="C145" i="95"/>
  <c r="H145" i="95"/>
  <c r="D145" i="95"/>
  <c r="E145" i="95"/>
  <c r="C149" i="95"/>
  <c r="E149" i="95"/>
  <c r="H149" i="95"/>
  <c r="D149" i="95"/>
  <c r="C161" i="95"/>
  <c r="E161" i="95"/>
  <c r="H161" i="95"/>
  <c r="D161" i="95"/>
  <c r="C172" i="95"/>
  <c r="E172" i="95"/>
  <c r="H172" i="95"/>
  <c r="D172" i="95"/>
  <c r="C56" i="95"/>
  <c r="H56" i="95"/>
  <c r="D56" i="95"/>
  <c r="E56" i="95"/>
  <c r="C49" i="95"/>
  <c r="E49" i="95"/>
  <c r="D49" i="95"/>
  <c r="H49" i="95"/>
  <c r="C57" i="95"/>
  <c r="E57" i="95"/>
  <c r="H57" i="95"/>
  <c r="D57" i="95"/>
  <c r="C87" i="95"/>
  <c r="H87" i="95"/>
  <c r="D87" i="95"/>
  <c r="E87" i="95"/>
  <c r="C96" i="95"/>
  <c r="D96" i="95"/>
  <c r="E96" i="95"/>
  <c r="H96" i="95"/>
  <c r="C50" i="95"/>
  <c r="D50" i="95"/>
  <c r="E50" i="95"/>
  <c r="H50" i="95"/>
  <c r="C97" i="95"/>
  <c r="H97" i="95"/>
  <c r="D97" i="95"/>
  <c r="E97" i="95"/>
  <c r="C101" i="95"/>
  <c r="H101" i="95"/>
  <c r="D101" i="95"/>
  <c r="E101" i="95"/>
  <c r="C86" i="95"/>
  <c r="H86" i="95"/>
  <c r="D86" i="95"/>
  <c r="E86" i="95"/>
  <c r="C44" i="95"/>
  <c r="H44" i="95"/>
  <c r="D44" i="95"/>
  <c r="E44" i="95"/>
  <c r="C84" i="95"/>
  <c r="E84" i="95"/>
  <c r="H84" i="95"/>
  <c r="D84" i="95"/>
  <c r="C90" i="95"/>
  <c r="H90" i="95"/>
  <c r="D90" i="95"/>
  <c r="E90" i="95"/>
  <c r="C43" i="95"/>
  <c r="H43" i="95"/>
  <c r="D43" i="95"/>
  <c r="E43" i="95"/>
  <c r="C51" i="95"/>
  <c r="H51" i="95"/>
  <c r="D51" i="95"/>
  <c r="E51" i="95"/>
  <c r="C83" i="95"/>
  <c r="H83" i="95"/>
  <c r="D83" i="95"/>
  <c r="E83" i="95"/>
  <c r="C99" i="95"/>
  <c r="H99" i="95"/>
  <c r="D99" i="95"/>
  <c r="E99" i="95"/>
  <c r="C45" i="95"/>
  <c r="H45" i="95"/>
  <c r="D45" i="95"/>
  <c r="E45" i="95"/>
  <c r="C53" i="95"/>
  <c r="H53" i="95"/>
  <c r="D53" i="95"/>
  <c r="E53" i="95"/>
  <c r="C85" i="95"/>
  <c r="D85" i="95"/>
  <c r="E85" i="95"/>
  <c r="H85" i="95"/>
  <c r="C91" i="95"/>
  <c r="H91" i="95"/>
  <c r="D91" i="95"/>
  <c r="E91" i="95"/>
  <c r="C46" i="95"/>
  <c r="H46" i="95"/>
  <c r="D46" i="95"/>
  <c r="E46" i="95"/>
  <c r="C54" i="95"/>
  <c r="H54" i="95"/>
  <c r="D54" i="95"/>
  <c r="E54" i="95"/>
  <c r="C93" i="95"/>
  <c r="E93" i="95"/>
  <c r="D93" i="95"/>
  <c r="H93" i="95"/>
  <c r="C48" i="95"/>
  <c r="D48" i="95"/>
  <c r="E48" i="95"/>
  <c r="H48" i="95"/>
  <c r="C88" i="95"/>
  <c r="H88" i="95"/>
  <c r="D88" i="95"/>
  <c r="E88" i="95"/>
  <c r="C95" i="95"/>
  <c r="E95" i="95"/>
  <c r="D95" i="95"/>
  <c r="H95" i="95"/>
  <c r="E203" i="95"/>
  <c r="H203" i="95"/>
  <c r="D203" i="95"/>
  <c r="D202" i="95"/>
  <c r="H202" i="95"/>
  <c r="E202" i="95"/>
  <c r="H201" i="95"/>
  <c r="D201" i="95"/>
  <c r="E201" i="95"/>
  <c r="E199" i="95"/>
  <c r="H199" i="95"/>
  <c r="D199" i="95"/>
  <c r="H198" i="95"/>
  <c r="E198" i="95"/>
  <c r="D198" i="95"/>
  <c r="H197" i="95"/>
  <c r="D197" i="95"/>
  <c r="E197" i="95"/>
  <c r="E195" i="95"/>
  <c r="H195" i="95"/>
  <c r="D195" i="95"/>
  <c r="H194" i="95"/>
  <c r="E194" i="95"/>
  <c r="D194" i="95"/>
  <c r="H193" i="95"/>
  <c r="D193" i="95"/>
  <c r="E193" i="95"/>
  <c r="E191" i="95"/>
  <c r="H191" i="95"/>
  <c r="D191" i="95"/>
  <c r="H190" i="95"/>
  <c r="E190" i="95"/>
  <c r="D190" i="95"/>
  <c r="H189" i="95"/>
  <c r="D189" i="95"/>
  <c r="E189" i="95"/>
  <c r="C183" i="95"/>
  <c r="E183" i="95"/>
  <c r="H183" i="95"/>
  <c r="D183" i="95"/>
  <c r="D179" i="95"/>
  <c r="C179" i="95"/>
  <c r="H179" i="95"/>
  <c r="E179" i="95"/>
  <c r="C175" i="95"/>
  <c r="E175" i="95"/>
  <c r="D175" i="95"/>
  <c r="H175" i="95"/>
  <c r="C171" i="95"/>
  <c r="H171" i="95"/>
  <c r="E171" i="95"/>
  <c r="D171" i="95"/>
  <c r="C167" i="95"/>
  <c r="E167" i="95"/>
  <c r="H167" i="95"/>
  <c r="D167" i="95"/>
  <c r="C163" i="95"/>
  <c r="D163" i="95"/>
  <c r="H163" i="95"/>
  <c r="E163" i="95"/>
  <c r="C159" i="95"/>
  <c r="E159" i="95"/>
  <c r="H159" i="95"/>
  <c r="D159" i="95"/>
  <c r="C155" i="95"/>
  <c r="H155" i="95"/>
  <c r="E155" i="95"/>
  <c r="D155" i="95"/>
  <c r="C151" i="95"/>
  <c r="E151" i="95"/>
  <c r="H151" i="95"/>
  <c r="D151" i="95"/>
  <c r="C147" i="95"/>
  <c r="D147" i="95"/>
  <c r="E147" i="95"/>
  <c r="H147" i="95"/>
  <c r="C143" i="95"/>
  <c r="E143" i="95"/>
  <c r="H143" i="95"/>
  <c r="D143" i="95"/>
  <c r="C139" i="95"/>
  <c r="H139" i="95"/>
  <c r="E139" i="95"/>
  <c r="D139" i="95"/>
  <c r="C136" i="95"/>
  <c r="H136" i="95"/>
  <c r="D136" i="95"/>
  <c r="E136" i="95"/>
  <c r="C138" i="95"/>
  <c r="E138" i="95"/>
  <c r="H138" i="95"/>
  <c r="D138" i="95"/>
  <c r="C135" i="95"/>
  <c r="H135" i="95"/>
  <c r="E135" i="95"/>
  <c r="D135" i="95"/>
  <c r="C131" i="95"/>
  <c r="E131" i="95"/>
  <c r="H131" i="95"/>
  <c r="D131" i="95"/>
  <c r="C129" i="95"/>
  <c r="H129" i="95"/>
  <c r="E129" i="95"/>
  <c r="D129" i="95"/>
  <c r="C126" i="95"/>
  <c r="D126" i="95"/>
  <c r="H126" i="95"/>
  <c r="E126" i="95"/>
  <c r="C122" i="95"/>
  <c r="E122" i="95"/>
  <c r="D122" i="95"/>
  <c r="H122" i="95"/>
  <c r="C118" i="95"/>
  <c r="H118" i="95"/>
  <c r="D118" i="95"/>
  <c r="E118" i="95"/>
  <c r="C114" i="95"/>
  <c r="D114" i="95"/>
  <c r="D113" i="95"/>
  <c r="C113" i="95"/>
  <c r="D112" i="95"/>
  <c r="C112" i="95"/>
  <c r="D111" i="95"/>
  <c r="C111" i="95"/>
  <c r="D110" i="95"/>
  <c r="C110" i="95"/>
  <c r="C100" i="95"/>
  <c r="H100" i="95"/>
  <c r="D100" i="95"/>
  <c r="E100" i="95"/>
  <c r="C94" i="95"/>
  <c r="D94" i="95"/>
  <c r="H94" i="95"/>
  <c r="E94" i="95"/>
  <c r="C92" i="95"/>
  <c r="D92" i="95"/>
  <c r="E92" i="95"/>
  <c r="H92" i="95"/>
  <c r="C89" i="95"/>
  <c r="H89" i="95"/>
  <c r="E89" i="95"/>
  <c r="D89" i="95"/>
  <c r="C82" i="95"/>
  <c r="E82" i="95"/>
  <c r="H82" i="95"/>
  <c r="D82" i="95"/>
  <c r="C81" i="95"/>
  <c r="H81" i="95"/>
  <c r="E81" i="95"/>
  <c r="D81" i="95"/>
  <c r="C80" i="95"/>
  <c r="D80" i="95"/>
  <c r="E80" i="95"/>
  <c r="H80" i="95"/>
  <c r="C79" i="95"/>
  <c r="D79" i="95"/>
  <c r="H79" i="95"/>
  <c r="E79" i="95"/>
  <c r="C78" i="95"/>
  <c r="E78" i="95"/>
  <c r="D78" i="95"/>
  <c r="H78" i="95"/>
  <c r="C77" i="95"/>
  <c r="H77" i="95"/>
  <c r="D77" i="95"/>
  <c r="E77" i="95"/>
  <c r="C76" i="95"/>
  <c r="D76" i="95"/>
  <c r="E76" i="95"/>
  <c r="H76" i="95"/>
  <c r="C75" i="95"/>
  <c r="D75" i="95"/>
  <c r="H75" i="95"/>
  <c r="E75" i="95"/>
  <c r="C74" i="95"/>
  <c r="E74" i="95"/>
  <c r="H74" i="95"/>
  <c r="D74" i="95"/>
  <c r="C73" i="95"/>
  <c r="H73" i="95"/>
  <c r="E73" i="95"/>
  <c r="D73" i="95"/>
  <c r="C72" i="95"/>
  <c r="D72" i="95"/>
  <c r="E72" i="95"/>
  <c r="H72" i="95"/>
  <c r="C71" i="95"/>
  <c r="D71" i="95"/>
  <c r="H71" i="95"/>
  <c r="E71" i="95"/>
  <c r="C70" i="95"/>
  <c r="E70" i="95"/>
  <c r="H70" i="95"/>
  <c r="D70" i="95"/>
  <c r="C69" i="95"/>
  <c r="E69" i="95"/>
  <c r="D69" i="95"/>
  <c r="H69" i="95"/>
  <c r="C68" i="95"/>
  <c r="D68" i="95"/>
  <c r="E68" i="95"/>
  <c r="H68" i="95"/>
  <c r="C67" i="95"/>
  <c r="D67" i="95"/>
  <c r="H67" i="95"/>
  <c r="E67" i="95"/>
  <c r="C66" i="95"/>
  <c r="E66" i="95"/>
  <c r="H66" i="95"/>
  <c r="D66" i="95"/>
  <c r="C65" i="95"/>
  <c r="H65" i="95"/>
  <c r="E65" i="95"/>
  <c r="D65" i="95"/>
  <c r="C64" i="95"/>
  <c r="D64" i="95"/>
  <c r="E64" i="95"/>
  <c r="H64" i="95"/>
  <c r="C63" i="95"/>
  <c r="D63" i="95"/>
  <c r="H63" i="95"/>
  <c r="E63" i="95"/>
  <c r="C62" i="95"/>
  <c r="E62" i="95"/>
  <c r="D62" i="95"/>
  <c r="H62" i="95"/>
  <c r="C61" i="95"/>
  <c r="D61" i="95"/>
  <c r="H61" i="95"/>
  <c r="E61" i="95"/>
  <c r="C60" i="95"/>
  <c r="D60" i="95"/>
  <c r="E60" i="95"/>
  <c r="H60" i="95"/>
  <c r="C59" i="95"/>
  <c r="H59" i="95"/>
  <c r="E59" i="95"/>
  <c r="D59" i="95"/>
  <c r="C55" i="95"/>
  <c r="H55" i="95"/>
  <c r="E55" i="95"/>
  <c r="D55" i="95"/>
  <c r="C52" i="95"/>
  <c r="D52" i="95"/>
  <c r="E52" i="95"/>
  <c r="H52" i="95"/>
  <c r="C47" i="95"/>
  <c r="D47" i="95"/>
  <c r="H47" i="95"/>
  <c r="E47" i="95"/>
  <c r="C42" i="95"/>
  <c r="E42" i="95"/>
  <c r="H42" i="95"/>
  <c r="D42" i="95"/>
  <c r="C41" i="95"/>
  <c r="H41" i="95"/>
  <c r="D41" i="95"/>
  <c r="E41" i="95"/>
  <c r="C40" i="95"/>
  <c r="D40" i="95"/>
  <c r="E40" i="95"/>
  <c r="H40" i="95"/>
  <c r="C39" i="95"/>
  <c r="D39" i="95"/>
  <c r="E39" i="95"/>
  <c r="H39" i="95"/>
  <c r="C38" i="95"/>
  <c r="E38" i="95"/>
  <c r="H38" i="95"/>
  <c r="D38" i="95"/>
  <c r="C203" i="95"/>
  <c r="C202" i="95"/>
  <c r="C201" i="95"/>
  <c r="C195" i="95"/>
  <c r="C194" i="95"/>
  <c r="C193" i="95"/>
  <c r="C191" i="95"/>
  <c r="C190" i="95"/>
  <c r="C189" i="95"/>
  <c r="C199" i="95"/>
  <c r="C197" i="95"/>
  <c r="C198" i="95"/>
  <c r="Q9" i="57"/>
  <c r="Q150" i="55"/>
  <c r="Q151" i="55"/>
  <c r="Q152" i="55"/>
  <c r="Q149" i="55"/>
  <c r="N232" i="55"/>
  <c r="N233" i="55"/>
  <c r="N234" i="55"/>
  <c r="N231" i="55"/>
  <c r="N222" i="55"/>
  <c r="N220" i="55"/>
  <c r="N221" i="55"/>
  <c r="N219" i="55"/>
  <c r="Q175" i="55"/>
  <c r="N210" i="55"/>
  <c r="N208" i="55"/>
  <c r="N209" i="55"/>
  <c r="N207" i="55"/>
  <c r="N198" i="55"/>
  <c r="N196" i="55"/>
  <c r="N197" i="55"/>
  <c r="N195" i="55"/>
  <c r="Q186" i="55"/>
  <c r="Q184" i="55"/>
  <c r="Q185" i="55"/>
  <c r="Q183" i="55"/>
  <c r="Q173" i="55"/>
  <c r="Q174" i="55"/>
  <c r="Q164" i="55"/>
  <c r="Q161" i="55"/>
  <c r="Q162" i="55"/>
  <c r="Q163" i="55"/>
  <c r="Q116" i="55"/>
  <c r="Q114" i="55"/>
  <c r="Q115" i="55"/>
  <c r="Q113" i="55"/>
  <c r="Q104" i="55"/>
  <c r="Q102" i="55"/>
  <c r="Q103" i="55"/>
  <c r="Q101" i="55"/>
  <c r="Q92" i="55"/>
  <c r="Q90" i="55"/>
  <c r="Q91" i="55"/>
  <c r="Q89" i="55"/>
  <c r="Q81" i="55"/>
  <c r="Q80" i="55"/>
  <c r="Q78" i="55"/>
  <c r="Q79" i="55"/>
  <c r="Q56" i="55"/>
  <c r="Q57" i="55"/>
  <c r="Q58" i="55"/>
  <c r="Q59" i="55"/>
  <c r="D47" i="94" l="1"/>
  <c r="J54" i="94"/>
  <c r="D54" i="94"/>
  <c r="P54" i="94"/>
  <c r="N54" i="94"/>
  <c r="J62" i="94"/>
  <c r="D62" i="94"/>
  <c r="P62" i="94"/>
  <c r="N62" i="94"/>
  <c r="J81" i="94"/>
  <c r="D81" i="94"/>
  <c r="N81" i="94"/>
  <c r="P81" i="94"/>
  <c r="J89" i="94"/>
  <c r="D89" i="94"/>
  <c r="P89" i="94"/>
  <c r="N89" i="94"/>
  <c r="J53" i="94"/>
  <c r="D53" i="94"/>
  <c r="P53" i="94"/>
  <c r="N53" i="94"/>
  <c r="J57" i="94"/>
  <c r="D57" i="94"/>
  <c r="P57" i="94"/>
  <c r="N57" i="94"/>
  <c r="J61" i="94"/>
  <c r="D61" i="94"/>
  <c r="N61" i="94"/>
  <c r="P61" i="94"/>
  <c r="J72" i="94"/>
  <c r="D72" i="94"/>
  <c r="P72" i="94"/>
  <c r="N72" i="94"/>
  <c r="J76" i="94"/>
  <c r="D76" i="94"/>
  <c r="P76" i="94"/>
  <c r="N76" i="94"/>
  <c r="J82" i="94"/>
  <c r="D82" i="94"/>
  <c r="P82" i="94"/>
  <c r="N82" i="94"/>
  <c r="J86" i="94"/>
  <c r="D86" i="94"/>
  <c r="P86" i="94"/>
  <c r="N86" i="94"/>
  <c r="J90" i="94"/>
  <c r="D90" i="94"/>
  <c r="P90" i="94"/>
  <c r="N90" i="94"/>
  <c r="J68" i="94"/>
  <c r="D68" i="94"/>
  <c r="P68" i="94"/>
  <c r="N68" i="94"/>
  <c r="J52" i="94"/>
  <c r="D52" i="94"/>
  <c r="P52" i="94"/>
  <c r="N52" i="94"/>
  <c r="J56" i="94"/>
  <c r="D56" i="94"/>
  <c r="N56" i="94"/>
  <c r="P56" i="94"/>
  <c r="J60" i="94"/>
  <c r="D60" i="94"/>
  <c r="P60" i="94"/>
  <c r="N60" i="94"/>
  <c r="J71" i="94"/>
  <c r="D71" i="94"/>
  <c r="P71" i="94"/>
  <c r="N71" i="94"/>
  <c r="J79" i="94"/>
  <c r="D79" i="94"/>
  <c r="P79" i="94"/>
  <c r="N79" i="94"/>
  <c r="J83" i="94"/>
  <c r="D83" i="94"/>
  <c r="P83" i="94"/>
  <c r="N83" i="94"/>
  <c r="J87" i="94"/>
  <c r="D87" i="94"/>
  <c r="P87" i="94"/>
  <c r="N87" i="94"/>
  <c r="J78" i="94"/>
  <c r="D78" i="94"/>
  <c r="P78" i="94"/>
  <c r="N78" i="94"/>
  <c r="J67" i="94"/>
  <c r="D67" i="94"/>
  <c r="P67" i="94"/>
  <c r="N67" i="94"/>
  <c r="J58" i="94"/>
  <c r="D58" i="94"/>
  <c r="P58" i="94"/>
  <c r="N58" i="94"/>
  <c r="J74" i="94"/>
  <c r="D74" i="94"/>
  <c r="P74" i="94"/>
  <c r="N74" i="94"/>
  <c r="J85" i="94"/>
  <c r="D85" i="94"/>
  <c r="N85" i="94"/>
  <c r="P85" i="94"/>
  <c r="J70" i="94"/>
  <c r="D70" i="94"/>
  <c r="P70" i="94"/>
  <c r="N70" i="94"/>
  <c r="J51" i="94"/>
  <c r="D51" i="94"/>
  <c r="P51" i="94"/>
  <c r="N51" i="94"/>
  <c r="J55" i="94"/>
  <c r="D55" i="94"/>
  <c r="P55" i="94"/>
  <c r="N55" i="94"/>
  <c r="J73" i="94"/>
  <c r="D73" i="94"/>
  <c r="N73" i="94"/>
  <c r="P73" i="94"/>
  <c r="J77" i="94"/>
  <c r="D77" i="94"/>
  <c r="N77" i="94"/>
  <c r="P77" i="94"/>
  <c r="J80" i="94"/>
  <c r="D80" i="94"/>
  <c r="P80" i="94"/>
  <c r="N80" i="94"/>
  <c r="J84" i="94"/>
  <c r="D84" i="94"/>
  <c r="P84" i="94"/>
  <c r="N84" i="94"/>
  <c r="J88" i="94"/>
  <c r="D88" i="94"/>
  <c r="P88" i="94"/>
  <c r="N88" i="94"/>
  <c r="J69" i="94"/>
  <c r="D69" i="94"/>
  <c r="N69" i="94"/>
  <c r="P69" i="94"/>
  <c r="N95" i="94"/>
  <c r="J95" i="94"/>
  <c r="D95" i="94"/>
  <c r="P95" i="94"/>
  <c r="N93" i="94"/>
  <c r="J93" i="94"/>
  <c r="D93" i="94"/>
  <c r="P93" i="94"/>
  <c r="N98" i="94"/>
  <c r="J98" i="94"/>
  <c r="D98" i="94"/>
  <c r="P98" i="94"/>
  <c r="N91" i="94"/>
  <c r="J91" i="94"/>
  <c r="D91" i="94"/>
  <c r="P91" i="94"/>
  <c r="N92" i="94"/>
  <c r="J92" i="94"/>
  <c r="D92" i="94"/>
  <c r="P92" i="94"/>
  <c r="N97" i="94"/>
  <c r="J97" i="94"/>
  <c r="D97" i="94"/>
  <c r="P97" i="94"/>
  <c r="N94" i="94"/>
  <c r="J94" i="94"/>
  <c r="D94" i="94"/>
  <c r="P94" i="94"/>
  <c r="N96" i="94"/>
  <c r="J96" i="94"/>
  <c r="D96" i="94"/>
  <c r="P96" i="94"/>
  <c r="P66" i="94"/>
  <c r="N66" i="94"/>
  <c r="D66" i="94"/>
  <c r="J66" i="94"/>
  <c r="P65" i="94"/>
  <c r="D65" i="94"/>
  <c r="N65" i="94"/>
  <c r="J65" i="94"/>
  <c r="P64" i="94"/>
  <c r="D64" i="94"/>
  <c r="N64" i="94"/>
  <c r="J64" i="94"/>
  <c r="P50" i="94"/>
  <c r="D50" i="94"/>
  <c r="N50" i="94"/>
  <c r="J50" i="94"/>
  <c r="P49" i="94"/>
  <c r="D49" i="94"/>
  <c r="N49" i="94"/>
  <c r="J49" i="94"/>
  <c r="P48" i="94"/>
  <c r="N48" i="94"/>
  <c r="J48" i="94"/>
  <c r="D48" i="94"/>
  <c r="P59" i="94"/>
  <c r="J59" i="94"/>
  <c r="D59" i="94"/>
  <c r="N59" i="94"/>
  <c r="P47" i="94"/>
  <c r="N47" i="94"/>
  <c r="J47" i="94"/>
  <c r="L23" i="41"/>
  <c r="C61" i="92" s="1"/>
  <c r="L24" i="41"/>
  <c r="C62" i="92" s="1"/>
  <c r="L25" i="41"/>
  <c r="C63" i="92" s="1"/>
  <c r="L26" i="41"/>
  <c r="C64" i="92" s="1"/>
  <c r="L27" i="41"/>
  <c r="C65" i="92" s="1"/>
  <c r="L28" i="41"/>
  <c r="C66" i="92" s="1"/>
  <c r="L29" i="41"/>
  <c r="C67" i="92" s="1"/>
  <c r="L30" i="41"/>
  <c r="C68" i="92" s="1"/>
  <c r="AE18" i="87"/>
  <c r="AF18" i="87" s="1"/>
  <c r="AE19" i="87"/>
  <c r="AF19" i="87" s="1"/>
  <c r="AE20" i="87"/>
  <c r="AF20" i="87" s="1"/>
  <c r="AE21" i="87"/>
  <c r="AF21" i="87" s="1"/>
  <c r="AE22" i="87"/>
  <c r="AF22" i="87" s="1"/>
  <c r="AE17" i="87"/>
  <c r="AF17" i="87" s="1"/>
  <c r="AE6" i="87"/>
  <c r="AF6" i="87" s="1"/>
  <c r="AE7" i="87"/>
  <c r="AF7" i="87" s="1"/>
  <c r="AE8" i="87"/>
  <c r="AF8" i="87" s="1"/>
  <c r="AE9" i="87"/>
  <c r="AF9" i="87" s="1"/>
  <c r="AE10" i="87"/>
  <c r="AF10" i="87" s="1"/>
  <c r="AE5" i="87"/>
  <c r="AF5" i="87" s="1"/>
  <c r="T18" i="87"/>
  <c r="T19" i="87"/>
  <c r="T20" i="87"/>
  <c r="T21" i="87"/>
  <c r="T22" i="87"/>
  <c r="T17" i="87"/>
  <c r="S18" i="87"/>
  <c r="S19" i="87"/>
  <c r="S20" i="87"/>
  <c r="S21" i="87"/>
  <c r="S22" i="87"/>
  <c r="S17" i="87"/>
  <c r="T6" i="87"/>
  <c r="T7" i="87"/>
  <c r="T8" i="87"/>
  <c r="T9" i="87"/>
  <c r="T10" i="87"/>
  <c r="T5" i="87"/>
  <c r="S6" i="87"/>
  <c r="S7" i="87"/>
  <c r="S8" i="87"/>
  <c r="S9" i="87"/>
  <c r="S10" i="87"/>
  <c r="S5" i="87"/>
  <c r="G66" i="92" l="1"/>
  <c r="E66" i="92"/>
  <c r="I66" i="92"/>
  <c r="G65" i="92"/>
  <c r="E65" i="92"/>
  <c r="I65" i="92"/>
  <c r="G68" i="92"/>
  <c r="I68" i="92"/>
  <c r="E68" i="92"/>
  <c r="G64" i="92"/>
  <c r="I64" i="92"/>
  <c r="E64" i="92"/>
  <c r="G63" i="92"/>
  <c r="E63" i="92"/>
  <c r="I63" i="92"/>
  <c r="E61" i="92"/>
  <c r="I61" i="92"/>
  <c r="G61" i="92"/>
  <c r="E62" i="92"/>
  <c r="I62" i="92"/>
  <c r="G62" i="92"/>
  <c r="I67" i="92"/>
  <c r="G67" i="92"/>
  <c r="E67" i="92"/>
  <c r="Q18" i="87"/>
  <c r="R18" i="87" s="1"/>
  <c r="Q19" i="87"/>
  <c r="R19" i="87" s="1"/>
  <c r="Q20" i="87"/>
  <c r="R20" i="87" s="1"/>
  <c r="Q21" i="87"/>
  <c r="R21" i="87" s="1"/>
  <c r="Q22" i="87"/>
  <c r="R22" i="87" s="1"/>
  <c r="Q17" i="87"/>
  <c r="R17" i="87" s="1"/>
  <c r="Q6" i="87"/>
  <c r="R6" i="87" s="1"/>
  <c r="Q7" i="87"/>
  <c r="R7" i="87" s="1"/>
  <c r="Q8" i="87"/>
  <c r="R8" i="87" s="1"/>
  <c r="Q9" i="87"/>
  <c r="R9" i="87" s="1"/>
  <c r="Q10" i="87"/>
  <c r="R10" i="87" s="1"/>
  <c r="Q5" i="87"/>
  <c r="R5" i="87" s="1"/>
  <c r="P18" i="87"/>
  <c r="P19" i="87"/>
  <c r="P20" i="87"/>
  <c r="P21" i="87"/>
  <c r="P22" i="87"/>
  <c r="P17" i="87"/>
  <c r="P6" i="87"/>
  <c r="P7" i="87"/>
  <c r="P8" i="87"/>
  <c r="P9" i="87"/>
  <c r="P10" i="87"/>
  <c r="P5" i="87"/>
  <c r="O18" i="87"/>
  <c r="O19" i="87"/>
  <c r="O20" i="87"/>
  <c r="O21" i="87"/>
  <c r="O22" i="87"/>
  <c r="O17" i="87"/>
  <c r="O6" i="87"/>
  <c r="O7" i="87"/>
  <c r="O8" i="87"/>
  <c r="O9" i="87"/>
  <c r="O10" i="87"/>
  <c r="O5" i="87"/>
  <c r="M18" i="87" l="1"/>
  <c r="N18" i="87" s="1"/>
  <c r="M19" i="87"/>
  <c r="N19" i="87" s="1"/>
  <c r="M20" i="87"/>
  <c r="N20" i="87" s="1"/>
  <c r="M21" i="87"/>
  <c r="N21" i="87" s="1"/>
  <c r="M22" i="87"/>
  <c r="N22" i="87" s="1"/>
  <c r="M17" i="87"/>
  <c r="N17" i="87" s="1"/>
  <c r="M6" i="87"/>
  <c r="N6" i="87" s="1"/>
  <c r="M7" i="87"/>
  <c r="N7" i="87" s="1"/>
  <c r="M8" i="87"/>
  <c r="N8" i="87" s="1"/>
  <c r="M9" i="87"/>
  <c r="N9" i="87" s="1"/>
  <c r="M10" i="87"/>
  <c r="N10" i="87" s="1"/>
  <c r="M5" i="87"/>
  <c r="N5" i="87" s="1"/>
  <c r="L18" i="87"/>
  <c r="L19" i="87"/>
  <c r="L20" i="87"/>
  <c r="L21" i="87"/>
  <c r="L22" i="87"/>
  <c r="L17" i="87"/>
  <c r="L6" i="87"/>
  <c r="L7" i="87"/>
  <c r="L8" i="87"/>
  <c r="L9" i="87"/>
  <c r="L10" i="87"/>
  <c r="L5" i="87"/>
  <c r="J18" i="87"/>
  <c r="K18" i="87" s="1"/>
  <c r="J19" i="87"/>
  <c r="K19" i="87" s="1"/>
  <c r="J20" i="87"/>
  <c r="K20" i="87" s="1"/>
  <c r="J21" i="87"/>
  <c r="K21" i="87" s="1"/>
  <c r="J22" i="87"/>
  <c r="K22" i="87" s="1"/>
  <c r="J17" i="87"/>
  <c r="K17" i="87" s="1"/>
  <c r="J6" i="87"/>
  <c r="J7" i="87"/>
  <c r="J8" i="87"/>
  <c r="J9" i="87"/>
  <c r="J10" i="87"/>
  <c r="J5" i="87"/>
  <c r="I18" i="87"/>
  <c r="I19" i="87"/>
  <c r="I20" i="87"/>
  <c r="I21" i="87"/>
  <c r="I22" i="87"/>
  <c r="I17" i="87"/>
  <c r="I6" i="87"/>
  <c r="I7" i="87"/>
  <c r="I8" i="87"/>
  <c r="I9" i="87"/>
  <c r="I10" i="87"/>
  <c r="I5" i="87"/>
  <c r="G18" i="87"/>
  <c r="H18" i="87" s="1"/>
  <c r="G19" i="87"/>
  <c r="H19" i="87" s="1"/>
  <c r="G20" i="87"/>
  <c r="H20" i="87" s="1"/>
  <c r="G21" i="87"/>
  <c r="H21" i="87" s="1"/>
  <c r="G22" i="87"/>
  <c r="H22" i="87" s="1"/>
  <c r="G17" i="87"/>
  <c r="H17" i="87" s="1"/>
  <c r="G6" i="87"/>
  <c r="H6" i="87" s="1"/>
  <c r="G7" i="87"/>
  <c r="H7" i="87" s="1"/>
  <c r="G8" i="87"/>
  <c r="H8" i="87" s="1"/>
  <c r="G9" i="87"/>
  <c r="H9" i="87" s="1"/>
  <c r="G10" i="87"/>
  <c r="H10" i="87" s="1"/>
  <c r="G5" i="87"/>
  <c r="H5" i="87" s="1"/>
  <c r="E18" i="87"/>
  <c r="F18" i="87" s="1"/>
  <c r="E19" i="87"/>
  <c r="F19" i="87" s="1"/>
  <c r="E20" i="87"/>
  <c r="F20" i="87" s="1"/>
  <c r="E21" i="87"/>
  <c r="F21" i="87" s="1"/>
  <c r="E22" i="87"/>
  <c r="F22" i="87" s="1"/>
  <c r="E17" i="87"/>
  <c r="F17" i="87" s="1"/>
  <c r="E6" i="87"/>
  <c r="F6" i="87" s="1"/>
  <c r="E7" i="87"/>
  <c r="F7" i="87" s="1"/>
  <c r="E8" i="87"/>
  <c r="F8" i="87" s="1"/>
  <c r="E9" i="87"/>
  <c r="F9" i="87" s="1"/>
  <c r="E10" i="87"/>
  <c r="F10" i="87" s="1"/>
  <c r="E5" i="87"/>
  <c r="F5" i="87" s="1"/>
  <c r="D18" i="87"/>
  <c r="D19" i="87"/>
  <c r="D20" i="87"/>
  <c r="D21" i="87"/>
  <c r="D22" i="87"/>
  <c r="D17" i="87"/>
  <c r="D6" i="87"/>
  <c r="D7" i="87"/>
  <c r="D8" i="87"/>
  <c r="D9" i="87"/>
  <c r="D10" i="87"/>
  <c r="D5" i="87"/>
  <c r="C18" i="87"/>
  <c r="C19" i="87"/>
  <c r="C20" i="87"/>
  <c r="C21" i="87"/>
  <c r="C22" i="87"/>
  <c r="C17" i="87"/>
  <c r="C6" i="87"/>
  <c r="C7" i="87"/>
  <c r="C8" i="87"/>
  <c r="C9" i="87"/>
  <c r="C10" i="87"/>
  <c r="C5" i="87"/>
  <c r="AM9" i="87" l="1"/>
  <c r="AG9" i="87"/>
  <c r="AC9" i="87"/>
  <c r="AA9" i="87"/>
  <c r="Y9" i="87"/>
  <c r="W9" i="87"/>
  <c r="U9" i="87"/>
  <c r="AV9" i="87"/>
  <c r="AL9" i="87"/>
  <c r="AN9" i="87"/>
  <c r="AS9" i="87"/>
  <c r="AO9" i="87"/>
  <c r="AK9" i="87"/>
  <c r="AI9" i="87"/>
  <c r="AD9" i="87"/>
  <c r="AB9" i="87"/>
  <c r="Z9" i="87"/>
  <c r="X9" i="87"/>
  <c r="V9" i="87"/>
  <c r="AJ9" i="87"/>
  <c r="AO19" i="87"/>
  <c r="AK19" i="87"/>
  <c r="AN19" i="87"/>
  <c r="AJ19" i="87"/>
  <c r="AG19" i="87"/>
  <c r="AC19" i="87"/>
  <c r="AA19" i="87"/>
  <c r="Y19" i="87"/>
  <c r="W19" i="87"/>
  <c r="U19" i="87"/>
  <c r="AL19" i="87"/>
  <c r="Z19" i="87"/>
  <c r="V19" i="87"/>
  <c r="AV19" i="87"/>
  <c r="AM19" i="87"/>
  <c r="AI19" i="87"/>
  <c r="AS19" i="87"/>
  <c r="AD19" i="87"/>
  <c r="AB19" i="87"/>
  <c r="X19" i="87"/>
  <c r="AN22" i="87"/>
  <c r="AJ22" i="87"/>
  <c r="AG22" i="87"/>
  <c r="AC22" i="87"/>
  <c r="AA22" i="87"/>
  <c r="Y22" i="87"/>
  <c r="W22" i="87"/>
  <c r="U22" i="87"/>
  <c r="AV22" i="87"/>
  <c r="AM22" i="87"/>
  <c r="AI22" i="87"/>
  <c r="AK22" i="87"/>
  <c r="AS22" i="87"/>
  <c r="AL22" i="87"/>
  <c r="AD22" i="87"/>
  <c r="AB22" i="87"/>
  <c r="Z22" i="87"/>
  <c r="X22" i="87"/>
  <c r="V22" i="87"/>
  <c r="AO22" i="87"/>
  <c r="AS7" i="87"/>
  <c r="AO7" i="87"/>
  <c r="AK7" i="87"/>
  <c r="AI7" i="87"/>
  <c r="AD7" i="87"/>
  <c r="AB7" i="87"/>
  <c r="Z7" i="87"/>
  <c r="X7" i="87"/>
  <c r="V7" i="87"/>
  <c r="AN7" i="87"/>
  <c r="AJ7" i="87"/>
  <c r="AM7" i="87"/>
  <c r="AG7" i="87"/>
  <c r="AC7" i="87"/>
  <c r="AA7" i="87"/>
  <c r="Y7" i="87"/>
  <c r="W7" i="87"/>
  <c r="U7" i="87"/>
  <c r="AV7" i="87"/>
  <c r="AL7" i="87"/>
  <c r="AV21" i="87"/>
  <c r="AM21" i="87"/>
  <c r="AI21" i="87"/>
  <c r="AS21" i="87"/>
  <c r="AL21" i="87"/>
  <c r="AD21" i="87"/>
  <c r="AB21" i="87"/>
  <c r="Z21" i="87"/>
  <c r="X21" i="87"/>
  <c r="V21" i="87"/>
  <c r="AN21" i="87"/>
  <c r="AG21" i="87"/>
  <c r="AA21" i="87"/>
  <c r="W21" i="87"/>
  <c r="U21" i="87"/>
  <c r="AO21" i="87"/>
  <c r="AK21" i="87"/>
  <c r="AJ21" i="87"/>
  <c r="AC21" i="87"/>
  <c r="Y21" i="87"/>
  <c r="AV8" i="87"/>
  <c r="AN8" i="87"/>
  <c r="AJ8" i="87"/>
  <c r="AS8" i="87"/>
  <c r="AM8" i="87"/>
  <c r="AI8" i="87"/>
  <c r="AD8" i="87"/>
  <c r="AB8" i="87"/>
  <c r="Z8" i="87"/>
  <c r="X8" i="87"/>
  <c r="V8" i="87"/>
  <c r="AK8" i="87"/>
  <c r="AC8" i="87"/>
  <c r="Y8" i="87"/>
  <c r="AL8" i="87"/>
  <c r="AO8" i="87"/>
  <c r="AG8" i="87"/>
  <c r="AA8" i="87"/>
  <c r="W8" i="87"/>
  <c r="U8" i="87"/>
  <c r="AN18" i="87"/>
  <c r="AJ18" i="87"/>
  <c r="AG18" i="87"/>
  <c r="AC18" i="87"/>
  <c r="AA18" i="87"/>
  <c r="Y18" i="87"/>
  <c r="W18" i="87"/>
  <c r="U18" i="87"/>
  <c r="AV18" i="87"/>
  <c r="AM18" i="87"/>
  <c r="AI18" i="87"/>
  <c r="AO18" i="87"/>
  <c r="AS18" i="87"/>
  <c r="AL18" i="87"/>
  <c r="AD18" i="87"/>
  <c r="AB18" i="87"/>
  <c r="Z18" i="87"/>
  <c r="X18" i="87"/>
  <c r="V18" i="87"/>
  <c r="AK18" i="87"/>
  <c r="AL10" i="87"/>
  <c r="V10" i="87"/>
  <c r="AO10" i="87"/>
  <c r="AK10" i="87"/>
  <c r="AG10" i="87"/>
  <c r="AC10" i="87"/>
  <c r="AA10" i="87"/>
  <c r="Y10" i="87"/>
  <c r="W10" i="87"/>
  <c r="U10" i="87"/>
  <c r="AD10" i="87"/>
  <c r="Z10" i="87"/>
  <c r="AV10" i="87"/>
  <c r="AN10" i="87"/>
  <c r="AJ10" i="87"/>
  <c r="AS10" i="87"/>
  <c r="AM10" i="87"/>
  <c r="AI10" i="87"/>
  <c r="AB10" i="87"/>
  <c r="X10" i="87"/>
  <c r="AL6" i="87"/>
  <c r="AO6" i="87"/>
  <c r="AK6" i="87"/>
  <c r="AG6" i="87"/>
  <c r="AC6" i="87"/>
  <c r="AA6" i="87"/>
  <c r="Y6" i="87"/>
  <c r="W6" i="87"/>
  <c r="U6" i="87"/>
  <c r="AS6" i="87"/>
  <c r="AM6" i="87"/>
  <c r="AI6" i="87"/>
  <c r="AD6" i="87"/>
  <c r="AB6" i="87"/>
  <c r="X6" i="87"/>
  <c r="AV6" i="87"/>
  <c r="AN6" i="87"/>
  <c r="AJ6" i="87"/>
  <c r="Z6" i="87"/>
  <c r="V6" i="87"/>
  <c r="AS20" i="87"/>
  <c r="AL20" i="87"/>
  <c r="AD20" i="87"/>
  <c r="AB20" i="87"/>
  <c r="Z20" i="87"/>
  <c r="X20" i="87"/>
  <c r="V20" i="87"/>
  <c r="AO20" i="87"/>
  <c r="AK20" i="87"/>
  <c r="AV20" i="87"/>
  <c r="AI20" i="87"/>
  <c r="AN20" i="87"/>
  <c r="AJ20" i="87"/>
  <c r="AG20" i="87"/>
  <c r="AC20" i="87"/>
  <c r="AA20" i="87"/>
  <c r="Y20" i="87"/>
  <c r="W20" i="87"/>
  <c r="U20" i="87"/>
  <c r="AM20" i="87"/>
  <c r="AA17" i="87"/>
  <c r="W17" i="87"/>
  <c r="AJ17" i="87"/>
  <c r="AM17" i="87" s="1"/>
  <c r="AG17" i="87"/>
  <c r="AB17" i="87"/>
  <c r="X17" i="87"/>
  <c r="AC17" i="87"/>
  <c r="Y17" i="87"/>
  <c r="U17" i="87"/>
  <c r="AI17" i="87"/>
  <c r="AL17" i="87" s="1"/>
  <c r="AD17" i="87"/>
  <c r="Z17" i="87"/>
  <c r="V17" i="87"/>
  <c r="V5" i="87"/>
  <c r="AD5" i="87"/>
  <c r="AC5" i="87"/>
  <c r="AB5" i="87"/>
  <c r="AA5" i="87"/>
  <c r="Z5" i="87"/>
  <c r="Y5" i="87"/>
  <c r="X5" i="87"/>
  <c r="W5" i="87"/>
  <c r="U5" i="87"/>
  <c r="AG5" i="87"/>
  <c r="AI5" i="87"/>
  <c r="AJ5" i="87"/>
  <c r="DS101" i="3"/>
  <c r="DS100" i="3"/>
  <c r="H76" i="63"/>
  <c r="H75" i="63"/>
  <c r="C44" i="98" l="1"/>
  <c r="B44" i="98"/>
  <c r="AK17" i="87"/>
  <c r="AN17" i="87"/>
  <c r="AO17" i="87" s="1"/>
  <c r="AY17" i="87" s="1"/>
  <c r="B43" i="98"/>
  <c r="C43" i="98"/>
  <c r="AQ20" i="87"/>
  <c r="AT20" i="87"/>
  <c r="AY20" i="87"/>
  <c r="AY18" i="87"/>
  <c r="AQ18" i="87"/>
  <c r="AT18" i="87"/>
  <c r="AY8" i="87"/>
  <c r="AQ8" i="87"/>
  <c r="AT8" i="87"/>
  <c r="AQ21" i="87"/>
  <c r="AT21" i="87"/>
  <c r="AY21" i="87"/>
  <c r="AY22" i="87"/>
  <c r="AQ22" i="87"/>
  <c r="AT22" i="87"/>
  <c r="AY9" i="87"/>
  <c r="AT9" i="87"/>
  <c r="AQ9" i="87"/>
  <c r="AY10" i="87"/>
  <c r="AQ10" i="87"/>
  <c r="AT10" i="87"/>
  <c r="AY6" i="87"/>
  <c r="AT6" i="87"/>
  <c r="AQ6" i="87"/>
  <c r="AT7" i="87"/>
  <c r="AY7" i="87"/>
  <c r="AQ7" i="87"/>
  <c r="AT19" i="87"/>
  <c r="AQ19" i="87"/>
  <c r="AY19" i="87"/>
  <c r="AL5" i="87"/>
  <c r="AM5" i="87"/>
  <c r="AN5" i="87"/>
  <c r="AK5" i="87"/>
  <c r="H77" i="63"/>
  <c r="CI28" i="48"/>
  <c r="O43" i="86" l="1"/>
  <c r="AQ17" i="87"/>
  <c r="AS17" i="87" s="1"/>
  <c r="AT17" i="87"/>
  <c r="AV17" i="87" s="1"/>
  <c r="AO5" i="87"/>
  <c r="AY5" i="87" s="1"/>
  <c r="O29" i="86" s="1"/>
  <c r="E95" i="35"/>
  <c r="F95" i="35"/>
  <c r="G95" i="35"/>
  <c r="H95" i="35"/>
  <c r="I95" i="35"/>
  <c r="J95" i="35"/>
  <c r="E96" i="35"/>
  <c r="F96" i="35"/>
  <c r="G96" i="35"/>
  <c r="H96" i="35"/>
  <c r="I96" i="35"/>
  <c r="J96" i="35"/>
  <c r="E97" i="35"/>
  <c r="F97" i="35"/>
  <c r="G97" i="35"/>
  <c r="H97" i="35"/>
  <c r="I97" i="35"/>
  <c r="J97" i="35"/>
  <c r="E98" i="35"/>
  <c r="F98" i="35"/>
  <c r="G98" i="35"/>
  <c r="H98" i="35"/>
  <c r="I98" i="35"/>
  <c r="J98" i="35"/>
  <c r="E99" i="35"/>
  <c r="F99" i="35"/>
  <c r="G99" i="35"/>
  <c r="H99" i="35"/>
  <c r="I99" i="35"/>
  <c r="J99" i="35"/>
  <c r="E100" i="35"/>
  <c r="F100" i="35"/>
  <c r="G100" i="35"/>
  <c r="H100" i="35"/>
  <c r="I100" i="35"/>
  <c r="J100" i="35"/>
  <c r="E101" i="35"/>
  <c r="F101" i="35"/>
  <c r="G101" i="35"/>
  <c r="H101" i="35"/>
  <c r="I101" i="35"/>
  <c r="J101" i="35"/>
  <c r="E102" i="35"/>
  <c r="F102" i="35"/>
  <c r="G102" i="35"/>
  <c r="H102" i="35"/>
  <c r="I102" i="35"/>
  <c r="J102" i="35"/>
  <c r="E103" i="35"/>
  <c r="F103" i="35"/>
  <c r="G103" i="35"/>
  <c r="H103" i="35"/>
  <c r="I103" i="35"/>
  <c r="J103" i="35"/>
  <c r="J94" i="35"/>
  <c r="I94" i="35"/>
  <c r="H94" i="35"/>
  <c r="G94" i="35"/>
  <c r="F94" i="35"/>
  <c r="E94" i="35"/>
  <c r="AT126" i="35"/>
  <c r="AU126" i="35"/>
  <c r="AV126" i="35"/>
  <c r="AX126" i="35"/>
  <c r="AT127" i="35"/>
  <c r="AU127" i="35"/>
  <c r="AV127" i="35"/>
  <c r="AX127" i="35"/>
  <c r="AT128" i="35"/>
  <c r="AU128" i="35"/>
  <c r="AV128" i="35"/>
  <c r="AX128" i="35"/>
  <c r="AT129" i="35"/>
  <c r="AU129" i="35"/>
  <c r="AZ129" i="35" s="1"/>
  <c r="AV129" i="35"/>
  <c r="AX129" i="35"/>
  <c r="AT130" i="35"/>
  <c r="AU130" i="35"/>
  <c r="AZ130" i="35" s="1"/>
  <c r="AV130" i="35"/>
  <c r="AX130" i="35"/>
  <c r="AT131" i="35"/>
  <c r="AU131" i="35"/>
  <c r="AZ131" i="35" s="1"/>
  <c r="AV131" i="35"/>
  <c r="AX131" i="35"/>
  <c r="AT132" i="35"/>
  <c r="AU132" i="35"/>
  <c r="AZ132" i="35" s="1"/>
  <c r="AV132" i="35"/>
  <c r="AX132" i="35"/>
  <c r="AT133" i="35"/>
  <c r="AU133" i="35"/>
  <c r="AZ133" i="35" s="1"/>
  <c r="AV133" i="35"/>
  <c r="AX133" i="35"/>
  <c r="AT134" i="35"/>
  <c r="AU134" i="35"/>
  <c r="AZ134" i="35" s="1"/>
  <c r="AV134" i="35"/>
  <c r="AX134" i="35"/>
  <c r="AX125" i="35"/>
  <c r="AT125" i="35"/>
  <c r="K126" i="35"/>
  <c r="K127" i="35"/>
  <c r="K128" i="35"/>
  <c r="K129" i="35"/>
  <c r="K130" i="35"/>
  <c r="K131" i="35"/>
  <c r="K132" i="35"/>
  <c r="K133" i="35"/>
  <c r="K134" i="35"/>
  <c r="K125" i="35"/>
  <c r="AQ5" i="87" l="1"/>
  <c r="AS5" i="87" s="1"/>
  <c r="AT5" i="87"/>
  <c r="AV5" i="87" s="1"/>
  <c r="N43" i="35" l="1"/>
  <c r="N44" i="35"/>
  <c r="N45" i="35"/>
  <c r="N46" i="35"/>
  <c r="N47" i="35"/>
  <c r="N48" i="35"/>
  <c r="N49" i="35"/>
  <c r="N50" i="35"/>
  <c r="N51" i="35"/>
  <c r="N42" i="35"/>
  <c r="M43" i="35"/>
  <c r="M44" i="35"/>
  <c r="M45" i="35"/>
  <c r="M46" i="35"/>
  <c r="M47" i="35"/>
  <c r="M48" i="35"/>
  <c r="M49" i="35"/>
  <c r="M50" i="35"/>
  <c r="M51" i="35"/>
  <c r="M42" i="35"/>
  <c r="G58" i="63" l="1"/>
  <c r="G59" i="63"/>
  <c r="G60" i="63"/>
  <c r="B38" i="98" l="1"/>
  <c r="C38" i="98"/>
  <c r="B37" i="98"/>
  <c r="C37" i="98"/>
  <c r="C36" i="98"/>
  <c r="B36" i="98"/>
  <c r="G61" i="63"/>
  <c r="B168" i="55" l="1"/>
  <c r="B157" i="55"/>
  <c r="A1" i="25"/>
  <c r="T19" i="56" l="1"/>
  <c r="T18" i="56"/>
  <c r="P21" i="56" l="1"/>
  <c r="O21" i="56"/>
  <c r="N21" i="56"/>
  <c r="T21" i="56" s="1"/>
  <c r="M21" i="56"/>
  <c r="N5" i="56" l="1"/>
  <c r="T5" i="56" s="1"/>
  <c r="R21" i="56" l="1"/>
  <c r="Q21" i="56"/>
  <c r="U22" i="56" l="1"/>
  <c r="V22" i="56"/>
  <c r="W22" i="56"/>
  <c r="X22" i="56"/>
  <c r="Y22" i="56"/>
  <c r="B74" i="55"/>
  <c r="AA31" i="80" l="1"/>
  <c r="AA32" i="80"/>
  <c r="AA33" i="80"/>
  <c r="AA34" i="80"/>
  <c r="AA35" i="80"/>
  <c r="AA36" i="80"/>
  <c r="AA37" i="80"/>
  <c r="AA38" i="80"/>
  <c r="AA39" i="80"/>
  <c r="AK41" i="79" l="1"/>
  <c r="AK42" i="79"/>
  <c r="AK43" i="79"/>
  <c r="AK44" i="79"/>
  <c r="AK45" i="79"/>
  <c r="AK46" i="79"/>
  <c r="F29" i="3" l="1"/>
  <c r="F28" i="3"/>
  <c r="E36" i="3" s="1"/>
  <c r="F27" i="3"/>
  <c r="E35" i="3" s="1"/>
  <c r="F26" i="3"/>
  <c r="E34" i="3" s="1"/>
  <c r="F25" i="3"/>
  <c r="E33" i="3" s="1"/>
  <c r="F24" i="3"/>
  <c r="E32" i="3" s="1"/>
  <c r="F23" i="3"/>
  <c r="E31" i="3" s="1"/>
  <c r="F34" i="3" l="1"/>
  <c r="F35" i="3"/>
  <c r="F36" i="3"/>
  <c r="F33" i="3"/>
  <c r="E37" i="3"/>
  <c r="F31" i="3"/>
  <c r="F32" i="3"/>
  <c r="G36" i="3" l="1"/>
  <c r="G35" i="3" s="1"/>
  <c r="G34" i="3" s="1"/>
  <c r="G33" i="3" s="1"/>
  <c r="G32" i="3" s="1"/>
  <c r="G31" i="3" s="1"/>
  <c r="E41" i="3" s="1"/>
  <c r="A1" i="23" l="1"/>
  <c r="BQ31" i="3" l="1"/>
  <c r="H28" i="35"/>
  <c r="D28" i="35" s="1"/>
  <c r="H29" i="35"/>
  <c r="D29" i="35" s="1"/>
  <c r="H30" i="35"/>
  <c r="D30" i="35" s="1"/>
  <c r="H31" i="35"/>
  <c r="D31" i="35" s="1"/>
  <c r="H32" i="35"/>
  <c r="D32" i="35" s="1"/>
  <c r="H33" i="35"/>
  <c r="D33" i="35" s="1"/>
  <c r="H34" i="35"/>
  <c r="D34" i="35" s="1"/>
  <c r="H35" i="35"/>
  <c r="D35" i="35" s="1"/>
  <c r="H36" i="35"/>
  <c r="D36" i="35" s="1"/>
  <c r="H27" i="35"/>
  <c r="K27" i="35" s="1"/>
  <c r="G28" i="35"/>
  <c r="G29" i="35"/>
  <c r="G30" i="35"/>
  <c r="G31" i="35"/>
  <c r="G32" i="35"/>
  <c r="G33" i="35"/>
  <c r="G34" i="35"/>
  <c r="G35" i="35"/>
  <c r="G36" i="35"/>
  <c r="G27" i="35"/>
  <c r="D27" i="35" l="1"/>
  <c r="K36" i="35"/>
  <c r="J27" i="35"/>
  <c r="I27" i="35"/>
  <c r="I33" i="35"/>
  <c r="J33" i="35"/>
  <c r="I29" i="35"/>
  <c r="J29" i="35"/>
  <c r="K35" i="35"/>
  <c r="K31" i="35"/>
  <c r="J30" i="35"/>
  <c r="I30" i="35"/>
  <c r="K28" i="35"/>
  <c r="I36" i="35"/>
  <c r="J36" i="35"/>
  <c r="I32" i="35"/>
  <c r="J32" i="35"/>
  <c r="I28" i="35"/>
  <c r="J28" i="35"/>
  <c r="K34" i="35"/>
  <c r="K30" i="35"/>
  <c r="J34" i="35"/>
  <c r="I34" i="35"/>
  <c r="K32" i="35"/>
  <c r="J35" i="35"/>
  <c r="I35" i="35"/>
  <c r="J31" i="35"/>
  <c r="I31" i="35"/>
  <c r="K33" i="35"/>
  <c r="K29" i="35"/>
  <c r="C27" i="3"/>
  <c r="AI38" i="79" l="1"/>
  <c r="AI39" i="79"/>
  <c r="AI40" i="79"/>
  <c r="AI41" i="79"/>
  <c r="AI42" i="79"/>
  <c r="AI43" i="79"/>
  <c r="AI44" i="79"/>
  <c r="AI45" i="79"/>
  <c r="AI46" i="79"/>
  <c r="AI37" i="79"/>
  <c r="AM57" i="79"/>
  <c r="AM58" i="79"/>
  <c r="AM59" i="79"/>
  <c r="AM60" i="79"/>
  <c r="AM61" i="79"/>
  <c r="AM62" i="79"/>
  <c r="AM63" i="79"/>
  <c r="AM64" i="79"/>
  <c r="AM65" i="79"/>
  <c r="AM56" i="79"/>
  <c r="B1" i="79" l="1"/>
  <c r="B2" i="79" l="1"/>
  <c r="B2" i="80"/>
  <c r="B1" i="80"/>
  <c r="K55" i="81"/>
  <c r="C55" i="81"/>
  <c r="B1" i="81"/>
  <c r="B139" i="35" l="1"/>
  <c r="B140" i="35"/>
  <c r="B141" i="35"/>
  <c r="B142" i="35"/>
  <c r="B143" i="35"/>
  <c r="B144" i="35"/>
  <c r="B145" i="35"/>
  <c r="B146" i="35"/>
  <c r="B147" i="35"/>
  <c r="B138" i="35"/>
  <c r="B126" i="35"/>
  <c r="B127" i="35"/>
  <c r="B128" i="35"/>
  <c r="B129" i="35"/>
  <c r="B130" i="35"/>
  <c r="B131" i="35"/>
  <c r="B132" i="35"/>
  <c r="B133" i="35"/>
  <c r="B134" i="35"/>
  <c r="B125" i="35"/>
  <c r="B111" i="35"/>
  <c r="B112" i="35"/>
  <c r="B113" i="35"/>
  <c r="B114" i="35"/>
  <c r="B115" i="35"/>
  <c r="B116" i="35"/>
  <c r="B117" i="35"/>
  <c r="B118" i="35"/>
  <c r="B119" i="35"/>
  <c r="B110" i="35"/>
  <c r="G111" i="35"/>
  <c r="G112" i="35"/>
  <c r="G113" i="35"/>
  <c r="G114" i="35"/>
  <c r="G115" i="35"/>
  <c r="G116" i="35"/>
  <c r="G117" i="35"/>
  <c r="G118" i="35"/>
  <c r="G119" i="35"/>
  <c r="C111" i="35"/>
  <c r="C112" i="35"/>
  <c r="E112" i="35" s="1"/>
  <c r="C113" i="35"/>
  <c r="E113" i="35" s="1"/>
  <c r="C114" i="35"/>
  <c r="E114" i="35" s="1"/>
  <c r="I114" i="35" s="1"/>
  <c r="C115" i="35"/>
  <c r="C116" i="35"/>
  <c r="C117" i="35"/>
  <c r="E117" i="35" s="1"/>
  <c r="C118" i="35"/>
  <c r="E118" i="35" s="1"/>
  <c r="I118" i="35" s="1"/>
  <c r="C119" i="35"/>
  <c r="BS115" i="3"/>
  <c r="B95" i="35"/>
  <c r="B96" i="35"/>
  <c r="B97" i="35"/>
  <c r="B98" i="35"/>
  <c r="B99" i="35"/>
  <c r="B100" i="35"/>
  <c r="B101" i="35"/>
  <c r="B102" i="35"/>
  <c r="B103" i="35"/>
  <c r="B94" i="35"/>
  <c r="I112" i="35" l="1"/>
  <c r="E116" i="35"/>
  <c r="I116" i="35" s="1"/>
  <c r="E119" i="35"/>
  <c r="I119" i="35" s="1"/>
  <c r="E115" i="35"/>
  <c r="I115" i="35" s="1"/>
  <c r="E111" i="35"/>
  <c r="I111" i="35" s="1"/>
  <c r="I117" i="35"/>
  <c r="I113" i="35"/>
  <c r="BR105" i="3"/>
  <c r="C13" i="81" l="1"/>
  <c r="G13" i="81"/>
  <c r="C17" i="81"/>
  <c r="G17" i="81"/>
  <c r="C28" i="81"/>
  <c r="C38" i="81" s="1"/>
  <c r="C36" i="81"/>
  <c r="C47" i="81" s="1"/>
  <c r="C45" i="81"/>
  <c r="E45" i="81"/>
  <c r="E46" i="81"/>
  <c r="E47" i="81"/>
  <c r="E48" i="81"/>
  <c r="W30" i="80"/>
  <c r="V30" i="80" s="1"/>
  <c r="C138" i="35" s="1"/>
  <c r="Y30" i="80"/>
  <c r="L31" i="80"/>
  <c r="P31" i="80"/>
  <c r="M31" i="80" s="1"/>
  <c r="V31" i="80"/>
  <c r="W31" i="80"/>
  <c r="Y31" i="80"/>
  <c r="L32" i="80"/>
  <c r="P32" i="80"/>
  <c r="M32" i="80" s="1"/>
  <c r="V32" i="80"/>
  <c r="W32" i="80"/>
  <c r="Y32" i="80"/>
  <c r="L33" i="80"/>
  <c r="P33" i="80"/>
  <c r="M33" i="80" s="1"/>
  <c r="V33" i="80"/>
  <c r="W33" i="80"/>
  <c r="Y33" i="80"/>
  <c r="L34" i="80"/>
  <c r="P34" i="80"/>
  <c r="M34" i="80" s="1"/>
  <c r="V34" i="80"/>
  <c r="C142" i="35" s="1"/>
  <c r="D142" i="35" s="1"/>
  <c r="W34" i="80"/>
  <c r="Y34" i="80"/>
  <c r="L35" i="80"/>
  <c r="P35" i="80"/>
  <c r="M35" i="80" s="1"/>
  <c r="V35" i="80"/>
  <c r="W35" i="80"/>
  <c r="Y35" i="80"/>
  <c r="L36" i="80"/>
  <c r="P36" i="80"/>
  <c r="M36" i="80" s="1"/>
  <c r="V36" i="80"/>
  <c r="W36" i="80"/>
  <c r="Y36" i="80"/>
  <c r="L37" i="80"/>
  <c r="P37" i="80"/>
  <c r="M37" i="80" s="1"/>
  <c r="V37" i="80"/>
  <c r="C145" i="35" s="1"/>
  <c r="W37" i="80"/>
  <c r="Y37" i="80"/>
  <c r="L38" i="80"/>
  <c r="P38" i="80"/>
  <c r="M38" i="80" s="1"/>
  <c r="V38" i="80"/>
  <c r="C146" i="35" s="1"/>
  <c r="H146" i="35" s="1"/>
  <c r="W38" i="80"/>
  <c r="Y38" i="80"/>
  <c r="L39" i="80"/>
  <c r="P39" i="80"/>
  <c r="M39" i="80" s="1"/>
  <c r="V39" i="80"/>
  <c r="W39" i="80"/>
  <c r="Y39" i="80"/>
  <c r="Y49" i="80"/>
  <c r="Y50" i="80"/>
  <c r="Y51" i="80"/>
  <c r="Y52" i="80"/>
  <c r="Y53" i="80"/>
  <c r="Y54" i="80"/>
  <c r="Y55" i="80"/>
  <c r="Y56" i="80"/>
  <c r="Y57" i="80"/>
  <c r="Y58" i="80"/>
  <c r="AG37" i="79"/>
  <c r="AF37" i="79" s="1"/>
  <c r="E125" i="35" s="1"/>
  <c r="L38" i="79"/>
  <c r="AG38" i="79"/>
  <c r="AF38" i="79" s="1"/>
  <c r="E126" i="35" s="1"/>
  <c r="L39" i="79"/>
  <c r="AG39" i="79"/>
  <c r="AF39" i="79" s="1"/>
  <c r="E127" i="35" s="1"/>
  <c r="C127" i="35" s="1"/>
  <c r="L40" i="79"/>
  <c r="AG40" i="79"/>
  <c r="AF40" i="79" s="1"/>
  <c r="E128" i="35" s="1"/>
  <c r="L41" i="79"/>
  <c r="M41" i="79"/>
  <c r="Y41" i="79"/>
  <c r="AF41" i="79"/>
  <c r="AG41" i="79"/>
  <c r="L42" i="79"/>
  <c r="M42" i="79"/>
  <c r="Y42" i="79"/>
  <c r="AF42" i="79"/>
  <c r="E130" i="35" s="1"/>
  <c r="C130" i="35" s="1"/>
  <c r="AG42" i="79"/>
  <c r="L43" i="79"/>
  <c r="M43" i="79"/>
  <c r="Y43" i="79"/>
  <c r="AF43" i="79"/>
  <c r="AG43" i="79"/>
  <c r="L44" i="79"/>
  <c r="M44" i="79"/>
  <c r="Y44" i="79"/>
  <c r="AF44" i="79"/>
  <c r="E132" i="35" s="1"/>
  <c r="C132" i="35" s="1"/>
  <c r="AG44" i="79"/>
  <c r="L45" i="79"/>
  <c r="M45" i="79"/>
  <c r="Y45" i="79"/>
  <c r="AF45" i="79"/>
  <c r="AG45" i="79"/>
  <c r="L46" i="79"/>
  <c r="M46" i="79"/>
  <c r="Y46" i="79"/>
  <c r="AF46" i="79"/>
  <c r="AG46" i="79"/>
  <c r="AK60" i="79"/>
  <c r="AK61" i="79"/>
  <c r="AK62" i="79"/>
  <c r="AK63" i="79"/>
  <c r="AK64" i="79"/>
  <c r="AK65" i="79"/>
  <c r="D125" i="35"/>
  <c r="AQ125" i="35" s="1"/>
  <c r="F125" i="35"/>
  <c r="L125" i="35"/>
  <c r="M125" i="35"/>
  <c r="AO125" i="35"/>
  <c r="AU125" i="35"/>
  <c r="AV125" i="35"/>
  <c r="A126" i="35"/>
  <c r="D126" i="35"/>
  <c r="AW126" i="35" s="1"/>
  <c r="F126" i="35"/>
  <c r="L126" i="35"/>
  <c r="AY126" i="35" s="1"/>
  <c r="M126" i="35"/>
  <c r="AO126" i="35"/>
  <c r="A127" i="35"/>
  <c r="D127" i="35"/>
  <c r="F127" i="35"/>
  <c r="L127" i="35"/>
  <c r="M127" i="35"/>
  <c r="AO127" i="35"/>
  <c r="AQ127" i="35"/>
  <c r="AR127" i="35"/>
  <c r="A128" i="35"/>
  <c r="D128" i="35"/>
  <c r="F128" i="35"/>
  <c r="L128" i="35"/>
  <c r="M128" i="35"/>
  <c r="AO128" i="35"/>
  <c r="AQ128" i="35"/>
  <c r="AR128" i="35"/>
  <c r="A129" i="35"/>
  <c r="A130" i="35" s="1"/>
  <c r="A131" i="35" s="1"/>
  <c r="A132" i="35" s="1"/>
  <c r="D129" i="35"/>
  <c r="E129" i="35"/>
  <c r="C129" i="35" s="1"/>
  <c r="F129" i="35"/>
  <c r="H129" i="35"/>
  <c r="AM129" i="35" s="1"/>
  <c r="I129" i="35"/>
  <c r="J129" i="35"/>
  <c r="L129" i="35"/>
  <c r="M129" i="35"/>
  <c r="AO129" i="35"/>
  <c r="AQ129" i="35"/>
  <c r="AR129" i="35"/>
  <c r="D130" i="35"/>
  <c r="AW130" i="35" s="1"/>
  <c r="F130" i="35"/>
  <c r="H130" i="35"/>
  <c r="AM130" i="35" s="1"/>
  <c r="I130" i="35"/>
  <c r="J130" i="35"/>
  <c r="L130" i="35"/>
  <c r="M130" i="35"/>
  <c r="AO130" i="35"/>
  <c r="AQ130" i="35"/>
  <c r="AR130" i="35"/>
  <c r="D131" i="35"/>
  <c r="AW131" i="35" s="1"/>
  <c r="E131" i="35"/>
  <c r="C131" i="35" s="1"/>
  <c r="F131" i="35"/>
  <c r="H131" i="35"/>
  <c r="AM131" i="35" s="1"/>
  <c r="I131" i="35"/>
  <c r="J131" i="35"/>
  <c r="L131" i="35"/>
  <c r="M131" i="35"/>
  <c r="AO131" i="35"/>
  <c r="AQ131" i="35"/>
  <c r="AR131" i="35"/>
  <c r="D132" i="35"/>
  <c r="F132" i="35"/>
  <c r="H132" i="35"/>
  <c r="AM132" i="35" s="1"/>
  <c r="I132" i="35"/>
  <c r="J132" i="35"/>
  <c r="L132" i="35"/>
  <c r="M132" i="35"/>
  <c r="AO132" i="35"/>
  <c r="AQ132" i="35"/>
  <c r="AR132" i="35"/>
  <c r="A133" i="35"/>
  <c r="A134" i="35" s="1"/>
  <c r="D133" i="35"/>
  <c r="E133" i="35"/>
  <c r="C133" i="35" s="1"/>
  <c r="F133" i="35"/>
  <c r="H133" i="35"/>
  <c r="AM133" i="35" s="1"/>
  <c r="I133" i="35"/>
  <c r="J133" i="35"/>
  <c r="L133" i="35"/>
  <c r="M133" i="35"/>
  <c r="AO133" i="35"/>
  <c r="AQ133" i="35"/>
  <c r="AR133" i="35"/>
  <c r="D134" i="35"/>
  <c r="E134" i="35"/>
  <c r="C134" i="35" s="1"/>
  <c r="F134" i="35"/>
  <c r="H134" i="35"/>
  <c r="AM134" i="35" s="1"/>
  <c r="I134" i="35"/>
  <c r="J134" i="35"/>
  <c r="L134" i="35"/>
  <c r="M134" i="35"/>
  <c r="AO134" i="35"/>
  <c r="AQ134" i="35"/>
  <c r="AR134" i="35"/>
  <c r="J138" i="35"/>
  <c r="L138" i="35"/>
  <c r="R138" i="35" s="1"/>
  <c r="M138" i="35"/>
  <c r="N138" i="35" s="1"/>
  <c r="C139" i="35"/>
  <c r="F139" i="35"/>
  <c r="G139" i="35"/>
  <c r="J139" i="35"/>
  <c r="L139" i="35"/>
  <c r="R139" i="35" s="1"/>
  <c r="M139" i="35"/>
  <c r="N139" i="35" s="1"/>
  <c r="C140" i="35"/>
  <c r="F140" i="35"/>
  <c r="G140" i="35"/>
  <c r="J140" i="35"/>
  <c r="K140" i="35"/>
  <c r="L140" i="35"/>
  <c r="O140" i="35" s="1"/>
  <c r="M140" i="35"/>
  <c r="N140" i="35" s="1"/>
  <c r="C141" i="35"/>
  <c r="F141" i="35"/>
  <c r="G141" i="35"/>
  <c r="J141" i="35"/>
  <c r="L141" i="35"/>
  <c r="O141" i="35" s="1"/>
  <c r="M141" i="35"/>
  <c r="N141" i="35" s="1"/>
  <c r="F142" i="35"/>
  <c r="G142" i="35"/>
  <c r="J142" i="35"/>
  <c r="L142" i="35"/>
  <c r="M142" i="35"/>
  <c r="N142" i="35" s="1"/>
  <c r="C143" i="35"/>
  <c r="I143" i="35" s="1"/>
  <c r="F143" i="35"/>
  <c r="G143" i="35"/>
  <c r="J143" i="35"/>
  <c r="L143" i="35"/>
  <c r="S143" i="35" s="1"/>
  <c r="M143" i="35"/>
  <c r="N143" i="35" s="1"/>
  <c r="C144" i="35"/>
  <c r="F144" i="35"/>
  <c r="G144" i="35"/>
  <c r="J144" i="35"/>
  <c r="L144" i="35"/>
  <c r="O144" i="35" s="1"/>
  <c r="M144" i="35"/>
  <c r="N144" i="35" s="1"/>
  <c r="F145" i="35"/>
  <c r="G145" i="35"/>
  <c r="J145" i="35"/>
  <c r="L145" i="35"/>
  <c r="S145" i="35" s="1"/>
  <c r="M145" i="35"/>
  <c r="N145" i="35" s="1"/>
  <c r="F146" i="35"/>
  <c r="G146" i="35"/>
  <c r="J146" i="35"/>
  <c r="L146" i="35"/>
  <c r="M146" i="35"/>
  <c r="N146" i="35" s="1"/>
  <c r="C147" i="35"/>
  <c r="F147" i="35"/>
  <c r="G147" i="35"/>
  <c r="J147" i="35"/>
  <c r="L147" i="35"/>
  <c r="R147" i="35" s="1"/>
  <c r="M147" i="35"/>
  <c r="N147" i="35" s="1"/>
  <c r="C94" i="35"/>
  <c r="K94" i="35" s="1"/>
  <c r="D94" i="35"/>
  <c r="L94" i="35" s="1"/>
  <c r="S94" i="35"/>
  <c r="S95" i="35" s="1"/>
  <c r="T94" i="35"/>
  <c r="U94" i="35"/>
  <c r="V94" i="35"/>
  <c r="W94" i="35"/>
  <c r="X94" i="35"/>
  <c r="Y94" i="35"/>
  <c r="Z94" i="35"/>
  <c r="AG94" i="35"/>
  <c r="AH94" i="35"/>
  <c r="AI94" i="35" s="1"/>
  <c r="A95" i="35"/>
  <c r="A96" i="35" s="1"/>
  <c r="A97" i="35" s="1"/>
  <c r="A98" i="35" s="1"/>
  <c r="A99" i="35" s="1"/>
  <c r="A100" i="35" s="1"/>
  <c r="A101" i="35" s="1"/>
  <c r="A102" i="35" s="1"/>
  <c r="A103" i="35" s="1"/>
  <c r="C95" i="35"/>
  <c r="K95" i="35" s="1"/>
  <c r="D95" i="35"/>
  <c r="L95" i="35" s="1"/>
  <c r="T95" i="35"/>
  <c r="U95" i="35"/>
  <c r="V95" i="35"/>
  <c r="W95" i="35"/>
  <c r="X95" i="35"/>
  <c r="Y95" i="35"/>
  <c r="Z95" i="35"/>
  <c r="AG95" i="35"/>
  <c r="AH95" i="35"/>
  <c r="C96" i="35"/>
  <c r="K96" i="35" s="1"/>
  <c r="D96" i="35"/>
  <c r="L96" i="35" s="1"/>
  <c r="T96" i="35"/>
  <c r="U96" i="35"/>
  <c r="V96" i="35"/>
  <c r="W96" i="35"/>
  <c r="X96" i="35"/>
  <c r="Y96" i="35"/>
  <c r="Z96" i="35"/>
  <c r="AG96" i="35"/>
  <c r="AH96" i="35"/>
  <c r="AI96" i="35" s="1"/>
  <c r="C97" i="35"/>
  <c r="K97" i="35" s="1"/>
  <c r="D97" i="35"/>
  <c r="L97" i="35" s="1"/>
  <c r="T97" i="35"/>
  <c r="U97" i="35"/>
  <c r="V97" i="35"/>
  <c r="W97" i="35"/>
  <c r="X97" i="35"/>
  <c r="Y97" i="35"/>
  <c r="Z97" i="35"/>
  <c r="AG97" i="35"/>
  <c r="AH97" i="35"/>
  <c r="AI97" i="35" s="1"/>
  <c r="C98" i="35"/>
  <c r="K98" i="35" s="1"/>
  <c r="D98" i="35"/>
  <c r="L98" i="35" s="1"/>
  <c r="T98" i="35"/>
  <c r="U98" i="35"/>
  <c r="V98" i="35"/>
  <c r="W98" i="35"/>
  <c r="X98" i="35"/>
  <c r="Y98" i="35"/>
  <c r="Z98" i="35"/>
  <c r="AG98" i="35"/>
  <c r="AH98" i="35"/>
  <c r="AI98" i="35" s="1"/>
  <c r="C99" i="35"/>
  <c r="K99" i="35" s="1"/>
  <c r="D99" i="35"/>
  <c r="L99" i="35" s="1"/>
  <c r="T99" i="35"/>
  <c r="U99" i="35"/>
  <c r="V99" i="35"/>
  <c r="W99" i="35"/>
  <c r="X99" i="35"/>
  <c r="Y99" i="35"/>
  <c r="Z99" i="35"/>
  <c r="AG99" i="35"/>
  <c r="AH99" i="35"/>
  <c r="AI99" i="35" s="1"/>
  <c r="C100" i="35"/>
  <c r="K100" i="35" s="1"/>
  <c r="D100" i="35"/>
  <c r="L100" i="35" s="1"/>
  <c r="T100" i="35"/>
  <c r="U100" i="35"/>
  <c r="V100" i="35"/>
  <c r="W100" i="35"/>
  <c r="X100" i="35"/>
  <c r="Y100" i="35"/>
  <c r="Z100" i="35"/>
  <c r="AG100" i="35"/>
  <c r="AH100" i="35"/>
  <c r="AI100" i="35" s="1"/>
  <c r="C101" i="35"/>
  <c r="K101" i="35" s="1"/>
  <c r="D101" i="35"/>
  <c r="L101" i="35" s="1"/>
  <c r="T101" i="35"/>
  <c r="U101" i="35"/>
  <c r="V101" i="35"/>
  <c r="W101" i="35"/>
  <c r="X101" i="35"/>
  <c r="Y101" i="35"/>
  <c r="Z101" i="35"/>
  <c r="AG101" i="35"/>
  <c r="AH101" i="35"/>
  <c r="AI101" i="35" s="1"/>
  <c r="C102" i="35"/>
  <c r="K102" i="35" s="1"/>
  <c r="D102" i="35"/>
  <c r="L102" i="35" s="1"/>
  <c r="T102" i="35"/>
  <c r="U102" i="35"/>
  <c r="V102" i="35"/>
  <c r="W102" i="35"/>
  <c r="X102" i="35"/>
  <c r="Y102" i="35"/>
  <c r="Z102" i="35"/>
  <c r="AG102" i="35"/>
  <c r="AH102" i="35"/>
  <c r="AI102" i="35" s="1"/>
  <c r="C103" i="35"/>
  <c r="K103" i="35" s="1"/>
  <c r="D103" i="35"/>
  <c r="L103" i="35" s="1"/>
  <c r="T103" i="35"/>
  <c r="U103" i="35"/>
  <c r="V103" i="35"/>
  <c r="W103" i="35"/>
  <c r="X103" i="35"/>
  <c r="Y103" i="35"/>
  <c r="Z103" i="35"/>
  <c r="AG103" i="35"/>
  <c r="AH103" i="35"/>
  <c r="AI103" i="35" s="1"/>
  <c r="C110" i="35"/>
  <c r="E110" i="35" s="1"/>
  <c r="G110" i="35"/>
  <c r="L110" i="35" s="1"/>
  <c r="K110" i="35"/>
  <c r="L111" i="35"/>
  <c r="K111" i="35"/>
  <c r="A112" i="35"/>
  <c r="A113" i="35" s="1"/>
  <c r="A114" i="35" s="1"/>
  <c r="A115" i="35" s="1"/>
  <c r="A116" i="35" s="1"/>
  <c r="A117" i="35" s="1"/>
  <c r="A118" i="35" s="1"/>
  <c r="A119" i="35" s="1"/>
  <c r="L112" i="35"/>
  <c r="K112" i="35"/>
  <c r="L113" i="35"/>
  <c r="K113" i="35"/>
  <c r="L114" i="35"/>
  <c r="K114" i="35"/>
  <c r="L115" i="35"/>
  <c r="K115" i="35"/>
  <c r="L116" i="35"/>
  <c r="K116" i="35"/>
  <c r="L117" i="35"/>
  <c r="K117" i="35"/>
  <c r="L118" i="35"/>
  <c r="K118" i="35"/>
  <c r="L119" i="35"/>
  <c r="K119" i="35"/>
  <c r="CJ25" i="3"/>
  <c r="BX27" i="3"/>
  <c r="BY27" i="3"/>
  <c r="CB42" i="3"/>
  <c r="CC42" i="3"/>
  <c r="CD42" i="3"/>
  <c r="CB43" i="3"/>
  <c r="CC43" i="3"/>
  <c r="CD43" i="3"/>
  <c r="CB44" i="3"/>
  <c r="CC44" i="3"/>
  <c r="CD44" i="3"/>
  <c r="CB45" i="3"/>
  <c r="CC45" i="3"/>
  <c r="CD45" i="3"/>
  <c r="BY43" i="3"/>
  <c r="BY52" i="3"/>
  <c r="BY53" i="3"/>
  <c r="BO79" i="3"/>
  <c r="CH105" i="3"/>
  <c r="BP106" i="3"/>
  <c r="BT41" i="3" s="1"/>
  <c r="BQ106" i="3"/>
  <c r="BQ41" i="3" s="1"/>
  <c r="BR106" i="3"/>
  <c r="CH106" i="3"/>
  <c r="CH107" i="3"/>
  <c r="CH109" i="3"/>
  <c r="I50" i="100"/>
  <c r="I49" i="100"/>
  <c r="I51" i="100"/>
  <c r="I54" i="100"/>
  <c r="I53" i="100"/>
  <c r="I52" i="100"/>
  <c r="N43" i="79" l="1"/>
  <c r="N46" i="79"/>
  <c r="N41" i="79"/>
  <c r="N44" i="79"/>
  <c r="N42" i="79"/>
  <c r="N45" i="79"/>
  <c r="H138" i="35"/>
  <c r="P30" i="80"/>
  <c r="L30" i="80" s="1"/>
  <c r="F138" i="35"/>
  <c r="N132" i="35"/>
  <c r="AW132" i="35"/>
  <c r="N129" i="35"/>
  <c r="AW129" i="35"/>
  <c r="N133" i="35"/>
  <c r="AW133" i="35"/>
  <c r="N134" i="35"/>
  <c r="AW134" i="35"/>
  <c r="BJ129" i="35"/>
  <c r="BS129" i="35"/>
  <c r="BI129" i="35"/>
  <c r="BT129" i="35"/>
  <c r="BN129" i="35"/>
  <c r="BG129" i="35"/>
  <c r="BH129" i="35"/>
  <c r="BO129" i="35"/>
  <c r="BP129" i="35"/>
  <c r="BQ129" i="35"/>
  <c r="T133" i="35"/>
  <c r="BJ133" i="35"/>
  <c r="BS133" i="35"/>
  <c r="BI133" i="35"/>
  <c r="BT133" i="35"/>
  <c r="BN133" i="35"/>
  <c r="BG133" i="35"/>
  <c r="BO133" i="35"/>
  <c r="BQ133" i="35"/>
  <c r="BP133" i="35"/>
  <c r="BH133" i="35"/>
  <c r="BJ132" i="35"/>
  <c r="BS132" i="35"/>
  <c r="BI132" i="35"/>
  <c r="BP132" i="35"/>
  <c r="BT132" i="35"/>
  <c r="BQ132" i="35"/>
  <c r="BO132" i="35"/>
  <c r="BH132" i="35"/>
  <c r="BG132" i="35"/>
  <c r="BN132" i="35"/>
  <c r="BS134" i="35"/>
  <c r="BI134" i="35"/>
  <c r="BJ134" i="35"/>
  <c r="BP134" i="35"/>
  <c r="BT134" i="35"/>
  <c r="BQ134" i="35"/>
  <c r="BN134" i="35"/>
  <c r="BG134" i="35"/>
  <c r="BO134" i="35"/>
  <c r="BH134" i="35"/>
  <c r="BI127" i="35"/>
  <c r="BS131" i="35"/>
  <c r="BI131" i="35"/>
  <c r="BJ131" i="35"/>
  <c r="BO131" i="35"/>
  <c r="BH131" i="35"/>
  <c r="BG131" i="35"/>
  <c r="BQ131" i="35"/>
  <c r="BT131" i="35"/>
  <c r="BP131" i="35"/>
  <c r="BN131" i="35"/>
  <c r="BS130" i="35"/>
  <c r="BI130" i="35"/>
  <c r="BJ130" i="35"/>
  <c r="BP130" i="35"/>
  <c r="BH130" i="35"/>
  <c r="BT130" i="35"/>
  <c r="BQ130" i="35"/>
  <c r="BN130" i="35"/>
  <c r="BG130" i="35"/>
  <c r="BO130" i="35"/>
  <c r="C128" i="35"/>
  <c r="T128" i="35" s="1"/>
  <c r="AF128" i="35" s="1"/>
  <c r="AK128" i="35" s="1"/>
  <c r="J128" i="35"/>
  <c r="H128" i="35"/>
  <c r="I128" i="35"/>
  <c r="N128" i="35"/>
  <c r="AW128" i="35"/>
  <c r="I127" i="35"/>
  <c r="J127" i="35"/>
  <c r="N127" i="35"/>
  <c r="AW127" i="35"/>
  <c r="H127" i="35"/>
  <c r="AQ126" i="35"/>
  <c r="AZ126" i="35"/>
  <c r="AY133" i="35"/>
  <c r="Q133" i="35"/>
  <c r="Q132" i="35"/>
  <c r="AY132" i="35"/>
  <c r="AY125" i="35"/>
  <c r="Q134" i="35"/>
  <c r="AY134" i="35"/>
  <c r="Q130" i="35"/>
  <c r="AY130" i="35"/>
  <c r="Q129" i="35"/>
  <c r="AY129" i="35"/>
  <c r="AY128" i="35"/>
  <c r="AY131" i="35"/>
  <c r="Q131" i="35"/>
  <c r="AY127" i="35"/>
  <c r="AI95" i="35"/>
  <c r="C126" i="35"/>
  <c r="I126" i="35"/>
  <c r="J126" i="35"/>
  <c r="H126" i="35"/>
  <c r="AR126" i="35"/>
  <c r="O129" i="35"/>
  <c r="P129" i="35"/>
  <c r="P134" i="35"/>
  <c r="O134" i="35"/>
  <c r="P133" i="35"/>
  <c r="O133" i="35"/>
  <c r="O131" i="35"/>
  <c r="P131" i="35"/>
  <c r="P130" i="35"/>
  <c r="O130" i="35"/>
  <c r="O128" i="35"/>
  <c r="P128" i="35"/>
  <c r="P127" i="35"/>
  <c r="O127" i="35"/>
  <c r="P126" i="35"/>
  <c r="O126" i="35"/>
  <c r="P125" i="35"/>
  <c r="O125" i="35"/>
  <c r="O132" i="35"/>
  <c r="P132" i="35"/>
  <c r="N125" i="35"/>
  <c r="AW125" i="35"/>
  <c r="AR125" i="35"/>
  <c r="C125" i="35"/>
  <c r="H125" i="35"/>
  <c r="I125" i="35"/>
  <c r="J125" i="35"/>
  <c r="K143" i="35"/>
  <c r="H143" i="35"/>
  <c r="E140" i="35"/>
  <c r="H140" i="35"/>
  <c r="K146" i="35"/>
  <c r="K147" i="35"/>
  <c r="H147" i="35"/>
  <c r="D139" i="35"/>
  <c r="H139" i="35"/>
  <c r="K145" i="35"/>
  <c r="H145" i="35"/>
  <c r="D144" i="35"/>
  <c r="H144" i="35"/>
  <c r="K141" i="35"/>
  <c r="H141" i="35"/>
  <c r="E143" i="35"/>
  <c r="K142" i="35"/>
  <c r="H142" i="35"/>
  <c r="AC134" i="35"/>
  <c r="G134" i="35"/>
  <c r="AP134" i="35"/>
  <c r="AD129" i="35"/>
  <c r="AP129" i="35"/>
  <c r="G129" i="35"/>
  <c r="G127" i="35"/>
  <c r="AP127" i="35"/>
  <c r="X133" i="35"/>
  <c r="G133" i="35"/>
  <c r="AP133" i="35"/>
  <c r="G131" i="35"/>
  <c r="AP131" i="35"/>
  <c r="G130" i="35"/>
  <c r="AP130" i="35"/>
  <c r="AP132" i="35"/>
  <c r="G132" i="35"/>
  <c r="BB133" i="35"/>
  <c r="AK133" i="35"/>
  <c r="BM133" i="35"/>
  <c r="Y133" i="35"/>
  <c r="R143" i="35"/>
  <c r="R145" i="35"/>
  <c r="O145" i="35"/>
  <c r="U145" i="35" s="1"/>
  <c r="Z145" i="35" s="1"/>
  <c r="K144" i="35"/>
  <c r="S141" i="35"/>
  <c r="I144" i="35"/>
  <c r="E144" i="35"/>
  <c r="D146" i="35"/>
  <c r="D143" i="35"/>
  <c r="R141" i="35"/>
  <c r="D140" i="35"/>
  <c r="I139" i="35"/>
  <c r="K139" i="35"/>
  <c r="S147" i="35"/>
  <c r="I147" i="35"/>
  <c r="D147" i="35"/>
  <c r="S139" i="35"/>
  <c r="E139" i="35"/>
  <c r="N126" i="35"/>
  <c r="BV133" i="35"/>
  <c r="AJ133" i="35"/>
  <c r="BR133" i="35"/>
  <c r="AB133" i="35"/>
  <c r="N116" i="35"/>
  <c r="O116" i="35" s="1"/>
  <c r="AC133" i="35"/>
  <c r="BA133" i="35"/>
  <c r="AG133" i="35"/>
  <c r="U133" i="35"/>
  <c r="N130" i="35"/>
  <c r="AD101" i="35"/>
  <c r="AD97" i="35"/>
  <c r="BF133" i="35"/>
  <c r="AS133" i="35"/>
  <c r="AF133" i="35"/>
  <c r="AB100" i="35"/>
  <c r="AA100" i="35"/>
  <c r="AC100" i="35" s="1"/>
  <c r="AD99" i="35"/>
  <c r="BB134" i="35"/>
  <c r="AK134" i="35"/>
  <c r="Z129" i="35"/>
  <c r="AB101" i="35"/>
  <c r="AA98" i="35"/>
  <c r="AC98" i="35" s="1"/>
  <c r="N98" i="35"/>
  <c r="O98" i="35" s="1"/>
  <c r="AB95" i="35"/>
  <c r="BC129" i="35"/>
  <c r="BS41" i="3"/>
  <c r="T144" i="35"/>
  <c r="X144" i="35" s="1"/>
  <c r="C46" i="81"/>
  <c r="C40" i="81"/>
  <c r="C48" i="81" s="1"/>
  <c r="N110" i="35"/>
  <c r="O110" i="35" s="1"/>
  <c r="S140" i="35"/>
  <c r="T141" i="35"/>
  <c r="V141" i="35" s="1"/>
  <c r="E147" i="35"/>
  <c r="S144" i="35"/>
  <c r="I140" i="35"/>
  <c r="U141" i="35"/>
  <c r="W141" i="35" s="1"/>
  <c r="Y141" i="35" s="1"/>
  <c r="T140" i="35"/>
  <c r="X140" i="35" s="1"/>
  <c r="T127" i="35"/>
  <c r="BF127" i="35"/>
  <c r="BG127" i="35" s="1"/>
  <c r="W127" i="35"/>
  <c r="X127" i="35"/>
  <c r="T132" i="35"/>
  <c r="BB132" i="35"/>
  <c r="Y132" i="35"/>
  <c r="AS132" i="35"/>
  <c r="BD132" i="35"/>
  <c r="BV132" i="35"/>
  <c r="AE132" i="35"/>
  <c r="BL132" i="35"/>
  <c r="AJ132" i="35"/>
  <c r="BM132" i="35"/>
  <c r="U131" i="35"/>
  <c r="R131" i="35"/>
  <c r="W131" i="35"/>
  <c r="AB131" i="35"/>
  <c r="AH131" i="35"/>
  <c r="BA131" i="35"/>
  <c r="BF131" i="35"/>
  <c r="BM131" i="35"/>
  <c r="BV131" i="35"/>
  <c r="AA131" i="35"/>
  <c r="BD131" i="35"/>
  <c r="S131" i="35"/>
  <c r="X131" i="35"/>
  <c r="AD131" i="35"/>
  <c r="AI131" i="35"/>
  <c r="BB131" i="35"/>
  <c r="BR131" i="35"/>
  <c r="AL131" i="35"/>
  <c r="T131" i="35"/>
  <c r="Z131" i="35"/>
  <c r="AE131" i="35"/>
  <c r="AJ131" i="35"/>
  <c r="BC131" i="35"/>
  <c r="V131" i="35"/>
  <c r="AF131" i="35"/>
  <c r="AS131" i="35"/>
  <c r="BL131" i="35"/>
  <c r="W130" i="35"/>
  <c r="BL130" i="35"/>
  <c r="AD96" i="35"/>
  <c r="AA103" i="35"/>
  <c r="AC103" i="35" s="1"/>
  <c r="N101" i="35"/>
  <c r="N100" i="35"/>
  <c r="AD98" i="35"/>
  <c r="AD103" i="35"/>
  <c r="AB99" i="35"/>
  <c r="S146" i="35"/>
  <c r="S142" i="35"/>
  <c r="E138" i="35"/>
  <c r="G138" i="35" s="1"/>
  <c r="I138" i="35"/>
  <c r="S134" i="35"/>
  <c r="W134" i="35"/>
  <c r="AA134" i="35"/>
  <c r="AE134" i="35"/>
  <c r="AI134" i="35"/>
  <c r="BD134" i="35"/>
  <c r="BL134" i="35"/>
  <c r="T134" i="35"/>
  <c r="X134" i="35"/>
  <c r="AB134" i="35"/>
  <c r="AF134" i="35"/>
  <c r="AJ134" i="35"/>
  <c r="AS134" i="35"/>
  <c r="BA134" i="35"/>
  <c r="BF134" i="35"/>
  <c r="BM134" i="35"/>
  <c r="BV134" i="35"/>
  <c r="I110" i="35"/>
  <c r="P110" i="35" s="1"/>
  <c r="AB94" i="35"/>
  <c r="AA94" i="35"/>
  <c r="O146" i="35"/>
  <c r="O142" i="35"/>
  <c r="S138" i="35"/>
  <c r="AH134" i="35"/>
  <c r="Z134" i="35"/>
  <c r="R134" i="35"/>
  <c r="AD102" i="35"/>
  <c r="N99" i="35"/>
  <c r="D145" i="35"/>
  <c r="E145" i="35"/>
  <c r="I145" i="35"/>
  <c r="U144" i="35"/>
  <c r="W144" i="35" s="1"/>
  <c r="D141" i="35"/>
  <c r="E141" i="35"/>
  <c r="I141" i="35"/>
  <c r="U140" i="35"/>
  <c r="K138" i="35"/>
  <c r="O138" i="35" s="1"/>
  <c r="BR134" i="35"/>
  <c r="AG134" i="35"/>
  <c r="Y134" i="35"/>
  <c r="R133" i="35"/>
  <c r="V133" i="35"/>
  <c r="Z133" i="35"/>
  <c r="AD133" i="35"/>
  <c r="AH133" i="35"/>
  <c r="AL133" i="35"/>
  <c r="BC133" i="35"/>
  <c r="S133" i="35"/>
  <c r="W133" i="35"/>
  <c r="AA133" i="35"/>
  <c r="AE133" i="35"/>
  <c r="AI133" i="35"/>
  <c r="BD133" i="35"/>
  <c r="BL133" i="35"/>
  <c r="R132" i="35"/>
  <c r="V132" i="35"/>
  <c r="Z132" i="35"/>
  <c r="AD132" i="35"/>
  <c r="AH132" i="35"/>
  <c r="AL132" i="35"/>
  <c r="BC132" i="35"/>
  <c r="U132" i="35"/>
  <c r="AA132" i="35"/>
  <c r="AF132" i="35"/>
  <c r="AK132" i="35"/>
  <c r="BF132" i="35"/>
  <c r="BR132" i="35"/>
  <c r="W132" i="35"/>
  <c r="AB132" i="35"/>
  <c r="AG132" i="35"/>
  <c r="BA132" i="35"/>
  <c r="AC132" i="35"/>
  <c r="S132" i="35"/>
  <c r="X132" i="35"/>
  <c r="AI132" i="35"/>
  <c r="N131" i="35"/>
  <c r="R146" i="35"/>
  <c r="R142" i="35"/>
  <c r="U134" i="35"/>
  <c r="AD95" i="35"/>
  <c r="O147" i="35"/>
  <c r="E146" i="35"/>
  <c r="I146" i="35"/>
  <c r="O143" i="35"/>
  <c r="E142" i="35"/>
  <c r="I142" i="35"/>
  <c r="O139" i="35"/>
  <c r="D138" i="35"/>
  <c r="BC134" i="35"/>
  <c r="AL134" i="35"/>
  <c r="AD134" i="35"/>
  <c r="V134" i="35"/>
  <c r="T130" i="35"/>
  <c r="X130" i="35"/>
  <c r="AB130" i="35"/>
  <c r="AF130" i="35"/>
  <c r="AJ130" i="35"/>
  <c r="AS130" i="35"/>
  <c r="BA130" i="35"/>
  <c r="BF130" i="35"/>
  <c r="BM130" i="35"/>
  <c r="BV130" i="35"/>
  <c r="U130" i="35"/>
  <c r="Y130" i="35"/>
  <c r="AC130" i="35"/>
  <c r="AG130" i="35"/>
  <c r="AK130" i="35"/>
  <c r="BB130" i="35"/>
  <c r="BR130" i="35"/>
  <c r="R130" i="35"/>
  <c r="V130" i="35"/>
  <c r="Z130" i="35"/>
  <c r="AD130" i="35"/>
  <c r="AH130" i="35"/>
  <c r="AL130" i="35"/>
  <c r="BC130" i="35"/>
  <c r="AA130" i="35"/>
  <c r="AE130" i="35"/>
  <c r="S130" i="35"/>
  <c r="AI130" i="35"/>
  <c r="BD130" i="35"/>
  <c r="S129" i="35"/>
  <c r="W129" i="35"/>
  <c r="AA129" i="35"/>
  <c r="AE129" i="35"/>
  <c r="AI129" i="35"/>
  <c r="BD129" i="35"/>
  <c r="BL129" i="35"/>
  <c r="T129" i="35"/>
  <c r="X129" i="35"/>
  <c r="AB129" i="35"/>
  <c r="AF129" i="35"/>
  <c r="AJ129" i="35"/>
  <c r="AS129" i="35"/>
  <c r="BA129" i="35"/>
  <c r="BF129" i="35"/>
  <c r="BM129" i="35"/>
  <c r="BV129" i="35"/>
  <c r="U129" i="35"/>
  <c r="Y129" i="35"/>
  <c r="AC129" i="35"/>
  <c r="AG129" i="35"/>
  <c r="AK129" i="35"/>
  <c r="BB129" i="35"/>
  <c r="BR129" i="35"/>
  <c r="N102" i="35"/>
  <c r="O102" i="35" s="1"/>
  <c r="AD100" i="35"/>
  <c r="R140" i="35"/>
  <c r="N114" i="35"/>
  <c r="O114" i="35" s="1"/>
  <c r="AA99" i="35"/>
  <c r="AC99" i="35" s="1"/>
  <c r="AB98" i="35"/>
  <c r="R144" i="35"/>
  <c r="AL129" i="35"/>
  <c r="V129" i="35"/>
  <c r="AB103" i="35"/>
  <c r="N103" i="35"/>
  <c r="O103" i="35" s="1"/>
  <c r="AB102" i="35"/>
  <c r="AA102" i="35"/>
  <c r="AC102" i="35" s="1"/>
  <c r="AA101" i="35"/>
  <c r="AC101" i="35" s="1"/>
  <c r="AE101" i="35" s="1"/>
  <c r="AB97" i="35"/>
  <c r="AA97" i="35"/>
  <c r="AC97" i="35" s="1"/>
  <c r="AB96" i="35"/>
  <c r="AA96" i="35"/>
  <c r="AA95" i="35"/>
  <c r="AC95" i="35" s="1"/>
  <c r="AD94" i="35"/>
  <c r="AH129" i="35"/>
  <c r="R129" i="35"/>
  <c r="AK131" i="35"/>
  <c r="AG131" i="35"/>
  <c r="AC131" i="35"/>
  <c r="Y131" i="35"/>
  <c r="Y127" i="35"/>
  <c r="S96" i="35"/>
  <c r="N118" i="35"/>
  <c r="O118" i="35" s="1"/>
  <c r="N112" i="35"/>
  <c r="O112" i="35" s="1"/>
  <c r="P119" i="35"/>
  <c r="P118" i="35"/>
  <c r="P117" i="35"/>
  <c r="P116" i="35"/>
  <c r="P115" i="35"/>
  <c r="P114" i="35"/>
  <c r="P113" i="35"/>
  <c r="P112" i="35"/>
  <c r="P111" i="35"/>
  <c r="N119" i="35"/>
  <c r="O119" i="35" s="1"/>
  <c r="N117" i="35"/>
  <c r="O117" i="35" s="1"/>
  <c r="N115" i="35"/>
  <c r="O115" i="35" s="1"/>
  <c r="N113" i="35"/>
  <c r="O113" i="35" s="1"/>
  <c r="N111" i="35"/>
  <c r="O111" i="35" s="1"/>
  <c r="BR41" i="3"/>
  <c r="M30" i="80" l="1"/>
  <c r="AA30" i="80"/>
  <c r="AC30" i="80" s="1"/>
  <c r="AE102" i="35"/>
  <c r="S128" i="35"/>
  <c r="AP128" i="35"/>
  <c r="AS128" i="35" s="1"/>
  <c r="W128" i="35"/>
  <c r="G128" i="35"/>
  <c r="Y128" i="35"/>
  <c r="BF128" i="35"/>
  <c r="BH128" i="35" s="1"/>
  <c r="Q128" i="35"/>
  <c r="AZ128" i="35"/>
  <c r="BB128" i="35" s="1"/>
  <c r="BL128" i="35" s="1"/>
  <c r="X128" i="35"/>
  <c r="U128" i="35"/>
  <c r="AZ127" i="35"/>
  <c r="BB127" i="35" s="1"/>
  <c r="BL127" i="35" s="1"/>
  <c r="BA128" i="35"/>
  <c r="R128" i="35"/>
  <c r="AD128" i="35" s="1"/>
  <c r="AI128" i="35" s="1"/>
  <c r="S127" i="35"/>
  <c r="Q125" i="35"/>
  <c r="AA125" i="35" s="1"/>
  <c r="Q127" i="35"/>
  <c r="Z127" i="35" s="1"/>
  <c r="V128" i="35"/>
  <c r="BJ127" i="35"/>
  <c r="BJ128" i="35"/>
  <c r="BI128" i="35"/>
  <c r="BC128" i="35"/>
  <c r="BD128" i="35" s="1"/>
  <c r="Z128" i="35"/>
  <c r="AG128" i="35" s="1"/>
  <c r="AA128" i="35"/>
  <c r="AB128" i="35" s="1"/>
  <c r="BM128" i="35" s="1"/>
  <c r="AE127" i="35"/>
  <c r="AJ127" i="35" s="1"/>
  <c r="AF127" i="35"/>
  <c r="AK127" i="35" s="1"/>
  <c r="U127" i="35"/>
  <c r="AC96" i="35"/>
  <c r="AE96" i="35" s="1"/>
  <c r="BA127" i="35"/>
  <c r="AC128" i="35"/>
  <c r="AE128" i="35"/>
  <c r="AJ128" i="35" s="1"/>
  <c r="R127" i="35"/>
  <c r="AD127" i="35" s="1"/>
  <c r="AA127" i="35"/>
  <c r="BO128" i="35"/>
  <c r="AS127" i="35"/>
  <c r="V127" i="35"/>
  <c r="BG128" i="35"/>
  <c r="BH127" i="35"/>
  <c r="AZ125" i="35"/>
  <c r="BB125" i="35" s="1"/>
  <c r="BL125" i="35" s="1"/>
  <c r="AE95" i="35"/>
  <c r="N95" i="35" s="1"/>
  <c r="AP126" i="35"/>
  <c r="AS126" i="35" s="1"/>
  <c r="G125" i="35"/>
  <c r="U125" i="35" s="1"/>
  <c r="BF126" i="35"/>
  <c r="X126" i="35"/>
  <c r="W126" i="35"/>
  <c r="G126" i="35"/>
  <c r="U126" i="35" s="1"/>
  <c r="V126" i="35"/>
  <c r="P101" i="35"/>
  <c r="O101" i="35"/>
  <c r="P99" i="35"/>
  <c r="O99" i="35"/>
  <c r="P100" i="35"/>
  <c r="O100" i="35"/>
  <c r="BB126" i="35"/>
  <c r="BL126" i="35" s="1"/>
  <c r="Q126" i="35"/>
  <c r="AA126" i="35" s="1"/>
  <c r="AB126" i="35" s="1"/>
  <c r="BM126" i="35" s="1"/>
  <c r="T126" i="35"/>
  <c r="Y126" i="35"/>
  <c r="S126" i="35"/>
  <c r="Y125" i="35"/>
  <c r="AP125" i="35"/>
  <c r="AS125" i="35" s="1"/>
  <c r="BF125" i="35"/>
  <c r="BG125" i="35" s="1"/>
  <c r="W125" i="35"/>
  <c r="V125" i="35"/>
  <c r="X125" i="35"/>
  <c r="AC94" i="35"/>
  <c r="AE94" i="35" s="1"/>
  <c r="AE98" i="35"/>
  <c r="AE103" i="35"/>
  <c r="T145" i="35"/>
  <c r="V145" i="35" s="1"/>
  <c r="V140" i="35"/>
  <c r="AE100" i="35"/>
  <c r="AE99" i="35"/>
  <c r="AE97" i="35"/>
  <c r="P102" i="35"/>
  <c r="P103" i="35"/>
  <c r="P98" i="35"/>
  <c r="V144" i="35"/>
  <c r="AB144" i="35" s="1"/>
  <c r="Z141" i="35"/>
  <c r="X141" i="35"/>
  <c r="W145" i="35"/>
  <c r="Y145" i="35" s="1"/>
  <c r="Y144" i="35"/>
  <c r="Z144" i="35"/>
  <c r="T138" i="35"/>
  <c r="U138" i="35"/>
  <c r="T146" i="35"/>
  <c r="U146" i="35"/>
  <c r="Z140" i="35"/>
  <c r="W140" i="35"/>
  <c r="Y140" i="35" s="1"/>
  <c r="AB141" i="35"/>
  <c r="T139" i="35"/>
  <c r="U139" i="35"/>
  <c r="T143" i="35"/>
  <c r="U143" i="35"/>
  <c r="T147" i="35"/>
  <c r="U147" i="35"/>
  <c r="T142" i="35"/>
  <c r="U142" i="35"/>
  <c r="S97" i="35"/>
  <c r="AA42" i="80" l="1"/>
  <c r="AG127" i="35"/>
  <c r="T125" i="35"/>
  <c r="AH127" i="35"/>
  <c r="BT127" i="35"/>
  <c r="AC127" i="35"/>
  <c r="AI127" i="35"/>
  <c r="N97" i="35"/>
  <c r="AK59" i="79"/>
  <c r="BC127" i="35"/>
  <c r="BD127" i="35" s="1"/>
  <c r="BV127" i="35" s="1"/>
  <c r="N96" i="35"/>
  <c r="Y39" i="79" s="1"/>
  <c r="AK58" i="79"/>
  <c r="BN128" i="35"/>
  <c r="BR128" i="35" s="1"/>
  <c r="BP128" i="35"/>
  <c r="AK57" i="79"/>
  <c r="AL128" i="35"/>
  <c r="BS128" i="35" s="1"/>
  <c r="AM128" i="35"/>
  <c r="AH128" i="35"/>
  <c r="BV128" i="35" s="1"/>
  <c r="AB127" i="35"/>
  <c r="BM127" i="35" s="1"/>
  <c r="BQ128" i="35"/>
  <c r="BT128" i="35"/>
  <c r="BO127" i="35"/>
  <c r="BN127" i="35"/>
  <c r="BR127" i="35" s="1"/>
  <c r="BQ127" i="35"/>
  <c r="AL127" i="35"/>
  <c r="AM127" i="35" s="1"/>
  <c r="BP127" i="35"/>
  <c r="BA126" i="35"/>
  <c r="BC126" i="35" s="1"/>
  <c r="BD126" i="35" s="1"/>
  <c r="R125" i="35"/>
  <c r="AD125" i="35" s="1"/>
  <c r="S125" i="35"/>
  <c r="AE125" i="35" s="1"/>
  <c r="AJ125" i="35" s="1"/>
  <c r="BH125" i="35"/>
  <c r="BI125" i="35" s="1"/>
  <c r="BJ125" i="35" s="1"/>
  <c r="Z125" i="35"/>
  <c r="AG125" i="35" s="1"/>
  <c r="BG126" i="35"/>
  <c r="BH126" i="35" s="1"/>
  <c r="AE126" i="35"/>
  <c r="AJ126" i="35" s="1"/>
  <c r="R126" i="35"/>
  <c r="AD126" i="35" s="1"/>
  <c r="Y38" i="79"/>
  <c r="P95" i="35"/>
  <c r="Z126" i="35"/>
  <c r="AF126" i="35"/>
  <c r="BA125" i="35"/>
  <c r="BC125" i="35" s="1"/>
  <c r="BD125" i="35" s="1"/>
  <c r="AF125" i="35"/>
  <c r="AK125" i="35" s="1"/>
  <c r="AB125" i="35"/>
  <c r="BM125" i="35" s="1"/>
  <c r="AK56" i="79"/>
  <c r="N94" i="35"/>
  <c r="X145" i="35"/>
  <c r="AB145" i="35"/>
  <c r="V142" i="35"/>
  <c r="X142" i="35"/>
  <c r="V147" i="35"/>
  <c r="X147" i="35"/>
  <c r="Z138" i="35"/>
  <c r="W138" i="35"/>
  <c r="Y138" i="35" s="1"/>
  <c r="V143" i="35"/>
  <c r="X143" i="35"/>
  <c r="Z146" i="35"/>
  <c r="W146" i="35"/>
  <c r="Y146" i="35" s="1"/>
  <c r="W147" i="35"/>
  <c r="Y147" i="35" s="1"/>
  <c r="Z147" i="35"/>
  <c r="X146" i="35"/>
  <c r="V146" i="35"/>
  <c r="AB140" i="35"/>
  <c r="W139" i="35"/>
  <c r="Y139" i="35" s="1"/>
  <c r="Z139" i="35"/>
  <c r="Z142" i="35"/>
  <c r="W142" i="35"/>
  <c r="Y142" i="35" s="1"/>
  <c r="W143" i="35"/>
  <c r="Y143" i="35" s="1"/>
  <c r="Z143" i="35"/>
  <c r="V139" i="35"/>
  <c r="X139" i="35"/>
  <c r="V138" i="35"/>
  <c r="X138" i="35"/>
  <c r="S98" i="35"/>
  <c r="S99" i="35" s="1"/>
  <c r="I46" i="100"/>
  <c r="I47" i="100"/>
  <c r="M38" i="79" l="1"/>
  <c r="BI126" i="35"/>
  <c r="BJ126" i="35"/>
  <c r="P96" i="35"/>
  <c r="BS127" i="35"/>
  <c r="Y40" i="79"/>
  <c r="M39" i="79"/>
  <c r="N39" i="79"/>
  <c r="O96" i="35" s="1"/>
  <c r="AK39" i="79" s="1"/>
  <c r="P97" i="35"/>
  <c r="AC125" i="35"/>
  <c r="AL125" i="35" s="1"/>
  <c r="AI126" i="35"/>
  <c r="BT126" i="35"/>
  <c r="BP125" i="35"/>
  <c r="AI125" i="35"/>
  <c r="BT125" i="35"/>
  <c r="N38" i="79"/>
  <c r="O95" i="35" s="1"/>
  <c r="AK38" i="79" s="1"/>
  <c r="Y37" i="79"/>
  <c r="AC126" i="35"/>
  <c r="AG126" i="35"/>
  <c r="BP126" i="35" s="1"/>
  <c r="AK126" i="35"/>
  <c r="P94" i="35"/>
  <c r="AH125" i="35"/>
  <c r="BV125" i="35" s="1"/>
  <c r="AB138" i="35"/>
  <c r="AB139" i="35"/>
  <c r="AB147" i="35"/>
  <c r="AB143" i="35"/>
  <c r="S100" i="35"/>
  <c r="S101" i="35" s="1"/>
  <c r="S102" i="35" s="1"/>
  <c r="AB146" i="35"/>
  <c r="AB142" i="35"/>
  <c r="I45" i="100"/>
  <c r="I48" i="100"/>
  <c r="BN125" i="35" l="1"/>
  <c r="BR125" i="35" s="1"/>
  <c r="BS126" i="35"/>
  <c r="BO125" i="35"/>
  <c r="BS125" i="35"/>
  <c r="M40" i="79"/>
  <c r="N40" i="79"/>
  <c r="O97" i="35" s="1"/>
  <c r="AK40" i="79" s="1"/>
  <c r="BQ125" i="35"/>
  <c r="BQ126" i="35"/>
  <c r="BN126" i="35"/>
  <c r="BR126" i="35" s="1"/>
  <c r="BO126" i="35"/>
  <c r="AM125" i="35"/>
  <c r="N37" i="79"/>
  <c r="O94" i="35" s="1"/>
  <c r="AK37" i="79" s="1"/>
  <c r="CC41" i="3" s="1"/>
  <c r="AL126" i="35"/>
  <c r="AH126" i="35"/>
  <c r="BV126" i="35" s="1"/>
  <c r="S103" i="35"/>
  <c r="AM126" i="35" l="1"/>
  <c r="AM37" i="79"/>
  <c r="AL48" i="79"/>
  <c r="CB41" i="3"/>
  <c r="CD41" i="3"/>
  <c r="B2" i="41" l="1"/>
  <c r="R20" i="56" l="1"/>
  <c r="Q20" i="56"/>
  <c r="P20" i="56"/>
  <c r="O20" i="56"/>
  <c r="N20" i="56"/>
  <c r="T20" i="56" s="1"/>
  <c r="M20" i="56"/>
  <c r="B28" i="35" l="1"/>
  <c r="B29" i="35"/>
  <c r="B30" i="35"/>
  <c r="AY30" i="35" s="1"/>
  <c r="B31" i="35"/>
  <c r="AY31" i="35" s="1"/>
  <c r="B32" i="35"/>
  <c r="AY32" i="35" s="1"/>
  <c r="B33" i="35"/>
  <c r="AY33" i="35" s="1"/>
  <c r="B34" i="35"/>
  <c r="AY34" i="35" s="1"/>
  <c r="B35" i="35"/>
  <c r="AY35" i="35" s="1"/>
  <c r="B36" i="35"/>
  <c r="AY36" i="35" s="1"/>
  <c r="B27" i="35"/>
  <c r="AZ34" i="35" l="1"/>
  <c r="BB34" i="35" s="1"/>
  <c r="AZ28" i="35"/>
  <c r="BB28" i="35" s="1"/>
  <c r="AZ29" i="35"/>
  <c r="BB29" i="35" s="1"/>
  <c r="AY29" i="35"/>
  <c r="AZ27" i="35"/>
  <c r="AZ36" i="35"/>
  <c r="BB36" i="35" s="1"/>
  <c r="AZ35" i="35"/>
  <c r="BB35" i="35" s="1"/>
  <c r="AZ31" i="35"/>
  <c r="BB31" i="35" s="1"/>
  <c r="AZ33" i="35"/>
  <c r="BB33" i="35" s="1"/>
  <c r="AZ30" i="35"/>
  <c r="BB30" i="35" s="1"/>
  <c r="AZ32" i="35"/>
  <c r="BB32" i="35" s="1"/>
  <c r="Z67" i="44"/>
  <c r="Z68" i="44"/>
  <c r="Z69" i="44"/>
  <c r="Z70" i="44"/>
  <c r="AT28" i="35" l="1"/>
  <c r="AU28" i="35"/>
  <c r="AT29" i="35"/>
  <c r="AU29" i="35"/>
  <c r="AT30" i="35"/>
  <c r="AU30" i="35"/>
  <c r="AT31" i="35"/>
  <c r="AU31" i="35"/>
  <c r="AT32" i="35"/>
  <c r="AU32" i="35"/>
  <c r="AT33" i="35"/>
  <c r="AU33" i="35"/>
  <c r="AT34" i="35"/>
  <c r="AU34" i="35"/>
  <c r="AT35" i="35"/>
  <c r="AU35" i="35"/>
  <c r="AT36" i="35"/>
  <c r="AU36" i="35"/>
  <c r="AU27" i="35"/>
  <c r="AT27" i="35"/>
  <c r="AW27" i="35" l="1"/>
  <c r="AW36" i="35"/>
  <c r="AW34" i="35"/>
  <c r="AW32" i="35"/>
  <c r="AW30" i="35"/>
  <c r="AW28" i="35"/>
  <c r="AW35" i="35"/>
  <c r="AW31" i="35"/>
  <c r="AW29" i="35"/>
  <c r="AW33" i="35"/>
  <c r="AM106" i="3" l="1"/>
  <c r="AL106" i="3"/>
  <c r="AK106" i="3"/>
  <c r="AJ106" i="3"/>
  <c r="AI106" i="3"/>
  <c r="AH106" i="3"/>
  <c r="AM105" i="3"/>
  <c r="AL105" i="3"/>
  <c r="AK105" i="3"/>
  <c r="AJ105" i="3"/>
  <c r="AI105" i="3"/>
  <c r="AH105" i="3"/>
  <c r="AM104" i="3"/>
  <c r="AL104" i="3"/>
  <c r="AK104" i="3"/>
  <c r="AJ104" i="3"/>
  <c r="AI104" i="3"/>
  <c r="AH104" i="3"/>
  <c r="AM103" i="3"/>
  <c r="AL103" i="3"/>
  <c r="AK103" i="3"/>
  <c r="AJ103" i="3"/>
  <c r="AI103" i="3"/>
  <c r="AH103" i="3"/>
  <c r="AM90" i="3"/>
  <c r="AL90" i="3"/>
  <c r="AK90" i="3"/>
  <c r="AJ90" i="3"/>
  <c r="AI90" i="3"/>
  <c r="AH90" i="3"/>
  <c r="AM89" i="3"/>
  <c r="AL89" i="3"/>
  <c r="AK89" i="3"/>
  <c r="AJ89" i="3"/>
  <c r="AI89" i="3"/>
  <c r="AH89" i="3"/>
  <c r="AM88" i="3"/>
  <c r="AL88" i="3"/>
  <c r="AK88" i="3"/>
  <c r="AJ88" i="3"/>
  <c r="AI88" i="3"/>
  <c r="AH88" i="3"/>
  <c r="AM87" i="3"/>
  <c r="AL87" i="3"/>
  <c r="AK87" i="3"/>
  <c r="AJ87" i="3"/>
  <c r="AI87" i="3"/>
  <c r="AH87" i="3"/>
  <c r="BC30" i="35"/>
  <c r="BK30" i="35" s="1"/>
  <c r="BC31" i="35"/>
  <c r="BI31" i="35" s="1"/>
  <c r="BC32" i="35"/>
  <c r="BK32" i="35" s="1"/>
  <c r="BC33" i="35"/>
  <c r="BI33" i="35" s="1"/>
  <c r="BC34" i="35"/>
  <c r="BK34" i="35" s="1"/>
  <c r="BC35" i="35"/>
  <c r="BI35" i="35" s="1"/>
  <c r="BC36" i="35"/>
  <c r="BK36" i="35" s="1"/>
  <c r="BG34" i="35" l="1"/>
  <c r="BD31" i="35"/>
  <c r="BH35" i="35"/>
  <c r="BJ34" i="35"/>
  <c r="BD34" i="35"/>
  <c r="BG30" i="35"/>
  <c r="BH33" i="35"/>
  <c r="BJ30" i="35"/>
  <c r="BG33" i="35"/>
  <c r="BD30" i="35"/>
  <c r="BH31" i="35"/>
  <c r="BD35" i="35"/>
  <c r="BD33" i="35"/>
  <c r="BJ36" i="35"/>
  <c r="BG32" i="35"/>
  <c r="BG31" i="35"/>
  <c r="BI36" i="35"/>
  <c r="BI34" i="35"/>
  <c r="BI32" i="35"/>
  <c r="BI30" i="35"/>
  <c r="BK35" i="35"/>
  <c r="BK33" i="35"/>
  <c r="BK31" i="35"/>
  <c r="BD36" i="35"/>
  <c r="BD32" i="35"/>
  <c r="BJ32" i="35"/>
  <c r="BG36" i="35"/>
  <c r="BG35" i="35"/>
  <c r="BF36" i="35"/>
  <c r="BF35" i="35"/>
  <c r="BF34" i="35"/>
  <c r="BF33" i="35"/>
  <c r="BF32" i="35"/>
  <c r="BF31" i="35"/>
  <c r="BF30" i="35"/>
  <c r="BH36" i="35"/>
  <c r="BH34" i="35"/>
  <c r="BH32" i="35"/>
  <c r="BH30" i="35"/>
  <c r="BJ35" i="35"/>
  <c r="BJ33" i="35"/>
  <c r="BJ31" i="35"/>
  <c r="BE36" i="35"/>
  <c r="BE35" i="35"/>
  <c r="BE34" i="35"/>
  <c r="BE33" i="35"/>
  <c r="BE32" i="35"/>
  <c r="BE31" i="35"/>
  <c r="BE30" i="35"/>
  <c r="AQ28" i="35"/>
  <c r="AQ29" i="35"/>
  <c r="AQ30" i="35"/>
  <c r="BA30" i="35" s="1"/>
  <c r="AQ31" i="35"/>
  <c r="BA31" i="35" s="1"/>
  <c r="AQ32" i="35"/>
  <c r="BA32" i="35" s="1"/>
  <c r="AQ33" i="35"/>
  <c r="BA33" i="35" s="1"/>
  <c r="AQ34" i="35"/>
  <c r="BA34" i="35" s="1"/>
  <c r="AQ35" i="35"/>
  <c r="BA35" i="35" s="1"/>
  <c r="AQ36" i="35"/>
  <c r="BA36" i="35" s="1"/>
  <c r="AQ27" i="35"/>
  <c r="BA27" i="35" s="1"/>
  <c r="BB27" i="35" s="1"/>
  <c r="AP28" i="35"/>
  <c r="AP29" i="35"/>
  <c r="AP30" i="35"/>
  <c r="AP31" i="35"/>
  <c r="AP32" i="35"/>
  <c r="AP33" i="35"/>
  <c r="AP34" i="35"/>
  <c r="AP35" i="35"/>
  <c r="AP36" i="35"/>
  <c r="AP27" i="35"/>
  <c r="S28" i="35"/>
  <c r="T28" i="35"/>
  <c r="S29" i="35"/>
  <c r="T29" i="35"/>
  <c r="S30" i="35"/>
  <c r="T30" i="35"/>
  <c r="S31" i="35"/>
  <c r="T31" i="35"/>
  <c r="S32" i="35"/>
  <c r="T32" i="35"/>
  <c r="S33" i="35"/>
  <c r="T33" i="35"/>
  <c r="S34" i="35"/>
  <c r="T34" i="35"/>
  <c r="S35" i="35"/>
  <c r="T35" i="35"/>
  <c r="S36" i="35"/>
  <c r="T36" i="35"/>
  <c r="S27" i="35"/>
  <c r="Q28" i="35"/>
  <c r="P30" i="35"/>
  <c r="Q32" i="35"/>
  <c r="P34" i="35"/>
  <c r="AB84" i="44"/>
  <c r="AB86" i="44"/>
  <c r="AB87" i="44"/>
  <c r="AB88" i="44"/>
  <c r="AB89" i="44"/>
  <c r="AB90" i="44"/>
  <c r="AB91" i="44"/>
  <c r="Q36" i="35" l="1"/>
  <c r="Q29" i="35"/>
  <c r="Q33" i="35"/>
  <c r="BA28" i="35"/>
  <c r="BC28" i="35" s="1"/>
  <c r="BK28" i="35" s="1"/>
  <c r="BA29" i="35"/>
  <c r="BC29" i="35" s="1"/>
  <c r="N27" i="35"/>
  <c r="N33" i="35"/>
  <c r="N29" i="35"/>
  <c r="O35" i="35"/>
  <c r="O31" i="35"/>
  <c r="P27" i="35"/>
  <c r="P33" i="35"/>
  <c r="P29" i="35"/>
  <c r="Q35" i="35"/>
  <c r="Q31" i="35"/>
  <c r="N36" i="35"/>
  <c r="N32" i="35"/>
  <c r="N28" i="35"/>
  <c r="O34" i="35"/>
  <c r="O30" i="35"/>
  <c r="P36" i="35"/>
  <c r="P32" i="35"/>
  <c r="P28" i="35"/>
  <c r="Q34" i="35"/>
  <c r="Q30" i="35"/>
  <c r="N35" i="35"/>
  <c r="N31" i="35"/>
  <c r="O27" i="35"/>
  <c r="O33" i="35"/>
  <c r="O29" i="35"/>
  <c r="P35" i="35"/>
  <c r="P31" i="35"/>
  <c r="Q27" i="35"/>
  <c r="N34" i="35"/>
  <c r="N30" i="35"/>
  <c r="O36" i="35"/>
  <c r="O32" i="35"/>
  <c r="O28" i="35"/>
  <c r="L31" i="35" l="1"/>
  <c r="L32" i="35"/>
  <c r="L29" i="35"/>
  <c r="L28" i="35"/>
  <c r="L35" i="35"/>
  <c r="L30" i="35"/>
  <c r="L27" i="35"/>
  <c r="L36" i="35"/>
  <c r="L34" i="35"/>
  <c r="L33" i="35"/>
  <c r="M36" i="35"/>
  <c r="M33" i="35"/>
  <c r="M31" i="35"/>
  <c r="M28" i="35"/>
  <c r="M27" i="35"/>
  <c r="M35" i="35"/>
  <c r="M30" i="35"/>
  <c r="M32" i="35"/>
  <c r="M34" i="35"/>
  <c r="M29" i="35"/>
  <c r="BG28" i="35"/>
  <c r="BE28" i="35"/>
  <c r="BF28" i="35"/>
  <c r="BJ28" i="35"/>
  <c r="BD28" i="35"/>
  <c r="BF29" i="35"/>
  <c r="BG29" i="35"/>
  <c r="BK29" i="35"/>
  <c r="BD29" i="35"/>
  <c r="BJ29" i="35"/>
  <c r="BE29" i="35"/>
  <c r="B215" i="55"/>
  <c r="B227" i="55"/>
  <c r="U21" i="56" l="1"/>
  <c r="U20" i="56"/>
  <c r="U5" i="56"/>
  <c r="A1" i="45" l="1"/>
  <c r="B1" i="91" l="1"/>
  <c r="B1" i="98"/>
  <c r="B1" i="94"/>
  <c r="B1" i="96"/>
  <c r="B1" i="92"/>
  <c r="B1" i="97"/>
  <c r="B1" i="93"/>
  <c r="B1" i="95"/>
  <c r="C5" i="22"/>
  <c r="Q19" i="56" l="1"/>
  <c r="Q10" i="56"/>
  <c r="R8" i="56"/>
  <c r="U6" i="56"/>
  <c r="R19" i="56"/>
  <c r="P19" i="56"/>
  <c r="O19" i="56"/>
  <c r="M19" i="56"/>
  <c r="R18" i="56"/>
  <c r="Q18" i="56"/>
  <c r="P18" i="56"/>
  <c r="O18" i="56"/>
  <c r="N18" i="56"/>
  <c r="M18" i="56"/>
  <c r="AB17" i="56"/>
  <c r="AB22" i="56" s="1"/>
  <c r="S17" i="56"/>
  <c r="S22" i="56" s="1"/>
  <c r="R17" i="56"/>
  <c r="R22" i="56" s="1"/>
  <c r="Q17" i="56"/>
  <c r="Q22" i="56" s="1"/>
  <c r="P17" i="56"/>
  <c r="P22" i="56" s="1"/>
  <c r="O17" i="56"/>
  <c r="O22" i="56" s="1"/>
  <c r="N17" i="56"/>
  <c r="M17" i="56"/>
  <c r="M22" i="56" s="1"/>
  <c r="R16" i="56"/>
  <c r="Q16" i="56"/>
  <c r="P16" i="56"/>
  <c r="R15" i="56"/>
  <c r="P15" i="56"/>
  <c r="S14" i="56"/>
  <c r="R14" i="56"/>
  <c r="Q14" i="56"/>
  <c r="P14" i="56"/>
  <c r="O14" i="56"/>
  <c r="N14" i="56"/>
  <c r="T14" i="56" s="1"/>
  <c r="M14" i="56"/>
  <c r="S13" i="56"/>
  <c r="R13" i="56"/>
  <c r="Q13" i="56"/>
  <c r="P13" i="56"/>
  <c r="O13" i="56"/>
  <c r="N13" i="56"/>
  <c r="T13" i="56" s="1"/>
  <c r="M13" i="56"/>
  <c r="S12" i="56"/>
  <c r="R12" i="56"/>
  <c r="Q12" i="56"/>
  <c r="P12" i="56"/>
  <c r="O12" i="56"/>
  <c r="N12" i="56"/>
  <c r="T12" i="56" s="1"/>
  <c r="M12" i="56"/>
  <c r="S11" i="56"/>
  <c r="R11" i="56"/>
  <c r="Q11" i="56"/>
  <c r="P11" i="56"/>
  <c r="O11" i="56"/>
  <c r="N11" i="56"/>
  <c r="T11" i="56" s="1"/>
  <c r="M11" i="56"/>
  <c r="S10" i="56"/>
  <c r="R10" i="56"/>
  <c r="P10" i="56"/>
  <c r="O10" i="56"/>
  <c r="N10" i="56"/>
  <c r="T10" i="56" s="1"/>
  <c r="M10" i="56"/>
  <c r="S9" i="56"/>
  <c r="R9" i="56"/>
  <c r="Q9" i="56"/>
  <c r="P9" i="56"/>
  <c r="U9" i="56" s="1"/>
  <c r="O9" i="56"/>
  <c r="N9" i="56"/>
  <c r="T9" i="56" s="1"/>
  <c r="M9" i="56"/>
  <c r="S8" i="56"/>
  <c r="Q8" i="56"/>
  <c r="P8" i="56"/>
  <c r="U8" i="56" s="1"/>
  <c r="O8" i="56"/>
  <c r="N8" i="56"/>
  <c r="T8" i="56" s="1"/>
  <c r="M8" i="56"/>
  <c r="S7" i="56"/>
  <c r="R7" i="56"/>
  <c r="P7" i="56"/>
  <c r="O7" i="56"/>
  <c r="N7" i="56"/>
  <c r="T7" i="56" s="1"/>
  <c r="O6" i="56"/>
  <c r="N22" i="56" l="1"/>
  <c r="T17" i="56"/>
  <c r="T22" i="56" s="1"/>
  <c r="M5" i="56"/>
  <c r="O5" i="56"/>
  <c r="N19" i="56"/>
  <c r="Q7" i="56"/>
  <c r="Q15" i="56"/>
  <c r="O15" i="56"/>
  <c r="M15" i="56"/>
  <c r="M16" i="56"/>
  <c r="O16" i="56"/>
  <c r="N16" i="56"/>
  <c r="T16" i="56" s="1"/>
  <c r="N15" i="56"/>
  <c r="T15" i="56" s="1"/>
  <c r="BM29" i="35"/>
  <c r="BM30" i="35"/>
  <c r="BM31" i="35"/>
  <c r="BM32" i="35"/>
  <c r="BM33" i="35"/>
  <c r="BM34" i="35"/>
  <c r="BM35" i="35"/>
  <c r="BM36" i="35"/>
  <c r="M6" i="56" l="1"/>
  <c r="Q6" i="56"/>
  <c r="R5" i="56"/>
  <c r="P6" i="56"/>
  <c r="Q5" i="56"/>
  <c r="P5" i="56"/>
  <c r="N6" i="56" l="1"/>
  <c r="T6" i="56" s="1"/>
  <c r="K22" i="41"/>
  <c r="K23" i="41"/>
  <c r="S44" i="35" s="1"/>
  <c r="K24" i="41"/>
  <c r="S45" i="35" s="1"/>
  <c r="K25" i="41"/>
  <c r="S46" i="35" s="1"/>
  <c r="K26" i="41"/>
  <c r="S47" i="35" s="1"/>
  <c r="K27" i="41"/>
  <c r="S48" i="35" s="1"/>
  <c r="K28" i="41"/>
  <c r="S49" i="35" s="1"/>
  <c r="K29" i="41"/>
  <c r="S50" i="35" s="1"/>
  <c r="K30" i="41"/>
  <c r="S51" i="35" s="1"/>
  <c r="K21" i="41"/>
  <c r="I18" i="49" l="1"/>
  <c r="V44" i="35"/>
  <c r="V45" i="35"/>
  <c r="V46" i="35"/>
  <c r="V48" i="35"/>
  <c r="V49" i="35"/>
  <c r="V50" i="35"/>
  <c r="W51" i="35" l="1"/>
  <c r="V51" i="35"/>
  <c r="W47" i="35"/>
  <c r="V47" i="35"/>
  <c r="W50" i="35"/>
  <c r="W46" i="35"/>
  <c r="W49" i="35"/>
  <c r="W45" i="35"/>
  <c r="W48" i="35"/>
  <c r="W44" i="35"/>
  <c r="B203" i="55" l="1"/>
  <c r="B191" i="55"/>
  <c r="B179" i="55"/>
  <c r="B109" i="55"/>
  <c r="B97" i="55"/>
  <c r="B85" i="55"/>
  <c r="B53" i="55"/>
  <c r="AZ472" i="3" l="1"/>
  <c r="BA472" i="3"/>
  <c r="BB472" i="3"/>
  <c r="BC472" i="3"/>
  <c r="BD472" i="3"/>
  <c r="BE472" i="3"/>
  <c r="BF472" i="3"/>
  <c r="BG472" i="3"/>
  <c r="BH472" i="3"/>
  <c r="BI472" i="3"/>
  <c r="BJ472" i="3"/>
  <c r="BK472" i="3"/>
  <c r="BL472" i="3"/>
  <c r="BM472" i="3"/>
  <c r="AZ473" i="3"/>
  <c r="BA473" i="3"/>
  <c r="BB473" i="3"/>
  <c r="BC473" i="3"/>
  <c r="BD473" i="3"/>
  <c r="BE473" i="3"/>
  <c r="BF473" i="3"/>
  <c r="BG473" i="3"/>
  <c r="BH473" i="3"/>
  <c r="BI473" i="3"/>
  <c r="BJ473" i="3"/>
  <c r="BK473" i="3"/>
  <c r="BL473" i="3"/>
  <c r="BM473" i="3"/>
  <c r="AZ474" i="3"/>
  <c r="BA474" i="3"/>
  <c r="BB474" i="3"/>
  <c r="BC474" i="3"/>
  <c r="BD474" i="3"/>
  <c r="BE474" i="3"/>
  <c r="BF474" i="3"/>
  <c r="BG474" i="3"/>
  <c r="BH474" i="3"/>
  <c r="BI474" i="3"/>
  <c r="BJ474" i="3"/>
  <c r="BK474" i="3"/>
  <c r="BL474" i="3"/>
  <c r="BM474" i="3"/>
  <c r="AZ475" i="3"/>
  <c r="BA475" i="3"/>
  <c r="BB475" i="3"/>
  <c r="BC475" i="3"/>
  <c r="BD475" i="3"/>
  <c r="BE475" i="3"/>
  <c r="BF475" i="3"/>
  <c r="BG475" i="3"/>
  <c r="BH475" i="3"/>
  <c r="BI475" i="3"/>
  <c r="BJ475" i="3"/>
  <c r="BK475" i="3"/>
  <c r="BL475" i="3"/>
  <c r="BM475" i="3"/>
  <c r="AZ476" i="3"/>
  <c r="BA476" i="3"/>
  <c r="BB476" i="3"/>
  <c r="BC476" i="3"/>
  <c r="BD476" i="3"/>
  <c r="BE476" i="3"/>
  <c r="BF476" i="3"/>
  <c r="BG476" i="3"/>
  <c r="BH476" i="3"/>
  <c r="BI476" i="3"/>
  <c r="BJ476" i="3"/>
  <c r="BK476" i="3"/>
  <c r="BL476" i="3"/>
  <c r="BM476" i="3"/>
  <c r="AZ477" i="3"/>
  <c r="BA477" i="3"/>
  <c r="BB477" i="3"/>
  <c r="BC477" i="3"/>
  <c r="BD477" i="3"/>
  <c r="BE477" i="3"/>
  <c r="BF477" i="3"/>
  <c r="BG477" i="3"/>
  <c r="BH477" i="3"/>
  <c r="BI477" i="3"/>
  <c r="BJ477" i="3"/>
  <c r="BK477" i="3"/>
  <c r="BL477" i="3"/>
  <c r="BM477" i="3"/>
  <c r="AZ478" i="3"/>
  <c r="BA478" i="3"/>
  <c r="BB478" i="3"/>
  <c r="BC478" i="3"/>
  <c r="BD478" i="3"/>
  <c r="BE478" i="3"/>
  <c r="BF478" i="3"/>
  <c r="BG478" i="3"/>
  <c r="BH478" i="3"/>
  <c r="BI478" i="3"/>
  <c r="BJ478" i="3"/>
  <c r="BK478" i="3"/>
  <c r="BL478" i="3"/>
  <c r="BM478" i="3"/>
  <c r="AZ479" i="3"/>
  <c r="BA479" i="3"/>
  <c r="BB479" i="3"/>
  <c r="BC479" i="3"/>
  <c r="BD479" i="3"/>
  <c r="BE479" i="3"/>
  <c r="BF479" i="3"/>
  <c r="BG479" i="3"/>
  <c r="BH479" i="3"/>
  <c r="BI479" i="3"/>
  <c r="BJ479" i="3"/>
  <c r="BK479" i="3"/>
  <c r="BL479" i="3"/>
  <c r="BM479" i="3"/>
  <c r="AZ480" i="3"/>
  <c r="BA480" i="3"/>
  <c r="BB480" i="3"/>
  <c r="BC480" i="3"/>
  <c r="BD480" i="3"/>
  <c r="BE480" i="3"/>
  <c r="BF480" i="3"/>
  <c r="BG480" i="3"/>
  <c r="BH480" i="3"/>
  <c r="BI480" i="3"/>
  <c r="BJ480" i="3"/>
  <c r="BK480" i="3"/>
  <c r="BL480" i="3"/>
  <c r="BM480" i="3"/>
  <c r="AZ481" i="3"/>
  <c r="BA481" i="3"/>
  <c r="BB481" i="3"/>
  <c r="BC481" i="3"/>
  <c r="BD481" i="3"/>
  <c r="BE481" i="3"/>
  <c r="BF481" i="3"/>
  <c r="BG481" i="3"/>
  <c r="BH481" i="3"/>
  <c r="BI481" i="3"/>
  <c r="BJ481" i="3"/>
  <c r="BK481" i="3"/>
  <c r="BL481" i="3"/>
  <c r="BM481" i="3"/>
  <c r="AZ483" i="3"/>
  <c r="BA483" i="3"/>
  <c r="BB483" i="3"/>
  <c r="BC483" i="3"/>
  <c r="BD483" i="3"/>
  <c r="BE483" i="3"/>
  <c r="BF483" i="3"/>
  <c r="BG483" i="3"/>
  <c r="BH483" i="3"/>
  <c r="BI483" i="3"/>
  <c r="BJ483" i="3"/>
  <c r="BK483" i="3"/>
  <c r="BL483" i="3"/>
  <c r="BM483" i="3"/>
  <c r="AZ484" i="3"/>
  <c r="BA484" i="3"/>
  <c r="BB484" i="3"/>
  <c r="BC484" i="3"/>
  <c r="BD484" i="3"/>
  <c r="BE484" i="3"/>
  <c r="BF484" i="3"/>
  <c r="BG484" i="3"/>
  <c r="BH484" i="3"/>
  <c r="BI484" i="3"/>
  <c r="BJ484" i="3"/>
  <c r="BK484" i="3"/>
  <c r="BL484" i="3"/>
  <c r="BM484" i="3"/>
  <c r="AZ485" i="3"/>
  <c r="BA485" i="3"/>
  <c r="BB485" i="3"/>
  <c r="BC485" i="3"/>
  <c r="BD485" i="3"/>
  <c r="BE485" i="3"/>
  <c r="BF485" i="3"/>
  <c r="BG485" i="3"/>
  <c r="BH485" i="3"/>
  <c r="BI485" i="3"/>
  <c r="BJ485" i="3"/>
  <c r="BK485" i="3"/>
  <c r="BL485" i="3"/>
  <c r="BM485" i="3"/>
  <c r="AZ486" i="3"/>
  <c r="BA486" i="3"/>
  <c r="BB486" i="3"/>
  <c r="BC486" i="3"/>
  <c r="BD486" i="3"/>
  <c r="BE486" i="3"/>
  <c r="BF486" i="3"/>
  <c r="BG486" i="3"/>
  <c r="BH486" i="3"/>
  <c r="BI486" i="3"/>
  <c r="BJ486" i="3"/>
  <c r="BK486" i="3"/>
  <c r="BL486" i="3"/>
  <c r="BM486" i="3"/>
  <c r="AZ487" i="3"/>
  <c r="BA487" i="3"/>
  <c r="BB487" i="3"/>
  <c r="BC487" i="3"/>
  <c r="BD487" i="3"/>
  <c r="BE487" i="3"/>
  <c r="BF487" i="3"/>
  <c r="BG487" i="3"/>
  <c r="BH487" i="3"/>
  <c r="BI487" i="3"/>
  <c r="BJ487" i="3"/>
  <c r="BK487" i="3"/>
  <c r="BL487" i="3"/>
  <c r="BM487" i="3"/>
  <c r="AZ488" i="3"/>
  <c r="BA488" i="3"/>
  <c r="BB488" i="3"/>
  <c r="BC488" i="3"/>
  <c r="BD488" i="3"/>
  <c r="BE488" i="3"/>
  <c r="BF488" i="3"/>
  <c r="BG488" i="3"/>
  <c r="BH488" i="3"/>
  <c r="BI488" i="3"/>
  <c r="BJ488" i="3"/>
  <c r="BK488" i="3"/>
  <c r="BL488" i="3"/>
  <c r="BM488" i="3"/>
  <c r="AZ489" i="3"/>
  <c r="BA489" i="3"/>
  <c r="BB489" i="3"/>
  <c r="BC489" i="3"/>
  <c r="BD489" i="3"/>
  <c r="BE489" i="3"/>
  <c r="BF489" i="3"/>
  <c r="BG489" i="3"/>
  <c r="BH489" i="3"/>
  <c r="BI489" i="3"/>
  <c r="BJ489" i="3"/>
  <c r="BK489" i="3"/>
  <c r="BL489" i="3"/>
  <c r="BM489" i="3"/>
  <c r="AZ490" i="3"/>
  <c r="BA490" i="3"/>
  <c r="BB490" i="3"/>
  <c r="BC490" i="3"/>
  <c r="BD490" i="3"/>
  <c r="BE490" i="3"/>
  <c r="BF490" i="3"/>
  <c r="BG490" i="3"/>
  <c r="BH490" i="3"/>
  <c r="BI490" i="3"/>
  <c r="BJ490" i="3"/>
  <c r="BK490" i="3"/>
  <c r="BL490" i="3"/>
  <c r="BM490" i="3"/>
  <c r="AZ491" i="3"/>
  <c r="BA491" i="3"/>
  <c r="BB491" i="3"/>
  <c r="BC491" i="3"/>
  <c r="BD491" i="3"/>
  <c r="BE491" i="3"/>
  <c r="BF491" i="3"/>
  <c r="BG491" i="3"/>
  <c r="BH491" i="3"/>
  <c r="BI491" i="3"/>
  <c r="BJ491" i="3"/>
  <c r="BK491" i="3"/>
  <c r="BL491" i="3"/>
  <c r="BM491" i="3"/>
  <c r="AZ492" i="3"/>
  <c r="BA492" i="3"/>
  <c r="BB492" i="3"/>
  <c r="BC492" i="3"/>
  <c r="BD492" i="3"/>
  <c r="BE492" i="3"/>
  <c r="BF492" i="3"/>
  <c r="BG492" i="3"/>
  <c r="BH492" i="3"/>
  <c r="BI492" i="3"/>
  <c r="BJ492" i="3"/>
  <c r="BK492" i="3"/>
  <c r="BL492" i="3"/>
  <c r="BM492" i="3"/>
  <c r="AY484" i="3"/>
  <c r="AY485" i="3"/>
  <c r="AY486" i="3"/>
  <c r="AY487" i="3"/>
  <c r="AY488" i="3"/>
  <c r="AY489" i="3"/>
  <c r="AY490" i="3"/>
  <c r="AY491" i="3"/>
  <c r="AY492" i="3"/>
  <c r="AY483" i="3"/>
  <c r="AY473" i="3"/>
  <c r="AY474" i="3"/>
  <c r="AY475" i="3"/>
  <c r="AY476" i="3"/>
  <c r="AY477" i="3"/>
  <c r="AY478" i="3"/>
  <c r="AY479" i="3"/>
  <c r="AY480" i="3"/>
  <c r="AY481" i="3"/>
  <c r="BB464" i="3"/>
  <c r="BC464" i="3"/>
  <c r="BD464" i="3"/>
  <c r="BE464" i="3"/>
  <c r="BF464" i="3"/>
  <c r="BG464" i="3"/>
  <c r="BH464" i="3"/>
  <c r="BI464" i="3"/>
  <c r="BJ464" i="3"/>
  <c r="BK464" i="3"/>
  <c r="BL464" i="3"/>
  <c r="BM464" i="3"/>
  <c r="BB465" i="3"/>
  <c r="BC465" i="3"/>
  <c r="BD465" i="3"/>
  <c r="BE465" i="3"/>
  <c r="BF465" i="3"/>
  <c r="BG465" i="3"/>
  <c r="BH465" i="3"/>
  <c r="BI465" i="3"/>
  <c r="BJ465" i="3"/>
  <c r="BK465" i="3"/>
  <c r="BL465" i="3"/>
  <c r="BM465" i="3"/>
  <c r="BB466" i="3"/>
  <c r="BC466" i="3"/>
  <c r="BD466" i="3"/>
  <c r="BE466" i="3"/>
  <c r="BF466" i="3"/>
  <c r="BG466" i="3"/>
  <c r="BH466" i="3"/>
  <c r="BI466" i="3"/>
  <c r="BJ466" i="3"/>
  <c r="BK466" i="3"/>
  <c r="BL466" i="3"/>
  <c r="BM466" i="3"/>
  <c r="BB467" i="3"/>
  <c r="BC467" i="3"/>
  <c r="BD467" i="3"/>
  <c r="BE467" i="3"/>
  <c r="BF467" i="3"/>
  <c r="BG467" i="3"/>
  <c r="BH467" i="3"/>
  <c r="BI467" i="3"/>
  <c r="BJ467" i="3"/>
  <c r="BK467" i="3"/>
  <c r="BL467" i="3"/>
  <c r="BM467" i="3"/>
  <c r="BB468" i="3"/>
  <c r="BC468" i="3"/>
  <c r="BD468" i="3"/>
  <c r="BE468" i="3"/>
  <c r="BF468" i="3"/>
  <c r="BG468" i="3"/>
  <c r="BH468" i="3"/>
  <c r="BI468" i="3"/>
  <c r="BJ468" i="3"/>
  <c r="BK468" i="3"/>
  <c r="BL468" i="3"/>
  <c r="BM468" i="3"/>
  <c r="BB469" i="3"/>
  <c r="BC469" i="3"/>
  <c r="BD469" i="3"/>
  <c r="BE469" i="3"/>
  <c r="BF469" i="3"/>
  <c r="BG469" i="3"/>
  <c r="BH469" i="3"/>
  <c r="BI469" i="3"/>
  <c r="BJ469" i="3"/>
  <c r="BK469" i="3"/>
  <c r="BL469" i="3"/>
  <c r="BM469" i="3"/>
  <c r="BB470" i="3"/>
  <c r="BC470" i="3"/>
  <c r="BD470" i="3"/>
  <c r="BE470" i="3"/>
  <c r="BF470" i="3"/>
  <c r="BG470" i="3"/>
  <c r="BH470" i="3"/>
  <c r="BI470" i="3"/>
  <c r="BJ470" i="3"/>
  <c r="BK470" i="3"/>
  <c r="BL470" i="3"/>
  <c r="BM470" i="3"/>
  <c r="BA465" i="3"/>
  <c r="BA466" i="3"/>
  <c r="BA467" i="3"/>
  <c r="BA468" i="3"/>
  <c r="BA469" i="3"/>
  <c r="BA470" i="3"/>
  <c r="BA464" i="3"/>
  <c r="AY465" i="3"/>
  <c r="AY466" i="3"/>
  <c r="AY467" i="3"/>
  <c r="AY468" i="3"/>
  <c r="AY469" i="3"/>
  <c r="AY470" i="3"/>
  <c r="AY464" i="3"/>
  <c r="BB226" i="3"/>
  <c r="BB227" i="3"/>
  <c r="BB157" i="3" l="1"/>
  <c r="BB158" i="3"/>
  <c r="BE152" i="3"/>
  <c r="BF152" i="3"/>
  <c r="BH152" i="3"/>
  <c r="BI152" i="3"/>
  <c r="BK152" i="3"/>
  <c r="BL152" i="3"/>
  <c r="BC152" i="3"/>
  <c r="BB152" i="3"/>
  <c r="BC148" i="3"/>
  <c r="BE148" i="3"/>
  <c r="BF148" i="3"/>
  <c r="BH148" i="3"/>
  <c r="BI148" i="3"/>
  <c r="BK148" i="3"/>
  <c r="BL148" i="3"/>
  <c r="BC149" i="3"/>
  <c r="BE149" i="3"/>
  <c r="BF149" i="3"/>
  <c r="BH149" i="3"/>
  <c r="BI149" i="3"/>
  <c r="BK149" i="3"/>
  <c r="BL149" i="3"/>
  <c r="BC150" i="3"/>
  <c r="BE150" i="3"/>
  <c r="BF150" i="3"/>
  <c r="BH150" i="3"/>
  <c r="BI150" i="3"/>
  <c r="BK150" i="3"/>
  <c r="BL150" i="3"/>
  <c r="BB149" i="3"/>
  <c r="BB150" i="3"/>
  <c r="BB148" i="3"/>
  <c r="H14" i="3" l="1"/>
  <c r="BY29" i="35" l="1"/>
  <c r="BY31" i="35"/>
  <c r="BY33" i="35"/>
  <c r="BY35" i="35"/>
  <c r="BX30" i="35"/>
  <c r="BX34" i="35"/>
  <c r="BY34" i="35"/>
  <c r="BX29" i="35"/>
  <c r="BX35" i="35"/>
  <c r="BX28" i="35"/>
  <c r="BX32" i="35"/>
  <c r="BX36" i="35"/>
  <c r="BX33" i="35"/>
  <c r="BY28" i="35"/>
  <c r="BY30" i="35"/>
  <c r="BY32" i="35"/>
  <c r="BY36" i="35"/>
  <c r="BX31" i="35"/>
  <c r="BX27" i="35"/>
  <c r="BY27" i="35"/>
  <c r="U3" i="59"/>
  <c r="AF83" i="35" l="1"/>
  <c r="AF84" i="35"/>
  <c r="AF85" i="35"/>
  <c r="AF86" i="35"/>
  <c r="AF87" i="35"/>
  <c r="AG83" i="35"/>
  <c r="AG84" i="35"/>
  <c r="AG85" i="35"/>
  <c r="AG86" i="35"/>
  <c r="AG87" i="35"/>
  <c r="Z8" i="70" l="1"/>
  <c r="AB8" i="70" s="1"/>
  <c r="Z9" i="70"/>
  <c r="AB9" i="70" s="1"/>
  <c r="Z10" i="70"/>
  <c r="AB10" i="70" s="1"/>
  <c r="Z11" i="70"/>
  <c r="AA11" i="70" s="1"/>
  <c r="Z12" i="70"/>
  <c r="AB12" i="70" s="1"/>
  <c r="Z13" i="70"/>
  <c r="AB13" i="70" s="1"/>
  <c r="Z14" i="70"/>
  <c r="AB14" i="70" s="1"/>
  <c r="Z15" i="70"/>
  <c r="AA15" i="70" s="1"/>
  <c r="Z16" i="70"/>
  <c r="AB16" i="70" s="1"/>
  <c r="Z17" i="70"/>
  <c r="AB17" i="70" s="1"/>
  <c r="Z18" i="70"/>
  <c r="AB18" i="70" s="1"/>
  <c r="Z19" i="70"/>
  <c r="AA19" i="70" s="1"/>
  <c r="Z20" i="70"/>
  <c r="AB20" i="70" s="1"/>
  <c r="Z21" i="70"/>
  <c r="AB21" i="70" s="1"/>
  <c r="Z22" i="70"/>
  <c r="AB22" i="70" s="1"/>
  <c r="Z23" i="70"/>
  <c r="AA23" i="70" s="1"/>
  <c r="Z24" i="70"/>
  <c r="AB24" i="70" s="1"/>
  <c r="Z25" i="70"/>
  <c r="AB25" i="70" s="1"/>
  <c r="Z26" i="70"/>
  <c r="AB26" i="70" s="1"/>
  <c r="Z27" i="70"/>
  <c r="AA27" i="70" s="1"/>
  <c r="Z28" i="70"/>
  <c r="AB28" i="70" s="1"/>
  <c r="Z29" i="70"/>
  <c r="AB29" i="70" s="1"/>
  <c r="Z30" i="70"/>
  <c r="AB30" i="70" s="1"/>
  <c r="Z31" i="70"/>
  <c r="AA31" i="70" s="1"/>
  <c r="Z7" i="70"/>
  <c r="AB7" i="70" s="1"/>
  <c r="AA30" i="70" l="1"/>
  <c r="AA14" i="70"/>
  <c r="AB23" i="70"/>
  <c r="AA26" i="70"/>
  <c r="AA10" i="70"/>
  <c r="AB19" i="70"/>
  <c r="AA22" i="70"/>
  <c r="AB31" i="70"/>
  <c r="AB15" i="70"/>
  <c r="AA18" i="70"/>
  <c r="AB27" i="70"/>
  <c r="AB11" i="70"/>
  <c r="AA29" i="70"/>
  <c r="AA25" i="70"/>
  <c r="AA21" i="70"/>
  <c r="AA17" i="70"/>
  <c r="AA13" i="70"/>
  <c r="AA9" i="70"/>
  <c r="AA7" i="70"/>
  <c r="AA28" i="70"/>
  <c r="AA24" i="70"/>
  <c r="AA20" i="70"/>
  <c r="AA16" i="70"/>
  <c r="AA12" i="70"/>
  <c r="AA8" i="70"/>
  <c r="B1" i="69"/>
  <c r="I2" i="70"/>
  <c r="C7" i="70"/>
  <c r="D7" i="70"/>
  <c r="E7" i="70"/>
  <c r="F7" i="70"/>
  <c r="I7" i="70"/>
  <c r="J7" i="70"/>
  <c r="K7" i="70"/>
  <c r="L7" i="70"/>
  <c r="AP7" i="70"/>
  <c r="C8" i="70"/>
  <c r="D8" i="70"/>
  <c r="E8" i="70"/>
  <c r="F8" i="70"/>
  <c r="I8" i="70"/>
  <c r="AI8" i="70" s="1"/>
  <c r="J8" i="70"/>
  <c r="K8" i="70"/>
  <c r="L8" i="70"/>
  <c r="AP8" i="70"/>
  <c r="C9" i="70"/>
  <c r="D9" i="70"/>
  <c r="E9" i="70"/>
  <c r="F9" i="70"/>
  <c r="I9" i="70"/>
  <c r="AI9" i="70" s="1"/>
  <c r="J9" i="70"/>
  <c r="K9" i="70"/>
  <c r="L9" i="70"/>
  <c r="AP9" i="70"/>
  <c r="C10" i="70"/>
  <c r="D10" i="70"/>
  <c r="E10" i="70"/>
  <c r="F10" i="70"/>
  <c r="I10" i="70"/>
  <c r="AI10" i="70" s="1"/>
  <c r="J10" i="70"/>
  <c r="K10" i="70"/>
  <c r="L10" i="70"/>
  <c r="AP10" i="70"/>
  <c r="C11" i="70"/>
  <c r="D11" i="70"/>
  <c r="E11" i="70"/>
  <c r="F11" i="70"/>
  <c r="I11" i="70"/>
  <c r="AI11" i="70" s="1"/>
  <c r="J11" i="70"/>
  <c r="K11" i="70"/>
  <c r="L11" i="70"/>
  <c r="AP11" i="70"/>
  <c r="C12" i="70"/>
  <c r="D12" i="70"/>
  <c r="E12" i="70"/>
  <c r="F12" i="70"/>
  <c r="I12" i="70"/>
  <c r="AI12" i="70" s="1"/>
  <c r="J12" i="70"/>
  <c r="K12" i="70"/>
  <c r="L12" i="70"/>
  <c r="AP12" i="70"/>
  <c r="C13" i="70"/>
  <c r="D13" i="70"/>
  <c r="E13" i="70"/>
  <c r="F13" i="70"/>
  <c r="I13" i="70"/>
  <c r="AI13" i="70" s="1"/>
  <c r="J13" i="70"/>
  <c r="K13" i="70"/>
  <c r="L13" i="70"/>
  <c r="AP13" i="70"/>
  <c r="C14" i="70"/>
  <c r="D14" i="70"/>
  <c r="E14" i="70"/>
  <c r="F14" i="70"/>
  <c r="I14" i="70"/>
  <c r="AI14" i="70" s="1"/>
  <c r="J14" i="70"/>
  <c r="K14" i="70"/>
  <c r="L14" i="70"/>
  <c r="AP14" i="70"/>
  <c r="C15" i="70"/>
  <c r="D15" i="70"/>
  <c r="E15" i="70"/>
  <c r="F15" i="70"/>
  <c r="I15" i="70"/>
  <c r="AI15" i="70" s="1"/>
  <c r="J15" i="70"/>
  <c r="K15" i="70"/>
  <c r="L15" i="70"/>
  <c r="AP15" i="70"/>
  <c r="C16" i="70"/>
  <c r="D16" i="70"/>
  <c r="E16" i="70"/>
  <c r="F16" i="70"/>
  <c r="I16" i="70"/>
  <c r="AI16" i="70" s="1"/>
  <c r="J16" i="70"/>
  <c r="L16" i="70"/>
  <c r="K16" i="70" s="1"/>
  <c r="AP16" i="70"/>
  <c r="C17" i="70"/>
  <c r="D17" i="70"/>
  <c r="E17" i="70"/>
  <c r="F17" i="70"/>
  <c r="I17" i="70"/>
  <c r="AI17" i="70" s="1"/>
  <c r="J17" i="70"/>
  <c r="K17" i="70"/>
  <c r="L17" i="70"/>
  <c r="AP17" i="70"/>
  <c r="C18" i="70"/>
  <c r="D18" i="70"/>
  <c r="E18" i="70"/>
  <c r="F18" i="70"/>
  <c r="I18" i="70"/>
  <c r="AI18" i="70" s="1"/>
  <c r="J18" i="70"/>
  <c r="K18" i="70"/>
  <c r="L18" i="70"/>
  <c r="AP18" i="70"/>
  <c r="C19" i="70"/>
  <c r="D19" i="70"/>
  <c r="E19" i="70"/>
  <c r="F19" i="70"/>
  <c r="I19" i="70"/>
  <c r="AI19" i="70" s="1"/>
  <c r="J19" i="70"/>
  <c r="K19" i="70"/>
  <c r="L19" i="70"/>
  <c r="AP19" i="70"/>
  <c r="C20" i="70"/>
  <c r="D20" i="70"/>
  <c r="E20" i="70"/>
  <c r="F20" i="70"/>
  <c r="I20" i="70"/>
  <c r="AI20" i="70" s="1"/>
  <c r="J20" i="70"/>
  <c r="K20" i="70"/>
  <c r="L20" i="70"/>
  <c r="AP20" i="70"/>
  <c r="C21" i="70"/>
  <c r="D21" i="70"/>
  <c r="E21" i="70"/>
  <c r="F21" i="70"/>
  <c r="I21" i="70"/>
  <c r="AI21" i="70" s="1"/>
  <c r="J21" i="70"/>
  <c r="K21" i="70"/>
  <c r="L21" i="70"/>
  <c r="AP21" i="70"/>
  <c r="C22" i="70"/>
  <c r="D22" i="70"/>
  <c r="E22" i="70"/>
  <c r="F22" i="70"/>
  <c r="I22" i="70"/>
  <c r="AI22" i="70" s="1"/>
  <c r="J22" i="70"/>
  <c r="K22" i="70"/>
  <c r="L22" i="70"/>
  <c r="AP22" i="70"/>
  <c r="C23" i="70"/>
  <c r="D23" i="70"/>
  <c r="E23" i="70"/>
  <c r="F23" i="70"/>
  <c r="I23" i="70"/>
  <c r="AI23" i="70" s="1"/>
  <c r="J23" i="70"/>
  <c r="K23" i="70"/>
  <c r="L23" i="70"/>
  <c r="AP23" i="70"/>
  <c r="C24" i="70"/>
  <c r="D24" i="70"/>
  <c r="E24" i="70"/>
  <c r="F24" i="70"/>
  <c r="I24" i="70"/>
  <c r="AI24" i="70" s="1"/>
  <c r="J24" i="70"/>
  <c r="K24" i="70"/>
  <c r="L24" i="70"/>
  <c r="AP24" i="70"/>
  <c r="C25" i="70"/>
  <c r="D25" i="70"/>
  <c r="E25" i="70"/>
  <c r="F25" i="70"/>
  <c r="I25" i="70"/>
  <c r="AI25" i="70" s="1"/>
  <c r="J25" i="70"/>
  <c r="K25" i="70"/>
  <c r="L25" i="70"/>
  <c r="AP25" i="70"/>
  <c r="C26" i="70"/>
  <c r="D26" i="70"/>
  <c r="E26" i="70"/>
  <c r="F26" i="70"/>
  <c r="I26" i="70"/>
  <c r="AI26" i="70" s="1"/>
  <c r="J26" i="70"/>
  <c r="K26" i="70"/>
  <c r="L26" i="70"/>
  <c r="AP26" i="70"/>
  <c r="C27" i="70"/>
  <c r="D27" i="70"/>
  <c r="E27" i="70"/>
  <c r="F27" i="70"/>
  <c r="I27" i="70"/>
  <c r="AI27" i="70" s="1"/>
  <c r="J27" i="70"/>
  <c r="K27" i="70"/>
  <c r="L27" i="70"/>
  <c r="AP27" i="70"/>
  <c r="C28" i="70"/>
  <c r="D28" i="70"/>
  <c r="E28" i="70"/>
  <c r="F28" i="70"/>
  <c r="I28" i="70"/>
  <c r="AI28" i="70" s="1"/>
  <c r="J28" i="70"/>
  <c r="K28" i="70"/>
  <c r="L28" i="70"/>
  <c r="AP28" i="70"/>
  <c r="C29" i="70"/>
  <c r="D29" i="70"/>
  <c r="E29" i="70"/>
  <c r="F29" i="70"/>
  <c r="I29" i="70"/>
  <c r="AI29" i="70" s="1"/>
  <c r="J29" i="70"/>
  <c r="K29" i="70"/>
  <c r="L29" i="70"/>
  <c r="AP29" i="70"/>
  <c r="C30" i="70"/>
  <c r="D30" i="70"/>
  <c r="E30" i="70"/>
  <c r="F30" i="70"/>
  <c r="I30" i="70"/>
  <c r="AI30" i="70" s="1"/>
  <c r="J30" i="70"/>
  <c r="K30" i="70"/>
  <c r="L30" i="70"/>
  <c r="AP30" i="70"/>
  <c r="C31" i="70"/>
  <c r="D31" i="70"/>
  <c r="E31" i="70"/>
  <c r="F31" i="70"/>
  <c r="I31" i="70"/>
  <c r="AI31" i="70" s="1"/>
  <c r="J31" i="70"/>
  <c r="K31" i="70"/>
  <c r="L31" i="70"/>
  <c r="AP31" i="70"/>
  <c r="Q16" i="69"/>
  <c r="R16" i="69" s="1"/>
  <c r="Q17" i="69"/>
  <c r="R17" i="69" s="1"/>
  <c r="Q18" i="69"/>
  <c r="R18" i="69" s="1"/>
  <c r="Q19" i="69"/>
  <c r="R19" i="69" s="1"/>
  <c r="Q20" i="69"/>
  <c r="R20" i="69" s="1"/>
  <c r="Q21" i="69"/>
  <c r="R21" i="69" s="1"/>
  <c r="Q22" i="69"/>
  <c r="Q23" i="69"/>
  <c r="R23" i="69" s="1"/>
  <c r="Q24" i="69"/>
  <c r="R24" i="69" s="1"/>
  <c r="Q25" i="69"/>
  <c r="Q26" i="69"/>
  <c r="Q27" i="69"/>
  <c r="R27" i="69" s="1"/>
  <c r="Q28" i="69"/>
  <c r="R28" i="69" s="1"/>
  <c r="Q29" i="69"/>
  <c r="AD29" i="69" s="1"/>
  <c r="AE29" i="69" s="1"/>
  <c r="AF29" i="69" s="1"/>
  <c r="G20" i="70"/>
  <c r="Q30" i="69"/>
  <c r="AD30" i="69" s="1"/>
  <c r="AE30" i="69" s="1"/>
  <c r="AF30" i="69" s="1"/>
  <c r="G21" i="70"/>
  <c r="Q31" i="69"/>
  <c r="R31" i="69" s="1"/>
  <c r="G22" i="70"/>
  <c r="Q32" i="69"/>
  <c r="R32" i="69" s="1"/>
  <c r="G23" i="70"/>
  <c r="Q33" i="69"/>
  <c r="AD33" i="69" s="1"/>
  <c r="AE33" i="69" s="1"/>
  <c r="AF33" i="69" s="1"/>
  <c r="G24" i="70"/>
  <c r="Q34" i="69"/>
  <c r="AD34" i="69" s="1"/>
  <c r="AE34" i="69" s="1"/>
  <c r="AF34" i="69" s="1"/>
  <c r="G25" i="70"/>
  <c r="Q35" i="69"/>
  <c r="R35" i="69" s="1"/>
  <c r="G26" i="70"/>
  <c r="Q36" i="69"/>
  <c r="R36" i="69" s="1"/>
  <c r="G27" i="70"/>
  <c r="Q37" i="69"/>
  <c r="AD37" i="69" s="1"/>
  <c r="AE37" i="69" s="1"/>
  <c r="AF37" i="69" s="1"/>
  <c r="G28" i="70"/>
  <c r="Q38" i="69"/>
  <c r="AD38" i="69" s="1"/>
  <c r="AE38" i="69" s="1"/>
  <c r="AF38" i="69" s="1"/>
  <c r="G29" i="70"/>
  <c r="Q39" i="69"/>
  <c r="R39" i="69" s="1"/>
  <c r="G30" i="70"/>
  <c r="Q40" i="69"/>
  <c r="R40" i="69" s="1"/>
  <c r="G31" i="70"/>
  <c r="AZ28" i="70" l="1"/>
  <c r="AO28" i="70"/>
  <c r="AZ24" i="70"/>
  <c r="AO24" i="70"/>
  <c r="AZ20" i="70"/>
  <c r="AO20" i="70"/>
  <c r="AZ15" i="70"/>
  <c r="AO15" i="70"/>
  <c r="AO11" i="70"/>
  <c r="AZ31" i="70"/>
  <c r="AO31" i="70"/>
  <c r="AZ27" i="70"/>
  <c r="AO27" i="70"/>
  <c r="AZ23" i="70"/>
  <c r="AO23" i="70"/>
  <c r="AZ19" i="70"/>
  <c r="AO19" i="70"/>
  <c r="AO14" i="70"/>
  <c r="AO10" i="70"/>
  <c r="AO30" i="70"/>
  <c r="AZ30" i="70"/>
  <c r="AO26" i="70"/>
  <c r="AZ26" i="70"/>
  <c r="AO22" i="70"/>
  <c r="AZ22" i="70"/>
  <c r="AO18" i="70"/>
  <c r="AZ18" i="70"/>
  <c r="AO13" i="70"/>
  <c r="AO9" i="70"/>
  <c r="AZ29" i="70"/>
  <c r="AO29" i="70"/>
  <c r="AZ25" i="70"/>
  <c r="AO25" i="70"/>
  <c r="AZ21" i="70"/>
  <c r="AO21" i="70"/>
  <c r="AZ17" i="70"/>
  <c r="AO17" i="70"/>
  <c r="AZ16" i="70"/>
  <c r="AO16" i="70"/>
  <c r="AZ12" i="70"/>
  <c r="AO12" i="70"/>
  <c r="AO8" i="70"/>
  <c r="H18" i="70"/>
  <c r="AG18" i="70"/>
  <c r="AD36" i="69"/>
  <c r="AE36" i="69" s="1"/>
  <c r="AF36" i="69" s="1"/>
  <c r="R25" i="69"/>
  <c r="H21" i="70"/>
  <c r="AD32" i="69"/>
  <c r="AE32" i="69" s="1"/>
  <c r="AF32" i="69" s="1"/>
  <c r="AG27" i="70"/>
  <c r="AG25" i="70"/>
  <c r="H24" i="70"/>
  <c r="R33" i="69"/>
  <c r="R38" i="69"/>
  <c r="R37" i="69"/>
  <c r="R29" i="69"/>
  <c r="R26" i="69"/>
  <c r="R22" i="69"/>
  <c r="H31" i="70"/>
  <c r="H30" i="70"/>
  <c r="H28" i="70"/>
  <c r="AD40" i="69"/>
  <c r="AE40" i="69" s="1"/>
  <c r="AF40" i="69" s="1"/>
  <c r="BO18" i="70"/>
  <c r="R18" i="70"/>
  <c r="AG14" i="70"/>
  <c r="R34" i="69"/>
  <c r="R30" i="69"/>
  <c r="H19" i="70"/>
  <c r="AH18" i="70"/>
  <c r="AG13" i="70"/>
  <c r="AG11" i="70"/>
  <c r="AG9" i="70"/>
  <c r="AG7" i="70"/>
  <c r="AG8" i="70"/>
  <c r="H8" i="70"/>
  <c r="O8" i="70" s="1"/>
  <c r="H7" i="70"/>
  <c r="H23" i="70"/>
  <c r="AG23" i="70"/>
  <c r="BO21" i="70"/>
  <c r="Q30" i="70"/>
  <c r="P30" i="70"/>
  <c r="U30" i="70" s="1"/>
  <c r="T24" i="70"/>
  <c r="N24" i="70"/>
  <c r="AH31" i="70"/>
  <c r="AG30" i="70"/>
  <c r="H29" i="70"/>
  <c r="AG26" i="70"/>
  <c r="H25" i="70"/>
  <c r="H17" i="70"/>
  <c r="AG17" i="70"/>
  <c r="BO31" i="70"/>
  <c r="AG31" i="70"/>
  <c r="AG29" i="70"/>
  <c r="AG28" i="70"/>
  <c r="H27" i="70"/>
  <c r="H26" i="70"/>
  <c r="AG24" i="70"/>
  <c r="H22" i="70"/>
  <c r="AG22" i="70"/>
  <c r="AG20" i="70"/>
  <c r="H20" i="70"/>
  <c r="AG16" i="70"/>
  <c r="H16" i="70"/>
  <c r="S28" i="70"/>
  <c r="M28" i="70"/>
  <c r="AG21" i="70"/>
  <c r="R19" i="70"/>
  <c r="AG19" i="70"/>
  <c r="T18" i="70"/>
  <c r="S18" i="70"/>
  <c r="P18" i="70"/>
  <c r="U18" i="70" s="1"/>
  <c r="M18" i="70"/>
  <c r="Q18" i="70"/>
  <c r="AG15" i="70"/>
  <c r="H15" i="70"/>
  <c r="AG12" i="70"/>
  <c r="H12" i="70"/>
  <c r="O12" i="70" s="1"/>
  <c r="H14" i="70"/>
  <c r="O14" i="70" s="1"/>
  <c r="H13" i="70"/>
  <c r="O13" i="70" s="1"/>
  <c r="BI2" i="70"/>
  <c r="H9" i="70"/>
  <c r="O9" i="70" s="1"/>
  <c r="H11" i="70"/>
  <c r="O11" i="70" s="1"/>
  <c r="H10" i="70"/>
  <c r="O10" i="70" s="1"/>
  <c r="AG10" i="70"/>
  <c r="AD39" i="69"/>
  <c r="AE39" i="69" s="1"/>
  <c r="AF39" i="69" s="1"/>
  <c r="AD35" i="69"/>
  <c r="AE35" i="69" s="1"/>
  <c r="AF35" i="69" s="1"/>
  <c r="AD31" i="69"/>
  <c r="AE31" i="69" s="1"/>
  <c r="AF31" i="69" s="1"/>
  <c r="O7" i="70" l="1"/>
  <c r="T7" i="70" s="1"/>
  <c r="V19" i="69"/>
  <c r="G10" i="70" s="1"/>
  <c r="D19" i="69"/>
  <c r="V22" i="69"/>
  <c r="D22" i="69"/>
  <c r="V17" i="69"/>
  <c r="D17" i="69"/>
  <c r="V20" i="69"/>
  <c r="D20" i="69"/>
  <c r="V23" i="69"/>
  <c r="D23" i="69"/>
  <c r="D21" i="69"/>
  <c r="V21" i="69"/>
  <c r="G12" i="70" s="1"/>
  <c r="AI7" i="70"/>
  <c r="AO7" i="70" s="1"/>
  <c r="D16" i="69"/>
  <c r="V16" i="69"/>
  <c r="G7" i="70" s="1"/>
  <c r="V18" i="69"/>
  <c r="G9" i="70" s="1"/>
  <c r="D18" i="69"/>
  <c r="AN12" i="70"/>
  <c r="AM12" i="70"/>
  <c r="AL12" i="70"/>
  <c r="AJ12" i="70"/>
  <c r="AK12" i="70"/>
  <c r="AN20" i="70"/>
  <c r="AM20" i="70"/>
  <c r="AL20" i="70"/>
  <c r="AJ20" i="70"/>
  <c r="AK20" i="70"/>
  <c r="AN17" i="70"/>
  <c r="AL17" i="70"/>
  <c r="AM17" i="70"/>
  <c r="AJ17" i="70"/>
  <c r="AK17" i="70"/>
  <c r="AM23" i="70"/>
  <c r="AL23" i="70"/>
  <c r="AN23" i="70"/>
  <c r="AK23" i="70"/>
  <c r="AJ23" i="70"/>
  <c r="N28" i="70"/>
  <c r="AN28" i="70"/>
  <c r="AM28" i="70"/>
  <c r="AV28" i="70" s="1"/>
  <c r="AW28" i="70" s="1"/>
  <c r="AL28" i="70"/>
  <c r="AJ28" i="70"/>
  <c r="AK28" i="70"/>
  <c r="AL26" i="70"/>
  <c r="AM26" i="70"/>
  <c r="AN26" i="70"/>
  <c r="AK26" i="70"/>
  <c r="AJ26" i="70"/>
  <c r="AN25" i="70"/>
  <c r="AL25" i="70"/>
  <c r="AM25" i="70"/>
  <c r="AJ25" i="70"/>
  <c r="AK25" i="70"/>
  <c r="AM19" i="70"/>
  <c r="AL19" i="70"/>
  <c r="AN19" i="70"/>
  <c r="AK19" i="70"/>
  <c r="AJ19" i="70"/>
  <c r="T30" i="70"/>
  <c r="AL30" i="70"/>
  <c r="AN30" i="70"/>
  <c r="AM30" i="70"/>
  <c r="AK30" i="70"/>
  <c r="AJ30" i="70"/>
  <c r="AN24" i="70"/>
  <c r="AM24" i="70"/>
  <c r="AL24" i="70"/>
  <c r="AK24" i="70"/>
  <c r="AJ24" i="70"/>
  <c r="AN21" i="70"/>
  <c r="AM21" i="70"/>
  <c r="AL21" i="70"/>
  <c r="AJ21" i="70"/>
  <c r="AK21" i="70"/>
  <c r="AL18" i="70"/>
  <c r="AM18" i="70"/>
  <c r="AN18" i="70"/>
  <c r="AK18" i="70"/>
  <c r="AJ18" i="70"/>
  <c r="AN9" i="70"/>
  <c r="AL9" i="70"/>
  <c r="AM9" i="70"/>
  <c r="AJ9" i="70"/>
  <c r="AK9" i="70"/>
  <c r="AL10" i="70"/>
  <c r="AN10" i="70"/>
  <c r="AM10" i="70"/>
  <c r="AK10" i="70"/>
  <c r="AJ10" i="70"/>
  <c r="AN13" i="70"/>
  <c r="AM13" i="70"/>
  <c r="AL13" i="70"/>
  <c r="AJ13" i="70"/>
  <c r="AK13" i="70"/>
  <c r="AM15" i="70"/>
  <c r="AL15" i="70"/>
  <c r="AN15" i="70"/>
  <c r="AK15" i="70"/>
  <c r="AJ15" i="70"/>
  <c r="AN16" i="70"/>
  <c r="AM16" i="70"/>
  <c r="AL16" i="70"/>
  <c r="AK16" i="70"/>
  <c r="AJ16" i="70"/>
  <c r="AS16" i="70" s="1"/>
  <c r="AM27" i="70"/>
  <c r="AL27" i="70"/>
  <c r="AN27" i="70"/>
  <c r="AJ27" i="70"/>
  <c r="AK27" i="70"/>
  <c r="AN8" i="70"/>
  <c r="AM8" i="70"/>
  <c r="AL8" i="70"/>
  <c r="AK8" i="70"/>
  <c r="AQ8" i="70" s="1"/>
  <c r="AJ8" i="70"/>
  <c r="AM31" i="70"/>
  <c r="AL31" i="70"/>
  <c r="AN31" i="70"/>
  <c r="AK31" i="70"/>
  <c r="AJ31" i="70"/>
  <c r="AS31" i="70" s="1"/>
  <c r="AM11" i="70"/>
  <c r="AL11" i="70"/>
  <c r="AN11" i="70"/>
  <c r="AJ11" i="70"/>
  <c r="AK11" i="70"/>
  <c r="AL14" i="70"/>
  <c r="AN14" i="70"/>
  <c r="AM14" i="70"/>
  <c r="AK14" i="70"/>
  <c r="AJ14" i="70"/>
  <c r="AL22" i="70"/>
  <c r="AN22" i="70"/>
  <c r="AM22" i="70"/>
  <c r="AJ22" i="70"/>
  <c r="AK22" i="70"/>
  <c r="AN29" i="70"/>
  <c r="AM29" i="70"/>
  <c r="AL29" i="70"/>
  <c r="AJ29" i="70"/>
  <c r="AK29" i="70"/>
  <c r="AK7" i="70"/>
  <c r="AJ7" i="70"/>
  <c r="AH7" i="70"/>
  <c r="P28" i="70"/>
  <c r="U28" i="70" s="1"/>
  <c r="T28" i="70"/>
  <c r="AH28" i="70"/>
  <c r="Q28" i="70"/>
  <c r="V28" i="70" s="1"/>
  <c r="N30" i="70"/>
  <c r="Q24" i="70"/>
  <c r="S30" i="70"/>
  <c r="M30" i="70"/>
  <c r="T21" i="70"/>
  <c r="AH21" i="70"/>
  <c r="Q21" i="70"/>
  <c r="AY28" i="70"/>
  <c r="S31" i="70"/>
  <c r="AH30" i="70"/>
  <c r="AS24" i="70"/>
  <c r="M24" i="70"/>
  <c r="AY24" i="70" s="1"/>
  <c r="AS21" i="70"/>
  <c r="S21" i="70"/>
  <c r="M21" i="70"/>
  <c r="AU30" i="70"/>
  <c r="BT30" i="70" s="1"/>
  <c r="BO30" i="70"/>
  <c r="AH24" i="70"/>
  <c r="R24" i="70"/>
  <c r="W24" i="70" s="1"/>
  <c r="S24" i="70"/>
  <c r="R30" i="70"/>
  <c r="AQ30" i="70"/>
  <c r="R21" i="70"/>
  <c r="W21" i="70" s="1"/>
  <c r="P21" i="70"/>
  <c r="U21" i="70" s="1"/>
  <c r="N21" i="70"/>
  <c r="R28" i="70"/>
  <c r="W28" i="70" s="1"/>
  <c r="S19" i="70"/>
  <c r="G19" i="70"/>
  <c r="G18" i="70"/>
  <c r="AU18" i="70" s="1"/>
  <c r="G17" i="70"/>
  <c r="G16" i="70"/>
  <c r="G15" i="70"/>
  <c r="G14" i="70"/>
  <c r="G13" i="70"/>
  <c r="G11" i="70"/>
  <c r="AH19" i="70"/>
  <c r="AH8" i="70"/>
  <c r="P7" i="70"/>
  <c r="U7" i="70" s="1"/>
  <c r="T19" i="70"/>
  <c r="N19" i="70"/>
  <c r="W19" i="70" s="1"/>
  <c r="P31" i="70"/>
  <c r="U31" i="70" s="1"/>
  <c r="R31" i="70"/>
  <c r="P19" i="70"/>
  <c r="U19" i="70" s="1"/>
  <c r="N31" i="70"/>
  <c r="Q31" i="70"/>
  <c r="Q19" i="70"/>
  <c r="AU31" i="70"/>
  <c r="N18" i="70"/>
  <c r="BO28" i="70"/>
  <c r="S7" i="70"/>
  <c r="P24" i="70"/>
  <c r="U24" i="70" s="1"/>
  <c r="BO24" i="70"/>
  <c r="M31" i="70"/>
  <c r="T31" i="70"/>
  <c r="M19" i="70"/>
  <c r="BO19" i="70"/>
  <c r="P8" i="70"/>
  <c r="U8" i="70" s="1"/>
  <c r="S8" i="70"/>
  <c r="Q8" i="70"/>
  <c r="G8" i="70"/>
  <c r="T8" i="70"/>
  <c r="R8" i="70"/>
  <c r="M8" i="70"/>
  <c r="BO8" i="70"/>
  <c r="N8" i="70"/>
  <c r="AY30" i="70"/>
  <c r="BA30" i="70" s="1"/>
  <c r="R7" i="70"/>
  <c r="N7" i="70"/>
  <c r="M7" i="70"/>
  <c r="BO7" i="70"/>
  <c r="BK1" i="70" s="1"/>
  <c r="BK2" i="70" s="1"/>
  <c r="Q7" i="70"/>
  <c r="AU28" i="70"/>
  <c r="V18" i="70"/>
  <c r="T11" i="70"/>
  <c r="S11" i="70"/>
  <c r="P11" i="70"/>
  <c r="U11" i="70" s="1"/>
  <c r="R11" i="70"/>
  <c r="M11" i="70"/>
  <c r="AZ11" i="70" s="1"/>
  <c r="N11" i="70"/>
  <c r="AH11" i="70"/>
  <c r="BO11" i="70"/>
  <c r="Q11" i="70"/>
  <c r="T14" i="70"/>
  <c r="S14" i="70"/>
  <c r="P14" i="70"/>
  <c r="U14" i="70" s="1"/>
  <c r="Q14" i="70"/>
  <c r="R14" i="70"/>
  <c r="M14" i="70"/>
  <c r="AZ14" i="70" s="1"/>
  <c r="AH14" i="70"/>
  <c r="N14" i="70"/>
  <c r="BO14" i="70"/>
  <c r="N12" i="70"/>
  <c r="R12" i="70"/>
  <c r="T12" i="70"/>
  <c r="S12" i="70"/>
  <c r="Q12" i="70"/>
  <c r="AH12" i="70"/>
  <c r="BO12" i="70"/>
  <c r="M12" i="70"/>
  <c r="P12" i="70"/>
  <c r="U12" i="70" s="1"/>
  <c r="N15" i="70"/>
  <c r="R15" i="70"/>
  <c r="T15" i="70"/>
  <c r="S15" i="70"/>
  <c r="P15" i="70"/>
  <c r="U15" i="70" s="1"/>
  <c r="Q15" i="70"/>
  <c r="AH15" i="70"/>
  <c r="BO15" i="70"/>
  <c r="M15" i="70"/>
  <c r="M16" i="70"/>
  <c r="Q16" i="70"/>
  <c r="N16" i="70"/>
  <c r="R16" i="70"/>
  <c r="AH16" i="70"/>
  <c r="BO16" i="70"/>
  <c r="T16" i="70"/>
  <c r="S16" i="70"/>
  <c r="P16" i="70"/>
  <c r="U16" i="70" s="1"/>
  <c r="AU24" i="70"/>
  <c r="BT24" i="70" s="1"/>
  <c r="M9" i="70"/>
  <c r="AZ9" i="70" s="1"/>
  <c r="Q9" i="70"/>
  <c r="N9" i="70"/>
  <c r="R9" i="70"/>
  <c r="AH9" i="70"/>
  <c r="BO9" i="70"/>
  <c r="P9" i="70"/>
  <c r="U9" i="70" s="1"/>
  <c r="S9" i="70"/>
  <c r="T9" i="70"/>
  <c r="BD31" i="70"/>
  <c r="N29" i="70"/>
  <c r="R29" i="70"/>
  <c r="AH29" i="70"/>
  <c r="BO29" i="70"/>
  <c r="P29" i="70"/>
  <c r="U29" i="70" s="1"/>
  <c r="AU29" i="70"/>
  <c r="T29" i="70"/>
  <c r="Q29" i="70"/>
  <c r="S29" i="70"/>
  <c r="M29" i="70"/>
  <c r="P23" i="70"/>
  <c r="U23" i="70" s="1"/>
  <c r="AU23" i="70"/>
  <c r="N23" i="70"/>
  <c r="R23" i="70"/>
  <c r="AH23" i="70"/>
  <c r="BO23" i="70"/>
  <c r="Q23" i="70"/>
  <c r="S23" i="70"/>
  <c r="M23" i="70"/>
  <c r="T23" i="70"/>
  <c r="AQ18" i="70"/>
  <c r="AR18" i="70"/>
  <c r="BD18" i="70"/>
  <c r="N20" i="70"/>
  <c r="R20" i="70"/>
  <c r="AH20" i="70"/>
  <c r="BO20" i="70"/>
  <c r="T20" i="70"/>
  <c r="Q20" i="70"/>
  <c r="M20" i="70"/>
  <c r="P20" i="70"/>
  <c r="U20" i="70" s="1"/>
  <c r="S20" i="70"/>
  <c r="AU20" i="70"/>
  <c r="BT20" i="70" s="1"/>
  <c r="P22" i="70"/>
  <c r="U22" i="70" s="1"/>
  <c r="AU22" i="70"/>
  <c r="T22" i="70"/>
  <c r="M22" i="70"/>
  <c r="R22" i="70"/>
  <c r="S22" i="70"/>
  <c r="AH22" i="70"/>
  <c r="N22" i="70"/>
  <c r="Q22" i="70"/>
  <c r="BO22" i="70"/>
  <c r="P27" i="70"/>
  <c r="U27" i="70" s="1"/>
  <c r="AU27" i="70"/>
  <c r="BT27" i="70" s="1"/>
  <c r="N27" i="70"/>
  <c r="R27" i="70"/>
  <c r="AH27" i="70"/>
  <c r="BO27" i="70"/>
  <c r="Q27" i="70"/>
  <c r="S27" i="70"/>
  <c r="M27" i="70"/>
  <c r="T27" i="70"/>
  <c r="P17" i="70"/>
  <c r="U17" i="70" s="1"/>
  <c r="M17" i="70"/>
  <c r="Q17" i="70"/>
  <c r="N17" i="70"/>
  <c r="R17" i="70"/>
  <c r="AH17" i="70"/>
  <c r="BO17" i="70"/>
  <c r="T17" i="70"/>
  <c r="S17" i="70"/>
  <c r="N25" i="70"/>
  <c r="R25" i="70"/>
  <c r="AH25" i="70"/>
  <c r="BO25" i="70"/>
  <c r="P25" i="70"/>
  <c r="U25" i="70" s="1"/>
  <c r="AU25" i="70"/>
  <c r="T25" i="70"/>
  <c r="Q25" i="70"/>
  <c r="S25" i="70"/>
  <c r="M25" i="70"/>
  <c r="AQ24" i="70"/>
  <c r="AR24" i="70"/>
  <c r="V30" i="70"/>
  <c r="AU21" i="70"/>
  <c r="P10" i="70"/>
  <c r="U10" i="70" s="1"/>
  <c r="M10" i="70"/>
  <c r="AZ10" i="70" s="1"/>
  <c r="Q10" i="70"/>
  <c r="S10" i="70"/>
  <c r="N10" i="70"/>
  <c r="AH10" i="70"/>
  <c r="BO10" i="70"/>
  <c r="T10" i="70"/>
  <c r="R10" i="70"/>
  <c r="N13" i="70"/>
  <c r="P13" i="70"/>
  <c r="U13" i="70" s="1"/>
  <c r="Q13" i="70"/>
  <c r="R13" i="70"/>
  <c r="S13" i="70"/>
  <c r="M13" i="70"/>
  <c r="AZ13" i="70" s="1"/>
  <c r="AH13" i="70"/>
  <c r="BO13" i="70"/>
  <c r="T13" i="70"/>
  <c r="AQ28" i="70"/>
  <c r="AR28" i="70"/>
  <c r="M26" i="70"/>
  <c r="Q26" i="70"/>
  <c r="T26" i="70"/>
  <c r="S26" i="70"/>
  <c r="R26" i="70"/>
  <c r="AU26" i="70"/>
  <c r="BT26" i="70" s="1"/>
  <c r="N26" i="70"/>
  <c r="AH26" i="70"/>
  <c r="BO26" i="70"/>
  <c r="P26" i="70"/>
  <c r="U26" i="70" s="1"/>
  <c r="AR21" i="70"/>
  <c r="AQ21" i="70"/>
  <c r="AL7" i="70" l="1"/>
  <c r="AS18" i="70"/>
  <c r="AM7" i="70"/>
  <c r="AU12" i="70"/>
  <c r="BT12" i="70" s="1"/>
  <c r="AN7" i="70"/>
  <c r="AU7" i="70" s="1"/>
  <c r="V24" i="70"/>
  <c r="X24" i="70"/>
  <c r="V21" i="70"/>
  <c r="AX31" i="70"/>
  <c r="BT31" i="70"/>
  <c r="AX23" i="70"/>
  <c r="BT23" i="70"/>
  <c r="AX28" i="70"/>
  <c r="BT28" i="70"/>
  <c r="AX18" i="70"/>
  <c r="BT18" i="70"/>
  <c r="AX25" i="70"/>
  <c r="BT25" i="70"/>
  <c r="AX22" i="70"/>
  <c r="BT22" i="70"/>
  <c r="AX21" i="70"/>
  <c r="BT21" i="70"/>
  <c r="AX29" i="70"/>
  <c r="BT29" i="70"/>
  <c r="X21" i="70"/>
  <c r="AV22" i="70"/>
  <c r="BD24" i="70"/>
  <c r="AX30" i="70"/>
  <c r="BD21" i="70"/>
  <c r="AS26" i="70"/>
  <c r="AS20" i="70"/>
  <c r="AR30" i="70"/>
  <c r="BB30" i="70"/>
  <c r="BH30" i="70" s="1"/>
  <c r="AU17" i="70"/>
  <c r="AU14" i="70"/>
  <c r="AV10" i="70"/>
  <c r="AW10" i="70" s="1"/>
  <c r="AU15" i="70"/>
  <c r="AU19" i="70"/>
  <c r="AV31" i="70"/>
  <c r="AW31" i="70" s="1"/>
  <c r="AV25" i="70"/>
  <c r="AW25" i="70" s="1"/>
  <c r="AV20" i="70"/>
  <c r="AW20" i="70" s="1"/>
  <c r="AY31" i="70"/>
  <c r="BA31" i="70" s="1"/>
  <c r="BB31" i="70" s="1"/>
  <c r="BH31" i="70" s="1"/>
  <c r="AS9" i="70"/>
  <c r="AS30" i="70"/>
  <c r="AT30" i="70" s="1"/>
  <c r="BG30" i="70" s="1"/>
  <c r="W30" i="70"/>
  <c r="AV23" i="70"/>
  <c r="AW23" i="70" s="1"/>
  <c r="AY21" i="70"/>
  <c r="BA21" i="70" s="1"/>
  <c r="BB21" i="70" s="1"/>
  <c r="BH21" i="70" s="1"/>
  <c r="BD30" i="70"/>
  <c r="X30" i="70"/>
  <c r="X31" i="70"/>
  <c r="AV30" i="70"/>
  <c r="AW30" i="70" s="1"/>
  <c r="AV29" i="70"/>
  <c r="AW29" i="70" s="1"/>
  <c r="AV26" i="70"/>
  <c r="AW26" i="70" s="1"/>
  <c r="X28" i="70"/>
  <c r="Y28" i="70" s="1"/>
  <c r="AV13" i="70"/>
  <c r="AW13" i="70" s="1"/>
  <c r="AV14" i="70"/>
  <c r="AW14" i="70" s="1"/>
  <c r="AV21" i="70"/>
  <c r="AW21" i="70" s="1"/>
  <c r="AV24" i="70"/>
  <c r="AW24" i="70" s="1"/>
  <c r="AU11" i="70"/>
  <c r="BT11" i="70" s="1"/>
  <c r="AU13" i="70"/>
  <c r="AU9" i="70"/>
  <c r="AU16" i="70"/>
  <c r="AV19" i="70"/>
  <c r="AW19" i="70" s="1"/>
  <c r="AY18" i="70"/>
  <c r="BE18" i="70" s="1"/>
  <c r="BK18" i="70" s="1"/>
  <c r="BS18" i="70" s="1"/>
  <c r="BD19" i="70"/>
  <c r="X19" i="70"/>
  <c r="AV17" i="70"/>
  <c r="AW17" i="70" s="1"/>
  <c r="AV15" i="70"/>
  <c r="AW15" i="70" s="1"/>
  <c r="AV12" i="70"/>
  <c r="AW12" i="70" s="1"/>
  <c r="AU10" i="70"/>
  <c r="AV9" i="70"/>
  <c r="AW9" i="70" s="1"/>
  <c r="AV16" i="70"/>
  <c r="AW16" i="70" s="1"/>
  <c r="AS15" i="70"/>
  <c r="AS13" i="70"/>
  <c r="AV11" i="70"/>
  <c r="AW11" i="70" s="1"/>
  <c r="W31" i="70"/>
  <c r="AS17" i="70"/>
  <c r="BD28" i="70"/>
  <c r="AS28" i="70"/>
  <c r="AT28" i="70" s="1"/>
  <c r="BG28" i="70" s="1"/>
  <c r="AY27" i="70"/>
  <c r="BE27" i="70" s="1"/>
  <c r="AV27" i="70"/>
  <c r="AW27" i="70" s="1"/>
  <c r="AS27" i="70"/>
  <c r="AS25" i="70"/>
  <c r="AS22" i="70"/>
  <c r="AS10" i="70"/>
  <c r="AS23" i="70"/>
  <c r="AS29" i="70"/>
  <c r="AS12" i="70"/>
  <c r="AS14" i="70"/>
  <c r="AY19" i="70"/>
  <c r="BA19" i="70" s="1"/>
  <c r="AV18" i="70"/>
  <c r="AW18" i="70" s="1"/>
  <c r="AS19" i="70"/>
  <c r="AT19" i="70" s="1"/>
  <c r="BG19" i="70" s="1"/>
  <c r="AS11" i="70"/>
  <c r="AS8" i="70"/>
  <c r="AT8" i="70" s="1"/>
  <c r="BG8" i="70" s="1"/>
  <c r="AS7" i="70"/>
  <c r="AT7" i="70" s="1"/>
  <c r="BG7" i="70" s="1"/>
  <c r="V31" i="70"/>
  <c r="W18" i="70"/>
  <c r="X18" i="70"/>
  <c r="AY25" i="70"/>
  <c r="BE25" i="70" s="1"/>
  <c r="AY15" i="70"/>
  <c r="BA15" i="70" s="1"/>
  <c r="V19" i="70"/>
  <c r="BD8" i="70"/>
  <c r="AR31" i="70"/>
  <c r="AQ31" i="70"/>
  <c r="AY17" i="70"/>
  <c r="BE17" i="70" s="1"/>
  <c r="AY22" i="70"/>
  <c r="BA22" i="70" s="1"/>
  <c r="BB22" i="70" s="1"/>
  <c r="BH22" i="70" s="1"/>
  <c r="AR19" i="70"/>
  <c r="AQ19" i="70"/>
  <c r="AY10" i="70"/>
  <c r="BA10" i="70" s="1"/>
  <c r="AY26" i="70"/>
  <c r="BA26" i="70" s="1"/>
  <c r="BB26" i="70" s="1"/>
  <c r="BH26" i="70" s="1"/>
  <c r="AY9" i="70"/>
  <c r="AY11" i="70"/>
  <c r="BA11" i="70" s="1"/>
  <c r="V20" i="70"/>
  <c r="BE30" i="70"/>
  <c r="W8" i="70"/>
  <c r="AU8" i="70"/>
  <c r="AR8" i="70"/>
  <c r="V8" i="70"/>
  <c r="X8" i="70"/>
  <c r="V7" i="70"/>
  <c r="AQ7" i="70"/>
  <c r="AR7" i="70"/>
  <c r="W7" i="70"/>
  <c r="X7" i="70"/>
  <c r="V29" i="70"/>
  <c r="V14" i="70"/>
  <c r="V13" i="70"/>
  <c r="V25" i="70"/>
  <c r="V23" i="70"/>
  <c r="V11" i="70"/>
  <c r="BD26" i="70"/>
  <c r="AX26" i="70"/>
  <c r="V26" i="70"/>
  <c r="X13" i="70"/>
  <c r="W13" i="70"/>
  <c r="V10" i="70"/>
  <c r="V17" i="70"/>
  <c r="V27" i="70"/>
  <c r="X27" i="70"/>
  <c r="W27" i="70"/>
  <c r="BD22" i="70"/>
  <c r="AQ20" i="70"/>
  <c r="AR20" i="70"/>
  <c r="AY20" i="70"/>
  <c r="AY29" i="70"/>
  <c r="V9" i="70"/>
  <c r="AX24" i="70"/>
  <c r="BD16" i="70"/>
  <c r="W16" i="70"/>
  <c r="X16" i="70"/>
  <c r="V15" i="70"/>
  <c r="BD12" i="70"/>
  <c r="AY14" i="70"/>
  <c r="W11" i="70"/>
  <c r="X11" i="70"/>
  <c r="AY13" i="70"/>
  <c r="X25" i="70"/>
  <c r="W25" i="70"/>
  <c r="X17" i="70"/>
  <c r="W17" i="70"/>
  <c r="AR27" i="70"/>
  <c r="AQ27" i="70"/>
  <c r="AX27" i="70"/>
  <c r="AR22" i="70"/>
  <c r="AQ22" i="70"/>
  <c r="V22" i="70"/>
  <c r="BA28" i="70"/>
  <c r="BB28" i="70" s="1"/>
  <c r="BH28" i="70" s="1"/>
  <c r="BE28" i="70"/>
  <c r="AR23" i="70"/>
  <c r="AQ23" i="70"/>
  <c r="X23" i="70"/>
  <c r="W23" i="70"/>
  <c r="BD29" i="70"/>
  <c r="AT31" i="70"/>
  <c r="BG31" i="70" s="1"/>
  <c r="X9" i="70"/>
  <c r="W9" i="70"/>
  <c r="AY16" i="70"/>
  <c r="AQ16" i="70"/>
  <c r="AR16" i="70"/>
  <c r="BD15" i="70"/>
  <c r="W15" i="70"/>
  <c r="X15" i="70"/>
  <c r="V12" i="70"/>
  <c r="AY12" i="70"/>
  <c r="W14" i="70"/>
  <c r="X14" i="70"/>
  <c r="BD14" i="70"/>
  <c r="AQ11" i="70"/>
  <c r="AR11" i="70"/>
  <c r="BD11" i="70"/>
  <c r="AQ26" i="70"/>
  <c r="AR26" i="70"/>
  <c r="BD13" i="70"/>
  <c r="AR10" i="70"/>
  <c r="AQ10" i="70"/>
  <c r="BD10" i="70"/>
  <c r="AR25" i="70"/>
  <c r="AQ25" i="70"/>
  <c r="AR17" i="70"/>
  <c r="AQ17" i="70"/>
  <c r="BD17" i="70"/>
  <c r="BD27" i="70"/>
  <c r="AX20" i="70"/>
  <c r="AY23" i="70"/>
  <c r="AR29" i="70"/>
  <c r="AQ29" i="70"/>
  <c r="BD9" i="70"/>
  <c r="AQ9" i="70"/>
  <c r="AR9" i="70"/>
  <c r="AQ12" i="70"/>
  <c r="AR12" i="70"/>
  <c r="AQ14" i="70"/>
  <c r="AR14" i="70"/>
  <c r="BA24" i="70"/>
  <c r="BB24" i="70" s="1"/>
  <c r="BH24" i="70" s="1"/>
  <c r="BE24" i="70"/>
  <c r="BK24" i="70" s="1"/>
  <c r="BS24" i="70" s="1"/>
  <c r="W26" i="70"/>
  <c r="X26" i="70"/>
  <c r="AR13" i="70"/>
  <c r="AQ13" i="70"/>
  <c r="X10" i="70"/>
  <c r="W10" i="70"/>
  <c r="BD25" i="70"/>
  <c r="X22" i="70"/>
  <c r="AW22" i="70"/>
  <c r="W22" i="70"/>
  <c r="BD20" i="70"/>
  <c r="W20" i="70"/>
  <c r="X20" i="70"/>
  <c r="AT18" i="70"/>
  <c r="BG18" i="70" s="1"/>
  <c r="BD23" i="70"/>
  <c r="X29" i="70"/>
  <c r="W29" i="70"/>
  <c r="AT21" i="70"/>
  <c r="BG21" i="70" s="1"/>
  <c r="BC24" i="70"/>
  <c r="AT24" i="70"/>
  <c r="BG24" i="70" s="1"/>
  <c r="BJ24" i="70"/>
  <c r="V16" i="70"/>
  <c r="AQ15" i="70"/>
  <c r="AR15" i="70"/>
  <c r="AX12" i="70"/>
  <c r="W12" i="70"/>
  <c r="X12" i="70"/>
  <c r="Y24" i="70" l="1"/>
  <c r="BM24" i="70" s="1"/>
  <c r="Y30" i="70"/>
  <c r="AY7" i="70"/>
  <c r="BJ7" i="70" s="1"/>
  <c r="AV7" i="70"/>
  <c r="AW7" i="70" s="1"/>
  <c r="Y21" i="70"/>
  <c r="BM21" i="70" s="1"/>
  <c r="BP28" i="70"/>
  <c r="BQ28" i="70" s="1"/>
  <c r="BL28" i="70"/>
  <c r="AX7" i="70"/>
  <c r="AX13" i="70"/>
  <c r="BT13" i="70"/>
  <c r="AX14" i="70"/>
  <c r="BT14" i="70"/>
  <c r="AX8" i="70"/>
  <c r="AZ8" i="70" s="1"/>
  <c r="BT8" i="70" s="1"/>
  <c r="AX10" i="70"/>
  <c r="BT10" i="70"/>
  <c r="AX16" i="70"/>
  <c r="BT16" i="70"/>
  <c r="AX19" i="70"/>
  <c r="BT19" i="70"/>
  <c r="AX17" i="70"/>
  <c r="BT17" i="70"/>
  <c r="AX9" i="70"/>
  <c r="BT9" i="70"/>
  <c r="AX15" i="70"/>
  <c r="BT15" i="70"/>
  <c r="BE22" i="70"/>
  <c r="BF22" i="70" s="1"/>
  <c r="BI30" i="70"/>
  <c r="BJ21" i="70"/>
  <c r="BA25" i="70"/>
  <c r="BB25" i="70" s="1"/>
  <c r="BH25" i="70" s="1"/>
  <c r="BC21" i="70"/>
  <c r="AX11" i="70"/>
  <c r="BE21" i="70"/>
  <c r="BF21" i="70" s="1"/>
  <c r="BK30" i="70"/>
  <c r="BS30" i="70" s="1"/>
  <c r="BC18" i="70"/>
  <c r="BC30" i="70"/>
  <c r="BJ30" i="70"/>
  <c r="BI31" i="70"/>
  <c r="BA27" i="70"/>
  <c r="BB27" i="70" s="1"/>
  <c r="BH27" i="70" s="1"/>
  <c r="BR28" i="70"/>
  <c r="BB10" i="70"/>
  <c r="BH10" i="70" s="1"/>
  <c r="BC31" i="70"/>
  <c r="BE26" i="70"/>
  <c r="BF26" i="70" s="1"/>
  <c r="BM28" i="70"/>
  <c r="Y31" i="70"/>
  <c r="BP31" i="70" s="1"/>
  <c r="BQ31" i="70" s="1"/>
  <c r="BB19" i="70"/>
  <c r="BH19" i="70" s="1"/>
  <c r="BI19" i="70" s="1"/>
  <c r="BJ31" i="70"/>
  <c r="BF30" i="70"/>
  <c r="BE31" i="70"/>
  <c r="BB15" i="70"/>
  <c r="BH15" i="70" s="1"/>
  <c r="BA18" i="70"/>
  <c r="BB18" i="70" s="1"/>
  <c r="BH18" i="70" s="1"/>
  <c r="BI18" i="70" s="1"/>
  <c r="BJ18" i="70"/>
  <c r="BP30" i="70"/>
  <c r="BQ30" i="70" s="1"/>
  <c r="BR30" i="70"/>
  <c r="BM30" i="70"/>
  <c r="BB11" i="70"/>
  <c r="BH11" i="70" s="1"/>
  <c r="BA9" i="70"/>
  <c r="BB9" i="70" s="1"/>
  <c r="BH9" i="70" s="1"/>
  <c r="BE9" i="70"/>
  <c r="BF9" i="70" s="1"/>
  <c r="Y19" i="70"/>
  <c r="BL19" i="70" s="1"/>
  <c r="BM19" i="70" s="1"/>
  <c r="AD28" i="69" s="1"/>
  <c r="BE11" i="70"/>
  <c r="BK11" i="70" s="1"/>
  <c r="BS11" i="70" s="1"/>
  <c r="BJ19" i="70"/>
  <c r="BP24" i="70"/>
  <c r="BQ24" i="70" s="1"/>
  <c r="BL30" i="70"/>
  <c r="BJ28" i="70"/>
  <c r="BE15" i="70"/>
  <c r="BK15" i="70" s="1"/>
  <c r="BS15" i="70" s="1"/>
  <c r="BI28" i="70"/>
  <c r="BE19" i="70"/>
  <c r="BK19" i="70" s="1"/>
  <c r="BS19" i="70" s="1"/>
  <c r="BC28" i="70"/>
  <c r="BC19" i="70"/>
  <c r="BP21" i="70"/>
  <c r="BQ21" i="70" s="1"/>
  <c r="BL21" i="70"/>
  <c r="BD7" i="70"/>
  <c r="AV8" i="70"/>
  <c r="AW8" i="70" s="1"/>
  <c r="BL24" i="70"/>
  <c r="BE10" i="70"/>
  <c r="BK10" i="70" s="1"/>
  <c r="BS10" i="70" s="1"/>
  <c r="BA17" i="70"/>
  <c r="BB17" i="70" s="1"/>
  <c r="BH17" i="70" s="1"/>
  <c r="BR24" i="70"/>
  <c r="BR21" i="70"/>
  <c r="Y18" i="70"/>
  <c r="Y14" i="70"/>
  <c r="AD6" i="69"/>
  <c r="Y16" i="70"/>
  <c r="Y15" i="70"/>
  <c r="BI21" i="70"/>
  <c r="AY8" i="70"/>
  <c r="Y8" i="70"/>
  <c r="BP8" i="70" s="1"/>
  <c r="BQ8" i="70" s="1"/>
  <c r="BR8" i="70" s="1"/>
  <c r="Y13" i="70"/>
  <c r="BP13" i="70" s="1"/>
  <c r="BQ13" i="70" s="1"/>
  <c r="BF24" i="70"/>
  <c r="Y7" i="70"/>
  <c r="BL7" i="70" s="1"/>
  <c r="BI24" i="70"/>
  <c r="Y22" i="70"/>
  <c r="BL22" i="70" s="1"/>
  <c r="Y29" i="70"/>
  <c r="BR29" i="70" s="1"/>
  <c r="Y27" i="70"/>
  <c r="BR27" i="70" s="1"/>
  <c r="Y11" i="70"/>
  <c r="BP11" i="70" s="1"/>
  <c r="BQ11" i="70" s="1"/>
  <c r="Y9" i="70"/>
  <c r="Y20" i="70"/>
  <c r="BM20" i="70" s="1"/>
  <c r="Y10" i="70"/>
  <c r="BP10" i="70" s="1"/>
  <c r="BQ10" i="70" s="1"/>
  <c r="Y25" i="70"/>
  <c r="BP25" i="70" s="1"/>
  <c r="BQ25" i="70" s="1"/>
  <c r="Y12" i="70"/>
  <c r="Y26" i="70"/>
  <c r="BP26" i="70" s="1"/>
  <c r="BQ26" i="70" s="1"/>
  <c r="Y23" i="70"/>
  <c r="BL23" i="70" s="1"/>
  <c r="Y17" i="70"/>
  <c r="AT20" i="70"/>
  <c r="BG20" i="70" s="1"/>
  <c r="BJ20" i="70"/>
  <c r="BC20" i="70"/>
  <c r="AT23" i="70"/>
  <c r="BG23" i="70" s="1"/>
  <c r="BJ23" i="70"/>
  <c r="BC23" i="70"/>
  <c r="AT27" i="70"/>
  <c r="BG27" i="70" s="1"/>
  <c r="BJ27" i="70"/>
  <c r="BC27" i="70"/>
  <c r="BF17" i="70"/>
  <c r="BK17" i="70"/>
  <c r="BS17" i="70" s="1"/>
  <c r="AT13" i="70"/>
  <c r="BG13" i="70" s="1"/>
  <c r="BJ13" i="70"/>
  <c r="BC13" i="70"/>
  <c r="BC14" i="70"/>
  <c r="AT14" i="70"/>
  <c r="BG14" i="70" s="1"/>
  <c r="BJ14" i="70"/>
  <c r="BA16" i="70"/>
  <c r="BB16" i="70" s="1"/>
  <c r="BH16" i="70" s="1"/>
  <c r="BE16" i="70"/>
  <c r="BF16" i="70" s="1"/>
  <c r="AT29" i="70"/>
  <c r="BG29" i="70" s="1"/>
  <c r="BJ29" i="70"/>
  <c r="BC29" i="70"/>
  <c r="BA13" i="70"/>
  <c r="BB13" i="70" s="1"/>
  <c r="BH13" i="70" s="1"/>
  <c r="BE13" i="70"/>
  <c r="BF13" i="70" s="1"/>
  <c r="BC12" i="70"/>
  <c r="AT12" i="70"/>
  <c r="BG12" i="70" s="1"/>
  <c r="BJ12" i="70"/>
  <c r="AT22" i="70"/>
  <c r="BG22" i="70" s="1"/>
  <c r="BI22" i="70" s="1"/>
  <c r="BJ22" i="70"/>
  <c r="BC22" i="70"/>
  <c r="BC26" i="70"/>
  <c r="AT26" i="70"/>
  <c r="BG26" i="70" s="1"/>
  <c r="BI26" i="70" s="1"/>
  <c r="BJ26" i="70"/>
  <c r="AT25" i="70"/>
  <c r="BG25" i="70" s="1"/>
  <c r="BJ25" i="70"/>
  <c r="BC25" i="70"/>
  <c r="BF27" i="70"/>
  <c r="BK27" i="70"/>
  <c r="BS27" i="70" s="1"/>
  <c r="BA14" i="70"/>
  <c r="BB14" i="70" s="1"/>
  <c r="BH14" i="70" s="1"/>
  <c r="BE14" i="70"/>
  <c r="BK14" i="70" s="1"/>
  <c r="BS14" i="70" s="1"/>
  <c r="BA29" i="70"/>
  <c r="BB29" i="70" s="1"/>
  <c r="BH29" i="70" s="1"/>
  <c r="BE29" i="70"/>
  <c r="BF29" i="70" s="1"/>
  <c r="BF18" i="70"/>
  <c r="BA20" i="70"/>
  <c r="BB20" i="70" s="1"/>
  <c r="BH20" i="70" s="1"/>
  <c r="BE20" i="70"/>
  <c r="BF20" i="70" s="1"/>
  <c r="BF25" i="70"/>
  <c r="BK25" i="70"/>
  <c r="BS25" i="70" s="1"/>
  <c r="AT9" i="70"/>
  <c r="BG9" i="70" s="1"/>
  <c r="BJ9" i="70"/>
  <c r="BC9" i="70"/>
  <c r="BE23" i="70"/>
  <c r="BF23" i="70" s="1"/>
  <c r="BA23" i="70"/>
  <c r="BB23" i="70" s="1"/>
  <c r="BH23" i="70" s="1"/>
  <c r="BC10" i="70"/>
  <c r="BJ10" i="70"/>
  <c r="AT10" i="70"/>
  <c r="BG10" i="70" s="1"/>
  <c r="BE12" i="70"/>
  <c r="BK12" i="70" s="1"/>
  <c r="BS12" i="70" s="1"/>
  <c r="BA12" i="70"/>
  <c r="BB12" i="70" s="1"/>
  <c r="BH12" i="70" s="1"/>
  <c r="BC15" i="70"/>
  <c r="BJ15" i="70"/>
  <c r="AT15" i="70"/>
  <c r="BG15" i="70" s="1"/>
  <c r="AT17" i="70"/>
  <c r="BG17" i="70" s="1"/>
  <c r="BJ17" i="70"/>
  <c r="BC17" i="70"/>
  <c r="BC11" i="70"/>
  <c r="AT11" i="70"/>
  <c r="BG11" i="70" s="1"/>
  <c r="BJ11" i="70"/>
  <c r="BK28" i="70"/>
  <c r="BS28" i="70" s="1"/>
  <c r="BF28" i="70"/>
  <c r="AT16" i="70"/>
  <c r="BG16" i="70" s="1"/>
  <c r="BJ16" i="70"/>
  <c r="BC16" i="70"/>
  <c r="BK22" i="70" l="1"/>
  <c r="BS22" i="70" s="1"/>
  <c r="AZ7" i="70"/>
  <c r="BC7" i="70" s="1"/>
  <c r="BE8" i="70"/>
  <c r="BF8" i="70" s="1"/>
  <c r="BK26" i="70"/>
  <c r="BS26" i="70" s="1"/>
  <c r="BK21" i="70"/>
  <c r="BS21" i="70" s="1"/>
  <c r="BI25" i="70"/>
  <c r="BI10" i="70"/>
  <c r="BR31" i="70"/>
  <c r="BI15" i="70"/>
  <c r="BI9" i="70"/>
  <c r="BF31" i="70"/>
  <c r="BK31" i="70"/>
  <c r="BS31" i="70" s="1"/>
  <c r="BL31" i="70"/>
  <c r="BM31" i="70"/>
  <c r="BI27" i="70"/>
  <c r="BI11" i="70"/>
  <c r="BL17" i="70"/>
  <c r="BL15" i="70"/>
  <c r="BL16" i="70"/>
  <c r="BK9" i="70"/>
  <c r="BS9" i="70" s="1"/>
  <c r="BP19" i="70"/>
  <c r="BQ19" i="70" s="1"/>
  <c r="BR19" i="70" s="1"/>
  <c r="BM7" i="70"/>
  <c r="AD16" i="69" s="1"/>
  <c r="BR13" i="70"/>
  <c r="BF11" i="70"/>
  <c r="BF15" i="70"/>
  <c r="BI17" i="70"/>
  <c r="BF10" i="70"/>
  <c r="BF19" i="70"/>
  <c r="BP16" i="70"/>
  <c r="BQ16" i="70" s="1"/>
  <c r="BR16" i="70" s="1"/>
  <c r="BL14" i="70"/>
  <c r="BM14" i="70" s="1"/>
  <c r="AD23" i="69" s="1"/>
  <c r="BL29" i="70"/>
  <c r="BR22" i="70"/>
  <c r="BP14" i="70"/>
  <c r="BQ14" i="70" s="1"/>
  <c r="BR14" i="70" s="1"/>
  <c r="BM15" i="70"/>
  <c r="AD24" i="69" s="1"/>
  <c r="BL13" i="70"/>
  <c r="BM13" i="70" s="1"/>
  <c r="AD22" i="69" s="1"/>
  <c r="BP15" i="70"/>
  <c r="BQ15" i="70" s="1"/>
  <c r="BR15" i="70" s="1"/>
  <c r="BM25" i="70"/>
  <c r="BP22" i="70"/>
  <c r="BQ22" i="70" s="1"/>
  <c r="BM22" i="70"/>
  <c r="BP18" i="70"/>
  <c r="BQ18" i="70" s="1"/>
  <c r="BR18" i="70" s="1"/>
  <c r="BL18" i="70"/>
  <c r="BM18" i="70" s="1"/>
  <c r="AD27" i="69" s="1"/>
  <c r="BP17" i="70"/>
  <c r="BQ17" i="70" s="1"/>
  <c r="BR17" i="70" s="1"/>
  <c r="BP27" i="70"/>
  <c r="BQ27" i="70" s="1"/>
  <c r="BM16" i="70"/>
  <c r="AD25" i="69" s="1"/>
  <c r="BL12" i="70"/>
  <c r="BM12" i="70" s="1"/>
  <c r="AD21" i="69" s="1"/>
  <c r="BR23" i="70"/>
  <c r="BA8" i="70"/>
  <c r="BB8" i="70" s="1"/>
  <c r="BH8" i="70" s="1"/>
  <c r="BI8" i="70" s="1"/>
  <c r="BC8" i="70"/>
  <c r="BR10" i="70"/>
  <c r="BP20" i="70"/>
  <c r="BQ20" i="70" s="1"/>
  <c r="BR11" i="70"/>
  <c r="BM27" i="70"/>
  <c r="BR26" i="70"/>
  <c r="BR20" i="70"/>
  <c r="BJ8" i="70"/>
  <c r="BL8" i="70" s="1"/>
  <c r="BM8" i="70" s="1"/>
  <c r="AD17" i="69" s="1"/>
  <c r="BK8" i="70"/>
  <c r="BS8" i="70" s="1"/>
  <c r="BL11" i="70"/>
  <c r="BM11" i="70" s="1"/>
  <c r="AD20" i="69" s="1"/>
  <c r="BM17" i="70"/>
  <c r="AD26" i="69" s="1"/>
  <c r="BL10" i="70"/>
  <c r="BM10" i="70" s="1"/>
  <c r="AD19" i="69" s="1"/>
  <c r="BL20" i="70"/>
  <c r="BL27" i="70"/>
  <c r="BK16" i="70"/>
  <c r="BS16" i="70" s="1"/>
  <c r="BK13" i="70"/>
  <c r="BS13" i="70" s="1"/>
  <c r="BF12" i="70"/>
  <c r="BP9" i="70"/>
  <c r="BQ9" i="70" s="1"/>
  <c r="BR9" i="70" s="1"/>
  <c r="BP23" i="70"/>
  <c r="BQ23" i="70" s="1"/>
  <c r="BP29" i="70"/>
  <c r="BQ29" i="70" s="1"/>
  <c r="BL9" i="70"/>
  <c r="BM9" i="70" s="1"/>
  <c r="AD18" i="69" s="1"/>
  <c r="BM23" i="70"/>
  <c r="BM29" i="70"/>
  <c r="BP12" i="70"/>
  <c r="BQ12" i="70" s="1"/>
  <c r="BR12" i="70" s="1"/>
  <c r="BI16" i="70"/>
  <c r="BP7" i="70"/>
  <c r="BQ7" i="70" s="1"/>
  <c r="BR7" i="70" s="1"/>
  <c r="BK29" i="70"/>
  <c r="BS29" i="70" s="1"/>
  <c r="BL25" i="70"/>
  <c r="BR25" i="70"/>
  <c r="BK23" i="70"/>
  <c r="BS23" i="70" s="1"/>
  <c r="BM26" i="70"/>
  <c r="BF14" i="70"/>
  <c r="BL26" i="70"/>
  <c r="BK20" i="70"/>
  <c r="BS20" i="70" s="1"/>
  <c r="BI13" i="70"/>
  <c r="BI20" i="70"/>
  <c r="BI12" i="70"/>
  <c r="BI23" i="70"/>
  <c r="BI29" i="70"/>
  <c r="BI14" i="70"/>
  <c r="BE7" i="70" l="1"/>
  <c r="BK7" i="70" s="1"/>
  <c r="BS7" i="70" s="1"/>
  <c r="BT7" i="70"/>
  <c r="BA7" i="70"/>
  <c r="BB7" i="70" s="1"/>
  <c r="BH7" i="70" s="1"/>
  <c r="BI7" i="70" s="1"/>
  <c r="AD8" i="69"/>
  <c r="AD9" i="69"/>
  <c r="AD10" i="69" s="1"/>
  <c r="AD7" i="69"/>
  <c r="AC39" i="69"/>
  <c r="AG39" i="69" s="1"/>
  <c r="AC37" i="69"/>
  <c r="AG37" i="69" s="1"/>
  <c r="AC35" i="69"/>
  <c r="AG35" i="69" s="1"/>
  <c r="AC31" i="69"/>
  <c r="AG31" i="69" s="1"/>
  <c r="AC29" i="69"/>
  <c r="AG29" i="69" s="1"/>
  <c r="AC28" i="69"/>
  <c r="AG28" i="69" s="1"/>
  <c r="AC27" i="69"/>
  <c r="AG27" i="69" s="1"/>
  <c r="AC24" i="69"/>
  <c r="AG24" i="69" s="1"/>
  <c r="AC23" i="69"/>
  <c r="AG23" i="69" s="1"/>
  <c r="AC20" i="69"/>
  <c r="AG20" i="69" s="1"/>
  <c r="AC17" i="69"/>
  <c r="AG17" i="69" s="1"/>
  <c r="BF7" i="70" l="1"/>
  <c r="AC18" i="69"/>
  <c r="AG18" i="69" s="1"/>
  <c r="AC34" i="69"/>
  <c r="AG34" i="69" s="1"/>
  <c r="AC21" i="69"/>
  <c r="AG21" i="69" s="1"/>
  <c r="AC32" i="69"/>
  <c r="AG32" i="69" s="1"/>
  <c r="AC25" i="69"/>
  <c r="AG25" i="69" s="1"/>
  <c r="AC33" i="69"/>
  <c r="AG33" i="69" s="1"/>
  <c r="AC36" i="69"/>
  <c r="AG36" i="69" s="1"/>
  <c r="AC16" i="69"/>
  <c r="AG16" i="69" s="1"/>
  <c r="AC40" i="69" l="1"/>
  <c r="AG40" i="69" s="1"/>
  <c r="AC19" i="69"/>
  <c r="AG19" i="69" s="1"/>
  <c r="AC38" i="69"/>
  <c r="AG38" i="69" s="1"/>
  <c r="AC22" i="69"/>
  <c r="AG22" i="69" s="1"/>
  <c r="AC26" i="69"/>
  <c r="AG26" i="69" s="1"/>
  <c r="AC30" i="69"/>
  <c r="AG30" i="69" s="1"/>
  <c r="AF10" i="69" l="1"/>
  <c r="AE28" i="69" s="1"/>
  <c r="AF28" i="69" s="1"/>
  <c r="AE26" i="69" l="1"/>
  <c r="AF26" i="69" s="1"/>
  <c r="AE27" i="69"/>
  <c r="AF27" i="69" s="1"/>
  <c r="AE24" i="69"/>
  <c r="AF24" i="69" s="1"/>
  <c r="AE25" i="69"/>
  <c r="AF25" i="69" s="1"/>
  <c r="AE22" i="69"/>
  <c r="AF22" i="69" s="1"/>
  <c r="AE23" i="69"/>
  <c r="AF23" i="69" s="1"/>
  <c r="AE20" i="69"/>
  <c r="AF20" i="69" s="1"/>
  <c r="AE21" i="69"/>
  <c r="AF21" i="69" s="1"/>
  <c r="AE18" i="69"/>
  <c r="AF18" i="69" s="1"/>
  <c r="AE19" i="69"/>
  <c r="AF19" i="69" s="1"/>
  <c r="AE16" i="69"/>
  <c r="AF16" i="69" s="1"/>
  <c r="AE17" i="69"/>
  <c r="AF17" i="69" s="1"/>
  <c r="V160" i="59" l="1"/>
  <c r="V159" i="59"/>
  <c r="V158" i="59"/>
  <c r="V157" i="59"/>
  <c r="V156" i="59"/>
  <c r="V155" i="59"/>
  <c r="V154" i="59"/>
  <c r="V153" i="59"/>
  <c r="V152" i="59"/>
  <c r="V151" i="59"/>
  <c r="V150" i="59"/>
  <c r="V149" i="59"/>
  <c r="V148" i="59"/>
  <c r="V147" i="59"/>
  <c r="V146" i="59"/>
  <c r="V145" i="59"/>
  <c r="V144" i="59"/>
  <c r="V143" i="59"/>
  <c r="V142" i="59"/>
  <c r="V141" i="59"/>
  <c r="V140" i="59"/>
  <c r="V139" i="59"/>
  <c r="V138" i="59"/>
  <c r="V137" i="59"/>
  <c r="V136" i="59"/>
  <c r="V135" i="59"/>
  <c r="V134" i="59"/>
  <c r="V133" i="59"/>
  <c r="V132" i="59"/>
  <c r="V131" i="59"/>
  <c r="V130" i="59"/>
  <c r="V129" i="59"/>
  <c r="V128" i="59"/>
  <c r="V127" i="59"/>
  <c r="V126" i="59"/>
  <c r="V125" i="59"/>
  <c r="V124" i="59"/>
  <c r="V123" i="59"/>
  <c r="V122" i="59"/>
  <c r="V121" i="59"/>
  <c r="V120" i="59"/>
  <c r="V119" i="59"/>
  <c r="V114" i="59"/>
  <c r="V113" i="59"/>
  <c r="V112" i="59"/>
  <c r="V111" i="59"/>
  <c r="V110" i="59"/>
  <c r="V109" i="59"/>
  <c r="V108" i="59"/>
  <c r="V107" i="59"/>
  <c r="V106" i="59"/>
  <c r="V105" i="59"/>
  <c r="V104" i="59"/>
  <c r="V103" i="59"/>
  <c r="V102" i="59"/>
  <c r="V101" i="59"/>
  <c r="V100" i="59"/>
  <c r="V99" i="59"/>
  <c r="V98" i="59"/>
  <c r="V97" i="59"/>
  <c r="V96" i="59"/>
  <c r="V95" i="59"/>
  <c r="V94" i="59"/>
  <c r="V93" i="59"/>
  <c r="V92" i="59"/>
  <c r="V91" i="59"/>
  <c r="V90" i="59"/>
  <c r="V89" i="59"/>
  <c r="V86" i="59"/>
  <c r="V85" i="59"/>
  <c r="V84" i="59"/>
  <c r="V83" i="59"/>
  <c r="V82" i="59"/>
  <c r="V81" i="59"/>
  <c r="V80" i="59"/>
  <c r="V79" i="59"/>
  <c r="V78" i="59"/>
  <c r="V77" i="59"/>
  <c r="V76" i="59"/>
  <c r="V75" i="59"/>
  <c r="V74" i="59"/>
  <c r="V73" i="59"/>
  <c r="V72" i="59"/>
  <c r="V71" i="59"/>
  <c r="V70" i="59"/>
  <c r="V69" i="59"/>
  <c r="V68" i="59"/>
  <c r="V67" i="59"/>
  <c r="V66" i="59"/>
  <c r="V65" i="59"/>
  <c r="V64" i="59"/>
  <c r="V63" i="59"/>
  <c r="V62" i="59"/>
  <c r="V61" i="59"/>
  <c r="V60" i="59"/>
  <c r="V59" i="59"/>
  <c r="V58" i="59"/>
  <c r="V57" i="59"/>
  <c r="V56" i="59"/>
  <c r="V55" i="59"/>
  <c r="V54" i="59"/>
  <c r="V53" i="59"/>
  <c r="V52" i="59"/>
  <c r="V51" i="59"/>
  <c r="P31" i="63" l="1"/>
  <c r="P32" i="63"/>
  <c r="P33" i="63"/>
  <c r="P34" i="63"/>
  <c r="P35" i="63"/>
  <c r="P36" i="63"/>
  <c r="P37" i="63"/>
  <c r="P38" i="63"/>
  <c r="P39" i="63"/>
  <c r="P40" i="63"/>
  <c r="P41" i="63"/>
  <c r="P42" i="63"/>
  <c r="P43" i="63"/>
  <c r="P30" i="63"/>
  <c r="L31" i="63"/>
  <c r="L32" i="63"/>
  <c r="L33" i="63"/>
  <c r="L34" i="63"/>
  <c r="L35" i="63"/>
  <c r="L36" i="63"/>
  <c r="L37" i="63"/>
  <c r="L38" i="63"/>
  <c r="L39" i="63"/>
  <c r="L40" i="63"/>
  <c r="L41" i="63"/>
  <c r="L42" i="63"/>
  <c r="L43" i="63"/>
  <c r="L30" i="63"/>
  <c r="DL73" i="3"/>
  <c r="DM73" i="3"/>
  <c r="DN73" i="3"/>
  <c r="DO73" i="3"/>
  <c r="DP73" i="3"/>
  <c r="DQ73" i="3"/>
  <c r="DR73" i="3"/>
  <c r="DS73" i="3"/>
  <c r="DT73" i="3"/>
  <c r="DN72" i="3"/>
  <c r="DO72" i="3"/>
  <c r="DP72" i="3"/>
  <c r="DQ72" i="3"/>
  <c r="DR72" i="3"/>
  <c r="DS72" i="3"/>
  <c r="DT72" i="3"/>
  <c r="DL72" i="3"/>
  <c r="DM72" i="3"/>
  <c r="DK73" i="3"/>
  <c r="DK72" i="3"/>
  <c r="B27" i="98" l="1"/>
  <c r="C27" i="98"/>
  <c r="E27" i="98"/>
  <c r="D27" i="98"/>
  <c r="C26" i="98"/>
  <c r="D26" i="98"/>
  <c r="E26" i="98"/>
  <c r="B26" i="98"/>
  <c r="B25" i="98"/>
  <c r="C25" i="98"/>
  <c r="D25" i="98"/>
  <c r="E25" i="98"/>
  <c r="C32" i="98"/>
  <c r="D32" i="98"/>
  <c r="E32" i="98"/>
  <c r="B32" i="98"/>
  <c r="C24" i="98"/>
  <c r="D24" i="98"/>
  <c r="B24" i="98"/>
  <c r="E24" i="98"/>
  <c r="B31" i="98"/>
  <c r="C31" i="98"/>
  <c r="D31" i="98"/>
  <c r="E31" i="98"/>
  <c r="B23" i="98"/>
  <c r="C23" i="98"/>
  <c r="E23" i="98"/>
  <c r="D23" i="98"/>
  <c r="C30" i="98"/>
  <c r="D30" i="98"/>
  <c r="E30" i="98"/>
  <c r="B30" i="98"/>
  <c r="C22" i="98"/>
  <c r="D22" i="98"/>
  <c r="E22" i="98"/>
  <c r="B22" i="98"/>
  <c r="B29" i="98"/>
  <c r="C29" i="98"/>
  <c r="D29" i="98"/>
  <c r="E29" i="98"/>
  <c r="B21" i="98"/>
  <c r="C21" i="98"/>
  <c r="D21" i="98"/>
  <c r="E21" i="98"/>
  <c r="C28" i="98"/>
  <c r="D28" i="98"/>
  <c r="E28" i="98"/>
  <c r="B28" i="98"/>
  <c r="C20" i="98"/>
  <c r="B20" i="98"/>
  <c r="D20" i="98"/>
  <c r="E20" i="98"/>
  <c r="D19" i="98"/>
  <c r="E19" i="98"/>
  <c r="C19" i="98"/>
  <c r="B19" i="98"/>
  <c r="I31" i="63"/>
  <c r="J31" i="63" s="1"/>
  <c r="I32" i="63"/>
  <c r="J32" i="63" s="1"/>
  <c r="I33" i="63"/>
  <c r="J33" i="63" s="1"/>
  <c r="I34" i="63"/>
  <c r="J34" i="63" s="1"/>
  <c r="I35" i="63"/>
  <c r="J35" i="63" s="1"/>
  <c r="I36" i="63"/>
  <c r="J36" i="63" s="1"/>
  <c r="I37" i="63"/>
  <c r="J37" i="63" s="1"/>
  <c r="I38" i="63"/>
  <c r="J38" i="63" s="1"/>
  <c r="I39" i="63"/>
  <c r="J39" i="63" s="1"/>
  <c r="I40" i="63"/>
  <c r="J40" i="63" s="1"/>
  <c r="I41" i="63"/>
  <c r="J41" i="63" s="1"/>
  <c r="I42" i="63"/>
  <c r="J42" i="63" s="1"/>
  <c r="I43" i="63"/>
  <c r="J43" i="63" s="1"/>
  <c r="I30" i="63"/>
  <c r="J30" i="63" s="1"/>
  <c r="F30" i="63"/>
  <c r="F31" i="63"/>
  <c r="F32" i="63"/>
  <c r="F33" i="63"/>
  <c r="F34" i="63"/>
  <c r="F35" i="63"/>
  <c r="F36" i="63"/>
  <c r="F37" i="63"/>
  <c r="F38" i="63"/>
  <c r="F39" i="63"/>
  <c r="F40" i="63"/>
  <c r="F41" i="63"/>
  <c r="F42" i="63"/>
  <c r="F43" i="63"/>
  <c r="D38" i="64"/>
  <c r="M27" i="64"/>
  <c r="H20" i="97" s="1"/>
  <c r="M28" i="64"/>
  <c r="M29" i="64"/>
  <c r="M30" i="64"/>
  <c r="M31" i="64"/>
  <c r="M32" i="64"/>
  <c r="M33" i="64"/>
  <c r="M34" i="64"/>
  <c r="M35" i="64"/>
  <c r="M26" i="64"/>
  <c r="H19" i="97" s="1"/>
  <c r="G14" i="64"/>
  <c r="G15" i="64"/>
  <c r="G16" i="64"/>
  <c r="G17" i="64"/>
  <c r="G18" i="64"/>
  <c r="G19" i="64"/>
  <c r="G20" i="64"/>
  <c r="G21" i="64"/>
  <c r="G22" i="64"/>
  <c r="F14" i="64"/>
  <c r="F15" i="64"/>
  <c r="F16" i="64"/>
  <c r="F17" i="64"/>
  <c r="F18" i="64"/>
  <c r="F19" i="64"/>
  <c r="F20" i="64"/>
  <c r="F21" i="64"/>
  <c r="F22" i="64"/>
  <c r="M14" i="64"/>
  <c r="M15" i="64"/>
  <c r="M16" i="64"/>
  <c r="M17" i="64"/>
  <c r="M18" i="64"/>
  <c r="M19" i="64"/>
  <c r="M20" i="64"/>
  <c r="M21" i="64"/>
  <c r="M22" i="64"/>
  <c r="M13" i="64"/>
  <c r="L14" i="64"/>
  <c r="L15" i="64"/>
  <c r="L16" i="64"/>
  <c r="L17" i="64"/>
  <c r="L18" i="64"/>
  <c r="L19" i="64"/>
  <c r="L20" i="64"/>
  <c r="L21" i="64"/>
  <c r="L22" i="64"/>
  <c r="P44" i="63"/>
  <c r="B1" i="63"/>
  <c r="B1" i="64"/>
  <c r="K41" i="63" l="1"/>
  <c r="K37" i="63"/>
  <c r="K33" i="63"/>
  <c r="K30" i="63"/>
  <c r="K42" i="63"/>
  <c r="K34" i="63"/>
  <c r="G13" i="64"/>
  <c r="B38" i="64" s="1"/>
  <c r="K40" i="63"/>
  <c r="K36" i="63"/>
  <c r="K32" i="63"/>
  <c r="K38" i="63"/>
  <c r="K43" i="63"/>
  <c r="K39" i="63"/>
  <c r="K35" i="63"/>
  <c r="K31" i="63"/>
  <c r="C22" i="3"/>
  <c r="B1" i="57" l="1"/>
  <c r="B1" i="44" l="1"/>
  <c r="A1" i="22"/>
  <c r="A2" i="45" l="1"/>
  <c r="A2" i="101" l="1"/>
  <c r="A2" i="102"/>
  <c r="A2" i="88"/>
  <c r="A2" i="89"/>
  <c r="A2" i="90"/>
  <c r="B2" i="69"/>
  <c r="B2" i="64"/>
  <c r="B2" i="63"/>
  <c r="B2" i="55"/>
  <c r="B2" i="57"/>
  <c r="B5" i="38"/>
  <c r="BM462" i="3" l="1"/>
  <c r="BL462" i="3"/>
  <c r="BK462" i="3"/>
  <c r="BJ462" i="3"/>
  <c r="BI462" i="3"/>
  <c r="BH462" i="3"/>
  <c r="BG462" i="3"/>
  <c r="BF462" i="3"/>
  <c r="BE462" i="3"/>
  <c r="BD462" i="3"/>
  <c r="BC462" i="3"/>
  <c r="BB462" i="3"/>
  <c r="BA462" i="3"/>
  <c r="AZ462" i="3"/>
  <c r="AY462" i="3"/>
  <c r="BM461" i="3"/>
  <c r="BL461" i="3"/>
  <c r="BK461" i="3"/>
  <c r="BJ461" i="3"/>
  <c r="BI461" i="3"/>
  <c r="BH461" i="3"/>
  <c r="BG461" i="3"/>
  <c r="BF461" i="3"/>
  <c r="BE461" i="3"/>
  <c r="BD461" i="3"/>
  <c r="BC461" i="3"/>
  <c r="BB461" i="3"/>
  <c r="BA461" i="3"/>
  <c r="AZ461" i="3"/>
  <c r="AY461" i="3"/>
  <c r="BM460" i="3"/>
  <c r="BL460" i="3"/>
  <c r="BK460" i="3"/>
  <c r="BJ460" i="3"/>
  <c r="BI460" i="3"/>
  <c r="BH460" i="3"/>
  <c r="BG460" i="3"/>
  <c r="BF460" i="3"/>
  <c r="BE460" i="3"/>
  <c r="BD460" i="3"/>
  <c r="BC460" i="3"/>
  <c r="BB460" i="3"/>
  <c r="BA460" i="3"/>
  <c r="AZ460" i="3"/>
  <c r="AY460" i="3"/>
  <c r="BM459" i="3"/>
  <c r="BL459" i="3"/>
  <c r="BK459" i="3"/>
  <c r="BJ459" i="3"/>
  <c r="BI459" i="3"/>
  <c r="BH459" i="3"/>
  <c r="BG459" i="3"/>
  <c r="BF459" i="3"/>
  <c r="BE459" i="3"/>
  <c r="BD459" i="3"/>
  <c r="BC459" i="3"/>
  <c r="BB459" i="3"/>
  <c r="BA459" i="3"/>
  <c r="AZ459" i="3"/>
  <c r="AY459" i="3"/>
  <c r="BM458" i="3"/>
  <c r="BL458" i="3"/>
  <c r="BK458" i="3"/>
  <c r="BJ458" i="3"/>
  <c r="BI458" i="3"/>
  <c r="BH458" i="3"/>
  <c r="BG458" i="3"/>
  <c r="BF458" i="3"/>
  <c r="BE458" i="3"/>
  <c r="BD458" i="3"/>
  <c r="BC458" i="3"/>
  <c r="BB458" i="3"/>
  <c r="BA458" i="3"/>
  <c r="AZ458" i="3"/>
  <c r="AY458" i="3"/>
  <c r="BM457" i="3"/>
  <c r="BL457" i="3"/>
  <c r="BK457" i="3"/>
  <c r="BJ457" i="3"/>
  <c r="BI457" i="3"/>
  <c r="BH457" i="3"/>
  <c r="BG457" i="3"/>
  <c r="BF457" i="3"/>
  <c r="BE457" i="3"/>
  <c r="BD457" i="3"/>
  <c r="BC457" i="3"/>
  <c r="BB457" i="3"/>
  <c r="BA457" i="3"/>
  <c r="AZ457" i="3"/>
  <c r="AY457" i="3"/>
  <c r="BM456" i="3"/>
  <c r="BL456" i="3"/>
  <c r="BK456" i="3"/>
  <c r="BJ456" i="3"/>
  <c r="BI456" i="3"/>
  <c r="BH456" i="3"/>
  <c r="BG456" i="3"/>
  <c r="BF456" i="3"/>
  <c r="BE456" i="3"/>
  <c r="BD456" i="3"/>
  <c r="BC456" i="3"/>
  <c r="BB456" i="3"/>
  <c r="BA456" i="3"/>
  <c r="AZ456" i="3"/>
  <c r="AY456" i="3"/>
  <c r="BM455" i="3"/>
  <c r="BL455" i="3"/>
  <c r="BK455" i="3"/>
  <c r="BJ455" i="3"/>
  <c r="BI455" i="3"/>
  <c r="BH455" i="3"/>
  <c r="BG455" i="3"/>
  <c r="BF455" i="3"/>
  <c r="BE455" i="3"/>
  <c r="BD455" i="3"/>
  <c r="BC455" i="3"/>
  <c r="BB455" i="3"/>
  <c r="BA455" i="3"/>
  <c r="AZ455" i="3"/>
  <c r="AY455" i="3"/>
  <c r="BM454" i="3"/>
  <c r="BL454" i="3"/>
  <c r="BK454" i="3"/>
  <c r="BJ454" i="3"/>
  <c r="BI454" i="3"/>
  <c r="BH454" i="3"/>
  <c r="BG454" i="3"/>
  <c r="BF454" i="3"/>
  <c r="BE454" i="3"/>
  <c r="BD454" i="3"/>
  <c r="BC454" i="3"/>
  <c r="BB454" i="3"/>
  <c r="BA454" i="3"/>
  <c r="AZ454" i="3"/>
  <c r="AY454" i="3"/>
  <c r="BM453" i="3"/>
  <c r="BL453" i="3"/>
  <c r="BK453" i="3"/>
  <c r="BJ453" i="3"/>
  <c r="BI453" i="3"/>
  <c r="BH453" i="3"/>
  <c r="BG453" i="3"/>
  <c r="BF453" i="3"/>
  <c r="BE453" i="3"/>
  <c r="BD453" i="3"/>
  <c r="BC453" i="3"/>
  <c r="BB453" i="3"/>
  <c r="BA453" i="3"/>
  <c r="AZ453" i="3"/>
  <c r="AY453" i="3"/>
  <c r="BD451" i="3"/>
  <c r="BD450" i="3"/>
  <c r="BD449" i="3"/>
  <c r="BD448" i="3"/>
  <c r="BD447" i="3"/>
  <c r="BD446" i="3"/>
  <c r="BD445" i="3"/>
  <c r="BC451" i="3"/>
  <c r="BB451" i="3"/>
  <c r="BA451" i="3"/>
  <c r="AZ451" i="3"/>
  <c r="AY451" i="3"/>
  <c r="AT33" i="54" l="1"/>
  <c r="AO33" i="54"/>
  <c r="AJ33" i="54"/>
  <c r="AE33" i="54"/>
  <c r="Z33" i="54"/>
  <c r="U33" i="54"/>
  <c r="P33" i="54"/>
  <c r="K33" i="54"/>
  <c r="G33" i="54"/>
  <c r="C33" i="54"/>
  <c r="AT32" i="54"/>
  <c r="AO32" i="54"/>
  <c r="AJ32" i="54"/>
  <c r="AE32" i="54"/>
  <c r="Z32" i="54"/>
  <c r="U32" i="54"/>
  <c r="P32" i="54"/>
  <c r="K32" i="54"/>
  <c r="G32" i="54"/>
  <c r="C32" i="54"/>
  <c r="AT31" i="54"/>
  <c r="AO31" i="54"/>
  <c r="AJ31" i="54"/>
  <c r="AE31" i="54"/>
  <c r="Z31" i="54"/>
  <c r="U31" i="54"/>
  <c r="P31" i="54"/>
  <c r="K31" i="54"/>
  <c r="G31" i="54"/>
  <c r="C31" i="54"/>
  <c r="AT30" i="54"/>
  <c r="AO30" i="54"/>
  <c r="AJ30" i="54"/>
  <c r="AE30" i="54"/>
  <c r="Z30" i="54"/>
  <c r="U30" i="54"/>
  <c r="P30" i="54"/>
  <c r="K30" i="54"/>
  <c r="G30" i="54"/>
  <c r="C30" i="54"/>
  <c r="AT29" i="54"/>
  <c r="AO29" i="54"/>
  <c r="AJ29" i="54"/>
  <c r="AE29" i="54"/>
  <c r="Z29" i="54"/>
  <c r="U29" i="54"/>
  <c r="P29" i="54"/>
  <c r="K29" i="54"/>
  <c r="G29" i="54"/>
  <c r="C29" i="54"/>
  <c r="AT28" i="54"/>
  <c r="AO28" i="54"/>
  <c r="AJ28" i="54"/>
  <c r="AE28" i="54"/>
  <c r="Z28" i="54"/>
  <c r="U28" i="54"/>
  <c r="P28" i="54"/>
  <c r="K28" i="54"/>
  <c r="G28" i="54"/>
  <c r="C28" i="54"/>
  <c r="AT20" i="54"/>
  <c r="AO20" i="54"/>
  <c r="AJ20" i="54"/>
  <c r="AE20" i="54"/>
  <c r="Z20" i="54"/>
  <c r="U20" i="54"/>
  <c r="P20" i="54"/>
  <c r="K20" i="54"/>
  <c r="G20" i="54"/>
  <c r="C20" i="54"/>
  <c r="AT19" i="54"/>
  <c r="AO19" i="54"/>
  <c r="AJ19" i="54"/>
  <c r="AE19" i="54"/>
  <c r="Z19" i="54"/>
  <c r="U19" i="54"/>
  <c r="P19" i="54"/>
  <c r="K19" i="54"/>
  <c r="G19" i="54"/>
  <c r="C19" i="54"/>
  <c r="AT18" i="54"/>
  <c r="AO18" i="54"/>
  <c r="AJ18" i="54"/>
  <c r="AE18" i="54"/>
  <c r="Z18" i="54"/>
  <c r="U18" i="54"/>
  <c r="P18" i="54"/>
  <c r="K18" i="54"/>
  <c r="G18" i="54"/>
  <c r="C18" i="54"/>
  <c r="AT17" i="54"/>
  <c r="AO17" i="54"/>
  <c r="AJ17" i="54"/>
  <c r="AE17" i="54"/>
  <c r="Z17" i="54"/>
  <c r="U17" i="54"/>
  <c r="P17" i="54"/>
  <c r="K17" i="54"/>
  <c r="G17" i="54"/>
  <c r="C17" i="54"/>
  <c r="AT16" i="54"/>
  <c r="AO16" i="54"/>
  <c r="AJ16" i="54"/>
  <c r="AE16" i="54"/>
  <c r="Z16" i="54"/>
  <c r="U16" i="54"/>
  <c r="P16" i="54"/>
  <c r="K16" i="54"/>
  <c r="G16" i="54"/>
  <c r="C16" i="54"/>
  <c r="AT9" i="54"/>
  <c r="AO9" i="54"/>
  <c r="AJ9" i="54"/>
  <c r="AE9" i="54"/>
  <c r="Z9" i="54"/>
  <c r="U9" i="54"/>
  <c r="P9" i="54"/>
  <c r="K9" i="54"/>
  <c r="G9" i="54"/>
  <c r="C9" i="54"/>
  <c r="AT8" i="54"/>
  <c r="AO8" i="54"/>
  <c r="AJ8" i="54"/>
  <c r="AE8" i="54"/>
  <c r="Z8" i="54"/>
  <c r="U8" i="54"/>
  <c r="P8" i="54"/>
  <c r="K8" i="54"/>
  <c r="G8" i="54"/>
  <c r="C8" i="54"/>
  <c r="AT7" i="54"/>
  <c r="AO7" i="54"/>
  <c r="AJ7" i="54"/>
  <c r="AE7" i="54"/>
  <c r="Z7" i="54"/>
  <c r="U7" i="54"/>
  <c r="P7" i="54"/>
  <c r="K7" i="54"/>
  <c r="G7" i="54"/>
  <c r="C7" i="54"/>
  <c r="AT6" i="54"/>
  <c r="AO6" i="54"/>
  <c r="AJ6" i="54"/>
  <c r="AE6" i="54"/>
  <c r="Z6" i="54"/>
  <c r="U6" i="54"/>
  <c r="P6" i="54"/>
  <c r="K6" i="54"/>
  <c r="G6" i="54"/>
  <c r="C6" i="54"/>
  <c r="AT5" i="54"/>
  <c r="AO5" i="54"/>
  <c r="AJ5" i="54"/>
  <c r="AE5" i="54"/>
  <c r="Z5" i="54"/>
  <c r="U5" i="54"/>
  <c r="P5" i="54"/>
  <c r="K5" i="54"/>
  <c r="G5" i="54"/>
  <c r="C5" i="54"/>
  <c r="AT4" i="54"/>
  <c r="AO4" i="54"/>
  <c r="AJ4" i="54"/>
  <c r="AE4" i="54"/>
  <c r="Z4" i="54"/>
  <c r="U4" i="54"/>
  <c r="P4" i="54"/>
  <c r="K4" i="54"/>
  <c r="G4" i="54"/>
  <c r="C4" i="54"/>
  <c r="C41" i="23" l="1"/>
  <c r="C31" i="25"/>
  <c r="C31" i="45"/>
  <c r="C57" i="35"/>
  <c r="C56" i="35"/>
  <c r="O56" i="35" s="1"/>
  <c r="B57" i="35"/>
  <c r="I57" i="35" s="1"/>
  <c r="E57" i="35"/>
  <c r="J57" i="35"/>
  <c r="K57" i="35"/>
  <c r="N57" i="35"/>
  <c r="H57" i="35" l="1"/>
  <c r="F57" i="35"/>
  <c r="O57" i="35"/>
  <c r="T57" i="35" s="1"/>
  <c r="G57" i="35"/>
  <c r="S56" i="35"/>
  <c r="S57" i="35" s="1"/>
  <c r="T56" i="35"/>
  <c r="I17" i="49" s="1"/>
  <c r="D39" i="49" l="1"/>
  <c r="J39" i="49"/>
  <c r="C127" i="9" l="1"/>
  <c r="B63" i="52"/>
  <c r="C79" i="23"/>
  <c r="D78" i="51"/>
  <c r="D43" i="41"/>
  <c r="L43" i="41"/>
  <c r="F25" i="6" l="1"/>
  <c r="L31" i="41"/>
  <c r="W25" i="6" l="1"/>
  <c r="V25" i="6"/>
  <c r="T25" i="6"/>
  <c r="U25" i="6"/>
  <c r="X25" i="6"/>
  <c r="E25" i="6"/>
  <c r="L45" i="45" l="1"/>
  <c r="C29" i="22"/>
  <c r="K29" i="22" l="1"/>
  <c r="H12" i="53" l="1"/>
  <c r="B5" i="31" l="1"/>
  <c r="C123" i="36" l="1"/>
  <c r="C124" i="37"/>
  <c r="O123" i="36"/>
  <c r="M118" i="36"/>
  <c r="H7" i="36"/>
  <c r="H5" i="36"/>
  <c r="B5" i="36"/>
  <c r="M118" i="37"/>
  <c r="H7" i="37"/>
  <c r="H5" i="37"/>
  <c r="B5" i="37"/>
  <c r="M118" i="38"/>
  <c r="H7" i="38"/>
  <c r="H5" i="38"/>
  <c r="N125" i="39"/>
  <c r="C125" i="39"/>
  <c r="C124" i="40"/>
  <c r="M118" i="39"/>
  <c r="H7" i="39"/>
  <c r="H5" i="39"/>
  <c r="B5" i="39"/>
  <c r="M118" i="40"/>
  <c r="H7" i="40"/>
  <c r="H5" i="40"/>
  <c r="B5" i="40"/>
  <c r="M118" i="30"/>
  <c r="H7" i="30"/>
  <c r="H5" i="30"/>
  <c r="B5" i="30"/>
  <c r="N152" i="31"/>
  <c r="C152" i="31"/>
  <c r="C123" i="29"/>
  <c r="M145" i="31"/>
  <c r="H7" i="31"/>
  <c r="H5" i="31"/>
  <c r="H7" i="29" l="1"/>
  <c r="H5" i="29"/>
  <c r="B5" i="29"/>
  <c r="B5" i="15"/>
  <c r="B6" i="9"/>
  <c r="B51" i="52" l="1"/>
  <c r="C9" i="23"/>
  <c r="BQ31" i="35" l="1"/>
  <c r="BQ32" i="35"/>
  <c r="BQ33" i="35"/>
  <c r="BQ34" i="35"/>
  <c r="BQ35" i="35"/>
  <c r="BQ36" i="35"/>
  <c r="H10" i="53" l="1"/>
  <c r="C10" i="53"/>
  <c r="H8" i="53"/>
  <c r="H6" i="53"/>
  <c r="C8" i="53"/>
  <c r="C6" i="53"/>
  <c r="H7" i="15" l="1"/>
  <c r="H5" i="15"/>
  <c r="H8" i="9"/>
  <c r="H6" i="9"/>
  <c r="C171" i="50"/>
  <c r="I159" i="50"/>
  <c r="C159" i="50"/>
  <c r="I147" i="50"/>
  <c r="C147" i="50"/>
  <c r="B33" i="43"/>
  <c r="C33" i="43"/>
  <c r="D33" i="43"/>
  <c r="E33" i="43"/>
  <c r="F33" i="43"/>
  <c r="G33" i="43"/>
  <c r="H33" i="43"/>
  <c r="I33" i="43"/>
  <c r="J33" i="43"/>
  <c r="K33" i="43"/>
  <c r="L33" i="43"/>
  <c r="M33" i="43"/>
  <c r="N33" i="43"/>
  <c r="O33" i="43"/>
  <c r="P33" i="43"/>
  <c r="Q33" i="43"/>
  <c r="R33" i="43"/>
  <c r="S33" i="43"/>
  <c r="T33" i="43"/>
  <c r="U33" i="43"/>
  <c r="V33" i="43"/>
  <c r="W33" i="43"/>
  <c r="X33" i="43"/>
  <c r="Y33" i="43"/>
  <c r="Z33" i="43"/>
  <c r="AA33" i="43"/>
  <c r="AB33" i="43"/>
  <c r="AC33" i="43"/>
  <c r="AD33" i="43"/>
  <c r="B34" i="43"/>
  <c r="C34" i="43"/>
  <c r="D34" i="43"/>
  <c r="E34" i="43"/>
  <c r="F34" i="43"/>
  <c r="G34" i="43"/>
  <c r="H34" i="43"/>
  <c r="I34" i="43"/>
  <c r="J34" i="43"/>
  <c r="K34" i="43"/>
  <c r="L34" i="43"/>
  <c r="M34" i="43"/>
  <c r="N34" i="43"/>
  <c r="O34" i="43"/>
  <c r="P34" i="43"/>
  <c r="Q34" i="43"/>
  <c r="R34" i="43"/>
  <c r="S34" i="43"/>
  <c r="T34" i="43"/>
  <c r="U34" i="43"/>
  <c r="V34" i="43"/>
  <c r="W34" i="43"/>
  <c r="X34" i="43"/>
  <c r="Y34" i="43"/>
  <c r="Z34" i="43"/>
  <c r="AA34" i="43"/>
  <c r="AB34" i="43"/>
  <c r="AC34" i="43"/>
  <c r="AD34" i="43"/>
  <c r="C35" i="43"/>
  <c r="E35" i="43"/>
  <c r="F35" i="43"/>
  <c r="G35" i="43"/>
  <c r="H35" i="43"/>
  <c r="I35" i="43"/>
  <c r="J35" i="43"/>
  <c r="K35" i="43"/>
  <c r="L35" i="43"/>
  <c r="M35" i="43"/>
  <c r="N35" i="43"/>
  <c r="O35" i="43"/>
  <c r="P35" i="43"/>
  <c r="Q35" i="43"/>
  <c r="R35" i="43"/>
  <c r="S35" i="43"/>
  <c r="T35" i="43"/>
  <c r="U35" i="43"/>
  <c r="V35" i="43"/>
  <c r="W35" i="43"/>
  <c r="X35" i="43"/>
  <c r="Y35" i="43"/>
  <c r="Z35" i="43"/>
  <c r="AA35" i="43"/>
  <c r="AB35" i="43"/>
  <c r="AC35" i="43"/>
  <c r="AD35" i="43"/>
  <c r="C36" i="43"/>
  <c r="E36" i="43"/>
  <c r="F36" i="43"/>
  <c r="G36" i="43"/>
  <c r="H36" i="43"/>
  <c r="I36" i="43"/>
  <c r="J36" i="43"/>
  <c r="K36" i="43"/>
  <c r="L36" i="43"/>
  <c r="M36" i="43"/>
  <c r="N36" i="43"/>
  <c r="O36" i="43"/>
  <c r="P36" i="43"/>
  <c r="Q36" i="43"/>
  <c r="R36" i="43"/>
  <c r="S36" i="43"/>
  <c r="T36" i="43"/>
  <c r="U36" i="43"/>
  <c r="V36" i="43"/>
  <c r="W36" i="43"/>
  <c r="X36" i="43"/>
  <c r="Y36" i="43"/>
  <c r="Z36" i="43"/>
  <c r="AA36" i="43"/>
  <c r="AB36" i="43"/>
  <c r="AC36" i="43"/>
  <c r="AD36" i="43"/>
  <c r="C37" i="43"/>
  <c r="E37" i="43"/>
  <c r="F37" i="43"/>
  <c r="G37" i="43"/>
  <c r="H37" i="43"/>
  <c r="I37" i="43"/>
  <c r="J37" i="43"/>
  <c r="K37" i="43"/>
  <c r="L37" i="43"/>
  <c r="M37" i="43"/>
  <c r="N37" i="43"/>
  <c r="O37" i="43"/>
  <c r="P37" i="43"/>
  <c r="Q37" i="43"/>
  <c r="R37" i="43"/>
  <c r="S37" i="43"/>
  <c r="T37" i="43"/>
  <c r="U37" i="43"/>
  <c r="V37" i="43"/>
  <c r="W37" i="43"/>
  <c r="X37" i="43"/>
  <c r="Y37" i="43"/>
  <c r="Z37" i="43"/>
  <c r="AA37" i="43"/>
  <c r="AB37" i="43"/>
  <c r="AC37" i="43"/>
  <c r="AD37" i="43"/>
  <c r="B38" i="43"/>
  <c r="C38" i="43"/>
  <c r="D38" i="43"/>
  <c r="E38" i="43"/>
  <c r="F38" i="43"/>
  <c r="G38" i="43"/>
  <c r="H38" i="43"/>
  <c r="I38" i="43"/>
  <c r="J38" i="43"/>
  <c r="K38" i="43"/>
  <c r="L38" i="43"/>
  <c r="M38" i="43"/>
  <c r="N38" i="43"/>
  <c r="O38" i="43"/>
  <c r="P38" i="43"/>
  <c r="Q38" i="43"/>
  <c r="R38" i="43"/>
  <c r="S38" i="43"/>
  <c r="T38" i="43"/>
  <c r="U38" i="43"/>
  <c r="V38" i="43"/>
  <c r="W38" i="43"/>
  <c r="X38" i="43"/>
  <c r="Y38" i="43"/>
  <c r="Z38" i="43"/>
  <c r="AA38" i="43"/>
  <c r="AB38" i="43"/>
  <c r="AC38" i="43"/>
  <c r="AD38" i="43"/>
  <c r="B39" i="43"/>
  <c r="C39" i="43"/>
  <c r="D39" i="43"/>
  <c r="E39" i="43"/>
  <c r="F39" i="43"/>
  <c r="G39" i="43"/>
  <c r="H39" i="43"/>
  <c r="I39" i="43"/>
  <c r="J39" i="43"/>
  <c r="K39" i="43"/>
  <c r="L39" i="43"/>
  <c r="M39" i="43"/>
  <c r="N39" i="43"/>
  <c r="O39" i="43"/>
  <c r="P39" i="43"/>
  <c r="Q39" i="43"/>
  <c r="R39" i="43"/>
  <c r="S39" i="43"/>
  <c r="T39" i="43"/>
  <c r="U39" i="43"/>
  <c r="V39" i="43"/>
  <c r="W39" i="43"/>
  <c r="X39" i="43"/>
  <c r="Y39" i="43"/>
  <c r="Z39" i="43"/>
  <c r="AA39" i="43"/>
  <c r="AB39" i="43"/>
  <c r="AC39" i="43"/>
  <c r="AD39" i="43"/>
  <c r="B40" i="43"/>
  <c r="C40" i="43"/>
  <c r="D40" i="43"/>
  <c r="E40" i="43"/>
  <c r="F40" i="43"/>
  <c r="G40" i="43"/>
  <c r="H40" i="43"/>
  <c r="I40" i="43"/>
  <c r="J40" i="43"/>
  <c r="K40" i="43"/>
  <c r="L40" i="43"/>
  <c r="M40" i="43"/>
  <c r="N40" i="43"/>
  <c r="O40" i="43"/>
  <c r="P40" i="43"/>
  <c r="Q40" i="43"/>
  <c r="R40" i="43"/>
  <c r="S40" i="43"/>
  <c r="T40" i="43"/>
  <c r="U40" i="43"/>
  <c r="V40" i="43"/>
  <c r="W40" i="43"/>
  <c r="X40" i="43"/>
  <c r="Y40" i="43"/>
  <c r="Z40" i="43"/>
  <c r="AA40" i="43"/>
  <c r="AB40" i="43"/>
  <c r="AC40" i="43"/>
  <c r="AD40" i="43"/>
  <c r="C41" i="43"/>
  <c r="E41" i="43"/>
  <c r="F41" i="43"/>
  <c r="G41" i="43"/>
  <c r="H41" i="43"/>
  <c r="I41" i="43"/>
  <c r="J41" i="43"/>
  <c r="K41" i="43"/>
  <c r="L41" i="43"/>
  <c r="M41" i="43"/>
  <c r="N41" i="43"/>
  <c r="O41" i="43"/>
  <c r="P41" i="43"/>
  <c r="Q41" i="43"/>
  <c r="R41" i="43"/>
  <c r="S41" i="43"/>
  <c r="T41" i="43"/>
  <c r="U41" i="43"/>
  <c r="V41" i="43"/>
  <c r="W41" i="43"/>
  <c r="X41" i="43"/>
  <c r="Y41" i="43"/>
  <c r="Z41" i="43"/>
  <c r="AA41" i="43"/>
  <c r="AB41" i="43"/>
  <c r="AC41" i="43"/>
  <c r="AD41" i="43"/>
  <c r="B42" i="43"/>
  <c r="C42" i="43"/>
  <c r="D42" i="43"/>
  <c r="E42" i="43"/>
  <c r="F42" i="43"/>
  <c r="G42" i="43"/>
  <c r="H42" i="43"/>
  <c r="I42" i="43"/>
  <c r="J42" i="43"/>
  <c r="K42" i="43"/>
  <c r="L42" i="43"/>
  <c r="M42" i="43"/>
  <c r="N42" i="43"/>
  <c r="O42" i="43"/>
  <c r="P42" i="43"/>
  <c r="Q42" i="43"/>
  <c r="R42" i="43"/>
  <c r="S42" i="43"/>
  <c r="T42" i="43"/>
  <c r="U42" i="43"/>
  <c r="V42" i="43"/>
  <c r="W42" i="43"/>
  <c r="X42" i="43"/>
  <c r="Y42" i="43"/>
  <c r="Z42" i="43"/>
  <c r="AA42" i="43"/>
  <c r="AB42" i="43"/>
  <c r="AC42" i="43"/>
  <c r="AD42" i="43"/>
  <c r="C43" i="43"/>
  <c r="E43" i="43"/>
  <c r="N43" i="43"/>
  <c r="P43" i="43"/>
  <c r="Q43" i="43"/>
  <c r="R43" i="43"/>
  <c r="S43" i="43"/>
  <c r="T43" i="43"/>
  <c r="U43" i="43"/>
  <c r="V43" i="43"/>
  <c r="W43" i="43"/>
  <c r="X43" i="43"/>
  <c r="Y43" i="43"/>
  <c r="Z43" i="43"/>
  <c r="AA43" i="43"/>
  <c r="AB43" i="43"/>
  <c r="AC43" i="43"/>
  <c r="AD43" i="43"/>
  <c r="C44" i="43"/>
  <c r="E44" i="43"/>
  <c r="N44" i="43"/>
  <c r="P44" i="43"/>
  <c r="Q44" i="43"/>
  <c r="R44" i="43"/>
  <c r="S44" i="43"/>
  <c r="T44" i="43"/>
  <c r="U44" i="43"/>
  <c r="V44" i="43"/>
  <c r="W44" i="43"/>
  <c r="X44" i="43"/>
  <c r="Y44" i="43"/>
  <c r="Z44" i="43"/>
  <c r="AA44" i="43"/>
  <c r="AB44" i="43"/>
  <c r="AC44" i="43"/>
  <c r="AD44" i="43"/>
  <c r="C45" i="43"/>
  <c r="E45" i="43"/>
  <c r="N45" i="43"/>
  <c r="P45" i="43"/>
  <c r="Q45" i="43"/>
  <c r="R45" i="43"/>
  <c r="S45" i="43"/>
  <c r="T45" i="43"/>
  <c r="U45" i="43"/>
  <c r="V45" i="43"/>
  <c r="W45" i="43"/>
  <c r="X45" i="43"/>
  <c r="Y45" i="43"/>
  <c r="Z45" i="43"/>
  <c r="AA45" i="43"/>
  <c r="AB45" i="43"/>
  <c r="AC45" i="43"/>
  <c r="AD45" i="43"/>
  <c r="C46" i="43"/>
  <c r="E46" i="43"/>
  <c r="N46" i="43"/>
  <c r="P46" i="43"/>
  <c r="Q46" i="43"/>
  <c r="R46" i="43"/>
  <c r="S46" i="43"/>
  <c r="T46" i="43"/>
  <c r="U46" i="43"/>
  <c r="V46" i="43"/>
  <c r="W46" i="43"/>
  <c r="X46" i="43"/>
  <c r="Y46" i="43"/>
  <c r="Z46" i="43"/>
  <c r="AA46" i="43"/>
  <c r="AB46" i="43"/>
  <c r="AC46" i="43"/>
  <c r="AD46" i="43"/>
  <c r="B47" i="43"/>
  <c r="C47" i="43"/>
  <c r="D47" i="43"/>
  <c r="E47" i="43"/>
  <c r="N47" i="43"/>
  <c r="P47" i="43"/>
  <c r="Q47" i="43"/>
  <c r="R47" i="43"/>
  <c r="S47" i="43"/>
  <c r="T47" i="43"/>
  <c r="U47" i="43"/>
  <c r="V47" i="43"/>
  <c r="W47" i="43"/>
  <c r="X47" i="43"/>
  <c r="Y47" i="43"/>
  <c r="Z47" i="43"/>
  <c r="AA47" i="43"/>
  <c r="AB47" i="43"/>
  <c r="AC47" i="43"/>
  <c r="AD47" i="43"/>
  <c r="B48" i="43"/>
  <c r="C48" i="43"/>
  <c r="D48" i="43"/>
  <c r="E48" i="43"/>
  <c r="N48" i="43"/>
  <c r="P48" i="43"/>
  <c r="Q48" i="43"/>
  <c r="R48" i="43"/>
  <c r="S48" i="43"/>
  <c r="T48" i="43"/>
  <c r="U48" i="43"/>
  <c r="V48" i="43"/>
  <c r="W48" i="43"/>
  <c r="X48" i="43"/>
  <c r="Y48" i="43"/>
  <c r="Z48" i="43"/>
  <c r="AA48" i="43"/>
  <c r="AB48" i="43"/>
  <c r="AC48" i="43"/>
  <c r="AD48" i="43"/>
  <c r="B49" i="43"/>
  <c r="C49" i="43"/>
  <c r="D49" i="43"/>
  <c r="E49" i="43"/>
  <c r="N49" i="43"/>
  <c r="P49" i="43"/>
  <c r="Q49" i="43"/>
  <c r="R49" i="43"/>
  <c r="S49" i="43"/>
  <c r="T49" i="43"/>
  <c r="U49" i="43"/>
  <c r="V49" i="43"/>
  <c r="W49" i="43"/>
  <c r="X49" i="43"/>
  <c r="Y49" i="43"/>
  <c r="Z49" i="43"/>
  <c r="AA49" i="43"/>
  <c r="AB49" i="43"/>
  <c r="AC49" i="43"/>
  <c r="AD49" i="43"/>
  <c r="B50" i="43"/>
  <c r="C50" i="43"/>
  <c r="D50" i="43"/>
  <c r="E50" i="43"/>
  <c r="N50" i="43"/>
  <c r="P50" i="43"/>
  <c r="Q50" i="43"/>
  <c r="R50" i="43"/>
  <c r="S50" i="43"/>
  <c r="T50" i="43"/>
  <c r="U50" i="43"/>
  <c r="V50" i="43"/>
  <c r="W50" i="43"/>
  <c r="X50" i="43"/>
  <c r="Y50" i="43"/>
  <c r="Z50" i="43"/>
  <c r="AA50" i="43"/>
  <c r="AB50" i="43"/>
  <c r="AC50" i="43"/>
  <c r="AD50" i="43"/>
  <c r="B51" i="43"/>
  <c r="C51" i="43"/>
  <c r="D51" i="43"/>
  <c r="E51" i="43"/>
  <c r="N51" i="43"/>
  <c r="P51" i="43"/>
  <c r="Q51" i="43"/>
  <c r="R51" i="43"/>
  <c r="S51" i="43"/>
  <c r="T51" i="43"/>
  <c r="U51" i="43"/>
  <c r="V51" i="43"/>
  <c r="W51" i="43"/>
  <c r="X51" i="43"/>
  <c r="Y51" i="43"/>
  <c r="Z51" i="43"/>
  <c r="AA51" i="43"/>
  <c r="AB51" i="43"/>
  <c r="AC51" i="43"/>
  <c r="AD51" i="43"/>
  <c r="B52" i="43"/>
  <c r="C52" i="43"/>
  <c r="D52" i="43"/>
  <c r="E52" i="43"/>
  <c r="N52" i="43"/>
  <c r="P52" i="43"/>
  <c r="Q52" i="43"/>
  <c r="R52" i="43"/>
  <c r="S52" i="43"/>
  <c r="T52" i="43"/>
  <c r="U52" i="43"/>
  <c r="V52" i="43"/>
  <c r="W52" i="43"/>
  <c r="X52" i="43"/>
  <c r="Y52" i="43"/>
  <c r="Z52" i="43"/>
  <c r="AA52" i="43"/>
  <c r="AB52" i="43"/>
  <c r="AC52" i="43"/>
  <c r="AD52" i="43"/>
  <c r="B53" i="43"/>
  <c r="C53" i="43"/>
  <c r="D53" i="43"/>
  <c r="E53" i="43"/>
  <c r="N53" i="43"/>
  <c r="P53" i="43"/>
  <c r="Q53" i="43"/>
  <c r="R53" i="43"/>
  <c r="S53" i="43"/>
  <c r="T53" i="43"/>
  <c r="U53" i="43"/>
  <c r="V53" i="43"/>
  <c r="W53" i="43"/>
  <c r="X53" i="43"/>
  <c r="Y53" i="43"/>
  <c r="Z53" i="43"/>
  <c r="AA53" i="43"/>
  <c r="AB53" i="43"/>
  <c r="AC53" i="43"/>
  <c r="AD53" i="43"/>
  <c r="B54" i="43"/>
  <c r="C54" i="43"/>
  <c r="D54" i="43"/>
  <c r="E54" i="43"/>
  <c r="N54" i="43"/>
  <c r="P54" i="43"/>
  <c r="Q54" i="43"/>
  <c r="R54" i="43"/>
  <c r="S54" i="43"/>
  <c r="T54" i="43"/>
  <c r="U54" i="43"/>
  <c r="V54" i="43"/>
  <c r="W54" i="43"/>
  <c r="X54" i="43"/>
  <c r="Y54" i="43"/>
  <c r="Z54" i="43"/>
  <c r="AA54" i="43"/>
  <c r="AB54" i="43"/>
  <c r="AC54" i="43"/>
  <c r="AD54" i="43"/>
  <c r="R63" i="35" l="1"/>
  <c r="R64" i="35"/>
  <c r="R62" i="35"/>
  <c r="Q63" i="35"/>
  <c r="Q64" i="35"/>
  <c r="Q62" i="35"/>
  <c r="L63" i="35"/>
  <c r="L64" i="35"/>
  <c r="L62" i="35"/>
  <c r="K63" i="35"/>
  <c r="K64" i="35"/>
  <c r="K62" i="35"/>
  <c r="AL33" i="35" l="1"/>
  <c r="AL34" i="35"/>
  <c r="AL35" i="35"/>
  <c r="AL36" i="35"/>
  <c r="AL64" i="35" l="1"/>
  <c r="AL63" i="35"/>
  <c r="AL62" i="35"/>
  <c r="AZ208" i="3" l="1"/>
  <c r="BA208" i="3"/>
  <c r="BB208" i="3"/>
  <c r="BC208" i="3"/>
  <c r="BD208" i="3"/>
  <c r="BE208" i="3"/>
  <c r="BF208" i="3"/>
  <c r="BG208" i="3"/>
  <c r="BH208" i="3"/>
  <c r="BI208" i="3"/>
  <c r="BJ208" i="3"/>
  <c r="BK208" i="3"/>
  <c r="BL208" i="3"/>
  <c r="BM208" i="3"/>
  <c r="AY208" i="3"/>
  <c r="AY184" i="3"/>
  <c r="AZ206" i="3"/>
  <c r="BA206" i="3"/>
  <c r="BB206" i="3"/>
  <c r="BC206" i="3"/>
  <c r="BD206" i="3"/>
  <c r="BE206" i="3"/>
  <c r="BF206" i="3"/>
  <c r="BG206" i="3"/>
  <c r="BH206" i="3"/>
  <c r="BI206" i="3"/>
  <c r="BJ206" i="3"/>
  <c r="BK206" i="3"/>
  <c r="BL206" i="3"/>
  <c r="BM206" i="3"/>
  <c r="AZ205" i="3"/>
  <c r="BA205" i="3"/>
  <c r="BB205" i="3"/>
  <c r="BC205" i="3"/>
  <c r="BD205" i="3"/>
  <c r="BE205" i="3"/>
  <c r="BF205" i="3"/>
  <c r="BG205" i="3"/>
  <c r="BH205" i="3"/>
  <c r="BI205" i="3"/>
  <c r="BJ205" i="3"/>
  <c r="BK205" i="3"/>
  <c r="BL205" i="3"/>
  <c r="BM205" i="3"/>
  <c r="AY205" i="3"/>
  <c r="AY206" i="3"/>
  <c r="AZ204" i="3"/>
  <c r="BA204" i="3"/>
  <c r="BB204" i="3"/>
  <c r="BC204" i="3"/>
  <c r="BD204" i="3"/>
  <c r="BE204" i="3"/>
  <c r="BF204" i="3"/>
  <c r="BG204" i="3"/>
  <c r="BH204" i="3"/>
  <c r="BI204" i="3"/>
  <c r="BJ204" i="3"/>
  <c r="BK204" i="3"/>
  <c r="BL204" i="3"/>
  <c r="BM204" i="3"/>
  <c r="AY204" i="3"/>
  <c r="AY180" i="3"/>
  <c r="AY202" i="3"/>
  <c r="BM202" i="3"/>
  <c r="BL202" i="3"/>
  <c r="BK202" i="3"/>
  <c r="BJ202" i="3"/>
  <c r="BI202" i="3"/>
  <c r="BH202" i="3"/>
  <c r="BG202" i="3"/>
  <c r="BF202" i="3"/>
  <c r="BE202" i="3"/>
  <c r="BD202" i="3"/>
  <c r="BC202" i="3"/>
  <c r="BB202" i="3"/>
  <c r="BA202" i="3"/>
  <c r="AZ202" i="3"/>
  <c r="AY178" i="3"/>
  <c r="BM200" i="3"/>
  <c r="BL200" i="3"/>
  <c r="BK200" i="3"/>
  <c r="BJ200" i="3"/>
  <c r="BI200" i="3"/>
  <c r="BH200" i="3"/>
  <c r="BG200" i="3"/>
  <c r="BF200" i="3"/>
  <c r="BE200" i="3"/>
  <c r="BD200" i="3"/>
  <c r="BC200" i="3"/>
  <c r="BB200" i="3"/>
  <c r="BA200" i="3"/>
  <c r="AZ200" i="3"/>
  <c r="AY200" i="3"/>
  <c r="AY176" i="3"/>
  <c r="BM197" i="3"/>
  <c r="BM198" i="3"/>
  <c r="BM196" i="3"/>
  <c r="BL197" i="3"/>
  <c r="BL198" i="3"/>
  <c r="BL196" i="3"/>
  <c r="BK197" i="3"/>
  <c r="BK198" i="3"/>
  <c r="BK196" i="3"/>
  <c r="BJ197" i="3"/>
  <c r="BJ198" i="3"/>
  <c r="BJ196" i="3"/>
  <c r="BI197" i="3"/>
  <c r="BI198" i="3"/>
  <c r="BI196" i="3"/>
  <c r="BH196" i="3"/>
  <c r="BH197" i="3"/>
  <c r="BH198" i="3"/>
  <c r="BG197" i="3"/>
  <c r="BG198" i="3"/>
  <c r="BG196" i="3"/>
  <c r="BF197" i="3"/>
  <c r="BF198" i="3"/>
  <c r="BF196" i="3"/>
  <c r="BE197" i="3"/>
  <c r="BE198" i="3"/>
  <c r="BE196" i="3"/>
  <c r="BD197" i="3"/>
  <c r="BD198" i="3"/>
  <c r="BD196" i="3"/>
  <c r="BC197" i="3"/>
  <c r="BC198" i="3"/>
  <c r="BC196" i="3"/>
  <c r="BB197" i="3"/>
  <c r="BB198" i="3"/>
  <c r="BB196" i="3"/>
  <c r="BA197" i="3"/>
  <c r="BA198" i="3"/>
  <c r="BA196" i="3"/>
  <c r="AZ197" i="3"/>
  <c r="AZ198" i="3"/>
  <c r="AZ196" i="3"/>
  <c r="AY196" i="3"/>
  <c r="AY197" i="3"/>
  <c r="AY198" i="3"/>
  <c r="AY173" i="3"/>
  <c r="AY174" i="3"/>
  <c r="AY172" i="3"/>
  <c r="BM194" i="3"/>
  <c r="BL194" i="3"/>
  <c r="BK194" i="3"/>
  <c r="BJ194" i="3"/>
  <c r="BI194" i="3"/>
  <c r="BH194" i="3"/>
  <c r="BG194" i="3"/>
  <c r="BF194" i="3"/>
  <c r="BE194" i="3"/>
  <c r="BD194" i="3"/>
  <c r="BC194" i="3"/>
  <c r="BB194" i="3"/>
  <c r="BA194" i="3"/>
  <c r="AZ194" i="3"/>
  <c r="AY98" i="3"/>
  <c r="AY194" i="3"/>
  <c r="AY170" i="3"/>
  <c r="AZ170" i="3" s="1"/>
  <c r="BL184" i="3"/>
  <c r="BK184" i="3"/>
  <c r="BI184" i="3"/>
  <c r="BH184" i="3"/>
  <c r="BF184" i="3"/>
  <c r="BE184" i="3"/>
  <c r="BC184" i="3"/>
  <c r="BB184" i="3"/>
  <c r="AZ184" i="3"/>
  <c r="AY160" i="3"/>
  <c r="BK181" i="3"/>
  <c r="BK182" i="3"/>
  <c r="BI181" i="3"/>
  <c r="BI182" i="3"/>
  <c r="BH181" i="3"/>
  <c r="BH182" i="3"/>
  <c r="BF181" i="3"/>
  <c r="BF182" i="3"/>
  <c r="BE181" i="3"/>
  <c r="BE182" i="3"/>
  <c r="BC181" i="3"/>
  <c r="BC182" i="3"/>
  <c r="BB181" i="3"/>
  <c r="BB182" i="3"/>
  <c r="AZ181" i="3"/>
  <c r="AZ182" i="3"/>
  <c r="AY181" i="3"/>
  <c r="AY182" i="3"/>
  <c r="BL180" i="3"/>
  <c r="BL181" i="3" s="1"/>
  <c r="BL182" i="3" s="1"/>
  <c r="BK180" i="3"/>
  <c r="BI180" i="3"/>
  <c r="BH180" i="3"/>
  <c r="BF180" i="3"/>
  <c r="BE180" i="3"/>
  <c r="BC180" i="3"/>
  <c r="BB180" i="3"/>
  <c r="AZ180" i="3"/>
  <c r="AY156" i="3"/>
  <c r="BL178" i="3"/>
  <c r="BK178" i="3"/>
  <c r="BI178" i="3"/>
  <c r="BH178" i="3"/>
  <c r="BF178" i="3"/>
  <c r="BE178" i="3"/>
  <c r="BC178" i="3"/>
  <c r="BB178" i="3"/>
  <c r="AZ178" i="3"/>
  <c r="AY154" i="3"/>
  <c r="BL176" i="3"/>
  <c r="BK176" i="3"/>
  <c r="BI176" i="3"/>
  <c r="BH176" i="3"/>
  <c r="BF176" i="3"/>
  <c r="BE176" i="3"/>
  <c r="BC176" i="3"/>
  <c r="BB176" i="3"/>
  <c r="AZ176" i="3"/>
  <c r="AY152" i="3"/>
  <c r="BL174" i="3"/>
  <c r="BK174" i="3"/>
  <c r="BI174" i="3"/>
  <c r="BH174" i="3"/>
  <c r="BF174" i="3"/>
  <c r="BE174" i="3"/>
  <c r="BC174" i="3"/>
  <c r="BB174" i="3"/>
  <c r="AZ174" i="3"/>
  <c r="AY150" i="3"/>
  <c r="BL173" i="3"/>
  <c r="BK173" i="3"/>
  <c r="BI173" i="3"/>
  <c r="BH173" i="3"/>
  <c r="BF173" i="3"/>
  <c r="BE173" i="3"/>
  <c r="BC173" i="3"/>
  <c r="BB173" i="3"/>
  <c r="AZ173" i="3"/>
  <c r="AY149" i="3"/>
  <c r="BL172" i="3"/>
  <c r="BK172" i="3"/>
  <c r="BI172" i="3"/>
  <c r="BH172" i="3"/>
  <c r="BF172" i="3"/>
  <c r="BE172" i="3"/>
  <c r="BC172" i="3"/>
  <c r="AZ172" i="3"/>
  <c r="BB172" i="3"/>
  <c r="AY148" i="3"/>
  <c r="AY146" i="3"/>
  <c r="BL170" i="3" l="1"/>
  <c r="BK170" i="3"/>
  <c r="BI170" i="3"/>
  <c r="BH170" i="3"/>
  <c r="BF170" i="3"/>
  <c r="BE170" i="3"/>
  <c r="BC170" i="3"/>
  <c r="BB170" i="3"/>
  <c r="BC75" i="3" l="1"/>
  <c r="BC76" i="3"/>
  <c r="BD75" i="3"/>
  <c r="BD76" i="3"/>
  <c r="BC77" i="3"/>
  <c r="BC78" i="3"/>
  <c r="BC79" i="3"/>
  <c r="BD77" i="3"/>
  <c r="BD78" i="3"/>
  <c r="BD79" i="3"/>
  <c r="BC80" i="3"/>
  <c r="BC81" i="3"/>
  <c r="BD80" i="3"/>
  <c r="BD81" i="3"/>
  <c r="BB78" i="3"/>
  <c r="BB79" i="3"/>
  <c r="BB77" i="3"/>
  <c r="BA78" i="3"/>
  <c r="BA79" i="3"/>
  <c r="BA77" i="3"/>
  <c r="BB81" i="3"/>
  <c r="BB80" i="3"/>
  <c r="BA81" i="3"/>
  <c r="BA80" i="3"/>
  <c r="BA76" i="3"/>
  <c r="BB76" i="3"/>
  <c r="BB75" i="3"/>
  <c r="BA75" i="3"/>
  <c r="AZ427" i="3" l="1"/>
  <c r="BA427" i="3"/>
  <c r="BB427" i="3"/>
  <c r="BC427" i="3"/>
  <c r="BD427" i="3"/>
  <c r="BE427" i="3"/>
  <c r="BF427" i="3"/>
  <c r="BG427" i="3"/>
  <c r="BH427" i="3"/>
  <c r="BI427" i="3"/>
  <c r="BJ427" i="3"/>
  <c r="BK427" i="3"/>
  <c r="BL427" i="3"/>
  <c r="BM427" i="3"/>
  <c r="AZ428" i="3"/>
  <c r="BA428" i="3"/>
  <c r="BB428" i="3"/>
  <c r="BC428" i="3"/>
  <c r="BD428" i="3"/>
  <c r="BE428" i="3"/>
  <c r="BF428" i="3"/>
  <c r="BG428" i="3"/>
  <c r="BH428" i="3"/>
  <c r="BI428" i="3"/>
  <c r="BJ428" i="3"/>
  <c r="BK428" i="3"/>
  <c r="BL428" i="3"/>
  <c r="BM428" i="3"/>
  <c r="AZ429" i="3"/>
  <c r="BA429" i="3"/>
  <c r="BB429" i="3"/>
  <c r="BC429" i="3"/>
  <c r="BD429" i="3"/>
  <c r="BE429" i="3"/>
  <c r="BF429" i="3"/>
  <c r="BG429" i="3"/>
  <c r="BH429" i="3"/>
  <c r="BI429" i="3"/>
  <c r="BJ429" i="3"/>
  <c r="BK429" i="3"/>
  <c r="BL429" i="3"/>
  <c r="BM429" i="3"/>
  <c r="AZ430" i="3"/>
  <c r="BA430" i="3"/>
  <c r="BB430" i="3"/>
  <c r="BC430" i="3"/>
  <c r="BD430" i="3"/>
  <c r="BE430" i="3"/>
  <c r="BF430" i="3"/>
  <c r="BG430" i="3"/>
  <c r="BH430" i="3"/>
  <c r="BI430" i="3"/>
  <c r="BJ430" i="3"/>
  <c r="BK430" i="3"/>
  <c r="BL430" i="3"/>
  <c r="BM430" i="3"/>
  <c r="AZ431" i="3"/>
  <c r="BA431" i="3"/>
  <c r="BB431" i="3"/>
  <c r="BC431" i="3"/>
  <c r="BD431" i="3"/>
  <c r="BE431" i="3"/>
  <c r="BF431" i="3"/>
  <c r="BG431" i="3"/>
  <c r="BH431" i="3"/>
  <c r="BI431" i="3"/>
  <c r="BJ431" i="3"/>
  <c r="BK431" i="3"/>
  <c r="BL431" i="3"/>
  <c r="BM431" i="3"/>
  <c r="AZ432" i="3"/>
  <c r="BA432" i="3"/>
  <c r="BB432" i="3"/>
  <c r="BC432" i="3"/>
  <c r="BD432" i="3"/>
  <c r="BE432" i="3"/>
  <c r="BF432" i="3"/>
  <c r="BG432" i="3"/>
  <c r="BH432" i="3"/>
  <c r="BI432" i="3"/>
  <c r="BJ432" i="3"/>
  <c r="BK432" i="3"/>
  <c r="BL432" i="3"/>
  <c r="BM432" i="3"/>
  <c r="AZ433" i="3"/>
  <c r="BA433" i="3"/>
  <c r="BB433" i="3"/>
  <c r="BC433" i="3"/>
  <c r="BD433" i="3"/>
  <c r="BE433" i="3"/>
  <c r="BF433" i="3"/>
  <c r="BG433" i="3"/>
  <c r="BH433" i="3"/>
  <c r="BI433" i="3"/>
  <c r="BJ433" i="3"/>
  <c r="BK433" i="3"/>
  <c r="BL433" i="3"/>
  <c r="BM433" i="3"/>
  <c r="AZ434" i="3"/>
  <c r="BA434" i="3"/>
  <c r="BB434" i="3"/>
  <c r="BC434" i="3"/>
  <c r="BD434" i="3"/>
  <c r="BE434" i="3"/>
  <c r="BF434" i="3"/>
  <c r="BG434" i="3"/>
  <c r="BH434" i="3"/>
  <c r="BI434" i="3"/>
  <c r="BJ434" i="3"/>
  <c r="BK434" i="3"/>
  <c r="BL434" i="3"/>
  <c r="BM434" i="3"/>
  <c r="AZ435" i="3"/>
  <c r="BA435" i="3"/>
  <c r="BB435" i="3"/>
  <c r="BC435" i="3"/>
  <c r="BD435" i="3"/>
  <c r="BE435" i="3"/>
  <c r="BF435" i="3"/>
  <c r="BG435" i="3"/>
  <c r="BH435" i="3"/>
  <c r="BI435" i="3"/>
  <c r="BJ435" i="3"/>
  <c r="BK435" i="3"/>
  <c r="BL435" i="3"/>
  <c r="BM435" i="3"/>
  <c r="AZ436" i="3"/>
  <c r="BA436" i="3"/>
  <c r="BB436" i="3"/>
  <c r="BC436" i="3"/>
  <c r="BD436" i="3"/>
  <c r="BE436" i="3"/>
  <c r="BF436" i="3"/>
  <c r="BG436" i="3"/>
  <c r="BH436" i="3"/>
  <c r="BI436" i="3"/>
  <c r="BJ436" i="3"/>
  <c r="BK436" i="3"/>
  <c r="BL436" i="3"/>
  <c r="BM436" i="3"/>
  <c r="AY428" i="3"/>
  <c r="AY429" i="3"/>
  <c r="AY430" i="3"/>
  <c r="AY431" i="3"/>
  <c r="AY432" i="3"/>
  <c r="AY433" i="3"/>
  <c r="AY434" i="3"/>
  <c r="AY435" i="3"/>
  <c r="AY436" i="3"/>
  <c r="AY427" i="3"/>
  <c r="AZ416" i="3"/>
  <c r="BA416" i="3"/>
  <c r="BB416" i="3"/>
  <c r="BC416" i="3"/>
  <c r="BD416" i="3"/>
  <c r="BE416" i="3"/>
  <c r="BF416" i="3"/>
  <c r="BG416" i="3"/>
  <c r="BH416" i="3"/>
  <c r="BI416" i="3"/>
  <c r="BJ416" i="3"/>
  <c r="BK416" i="3"/>
  <c r="BL416" i="3"/>
  <c r="BM416" i="3"/>
  <c r="AZ417" i="3"/>
  <c r="BA417" i="3"/>
  <c r="BB417" i="3"/>
  <c r="BC417" i="3"/>
  <c r="BD417" i="3"/>
  <c r="BE417" i="3"/>
  <c r="BF417" i="3"/>
  <c r="BG417" i="3"/>
  <c r="BH417" i="3"/>
  <c r="BI417" i="3"/>
  <c r="BJ417" i="3"/>
  <c r="BK417" i="3"/>
  <c r="BL417" i="3"/>
  <c r="BM417" i="3"/>
  <c r="AZ418" i="3"/>
  <c r="BA418" i="3"/>
  <c r="BB418" i="3"/>
  <c r="BC418" i="3"/>
  <c r="BD418" i="3"/>
  <c r="BE418" i="3"/>
  <c r="BF418" i="3"/>
  <c r="BG418" i="3"/>
  <c r="BH418" i="3"/>
  <c r="BI418" i="3"/>
  <c r="BJ418" i="3"/>
  <c r="BK418" i="3"/>
  <c r="BL418" i="3"/>
  <c r="BM418" i="3"/>
  <c r="AZ419" i="3"/>
  <c r="BA419" i="3"/>
  <c r="BB419" i="3"/>
  <c r="BC419" i="3"/>
  <c r="BD419" i="3"/>
  <c r="BE419" i="3"/>
  <c r="BF419" i="3"/>
  <c r="BG419" i="3"/>
  <c r="BH419" i="3"/>
  <c r="BI419" i="3"/>
  <c r="BJ419" i="3"/>
  <c r="BK419" i="3"/>
  <c r="BL419" i="3"/>
  <c r="BM419" i="3"/>
  <c r="AZ420" i="3"/>
  <c r="BA420" i="3"/>
  <c r="BB420" i="3"/>
  <c r="BC420" i="3"/>
  <c r="BD420" i="3"/>
  <c r="BE420" i="3"/>
  <c r="BF420" i="3"/>
  <c r="BG420" i="3"/>
  <c r="BH420" i="3"/>
  <c r="BI420" i="3"/>
  <c r="BJ420" i="3"/>
  <c r="BK420" i="3"/>
  <c r="BL420" i="3"/>
  <c r="BM420" i="3"/>
  <c r="AZ421" i="3"/>
  <c r="BA421" i="3"/>
  <c r="BB421" i="3"/>
  <c r="BC421" i="3"/>
  <c r="BD421" i="3"/>
  <c r="BE421" i="3"/>
  <c r="BF421" i="3"/>
  <c r="BG421" i="3"/>
  <c r="BH421" i="3"/>
  <c r="BI421" i="3"/>
  <c r="BJ421" i="3"/>
  <c r="BK421" i="3"/>
  <c r="BL421" i="3"/>
  <c r="BM421" i="3"/>
  <c r="AZ422" i="3"/>
  <c r="BA422" i="3"/>
  <c r="BB422" i="3"/>
  <c r="BC422" i="3"/>
  <c r="BD422" i="3"/>
  <c r="BE422" i="3"/>
  <c r="BF422" i="3"/>
  <c r="BG422" i="3"/>
  <c r="BH422" i="3"/>
  <c r="BI422" i="3"/>
  <c r="BJ422" i="3"/>
  <c r="BK422" i="3"/>
  <c r="BL422" i="3"/>
  <c r="BM422" i="3"/>
  <c r="AZ423" i="3"/>
  <c r="BA423" i="3"/>
  <c r="BB423" i="3"/>
  <c r="BC423" i="3"/>
  <c r="BD423" i="3"/>
  <c r="BE423" i="3"/>
  <c r="BF423" i="3"/>
  <c r="BG423" i="3"/>
  <c r="BH423" i="3"/>
  <c r="BI423" i="3"/>
  <c r="BJ423" i="3"/>
  <c r="BK423" i="3"/>
  <c r="BL423" i="3"/>
  <c r="BM423" i="3"/>
  <c r="AZ424" i="3"/>
  <c r="BA424" i="3"/>
  <c r="BB424" i="3"/>
  <c r="BC424" i="3"/>
  <c r="BD424" i="3"/>
  <c r="BE424" i="3"/>
  <c r="BF424" i="3"/>
  <c r="BG424" i="3"/>
  <c r="BH424" i="3"/>
  <c r="BI424" i="3"/>
  <c r="BJ424" i="3"/>
  <c r="BK424" i="3"/>
  <c r="BL424" i="3"/>
  <c r="BM424" i="3"/>
  <c r="AZ425" i="3"/>
  <c r="BA425" i="3"/>
  <c r="BB425" i="3"/>
  <c r="BC425" i="3"/>
  <c r="BD425" i="3"/>
  <c r="BE425" i="3"/>
  <c r="BF425" i="3"/>
  <c r="BG425" i="3"/>
  <c r="BH425" i="3"/>
  <c r="BI425" i="3"/>
  <c r="BJ425" i="3"/>
  <c r="BK425" i="3"/>
  <c r="BL425" i="3"/>
  <c r="BM425" i="3"/>
  <c r="AY417" i="3"/>
  <c r="AY418" i="3"/>
  <c r="AY419" i="3"/>
  <c r="AY420" i="3"/>
  <c r="AY421" i="3"/>
  <c r="AY422" i="3"/>
  <c r="AY423" i="3"/>
  <c r="AY424" i="3"/>
  <c r="AY425" i="3"/>
  <c r="AY416" i="3"/>
  <c r="AZ408" i="3"/>
  <c r="BA408" i="3"/>
  <c r="BB408" i="3"/>
  <c r="BC408" i="3"/>
  <c r="BD408" i="3"/>
  <c r="BE408" i="3"/>
  <c r="BF408" i="3"/>
  <c r="BG408" i="3"/>
  <c r="BH408" i="3"/>
  <c r="BI408" i="3"/>
  <c r="BJ408" i="3"/>
  <c r="BK408" i="3"/>
  <c r="BL408" i="3"/>
  <c r="BM408" i="3"/>
  <c r="AZ409" i="3"/>
  <c r="BA409" i="3"/>
  <c r="BB409" i="3"/>
  <c r="BC409" i="3"/>
  <c r="BD409" i="3"/>
  <c r="BE409" i="3"/>
  <c r="BF409" i="3"/>
  <c r="BG409" i="3"/>
  <c r="BH409" i="3"/>
  <c r="BI409" i="3"/>
  <c r="BJ409" i="3"/>
  <c r="BK409" i="3"/>
  <c r="BL409" i="3"/>
  <c r="BM409" i="3"/>
  <c r="AZ410" i="3"/>
  <c r="BA410" i="3"/>
  <c r="BB410" i="3"/>
  <c r="BC410" i="3"/>
  <c r="BD410" i="3"/>
  <c r="BE410" i="3"/>
  <c r="BF410" i="3"/>
  <c r="BG410" i="3"/>
  <c r="BH410" i="3"/>
  <c r="BI410" i="3"/>
  <c r="BJ410" i="3"/>
  <c r="BK410" i="3"/>
  <c r="BL410" i="3"/>
  <c r="BM410" i="3"/>
  <c r="AZ411" i="3"/>
  <c r="BA411" i="3"/>
  <c r="BB411" i="3"/>
  <c r="BC411" i="3"/>
  <c r="BD411" i="3"/>
  <c r="BE411" i="3"/>
  <c r="BF411" i="3"/>
  <c r="BG411" i="3"/>
  <c r="BH411" i="3"/>
  <c r="BI411" i="3"/>
  <c r="BJ411" i="3"/>
  <c r="BK411" i="3"/>
  <c r="BL411" i="3"/>
  <c r="BM411" i="3"/>
  <c r="AZ412" i="3"/>
  <c r="BA412" i="3"/>
  <c r="BB412" i="3"/>
  <c r="BC412" i="3"/>
  <c r="BD412" i="3"/>
  <c r="BE412" i="3"/>
  <c r="BF412" i="3"/>
  <c r="BG412" i="3"/>
  <c r="BH412" i="3"/>
  <c r="BI412" i="3"/>
  <c r="BJ412" i="3"/>
  <c r="BK412" i="3"/>
  <c r="BL412" i="3"/>
  <c r="BM412" i="3"/>
  <c r="AZ413" i="3"/>
  <c r="BA413" i="3"/>
  <c r="BB413" i="3"/>
  <c r="BC413" i="3"/>
  <c r="BD413" i="3"/>
  <c r="BE413" i="3"/>
  <c r="BF413" i="3"/>
  <c r="BG413" i="3"/>
  <c r="BH413" i="3"/>
  <c r="BI413" i="3"/>
  <c r="BJ413" i="3"/>
  <c r="BK413" i="3"/>
  <c r="BL413" i="3"/>
  <c r="BM413" i="3"/>
  <c r="AZ414" i="3"/>
  <c r="BA414" i="3"/>
  <c r="BB414" i="3"/>
  <c r="BC414" i="3"/>
  <c r="BD414" i="3"/>
  <c r="BE414" i="3"/>
  <c r="BF414" i="3"/>
  <c r="BG414" i="3"/>
  <c r="BH414" i="3"/>
  <c r="BI414" i="3"/>
  <c r="BJ414" i="3"/>
  <c r="BK414" i="3"/>
  <c r="BL414" i="3"/>
  <c r="BM414" i="3"/>
  <c r="AY409" i="3"/>
  <c r="AY410" i="3"/>
  <c r="AY411" i="3"/>
  <c r="AY412" i="3"/>
  <c r="AY413" i="3"/>
  <c r="AY414" i="3"/>
  <c r="AY408" i="3"/>
  <c r="AZ397" i="3"/>
  <c r="BA397" i="3"/>
  <c r="BB397" i="3"/>
  <c r="BC397" i="3"/>
  <c r="BD397" i="3"/>
  <c r="BE397" i="3"/>
  <c r="BF397" i="3"/>
  <c r="BG397" i="3"/>
  <c r="BH397" i="3"/>
  <c r="BI397" i="3"/>
  <c r="BJ397" i="3"/>
  <c r="BK397" i="3"/>
  <c r="BL397" i="3"/>
  <c r="BM397" i="3"/>
  <c r="AZ398" i="3"/>
  <c r="BA398" i="3"/>
  <c r="BB398" i="3"/>
  <c r="BC398" i="3"/>
  <c r="BD398" i="3"/>
  <c r="BE398" i="3"/>
  <c r="BF398" i="3"/>
  <c r="BG398" i="3"/>
  <c r="BH398" i="3"/>
  <c r="BI398" i="3"/>
  <c r="BJ398" i="3"/>
  <c r="BK398" i="3"/>
  <c r="BL398" i="3"/>
  <c r="BM398" i="3"/>
  <c r="AZ399" i="3"/>
  <c r="BA399" i="3"/>
  <c r="BB399" i="3"/>
  <c r="BC399" i="3"/>
  <c r="BD399" i="3"/>
  <c r="BE399" i="3"/>
  <c r="BF399" i="3"/>
  <c r="BG399" i="3"/>
  <c r="BH399" i="3"/>
  <c r="BI399" i="3"/>
  <c r="BJ399" i="3"/>
  <c r="BK399" i="3"/>
  <c r="BL399" i="3"/>
  <c r="BM399" i="3"/>
  <c r="AZ400" i="3"/>
  <c r="BA400" i="3"/>
  <c r="BB400" i="3"/>
  <c r="BC400" i="3"/>
  <c r="BD400" i="3"/>
  <c r="BE400" i="3"/>
  <c r="BF400" i="3"/>
  <c r="BG400" i="3"/>
  <c r="BH400" i="3"/>
  <c r="BI400" i="3"/>
  <c r="BJ400" i="3"/>
  <c r="BK400" i="3"/>
  <c r="BL400" i="3"/>
  <c r="BM400" i="3"/>
  <c r="AZ401" i="3"/>
  <c r="BA401" i="3"/>
  <c r="BB401" i="3"/>
  <c r="BC401" i="3"/>
  <c r="BD401" i="3"/>
  <c r="BE401" i="3"/>
  <c r="BF401" i="3"/>
  <c r="BG401" i="3"/>
  <c r="BH401" i="3"/>
  <c r="BI401" i="3"/>
  <c r="BJ401" i="3"/>
  <c r="BK401" i="3"/>
  <c r="BL401" i="3"/>
  <c r="BM401" i="3"/>
  <c r="AZ402" i="3"/>
  <c r="BA402" i="3"/>
  <c r="BB402" i="3"/>
  <c r="BC402" i="3"/>
  <c r="BD402" i="3"/>
  <c r="BE402" i="3"/>
  <c r="BF402" i="3"/>
  <c r="BG402" i="3"/>
  <c r="BH402" i="3"/>
  <c r="BI402" i="3"/>
  <c r="BJ402" i="3"/>
  <c r="BK402" i="3"/>
  <c r="BL402" i="3"/>
  <c r="BM402" i="3"/>
  <c r="AZ403" i="3"/>
  <c r="BA403" i="3"/>
  <c r="BB403" i="3"/>
  <c r="BC403" i="3"/>
  <c r="BD403" i="3"/>
  <c r="BE403" i="3"/>
  <c r="BF403" i="3"/>
  <c r="BG403" i="3"/>
  <c r="BH403" i="3"/>
  <c r="BI403" i="3"/>
  <c r="BJ403" i="3"/>
  <c r="BK403" i="3"/>
  <c r="BL403" i="3"/>
  <c r="BM403" i="3"/>
  <c r="AZ404" i="3"/>
  <c r="BA404" i="3"/>
  <c r="BB404" i="3"/>
  <c r="BC404" i="3"/>
  <c r="BD404" i="3"/>
  <c r="BE404" i="3"/>
  <c r="BF404" i="3"/>
  <c r="BG404" i="3"/>
  <c r="BH404" i="3"/>
  <c r="BI404" i="3"/>
  <c r="BJ404" i="3"/>
  <c r="BK404" i="3"/>
  <c r="BL404" i="3"/>
  <c r="BM404" i="3"/>
  <c r="AZ405" i="3"/>
  <c r="BA405" i="3"/>
  <c r="BB405" i="3"/>
  <c r="BC405" i="3"/>
  <c r="BD405" i="3"/>
  <c r="BE405" i="3"/>
  <c r="BF405" i="3"/>
  <c r="BG405" i="3"/>
  <c r="BH405" i="3"/>
  <c r="BI405" i="3"/>
  <c r="BJ405" i="3"/>
  <c r="BK405" i="3"/>
  <c r="BL405" i="3"/>
  <c r="BM405" i="3"/>
  <c r="AZ406" i="3"/>
  <c r="BA406" i="3"/>
  <c r="BB406" i="3"/>
  <c r="BC406" i="3"/>
  <c r="BD406" i="3"/>
  <c r="BE406" i="3"/>
  <c r="BF406" i="3"/>
  <c r="BG406" i="3"/>
  <c r="BH406" i="3"/>
  <c r="BI406" i="3"/>
  <c r="BJ406" i="3"/>
  <c r="BK406" i="3"/>
  <c r="BL406" i="3"/>
  <c r="BM406" i="3"/>
  <c r="AY398" i="3"/>
  <c r="AY399" i="3"/>
  <c r="AY400" i="3"/>
  <c r="AY401" i="3"/>
  <c r="AY402" i="3"/>
  <c r="AY403" i="3"/>
  <c r="AY404" i="3"/>
  <c r="AY405" i="3"/>
  <c r="AY406" i="3"/>
  <c r="AY397" i="3"/>
  <c r="AZ389" i="3"/>
  <c r="BA389" i="3"/>
  <c r="BB389" i="3"/>
  <c r="BC389" i="3"/>
  <c r="BD389" i="3"/>
  <c r="BE389" i="3"/>
  <c r="BF389" i="3"/>
  <c r="BG389" i="3"/>
  <c r="BH389" i="3"/>
  <c r="BI389" i="3"/>
  <c r="BJ389" i="3"/>
  <c r="BK389" i="3"/>
  <c r="BL389" i="3"/>
  <c r="BM389" i="3"/>
  <c r="AZ390" i="3"/>
  <c r="BA390" i="3"/>
  <c r="BB390" i="3"/>
  <c r="BC390" i="3"/>
  <c r="BD390" i="3"/>
  <c r="BE390" i="3"/>
  <c r="BF390" i="3"/>
  <c r="BG390" i="3"/>
  <c r="BH390" i="3"/>
  <c r="BI390" i="3"/>
  <c r="BJ390" i="3"/>
  <c r="BK390" i="3"/>
  <c r="BL390" i="3"/>
  <c r="BM390" i="3"/>
  <c r="AZ391" i="3"/>
  <c r="BA391" i="3"/>
  <c r="BB391" i="3"/>
  <c r="BC391" i="3"/>
  <c r="BD391" i="3"/>
  <c r="BE391" i="3"/>
  <c r="BF391" i="3"/>
  <c r="BG391" i="3"/>
  <c r="BH391" i="3"/>
  <c r="BI391" i="3"/>
  <c r="BJ391" i="3"/>
  <c r="BK391" i="3"/>
  <c r="BL391" i="3"/>
  <c r="BM391" i="3"/>
  <c r="AZ392" i="3"/>
  <c r="BA392" i="3"/>
  <c r="BB392" i="3"/>
  <c r="BC392" i="3"/>
  <c r="BD392" i="3"/>
  <c r="BE392" i="3"/>
  <c r="BF392" i="3"/>
  <c r="BG392" i="3"/>
  <c r="BH392" i="3"/>
  <c r="BI392" i="3"/>
  <c r="BJ392" i="3"/>
  <c r="BK392" i="3"/>
  <c r="BL392" i="3"/>
  <c r="BM392" i="3"/>
  <c r="AZ393" i="3"/>
  <c r="BA393" i="3"/>
  <c r="BB393" i="3"/>
  <c r="BC393" i="3"/>
  <c r="BD393" i="3"/>
  <c r="BE393" i="3"/>
  <c r="BF393" i="3"/>
  <c r="BG393" i="3"/>
  <c r="BH393" i="3"/>
  <c r="BI393" i="3"/>
  <c r="BJ393" i="3"/>
  <c r="BK393" i="3"/>
  <c r="BL393" i="3"/>
  <c r="BM393" i="3"/>
  <c r="AZ394" i="3"/>
  <c r="BA394" i="3"/>
  <c r="BB394" i="3"/>
  <c r="BC394" i="3"/>
  <c r="BD394" i="3"/>
  <c r="BE394" i="3"/>
  <c r="BF394" i="3"/>
  <c r="BG394" i="3"/>
  <c r="BH394" i="3"/>
  <c r="BI394" i="3"/>
  <c r="BJ394" i="3"/>
  <c r="BK394" i="3"/>
  <c r="BL394" i="3"/>
  <c r="BM394" i="3"/>
  <c r="AZ395" i="3"/>
  <c r="BA395" i="3"/>
  <c r="BB395" i="3"/>
  <c r="BC395" i="3"/>
  <c r="BD395" i="3"/>
  <c r="BE395" i="3"/>
  <c r="BF395" i="3"/>
  <c r="BG395" i="3"/>
  <c r="BH395" i="3"/>
  <c r="BI395" i="3"/>
  <c r="BJ395" i="3"/>
  <c r="BK395" i="3"/>
  <c r="BL395" i="3"/>
  <c r="BM395" i="3"/>
  <c r="AY390" i="3"/>
  <c r="AY391" i="3"/>
  <c r="AY392" i="3"/>
  <c r="AY393" i="3"/>
  <c r="AY394" i="3"/>
  <c r="AY395" i="3"/>
  <c r="AY389" i="3"/>
  <c r="AZ370" i="3"/>
  <c r="BA370" i="3"/>
  <c r="BB370" i="3"/>
  <c r="BC370" i="3"/>
  <c r="BD370" i="3"/>
  <c r="BE370" i="3"/>
  <c r="BF370" i="3"/>
  <c r="BG370" i="3"/>
  <c r="BH370" i="3"/>
  <c r="BI370" i="3"/>
  <c r="BJ370" i="3"/>
  <c r="BK370" i="3"/>
  <c r="BL370" i="3"/>
  <c r="BM370" i="3"/>
  <c r="AZ371" i="3"/>
  <c r="BA371" i="3"/>
  <c r="BB371" i="3"/>
  <c r="BC371" i="3"/>
  <c r="BD371" i="3"/>
  <c r="BE371" i="3"/>
  <c r="BF371" i="3"/>
  <c r="BG371" i="3"/>
  <c r="BH371" i="3"/>
  <c r="BI371" i="3"/>
  <c r="BJ371" i="3"/>
  <c r="BK371" i="3"/>
  <c r="BL371" i="3"/>
  <c r="BM371" i="3"/>
  <c r="AZ372" i="3"/>
  <c r="BA372" i="3"/>
  <c r="BB372" i="3"/>
  <c r="BC372" i="3"/>
  <c r="BD372" i="3"/>
  <c r="BE372" i="3"/>
  <c r="BF372" i="3"/>
  <c r="BG372" i="3"/>
  <c r="BH372" i="3"/>
  <c r="BI372" i="3"/>
  <c r="BJ372" i="3"/>
  <c r="BK372" i="3"/>
  <c r="BL372" i="3"/>
  <c r="BM372" i="3"/>
  <c r="AZ373" i="3"/>
  <c r="BA373" i="3"/>
  <c r="BB373" i="3"/>
  <c r="BC373" i="3"/>
  <c r="BD373" i="3"/>
  <c r="BE373" i="3"/>
  <c r="BF373" i="3"/>
  <c r="BG373" i="3"/>
  <c r="BH373" i="3"/>
  <c r="BI373" i="3"/>
  <c r="BJ373" i="3"/>
  <c r="BK373" i="3"/>
  <c r="BL373" i="3"/>
  <c r="BM373" i="3"/>
  <c r="AZ374" i="3"/>
  <c r="BA374" i="3"/>
  <c r="BB374" i="3"/>
  <c r="BC374" i="3"/>
  <c r="BD374" i="3"/>
  <c r="BE374" i="3"/>
  <c r="BF374" i="3"/>
  <c r="BG374" i="3"/>
  <c r="BH374" i="3"/>
  <c r="BI374" i="3"/>
  <c r="BJ374" i="3"/>
  <c r="BK374" i="3"/>
  <c r="BL374" i="3"/>
  <c r="BM374" i="3"/>
  <c r="AZ375" i="3"/>
  <c r="BA375" i="3"/>
  <c r="BB375" i="3"/>
  <c r="BC375" i="3"/>
  <c r="BD375" i="3"/>
  <c r="BE375" i="3"/>
  <c r="BF375" i="3"/>
  <c r="BG375" i="3"/>
  <c r="BH375" i="3"/>
  <c r="BI375" i="3"/>
  <c r="BJ375" i="3"/>
  <c r="BK375" i="3"/>
  <c r="BL375" i="3"/>
  <c r="BM375" i="3"/>
  <c r="AZ376" i="3"/>
  <c r="BA376" i="3"/>
  <c r="BB376" i="3"/>
  <c r="BC376" i="3"/>
  <c r="BD376" i="3"/>
  <c r="BE376" i="3"/>
  <c r="BF376" i="3"/>
  <c r="BG376" i="3"/>
  <c r="BH376" i="3"/>
  <c r="BI376" i="3"/>
  <c r="BJ376" i="3"/>
  <c r="BK376" i="3"/>
  <c r="BL376" i="3"/>
  <c r="BM376" i="3"/>
  <c r="AZ377" i="3"/>
  <c r="BA377" i="3"/>
  <c r="BB377" i="3"/>
  <c r="BC377" i="3"/>
  <c r="BD377" i="3"/>
  <c r="BE377" i="3"/>
  <c r="BF377" i="3"/>
  <c r="BG377" i="3"/>
  <c r="BH377" i="3"/>
  <c r="BI377" i="3"/>
  <c r="BJ377" i="3"/>
  <c r="BK377" i="3"/>
  <c r="BL377" i="3"/>
  <c r="BM377" i="3"/>
  <c r="AZ378" i="3"/>
  <c r="BA378" i="3"/>
  <c r="BB378" i="3"/>
  <c r="BC378" i="3"/>
  <c r="BD378" i="3"/>
  <c r="BE378" i="3"/>
  <c r="BF378" i="3"/>
  <c r="BG378" i="3"/>
  <c r="BH378" i="3"/>
  <c r="BI378" i="3"/>
  <c r="BJ378" i="3"/>
  <c r="BK378" i="3"/>
  <c r="BL378" i="3"/>
  <c r="BM378" i="3"/>
  <c r="AZ379" i="3"/>
  <c r="BA379" i="3"/>
  <c r="BB379" i="3"/>
  <c r="BC379" i="3"/>
  <c r="BD379" i="3"/>
  <c r="BE379" i="3"/>
  <c r="BF379" i="3"/>
  <c r="BG379" i="3"/>
  <c r="BH379" i="3"/>
  <c r="BI379" i="3"/>
  <c r="BJ379" i="3"/>
  <c r="BK379" i="3"/>
  <c r="BL379" i="3"/>
  <c r="BM379" i="3"/>
  <c r="AY371" i="3"/>
  <c r="AY372" i="3"/>
  <c r="AY373" i="3"/>
  <c r="AY374" i="3"/>
  <c r="AY375" i="3"/>
  <c r="AY376" i="3"/>
  <c r="AY377" i="3"/>
  <c r="AY378" i="3"/>
  <c r="AY379" i="3"/>
  <c r="AY370" i="3"/>
  <c r="AZ359" i="3"/>
  <c r="BA359" i="3"/>
  <c r="BB359" i="3"/>
  <c r="BC359" i="3"/>
  <c r="BD359" i="3"/>
  <c r="BE359" i="3"/>
  <c r="BF359" i="3"/>
  <c r="BG359" i="3"/>
  <c r="BH359" i="3"/>
  <c r="BI359" i="3"/>
  <c r="BJ359" i="3"/>
  <c r="BK359" i="3"/>
  <c r="BL359" i="3"/>
  <c r="BM359" i="3"/>
  <c r="AZ360" i="3"/>
  <c r="BA360" i="3"/>
  <c r="BB360" i="3"/>
  <c r="BC360" i="3"/>
  <c r="BD360" i="3"/>
  <c r="BE360" i="3"/>
  <c r="BF360" i="3"/>
  <c r="BG360" i="3"/>
  <c r="BH360" i="3"/>
  <c r="BI360" i="3"/>
  <c r="BJ360" i="3"/>
  <c r="BK360" i="3"/>
  <c r="BL360" i="3"/>
  <c r="BM360" i="3"/>
  <c r="AZ361" i="3"/>
  <c r="BA361" i="3"/>
  <c r="BB361" i="3"/>
  <c r="BC361" i="3"/>
  <c r="BD361" i="3"/>
  <c r="BE361" i="3"/>
  <c r="BF361" i="3"/>
  <c r="BG361" i="3"/>
  <c r="BH361" i="3"/>
  <c r="BI361" i="3"/>
  <c r="BJ361" i="3"/>
  <c r="BK361" i="3"/>
  <c r="BL361" i="3"/>
  <c r="BM361" i="3"/>
  <c r="AZ362" i="3"/>
  <c r="BA362" i="3"/>
  <c r="BB362" i="3"/>
  <c r="BC362" i="3"/>
  <c r="BD362" i="3"/>
  <c r="BE362" i="3"/>
  <c r="BF362" i="3"/>
  <c r="BG362" i="3"/>
  <c r="BH362" i="3"/>
  <c r="BI362" i="3"/>
  <c r="BJ362" i="3"/>
  <c r="BK362" i="3"/>
  <c r="BL362" i="3"/>
  <c r="BM362" i="3"/>
  <c r="AZ363" i="3"/>
  <c r="BA363" i="3"/>
  <c r="BB363" i="3"/>
  <c r="BC363" i="3"/>
  <c r="BD363" i="3"/>
  <c r="BE363" i="3"/>
  <c r="BF363" i="3"/>
  <c r="BG363" i="3"/>
  <c r="BH363" i="3"/>
  <c r="BI363" i="3"/>
  <c r="BJ363" i="3"/>
  <c r="BK363" i="3"/>
  <c r="BL363" i="3"/>
  <c r="BM363" i="3"/>
  <c r="AZ364" i="3"/>
  <c r="BA364" i="3"/>
  <c r="BB364" i="3"/>
  <c r="BC364" i="3"/>
  <c r="BD364" i="3"/>
  <c r="BE364" i="3"/>
  <c r="BF364" i="3"/>
  <c r="BG364" i="3"/>
  <c r="BH364" i="3"/>
  <c r="BI364" i="3"/>
  <c r="BJ364" i="3"/>
  <c r="BK364" i="3"/>
  <c r="BL364" i="3"/>
  <c r="BM364" i="3"/>
  <c r="AZ365" i="3"/>
  <c r="BA365" i="3"/>
  <c r="BB365" i="3"/>
  <c r="BC365" i="3"/>
  <c r="BD365" i="3"/>
  <c r="BE365" i="3"/>
  <c r="BF365" i="3"/>
  <c r="BG365" i="3"/>
  <c r="BH365" i="3"/>
  <c r="BI365" i="3"/>
  <c r="BJ365" i="3"/>
  <c r="BK365" i="3"/>
  <c r="BL365" i="3"/>
  <c r="BM365" i="3"/>
  <c r="AZ366" i="3"/>
  <c r="BA366" i="3"/>
  <c r="BB366" i="3"/>
  <c r="BC366" i="3"/>
  <c r="BD366" i="3"/>
  <c r="BE366" i="3"/>
  <c r="BF366" i="3"/>
  <c r="BG366" i="3"/>
  <c r="BH366" i="3"/>
  <c r="BI366" i="3"/>
  <c r="BJ366" i="3"/>
  <c r="BK366" i="3"/>
  <c r="BL366" i="3"/>
  <c r="BM366" i="3"/>
  <c r="AZ367" i="3"/>
  <c r="BA367" i="3"/>
  <c r="BB367" i="3"/>
  <c r="BC367" i="3"/>
  <c r="BD367" i="3"/>
  <c r="BE367" i="3"/>
  <c r="BF367" i="3"/>
  <c r="BG367" i="3"/>
  <c r="BH367" i="3"/>
  <c r="BI367" i="3"/>
  <c r="BJ367" i="3"/>
  <c r="BK367" i="3"/>
  <c r="BL367" i="3"/>
  <c r="BM367" i="3"/>
  <c r="AZ368" i="3"/>
  <c r="BA368" i="3"/>
  <c r="BB368" i="3"/>
  <c r="BC368" i="3"/>
  <c r="BD368" i="3"/>
  <c r="BE368" i="3"/>
  <c r="BF368" i="3"/>
  <c r="BG368" i="3"/>
  <c r="BH368" i="3"/>
  <c r="BI368" i="3"/>
  <c r="BJ368" i="3"/>
  <c r="BK368" i="3"/>
  <c r="BL368" i="3"/>
  <c r="BM368" i="3"/>
  <c r="AY360" i="3"/>
  <c r="AY361" i="3"/>
  <c r="AY362" i="3"/>
  <c r="AY363" i="3"/>
  <c r="AY364" i="3"/>
  <c r="AY365" i="3"/>
  <c r="AY366" i="3"/>
  <c r="AY367" i="3"/>
  <c r="AY368" i="3"/>
  <c r="AY359" i="3"/>
  <c r="AZ351" i="3"/>
  <c r="BA351" i="3"/>
  <c r="BB351" i="3"/>
  <c r="BC351" i="3"/>
  <c r="BD351" i="3"/>
  <c r="BE351" i="3"/>
  <c r="BF351" i="3"/>
  <c r="BG351" i="3"/>
  <c r="BH351" i="3"/>
  <c r="BI351" i="3"/>
  <c r="BJ351" i="3"/>
  <c r="BK351" i="3"/>
  <c r="BL351" i="3"/>
  <c r="BM351" i="3"/>
  <c r="AZ352" i="3"/>
  <c r="BA352" i="3"/>
  <c r="BB352" i="3"/>
  <c r="BC352" i="3"/>
  <c r="BD352" i="3"/>
  <c r="BE352" i="3"/>
  <c r="BF352" i="3"/>
  <c r="BG352" i="3"/>
  <c r="BH352" i="3"/>
  <c r="BI352" i="3"/>
  <c r="BJ352" i="3"/>
  <c r="BK352" i="3"/>
  <c r="BL352" i="3"/>
  <c r="BM352" i="3"/>
  <c r="AZ353" i="3"/>
  <c r="BA353" i="3"/>
  <c r="BB353" i="3"/>
  <c r="BC353" i="3"/>
  <c r="BD353" i="3"/>
  <c r="BE353" i="3"/>
  <c r="BF353" i="3"/>
  <c r="BG353" i="3"/>
  <c r="BH353" i="3"/>
  <c r="BI353" i="3"/>
  <c r="BJ353" i="3"/>
  <c r="BK353" i="3"/>
  <c r="BL353" i="3"/>
  <c r="BM353" i="3"/>
  <c r="AZ354" i="3"/>
  <c r="BA354" i="3"/>
  <c r="BB354" i="3"/>
  <c r="BC354" i="3"/>
  <c r="BD354" i="3"/>
  <c r="BE354" i="3"/>
  <c r="BF354" i="3"/>
  <c r="BG354" i="3"/>
  <c r="BH354" i="3"/>
  <c r="BI354" i="3"/>
  <c r="BJ354" i="3"/>
  <c r="BK354" i="3"/>
  <c r="BL354" i="3"/>
  <c r="BM354" i="3"/>
  <c r="AZ355" i="3"/>
  <c r="BA355" i="3"/>
  <c r="BB355" i="3"/>
  <c r="BC355" i="3"/>
  <c r="BD355" i="3"/>
  <c r="BE355" i="3"/>
  <c r="BF355" i="3"/>
  <c r="BG355" i="3"/>
  <c r="BH355" i="3"/>
  <c r="BI355" i="3"/>
  <c r="BJ355" i="3"/>
  <c r="BK355" i="3"/>
  <c r="BL355" i="3"/>
  <c r="BM355" i="3"/>
  <c r="AZ356" i="3"/>
  <c r="BA356" i="3"/>
  <c r="BB356" i="3"/>
  <c r="BC356" i="3"/>
  <c r="BD356" i="3"/>
  <c r="BE356" i="3"/>
  <c r="BF356" i="3"/>
  <c r="BG356" i="3"/>
  <c r="BH356" i="3"/>
  <c r="BI356" i="3"/>
  <c r="BJ356" i="3"/>
  <c r="BK356" i="3"/>
  <c r="BL356" i="3"/>
  <c r="BM356" i="3"/>
  <c r="AZ357" i="3"/>
  <c r="BA357" i="3"/>
  <c r="BB357" i="3"/>
  <c r="BC357" i="3"/>
  <c r="BD357" i="3"/>
  <c r="BE357" i="3"/>
  <c r="BF357" i="3"/>
  <c r="BG357" i="3"/>
  <c r="BH357" i="3"/>
  <c r="BI357" i="3"/>
  <c r="BJ357" i="3"/>
  <c r="BK357" i="3"/>
  <c r="BL357" i="3"/>
  <c r="BM357" i="3"/>
  <c r="AY352" i="3"/>
  <c r="AY353" i="3"/>
  <c r="AY354" i="3"/>
  <c r="AY355" i="3"/>
  <c r="AY356" i="3"/>
  <c r="AY357" i="3"/>
  <c r="AY351" i="3"/>
  <c r="AZ340" i="3"/>
  <c r="BA340" i="3"/>
  <c r="BB340" i="3"/>
  <c r="BC340" i="3"/>
  <c r="BD340" i="3"/>
  <c r="BE340" i="3"/>
  <c r="BF340" i="3"/>
  <c r="BG340" i="3"/>
  <c r="BH340" i="3"/>
  <c r="BI340" i="3"/>
  <c r="BJ340" i="3"/>
  <c r="BK340" i="3"/>
  <c r="BL340" i="3"/>
  <c r="BM340" i="3"/>
  <c r="AZ341" i="3"/>
  <c r="BA341" i="3"/>
  <c r="BB341" i="3"/>
  <c r="BC341" i="3"/>
  <c r="BD341" i="3"/>
  <c r="BE341" i="3"/>
  <c r="BF341" i="3"/>
  <c r="BG341" i="3"/>
  <c r="BH341" i="3"/>
  <c r="BI341" i="3"/>
  <c r="BJ341" i="3"/>
  <c r="BK341" i="3"/>
  <c r="BL341" i="3"/>
  <c r="BM341" i="3"/>
  <c r="AZ342" i="3"/>
  <c r="BA342" i="3"/>
  <c r="BB342" i="3"/>
  <c r="BC342" i="3"/>
  <c r="BD342" i="3"/>
  <c r="BE342" i="3"/>
  <c r="BF342" i="3"/>
  <c r="BG342" i="3"/>
  <c r="BH342" i="3"/>
  <c r="BI342" i="3"/>
  <c r="BJ342" i="3"/>
  <c r="BK342" i="3"/>
  <c r="BL342" i="3"/>
  <c r="BM342" i="3"/>
  <c r="AZ343" i="3"/>
  <c r="BA343" i="3"/>
  <c r="BB343" i="3"/>
  <c r="BC343" i="3"/>
  <c r="BD343" i="3"/>
  <c r="BE343" i="3"/>
  <c r="BF343" i="3"/>
  <c r="BG343" i="3"/>
  <c r="BH343" i="3"/>
  <c r="BI343" i="3"/>
  <c r="BJ343" i="3"/>
  <c r="BK343" i="3"/>
  <c r="BL343" i="3"/>
  <c r="BM343" i="3"/>
  <c r="AZ344" i="3"/>
  <c r="BA344" i="3"/>
  <c r="BB344" i="3"/>
  <c r="BC344" i="3"/>
  <c r="BD344" i="3"/>
  <c r="BE344" i="3"/>
  <c r="BF344" i="3"/>
  <c r="BG344" i="3"/>
  <c r="BH344" i="3"/>
  <c r="BI344" i="3"/>
  <c r="BJ344" i="3"/>
  <c r="BK344" i="3"/>
  <c r="BL344" i="3"/>
  <c r="BM344" i="3"/>
  <c r="AZ345" i="3"/>
  <c r="BA345" i="3"/>
  <c r="BB345" i="3"/>
  <c r="BC345" i="3"/>
  <c r="BD345" i="3"/>
  <c r="BE345" i="3"/>
  <c r="BF345" i="3"/>
  <c r="BG345" i="3"/>
  <c r="BH345" i="3"/>
  <c r="BI345" i="3"/>
  <c r="BJ345" i="3"/>
  <c r="BK345" i="3"/>
  <c r="BL345" i="3"/>
  <c r="BM345" i="3"/>
  <c r="AZ346" i="3"/>
  <c r="BA346" i="3"/>
  <c r="BB346" i="3"/>
  <c r="BC346" i="3"/>
  <c r="BD346" i="3"/>
  <c r="BE346" i="3"/>
  <c r="BF346" i="3"/>
  <c r="BG346" i="3"/>
  <c r="BH346" i="3"/>
  <c r="BI346" i="3"/>
  <c r="BJ346" i="3"/>
  <c r="BK346" i="3"/>
  <c r="BL346" i="3"/>
  <c r="BM346" i="3"/>
  <c r="AZ347" i="3"/>
  <c r="BA347" i="3"/>
  <c r="BB347" i="3"/>
  <c r="BC347" i="3"/>
  <c r="BD347" i="3"/>
  <c r="BE347" i="3"/>
  <c r="BF347" i="3"/>
  <c r="BG347" i="3"/>
  <c r="BH347" i="3"/>
  <c r="BI347" i="3"/>
  <c r="BJ347" i="3"/>
  <c r="BK347" i="3"/>
  <c r="BL347" i="3"/>
  <c r="BM347" i="3"/>
  <c r="AZ348" i="3"/>
  <c r="BA348" i="3"/>
  <c r="BB348" i="3"/>
  <c r="BC348" i="3"/>
  <c r="BD348" i="3"/>
  <c r="BE348" i="3"/>
  <c r="BF348" i="3"/>
  <c r="BG348" i="3"/>
  <c r="BH348" i="3"/>
  <c r="BI348" i="3"/>
  <c r="BJ348" i="3"/>
  <c r="BK348" i="3"/>
  <c r="BL348" i="3"/>
  <c r="BM348" i="3"/>
  <c r="AZ349" i="3"/>
  <c r="BA349" i="3"/>
  <c r="BB349" i="3"/>
  <c r="BC349" i="3"/>
  <c r="BD349" i="3"/>
  <c r="BE349" i="3"/>
  <c r="BF349" i="3"/>
  <c r="BG349" i="3"/>
  <c r="BH349" i="3"/>
  <c r="BI349" i="3"/>
  <c r="BJ349" i="3"/>
  <c r="BK349" i="3"/>
  <c r="BL349" i="3"/>
  <c r="BM349" i="3"/>
  <c r="AY341" i="3"/>
  <c r="AY342" i="3"/>
  <c r="AY343" i="3"/>
  <c r="AY344" i="3"/>
  <c r="AY345" i="3"/>
  <c r="AY346" i="3"/>
  <c r="AY347" i="3"/>
  <c r="AY348" i="3"/>
  <c r="AY349" i="3"/>
  <c r="AY340" i="3"/>
  <c r="AZ332" i="3"/>
  <c r="BA332" i="3"/>
  <c r="BB332" i="3"/>
  <c r="BC332" i="3"/>
  <c r="BD332" i="3"/>
  <c r="BE332" i="3"/>
  <c r="BF332" i="3"/>
  <c r="BG332" i="3"/>
  <c r="BH332" i="3"/>
  <c r="BI332" i="3"/>
  <c r="BJ332" i="3"/>
  <c r="BK332" i="3"/>
  <c r="BL332" i="3"/>
  <c r="BM332" i="3"/>
  <c r="AZ333" i="3"/>
  <c r="BA333" i="3"/>
  <c r="BB333" i="3"/>
  <c r="BC333" i="3"/>
  <c r="BD333" i="3"/>
  <c r="BE333" i="3"/>
  <c r="BF333" i="3"/>
  <c r="BG333" i="3"/>
  <c r="BH333" i="3"/>
  <c r="BI333" i="3"/>
  <c r="BJ333" i="3"/>
  <c r="BK333" i="3"/>
  <c r="BL333" i="3"/>
  <c r="BM333" i="3"/>
  <c r="AZ334" i="3"/>
  <c r="BA334" i="3"/>
  <c r="BB334" i="3"/>
  <c r="BC334" i="3"/>
  <c r="BD334" i="3"/>
  <c r="BE334" i="3"/>
  <c r="BF334" i="3"/>
  <c r="BG334" i="3"/>
  <c r="BH334" i="3"/>
  <c r="BI334" i="3"/>
  <c r="BJ334" i="3"/>
  <c r="BK334" i="3"/>
  <c r="BL334" i="3"/>
  <c r="BM334" i="3"/>
  <c r="AZ335" i="3"/>
  <c r="BA335" i="3"/>
  <c r="BB335" i="3"/>
  <c r="BC335" i="3"/>
  <c r="BD335" i="3"/>
  <c r="BE335" i="3"/>
  <c r="BF335" i="3"/>
  <c r="BG335" i="3"/>
  <c r="BH335" i="3"/>
  <c r="BI335" i="3"/>
  <c r="BJ335" i="3"/>
  <c r="BK335" i="3"/>
  <c r="BL335" i="3"/>
  <c r="BM335" i="3"/>
  <c r="AZ336" i="3"/>
  <c r="BA336" i="3"/>
  <c r="BB336" i="3"/>
  <c r="BC336" i="3"/>
  <c r="BD336" i="3"/>
  <c r="BE336" i="3"/>
  <c r="BF336" i="3"/>
  <c r="BG336" i="3"/>
  <c r="BH336" i="3"/>
  <c r="BI336" i="3"/>
  <c r="BJ336" i="3"/>
  <c r="BK336" i="3"/>
  <c r="BL336" i="3"/>
  <c r="BM336" i="3"/>
  <c r="AZ337" i="3"/>
  <c r="BA337" i="3"/>
  <c r="BB337" i="3"/>
  <c r="BC337" i="3"/>
  <c r="BD337" i="3"/>
  <c r="BE337" i="3"/>
  <c r="BF337" i="3"/>
  <c r="BG337" i="3"/>
  <c r="BH337" i="3"/>
  <c r="BI337" i="3"/>
  <c r="BJ337" i="3"/>
  <c r="BK337" i="3"/>
  <c r="BL337" i="3"/>
  <c r="BM337" i="3"/>
  <c r="AZ338" i="3"/>
  <c r="BA338" i="3"/>
  <c r="BB338" i="3"/>
  <c r="BC338" i="3"/>
  <c r="BD338" i="3"/>
  <c r="BE338" i="3"/>
  <c r="BF338" i="3"/>
  <c r="BG338" i="3"/>
  <c r="BH338" i="3"/>
  <c r="BI338" i="3"/>
  <c r="BJ338" i="3"/>
  <c r="BK338" i="3"/>
  <c r="BL338" i="3"/>
  <c r="BM338" i="3"/>
  <c r="AY333" i="3"/>
  <c r="AY334" i="3"/>
  <c r="AY335" i="3"/>
  <c r="AY336" i="3"/>
  <c r="AY337" i="3"/>
  <c r="AY338" i="3"/>
  <c r="AY332" i="3"/>
  <c r="AZ313" i="3"/>
  <c r="BA313" i="3"/>
  <c r="BB313" i="3"/>
  <c r="BC313" i="3"/>
  <c r="BD313" i="3"/>
  <c r="BE313" i="3"/>
  <c r="BF313" i="3"/>
  <c r="BG313" i="3"/>
  <c r="BH313" i="3"/>
  <c r="BI313" i="3"/>
  <c r="BJ313" i="3"/>
  <c r="BK313" i="3"/>
  <c r="BL313" i="3"/>
  <c r="BM313" i="3"/>
  <c r="AZ314" i="3"/>
  <c r="BA314" i="3"/>
  <c r="BB314" i="3"/>
  <c r="BC314" i="3"/>
  <c r="BD314" i="3"/>
  <c r="BE314" i="3"/>
  <c r="BF314" i="3"/>
  <c r="BG314" i="3"/>
  <c r="BH314" i="3"/>
  <c r="BI314" i="3"/>
  <c r="BJ314" i="3"/>
  <c r="BK314" i="3"/>
  <c r="BL314" i="3"/>
  <c r="BM314" i="3"/>
  <c r="AZ315" i="3"/>
  <c r="BA315" i="3"/>
  <c r="BB315" i="3"/>
  <c r="BC315" i="3"/>
  <c r="BD315" i="3"/>
  <c r="BE315" i="3"/>
  <c r="BF315" i="3"/>
  <c r="BG315" i="3"/>
  <c r="BH315" i="3"/>
  <c r="BI315" i="3"/>
  <c r="BJ315" i="3"/>
  <c r="BK315" i="3"/>
  <c r="BL315" i="3"/>
  <c r="BM315" i="3"/>
  <c r="AZ316" i="3"/>
  <c r="BA316" i="3"/>
  <c r="BB316" i="3"/>
  <c r="BC316" i="3"/>
  <c r="BD316" i="3"/>
  <c r="BE316" i="3"/>
  <c r="BF316" i="3"/>
  <c r="BG316" i="3"/>
  <c r="BH316" i="3"/>
  <c r="BI316" i="3"/>
  <c r="BJ316" i="3"/>
  <c r="BK316" i="3"/>
  <c r="BL316" i="3"/>
  <c r="BM316" i="3"/>
  <c r="AZ317" i="3"/>
  <c r="BA317" i="3"/>
  <c r="BB317" i="3"/>
  <c r="BC317" i="3"/>
  <c r="BD317" i="3"/>
  <c r="BE317" i="3"/>
  <c r="BF317" i="3"/>
  <c r="BG317" i="3"/>
  <c r="BH317" i="3"/>
  <c r="BI317" i="3"/>
  <c r="BJ317" i="3"/>
  <c r="BK317" i="3"/>
  <c r="BL317" i="3"/>
  <c r="BM317" i="3"/>
  <c r="AZ318" i="3"/>
  <c r="BA318" i="3"/>
  <c r="BB318" i="3"/>
  <c r="BC318" i="3"/>
  <c r="BD318" i="3"/>
  <c r="BE318" i="3"/>
  <c r="BF318" i="3"/>
  <c r="BG318" i="3"/>
  <c r="BH318" i="3"/>
  <c r="BI318" i="3"/>
  <c r="BJ318" i="3"/>
  <c r="BK318" i="3"/>
  <c r="BL318" i="3"/>
  <c r="BM318" i="3"/>
  <c r="AZ319" i="3"/>
  <c r="BA319" i="3"/>
  <c r="BB319" i="3"/>
  <c r="BC319" i="3"/>
  <c r="BD319" i="3"/>
  <c r="BE319" i="3"/>
  <c r="BF319" i="3"/>
  <c r="BG319" i="3"/>
  <c r="BH319" i="3"/>
  <c r="BI319" i="3"/>
  <c r="BJ319" i="3"/>
  <c r="BK319" i="3"/>
  <c r="BL319" i="3"/>
  <c r="BM319" i="3"/>
  <c r="AZ320" i="3"/>
  <c r="BA320" i="3"/>
  <c r="BB320" i="3"/>
  <c r="BC320" i="3"/>
  <c r="BD320" i="3"/>
  <c r="BE320" i="3"/>
  <c r="BF320" i="3"/>
  <c r="BG320" i="3"/>
  <c r="BH320" i="3"/>
  <c r="BI320" i="3"/>
  <c r="BJ320" i="3"/>
  <c r="BK320" i="3"/>
  <c r="BL320" i="3"/>
  <c r="BM320" i="3"/>
  <c r="AZ321" i="3"/>
  <c r="BA321" i="3"/>
  <c r="BB321" i="3"/>
  <c r="BC321" i="3"/>
  <c r="BD321" i="3"/>
  <c r="BE321" i="3"/>
  <c r="BF321" i="3"/>
  <c r="BG321" i="3"/>
  <c r="BH321" i="3"/>
  <c r="BI321" i="3"/>
  <c r="BJ321" i="3"/>
  <c r="BK321" i="3"/>
  <c r="BL321" i="3"/>
  <c r="BM321" i="3"/>
  <c r="AZ322" i="3"/>
  <c r="BA322" i="3"/>
  <c r="BB322" i="3"/>
  <c r="BC322" i="3"/>
  <c r="BD322" i="3"/>
  <c r="BE322" i="3"/>
  <c r="BF322" i="3"/>
  <c r="BG322" i="3"/>
  <c r="BH322" i="3"/>
  <c r="BI322" i="3"/>
  <c r="BJ322" i="3"/>
  <c r="BK322" i="3"/>
  <c r="BL322" i="3"/>
  <c r="BM322" i="3"/>
  <c r="AY314" i="3"/>
  <c r="AY315" i="3"/>
  <c r="AY316" i="3"/>
  <c r="AY317" i="3"/>
  <c r="AY318" i="3"/>
  <c r="AY319" i="3"/>
  <c r="AY320" i="3"/>
  <c r="AY321" i="3"/>
  <c r="AY322" i="3"/>
  <c r="AY313" i="3"/>
  <c r="AZ302" i="3"/>
  <c r="BA302" i="3"/>
  <c r="BB302" i="3"/>
  <c r="BC302" i="3"/>
  <c r="BD302" i="3"/>
  <c r="BE302" i="3"/>
  <c r="BF302" i="3"/>
  <c r="BG302" i="3"/>
  <c r="BH302" i="3"/>
  <c r="BI302" i="3"/>
  <c r="BJ302" i="3"/>
  <c r="BK302" i="3"/>
  <c r="BL302" i="3"/>
  <c r="BM302" i="3"/>
  <c r="AZ303" i="3"/>
  <c r="BA303" i="3"/>
  <c r="BB303" i="3"/>
  <c r="BC303" i="3"/>
  <c r="BD303" i="3"/>
  <c r="BE303" i="3"/>
  <c r="BF303" i="3"/>
  <c r="BG303" i="3"/>
  <c r="BH303" i="3"/>
  <c r="BI303" i="3"/>
  <c r="BJ303" i="3"/>
  <c r="BK303" i="3"/>
  <c r="BL303" i="3"/>
  <c r="BM303" i="3"/>
  <c r="AZ304" i="3"/>
  <c r="BA304" i="3"/>
  <c r="BB304" i="3"/>
  <c r="BC304" i="3"/>
  <c r="BD304" i="3"/>
  <c r="BE304" i="3"/>
  <c r="BF304" i="3"/>
  <c r="BG304" i="3"/>
  <c r="BH304" i="3"/>
  <c r="BI304" i="3"/>
  <c r="BJ304" i="3"/>
  <c r="BK304" i="3"/>
  <c r="BL304" i="3"/>
  <c r="BM304" i="3"/>
  <c r="AZ305" i="3"/>
  <c r="BA305" i="3"/>
  <c r="BB305" i="3"/>
  <c r="BC305" i="3"/>
  <c r="BD305" i="3"/>
  <c r="BE305" i="3"/>
  <c r="BF305" i="3"/>
  <c r="BG305" i="3"/>
  <c r="BH305" i="3"/>
  <c r="BI305" i="3"/>
  <c r="BJ305" i="3"/>
  <c r="BK305" i="3"/>
  <c r="BL305" i="3"/>
  <c r="BM305" i="3"/>
  <c r="AZ306" i="3"/>
  <c r="BA306" i="3"/>
  <c r="BB306" i="3"/>
  <c r="BC306" i="3"/>
  <c r="BD306" i="3"/>
  <c r="BE306" i="3"/>
  <c r="BF306" i="3"/>
  <c r="BG306" i="3"/>
  <c r="BH306" i="3"/>
  <c r="BI306" i="3"/>
  <c r="BJ306" i="3"/>
  <c r="BK306" i="3"/>
  <c r="BL306" i="3"/>
  <c r="BM306" i="3"/>
  <c r="AZ307" i="3"/>
  <c r="BA307" i="3"/>
  <c r="BB307" i="3"/>
  <c r="BC307" i="3"/>
  <c r="BD307" i="3"/>
  <c r="BE307" i="3"/>
  <c r="BF307" i="3"/>
  <c r="BG307" i="3"/>
  <c r="BH307" i="3"/>
  <c r="BI307" i="3"/>
  <c r="BJ307" i="3"/>
  <c r="BK307" i="3"/>
  <c r="BL307" i="3"/>
  <c r="BM307" i="3"/>
  <c r="AZ308" i="3"/>
  <c r="BA308" i="3"/>
  <c r="BB308" i="3"/>
  <c r="BC308" i="3"/>
  <c r="BD308" i="3"/>
  <c r="BE308" i="3"/>
  <c r="BF308" i="3"/>
  <c r="BG308" i="3"/>
  <c r="BH308" i="3"/>
  <c r="BI308" i="3"/>
  <c r="BJ308" i="3"/>
  <c r="BK308" i="3"/>
  <c r="BL308" i="3"/>
  <c r="BM308" i="3"/>
  <c r="AZ309" i="3"/>
  <c r="BA309" i="3"/>
  <c r="BB309" i="3"/>
  <c r="BC309" i="3"/>
  <c r="BD309" i="3"/>
  <c r="BE309" i="3"/>
  <c r="BF309" i="3"/>
  <c r="BG309" i="3"/>
  <c r="BH309" i="3"/>
  <c r="BI309" i="3"/>
  <c r="BJ309" i="3"/>
  <c r="BK309" i="3"/>
  <c r="BL309" i="3"/>
  <c r="BM309" i="3"/>
  <c r="AZ310" i="3"/>
  <c r="BA310" i="3"/>
  <c r="BB310" i="3"/>
  <c r="BC310" i="3"/>
  <c r="BD310" i="3"/>
  <c r="BE310" i="3"/>
  <c r="BF310" i="3"/>
  <c r="BG310" i="3"/>
  <c r="BH310" i="3"/>
  <c r="BI310" i="3"/>
  <c r="BJ310" i="3"/>
  <c r="BK310" i="3"/>
  <c r="BL310" i="3"/>
  <c r="BM310" i="3"/>
  <c r="AZ311" i="3"/>
  <c r="BA311" i="3"/>
  <c r="BB311" i="3"/>
  <c r="BC311" i="3"/>
  <c r="BD311" i="3"/>
  <c r="BE311" i="3"/>
  <c r="BF311" i="3"/>
  <c r="BG311" i="3"/>
  <c r="BH311" i="3"/>
  <c r="BI311" i="3"/>
  <c r="BJ311" i="3"/>
  <c r="BK311" i="3"/>
  <c r="BL311" i="3"/>
  <c r="BM311" i="3"/>
  <c r="AY303" i="3"/>
  <c r="AY304" i="3"/>
  <c r="AY305" i="3"/>
  <c r="AY306" i="3"/>
  <c r="AY307" i="3"/>
  <c r="AY308" i="3"/>
  <c r="AY309" i="3"/>
  <c r="AY310" i="3"/>
  <c r="AY311" i="3"/>
  <c r="AY302" i="3"/>
  <c r="AZ294" i="3"/>
  <c r="BA294" i="3"/>
  <c r="BB294" i="3"/>
  <c r="BC294" i="3"/>
  <c r="BD294" i="3"/>
  <c r="BE294" i="3"/>
  <c r="BF294" i="3"/>
  <c r="BG294" i="3"/>
  <c r="BH294" i="3"/>
  <c r="BI294" i="3"/>
  <c r="BJ294" i="3"/>
  <c r="BK294" i="3"/>
  <c r="BL294" i="3"/>
  <c r="BM294" i="3"/>
  <c r="AZ295" i="3"/>
  <c r="BA295" i="3"/>
  <c r="BB295" i="3"/>
  <c r="BC295" i="3"/>
  <c r="BD295" i="3"/>
  <c r="BE295" i="3"/>
  <c r="BF295" i="3"/>
  <c r="BG295" i="3"/>
  <c r="BH295" i="3"/>
  <c r="BI295" i="3"/>
  <c r="BJ295" i="3"/>
  <c r="BK295" i="3"/>
  <c r="BL295" i="3"/>
  <c r="BM295" i="3"/>
  <c r="AZ296" i="3"/>
  <c r="BA296" i="3"/>
  <c r="BB296" i="3"/>
  <c r="BC296" i="3"/>
  <c r="BD296" i="3"/>
  <c r="BE296" i="3"/>
  <c r="BF296" i="3"/>
  <c r="BG296" i="3"/>
  <c r="BH296" i="3"/>
  <c r="BI296" i="3"/>
  <c r="BJ296" i="3"/>
  <c r="BK296" i="3"/>
  <c r="BL296" i="3"/>
  <c r="BM296" i="3"/>
  <c r="AZ297" i="3"/>
  <c r="BA297" i="3"/>
  <c r="BB297" i="3"/>
  <c r="BC297" i="3"/>
  <c r="BD297" i="3"/>
  <c r="BE297" i="3"/>
  <c r="BF297" i="3"/>
  <c r="BG297" i="3"/>
  <c r="BH297" i="3"/>
  <c r="BI297" i="3"/>
  <c r="BJ297" i="3"/>
  <c r="BK297" i="3"/>
  <c r="BL297" i="3"/>
  <c r="BM297" i="3"/>
  <c r="AZ298" i="3"/>
  <c r="BA298" i="3"/>
  <c r="BB298" i="3"/>
  <c r="BC298" i="3"/>
  <c r="BD298" i="3"/>
  <c r="BE298" i="3"/>
  <c r="BF298" i="3"/>
  <c r="BG298" i="3"/>
  <c r="BH298" i="3"/>
  <c r="BI298" i="3"/>
  <c r="BJ298" i="3"/>
  <c r="BK298" i="3"/>
  <c r="BL298" i="3"/>
  <c r="BM298" i="3"/>
  <c r="AZ299" i="3"/>
  <c r="BA299" i="3"/>
  <c r="BB299" i="3"/>
  <c r="BC299" i="3"/>
  <c r="BD299" i="3"/>
  <c r="BE299" i="3"/>
  <c r="BF299" i="3"/>
  <c r="BG299" i="3"/>
  <c r="BH299" i="3"/>
  <c r="BI299" i="3"/>
  <c r="BJ299" i="3"/>
  <c r="BK299" i="3"/>
  <c r="BL299" i="3"/>
  <c r="BM299" i="3"/>
  <c r="AZ300" i="3"/>
  <c r="BA300" i="3"/>
  <c r="BB300" i="3"/>
  <c r="BC300" i="3"/>
  <c r="BD300" i="3"/>
  <c r="BE300" i="3"/>
  <c r="BF300" i="3"/>
  <c r="BG300" i="3"/>
  <c r="BH300" i="3"/>
  <c r="BI300" i="3"/>
  <c r="BJ300" i="3"/>
  <c r="BK300" i="3"/>
  <c r="BL300" i="3"/>
  <c r="BM300" i="3"/>
  <c r="AY295" i="3"/>
  <c r="AY296" i="3"/>
  <c r="AY297" i="3"/>
  <c r="AY298" i="3"/>
  <c r="AY299" i="3"/>
  <c r="AY300" i="3"/>
  <c r="AY294" i="3"/>
  <c r="AZ283" i="3"/>
  <c r="BA283" i="3"/>
  <c r="BB283" i="3"/>
  <c r="BC283" i="3"/>
  <c r="BD283" i="3"/>
  <c r="BE283" i="3"/>
  <c r="BF283" i="3"/>
  <c r="BG283" i="3"/>
  <c r="BH283" i="3"/>
  <c r="BI283" i="3"/>
  <c r="BJ283" i="3"/>
  <c r="BK283" i="3"/>
  <c r="BL283" i="3"/>
  <c r="BM283" i="3"/>
  <c r="AZ284" i="3"/>
  <c r="BA284" i="3"/>
  <c r="BB284" i="3"/>
  <c r="BC284" i="3"/>
  <c r="BD284" i="3"/>
  <c r="BE284" i="3"/>
  <c r="BF284" i="3"/>
  <c r="BG284" i="3"/>
  <c r="BH284" i="3"/>
  <c r="BI284" i="3"/>
  <c r="BJ284" i="3"/>
  <c r="BK284" i="3"/>
  <c r="BL284" i="3"/>
  <c r="BM284" i="3"/>
  <c r="AZ285" i="3"/>
  <c r="BA285" i="3"/>
  <c r="BB285" i="3"/>
  <c r="BC285" i="3"/>
  <c r="BD285" i="3"/>
  <c r="BE285" i="3"/>
  <c r="BF285" i="3"/>
  <c r="BG285" i="3"/>
  <c r="BH285" i="3"/>
  <c r="BI285" i="3"/>
  <c r="BJ285" i="3"/>
  <c r="BK285" i="3"/>
  <c r="BL285" i="3"/>
  <c r="BM285" i="3"/>
  <c r="AZ286" i="3"/>
  <c r="BA286" i="3"/>
  <c r="BB286" i="3"/>
  <c r="BC286" i="3"/>
  <c r="BD286" i="3"/>
  <c r="BE286" i="3"/>
  <c r="BF286" i="3"/>
  <c r="BG286" i="3"/>
  <c r="BH286" i="3"/>
  <c r="BI286" i="3"/>
  <c r="BJ286" i="3"/>
  <c r="BK286" i="3"/>
  <c r="BL286" i="3"/>
  <c r="BM286" i="3"/>
  <c r="AZ287" i="3"/>
  <c r="BA287" i="3"/>
  <c r="BB287" i="3"/>
  <c r="BC287" i="3"/>
  <c r="BD287" i="3"/>
  <c r="BE287" i="3"/>
  <c r="BF287" i="3"/>
  <c r="BG287" i="3"/>
  <c r="BH287" i="3"/>
  <c r="BI287" i="3"/>
  <c r="BJ287" i="3"/>
  <c r="BK287" i="3"/>
  <c r="BL287" i="3"/>
  <c r="BM287" i="3"/>
  <c r="AZ288" i="3"/>
  <c r="BA288" i="3"/>
  <c r="BB288" i="3"/>
  <c r="BC288" i="3"/>
  <c r="BD288" i="3"/>
  <c r="BE288" i="3"/>
  <c r="BF288" i="3"/>
  <c r="BG288" i="3"/>
  <c r="BH288" i="3"/>
  <c r="BI288" i="3"/>
  <c r="BJ288" i="3"/>
  <c r="BK288" i="3"/>
  <c r="BL288" i="3"/>
  <c r="BM288" i="3"/>
  <c r="AZ289" i="3"/>
  <c r="BA289" i="3"/>
  <c r="BB289" i="3"/>
  <c r="BC289" i="3"/>
  <c r="BD289" i="3"/>
  <c r="BE289" i="3"/>
  <c r="BF289" i="3"/>
  <c r="BG289" i="3"/>
  <c r="BH289" i="3"/>
  <c r="BI289" i="3"/>
  <c r="BJ289" i="3"/>
  <c r="BK289" i="3"/>
  <c r="BL289" i="3"/>
  <c r="BM289" i="3"/>
  <c r="AZ290" i="3"/>
  <c r="BA290" i="3"/>
  <c r="BB290" i="3"/>
  <c r="BC290" i="3"/>
  <c r="BD290" i="3"/>
  <c r="BE290" i="3"/>
  <c r="BF290" i="3"/>
  <c r="BG290" i="3"/>
  <c r="BH290" i="3"/>
  <c r="BI290" i="3"/>
  <c r="BJ290" i="3"/>
  <c r="BK290" i="3"/>
  <c r="BL290" i="3"/>
  <c r="BM290" i="3"/>
  <c r="AZ291" i="3"/>
  <c r="BA291" i="3"/>
  <c r="BB291" i="3"/>
  <c r="BC291" i="3"/>
  <c r="BD291" i="3"/>
  <c r="BE291" i="3"/>
  <c r="BF291" i="3"/>
  <c r="BG291" i="3"/>
  <c r="BH291" i="3"/>
  <c r="BI291" i="3"/>
  <c r="BJ291" i="3"/>
  <c r="BK291" i="3"/>
  <c r="BL291" i="3"/>
  <c r="BM291" i="3"/>
  <c r="AZ292" i="3"/>
  <c r="BA292" i="3"/>
  <c r="BB292" i="3"/>
  <c r="BC292" i="3"/>
  <c r="BD292" i="3"/>
  <c r="BE292" i="3"/>
  <c r="BF292" i="3"/>
  <c r="BG292" i="3"/>
  <c r="BH292" i="3"/>
  <c r="BI292" i="3"/>
  <c r="BJ292" i="3"/>
  <c r="BK292" i="3"/>
  <c r="BL292" i="3"/>
  <c r="BM292" i="3"/>
  <c r="AY284" i="3"/>
  <c r="AY285" i="3"/>
  <c r="AY286" i="3"/>
  <c r="AY287" i="3"/>
  <c r="AY288" i="3"/>
  <c r="AY289" i="3"/>
  <c r="AY290" i="3"/>
  <c r="AY291" i="3"/>
  <c r="AY292" i="3"/>
  <c r="AY283" i="3"/>
  <c r="AZ275" i="3"/>
  <c r="BA275" i="3"/>
  <c r="BB275" i="3"/>
  <c r="BC275" i="3"/>
  <c r="BD275" i="3"/>
  <c r="BE275" i="3"/>
  <c r="BF275" i="3"/>
  <c r="BG275" i="3"/>
  <c r="BH275" i="3"/>
  <c r="BI275" i="3"/>
  <c r="BJ275" i="3"/>
  <c r="BK275" i="3"/>
  <c r="BL275" i="3"/>
  <c r="BM275" i="3"/>
  <c r="AZ276" i="3"/>
  <c r="BA276" i="3"/>
  <c r="BB276" i="3"/>
  <c r="BC276" i="3"/>
  <c r="BD276" i="3"/>
  <c r="BE276" i="3"/>
  <c r="BF276" i="3"/>
  <c r="BG276" i="3"/>
  <c r="BH276" i="3"/>
  <c r="BI276" i="3"/>
  <c r="BJ276" i="3"/>
  <c r="BK276" i="3"/>
  <c r="BL276" i="3"/>
  <c r="BM276" i="3"/>
  <c r="AZ277" i="3"/>
  <c r="BA277" i="3"/>
  <c r="BB277" i="3"/>
  <c r="BC277" i="3"/>
  <c r="BD277" i="3"/>
  <c r="BE277" i="3"/>
  <c r="BF277" i="3"/>
  <c r="BG277" i="3"/>
  <c r="BH277" i="3"/>
  <c r="BI277" i="3"/>
  <c r="BJ277" i="3"/>
  <c r="BK277" i="3"/>
  <c r="BL277" i="3"/>
  <c r="BM277" i="3"/>
  <c r="AZ278" i="3"/>
  <c r="BA278" i="3"/>
  <c r="BB278" i="3"/>
  <c r="BC278" i="3"/>
  <c r="BD278" i="3"/>
  <c r="BE278" i="3"/>
  <c r="BF278" i="3"/>
  <c r="BG278" i="3"/>
  <c r="BH278" i="3"/>
  <c r="BI278" i="3"/>
  <c r="BJ278" i="3"/>
  <c r="BK278" i="3"/>
  <c r="BL278" i="3"/>
  <c r="BM278" i="3"/>
  <c r="AZ279" i="3"/>
  <c r="BA279" i="3"/>
  <c r="BB279" i="3"/>
  <c r="BC279" i="3"/>
  <c r="BD279" i="3"/>
  <c r="BE279" i="3"/>
  <c r="BF279" i="3"/>
  <c r="BG279" i="3"/>
  <c r="BH279" i="3"/>
  <c r="BI279" i="3"/>
  <c r="BJ279" i="3"/>
  <c r="BK279" i="3"/>
  <c r="BL279" i="3"/>
  <c r="BM279" i="3"/>
  <c r="AZ280" i="3"/>
  <c r="BA280" i="3"/>
  <c r="BB280" i="3"/>
  <c r="BC280" i="3"/>
  <c r="BD280" i="3"/>
  <c r="BE280" i="3"/>
  <c r="BF280" i="3"/>
  <c r="BG280" i="3"/>
  <c r="BH280" i="3"/>
  <c r="BI280" i="3"/>
  <c r="BJ280" i="3"/>
  <c r="BK280" i="3"/>
  <c r="BL280" i="3"/>
  <c r="BM280" i="3"/>
  <c r="AZ281" i="3"/>
  <c r="BA281" i="3"/>
  <c r="BB281" i="3"/>
  <c r="BC281" i="3"/>
  <c r="BD281" i="3"/>
  <c r="BE281" i="3"/>
  <c r="BF281" i="3"/>
  <c r="BG281" i="3"/>
  <c r="BH281" i="3"/>
  <c r="BI281" i="3"/>
  <c r="BJ281" i="3"/>
  <c r="BK281" i="3"/>
  <c r="BL281" i="3"/>
  <c r="BM281" i="3"/>
  <c r="AY276" i="3"/>
  <c r="AY277" i="3"/>
  <c r="AY278" i="3"/>
  <c r="AY279" i="3"/>
  <c r="AY280" i="3"/>
  <c r="AY281" i="3"/>
  <c r="AY275" i="3"/>
  <c r="AZ256" i="3"/>
  <c r="BA256" i="3"/>
  <c r="BB256" i="3"/>
  <c r="BC256" i="3"/>
  <c r="BD256" i="3"/>
  <c r="BE256" i="3"/>
  <c r="BF256" i="3"/>
  <c r="BG256" i="3"/>
  <c r="BH256" i="3"/>
  <c r="BI256" i="3"/>
  <c r="BJ256" i="3"/>
  <c r="BK256" i="3"/>
  <c r="BL256" i="3"/>
  <c r="BM256" i="3"/>
  <c r="AZ257" i="3"/>
  <c r="BA257" i="3"/>
  <c r="BB257" i="3"/>
  <c r="BC257" i="3"/>
  <c r="BD257" i="3"/>
  <c r="BE257" i="3"/>
  <c r="BF257" i="3"/>
  <c r="BG257" i="3"/>
  <c r="BH257" i="3"/>
  <c r="BI257" i="3"/>
  <c r="BJ257" i="3"/>
  <c r="BK257" i="3"/>
  <c r="BL257" i="3"/>
  <c r="BM257" i="3"/>
  <c r="AZ258" i="3"/>
  <c r="BA258" i="3"/>
  <c r="BB258" i="3"/>
  <c r="BC258" i="3"/>
  <c r="BD258" i="3"/>
  <c r="BE258" i="3"/>
  <c r="BF258" i="3"/>
  <c r="BG258" i="3"/>
  <c r="BH258" i="3"/>
  <c r="BI258" i="3"/>
  <c r="BJ258" i="3"/>
  <c r="BK258" i="3"/>
  <c r="BL258" i="3"/>
  <c r="BM258" i="3"/>
  <c r="AZ259" i="3"/>
  <c r="BA259" i="3"/>
  <c r="BB259" i="3"/>
  <c r="BC259" i="3"/>
  <c r="BD259" i="3"/>
  <c r="BE259" i="3"/>
  <c r="BF259" i="3"/>
  <c r="BG259" i="3"/>
  <c r="BH259" i="3"/>
  <c r="BI259" i="3"/>
  <c r="BJ259" i="3"/>
  <c r="BK259" i="3"/>
  <c r="BL259" i="3"/>
  <c r="BM259" i="3"/>
  <c r="AZ260" i="3"/>
  <c r="BA260" i="3"/>
  <c r="BB260" i="3"/>
  <c r="BC260" i="3"/>
  <c r="BD260" i="3"/>
  <c r="BE260" i="3"/>
  <c r="BF260" i="3"/>
  <c r="BG260" i="3"/>
  <c r="BH260" i="3"/>
  <c r="BI260" i="3"/>
  <c r="BJ260" i="3"/>
  <c r="BK260" i="3"/>
  <c r="BL260" i="3"/>
  <c r="BM260" i="3"/>
  <c r="AZ261" i="3"/>
  <c r="BA261" i="3"/>
  <c r="BB261" i="3"/>
  <c r="BC261" i="3"/>
  <c r="BD261" i="3"/>
  <c r="BE261" i="3"/>
  <c r="BF261" i="3"/>
  <c r="BG261" i="3"/>
  <c r="BH261" i="3"/>
  <c r="BI261" i="3"/>
  <c r="BJ261" i="3"/>
  <c r="BK261" i="3"/>
  <c r="BL261" i="3"/>
  <c r="BM261" i="3"/>
  <c r="AZ262" i="3"/>
  <c r="BA262" i="3"/>
  <c r="BB262" i="3"/>
  <c r="BC262" i="3"/>
  <c r="BD262" i="3"/>
  <c r="BE262" i="3"/>
  <c r="BF262" i="3"/>
  <c r="BG262" i="3"/>
  <c r="BH262" i="3"/>
  <c r="BI262" i="3"/>
  <c r="BJ262" i="3"/>
  <c r="BK262" i="3"/>
  <c r="BL262" i="3"/>
  <c r="BM262" i="3"/>
  <c r="AZ263" i="3"/>
  <c r="BA263" i="3"/>
  <c r="BB263" i="3"/>
  <c r="BC263" i="3"/>
  <c r="BD263" i="3"/>
  <c r="BE263" i="3"/>
  <c r="BF263" i="3"/>
  <c r="BG263" i="3"/>
  <c r="BH263" i="3"/>
  <c r="BI263" i="3"/>
  <c r="BJ263" i="3"/>
  <c r="BK263" i="3"/>
  <c r="BL263" i="3"/>
  <c r="BM263" i="3"/>
  <c r="AZ264" i="3"/>
  <c r="BA264" i="3"/>
  <c r="BB264" i="3"/>
  <c r="BC264" i="3"/>
  <c r="BD264" i="3"/>
  <c r="BE264" i="3"/>
  <c r="BF264" i="3"/>
  <c r="BG264" i="3"/>
  <c r="BH264" i="3"/>
  <c r="BI264" i="3"/>
  <c r="BJ264" i="3"/>
  <c r="BK264" i="3"/>
  <c r="BL264" i="3"/>
  <c r="BM264" i="3"/>
  <c r="AZ265" i="3"/>
  <c r="BA265" i="3"/>
  <c r="BB265" i="3"/>
  <c r="BC265" i="3"/>
  <c r="BD265" i="3"/>
  <c r="BE265" i="3"/>
  <c r="BF265" i="3"/>
  <c r="BG265" i="3"/>
  <c r="BH265" i="3"/>
  <c r="BI265" i="3"/>
  <c r="BJ265" i="3"/>
  <c r="BK265" i="3"/>
  <c r="BL265" i="3"/>
  <c r="BM265" i="3"/>
  <c r="AY257" i="3"/>
  <c r="AY258" i="3"/>
  <c r="AY259" i="3"/>
  <c r="AY260" i="3"/>
  <c r="AY261" i="3"/>
  <c r="AY262" i="3"/>
  <c r="AY263" i="3"/>
  <c r="AY264" i="3"/>
  <c r="AY265" i="3"/>
  <c r="AY256" i="3"/>
  <c r="AZ245" i="3"/>
  <c r="BA245" i="3"/>
  <c r="BB245" i="3"/>
  <c r="BC245" i="3"/>
  <c r="BD245" i="3"/>
  <c r="BE245" i="3"/>
  <c r="BF245" i="3"/>
  <c r="BG245" i="3"/>
  <c r="BH245" i="3"/>
  <c r="BI245" i="3"/>
  <c r="BJ245" i="3"/>
  <c r="BK245" i="3"/>
  <c r="BL245" i="3"/>
  <c r="BM245" i="3"/>
  <c r="AZ246" i="3"/>
  <c r="BA246" i="3"/>
  <c r="BB246" i="3"/>
  <c r="BC246" i="3"/>
  <c r="BD246" i="3"/>
  <c r="BE246" i="3"/>
  <c r="BF246" i="3"/>
  <c r="BG246" i="3"/>
  <c r="BH246" i="3"/>
  <c r="BI246" i="3"/>
  <c r="BJ246" i="3"/>
  <c r="BK246" i="3"/>
  <c r="BL246" i="3"/>
  <c r="BM246" i="3"/>
  <c r="AZ247" i="3"/>
  <c r="BA247" i="3"/>
  <c r="BB247" i="3"/>
  <c r="BC247" i="3"/>
  <c r="BD247" i="3"/>
  <c r="BE247" i="3"/>
  <c r="BF247" i="3"/>
  <c r="BG247" i="3"/>
  <c r="BH247" i="3"/>
  <c r="BI247" i="3"/>
  <c r="BJ247" i="3"/>
  <c r="BK247" i="3"/>
  <c r="BL247" i="3"/>
  <c r="BM247" i="3"/>
  <c r="AZ248" i="3"/>
  <c r="BA248" i="3"/>
  <c r="BB248" i="3"/>
  <c r="BC248" i="3"/>
  <c r="BD248" i="3"/>
  <c r="BE248" i="3"/>
  <c r="BF248" i="3"/>
  <c r="BG248" i="3"/>
  <c r="BH248" i="3"/>
  <c r="BI248" i="3"/>
  <c r="BJ248" i="3"/>
  <c r="BK248" i="3"/>
  <c r="BL248" i="3"/>
  <c r="BM248" i="3"/>
  <c r="AZ249" i="3"/>
  <c r="BA249" i="3"/>
  <c r="BB249" i="3"/>
  <c r="BC249" i="3"/>
  <c r="BD249" i="3"/>
  <c r="BE249" i="3"/>
  <c r="BF249" i="3"/>
  <c r="BG249" i="3"/>
  <c r="BH249" i="3"/>
  <c r="BI249" i="3"/>
  <c r="BJ249" i="3"/>
  <c r="BK249" i="3"/>
  <c r="BL249" i="3"/>
  <c r="BM249" i="3"/>
  <c r="AZ250" i="3"/>
  <c r="BA250" i="3"/>
  <c r="BB250" i="3"/>
  <c r="BC250" i="3"/>
  <c r="BD250" i="3"/>
  <c r="BE250" i="3"/>
  <c r="BF250" i="3"/>
  <c r="BG250" i="3"/>
  <c r="BH250" i="3"/>
  <c r="BI250" i="3"/>
  <c r="BJ250" i="3"/>
  <c r="BK250" i="3"/>
  <c r="BL250" i="3"/>
  <c r="BM250" i="3"/>
  <c r="AZ251" i="3"/>
  <c r="BA251" i="3"/>
  <c r="BB251" i="3"/>
  <c r="BC251" i="3"/>
  <c r="BD251" i="3"/>
  <c r="BE251" i="3"/>
  <c r="BF251" i="3"/>
  <c r="BG251" i="3"/>
  <c r="BH251" i="3"/>
  <c r="BI251" i="3"/>
  <c r="BJ251" i="3"/>
  <c r="BK251" i="3"/>
  <c r="BL251" i="3"/>
  <c r="BM251" i="3"/>
  <c r="AZ252" i="3"/>
  <c r="BA252" i="3"/>
  <c r="BB252" i="3"/>
  <c r="BC252" i="3"/>
  <c r="BD252" i="3"/>
  <c r="BE252" i="3"/>
  <c r="BF252" i="3"/>
  <c r="BG252" i="3"/>
  <c r="BH252" i="3"/>
  <c r="BI252" i="3"/>
  <c r="BJ252" i="3"/>
  <c r="BK252" i="3"/>
  <c r="BL252" i="3"/>
  <c r="BM252" i="3"/>
  <c r="AZ253" i="3"/>
  <c r="BA253" i="3"/>
  <c r="BB253" i="3"/>
  <c r="BC253" i="3"/>
  <c r="BD253" i="3"/>
  <c r="BE253" i="3"/>
  <c r="BF253" i="3"/>
  <c r="BG253" i="3"/>
  <c r="BH253" i="3"/>
  <c r="BI253" i="3"/>
  <c r="BJ253" i="3"/>
  <c r="BK253" i="3"/>
  <c r="BL253" i="3"/>
  <c r="BM253" i="3"/>
  <c r="AZ254" i="3"/>
  <c r="BA254" i="3"/>
  <c r="BB254" i="3"/>
  <c r="BC254" i="3"/>
  <c r="BD254" i="3"/>
  <c r="BE254" i="3"/>
  <c r="BF254" i="3"/>
  <c r="BG254" i="3"/>
  <c r="BH254" i="3"/>
  <c r="BI254" i="3"/>
  <c r="BJ254" i="3"/>
  <c r="BK254" i="3"/>
  <c r="BL254" i="3"/>
  <c r="BM254" i="3"/>
  <c r="AY246" i="3"/>
  <c r="AY247" i="3"/>
  <c r="AY248" i="3"/>
  <c r="AY249" i="3"/>
  <c r="AY250" i="3"/>
  <c r="AY251" i="3"/>
  <c r="AY252" i="3"/>
  <c r="AY253" i="3"/>
  <c r="AY254" i="3"/>
  <c r="AY245" i="3"/>
  <c r="AZ237" i="3"/>
  <c r="BA237" i="3"/>
  <c r="BB237" i="3"/>
  <c r="BC237" i="3"/>
  <c r="BD237" i="3"/>
  <c r="BE237" i="3"/>
  <c r="BF237" i="3"/>
  <c r="BG237" i="3"/>
  <c r="BH237" i="3"/>
  <c r="BI237" i="3"/>
  <c r="BJ237" i="3"/>
  <c r="BK237" i="3"/>
  <c r="BL237" i="3"/>
  <c r="BM237" i="3"/>
  <c r="AZ238" i="3"/>
  <c r="BA238" i="3"/>
  <c r="BB238" i="3"/>
  <c r="BC238" i="3"/>
  <c r="BD238" i="3"/>
  <c r="BE238" i="3"/>
  <c r="BF238" i="3"/>
  <c r="BG238" i="3"/>
  <c r="BH238" i="3"/>
  <c r="BI238" i="3"/>
  <c r="BJ238" i="3"/>
  <c r="BK238" i="3"/>
  <c r="BL238" i="3"/>
  <c r="BM238" i="3"/>
  <c r="AZ239" i="3"/>
  <c r="BA239" i="3"/>
  <c r="BB239" i="3"/>
  <c r="BC239" i="3"/>
  <c r="BD239" i="3"/>
  <c r="BE239" i="3"/>
  <c r="BF239" i="3"/>
  <c r="BG239" i="3"/>
  <c r="BH239" i="3"/>
  <c r="BI239" i="3"/>
  <c r="BJ239" i="3"/>
  <c r="BK239" i="3"/>
  <c r="BL239" i="3"/>
  <c r="BM239" i="3"/>
  <c r="AZ240" i="3"/>
  <c r="BA240" i="3"/>
  <c r="BB240" i="3"/>
  <c r="BC240" i="3"/>
  <c r="BD240" i="3"/>
  <c r="BE240" i="3"/>
  <c r="BF240" i="3"/>
  <c r="BG240" i="3"/>
  <c r="BH240" i="3"/>
  <c r="BI240" i="3"/>
  <c r="BJ240" i="3"/>
  <c r="BK240" i="3"/>
  <c r="BL240" i="3"/>
  <c r="BM240" i="3"/>
  <c r="AZ241" i="3"/>
  <c r="BA241" i="3"/>
  <c r="BB241" i="3"/>
  <c r="BC241" i="3"/>
  <c r="BD241" i="3"/>
  <c r="BE241" i="3"/>
  <c r="BF241" i="3"/>
  <c r="BG241" i="3"/>
  <c r="BH241" i="3"/>
  <c r="BI241" i="3"/>
  <c r="BJ241" i="3"/>
  <c r="BK241" i="3"/>
  <c r="BL241" i="3"/>
  <c r="BM241" i="3"/>
  <c r="AZ242" i="3"/>
  <c r="BA242" i="3"/>
  <c r="BB242" i="3"/>
  <c r="BC242" i="3"/>
  <c r="BD242" i="3"/>
  <c r="BE242" i="3"/>
  <c r="BF242" i="3"/>
  <c r="BG242" i="3"/>
  <c r="BH242" i="3"/>
  <c r="BI242" i="3"/>
  <c r="BJ242" i="3"/>
  <c r="BK242" i="3"/>
  <c r="BL242" i="3"/>
  <c r="BM242" i="3"/>
  <c r="AZ243" i="3"/>
  <c r="BA243" i="3"/>
  <c r="BB243" i="3"/>
  <c r="BC243" i="3"/>
  <c r="BD243" i="3"/>
  <c r="BE243" i="3"/>
  <c r="BF243" i="3"/>
  <c r="BG243" i="3"/>
  <c r="BH243" i="3"/>
  <c r="BI243" i="3"/>
  <c r="BJ243" i="3"/>
  <c r="BK243" i="3"/>
  <c r="BL243" i="3"/>
  <c r="BM243" i="3"/>
  <c r="AY238" i="3"/>
  <c r="AY239" i="3"/>
  <c r="AY240" i="3"/>
  <c r="AY241" i="3"/>
  <c r="AY242" i="3"/>
  <c r="AY243" i="3"/>
  <c r="AY237" i="3"/>
  <c r="AZ226" i="3" l="1"/>
  <c r="BA226" i="3"/>
  <c r="BC226" i="3"/>
  <c r="BD226" i="3"/>
  <c r="BE226" i="3"/>
  <c r="BF226" i="3"/>
  <c r="BG226" i="3"/>
  <c r="BH226" i="3"/>
  <c r="BI226" i="3"/>
  <c r="BJ226" i="3"/>
  <c r="BK226" i="3"/>
  <c r="BL226" i="3"/>
  <c r="BM226" i="3"/>
  <c r="AZ227" i="3"/>
  <c r="BA227" i="3"/>
  <c r="BC227" i="3"/>
  <c r="BD227" i="3"/>
  <c r="BE227" i="3"/>
  <c r="BF227" i="3"/>
  <c r="BG227" i="3"/>
  <c r="BH227" i="3"/>
  <c r="BI227" i="3"/>
  <c r="BJ227" i="3"/>
  <c r="BK227" i="3"/>
  <c r="BL227" i="3"/>
  <c r="BM227" i="3"/>
  <c r="AZ228" i="3"/>
  <c r="BA228" i="3"/>
  <c r="BB228" i="3"/>
  <c r="BC228" i="3"/>
  <c r="BD228" i="3"/>
  <c r="BE228" i="3"/>
  <c r="BF228" i="3"/>
  <c r="BG228" i="3"/>
  <c r="BH228" i="3"/>
  <c r="BI228" i="3"/>
  <c r="BJ228" i="3"/>
  <c r="BK228" i="3"/>
  <c r="BL228" i="3"/>
  <c r="BM228" i="3"/>
  <c r="AZ229" i="3"/>
  <c r="BA229" i="3"/>
  <c r="BB229" i="3"/>
  <c r="BC229" i="3"/>
  <c r="BD229" i="3"/>
  <c r="BE229" i="3"/>
  <c r="BF229" i="3"/>
  <c r="BG229" i="3"/>
  <c r="BH229" i="3"/>
  <c r="BI229" i="3"/>
  <c r="BJ229" i="3"/>
  <c r="BK229" i="3"/>
  <c r="BL229" i="3"/>
  <c r="BM229" i="3"/>
  <c r="AZ230" i="3"/>
  <c r="BA230" i="3"/>
  <c r="BB230" i="3"/>
  <c r="BC230" i="3"/>
  <c r="BD230" i="3"/>
  <c r="BE230" i="3"/>
  <c r="BF230" i="3"/>
  <c r="BG230" i="3"/>
  <c r="BH230" i="3"/>
  <c r="BI230" i="3"/>
  <c r="BJ230" i="3"/>
  <c r="BK230" i="3"/>
  <c r="BL230" i="3"/>
  <c r="BM230" i="3"/>
  <c r="AZ231" i="3"/>
  <c r="BA231" i="3"/>
  <c r="BB231" i="3"/>
  <c r="BC231" i="3"/>
  <c r="BD231" i="3"/>
  <c r="BE231" i="3"/>
  <c r="BF231" i="3"/>
  <c r="BG231" i="3"/>
  <c r="BH231" i="3"/>
  <c r="BI231" i="3"/>
  <c r="BJ231" i="3"/>
  <c r="BK231" i="3"/>
  <c r="BL231" i="3"/>
  <c r="BM231" i="3"/>
  <c r="AZ232" i="3"/>
  <c r="BA232" i="3"/>
  <c r="BB232" i="3"/>
  <c r="BC232" i="3"/>
  <c r="BD232" i="3"/>
  <c r="BE232" i="3"/>
  <c r="BF232" i="3"/>
  <c r="BG232" i="3"/>
  <c r="BH232" i="3"/>
  <c r="BI232" i="3"/>
  <c r="BJ232" i="3"/>
  <c r="BK232" i="3"/>
  <c r="BL232" i="3"/>
  <c r="BM232" i="3"/>
  <c r="AZ233" i="3"/>
  <c r="BA233" i="3"/>
  <c r="BB233" i="3"/>
  <c r="BC233" i="3"/>
  <c r="BD233" i="3"/>
  <c r="BE233" i="3"/>
  <c r="BF233" i="3"/>
  <c r="BG233" i="3"/>
  <c r="BH233" i="3"/>
  <c r="BI233" i="3"/>
  <c r="BJ233" i="3"/>
  <c r="BK233" i="3"/>
  <c r="BL233" i="3"/>
  <c r="BM233" i="3"/>
  <c r="AZ234" i="3"/>
  <c r="BA234" i="3"/>
  <c r="BB234" i="3"/>
  <c r="BC234" i="3"/>
  <c r="BD234" i="3"/>
  <c r="BE234" i="3"/>
  <c r="BF234" i="3"/>
  <c r="BG234" i="3"/>
  <c r="BH234" i="3"/>
  <c r="BI234" i="3"/>
  <c r="BJ234" i="3"/>
  <c r="BK234" i="3"/>
  <c r="BL234" i="3"/>
  <c r="BM234" i="3"/>
  <c r="AZ235" i="3"/>
  <c r="BA235" i="3"/>
  <c r="BB235" i="3"/>
  <c r="BC235" i="3"/>
  <c r="BD235" i="3"/>
  <c r="BE235" i="3"/>
  <c r="BF235" i="3"/>
  <c r="BG235" i="3"/>
  <c r="BH235" i="3"/>
  <c r="BI235" i="3"/>
  <c r="BJ235" i="3"/>
  <c r="BK235" i="3"/>
  <c r="BL235" i="3"/>
  <c r="BM235" i="3"/>
  <c r="AY227" i="3"/>
  <c r="AY228" i="3"/>
  <c r="AY229" i="3"/>
  <c r="AY230" i="3"/>
  <c r="AY231" i="3"/>
  <c r="AY232" i="3"/>
  <c r="AY233" i="3"/>
  <c r="AY234" i="3"/>
  <c r="AY235" i="3"/>
  <c r="AY226" i="3"/>
  <c r="AZ218" i="3"/>
  <c r="BA218" i="3"/>
  <c r="BB218" i="3"/>
  <c r="BC218" i="3"/>
  <c r="BD218" i="3"/>
  <c r="BE218" i="3"/>
  <c r="BF218" i="3"/>
  <c r="BG218" i="3"/>
  <c r="BH218" i="3"/>
  <c r="BI218" i="3"/>
  <c r="BJ218" i="3"/>
  <c r="BK218" i="3"/>
  <c r="BL218" i="3"/>
  <c r="BM218" i="3"/>
  <c r="AZ219" i="3"/>
  <c r="BA219" i="3"/>
  <c r="BB219" i="3"/>
  <c r="BC219" i="3"/>
  <c r="BD219" i="3"/>
  <c r="BE219" i="3"/>
  <c r="BF219" i="3"/>
  <c r="BG219" i="3"/>
  <c r="BH219" i="3"/>
  <c r="BI219" i="3"/>
  <c r="BJ219" i="3"/>
  <c r="BK219" i="3"/>
  <c r="BL219" i="3"/>
  <c r="BM219" i="3"/>
  <c r="AZ220" i="3"/>
  <c r="BA220" i="3"/>
  <c r="BB220" i="3"/>
  <c r="BC220" i="3"/>
  <c r="BD220" i="3"/>
  <c r="BE220" i="3"/>
  <c r="BF220" i="3"/>
  <c r="BG220" i="3"/>
  <c r="BH220" i="3"/>
  <c r="BI220" i="3"/>
  <c r="BJ220" i="3"/>
  <c r="BK220" i="3"/>
  <c r="BL220" i="3"/>
  <c r="BM220" i="3"/>
  <c r="AZ221" i="3"/>
  <c r="BA221" i="3"/>
  <c r="BB221" i="3"/>
  <c r="BC221" i="3"/>
  <c r="BD221" i="3"/>
  <c r="BE221" i="3"/>
  <c r="BF221" i="3"/>
  <c r="BG221" i="3"/>
  <c r="BH221" i="3"/>
  <c r="BI221" i="3"/>
  <c r="BJ221" i="3"/>
  <c r="BK221" i="3"/>
  <c r="BL221" i="3"/>
  <c r="BM221" i="3"/>
  <c r="AZ222" i="3"/>
  <c r="BA222" i="3"/>
  <c r="BB222" i="3"/>
  <c r="BC222" i="3"/>
  <c r="BD222" i="3"/>
  <c r="BE222" i="3"/>
  <c r="BF222" i="3"/>
  <c r="BG222" i="3"/>
  <c r="BH222" i="3"/>
  <c r="BI222" i="3"/>
  <c r="BJ222" i="3"/>
  <c r="BK222" i="3"/>
  <c r="BL222" i="3"/>
  <c r="BM222" i="3"/>
  <c r="AZ223" i="3"/>
  <c r="BA223" i="3"/>
  <c r="BB223" i="3"/>
  <c r="BC223" i="3"/>
  <c r="BD223" i="3"/>
  <c r="BE223" i="3"/>
  <c r="BF223" i="3"/>
  <c r="BG223" i="3"/>
  <c r="BH223" i="3"/>
  <c r="BI223" i="3"/>
  <c r="BJ223" i="3"/>
  <c r="BK223" i="3"/>
  <c r="BL223" i="3"/>
  <c r="BM223" i="3"/>
  <c r="AZ224" i="3"/>
  <c r="BA224" i="3"/>
  <c r="BB224" i="3"/>
  <c r="BC224" i="3"/>
  <c r="BD224" i="3"/>
  <c r="BE224" i="3"/>
  <c r="BF224" i="3"/>
  <c r="BG224" i="3"/>
  <c r="BH224" i="3"/>
  <c r="BI224" i="3"/>
  <c r="BJ224" i="3"/>
  <c r="BK224" i="3"/>
  <c r="BL224" i="3"/>
  <c r="BM224" i="3"/>
  <c r="AY219" i="3"/>
  <c r="AY220" i="3"/>
  <c r="AY221" i="3"/>
  <c r="AY222" i="3"/>
  <c r="AY223" i="3"/>
  <c r="AY224" i="3"/>
  <c r="AY218" i="3"/>
  <c r="BL160" i="3" l="1"/>
  <c r="BK160" i="3"/>
  <c r="BI160" i="3"/>
  <c r="BH160" i="3"/>
  <c r="BF160" i="3"/>
  <c r="BE160" i="3"/>
  <c r="BC160" i="3"/>
  <c r="BB160" i="3"/>
  <c r="AZ160" i="3"/>
  <c r="AY136" i="3"/>
  <c r="BL158" i="3"/>
  <c r="BK158" i="3"/>
  <c r="BI158" i="3"/>
  <c r="BH158" i="3"/>
  <c r="BF158" i="3"/>
  <c r="BE158" i="3"/>
  <c r="BC158" i="3"/>
  <c r="AZ158" i="3"/>
  <c r="AY158" i="3"/>
  <c r="AY134" i="3"/>
  <c r="BL157" i="3"/>
  <c r="BK157" i="3"/>
  <c r="BI157" i="3"/>
  <c r="BH157" i="3"/>
  <c r="BF157" i="3"/>
  <c r="BE157" i="3"/>
  <c r="BC157" i="3"/>
  <c r="AZ157" i="3"/>
  <c r="AY157" i="3"/>
  <c r="AY133" i="3"/>
  <c r="AY132" i="3"/>
  <c r="AY108" i="3"/>
  <c r="BL154" i="3"/>
  <c r="BL156" i="3"/>
  <c r="BK156" i="3"/>
  <c r="BI156" i="3"/>
  <c r="BH156" i="3"/>
  <c r="BF156" i="3"/>
  <c r="BE156" i="3"/>
  <c r="BC156" i="3"/>
  <c r="BB156" i="3"/>
  <c r="AZ156" i="3"/>
  <c r="BK154" i="3"/>
  <c r="BI154" i="3"/>
  <c r="BH154" i="3"/>
  <c r="BF154" i="3"/>
  <c r="BE154" i="3"/>
  <c r="BC154" i="3"/>
  <c r="BB154" i="3"/>
  <c r="AZ154" i="3"/>
  <c r="AY130" i="3"/>
  <c r="AZ152" i="3"/>
  <c r="AY128" i="3"/>
  <c r="AY122" i="3"/>
  <c r="AZ150" i="3"/>
  <c r="AZ149" i="3"/>
  <c r="AY125" i="3"/>
  <c r="AZ148" i="3"/>
  <c r="BL146" i="3"/>
  <c r="BK146" i="3"/>
  <c r="BI146" i="3"/>
  <c r="BH146" i="3"/>
  <c r="BF146" i="3"/>
  <c r="BE146" i="3"/>
  <c r="BC146" i="3"/>
  <c r="BB146" i="3"/>
  <c r="AZ146" i="3"/>
  <c r="BL136" i="3"/>
  <c r="BK136" i="3"/>
  <c r="BL134" i="3"/>
  <c r="BK134" i="3"/>
  <c r="BI136" i="3" l="1"/>
  <c r="BH136" i="3"/>
  <c r="BF136" i="3"/>
  <c r="BE136" i="3"/>
  <c r="BC136" i="3"/>
  <c r="BB136" i="3"/>
  <c r="AZ136" i="3"/>
  <c r="AY112" i="3"/>
  <c r="BI134" i="3"/>
  <c r="BH134" i="3"/>
  <c r="BF134" i="3"/>
  <c r="BE134" i="3"/>
  <c r="BC134" i="3"/>
  <c r="BB134" i="3"/>
  <c r="AZ134" i="3"/>
  <c r="AY110" i="3"/>
  <c r="BL133" i="3"/>
  <c r="BK133" i="3"/>
  <c r="BI133" i="3"/>
  <c r="BH133" i="3"/>
  <c r="BF133" i="3"/>
  <c r="BE133" i="3"/>
  <c r="BC133" i="3"/>
  <c r="BB133" i="3"/>
  <c r="AZ133" i="3"/>
  <c r="AY109" i="3"/>
  <c r="BL132" i="3"/>
  <c r="BK132" i="3"/>
  <c r="BI132" i="3"/>
  <c r="BH132" i="3"/>
  <c r="BF132" i="3"/>
  <c r="BE132" i="3"/>
  <c r="BC132" i="3"/>
  <c r="BB132" i="3"/>
  <c r="AZ132" i="3"/>
  <c r="BL130" i="3"/>
  <c r="BK130" i="3"/>
  <c r="BI130" i="3"/>
  <c r="BH130" i="3"/>
  <c r="BF130" i="3"/>
  <c r="BE130" i="3"/>
  <c r="BC130" i="3"/>
  <c r="BB130" i="3"/>
  <c r="AZ130" i="3"/>
  <c r="AY106" i="3"/>
  <c r="BL128" i="3"/>
  <c r="BK128" i="3"/>
  <c r="BI128" i="3"/>
  <c r="BH128" i="3"/>
  <c r="BF128" i="3"/>
  <c r="BE128" i="3"/>
  <c r="BC128" i="3"/>
  <c r="BB128" i="3"/>
  <c r="AZ128" i="3"/>
  <c r="AY104" i="3"/>
  <c r="BL126" i="3"/>
  <c r="BK126" i="3"/>
  <c r="BI126" i="3"/>
  <c r="BH126" i="3"/>
  <c r="BF126" i="3"/>
  <c r="BE126" i="3"/>
  <c r="BC126" i="3"/>
  <c r="BB126" i="3"/>
  <c r="AZ126" i="3"/>
  <c r="AY126" i="3"/>
  <c r="AY102" i="3"/>
  <c r="BL125" i="3"/>
  <c r="BK125" i="3"/>
  <c r="BI125" i="3"/>
  <c r="BH125" i="3"/>
  <c r="BF125" i="3"/>
  <c r="BE125" i="3"/>
  <c r="BC125" i="3"/>
  <c r="BB125" i="3"/>
  <c r="AZ125" i="3"/>
  <c r="AY101" i="3"/>
  <c r="BL124" i="3"/>
  <c r="BK124" i="3"/>
  <c r="BI124" i="3"/>
  <c r="BH124" i="3"/>
  <c r="BF124" i="3"/>
  <c r="BE124" i="3"/>
  <c r="BC124" i="3"/>
  <c r="BB124" i="3"/>
  <c r="AZ124" i="3"/>
  <c r="AY124" i="3"/>
  <c r="AY100" i="3"/>
  <c r="BL122" i="3"/>
  <c r="BK122" i="3"/>
  <c r="BI122" i="3"/>
  <c r="BH122" i="3"/>
  <c r="BF122" i="3"/>
  <c r="BE122" i="3"/>
  <c r="BC122" i="3"/>
  <c r="BB122" i="3"/>
  <c r="AZ122" i="3"/>
  <c r="AZ112" i="3" l="1"/>
  <c r="BA112" i="3"/>
  <c r="BB112" i="3"/>
  <c r="BC112" i="3"/>
  <c r="BD112" i="3"/>
  <c r="BE112" i="3"/>
  <c r="BF112" i="3"/>
  <c r="BG112" i="3"/>
  <c r="BH112" i="3"/>
  <c r="BI112" i="3"/>
  <c r="BJ112" i="3"/>
  <c r="BK112" i="3"/>
  <c r="BL112" i="3"/>
  <c r="BM112" i="3"/>
  <c r="AZ108" i="3"/>
  <c r="BA108" i="3"/>
  <c r="BB108" i="3"/>
  <c r="BC108" i="3"/>
  <c r="BD108" i="3"/>
  <c r="BE108" i="3"/>
  <c r="BF108" i="3"/>
  <c r="BG108" i="3"/>
  <c r="BH108" i="3"/>
  <c r="BI108" i="3"/>
  <c r="BJ108" i="3"/>
  <c r="BK108" i="3"/>
  <c r="BL108" i="3"/>
  <c r="BM108" i="3"/>
  <c r="AZ109" i="3"/>
  <c r="BA109" i="3"/>
  <c r="BB109" i="3"/>
  <c r="BC109" i="3"/>
  <c r="BD109" i="3"/>
  <c r="BE109" i="3"/>
  <c r="BF109" i="3"/>
  <c r="BG109" i="3"/>
  <c r="BH109" i="3"/>
  <c r="BI109" i="3"/>
  <c r="BJ109" i="3"/>
  <c r="BK109" i="3"/>
  <c r="BL109" i="3"/>
  <c r="BM109" i="3"/>
  <c r="AZ110" i="3"/>
  <c r="BA110" i="3"/>
  <c r="BB110" i="3"/>
  <c r="BC110" i="3"/>
  <c r="BD110" i="3"/>
  <c r="BE110" i="3"/>
  <c r="BF110" i="3"/>
  <c r="BG110" i="3"/>
  <c r="BH110" i="3"/>
  <c r="BI110" i="3"/>
  <c r="BJ110" i="3"/>
  <c r="BK110" i="3"/>
  <c r="BL110" i="3"/>
  <c r="BM110" i="3"/>
  <c r="AZ106" i="3"/>
  <c r="BA106" i="3"/>
  <c r="BB106" i="3"/>
  <c r="BC106" i="3"/>
  <c r="BD106" i="3"/>
  <c r="BE106" i="3"/>
  <c r="BF106" i="3"/>
  <c r="BG106" i="3"/>
  <c r="BH106" i="3"/>
  <c r="BI106" i="3"/>
  <c r="BJ106" i="3"/>
  <c r="BK106" i="3"/>
  <c r="BL106" i="3"/>
  <c r="BM106" i="3"/>
  <c r="AZ104" i="3"/>
  <c r="BA104" i="3"/>
  <c r="BB104" i="3"/>
  <c r="BC104" i="3"/>
  <c r="BD104" i="3"/>
  <c r="BE104" i="3"/>
  <c r="BF104" i="3"/>
  <c r="BG104" i="3"/>
  <c r="BH104" i="3"/>
  <c r="BI104" i="3"/>
  <c r="BJ104" i="3"/>
  <c r="BK104" i="3"/>
  <c r="BL104" i="3"/>
  <c r="BM104" i="3"/>
  <c r="AZ100" i="3"/>
  <c r="BA100" i="3"/>
  <c r="BB100" i="3"/>
  <c r="BC100" i="3"/>
  <c r="BD100" i="3"/>
  <c r="BE100" i="3"/>
  <c r="BF100" i="3"/>
  <c r="BG100" i="3"/>
  <c r="BH100" i="3"/>
  <c r="BI100" i="3"/>
  <c r="BJ100" i="3"/>
  <c r="BK100" i="3"/>
  <c r="BL100" i="3"/>
  <c r="BM100" i="3"/>
  <c r="AZ101" i="3"/>
  <c r="BA101" i="3"/>
  <c r="BB101" i="3"/>
  <c r="BC101" i="3"/>
  <c r="BD101" i="3"/>
  <c r="BE101" i="3"/>
  <c r="BF101" i="3"/>
  <c r="BG101" i="3"/>
  <c r="BH101" i="3"/>
  <c r="BI101" i="3"/>
  <c r="BJ101" i="3"/>
  <c r="BK101" i="3"/>
  <c r="BL101" i="3"/>
  <c r="BM101" i="3"/>
  <c r="AZ102" i="3"/>
  <c r="BA102" i="3"/>
  <c r="BB102" i="3"/>
  <c r="BC102" i="3"/>
  <c r="BD102" i="3"/>
  <c r="BE102" i="3"/>
  <c r="BF102" i="3"/>
  <c r="BG102" i="3"/>
  <c r="BH102" i="3"/>
  <c r="BI102" i="3"/>
  <c r="BJ102" i="3"/>
  <c r="BK102" i="3"/>
  <c r="BL102" i="3"/>
  <c r="BM102" i="3"/>
  <c r="AZ98" i="3"/>
  <c r="BA98" i="3"/>
  <c r="BB98" i="3"/>
  <c r="BC98" i="3"/>
  <c r="BD98" i="3"/>
  <c r="BE98" i="3"/>
  <c r="BF98" i="3"/>
  <c r="BG98" i="3"/>
  <c r="BH98" i="3"/>
  <c r="BI98" i="3"/>
  <c r="BJ98" i="3"/>
  <c r="BK98" i="3"/>
  <c r="BL98" i="3"/>
  <c r="BM98" i="3"/>
  <c r="AC82" i="35"/>
  <c r="AC81" i="35"/>
  <c r="AC80" i="35"/>
  <c r="AC79" i="35"/>
  <c r="AC78" i="35"/>
  <c r="Z82" i="35"/>
  <c r="Z81" i="35"/>
  <c r="Z79" i="35"/>
  <c r="Z80" i="35"/>
  <c r="Z78" i="35"/>
  <c r="AB82" i="35"/>
  <c r="AB81" i="35"/>
  <c r="AB80" i="35"/>
  <c r="AB79" i="35"/>
  <c r="AB78" i="35"/>
  <c r="AA72" i="35"/>
  <c r="Z72" i="35"/>
  <c r="AD72" i="35"/>
  <c r="AC72" i="35"/>
  <c r="B80" i="35"/>
  <c r="C80" i="35"/>
  <c r="D80" i="35"/>
  <c r="E80" i="35"/>
  <c r="F80" i="35"/>
  <c r="G80" i="35"/>
  <c r="H80" i="35"/>
  <c r="I80" i="35"/>
  <c r="J80" i="35"/>
  <c r="K80" i="35"/>
  <c r="L80" i="35"/>
  <c r="M80" i="35"/>
  <c r="N80" i="35"/>
  <c r="O80" i="35"/>
  <c r="P80" i="35"/>
  <c r="Q80" i="35"/>
  <c r="R80" i="35"/>
  <c r="S80" i="35"/>
  <c r="T80" i="35"/>
  <c r="U80" i="35"/>
  <c r="B81" i="35"/>
  <c r="C81" i="35"/>
  <c r="D81" i="35"/>
  <c r="E81" i="35"/>
  <c r="F81" i="35"/>
  <c r="G81" i="35"/>
  <c r="H81" i="35"/>
  <c r="I81" i="35"/>
  <c r="J81" i="35"/>
  <c r="K81" i="35"/>
  <c r="L81" i="35"/>
  <c r="M81" i="35"/>
  <c r="N81" i="35"/>
  <c r="O81" i="35"/>
  <c r="P81" i="35"/>
  <c r="Q81" i="35"/>
  <c r="R81" i="35"/>
  <c r="S81" i="35"/>
  <c r="T81" i="35"/>
  <c r="U81" i="35"/>
  <c r="B82" i="35"/>
  <c r="C82" i="35"/>
  <c r="D82" i="35"/>
  <c r="E82" i="35"/>
  <c r="F82" i="35"/>
  <c r="G82" i="35"/>
  <c r="H82" i="35"/>
  <c r="I82" i="35"/>
  <c r="J82" i="35"/>
  <c r="K82" i="35"/>
  <c r="L82" i="35"/>
  <c r="M82" i="35"/>
  <c r="N82" i="35"/>
  <c r="O82" i="35"/>
  <c r="P82" i="35"/>
  <c r="Q82" i="35"/>
  <c r="R82" i="35"/>
  <c r="S82" i="35"/>
  <c r="T82" i="35"/>
  <c r="U82" i="35"/>
  <c r="U79" i="35"/>
  <c r="T79" i="35"/>
  <c r="S79" i="35"/>
  <c r="R79" i="35"/>
  <c r="Q79" i="35"/>
  <c r="P79" i="35"/>
  <c r="O79" i="35"/>
  <c r="N79" i="35"/>
  <c r="M79" i="35"/>
  <c r="L79" i="35"/>
  <c r="K79" i="35"/>
  <c r="J79" i="35"/>
  <c r="I79" i="35"/>
  <c r="H79" i="35"/>
  <c r="G79" i="35"/>
  <c r="F79" i="35"/>
  <c r="E79" i="35"/>
  <c r="D79" i="35"/>
  <c r="C79" i="35"/>
  <c r="B79" i="35"/>
  <c r="U78" i="35"/>
  <c r="T78" i="35"/>
  <c r="S78" i="35"/>
  <c r="R78" i="35"/>
  <c r="Q78" i="35"/>
  <c r="P78" i="35"/>
  <c r="O78" i="35"/>
  <c r="N78" i="35"/>
  <c r="M78" i="35"/>
  <c r="L78" i="35"/>
  <c r="K78" i="35"/>
  <c r="J78" i="35"/>
  <c r="I78" i="35"/>
  <c r="H78" i="35"/>
  <c r="G78" i="35"/>
  <c r="F78" i="35"/>
  <c r="E78" i="35"/>
  <c r="D78" i="35"/>
  <c r="C78" i="35"/>
  <c r="B78" i="35"/>
  <c r="AG78" i="35" l="1"/>
  <c r="AD81" i="35"/>
  <c r="AE81" i="35"/>
  <c r="AE82" i="35"/>
  <c r="AD82" i="35"/>
  <c r="AD80" i="35"/>
  <c r="AE80" i="35"/>
  <c r="AD79" i="35"/>
  <c r="AE79" i="35"/>
  <c r="AD78" i="35"/>
  <c r="AE78" i="35"/>
  <c r="AG79" i="35"/>
  <c r="AG82" i="35"/>
  <c r="AG81" i="35"/>
  <c r="AG80" i="35"/>
  <c r="AF78" i="35"/>
  <c r="AF81" i="35"/>
  <c r="AF80" i="35"/>
  <c r="AF82" i="35"/>
  <c r="AF79" i="35"/>
  <c r="AQ72" i="35"/>
  <c r="AW74" i="35" s="1"/>
  <c r="J102" i="50" s="1"/>
  <c r="K101" i="50" s="1"/>
  <c r="AA78" i="35"/>
  <c r="AA79" i="35"/>
  <c r="AB72" i="35"/>
  <c r="AA82" i="35"/>
  <c r="AA80" i="35"/>
  <c r="BF80" i="35" s="1"/>
  <c r="AA81" i="35"/>
  <c r="BF81" i="35" s="1"/>
  <c r="AM82" i="35" l="1"/>
  <c r="AM79" i="35"/>
  <c r="AS78" i="35"/>
  <c r="AR82" i="35"/>
  <c r="AU82" i="35"/>
  <c r="AI78" i="35"/>
  <c r="AP78" i="35"/>
  <c r="AX78" i="35"/>
  <c r="AO81" i="35"/>
  <c r="AV81" i="35"/>
  <c r="AM81" i="35"/>
  <c r="AI79" i="35"/>
  <c r="AP79" i="35"/>
  <c r="AX79" i="35"/>
  <c r="AV82" i="35"/>
  <c r="AI82" i="35"/>
  <c r="AJ78" i="35"/>
  <c r="AR78" i="35"/>
  <c r="AY78" i="35"/>
  <c r="AI81" i="35"/>
  <c r="AP81" i="35"/>
  <c r="AX81" i="35"/>
  <c r="AS81" i="35"/>
  <c r="AJ79" i="35"/>
  <c r="AR79" i="35"/>
  <c r="AY79" i="35"/>
  <c r="AJ82" i="35"/>
  <c r="AX82" i="35"/>
  <c r="AL82" i="35"/>
  <c r="AS82" i="35"/>
  <c r="AL78" i="35"/>
  <c r="AU78" i="35"/>
  <c r="AM78" i="35"/>
  <c r="AJ81" i="35"/>
  <c r="AR81" i="35"/>
  <c r="AY81" i="35"/>
  <c r="AS80" i="35"/>
  <c r="AL79" i="35"/>
  <c r="AU79" i="35"/>
  <c r="AS79" i="35"/>
  <c r="AO82" i="35"/>
  <c r="AY82" i="35"/>
  <c r="AP82" i="35"/>
  <c r="AO78" i="35"/>
  <c r="AV78" i="35"/>
  <c r="AL81" i="35"/>
  <c r="AU81" i="35"/>
  <c r="AM80" i="35"/>
  <c r="AO79" i="35"/>
  <c r="AV79" i="35"/>
  <c r="AL80" i="35"/>
  <c r="AY80" i="35"/>
  <c r="AU80" i="35"/>
  <c r="AX80" i="35"/>
  <c r="AR80" i="35"/>
  <c r="AJ80" i="35"/>
  <c r="AI80" i="35"/>
  <c r="AP80" i="35"/>
  <c r="AO80" i="35"/>
  <c r="AV80" i="35"/>
  <c r="F39" i="6"/>
  <c r="BF82" i="35"/>
  <c r="F45" i="6" s="1"/>
  <c r="BF79" i="35"/>
  <c r="F42" i="6" s="1"/>
  <c r="BF78" i="35"/>
  <c r="F44" i="6"/>
  <c r="F43" i="6"/>
  <c r="BL88" i="35" l="1"/>
  <c r="J141" i="50" s="1"/>
  <c r="K140" i="50" s="1"/>
  <c r="D45" i="43"/>
  <c r="D44" i="6"/>
  <c r="E44" i="6"/>
  <c r="B45" i="43" s="1"/>
  <c r="C44" i="6"/>
  <c r="D46" i="43"/>
  <c r="C45" i="6"/>
  <c r="D45" i="6"/>
  <c r="E45" i="6"/>
  <c r="B46" i="43" s="1"/>
  <c r="D44" i="43"/>
  <c r="E43" i="6"/>
  <c r="B44" i="43" s="1"/>
  <c r="D43" i="6"/>
  <c r="C43" i="6"/>
  <c r="D41" i="43"/>
  <c r="E39" i="6"/>
  <c r="B41" i="43" s="1"/>
  <c r="C39" i="6"/>
  <c r="D39" i="6"/>
  <c r="D43" i="43"/>
  <c r="D42" i="6"/>
  <c r="E42" i="6"/>
  <c r="B43" i="43" s="1"/>
  <c r="C42" i="6"/>
  <c r="AQ81" i="35"/>
  <c r="AW80" i="35"/>
  <c r="F41" i="6"/>
  <c r="AW82" i="35"/>
  <c r="AW79" i="35"/>
  <c r="AT82" i="35"/>
  <c r="AW81" i="35"/>
  <c r="AZ81" i="35"/>
  <c r="AQ79" i="35"/>
  <c r="AZ79" i="35"/>
  <c r="AT80" i="35"/>
  <c r="AK78" i="35"/>
  <c r="AZ80" i="35"/>
  <c r="AQ80" i="35"/>
  <c r="AK80" i="35"/>
  <c r="AN80" i="35"/>
  <c r="AT79" i="35"/>
  <c r="AK82" i="35"/>
  <c r="AK79" i="35"/>
  <c r="AK81" i="35"/>
  <c r="AZ82" i="35"/>
  <c r="AQ82" i="35"/>
  <c r="BB82" i="35" s="1"/>
  <c r="AT78" i="35"/>
  <c r="AN82" i="35"/>
  <c r="AQ78" i="35"/>
  <c r="AW78" i="35"/>
  <c r="AT81" i="35"/>
  <c r="AN79" i="35"/>
  <c r="AN78" i="35"/>
  <c r="AZ78" i="35"/>
  <c r="AN81" i="35"/>
  <c r="BC80" i="35" l="1"/>
  <c r="BI80" i="35" s="1"/>
  <c r="BJ80" i="35" s="1"/>
  <c r="BD81" i="35"/>
  <c r="BK81" i="35" s="1"/>
  <c r="BC79" i="35"/>
  <c r="BI79" i="35" s="1"/>
  <c r="BJ79" i="35" s="1"/>
  <c r="BD78" i="35"/>
  <c r="BK78" i="35" s="1"/>
  <c r="BC82" i="35"/>
  <c r="BI82" i="35" s="1"/>
  <c r="BJ82" i="35" s="1"/>
  <c r="BB80" i="35"/>
  <c r="BD80" i="35"/>
  <c r="BK80" i="35" s="1"/>
  <c r="BB78" i="35"/>
  <c r="BH78" i="35" s="1"/>
  <c r="BB79" i="35"/>
  <c r="BD79" i="35"/>
  <c r="BK79" i="35" s="1"/>
  <c r="BB81" i="35"/>
  <c r="BC81" i="35"/>
  <c r="BI81" i="35" s="1"/>
  <c r="BJ81" i="35" s="1"/>
  <c r="BC78" i="35"/>
  <c r="BI78" i="35" s="1"/>
  <c r="BJ78" i="35" s="1"/>
  <c r="BD82" i="35"/>
  <c r="BK82" i="35" s="1"/>
  <c r="BG82" i="35"/>
  <c r="D41" i="6"/>
  <c r="E41" i="6"/>
  <c r="C41" i="6"/>
  <c r="AA63" i="35"/>
  <c r="AA62" i="35"/>
  <c r="AA64" i="35"/>
  <c r="AA65" i="35"/>
  <c r="AA66" i="35"/>
  <c r="AA67" i="35"/>
  <c r="S72" i="35"/>
  <c r="R72" i="35"/>
  <c r="Q72" i="35"/>
  <c r="P72" i="35"/>
  <c r="O72" i="35"/>
  <c r="U72" i="35"/>
  <c r="U62" i="35"/>
  <c r="U63" i="35"/>
  <c r="U64" i="35"/>
  <c r="I72" i="35"/>
  <c r="H72" i="35"/>
  <c r="G72" i="35"/>
  <c r="F72" i="35"/>
  <c r="E72" i="35"/>
  <c r="T72" i="35"/>
  <c r="N72" i="35"/>
  <c r="BL80" i="35" l="1"/>
  <c r="BH82" i="35"/>
  <c r="BL81" i="35"/>
  <c r="BL82" i="35"/>
  <c r="BL79" i="35"/>
  <c r="BL78" i="35"/>
  <c r="BG78" i="35"/>
  <c r="BH79" i="35"/>
  <c r="BG79" i="35"/>
  <c r="BH81" i="35"/>
  <c r="BG81" i="35"/>
  <c r="BG80" i="35"/>
  <c r="BH80" i="35"/>
  <c r="AF72" i="35"/>
  <c r="AM72" i="35" l="1"/>
  <c r="AK72" i="35"/>
  <c r="AI72" i="35"/>
  <c r="K63" i="52"/>
  <c r="A1" i="52"/>
  <c r="K79" i="23"/>
  <c r="C8" i="23"/>
  <c r="C7" i="23"/>
  <c r="J6" i="23"/>
  <c r="C6" i="23"/>
  <c r="J5" i="23"/>
  <c r="C5" i="23"/>
  <c r="E90" i="36"/>
  <c r="G88" i="36"/>
  <c r="G86" i="36"/>
  <c r="G84" i="36"/>
  <c r="G79" i="36"/>
  <c r="G77" i="36"/>
  <c r="G74" i="36"/>
  <c r="E61" i="36"/>
  <c r="G59" i="36"/>
  <c r="G57" i="36"/>
  <c r="G55" i="36"/>
  <c r="G51" i="36"/>
  <c r="G49" i="36"/>
  <c r="G25" i="36"/>
  <c r="G22" i="36"/>
  <c r="O18" i="36"/>
  <c r="G18" i="36"/>
  <c r="O15" i="36"/>
  <c r="G15" i="36"/>
  <c r="A1" i="36"/>
  <c r="O124" i="37"/>
  <c r="E90" i="37"/>
  <c r="G88" i="37"/>
  <c r="G86" i="37"/>
  <c r="G84" i="37"/>
  <c r="G79" i="37"/>
  <c r="G77" i="37"/>
  <c r="G74" i="37"/>
  <c r="E61" i="37"/>
  <c r="G59" i="37"/>
  <c r="G57" i="37"/>
  <c r="G55" i="37"/>
  <c r="G51" i="37"/>
  <c r="G49" i="37"/>
  <c r="G25" i="37"/>
  <c r="G22" i="37"/>
  <c r="O18" i="37"/>
  <c r="G18" i="37"/>
  <c r="O15" i="37"/>
  <c r="G15" i="37"/>
  <c r="A1" i="37"/>
  <c r="O126" i="38"/>
  <c r="C126" i="38"/>
  <c r="E90" i="38"/>
  <c r="G88" i="38"/>
  <c r="G86" i="38"/>
  <c r="G84" i="38"/>
  <c r="G79" i="38"/>
  <c r="G77" i="38"/>
  <c r="G74" i="38"/>
  <c r="E61" i="38"/>
  <c r="G59" i="38"/>
  <c r="G57" i="38"/>
  <c r="G55" i="38"/>
  <c r="G51" i="38"/>
  <c r="G49" i="38"/>
  <c r="G25" i="38"/>
  <c r="G22" i="38"/>
  <c r="O18" i="38"/>
  <c r="G18" i="38"/>
  <c r="O15" i="38"/>
  <c r="G15" i="38"/>
  <c r="A1" i="38"/>
  <c r="E90" i="39"/>
  <c r="G88" i="39"/>
  <c r="G86" i="39"/>
  <c r="G84" i="39"/>
  <c r="G79" i="39"/>
  <c r="G77" i="39"/>
  <c r="G74" i="39"/>
  <c r="E61" i="39"/>
  <c r="G59" i="39"/>
  <c r="G57" i="39"/>
  <c r="G55" i="39"/>
  <c r="G51" i="39"/>
  <c r="G49" i="39"/>
  <c r="G25" i="39"/>
  <c r="G22" i="39"/>
  <c r="O18" i="39"/>
  <c r="G18" i="39"/>
  <c r="O15" i="39"/>
  <c r="G15" i="39"/>
  <c r="A1" i="39"/>
  <c r="O124" i="40"/>
  <c r="E90" i="40"/>
  <c r="G88" i="40"/>
  <c r="G86" i="40"/>
  <c r="G79" i="40"/>
  <c r="G77" i="40"/>
  <c r="G74" i="40"/>
  <c r="E61" i="40"/>
  <c r="G59" i="40"/>
  <c r="G57" i="40"/>
  <c r="G55" i="40"/>
  <c r="G51" i="40"/>
  <c r="G49" i="40"/>
  <c r="G25" i="40"/>
  <c r="G22" i="40"/>
  <c r="O18" i="40"/>
  <c r="G18" i="40"/>
  <c r="O15" i="40"/>
  <c r="G15" i="40"/>
  <c r="A1" i="40"/>
  <c r="O125" i="30"/>
  <c r="C125" i="30"/>
  <c r="E90" i="30"/>
  <c r="G88" i="30"/>
  <c r="G86" i="30"/>
  <c r="G84" i="30"/>
  <c r="G79" i="30"/>
  <c r="G77" i="30"/>
  <c r="G74" i="30"/>
  <c r="E61" i="30"/>
  <c r="G59" i="30"/>
  <c r="G57" i="30"/>
  <c r="G55" i="30"/>
  <c r="G51" i="30"/>
  <c r="G49" i="30"/>
  <c r="G25" i="30"/>
  <c r="G22" i="30"/>
  <c r="O18" i="30"/>
  <c r="G18" i="30"/>
  <c r="O15" i="30"/>
  <c r="G15" i="30"/>
  <c r="A1" i="30"/>
  <c r="E117" i="31"/>
  <c r="G115" i="31"/>
  <c r="G113" i="31"/>
  <c r="G111" i="31"/>
  <c r="G106" i="31"/>
  <c r="G104" i="31"/>
  <c r="G101" i="31"/>
  <c r="M89" i="31"/>
  <c r="E61" i="31"/>
  <c r="G59" i="31"/>
  <c r="G57" i="31"/>
  <c r="G55" i="31"/>
  <c r="G51" i="31"/>
  <c r="G49" i="31"/>
  <c r="G25" i="31"/>
  <c r="G22" i="31"/>
  <c r="O18" i="31"/>
  <c r="G18" i="31"/>
  <c r="O15" i="31"/>
  <c r="G15" i="31"/>
  <c r="A1" i="31"/>
  <c r="O123" i="29"/>
  <c r="E90" i="29"/>
  <c r="G88" i="29"/>
  <c r="G86" i="29"/>
  <c r="G84" i="29"/>
  <c r="G79" i="29"/>
  <c r="G77" i="29"/>
  <c r="G74" i="29"/>
  <c r="E61" i="29"/>
  <c r="G59" i="29"/>
  <c r="G57" i="29"/>
  <c r="G55" i="29"/>
  <c r="G51" i="29"/>
  <c r="G49" i="29"/>
  <c r="G25" i="29"/>
  <c r="G22" i="29"/>
  <c r="O18" i="29"/>
  <c r="G18" i="29"/>
  <c r="O15" i="29"/>
  <c r="G15" i="29"/>
  <c r="A1" i="29"/>
  <c r="O125" i="15"/>
  <c r="C125" i="15"/>
  <c r="E90" i="15"/>
  <c r="G88" i="15"/>
  <c r="G86" i="15"/>
  <c r="G84" i="15"/>
  <c r="G79" i="15"/>
  <c r="G74" i="15"/>
  <c r="E61" i="15"/>
  <c r="G59" i="15"/>
  <c r="G57" i="15"/>
  <c r="G55" i="15"/>
  <c r="G51" i="15"/>
  <c r="G49" i="15"/>
  <c r="G25" i="15"/>
  <c r="G22" i="15"/>
  <c r="O18" i="15"/>
  <c r="G18" i="15"/>
  <c r="O15" i="15"/>
  <c r="G15" i="15"/>
  <c r="A1" i="15"/>
  <c r="O127" i="9"/>
  <c r="M119" i="9"/>
  <c r="E91" i="9"/>
  <c r="G89" i="9"/>
  <c r="G87" i="9"/>
  <c r="G85" i="9"/>
  <c r="G80" i="9"/>
  <c r="G78" i="9"/>
  <c r="G75" i="9"/>
  <c r="E62" i="9"/>
  <c r="G60" i="9"/>
  <c r="G58" i="9"/>
  <c r="G56" i="9"/>
  <c r="G52" i="9"/>
  <c r="G50" i="9"/>
  <c r="G26" i="9"/>
  <c r="G23" i="9"/>
  <c r="O19" i="9"/>
  <c r="G19" i="9"/>
  <c r="O16" i="9"/>
  <c r="A1" i="9"/>
  <c r="T24" i="43"/>
  <c r="S24" i="43"/>
  <c r="R24" i="43"/>
  <c r="T23" i="43"/>
  <c r="S23" i="43"/>
  <c r="R23" i="43"/>
  <c r="T22" i="43"/>
  <c r="S22" i="43"/>
  <c r="R22" i="43"/>
  <c r="T21" i="43"/>
  <c r="S21" i="43"/>
  <c r="R21" i="43"/>
  <c r="T20" i="43"/>
  <c r="S20" i="43"/>
  <c r="R20" i="43"/>
  <c r="T19" i="43"/>
  <c r="S19" i="43"/>
  <c r="R19" i="43"/>
  <c r="T18" i="43"/>
  <c r="S18" i="43"/>
  <c r="R18" i="43"/>
  <c r="T17" i="43"/>
  <c r="S17" i="43"/>
  <c r="R17" i="43"/>
  <c r="T16" i="43"/>
  <c r="S16" i="43"/>
  <c r="R16" i="43"/>
  <c r="T15" i="43"/>
  <c r="S15" i="43"/>
  <c r="R15" i="43"/>
  <c r="T14" i="43"/>
  <c r="S14" i="43"/>
  <c r="R14" i="43"/>
  <c r="AD3" i="43"/>
  <c r="AC3" i="43"/>
  <c r="AB3" i="43"/>
  <c r="AA3" i="43"/>
  <c r="Z3" i="43"/>
  <c r="Y3" i="43"/>
  <c r="X3" i="43"/>
  <c r="W3" i="43"/>
  <c r="V3" i="43"/>
  <c r="U3" i="43"/>
  <c r="T3" i="43"/>
  <c r="S3" i="43"/>
  <c r="R3" i="43"/>
  <c r="Q3" i="43"/>
  <c r="P3" i="43"/>
  <c r="O3" i="43"/>
  <c r="N3" i="43"/>
  <c r="M3" i="43"/>
  <c r="L3" i="43"/>
  <c r="K3" i="43"/>
  <c r="J3" i="43"/>
  <c r="I3" i="43"/>
  <c r="H3" i="43"/>
  <c r="G3" i="43"/>
  <c r="F3" i="43"/>
  <c r="E3" i="43"/>
  <c r="D3" i="43"/>
  <c r="C3" i="43"/>
  <c r="B3" i="43"/>
  <c r="AR25" i="6"/>
  <c r="N25" i="43" s="1"/>
  <c r="D25" i="43"/>
  <c r="D25" i="6"/>
  <c r="C25" i="6"/>
  <c r="DW25" i="6" s="1"/>
  <c r="A13" i="6"/>
  <c r="A14" i="6" s="1"/>
  <c r="A15" i="6" s="1"/>
  <c r="A16" i="6" s="1"/>
  <c r="A17" i="6" s="1"/>
  <c r="A18" i="6" s="1"/>
  <c r="A19" i="6" s="1"/>
  <c r="A20" i="6" s="1"/>
  <c r="A21" i="6" s="1"/>
  <c r="A22" i="6" s="1"/>
  <c r="A23" i="6" s="1"/>
  <c r="Q12" i="6"/>
  <c r="CT11" i="6"/>
  <c r="AM11" i="6"/>
  <c r="CT10" i="6"/>
  <c r="AM10" i="6"/>
  <c r="CT9" i="6"/>
  <c r="AM9" i="6"/>
  <c r="CT8" i="6"/>
  <c r="AM8" i="6"/>
  <c r="CT7" i="6"/>
  <c r="AM7" i="6"/>
  <c r="CT6" i="6"/>
  <c r="AM6" i="6"/>
  <c r="CT5" i="6"/>
  <c r="CT4" i="6"/>
  <c r="CT3" i="6"/>
  <c r="A3" i="6"/>
  <c r="A4" i="6" s="1"/>
  <c r="A5" i="6" s="1"/>
  <c r="A6" i="6" s="1"/>
  <c r="A7" i="6" s="1"/>
  <c r="A8" i="6" s="1"/>
  <c r="A9" i="6" s="1"/>
  <c r="A10" i="6" s="1"/>
  <c r="A11" i="6" s="1"/>
  <c r="CT2" i="6"/>
  <c r="BF7" i="3"/>
  <c r="BF8" i="3" s="1"/>
  <c r="BF9" i="3" s="1"/>
  <c r="BF10" i="3" s="1"/>
  <c r="BF11" i="3" s="1"/>
  <c r="BF12" i="3" s="1"/>
  <c r="BF13" i="3" s="1"/>
  <c r="BF14" i="3" s="1"/>
  <c r="BF15" i="3" s="1"/>
  <c r="BF16" i="3" s="1"/>
  <c r="BF17" i="3" s="1"/>
  <c r="BF18" i="3" s="1"/>
  <c r="BF19" i="3" s="1"/>
  <c r="BF20" i="3" s="1"/>
  <c r="K48" i="3"/>
  <c r="G84" i="40"/>
  <c r="G77" i="15"/>
  <c r="C18" i="3"/>
  <c r="G16" i="9"/>
  <c r="L4" i="3"/>
  <c r="H37" i="3" s="1"/>
  <c r="A79" i="35"/>
  <c r="A80" i="35" s="1"/>
  <c r="A81" i="35" s="1"/>
  <c r="A82" i="35" s="1"/>
  <c r="A83" i="35" s="1"/>
  <c r="A84" i="35" s="1"/>
  <c r="A85" i="35" s="1"/>
  <c r="A86" i="35" s="1"/>
  <c r="A87" i="35" s="1"/>
  <c r="A73" i="35"/>
  <c r="M72" i="35"/>
  <c r="L72" i="35"/>
  <c r="K72" i="35"/>
  <c r="J72" i="35"/>
  <c r="D72" i="35"/>
  <c r="C72" i="35"/>
  <c r="B72" i="35"/>
  <c r="AD64" i="35"/>
  <c r="AC64" i="35"/>
  <c r="Z64" i="35"/>
  <c r="T64" i="35"/>
  <c r="S64" i="35"/>
  <c r="P64" i="35"/>
  <c r="O64" i="35"/>
  <c r="N64" i="35"/>
  <c r="AO64" i="35" s="1"/>
  <c r="M64" i="35"/>
  <c r="J64" i="35"/>
  <c r="I64" i="35"/>
  <c r="H64" i="35"/>
  <c r="G64" i="35"/>
  <c r="F64" i="35"/>
  <c r="E64" i="35"/>
  <c r="D64" i="35"/>
  <c r="C64" i="35"/>
  <c r="B64" i="35"/>
  <c r="AD63" i="35"/>
  <c r="AC63" i="35"/>
  <c r="Z63" i="35"/>
  <c r="T63" i="35"/>
  <c r="S63" i="35"/>
  <c r="P63" i="35"/>
  <c r="O63" i="35"/>
  <c r="N63" i="35"/>
  <c r="AO63" i="35" s="1"/>
  <c r="M63" i="35"/>
  <c r="J63" i="35"/>
  <c r="I63" i="35"/>
  <c r="H63" i="35"/>
  <c r="G63" i="35"/>
  <c r="F63" i="35"/>
  <c r="E63" i="35"/>
  <c r="D63" i="35"/>
  <c r="C63" i="35"/>
  <c r="B63" i="35"/>
  <c r="A63" i="35"/>
  <c r="A64" i="35" s="1"/>
  <c r="A65" i="35" s="1"/>
  <c r="A66" i="35" s="1"/>
  <c r="A67" i="35" s="1"/>
  <c r="AD62" i="35"/>
  <c r="AC62" i="35"/>
  <c r="Z62" i="35"/>
  <c r="T62" i="35"/>
  <c r="S62" i="35"/>
  <c r="P62" i="35"/>
  <c r="O62" i="35"/>
  <c r="N62" i="35"/>
  <c r="M62" i="35"/>
  <c r="J62" i="35"/>
  <c r="I62" i="35"/>
  <c r="H62" i="35"/>
  <c r="G62" i="35"/>
  <c r="F62" i="35"/>
  <c r="E62" i="35"/>
  <c r="D62" i="35"/>
  <c r="C62" i="35"/>
  <c r="B62" i="35"/>
  <c r="K56" i="35"/>
  <c r="J56" i="35"/>
  <c r="E56" i="35"/>
  <c r="B56" i="35"/>
  <c r="G56" i="35" s="1"/>
  <c r="E51" i="35"/>
  <c r="B51" i="35"/>
  <c r="C51" i="35" s="1"/>
  <c r="O51" i="35" s="1"/>
  <c r="E50" i="35"/>
  <c r="B50" i="35"/>
  <c r="C50" i="35" s="1"/>
  <c r="O50" i="35" s="1"/>
  <c r="E49" i="35"/>
  <c r="B49" i="35"/>
  <c r="C49" i="35" s="1"/>
  <c r="O49" i="35" s="1"/>
  <c r="E48" i="35"/>
  <c r="B48" i="35"/>
  <c r="C48" i="35" s="1"/>
  <c r="O48" i="35" s="1"/>
  <c r="E47" i="35"/>
  <c r="B47" i="35"/>
  <c r="C47" i="35" s="1"/>
  <c r="O47" i="35" s="1"/>
  <c r="E46" i="35"/>
  <c r="B46" i="35"/>
  <c r="C46" i="35" s="1"/>
  <c r="O46" i="35" s="1"/>
  <c r="E45" i="35"/>
  <c r="B45" i="35"/>
  <c r="C45" i="35" s="1"/>
  <c r="O45" i="35" s="1"/>
  <c r="E44" i="35"/>
  <c r="B44" i="35"/>
  <c r="C44" i="35" s="1"/>
  <c r="O44" i="35" s="1"/>
  <c r="E43" i="35"/>
  <c r="B43" i="35"/>
  <c r="C43" i="35" s="1"/>
  <c r="S43" i="35" s="1"/>
  <c r="V43" i="35" s="1"/>
  <c r="E42" i="35"/>
  <c r="B42" i="35"/>
  <c r="BV36" i="35"/>
  <c r="BU36" i="35"/>
  <c r="AT11" i="6" s="1"/>
  <c r="AS36" i="35"/>
  <c r="AR36" i="35"/>
  <c r="AM36" i="35"/>
  <c r="AH36" i="35"/>
  <c r="AC36" i="35"/>
  <c r="AB36" i="35"/>
  <c r="AG36" i="35"/>
  <c r="BV35" i="35"/>
  <c r="BU35" i="35"/>
  <c r="AS35" i="35"/>
  <c r="AR35" i="35"/>
  <c r="AM35" i="35"/>
  <c r="AH35" i="35"/>
  <c r="AC35" i="35"/>
  <c r="AB35" i="35"/>
  <c r="AG35" i="35"/>
  <c r="BV34" i="35"/>
  <c r="BU34" i="35"/>
  <c r="AS34" i="35"/>
  <c r="AR34" i="35"/>
  <c r="AM34" i="35"/>
  <c r="AH34" i="35"/>
  <c r="AC34" i="35"/>
  <c r="AB34" i="35"/>
  <c r="AG34" i="35"/>
  <c r="BV33" i="35"/>
  <c r="BU33" i="35"/>
  <c r="AS33" i="35"/>
  <c r="AR33" i="35"/>
  <c r="AM33" i="35"/>
  <c r="AH33" i="35"/>
  <c r="AC33" i="35"/>
  <c r="AB33" i="35"/>
  <c r="AG33" i="35"/>
  <c r="BV32" i="35"/>
  <c r="BU32" i="35"/>
  <c r="AS32" i="35"/>
  <c r="AR32" i="35"/>
  <c r="AH32" i="35"/>
  <c r="AC32" i="35"/>
  <c r="AB32" i="35"/>
  <c r="AG32" i="35"/>
  <c r="BV31" i="35"/>
  <c r="BU31" i="35"/>
  <c r="AT6" i="6" s="1"/>
  <c r="AS31" i="35"/>
  <c r="AR31" i="35"/>
  <c r="AH31" i="35"/>
  <c r="AC31" i="35"/>
  <c r="AB31" i="35"/>
  <c r="AG31" i="35"/>
  <c r="BV30" i="35"/>
  <c r="BU30" i="35"/>
  <c r="AS30" i="35"/>
  <c r="AR30" i="35"/>
  <c r="AC30" i="35"/>
  <c r="AB30" i="35"/>
  <c r="BV29" i="35"/>
  <c r="BU29" i="35"/>
  <c r="AS29" i="35"/>
  <c r="AR29" i="35"/>
  <c r="AC29" i="35"/>
  <c r="AB29" i="35"/>
  <c r="BI29" i="35"/>
  <c r="BH29" i="35"/>
  <c r="BV28" i="35"/>
  <c r="BU28" i="35"/>
  <c r="AY28" i="35" s="1"/>
  <c r="BM28" i="35"/>
  <c r="AS28" i="35"/>
  <c r="AR28" i="35"/>
  <c r="AC28" i="35"/>
  <c r="AB28" i="35"/>
  <c r="BI28" i="35"/>
  <c r="BH28" i="35"/>
  <c r="A28" i="35"/>
  <c r="A29" i="35" s="1"/>
  <c r="A30" i="35" s="1"/>
  <c r="A31" i="35" s="1"/>
  <c r="A32" i="35" s="1"/>
  <c r="A33" i="35" s="1"/>
  <c r="A34" i="35" s="1"/>
  <c r="A35" i="35" s="1"/>
  <c r="A36" i="35" s="1"/>
  <c r="BV27" i="35"/>
  <c r="BU27" i="35"/>
  <c r="BM27" i="35"/>
  <c r="AS27" i="35"/>
  <c r="AR27" i="35"/>
  <c r="AC27" i="35"/>
  <c r="AB27" i="35"/>
  <c r="N78" i="51"/>
  <c r="B1" i="51"/>
  <c r="B1" i="50"/>
  <c r="K39" i="49"/>
  <c r="K27" i="49"/>
  <c r="J27" i="49"/>
  <c r="K26" i="49"/>
  <c r="J26" i="49"/>
  <c r="K25" i="49"/>
  <c r="J25" i="49"/>
  <c r="K24" i="49"/>
  <c r="J24" i="49"/>
  <c r="K23" i="49"/>
  <c r="J23" i="49"/>
  <c r="K22" i="49"/>
  <c r="J22" i="49"/>
  <c r="K21" i="49"/>
  <c r="J21" i="49"/>
  <c r="K20" i="49"/>
  <c r="J20" i="49"/>
  <c r="K19" i="49"/>
  <c r="J19" i="49"/>
  <c r="K18" i="49"/>
  <c r="K29" i="49" s="1"/>
  <c r="B2" i="49"/>
  <c r="B1" i="49"/>
  <c r="D23" i="6"/>
  <c r="F23" i="6" s="1"/>
  <c r="K31" i="41"/>
  <c r="D22" i="6"/>
  <c r="F22" i="6" s="1"/>
  <c r="D21" i="6"/>
  <c r="F21" i="6" s="1"/>
  <c r="D20" i="6"/>
  <c r="F20" i="6" s="1"/>
  <c r="D19" i="6"/>
  <c r="F19" i="6" s="1"/>
  <c r="D18" i="6"/>
  <c r="F18" i="6" s="1"/>
  <c r="D17" i="6"/>
  <c r="F17" i="6" s="1"/>
  <c r="D15" i="6"/>
  <c r="F15" i="6" s="1"/>
  <c r="B1" i="41"/>
  <c r="B2" i="44"/>
  <c r="L41" i="25"/>
  <c r="B41" i="25"/>
  <c r="I18" i="25"/>
  <c r="C18" i="25"/>
  <c r="I17" i="25"/>
  <c r="C17" i="25"/>
  <c r="I16" i="25"/>
  <c r="C16" i="25"/>
  <c r="L15" i="25"/>
  <c r="I15" i="25"/>
  <c r="C15" i="25"/>
  <c r="C14" i="25"/>
  <c r="C10" i="25"/>
  <c r="K9" i="25"/>
  <c r="C9" i="25"/>
  <c r="K8" i="25"/>
  <c r="C8" i="25"/>
  <c r="L7" i="25"/>
  <c r="I7" i="25"/>
  <c r="C7" i="25"/>
  <c r="L6" i="25"/>
  <c r="I6" i="25"/>
  <c r="C6" i="25"/>
  <c r="C5" i="25"/>
  <c r="B66" i="42"/>
  <c r="C43" i="42"/>
  <c r="C42" i="42"/>
  <c r="C10" i="42"/>
  <c r="C9" i="42"/>
  <c r="B1" i="42"/>
  <c r="G42" i="35" l="1"/>
  <c r="I42" i="35"/>
  <c r="C42" i="35"/>
  <c r="S42" i="35" s="1"/>
  <c r="H42" i="35"/>
  <c r="BC27" i="35"/>
  <c r="V81" i="35"/>
  <c r="W72" i="35"/>
  <c r="BO29" i="35"/>
  <c r="BO31" i="35"/>
  <c r="BO35" i="35"/>
  <c r="BO32" i="35"/>
  <c r="BO36" i="35"/>
  <c r="BO33" i="35"/>
  <c r="BO30" i="35"/>
  <c r="BO34" i="35"/>
  <c r="AQ63" i="35"/>
  <c r="F34" i="6" s="1"/>
  <c r="H43" i="35"/>
  <c r="W43" i="35" s="1"/>
  <c r="L22" i="41" s="1"/>
  <c r="C60" i="92" s="1"/>
  <c r="G43" i="35"/>
  <c r="I43" i="35"/>
  <c r="J43" i="35"/>
  <c r="F43" i="35"/>
  <c r="G45" i="35"/>
  <c r="I45" i="35"/>
  <c r="H45" i="35"/>
  <c r="J45" i="35"/>
  <c r="F45" i="35"/>
  <c r="H47" i="35"/>
  <c r="G47" i="35"/>
  <c r="I47" i="35"/>
  <c r="J47" i="35"/>
  <c r="F47" i="35"/>
  <c r="G49" i="35"/>
  <c r="I49" i="35"/>
  <c r="H49" i="35"/>
  <c r="J49" i="35"/>
  <c r="F49" i="35"/>
  <c r="H51" i="35"/>
  <c r="G51" i="35"/>
  <c r="I51" i="35"/>
  <c r="J51" i="35"/>
  <c r="F51" i="35"/>
  <c r="AQ64" i="35"/>
  <c r="F35" i="6" s="1"/>
  <c r="D37" i="43" s="1"/>
  <c r="J44" i="35"/>
  <c r="H44" i="35"/>
  <c r="F44" i="35"/>
  <c r="G44" i="35"/>
  <c r="I44" i="35"/>
  <c r="J46" i="35"/>
  <c r="F46" i="35"/>
  <c r="G46" i="35"/>
  <c r="H46" i="35"/>
  <c r="I46" i="35"/>
  <c r="J48" i="35"/>
  <c r="H48" i="35"/>
  <c r="F48" i="35"/>
  <c r="G48" i="35"/>
  <c r="I48" i="35"/>
  <c r="J50" i="35"/>
  <c r="F50" i="35"/>
  <c r="G50" i="35"/>
  <c r="H50" i="35"/>
  <c r="I50" i="35"/>
  <c r="J42" i="35"/>
  <c r="F42" i="35"/>
  <c r="L44" i="35"/>
  <c r="L48" i="35"/>
  <c r="K46" i="35"/>
  <c r="K50" i="35"/>
  <c r="K49" i="35"/>
  <c r="L45" i="35"/>
  <c r="L49" i="35"/>
  <c r="K43" i="35"/>
  <c r="K47" i="35"/>
  <c r="K51" i="35"/>
  <c r="L46" i="35"/>
  <c r="L50" i="35"/>
  <c r="K44" i="35"/>
  <c r="K48" i="35"/>
  <c r="L43" i="35"/>
  <c r="L47" i="35"/>
  <c r="L51" i="35"/>
  <c r="K45" i="35"/>
  <c r="AQ62" i="35"/>
  <c r="BS34" i="35"/>
  <c r="BR34" i="35"/>
  <c r="BP34" i="35"/>
  <c r="BP36" i="35"/>
  <c r="BR36" i="35"/>
  <c r="BS36" i="35"/>
  <c r="BS33" i="35"/>
  <c r="BP33" i="35"/>
  <c r="BR33" i="35"/>
  <c r="BP35" i="35"/>
  <c r="BS35" i="35"/>
  <c r="BR35" i="35"/>
  <c r="AU18" i="6"/>
  <c r="C19" i="43" s="1"/>
  <c r="T18" i="6"/>
  <c r="X18" i="6"/>
  <c r="U18" i="6"/>
  <c r="V18" i="6"/>
  <c r="W18" i="6"/>
  <c r="E18" i="6"/>
  <c r="B19" i="43" s="1"/>
  <c r="AL20" i="6"/>
  <c r="V20" i="6"/>
  <c r="W20" i="6"/>
  <c r="E20" i="6"/>
  <c r="CS20" i="6" s="1"/>
  <c r="T20" i="6"/>
  <c r="X20" i="6"/>
  <c r="U20" i="6"/>
  <c r="U17" i="6"/>
  <c r="V17" i="6"/>
  <c r="W17" i="6"/>
  <c r="E17" i="6"/>
  <c r="T17" i="6"/>
  <c r="X17" i="6"/>
  <c r="Y19" i="6"/>
  <c r="U20" i="43" s="1"/>
  <c r="W19" i="6"/>
  <c r="E19" i="6"/>
  <c r="T19" i="6"/>
  <c r="X19" i="6"/>
  <c r="U19" i="6"/>
  <c r="V19" i="6"/>
  <c r="U21" i="6"/>
  <c r="V21" i="6"/>
  <c r="W21" i="6"/>
  <c r="E21" i="6"/>
  <c r="BW21" i="6" s="1"/>
  <c r="T21" i="6"/>
  <c r="X21" i="6"/>
  <c r="AL23" i="6"/>
  <c r="W23" i="6"/>
  <c r="E23" i="6"/>
  <c r="T23" i="6"/>
  <c r="X23" i="6"/>
  <c r="U23" i="6"/>
  <c r="V23" i="6"/>
  <c r="AL22" i="6"/>
  <c r="T22" i="6"/>
  <c r="X22" i="6"/>
  <c r="U22" i="6"/>
  <c r="V22" i="6"/>
  <c r="W22" i="6"/>
  <c r="E22" i="6"/>
  <c r="W15" i="6"/>
  <c r="E15" i="6"/>
  <c r="CS15" i="6" s="1"/>
  <c r="T15" i="6"/>
  <c r="AA15" i="6" s="1"/>
  <c r="W16" i="43" s="1"/>
  <c r="X15" i="6"/>
  <c r="U15" i="6"/>
  <c r="V15" i="6"/>
  <c r="D16" i="6"/>
  <c r="F16" i="6" s="1"/>
  <c r="AN64" i="35"/>
  <c r="AN63" i="35"/>
  <c r="E8" i="6"/>
  <c r="CO8" i="6" s="1"/>
  <c r="AJ28" i="35"/>
  <c r="AJ32" i="35"/>
  <c r="AJ36" i="35"/>
  <c r="AJ33" i="35"/>
  <c r="AJ27" i="35"/>
  <c r="AJ30" i="35"/>
  <c r="AJ34" i="35"/>
  <c r="AJ35" i="35"/>
  <c r="AJ29" i="35"/>
  <c r="AJ31" i="35"/>
  <c r="O8" i="43"/>
  <c r="O13" i="43"/>
  <c r="AF32" i="35"/>
  <c r="AI32" i="35" s="1"/>
  <c r="AF35" i="35"/>
  <c r="AI35" i="35" s="1"/>
  <c r="AF36" i="35"/>
  <c r="AI36" i="35" s="1"/>
  <c r="AH30" i="35"/>
  <c r="AF29" i="35"/>
  <c r="AF28" i="35"/>
  <c r="AH29" i="35"/>
  <c r="AH28" i="35"/>
  <c r="B57" i="44"/>
  <c r="AV31" i="35"/>
  <c r="AH27" i="35"/>
  <c r="AT10" i="6"/>
  <c r="AT7" i="6"/>
  <c r="AE72" i="35"/>
  <c r="AT9" i="6"/>
  <c r="AT8" i="6"/>
  <c r="H25" i="6"/>
  <c r="L25" i="6"/>
  <c r="I25" i="6"/>
  <c r="M25" i="6"/>
  <c r="T25" i="43" s="1"/>
  <c r="J25" i="6"/>
  <c r="N25" i="6"/>
  <c r="AU25" i="6"/>
  <c r="B25" i="43"/>
  <c r="G25" i="6"/>
  <c r="K25" i="6"/>
  <c r="AV27" i="35"/>
  <c r="BO27" i="35"/>
  <c r="AV28" i="35"/>
  <c r="AV29" i="35"/>
  <c r="AF33" i="35"/>
  <c r="AI33" i="35" s="1"/>
  <c r="AF34" i="35"/>
  <c r="AI34" i="35" s="1"/>
  <c r="H56" i="35"/>
  <c r="AV36" i="35"/>
  <c r="I56" i="35"/>
  <c r="AF27" i="35"/>
  <c r="AF30" i="35"/>
  <c r="AF31" i="35"/>
  <c r="AI31" i="35" s="1"/>
  <c r="AV32" i="35"/>
  <c r="AV33" i="35"/>
  <c r="AV34" i="35"/>
  <c r="BO28" i="35"/>
  <c r="AV30" i="35"/>
  <c r="AX30" i="35" s="1"/>
  <c r="AV35" i="35"/>
  <c r="F56" i="35"/>
  <c r="G18" i="6"/>
  <c r="E19" i="43" s="1"/>
  <c r="G20" i="6"/>
  <c r="I21" i="6"/>
  <c r="N21" i="6" s="1"/>
  <c r="AM18" i="6"/>
  <c r="AU19" i="6"/>
  <c r="AM20" i="6"/>
  <c r="AB62" i="35"/>
  <c r="AB63" i="35"/>
  <c r="AB64" i="35"/>
  <c r="C18" i="6"/>
  <c r="H18" i="6" s="1"/>
  <c r="Y18" i="6"/>
  <c r="U19" i="43" s="1"/>
  <c r="C20" i="6"/>
  <c r="DW20" i="6" s="1"/>
  <c r="Y20" i="6"/>
  <c r="U21" i="43" s="1"/>
  <c r="BZ21" i="6"/>
  <c r="AA22" i="6"/>
  <c r="W23" i="43" s="1"/>
  <c r="AE18" i="6"/>
  <c r="AE20" i="6"/>
  <c r="BZ20" i="6"/>
  <c r="AB21" i="6"/>
  <c r="X22" i="43" s="1"/>
  <c r="G22" i="6"/>
  <c r="E23" i="43" s="1"/>
  <c r="D9" i="6"/>
  <c r="BQ9" i="6" s="1"/>
  <c r="BZ15" i="6"/>
  <c r="AM15" i="6"/>
  <c r="AL17" i="6"/>
  <c r="AC17" i="6"/>
  <c r="AQ17" i="6"/>
  <c r="AG17" i="6"/>
  <c r="AC18" i="43" s="1"/>
  <c r="AB17" i="6"/>
  <c r="X18" i="43" s="1"/>
  <c r="J17" i="6"/>
  <c r="AF17" i="6"/>
  <c r="AB18" i="43" s="1"/>
  <c r="BZ17" i="6"/>
  <c r="G15" i="6"/>
  <c r="AQ15" i="6"/>
  <c r="G17" i="6"/>
  <c r="Y17" i="6"/>
  <c r="U18" i="43" s="1"/>
  <c r="AM17" i="6"/>
  <c r="I18" i="6"/>
  <c r="P19" i="43" s="1"/>
  <c r="AA18" i="6"/>
  <c r="W19" i="43" s="1"/>
  <c r="AN18" i="6"/>
  <c r="C19" i="6"/>
  <c r="E11" i="6"/>
  <c r="I15" i="6"/>
  <c r="AU15" i="6"/>
  <c r="I17" i="6"/>
  <c r="N17" i="6" s="1"/>
  <c r="AA17" i="6"/>
  <c r="W18" i="43" s="1"/>
  <c r="AN17" i="6"/>
  <c r="AL19" i="6"/>
  <c r="AC19" i="6"/>
  <c r="AQ19" i="6"/>
  <c r="AG19" i="6"/>
  <c r="AC20" i="43" s="1"/>
  <c r="AB19" i="6"/>
  <c r="X20" i="43" s="1"/>
  <c r="J19" i="6"/>
  <c r="BZ19" i="6"/>
  <c r="AN19" i="6"/>
  <c r="AF19" i="6"/>
  <c r="AB20" i="43" s="1"/>
  <c r="AA19" i="6"/>
  <c r="W20" i="43" s="1"/>
  <c r="I19" i="6"/>
  <c r="P20" i="43" s="1"/>
  <c r="AE19" i="6"/>
  <c r="C15" i="6"/>
  <c r="C17" i="6"/>
  <c r="AE17" i="6"/>
  <c r="AU17" i="6"/>
  <c r="AL18" i="6"/>
  <c r="AC18" i="6"/>
  <c r="AQ18" i="6"/>
  <c r="AG18" i="6"/>
  <c r="AC19" i="43" s="1"/>
  <c r="AB18" i="6"/>
  <c r="X19" i="43" s="1"/>
  <c r="J18" i="6"/>
  <c r="AF18" i="6"/>
  <c r="AB19" i="43" s="1"/>
  <c r="BZ18" i="6"/>
  <c r="G19" i="6"/>
  <c r="AM19" i="6"/>
  <c r="AL21" i="6"/>
  <c r="AU21" i="6"/>
  <c r="AA21" i="6"/>
  <c r="W22" i="43" s="1"/>
  <c r="G21" i="6"/>
  <c r="C21" i="6"/>
  <c r="DW21" i="6" s="1"/>
  <c r="J21" i="6"/>
  <c r="AF21" i="6"/>
  <c r="AB22" i="43" s="1"/>
  <c r="AN21" i="6"/>
  <c r="AE21" i="6"/>
  <c r="AM21" i="6"/>
  <c r="I20" i="6"/>
  <c r="O20" i="6" s="1"/>
  <c r="AA20" i="6"/>
  <c r="W21" i="43" s="1"/>
  <c r="J20" i="6"/>
  <c r="AB20" i="6"/>
  <c r="X21" i="43" s="1"/>
  <c r="AG20" i="6"/>
  <c r="AC21" i="43" s="1"/>
  <c r="C22" i="6"/>
  <c r="DW22" i="6" s="1"/>
  <c r="AD22" i="6"/>
  <c r="Z23" i="43" s="1"/>
  <c r="AF20" i="6"/>
  <c r="AB21" i="43" s="1"/>
  <c r="AN20" i="6"/>
  <c r="AC20" i="6"/>
  <c r="AU20" i="6"/>
  <c r="C8" i="6"/>
  <c r="AR8" i="6"/>
  <c r="AR9" i="6"/>
  <c r="E9" i="6"/>
  <c r="C10" i="6"/>
  <c r="AR10" i="6"/>
  <c r="E10" i="6"/>
  <c r="D11" i="6"/>
  <c r="C11" i="6"/>
  <c r="D10" i="6"/>
  <c r="D8" i="6"/>
  <c r="C9" i="6"/>
  <c r="AR11" i="6"/>
  <c r="AQ23" i="6"/>
  <c r="AG23" i="6"/>
  <c r="AC24" i="43" s="1"/>
  <c r="AC23" i="6"/>
  <c r="Y24" i="43" s="1"/>
  <c r="Y23" i="6"/>
  <c r="U24" i="43" s="1"/>
  <c r="G23" i="6"/>
  <c r="C23" i="6"/>
  <c r="AU23" i="6"/>
  <c r="AR23" i="6" s="1"/>
  <c r="AN23" i="6"/>
  <c r="AF23" i="6"/>
  <c r="AB24" i="43" s="1"/>
  <c r="AB23" i="6"/>
  <c r="X24" i="43" s="1"/>
  <c r="J23" i="6"/>
  <c r="BZ23" i="6"/>
  <c r="AM23" i="6"/>
  <c r="AE23" i="6"/>
  <c r="AA23" i="6"/>
  <c r="W24" i="43" s="1"/>
  <c r="I23" i="6"/>
  <c r="Z23" i="6"/>
  <c r="V24" i="43" s="1"/>
  <c r="AQ20" i="6"/>
  <c r="Y21" i="6"/>
  <c r="U22" i="43" s="1"/>
  <c r="AC21" i="6"/>
  <c r="AG21" i="6"/>
  <c r="AC22" i="43" s="1"/>
  <c r="AQ21" i="6"/>
  <c r="AQ22" i="6"/>
  <c r="AG22" i="6"/>
  <c r="AC23" i="43" s="1"/>
  <c r="AC22" i="6"/>
  <c r="Y22" i="6"/>
  <c r="U23" i="43" s="1"/>
  <c r="AU22" i="6"/>
  <c r="AR22" i="6" s="1"/>
  <c r="AN22" i="6"/>
  <c r="AF22" i="6"/>
  <c r="AB23" i="43" s="1"/>
  <c r="AB22" i="6"/>
  <c r="X23" i="43" s="1"/>
  <c r="J22" i="6"/>
  <c r="I22" i="6"/>
  <c r="AE22" i="6"/>
  <c r="AM22" i="6"/>
  <c r="BZ22" i="6"/>
  <c r="AD23" i="6"/>
  <c r="Z24" i="43" s="1"/>
  <c r="Z17" i="6"/>
  <c r="AD17" i="6"/>
  <c r="Z18" i="43" s="1"/>
  <c r="AH17" i="6"/>
  <c r="Z18" i="6"/>
  <c r="AD18" i="6"/>
  <c r="Z19" i="43" s="1"/>
  <c r="AH18" i="6"/>
  <c r="Z19" i="6"/>
  <c r="AD19" i="6"/>
  <c r="Z20" i="43" s="1"/>
  <c r="AH19" i="6"/>
  <c r="Z20" i="6"/>
  <c r="AD20" i="6"/>
  <c r="Z21" i="43" s="1"/>
  <c r="AH20" i="6"/>
  <c r="Z21" i="6"/>
  <c r="AD21" i="6"/>
  <c r="Z22" i="43" s="1"/>
  <c r="AH21" i="6"/>
  <c r="Z22" i="6"/>
  <c r="AH22" i="6"/>
  <c r="AH23" i="6"/>
  <c r="AD24" i="43" s="1"/>
  <c r="E60" i="92" l="1"/>
  <c r="G60" i="92"/>
  <c r="I60" i="92"/>
  <c r="O43" i="35"/>
  <c r="Q43" i="35" s="1"/>
  <c r="CJ30" i="35"/>
  <c r="O42" i="35"/>
  <c r="AX32" i="35"/>
  <c r="AX31" i="35"/>
  <c r="AX27" i="35"/>
  <c r="AX34" i="35"/>
  <c r="AX36" i="35"/>
  <c r="AX29" i="35"/>
  <c r="AX35" i="35"/>
  <c r="AX33" i="35"/>
  <c r="AX28" i="35"/>
  <c r="AB83" i="44" s="1"/>
  <c r="AG28" i="35"/>
  <c r="AG29" i="35"/>
  <c r="AI29" i="35" s="1"/>
  <c r="AG30" i="35"/>
  <c r="AB85" i="44"/>
  <c r="BJ27" i="35"/>
  <c r="BD27" i="35"/>
  <c r="BK27" i="35"/>
  <c r="BG27" i="35"/>
  <c r="BF27" i="35"/>
  <c r="BE27" i="35"/>
  <c r="Q47" i="35"/>
  <c r="P46" i="35"/>
  <c r="Q51" i="35"/>
  <c r="P44" i="35"/>
  <c r="AL15" i="6" s="1"/>
  <c r="Q48" i="35"/>
  <c r="Q49" i="35"/>
  <c r="P50" i="35"/>
  <c r="W62" i="35"/>
  <c r="AO62" i="35" s="1"/>
  <c r="AZ68" i="35"/>
  <c r="J49" i="50" s="1"/>
  <c r="K48" i="50" s="1"/>
  <c r="AR21" i="6"/>
  <c r="N22" i="43" s="1"/>
  <c r="AS19" i="6"/>
  <c r="AR19" i="6"/>
  <c r="N20" i="43" s="1"/>
  <c r="AB15" i="6"/>
  <c r="X16" i="43" s="1"/>
  <c r="Y15" i="6"/>
  <c r="AD15" i="6" s="1"/>
  <c r="Z16" i="43" s="1"/>
  <c r="AS18" i="6"/>
  <c r="AR18" i="6"/>
  <c r="N19" i="43" s="1"/>
  <c r="AR20" i="6"/>
  <c r="N21" i="43" s="1"/>
  <c r="AR17" i="6"/>
  <c r="N18" i="43" s="1"/>
  <c r="AN15" i="6"/>
  <c r="W63" i="35"/>
  <c r="V78" i="35"/>
  <c r="Q45" i="35"/>
  <c r="AF15" i="6"/>
  <c r="AB16" i="43" s="1"/>
  <c r="J15" i="6"/>
  <c r="Z15" i="6" s="1"/>
  <c r="V16" i="43" s="1"/>
  <c r="C16" i="43"/>
  <c r="AR15" i="6"/>
  <c r="N16" i="43" s="1"/>
  <c r="P25" i="43"/>
  <c r="O25" i="6"/>
  <c r="Y25" i="6"/>
  <c r="AD25" i="6" s="1"/>
  <c r="R25" i="43"/>
  <c r="AA25" i="6"/>
  <c r="AF25" i="6" s="1"/>
  <c r="Q25" i="43"/>
  <c r="Z25" i="6"/>
  <c r="S25" i="43"/>
  <c r="AB25" i="6"/>
  <c r="AG25" i="6" s="1"/>
  <c r="D14" i="6"/>
  <c r="V62" i="35"/>
  <c r="AM62" i="35" s="1"/>
  <c r="V64" i="35"/>
  <c r="AM64" i="35" s="1"/>
  <c r="W82" i="35"/>
  <c r="V82" i="35"/>
  <c r="V63" i="35"/>
  <c r="AM63" i="35" s="1"/>
  <c r="W79" i="35"/>
  <c r="V72" i="35"/>
  <c r="AN62" i="35"/>
  <c r="V16" i="6"/>
  <c r="W16" i="6"/>
  <c r="E16" i="6"/>
  <c r="T16" i="6"/>
  <c r="X16" i="6"/>
  <c r="U16" i="6"/>
  <c r="AQ16" i="6"/>
  <c r="I16" i="6"/>
  <c r="AU16" i="6"/>
  <c r="D17" i="43"/>
  <c r="C16" i="6"/>
  <c r="DW16" i="6" s="1"/>
  <c r="G16" i="6"/>
  <c r="E17" i="43" s="1"/>
  <c r="AM16" i="6"/>
  <c r="BZ16" i="6"/>
  <c r="C35" i="6"/>
  <c r="E35" i="6"/>
  <c r="B37" i="43" s="1"/>
  <c r="D35" i="6"/>
  <c r="D36" i="43"/>
  <c r="D34" i="6"/>
  <c r="C34" i="6"/>
  <c r="E34" i="6"/>
  <c r="B36" i="43" s="1"/>
  <c r="A2" i="22"/>
  <c r="W64" i="35"/>
  <c r="W80" i="35"/>
  <c r="V79" i="35"/>
  <c r="W78" i="35"/>
  <c r="CQ8" i="6"/>
  <c r="K42" i="35"/>
  <c r="L42" i="35"/>
  <c r="W81" i="35"/>
  <c r="V80" i="35"/>
  <c r="F33" i="6"/>
  <c r="CN8" i="6"/>
  <c r="BM8" i="6"/>
  <c r="F10" i="43" s="1"/>
  <c r="CL8" i="6"/>
  <c r="BP8" i="6"/>
  <c r="CD8" i="6"/>
  <c r="J8" i="6"/>
  <c r="Q10" i="43" s="1"/>
  <c r="CG8" i="6"/>
  <c r="CH8" i="6"/>
  <c r="B10" i="43"/>
  <c r="AU8" i="6"/>
  <c r="C10" i="43" s="1"/>
  <c r="I8" i="6"/>
  <c r="O8" i="6" s="1"/>
  <c r="BV8" i="6"/>
  <c r="BW8" i="6"/>
  <c r="CF8" i="6"/>
  <c r="CE8" i="6"/>
  <c r="CA8" i="6"/>
  <c r="CC8" i="6"/>
  <c r="V19" i="43"/>
  <c r="N11" i="43"/>
  <c r="Y20" i="43"/>
  <c r="AD23" i="43"/>
  <c r="N12" i="43"/>
  <c r="N10" i="43"/>
  <c r="AI21" i="6"/>
  <c r="B13" i="43"/>
  <c r="AI18" i="6"/>
  <c r="O11" i="43"/>
  <c r="O9" i="43"/>
  <c r="O12" i="43"/>
  <c r="V20" i="43"/>
  <c r="AD18" i="43"/>
  <c r="V23" i="43"/>
  <c r="AD20" i="43"/>
  <c r="AD19" i="43"/>
  <c r="Y23" i="43"/>
  <c r="Y21" i="43"/>
  <c r="AI17" i="6"/>
  <c r="Y18" i="43"/>
  <c r="AD22" i="43"/>
  <c r="AI20" i="6"/>
  <c r="V21" i="43"/>
  <c r="N13" i="43"/>
  <c r="V22" i="43"/>
  <c r="AD21" i="43"/>
  <c r="V18" i="43"/>
  <c r="Y22" i="43"/>
  <c r="Y19" i="43"/>
  <c r="AI19" i="6"/>
  <c r="O10" i="43"/>
  <c r="C32" i="35"/>
  <c r="C33" i="35"/>
  <c r="C27" i="35"/>
  <c r="AY27" i="35" s="1"/>
  <c r="C36" i="35"/>
  <c r="C35" i="35"/>
  <c r="C31" i="35"/>
  <c r="C34" i="35"/>
  <c r="C30" i="35"/>
  <c r="C29" i="35"/>
  <c r="C28" i="35"/>
  <c r="AG62" i="35"/>
  <c r="AF62" i="35"/>
  <c r="AI62" i="35"/>
  <c r="AH62" i="35"/>
  <c r="AK62" i="35"/>
  <c r="AJ62" i="35"/>
  <c r="AG64" i="35"/>
  <c r="AH64" i="35"/>
  <c r="AJ64" i="35"/>
  <c r="AI64" i="35"/>
  <c r="AK64" i="35"/>
  <c r="AF63" i="35"/>
  <c r="AH63" i="35"/>
  <c r="AI63" i="35"/>
  <c r="AK63" i="35"/>
  <c r="AJ63" i="35"/>
  <c r="P25" i="6"/>
  <c r="AG27" i="35"/>
  <c r="AL72" i="35"/>
  <c r="AV72" i="35" s="1"/>
  <c r="AH72" i="35"/>
  <c r="AT72" i="35" s="1"/>
  <c r="AU72" i="35" s="1"/>
  <c r="AJ72" i="35"/>
  <c r="P21" i="43"/>
  <c r="AJ21" i="6"/>
  <c r="CN11" i="6"/>
  <c r="Z9" i="6"/>
  <c r="AE9" i="6"/>
  <c r="S9" i="6"/>
  <c r="U9" i="6"/>
  <c r="BU9" i="6"/>
  <c r="BZ9" i="6"/>
  <c r="AQ9" i="6"/>
  <c r="BW17" i="6"/>
  <c r="I11" i="6"/>
  <c r="AB9" i="6"/>
  <c r="H20" i="6"/>
  <c r="O21" i="6"/>
  <c r="N56" i="35"/>
  <c r="AJ19" i="6"/>
  <c r="CR15" i="6"/>
  <c r="B22" i="43"/>
  <c r="AA20" i="43"/>
  <c r="AA19" i="43"/>
  <c r="B16" i="43"/>
  <c r="C25" i="43"/>
  <c r="AS25" i="6"/>
  <c r="E25" i="43"/>
  <c r="CC11" i="6"/>
  <c r="BV19" i="6"/>
  <c r="AU11" i="6"/>
  <c r="CO11" i="6"/>
  <c r="CE17" i="6"/>
  <c r="CQ11" i="6"/>
  <c r="BP11" i="6"/>
  <c r="CG11" i="6"/>
  <c r="CA11" i="6"/>
  <c r="B21" i="43"/>
  <c r="AK19" i="6"/>
  <c r="BS9" i="6"/>
  <c r="P16" i="43"/>
  <c r="AN9" i="6"/>
  <c r="CF11" i="6"/>
  <c r="CL11" i="6"/>
  <c r="CH11" i="6"/>
  <c r="CE11" i="6"/>
  <c r="AA9" i="6"/>
  <c r="AG9" i="6"/>
  <c r="BY9" i="6"/>
  <c r="AA21" i="43"/>
  <c r="CD11" i="6"/>
  <c r="J11" i="6"/>
  <c r="CI9" i="6"/>
  <c r="BV11" i="6"/>
  <c r="BM11" i="6"/>
  <c r="BW11" i="6"/>
  <c r="CJ9" i="6"/>
  <c r="AD9" i="6"/>
  <c r="E21" i="43"/>
  <c r="CE15" i="6"/>
  <c r="AJ18" i="6"/>
  <c r="BW15" i="6"/>
  <c r="CR20" i="6"/>
  <c r="AK18" i="6"/>
  <c r="BV15" i="6"/>
  <c r="CE18" i="6"/>
  <c r="BW18" i="6"/>
  <c r="BV17" i="6"/>
  <c r="CS17" i="6"/>
  <c r="AK21" i="6"/>
  <c r="BV18" i="6"/>
  <c r="CS18" i="6"/>
  <c r="CR17" i="6"/>
  <c r="B18" i="43"/>
  <c r="AA22" i="43"/>
  <c r="AJ20" i="6"/>
  <c r="X9" i="6"/>
  <c r="T9" i="6"/>
  <c r="BX9" i="6"/>
  <c r="AF9" i="6"/>
  <c r="G9" i="6"/>
  <c r="F9" i="6"/>
  <c r="AH9" i="6"/>
  <c r="CK9" i="6"/>
  <c r="P18" i="43"/>
  <c r="CR18" i="6"/>
  <c r="AK20" i="6"/>
  <c r="AA18" i="43"/>
  <c r="M9" i="6"/>
  <c r="BR9" i="6"/>
  <c r="Y9" i="6"/>
  <c r="AC9" i="6"/>
  <c r="BT9" i="6"/>
  <c r="W9" i="6"/>
  <c r="V9" i="6"/>
  <c r="N19" i="6"/>
  <c r="N20" i="6"/>
  <c r="O19" i="6"/>
  <c r="AJ17" i="6"/>
  <c r="DW18" i="6"/>
  <c r="H21" i="6"/>
  <c r="AK17" i="6"/>
  <c r="H22" i="6"/>
  <c r="P22" i="43"/>
  <c r="CE20" i="6"/>
  <c r="BW20" i="6"/>
  <c r="CS19" i="6"/>
  <c r="N15" i="6"/>
  <c r="O15" i="6" s="1"/>
  <c r="C20" i="43"/>
  <c r="BV20" i="6"/>
  <c r="CS21" i="6"/>
  <c r="O18" i="6"/>
  <c r="AG63" i="35"/>
  <c r="AF64" i="35"/>
  <c r="H17" i="6"/>
  <c r="DW17" i="6"/>
  <c r="CR19" i="6"/>
  <c r="CE19" i="6"/>
  <c r="BW19" i="6"/>
  <c r="BV21" i="6"/>
  <c r="CE21" i="6"/>
  <c r="N18" i="6"/>
  <c r="O17" i="6"/>
  <c r="D21" i="43"/>
  <c r="D22" i="43"/>
  <c r="E22" i="43"/>
  <c r="E18" i="43"/>
  <c r="D16" i="43"/>
  <c r="C21" i="43"/>
  <c r="AS20" i="6"/>
  <c r="Q22" i="43"/>
  <c r="P21" i="6"/>
  <c r="E20" i="43"/>
  <c r="C18" i="43"/>
  <c r="AS17" i="6"/>
  <c r="H15" i="6"/>
  <c r="DW15" i="6"/>
  <c r="Q20" i="43"/>
  <c r="P19" i="6"/>
  <c r="D20" i="43"/>
  <c r="H19" i="6"/>
  <c r="DW19" i="6"/>
  <c r="B20" i="43"/>
  <c r="CR21" i="6"/>
  <c r="Q21" i="43"/>
  <c r="P20" i="6"/>
  <c r="C22" i="43"/>
  <c r="AS21" i="6"/>
  <c r="Q19" i="43"/>
  <c r="P18" i="6"/>
  <c r="D19" i="43"/>
  <c r="E16" i="43"/>
  <c r="Q18" i="43"/>
  <c r="P17" i="6"/>
  <c r="D18" i="43"/>
  <c r="P23" i="43"/>
  <c r="N22" i="6"/>
  <c r="O22" i="6"/>
  <c r="B23" i="43"/>
  <c r="CR22" i="6"/>
  <c r="BV22" i="6"/>
  <c r="CE22" i="6"/>
  <c r="CS22" i="6"/>
  <c r="BW22" i="6"/>
  <c r="D23" i="43"/>
  <c r="D24" i="43"/>
  <c r="E24" i="43"/>
  <c r="DW9" i="6"/>
  <c r="H9" i="6"/>
  <c r="BZ10" i="6"/>
  <c r="BR10" i="6"/>
  <c r="AE10" i="6"/>
  <c r="AA10" i="6"/>
  <c r="W10" i="6"/>
  <c r="S10" i="6"/>
  <c r="G10" i="6"/>
  <c r="CJ10" i="6"/>
  <c r="BY10" i="6"/>
  <c r="BT10" i="6"/>
  <c r="AG10" i="6"/>
  <c r="AB10" i="6"/>
  <c r="V10" i="6"/>
  <c r="F10" i="6"/>
  <c r="CI10" i="6"/>
  <c r="BX10" i="6"/>
  <c r="BS10" i="6"/>
  <c r="AQ10" i="6"/>
  <c r="AF10" i="6"/>
  <c r="Z10" i="6"/>
  <c r="U10" i="6"/>
  <c r="CK10" i="6"/>
  <c r="AC10" i="6"/>
  <c r="Y10" i="6"/>
  <c r="BQ10" i="6"/>
  <c r="AN10" i="6"/>
  <c r="AD10" i="6"/>
  <c r="T10" i="6"/>
  <c r="BU10" i="6"/>
  <c r="AH10" i="6"/>
  <c r="X10" i="6"/>
  <c r="M10" i="6"/>
  <c r="DW11" i="6"/>
  <c r="H11" i="6"/>
  <c r="H10" i="6"/>
  <c r="DW10" i="6"/>
  <c r="P24" i="43"/>
  <c r="N23" i="6"/>
  <c r="O23" i="6"/>
  <c r="CJ8" i="6"/>
  <c r="BX8" i="6"/>
  <c r="BT8" i="6"/>
  <c r="BR8" i="6"/>
  <c r="AE8" i="6"/>
  <c r="AA8" i="6"/>
  <c r="W8" i="6"/>
  <c r="S8" i="6"/>
  <c r="G8" i="6"/>
  <c r="BQ8" i="6"/>
  <c r="AH8" i="6"/>
  <c r="AD8" i="6"/>
  <c r="Z8" i="6"/>
  <c r="V8" i="6"/>
  <c r="F8" i="6"/>
  <c r="CK8" i="6"/>
  <c r="BZ8" i="6"/>
  <c r="AQ8" i="6"/>
  <c r="AB8" i="6"/>
  <c r="T8" i="6"/>
  <c r="CI8" i="6"/>
  <c r="BY8" i="6"/>
  <c r="AN8" i="6"/>
  <c r="AG8" i="6"/>
  <c r="Y8" i="6"/>
  <c r="BS8" i="6"/>
  <c r="BU8" i="6"/>
  <c r="AF8" i="6"/>
  <c r="X8" i="6"/>
  <c r="M8" i="6"/>
  <c r="U8" i="6"/>
  <c r="AC8" i="6"/>
  <c r="CI11" i="6"/>
  <c r="BS11" i="6"/>
  <c r="AN11" i="6"/>
  <c r="AF11" i="6"/>
  <c r="AB11" i="6"/>
  <c r="X11" i="6"/>
  <c r="T11" i="6"/>
  <c r="BX11" i="6"/>
  <c r="BR11" i="6"/>
  <c r="AQ11" i="6"/>
  <c r="AD11" i="6"/>
  <c r="Y11" i="6"/>
  <c r="S11" i="6"/>
  <c r="BQ11" i="6"/>
  <c r="AH11" i="6"/>
  <c r="AC11" i="6"/>
  <c r="W11" i="6"/>
  <c r="M11" i="6"/>
  <c r="G11" i="6"/>
  <c r="BT11" i="6"/>
  <c r="AG11" i="6"/>
  <c r="V11" i="6"/>
  <c r="CK11" i="6"/>
  <c r="BZ11" i="6"/>
  <c r="AE11" i="6"/>
  <c r="U11" i="6"/>
  <c r="BU11" i="6"/>
  <c r="Z11" i="6"/>
  <c r="CJ11" i="6"/>
  <c r="BY11" i="6"/>
  <c r="AA11" i="6"/>
  <c r="F11" i="6"/>
  <c r="DW23" i="6"/>
  <c r="H23" i="6"/>
  <c r="Q23" i="43"/>
  <c r="P22" i="6"/>
  <c r="AA24" i="43"/>
  <c r="AK23" i="6"/>
  <c r="AJ23" i="6"/>
  <c r="AI23" i="6"/>
  <c r="Q24" i="43"/>
  <c r="P23" i="6"/>
  <c r="AA23" i="43"/>
  <c r="AK22" i="6"/>
  <c r="AJ22" i="6"/>
  <c r="AI22" i="6"/>
  <c r="C23" i="43"/>
  <c r="N23" i="43"/>
  <c r="AS22" i="6"/>
  <c r="B24" i="43"/>
  <c r="CR23" i="6"/>
  <c r="BV23" i="6"/>
  <c r="CE23" i="6"/>
  <c r="CS23" i="6"/>
  <c r="BW23" i="6"/>
  <c r="C24" i="43"/>
  <c r="AS23" i="6"/>
  <c r="N24" i="43"/>
  <c r="B12" i="43"/>
  <c r="CL10" i="6"/>
  <c r="CH10" i="6"/>
  <c r="CD10" i="6"/>
  <c r="BV10" i="6"/>
  <c r="CQ10" i="6"/>
  <c r="CE10" i="6"/>
  <c r="CO10" i="6"/>
  <c r="CC10" i="6"/>
  <c r="BM10" i="6"/>
  <c r="J10" i="6"/>
  <c r="CA10" i="6"/>
  <c r="BP10" i="6"/>
  <c r="CG10" i="6"/>
  <c r="BW10" i="6"/>
  <c r="AU10" i="6"/>
  <c r="CN10" i="6"/>
  <c r="I10" i="6"/>
  <c r="CF10" i="6"/>
  <c r="B11" i="43"/>
  <c r="CQ9" i="6"/>
  <c r="CG9" i="6"/>
  <c r="CC9" i="6"/>
  <c r="BM9" i="6"/>
  <c r="J9" i="6"/>
  <c r="CL9" i="6"/>
  <c r="CF9" i="6"/>
  <c r="CA9" i="6"/>
  <c r="BV9" i="6"/>
  <c r="BP9" i="6"/>
  <c r="CE9" i="6"/>
  <c r="CO9" i="6"/>
  <c r="CD9" i="6"/>
  <c r="CN9" i="6"/>
  <c r="I9" i="6"/>
  <c r="CH9" i="6"/>
  <c r="AU9" i="6"/>
  <c r="BW9" i="6"/>
  <c r="DW8" i="6"/>
  <c r="H8" i="6"/>
  <c r="AI28" i="35" l="1"/>
  <c r="CH28" i="35" s="1"/>
  <c r="CC35" i="35"/>
  <c r="CH35" i="35"/>
  <c r="CA35" i="35"/>
  <c r="CE35" i="35"/>
  <c r="CF35" i="35"/>
  <c r="CJ35" i="35"/>
  <c r="CM35" i="35" s="1"/>
  <c r="CB35" i="35"/>
  <c r="CD35" i="35" s="1"/>
  <c r="CG35" i="35"/>
  <c r="CJ27" i="35"/>
  <c r="CM27" i="35" s="1"/>
  <c r="CE29" i="35"/>
  <c r="CF29" i="35"/>
  <c r="CA29" i="35"/>
  <c r="CG29" i="35"/>
  <c r="CB29" i="35"/>
  <c r="CD29" i="35" s="1"/>
  <c r="CH29" i="35"/>
  <c r="CC29" i="35"/>
  <c r="CJ29" i="35"/>
  <c r="CM29" i="35" s="1"/>
  <c r="CE31" i="35"/>
  <c r="CH31" i="35"/>
  <c r="CA31" i="35"/>
  <c r="CJ31" i="35"/>
  <c r="CM31" i="35" s="1"/>
  <c r="CB31" i="35"/>
  <c r="CD31" i="35" s="1"/>
  <c r="CF31" i="35"/>
  <c r="CC31" i="35"/>
  <c r="CG31" i="35"/>
  <c r="CJ28" i="35"/>
  <c r="CM28" i="35" s="1"/>
  <c r="CB36" i="35"/>
  <c r="CD36" i="35" s="1"/>
  <c r="CG36" i="35"/>
  <c r="CC36" i="35"/>
  <c r="CH36" i="35"/>
  <c r="CE36" i="35"/>
  <c r="CA36" i="35"/>
  <c r="CF36" i="35"/>
  <c r="CJ36" i="35"/>
  <c r="CM36" i="35" s="1"/>
  <c r="CG32" i="35"/>
  <c r="CA32" i="35"/>
  <c r="CE32" i="35"/>
  <c r="CH32" i="35"/>
  <c r="CB32" i="35"/>
  <c r="CD32" i="35" s="1"/>
  <c r="CC32" i="35"/>
  <c r="CF32" i="35"/>
  <c r="CJ32" i="35"/>
  <c r="CM32" i="35" s="1"/>
  <c r="CC33" i="35"/>
  <c r="CF33" i="35"/>
  <c r="CJ33" i="35"/>
  <c r="CM33" i="35" s="1"/>
  <c r="CE33" i="35"/>
  <c r="CG33" i="35"/>
  <c r="CA33" i="35"/>
  <c r="CH33" i="35"/>
  <c r="CB33" i="35"/>
  <c r="CD33" i="35" s="1"/>
  <c r="CC34" i="35"/>
  <c r="CE34" i="35"/>
  <c r="CF34" i="35"/>
  <c r="CJ34" i="35"/>
  <c r="CM34" i="35" s="1"/>
  <c r="CA34" i="35"/>
  <c r="CG34" i="35"/>
  <c r="CB34" i="35"/>
  <c r="CD34" i="35" s="1"/>
  <c r="CH34" i="35"/>
  <c r="AI30" i="35"/>
  <c r="BH27" i="35"/>
  <c r="BI27" i="35"/>
  <c r="BN30" i="35"/>
  <c r="P64" i="44" s="1"/>
  <c r="CM30" i="35"/>
  <c r="BN35" i="35"/>
  <c r="P69" i="44" s="1"/>
  <c r="O69" i="44" s="1"/>
  <c r="E35" i="35" s="1"/>
  <c r="CI35" i="35"/>
  <c r="BN33" i="35"/>
  <c r="P67" i="44" s="1"/>
  <c r="O67" i="44" s="1"/>
  <c r="E33" i="35" s="1"/>
  <c r="CI33" i="35"/>
  <c r="BN34" i="35"/>
  <c r="P68" i="44" s="1"/>
  <c r="O68" i="44" s="1"/>
  <c r="E34" i="35" s="1"/>
  <c r="CI34" i="35"/>
  <c r="BN29" i="35"/>
  <c r="P63" i="44" s="1"/>
  <c r="BN32" i="35"/>
  <c r="P66" i="44" s="1"/>
  <c r="BN36" i="35"/>
  <c r="P70" i="44" s="1"/>
  <c r="O70" i="44" s="1"/>
  <c r="E36" i="35" s="1"/>
  <c r="CI36" i="35"/>
  <c r="BN31" i="35"/>
  <c r="P65" i="44" s="1"/>
  <c r="Q46" i="35"/>
  <c r="Q44" i="35"/>
  <c r="P51" i="35"/>
  <c r="P49" i="35"/>
  <c r="P47" i="35"/>
  <c r="P48" i="35"/>
  <c r="Q50" i="35"/>
  <c r="V42" i="35"/>
  <c r="W42" i="35" s="1"/>
  <c r="L21" i="41" s="1"/>
  <c r="C59" i="92" s="1"/>
  <c r="P45" i="35"/>
  <c r="AL16" i="6" s="1"/>
  <c r="BN28" i="35"/>
  <c r="P62" i="44" s="1"/>
  <c r="J16" i="6"/>
  <c r="Q17" i="43" s="1"/>
  <c r="U16" i="43"/>
  <c r="Q16" i="43"/>
  <c r="AS15" i="6"/>
  <c r="Y16" i="6"/>
  <c r="U17" i="43" s="1"/>
  <c r="AB16" i="6"/>
  <c r="X17" i="43" s="1"/>
  <c r="AG15" i="6"/>
  <c r="AC16" i="43" s="1"/>
  <c r="AA16" i="6"/>
  <c r="W17" i="43" s="1"/>
  <c r="N16" i="6"/>
  <c r="AN16" i="6"/>
  <c r="F14" i="6"/>
  <c r="U14" i="6" s="1"/>
  <c r="P43" i="35"/>
  <c r="AL14" i="6" s="1"/>
  <c r="Z16" i="6"/>
  <c r="AC16" i="6" s="1"/>
  <c r="Y17" i="43" s="1"/>
  <c r="AG16" i="6"/>
  <c r="AC17" i="43" s="1"/>
  <c r="C17" i="43"/>
  <c r="AR16" i="6"/>
  <c r="N17" i="43" s="1"/>
  <c r="P15" i="6"/>
  <c r="AE15" i="6"/>
  <c r="AC15" i="6"/>
  <c r="Y16" i="43" s="1"/>
  <c r="U25" i="43"/>
  <c r="AC25" i="6"/>
  <c r="AE25" i="6"/>
  <c r="AH25" i="6" s="1"/>
  <c r="P17" i="43"/>
  <c r="AQ14" i="6"/>
  <c r="C14" i="6"/>
  <c r="DW14" i="6" s="1"/>
  <c r="E14" i="6"/>
  <c r="CE14" i="6" s="1"/>
  <c r="AU14" i="6"/>
  <c r="G14" i="6"/>
  <c r="E15" i="43" s="1"/>
  <c r="BZ14" i="6"/>
  <c r="AM14" i="6"/>
  <c r="I14" i="6"/>
  <c r="N14" i="6" s="1"/>
  <c r="J14" i="6"/>
  <c r="AS63" i="35"/>
  <c r="AS62" i="35"/>
  <c r="H16" i="6"/>
  <c r="B17" i="43"/>
  <c r="BW16" i="6"/>
  <c r="CE16" i="6"/>
  <c r="AS64" i="35"/>
  <c r="AS16" i="6"/>
  <c r="CR16" i="6"/>
  <c r="CS16" i="6"/>
  <c r="BV16" i="6"/>
  <c r="P10" i="43"/>
  <c r="P42" i="35"/>
  <c r="D35" i="43"/>
  <c r="C33" i="6"/>
  <c r="E33" i="6"/>
  <c r="B35" i="43" s="1"/>
  <c r="D33" i="6"/>
  <c r="N8" i="6"/>
  <c r="P8" i="6"/>
  <c r="AS8" i="6"/>
  <c r="CB8" i="6"/>
  <c r="AB82" i="44"/>
  <c r="AI27" i="35" s="1"/>
  <c r="F12" i="43"/>
  <c r="AC13" i="43"/>
  <c r="Y10" i="43"/>
  <c r="L12" i="43"/>
  <c r="J12" i="43"/>
  <c r="AD11" i="43"/>
  <c r="X11" i="43"/>
  <c r="V13" i="43"/>
  <c r="L13" i="43"/>
  <c r="Y13" i="43"/>
  <c r="U13" i="43"/>
  <c r="I13" i="43"/>
  <c r="AB13" i="43"/>
  <c r="M10" i="43"/>
  <c r="X10" i="43"/>
  <c r="AD10" i="43"/>
  <c r="L10" i="43"/>
  <c r="M12" i="43"/>
  <c r="K12" i="43"/>
  <c r="J11" i="43"/>
  <c r="BN9" i="6"/>
  <c r="N11" i="6"/>
  <c r="AK9" i="6"/>
  <c r="X13" i="43"/>
  <c r="AB10" i="43"/>
  <c r="J10" i="43"/>
  <c r="AD12" i="43"/>
  <c r="U11" i="43"/>
  <c r="I11" i="43"/>
  <c r="Z11" i="43"/>
  <c r="F11" i="43"/>
  <c r="W13" i="43"/>
  <c r="M13" i="43"/>
  <c r="AD13" i="43"/>
  <c r="Z13" i="43"/>
  <c r="T10" i="43"/>
  <c r="K10" i="43"/>
  <c r="W10" i="43"/>
  <c r="I10" i="43"/>
  <c r="T12" i="43"/>
  <c r="U12" i="43"/>
  <c r="V12" i="43"/>
  <c r="I12" i="43"/>
  <c r="X12" i="43"/>
  <c r="W12" i="43"/>
  <c r="L11" i="43"/>
  <c r="T11" i="43"/>
  <c r="L9" i="6"/>
  <c r="Q13" i="43"/>
  <c r="AC11" i="43"/>
  <c r="K11" i="43"/>
  <c r="C13" i="43"/>
  <c r="M11" i="43"/>
  <c r="V11" i="43"/>
  <c r="J13" i="43"/>
  <c r="AC10" i="43"/>
  <c r="Z10" i="43"/>
  <c r="T13" i="43"/>
  <c r="K13" i="43"/>
  <c r="U10" i="43"/>
  <c r="V10" i="43"/>
  <c r="Z12" i="43"/>
  <c r="Y12" i="43"/>
  <c r="AB12" i="43"/>
  <c r="AC12" i="43"/>
  <c r="Y11" i="43"/>
  <c r="AB11" i="43"/>
  <c r="F13" i="43"/>
  <c r="W11" i="43"/>
  <c r="AT64" i="35"/>
  <c r="AU64" i="35" s="1"/>
  <c r="AT62" i="35"/>
  <c r="AU62" i="35" s="1"/>
  <c r="AS72" i="35"/>
  <c r="AR72" i="35"/>
  <c r="AV62" i="35"/>
  <c r="AW62" i="35" s="1"/>
  <c r="AW72" i="35"/>
  <c r="AV63" i="35"/>
  <c r="AW63" i="35" s="1"/>
  <c r="AX64" i="35"/>
  <c r="AV64" i="35"/>
  <c r="AW64" i="35" s="1"/>
  <c r="AR63" i="35"/>
  <c r="AT63" i="35"/>
  <c r="AX62" i="35"/>
  <c r="AR64" i="35"/>
  <c r="AR62" i="35"/>
  <c r="AX63" i="35"/>
  <c r="Z25" i="43"/>
  <c r="V25" i="43"/>
  <c r="X25" i="43"/>
  <c r="AC25" i="43"/>
  <c r="W25" i="43"/>
  <c r="AB25" i="43"/>
  <c r="AJ9" i="6"/>
  <c r="AL9" i="6"/>
  <c r="AA11" i="43"/>
  <c r="AS11" i="6"/>
  <c r="AI9" i="6"/>
  <c r="D11" i="43"/>
  <c r="P13" i="43"/>
  <c r="K9" i="6"/>
  <c r="E11" i="43"/>
  <c r="O11" i="6"/>
  <c r="P11" i="6"/>
  <c r="BO9" i="6"/>
  <c r="CB11" i="6"/>
  <c r="Q11" i="43"/>
  <c r="P9" i="6"/>
  <c r="E12" i="43"/>
  <c r="K10" i="6"/>
  <c r="BO10" i="6"/>
  <c r="L10" i="6"/>
  <c r="AA12" i="43"/>
  <c r="AI10" i="6"/>
  <c r="AL10" i="6"/>
  <c r="AK10" i="6"/>
  <c r="AJ10" i="6"/>
  <c r="C12" i="43"/>
  <c r="CB10" i="6"/>
  <c r="AS10" i="6"/>
  <c r="E10" i="43"/>
  <c r="K8" i="6"/>
  <c r="L8" i="6"/>
  <c r="BO8" i="6"/>
  <c r="AA10" i="43"/>
  <c r="AI8" i="6"/>
  <c r="AL8" i="6"/>
  <c r="AJ8" i="6"/>
  <c r="AK8" i="6"/>
  <c r="D12" i="43"/>
  <c r="BN10" i="6"/>
  <c r="C11" i="43"/>
  <c r="CB9" i="6"/>
  <c r="AS9" i="6"/>
  <c r="Q12" i="43"/>
  <c r="P10" i="6"/>
  <c r="AA13" i="43"/>
  <c r="AJ11" i="6"/>
  <c r="AI11" i="6"/>
  <c r="AK11" i="6"/>
  <c r="AL11" i="6"/>
  <c r="E13" i="43"/>
  <c r="BO11" i="6"/>
  <c r="L11" i="6"/>
  <c r="K11" i="6"/>
  <c r="P11" i="43"/>
  <c r="N9" i="6"/>
  <c r="O9" i="6"/>
  <c r="P12" i="43"/>
  <c r="O10" i="6"/>
  <c r="N10" i="6"/>
  <c r="D13" i="43"/>
  <c r="BN11" i="6"/>
  <c r="D10" i="43"/>
  <c r="BN8" i="6"/>
  <c r="CG28" i="35" l="1"/>
  <c r="E59" i="92"/>
  <c r="G59" i="92"/>
  <c r="I59" i="92"/>
  <c r="CE30" i="35"/>
  <c r="CB30" i="35"/>
  <c r="CD30" i="35" s="1"/>
  <c r="CA30" i="35"/>
  <c r="CG30" i="35"/>
  <c r="CF30" i="35"/>
  <c r="CC30" i="35"/>
  <c r="CH30" i="35"/>
  <c r="CH27" i="35"/>
  <c r="CG27" i="35"/>
  <c r="CI31" i="35"/>
  <c r="CK31" i="35" s="1"/>
  <c r="CI32" i="35"/>
  <c r="CK32" i="35" s="1"/>
  <c r="O66" i="44"/>
  <c r="E32" i="35" s="1"/>
  <c r="Z66" i="44"/>
  <c r="O65" i="44"/>
  <c r="E31" i="35" s="1"/>
  <c r="Z65" i="44"/>
  <c r="H14" i="6"/>
  <c r="P16" i="6"/>
  <c r="AF16" i="6"/>
  <c r="AB17" i="43" s="1"/>
  <c r="AD16" i="6"/>
  <c r="Z17" i="43" s="1"/>
  <c r="V14" i="6"/>
  <c r="D15" i="43"/>
  <c r="T14" i="6"/>
  <c r="X14" i="6"/>
  <c r="W14" i="6"/>
  <c r="C15" i="43"/>
  <c r="AR14" i="6"/>
  <c r="N15" i="43" s="1"/>
  <c r="O16" i="6"/>
  <c r="AE16" i="6"/>
  <c r="AI16" i="6" s="1"/>
  <c r="V17" i="43"/>
  <c r="AH15" i="6"/>
  <c r="AD16" i="43" s="1"/>
  <c r="AA16" i="43"/>
  <c r="AK15" i="6"/>
  <c r="AI15" i="6"/>
  <c r="AJ15" i="6"/>
  <c r="BV14" i="6"/>
  <c r="P14" i="6"/>
  <c r="AN14" i="6"/>
  <c r="BW14" i="6"/>
  <c r="CS14" i="6"/>
  <c r="CR14" i="6"/>
  <c r="P15" i="43"/>
  <c r="B15" i="43"/>
  <c r="Q15" i="43"/>
  <c r="Q42" i="35"/>
  <c r="O63" i="44"/>
  <c r="E29" i="35" s="1"/>
  <c r="G13" i="43"/>
  <c r="H10" i="43"/>
  <c r="Q9" i="6"/>
  <c r="G11" i="43"/>
  <c r="G12" i="43"/>
  <c r="H12" i="43"/>
  <c r="H11" i="43"/>
  <c r="G10" i="43"/>
  <c r="S11" i="43"/>
  <c r="H13" i="43"/>
  <c r="R9" i="6"/>
  <c r="AZ64" i="35"/>
  <c r="AY62" i="35"/>
  <c r="AZ62" i="35"/>
  <c r="AY64" i="35"/>
  <c r="AU63" i="35"/>
  <c r="AZ63" i="35" s="1"/>
  <c r="AY63" i="35"/>
  <c r="O64" i="44"/>
  <c r="E30" i="35" s="1"/>
  <c r="O62" i="44"/>
  <c r="E28" i="35" s="1"/>
  <c r="AK28" i="35" s="1"/>
  <c r="Y25" i="43"/>
  <c r="AA25" i="43"/>
  <c r="R11" i="43"/>
  <c r="CL34" i="35"/>
  <c r="CN34" i="35" s="1"/>
  <c r="CL32" i="35"/>
  <c r="CN32" i="35" s="1"/>
  <c r="CL36" i="35"/>
  <c r="CN36" i="35" s="1"/>
  <c r="CK35" i="35"/>
  <c r="CL31" i="35"/>
  <c r="CN31" i="35" s="1"/>
  <c r="CL35" i="35"/>
  <c r="CN35" i="35" s="1"/>
  <c r="CK33" i="35"/>
  <c r="CL33" i="35"/>
  <c r="CN33" i="35" s="1"/>
  <c r="CK36" i="35"/>
  <c r="CK34" i="35"/>
  <c r="S10" i="43"/>
  <c r="R8" i="6"/>
  <c r="R12" i="43"/>
  <c r="Q10" i="6"/>
  <c r="S13" i="43"/>
  <c r="R11" i="6"/>
  <c r="R10" i="43"/>
  <c r="Q8" i="6"/>
  <c r="R13" i="43"/>
  <c r="Q11" i="6"/>
  <c r="S12" i="43"/>
  <c r="R10" i="6"/>
  <c r="AL29" i="35" l="1"/>
  <c r="AM29" i="35" s="1"/>
  <c r="AL32" i="35"/>
  <c r="AM32" i="35" s="1"/>
  <c r="AL31" i="35"/>
  <c r="AM31" i="35" s="1"/>
  <c r="Z64" i="44"/>
  <c r="BP32" i="35"/>
  <c r="D7" i="6"/>
  <c r="BS32" i="35"/>
  <c r="E7" i="6"/>
  <c r="BR32" i="35"/>
  <c r="C7" i="6"/>
  <c r="BP31" i="35"/>
  <c r="E6" i="6"/>
  <c r="D6" i="6"/>
  <c r="BR31" i="35"/>
  <c r="C6" i="6"/>
  <c r="BS31" i="35"/>
  <c r="Z63" i="44"/>
  <c r="Z62" i="44"/>
  <c r="D13" i="6"/>
  <c r="F13" i="6" s="1"/>
  <c r="D14" i="43" s="1"/>
  <c r="L33" i="41"/>
  <c r="AA14" i="6"/>
  <c r="AF14" i="6" s="1"/>
  <c r="AB15" i="43" s="1"/>
  <c r="O14" i="6"/>
  <c r="Y14" i="6"/>
  <c r="U15" i="43" s="1"/>
  <c r="Z14" i="6"/>
  <c r="V15" i="43" s="1"/>
  <c r="AB14" i="6"/>
  <c r="AG14" i="6" s="1"/>
  <c r="AC15" i="43" s="1"/>
  <c r="AS14" i="6"/>
  <c r="AH16" i="6"/>
  <c r="AD17" i="43" s="1"/>
  <c r="AJ16" i="6"/>
  <c r="AA17" i="43"/>
  <c r="AK16" i="6"/>
  <c r="AD25" i="43"/>
  <c r="BN27" i="35"/>
  <c r="P61" i="44" s="1"/>
  <c r="DW7" i="6" l="1"/>
  <c r="H7" i="6"/>
  <c r="BQ7" i="6"/>
  <c r="CJ7" i="6"/>
  <c r="AG7" i="6"/>
  <c r="AC9" i="43" s="1"/>
  <c r="AN7" i="6"/>
  <c r="F7" i="6"/>
  <c r="CI7" i="6"/>
  <c r="BZ7" i="6"/>
  <c r="G7" i="6"/>
  <c r="BU7" i="6"/>
  <c r="M9" i="43" s="1"/>
  <c r="Z7" i="6"/>
  <c r="V9" i="43" s="1"/>
  <c r="AQ7" i="6"/>
  <c r="AR7" i="6" s="1"/>
  <c r="N9" i="43" s="1"/>
  <c r="S7" i="6"/>
  <c r="V7" i="6"/>
  <c r="CK7" i="6"/>
  <c r="AH7" i="6"/>
  <c r="AD9" i="43" s="1"/>
  <c r="BX7" i="6"/>
  <c r="I9" i="43" s="1"/>
  <c r="AC7" i="6"/>
  <c r="Y9" i="43" s="1"/>
  <c r="AF7" i="6"/>
  <c r="AB9" i="43" s="1"/>
  <c r="AE7" i="6"/>
  <c r="BS7" i="6"/>
  <c r="K9" i="43" s="1"/>
  <c r="T7" i="6"/>
  <c r="BY7" i="6"/>
  <c r="AD7" i="6"/>
  <c r="Z9" i="43" s="1"/>
  <c r="BT7" i="6"/>
  <c r="L9" i="43" s="1"/>
  <c r="Y7" i="6"/>
  <c r="U9" i="43" s="1"/>
  <c r="X7" i="6"/>
  <c r="W7" i="6"/>
  <c r="AB7" i="6"/>
  <c r="X9" i="43" s="1"/>
  <c r="BR7" i="6"/>
  <c r="J9" i="43" s="1"/>
  <c r="U7" i="6"/>
  <c r="M7" i="6"/>
  <c r="T9" i="43" s="1"/>
  <c r="AA7" i="6"/>
  <c r="W9" i="43" s="1"/>
  <c r="B9" i="43"/>
  <c r="BM7" i="6"/>
  <c r="F9" i="43" s="1"/>
  <c r="AU7" i="6"/>
  <c r="J7" i="6"/>
  <c r="I7" i="6"/>
  <c r="CC7" i="6"/>
  <c r="BW7" i="6"/>
  <c r="CQ7" i="6"/>
  <c r="CO7" i="6"/>
  <c r="CN7" i="6"/>
  <c r="CL7" i="6"/>
  <c r="CA7" i="6"/>
  <c r="CG7" i="6"/>
  <c r="CF7" i="6"/>
  <c r="CE7" i="6"/>
  <c r="CD7" i="6"/>
  <c r="CH7" i="6"/>
  <c r="BP7" i="6"/>
  <c r="BV7" i="6"/>
  <c r="B8" i="43"/>
  <c r="BM6" i="6"/>
  <c r="F8" i="43" s="1"/>
  <c r="CN6" i="6"/>
  <c r="BV6" i="6"/>
  <c r="CC6" i="6"/>
  <c r="CA6" i="6"/>
  <c r="CE6" i="6"/>
  <c r="I6" i="6"/>
  <c r="CQ6" i="6"/>
  <c r="BP6" i="6"/>
  <c r="CL6" i="6"/>
  <c r="CH6" i="6"/>
  <c r="CF6" i="6"/>
  <c r="BW6" i="6"/>
  <c r="J6" i="6"/>
  <c r="AU6" i="6"/>
  <c r="CO6" i="6"/>
  <c r="CG6" i="6"/>
  <c r="CD6" i="6"/>
  <c r="BX6" i="6"/>
  <c r="I8" i="43" s="1"/>
  <c r="AC6" i="6"/>
  <c r="Y8" i="43" s="1"/>
  <c r="CI6" i="6"/>
  <c r="AB6" i="6"/>
  <c r="X8" i="43" s="1"/>
  <c r="BR6" i="6"/>
  <c r="J8" i="43" s="1"/>
  <c r="S6" i="6"/>
  <c r="F6" i="6"/>
  <c r="Z6" i="6"/>
  <c r="V8" i="43" s="1"/>
  <c r="AQ6" i="6"/>
  <c r="AR6" i="6" s="1"/>
  <c r="N8" i="43" s="1"/>
  <c r="U6" i="6"/>
  <c r="AN6" i="6"/>
  <c r="AA6" i="6"/>
  <c r="W8" i="43" s="1"/>
  <c r="BQ6" i="6"/>
  <c r="AD6" i="6"/>
  <c r="Z8" i="43" s="1"/>
  <c r="AG6" i="6"/>
  <c r="AC8" i="43" s="1"/>
  <c r="AF6" i="6"/>
  <c r="AB8" i="43" s="1"/>
  <c r="W6" i="6"/>
  <c r="BU6" i="6"/>
  <c r="M8" i="43" s="1"/>
  <c r="BT6" i="6"/>
  <c r="L8" i="43" s="1"/>
  <c r="Y6" i="6"/>
  <c r="U8" i="43" s="1"/>
  <c r="BS6" i="6"/>
  <c r="K8" i="43" s="1"/>
  <c r="X6" i="6"/>
  <c r="AE6" i="6"/>
  <c r="G6" i="6"/>
  <c r="AH6" i="6"/>
  <c r="AD8" i="43" s="1"/>
  <c r="BY6" i="6"/>
  <c r="T6" i="6"/>
  <c r="CK6" i="6"/>
  <c r="CJ6" i="6"/>
  <c r="M6" i="6"/>
  <c r="T8" i="43" s="1"/>
  <c r="BZ6" i="6"/>
  <c r="V6" i="6"/>
  <c r="H6" i="6"/>
  <c r="DW6" i="6"/>
  <c r="AL28" i="35"/>
  <c r="AM28" i="35" s="1"/>
  <c r="AU13" i="6"/>
  <c r="AR13" i="6" s="1"/>
  <c r="N14" i="43" s="1"/>
  <c r="J13" i="6"/>
  <c r="Q14" i="43" s="1"/>
  <c r="C13" i="6"/>
  <c r="H13" i="6" s="1"/>
  <c r="AQ13" i="6"/>
  <c r="I13" i="6"/>
  <c r="P14" i="43" s="1"/>
  <c r="E13" i="6"/>
  <c r="CS13" i="6" s="1"/>
  <c r="AM13" i="6"/>
  <c r="AL13" i="6"/>
  <c r="G13" i="6"/>
  <c r="E14" i="43" s="1"/>
  <c r="BZ13" i="6"/>
  <c r="X13" i="6"/>
  <c r="T13" i="6"/>
  <c r="W13" i="6"/>
  <c r="V13" i="6"/>
  <c r="U13" i="6"/>
  <c r="W15" i="43"/>
  <c r="BS30" i="35"/>
  <c r="CI30" i="35" s="1"/>
  <c r="BP30" i="35"/>
  <c r="BR30" i="35"/>
  <c r="BS29" i="35"/>
  <c r="CI29" i="35" s="1"/>
  <c r="BP29" i="35"/>
  <c r="BR29" i="35"/>
  <c r="AD14" i="6"/>
  <c r="Z15" i="43" s="1"/>
  <c r="AE14" i="6"/>
  <c r="AK14" i="6" s="1"/>
  <c r="AC14" i="6"/>
  <c r="Y15" i="43" s="1"/>
  <c r="X15" i="43"/>
  <c r="D4" i="6"/>
  <c r="CI4" i="6" s="1"/>
  <c r="E4" i="6"/>
  <c r="CG4" i="6" s="1"/>
  <c r="AT4" i="6"/>
  <c r="O6" i="43" s="1"/>
  <c r="C4" i="6"/>
  <c r="DW4" i="6" s="1"/>
  <c r="BQ29" i="35"/>
  <c r="D5" i="6"/>
  <c r="CI5" i="6" s="1"/>
  <c r="BQ30" i="35"/>
  <c r="AL30" i="35"/>
  <c r="AM30" i="35" s="1"/>
  <c r="E5" i="6"/>
  <c r="C5" i="6"/>
  <c r="O61" i="44"/>
  <c r="E27" i="35" l="1"/>
  <c r="AK27" i="35" s="1"/>
  <c r="Z61" i="44" s="1"/>
  <c r="I5" i="6"/>
  <c r="AJ7" i="6"/>
  <c r="AK7" i="6"/>
  <c r="AA9" i="43"/>
  <c r="AI7" i="6"/>
  <c r="AL7" i="6"/>
  <c r="D9" i="43"/>
  <c r="BN7" i="6"/>
  <c r="G9" i="43" s="1"/>
  <c r="O7" i="6"/>
  <c r="P9" i="43"/>
  <c r="N7" i="6"/>
  <c r="Q9" i="43"/>
  <c r="P7" i="6"/>
  <c r="K7" i="6"/>
  <c r="BO7" i="6"/>
  <c r="H9" i="43" s="1"/>
  <c r="E9" i="43"/>
  <c r="L7" i="6"/>
  <c r="CB7" i="6"/>
  <c r="C9" i="43"/>
  <c r="AS7" i="6"/>
  <c r="CB6" i="6"/>
  <c r="C8" i="43"/>
  <c r="AS6" i="6"/>
  <c r="O6" i="6"/>
  <c r="P8" i="43"/>
  <c r="N6" i="6"/>
  <c r="BO6" i="6"/>
  <c r="H8" i="43" s="1"/>
  <c r="K6" i="6"/>
  <c r="E8" i="43"/>
  <c r="L6" i="6"/>
  <c r="P6" i="6"/>
  <c r="Q8" i="43"/>
  <c r="AK6" i="6"/>
  <c r="AL6" i="6"/>
  <c r="AJ6" i="6"/>
  <c r="AI6" i="6"/>
  <c r="AA8" i="43"/>
  <c r="D8" i="43"/>
  <c r="BN6" i="6"/>
  <c r="G8" i="43" s="1"/>
  <c r="CL29" i="35"/>
  <c r="CN29" i="35" s="1"/>
  <c r="I4" i="6"/>
  <c r="BV13" i="6"/>
  <c r="N13" i="6"/>
  <c r="P13" i="6" s="1"/>
  <c r="B14" i="43"/>
  <c r="AS13" i="6"/>
  <c r="AN13" i="6"/>
  <c r="O13" i="6"/>
  <c r="DW13" i="6"/>
  <c r="BW13" i="6"/>
  <c r="CE13" i="6"/>
  <c r="C14" i="43"/>
  <c r="CR13" i="6"/>
  <c r="Z13" i="6"/>
  <c r="V14" i="43" s="1"/>
  <c r="AB13" i="6"/>
  <c r="Y13" i="6"/>
  <c r="AD13" i="6" s="1"/>
  <c r="Z14" i="43" s="1"/>
  <c r="AA13" i="6"/>
  <c r="BP28" i="35"/>
  <c r="BR28" i="35"/>
  <c r="CB28" i="35" s="1"/>
  <c r="BS28" i="35"/>
  <c r="AA15" i="43"/>
  <c r="AH14" i="6"/>
  <c r="AD15" i="43" s="1"/>
  <c r="AI14" i="6"/>
  <c r="AJ14" i="6"/>
  <c r="E3" i="6"/>
  <c r="CH3" i="6" s="1"/>
  <c r="BT4" i="6"/>
  <c r="L6" i="43" s="1"/>
  <c r="B6" i="43"/>
  <c r="CJ4" i="6"/>
  <c r="J4" i="6"/>
  <c r="BP4" i="6"/>
  <c r="CD4" i="6"/>
  <c r="CK4" i="6"/>
  <c r="BY4" i="6"/>
  <c r="AU4" i="6"/>
  <c r="CC4" i="6"/>
  <c r="BV4" i="6"/>
  <c r="CH4" i="6"/>
  <c r="CA4" i="6"/>
  <c r="CL4" i="6"/>
  <c r="CF4" i="6"/>
  <c r="BM4" i="6"/>
  <c r="F6" i="43" s="1"/>
  <c r="BW4" i="6"/>
  <c r="CN4" i="6"/>
  <c r="CE4" i="6"/>
  <c r="BS5" i="6"/>
  <c r="K7" i="43" s="1"/>
  <c r="BZ5" i="6"/>
  <c r="BR5" i="6"/>
  <c r="J7" i="43" s="1"/>
  <c r="BZ4" i="6"/>
  <c r="AQ4" i="6"/>
  <c r="AR4" i="6" s="1"/>
  <c r="N6" i="43" s="1"/>
  <c r="F4" i="6"/>
  <c r="BN4" i="6" s="1"/>
  <c r="BX4" i="6"/>
  <c r="I6" i="43" s="1"/>
  <c r="BR4" i="6"/>
  <c r="J6" i="43" s="1"/>
  <c r="H4" i="6"/>
  <c r="BS4" i="6"/>
  <c r="K6" i="43" s="1"/>
  <c r="BU4" i="6"/>
  <c r="M6" i="43" s="1"/>
  <c r="G4" i="6"/>
  <c r="L4" i="6" s="1"/>
  <c r="S6" i="43" s="1"/>
  <c r="BQ4" i="6"/>
  <c r="BY5" i="6"/>
  <c r="G5" i="6"/>
  <c r="E7" i="43" s="1"/>
  <c r="AQ5" i="6"/>
  <c r="AR5" i="6" s="1"/>
  <c r="N7" i="43" s="1"/>
  <c r="CJ5" i="6"/>
  <c r="BQ5" i="6"/>
  <c r="BX5" i="6"/>
  <c r="I7" i="43" s="1"/>
  <c r="CK5" i="6"/>
  <c r="F5" i="6"/>
  <c r="W5" i="6" s="1"/>
  <c r="BU5" i="6"/>
  <c r="M7" i="43" s="1"/>
  <c r="BT5" i="6"/>
  <c r="L7" i="43" s="1"/>
  <c r="BQ28" i="35"/>
  <c r="D3" i="6"/>
  <c r="CJ3" i="6" s="1"/>
  <c r="C3" i="6"/>
  <c r="DW3" i="6" s="1"/>
  <c r="CD5" i="6"/>
  <c r="CL5" i="6"/>
  <c r="BV5" i="6"/>
  <c r="CA5" i="6"/>
  <c r="BW5" i="6"/>
  <c r="CF5" i="6"/>
  <c r="CC5" i="6"/>
  <c r="CE5" i="6"/>
  <c r="CH5" i="6"/>
  <c r="BP5" i="6"/>
  <c r="CN5" i="6"/>
  <c r="AU5" i="6"/>
  <c r="CG5" i="6"/>
  <c r="BM5" i="6"/>
  <c r="B7" i="43"/>
  <c r="DW5" i="6"/>
  <c r="H5" i="6"/>
  <c r="CL30" i="35"/>
  <c r="CN30" i="35" s="1"/>
  <c r="AM4" i="6"/>
  <c r="CK29" i="35"/>
  <c r="AL27" i="35" l="1"/>
  <c r="CF28" i="35"/>
  <c r="CI28" i="35" s="1"/>
  <c r="CD28" i="35"/>
  <c r="CC28" i="35"/>
  <c r="CA28" i="35"/>
  <c r="I3" i="6" s="1"/>
  <c r="N3" i="6" s="1"/>
  <c r="CE28" i="35"/>
  <c r="R7" i="6"/>
  <c r="S9" i="43"/>
  <c r="R9" i="43"/>
  <c r="Q7" i="6"/>
  <c r="Q6" i="6"/>
  <c r="R8" i="43"/>
  <c r="S8" i="43"/>
  <c r="R6" i="6"/>
  <c r="U4" i="6"/>
  <c r="T4" i="6"/>
  <c r="V4" i="6"/>
  <c r="M4" i="6"/>
  <c r="T6" i="43" s="1"/>
  <c r="W4" i="6"/>
  <c r="AS4" i="6"/>
  <c r="X4" i="6"/>
  <c r="AD60" i="44"/>
  <c r="AE13" i="6"/>
  <c r="AA14" i="43" s="1"/>
  <c r="U14" i="43"/>
  <c r="AG13" i="6"/>
  <c r="AC14" i="43" s="1"/>
  <c r="X14" i="43"/>
  <c r="AC13" i="6"/>
  <c r="Y14" i="43" s="1"/>
  <c r="W14" i="43"/>
  <c r="AF13" i="6"/>
  <c r="AB14" i="43" s="1"/>
  <c r="CE3" i="6"/>
  <c r="B5" i="43"/>
  <c r="CD3" i="6"/>
  <c r="CG3" i="6"/>
  <c r="CF3" i="6"/>
  <c r="CA3" i="6"/>
  <c r="BV3" i="6"/>
  <c r="BM3" i="6"/>
  <c r="F5" i="43" s="1"/>
  <c r="BP3" i="6"/>
  <c r="AU3" i="6"/>
  <c r="CB3" i="6" s="1"/>
  <c r="BW3" i="6"/>
  <c r="CC3" i="6"/>
  <c r="N4" i="6"/>
  <c r="P4" i="6" s="1"/>
  <c r="CB4" i="6"/>
  <c r="Q6" i="43"/>
  <c r="C6" i="43"/>
  <c r="P6" i="43"/>
  <c r="BO5" i="6"/>
  <c r="H7" i="43" s="1"/>
  <c r="L5" i="6"/>
  <c r="S7" i="43" s="1"/>
  <c r="E6" i="43"/>
  <c r="D6" i="43"/>
  <c r="BO4" i="6"/>
  <c r="H6" i="43" s="1"/>
  <c r="K4" i="6"/>
  <c r="D7" i="43"/>
  <c r="K5" i="6"/>
  <c r="R7" i="43" s="1"/>
  <c r="V5" i="6"/>
  <c r="BN5" i="6"/>
  <c r="G7" i="43" s="1"/>
  <c r="T5" i="6"/>
  <c r="X5" i="6"/>
  <c r="U5" i="6"/>
  <c r="BT3" i="6"/>
  <c r="L5" i="43" s="1"/>
  <c r="CI3" i="6"/>
  <c r="AQ3" i="6"/>
  <c r="AR3" i="6" s="1"/>
  <c r="N5" i="43" s="1"/>
  <c r="BZ3" i="6"/>
  <c r="CL3" i="6"/>
  <c r="BQ3" i="6"/>
  <c r="CN3" i="6"/>
  <c r="BR3" i="6"/>
  <c r="J5" i="43" s="1"/>
  <c r="H3" i="6"/>
  <c r="BU3" i="6"/>
  <c r="M5" i="43" s="1"/>
  <c r="BY3" i="6"/>
  <c r="BS3" i="6"/>
  <c r="K5" i="43" s="1"/>
  <c r="F3" i="6"/>
  <c r="X3" i="6" s="1"/>
  <c r="G3" i="6"/>
  <c r="E5" i="43" s="1"/>
  <c r="BX3" i="6"/>
  <c r="I5" i="43" s="1"/>
  <c r="CK3" i="6"/>
  <c r="P7" i="43"/>
  <c r="G6" i="43"/>
  <c r="F7" i="43"/>
  <c r="AS5" i="6"/>
  <c r="CB5" i="6"/>
  <c r="N5" i="6"/>
  <c r="C7" i="43"/>
  <c r="J5" i="6"/>
  <c r="CK30" i="35"/>
  <c r="AM5" i="6"/>
  <c r="AN27" i="35"/>
  <c r="AM27" i="35"/>
  <c r="CL28" i="35" l="1"/>
  <c r="CN28" i="35" s="1"/>
  <c r="AB4" i="6"/>
  <c r="AG4" i="6" s="1"/>
  <c r="AC6" i="43" s="1"/>
  <c r="Y4" i="6"/>
  <c r="AD4" i="6" s="1"/>
  <c r="Z6" i="43" s="1"/>
  <c r="R4" i="6"/>
  <c r="S4" i="6" s="1"/>
  <c r="O4" i="6"/>
  <c r="Z4" i="6"/>
  <c r="AC4" i="6" s="1"/>
  <c r="Y6" i="43" s="1"/>
  <c r="R6" i="43"/>
  <c r="AA4" i="6"/>
  <c r="AK13" i="6"/>
  <c r="AJ13" i="6"/>
  <c r="AI13" i="6"/>
  <c r="AH13" i="6"/>
  <c r="AD14" i="43" s="1"/>
  <c r="BS27" i="35"/>
  <c r="CF27" i="35" s="1"/>
  <c r="BP27" i="35"/>
  <c r="BR27" i="35"/>
  <c r="C5" i="43"/>
  <c r="R5" i="6"/>
  <c r="Q4" i="6"/>
  <c r="Y5" i="6"/>
  <c r="U7" i="43" s="1"/>
  <c r="AB5" i="6"/>
  <c r="X7" i="43" s="1"/>
  <c r="AA5" i="6"/>
  <c r="W7" i="43" s="1"/>
  <c r="J3" i="6"/>
  <c r="P3" i="6" s="1"/>
  <c r="AS3" i="6"/>
  <c r="P5" i="43"/>
  <c r="CO5" i="6"/>
  <c r="BQ27" i="35"/>
  <c r="U3" i="6"/>
  <c r="V3" i="6"/>
  <c r="L3" i="6"/>
  <c r="BO3" i="6"/>
  <c r="H5" i="43" s="1"/>
  <c r="K3" i="6"/>
  <c r="R5" i="43" s="1"/>
  <c r="W3" i="6"/>
  <c r="T3" i="6"/>
  <c r="O3" i="6" s="1"/>
  <c r="D5" i="43"/>
  <c r="BN3" i="6"/>
  <c r="G5" i="43" s="1"/>
  <c r="Z5" i="6"/>
  <c r="AE5" i="6" s="1"/>
  <c r="M5" i="6"/>
  <c r="AG5" i="6"/>
  <c r="P5" i="6"/>
  <c r="Q5" i="6"/>
  <c r="O5" i="6"/>
  <c r="Q7" i="43"/>
  <c r="CK28" i="35"/>
  <c r="AM3" i="6"/>
  <c r="AA73" i="44"/>
  <c r="C2" i="6"/>
  <c r="D2" i="6"/>
  <c r="E2" i="6"/>
  <c r="AN34" i="35"/>
  <c r="AN32" i="35"/>
  <c r="AN29" i="35"/>
  <c r="AN30" i="35"/>
  <c r="AT5" i="6" s="1"/>
  <c r="AN28" i="35"/>
  <c r="AN31" i="35"/>
  <c r="AN33" i="35"/>
  <c r="AN36" i="35"/>
  <c r="AN35" i="35"/>
  <c r="CE27" i="35" l="1"/>
  <c r="CI27" i="35"/>
  <c r="CO4" i="6"/>
  <c r="U6" i="43"/>
  <c r="X6" i="43"/>
  <c r="S5" i="6"/>
  <c r="AD5" i="6"/>
  <c r="Z7" i="43" s="1"/>
  <c r="V6" i="43"/>
  <c r="AE4" i="6"/>
  <c r="AK4" i="6" s="1"/>
  <c r="CB27" i="35"/>
  <c r="CQ4" i="6"/>
  <c r="W6" i="43"/>
  <c r="AF4" i="6"/>
  <c r="AB6" i="43" s="1"/>
  <c r="CA27" i="35"/>
  <c r="I2" i="6" s="1"/>
  <c r="AT3" i="6"/>
  <c r="O5" i="43" s="1"/>
  <c r="AF5" i="6"/>
  <c r="AB7" i="43" s="1"/>
  <c r="Q5" i="43"/>
  <c r="M3" i="6"/>
  <c r="T5" i="43" s="1"/>
  <c r="AA3" i="6"/>
  <c r="W5" i="43" s="1"/>
  <c r="Z3" i="6"/>
  <c r="V5" i="43" s="1"/>
  <c r="Q3" i="6"/>
  <c r="AB3" i="6"/>
  <c r="X5" i="43" s="1"/>
  <c r="S5" i="43"/>
  <c r="R3" i="6"/>
  <c r="S3" i="6" s="1"/>
  <c r="Y3" i="6"/>
  <c r="U5" i="43" s="1"/>
  <c r="O7" i="43"/>
  <c r="AC5" i="6"/>
  <c r="AC7" i="43"/>
  <c r="T7" i="43"/>
  <c r="V7" i="43"/>
  <c r="CQ5" i="6"/>
  <c r="AH5" i="6"/>
  <c r="AK5" i="6"/>
  <c r="AI5" i="6"/>
  <c r="AL5" i="6"/>
  <c r="AN5" i="6" s="1"/>
  <c r="AJ5" i="6"/>
  <c r="AA7" i="43"/>
  <c r="CO3" i="6"/>
  <c r="CQ3" i="6"/>
  <c r="AU2" i="6"/>
  <c r="CF2" i="6"/>
  <c r="CD2" i="6"/>
  <c r="BW2" i="6"/>
  <c r="CN2" i="6"/>
  <c r="CE2" i="6"/>
  <c r="CA2" i="6"/>
  <c r="BP2" i="6"/>
  <c r="CO2" i="6"/>
  <c r="CQ2" i="6"/>
  <c r="B4" i="43"/>
  <c r="CL2" i="6"/>
  <c r="BM2" i="6"/>
  <c r="CH2" i="6"/>
  <c r="CG2" i="6"/>
  <c r="BV2" i="6"/>
  <c r="CC2" i="6"/>
  <c r="AQ2" i="6"/>
  <c r="AR2" i="6" s="1"/>
  <c r="BR2" i="6"/>
  <c r="BY2" i="6"/>
  <c r="BX2" i="6"/>
  <c r="BU2" i="6"/>
  <c r="CI2" i="6"/>
  <c r="BZ2" i="6"/>
  <c r="G2" i="6"/>
  <c r="CJ2" i="6"/>
  <c r="BQ2" i="6"/>
  <c r="CK2" i="6"/>
  <c r="F2" i="6"/>
  <c r="BT2" i="6"/>
  <c r="BS2" i="6"/>
  <c r="H2" i="6"/>
  <c r="DW2" i="6"/>
  <c r="AT2" i="6"/>
  <c r="AI4" i="6" l="1"/>
  <c r="AA6" i="43"/>
  <c r="AH4" i="6"/>
  <c r="AD6" i="43" s="1"/>
  <c r="AJ4" i="6"/>
  <c r="AL4" i="6"/>
  <c r="AN4" i="6" s="1"/>
  <c r="AF3" i="6"/>
  <c r="AB5" i="43" s="1"/>
  <c r="AE3" i="6"/>
  <c r="AA5" i="43" s="1"/>
  <c r="AC3" i="6"/>
  <c r="Y5" i="43" s="1"/>
  <c r="AG3" i="6"/>
  <c r="AC5" i="43" s="1"/>
  <c r="AD3" i="6"/>
  <c r="Z5" i="43" s="1"/>
  <c r="K4" i="43"/>
  <c r="J4" i="43"/>
  <c r="Y7" i="43"/>
  <c r="O4" i="43"/>
  <c r="L4" i="43"/>
  <c r="M4" i="43"/>
  <c r="N4" i="43"/>
  <c r="AD7" i="43"/>
  <c r="W2" i="6"/>
  <c r="I4" i="43"/>
  <c r="F4" i="43"/>
  <c r="T2" i="6"/>
  <c r="U2" i="6"/>
  <c r="CL27" i="35"/>
  <c r="CN27" i="35" s="1"/>
  <c r="CC27" i="35"/>
  <c r="CD27" i="35"/>
  <c r="X2" i="6"/>
  <c r="J2" i="6"/>
  <c r="V2" i="6"/>
  <c r="D4" i="43"/>
  <c r="BN2" i="6"/>
  <c r="N2" i="6"/>
  <c r="P4" i="43"/>
  <c r="BO2" i="6"/>
  <c r="L2" i="6"/>
  <c r="K2" i="6"/>
  <c r="E4" i="43"/>
  <c r="AS2" i="6"/>
  <c r="CB2" i="6"/>
  <c r="C4" i="43"/>
  <c r="AL3" i="6" l="1"/>
  <c r="AN3" i="6" s="1"/>
  <c r="AJ3" i="6"/>
  <c r="AK3" i="6"/>
  <c r="AI3" i="6"/>
  <c r="AH3" i="6"/>
  <c r="AD5" i="43" s="1"/>
  <c r="H4" i="43"/>
  <c r="G4" i="43"/>
  <c r="Q4" i="43"/>
  <c r="P2" i="6"/>
  <c r="Z2" i="6"/>
  <c r="AM2" i="6"/>
  <c r="CK27" i="35"/>
  <c r="Y2" i="6"/>
  <c r="AA2" i="6"/>
  <c r="Q2" i="6"/>
  <c r="R4" i="43"/>
  <c r="O2" i="6"/>
  <c r="AB2" i="6"/>
  <c r="R2" i="6"/>
  <c r="M2" i="6"/>
  <c r="S4" i="43"/>
  <c r="S2" i="6" l="1"/>
  <c r="T4" i="43"/>
  <c r="AE2" i="6"/>
  <c r="AL2" i="6" s="1"/>
  <c r="AN2" i="6" s="1"/>
  <c r="U4" i="43"/>
  <c r="V4" i="43"/>
  <c r="AD2" i="6"/>
  <c r="W4" i="43"/>
  <c r="AF2" i="6"/>
  <c r="X4" i="43"/>
  <c r="AG2" i="6"/>
  <c r="AC2" i="6"/>
  <c r="AK2" i="6" l="1"/>
  <c r="AA4" i="43"/>
  <c r="Y4" i="43"/>
  <c r="AJ2" i="6"/>
  <c r="AB4" i="43"/>
  <c r="Z4" i="43"/>
  <c r="AI2" i="6"/>
  <c r="AC4" i="43"/>
  <c r="AH2" i="6"/>
  <c r="AD4" i="43" l="1"/>
  <c r="BB450" i="3"/>
  <c r="BB448" i="3"/>
  <c r="BB446" i="3"/>
  <c r="BB447" i="3"/>
  <c r="BB445" i="3"/>
  <c r="BB449" i="3"/>
  <c r="BA447" i="3"/>
  <c r="BA448" i="3"/>
  <c r="BA445" i="3"/>
  <c r="BA449" i="3"/>
  <c r="BA446" i="3"/>
  <c r="BA450" i="3"/>
  <c r="AZ445" i="3"/>
  <c r="AZ446" i="3"/>
  <c r="AZ450" i="3"/>
  <c r="AZ448" i="3"/>
  <c r="AZ449" i="3"/>
  <c r="AZ447" i="3"/>
  <c r="AY445" i="3"/>
  <c r="AY449" i="3"/>
  <c r="AY447" i="3"/>
  <c r="AY446" i="3"/>
  <c r="AY450" i="3"/>
  <c r="AY448" i="3"/>
  <c r="BC446" i="3"/>
  <c r="BC450" i="3"/>
  <c r="BC447" i="3"/>
  <c r="BC445" i="3"/>
  <c r="BC449" i="3"/>
  <c r="BC448" i="3"/>
  <c r="AY472" i="3"/>
  <c r="R6" i="56"/>
  <c r="I116" i="3"/>
  <c r="K34" i="45" l="1"/>
  <c r="C12" i="53" l="1"/>
  <c r="K22" i="2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Rush, Meaghan C (US)</author>
    <author>tc={E5A40DFD-50DD-463A-9460-BB3827A3CEE9}</author>
  </authors>
  <commentList>
    <comment ref="B173" authorId="0" shapeId="0" xr:uid="{8D97D6DA-BF66-4E5B-9DA9-D11B25522177}">
      <text>
        <r>
          <rPr>
            <b/>
            <sz val="9"/>
            <color indexed="81"/>
            <rFont val="Tahoma"/>
            <family val="2"/>
          </rPr>
          <t>Rush, Meaghan C (US):</t>
        </r>
        <r>
          <rPr>
            <sz val="9"/>
            <color indexed="81"/>
            <rFont val="Tahoma"/>
            <family val="2"/>
          </rPr>
          <t xml:space="preserve">
Please view this other application for development tab on to see progress to this point.</t>
        </r>
      </text>
    </comment>
    <comment ref="B210" authorId="0" shapeId="0" xr:uid="{0AC1D8FC-75C1-4AE4-AF54-9DF243CB935B}">
      <text>
        <r>
          <rPr>
            <b/>
            <sz val="9"/>
            <color indexed="81"/>
            <rFont val="Tahoma"/>
            <family val="2"/>
          </rPr>
          <t>Rush, Meaghan C (US):</t>
        </r>
        <r>
          <rPr>
            <sz val="9"/>
            <color indexed="81"/>
            <rFont val="Tahoma"/>
            <family val="2"/>
          </rPr>
          <t xml:space="preserve">
Data validation to be updated
</t>
        </r>
      </text>
    </comment>
    <comment ref="B486" authorId="1" shapeId="0" xr:uid="{E5A40DFD-50DD-463A-9460-BB3827A3CEE9}">
      <text>
        <t>[Threaded comment]
Your version of Excel allows you to read this threaded comment; however, any edits to it will get removed if the file is opened in a newer version of Excel. Learn more: https://go.microsoft.com/fwlink/?linkid=870924
Comment:
    Smart thermostat savings from this tab are specifically from the units installed through the Home Comfort tab. There should be no more than one thermostat per unit, it would mess up savings.</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Evelyn Dean</author>
  </authors>
  <commentList>
    <comment ref="BQ27" authorId="0" shapeId="0" xr:uid="{00000000-0006-0000-0900-000005000000}">
      <text>
        <r>
          <rPr>
            <b/>
            <sz val="9"/>
            <color indexed="81"/>
            <rFont val="Tahoma"/>
            <family val="2"/>
          </rPr>
          <t>Evelyn Dean:</t>
        </r>
        <r>
          <rPr>
            <sz val="9"/>
            <color indexed="81"/>
            <rFont val="Tahoma"/>
            <family val="2"/>
          </rPr>
          <t xml:space="preserve">
Evelyn Dean:
Remove kW RS Savings based on 2019 Planning Tool</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Rush, Meaghan C (US)</author>
    <author>Molloy, Keith</author>
  </authors>
  <commentList>
    <comment ref="I1" authorId="0" shapeId="0" xr:uid="{00000000-0006-0000-0A00-000004000000}">
      <text>
        <r>
          <rPr>
            <b/>
            <sz val="9"/>
            <color indexed="81"/>
            <rFont val="Tahoma"/>
            <family val="2"/>
          </rPr>
          <t>Rush, Meaghan C (US):</t>
        </r>
        <r>
          <rPr>
            <sz val="9"/>
            <color indexed="81"/>
            <rFont val="Tahoma"/>
            <family val="2"/>
          </rPr>
          <t xml:space="preserve">
Was Gross</t>
        </r>
      </text>
    </comment>
    <comment ref="J1" authorId="0" shapeId="0" xr:uid="{2D588026-BCDE-4B91-8FE6-10D642D81B6C}">
      <text>
        <r>
          <rPr>
            <b/>
            <sz val="9"/>
            <color indexed="81"/>
            <rFont val="Tahoma"/>
            <family val="2"/>
          </rPr>
          <t>Rush, Meaghan C (US):</t>
        </r>
        <r>
          <rPr>
            <sz val="9"/>
            <color indexed="81"/>
            <rFont val="Tahoma"/>
            <family val="2"/>
          </rPr>
          <t xml:space="preserve">
change to old name. will have new name in Captures</t>
        </r>
      </text>
    </comment>
    <comment ref="K1" authorId="0" shapeId="0" xr:uid="{4DECA2BF-C70E-4A5F-BDED-8A1E024AAF0B}">
      <text>
        <r>
          <rPr>
            <b/>
            <sz val="9"/>
            <color indexed="81"/>
            <rFont val="Tahoma"/>
            <family val="2"/>
          </rPr>
          <t>Rush, Meaghan C (US):</t>
        </r>
        <r>
          <rPr>
            <sz val="9"/>
            <color indexed="81"/>
            <rFont val="Tahoma"/>
            <family val="2"/>
          </rPr>
          <t xml:space="preserve">
Not sure how to capture BE for Samrt thermostats yet
</t>
        </r>
      </text>
    </comment>
    <comment ref="O1" authorId="0" shapeId="0" xr:uid="{00000000-0006-0000-0A00-000005000000}">
      <text>
        <r>
          <rPr>
            <b/>
            <sz val="9"/>
            <color indexed="81"/>
            <rFont val="Tahoma"/>
            <family val="2"/>
          </rPr>
          <t>Rush, Meaghan C (US):</t>
        </r>
        <r>
          <rPr>
            <sz val="9"/>
            <color indexed="81"/>
            <rFont val="Tahoma"/>
            <family val="2"/>
          </rPr>
          <t xml:space="preserve">
Was Utility Gross</t>
        </r>
      </text>
    </comment>
    <comment ref="Y1" authorId="0" shapeId="0" xr:uid="{00000000-0006-0000-0A00-000006000000}">
      <text>
        <r>
          <rPr>
            <b/>
            <sz val="9"/>
            <color indexed="81"/>
            <rFont val="Tahoma"/>
            <family val="2"/>
          </rPr>
          <t>Rush, Meaghan C (US):</t>
        </r>
        <r>
          <rPr>
            <sz val="9"/>
            <color indexed="81"/>
            <rFont val="Tahoma"/>
            <family val="2"/>
          </rPr>
          <t xml:space="preserve">
Was Net </t>
        </r>
      </text>
    </comment>
    <comment ref="AD1" authorId="0" shapeId="0" xr:uid="{00000000-0006-0000-0A00-000007000000}">
      <text>
        <r>
          <rPr>
            <b/>
            <sz val="9"/>
            <color indexed="81"/>
            <rFont val="Tahoma"/>
            <family val="2"/>
          </rPr>
          <t>Rush, Meaghan C (US):</t>
        </r>
        <r>
          <rPr>
            <sz val="9"/>
            <color indexed="81"/>
            <rFont val="Tahoma"/>
            <family val="2"/>
          </rPr>
          <t xml:space="preserve">
Was Total Net</t>
        </r>
      </text>
    </comment>
    <comment ref="BY1" authorId="0" shapeId="0" xr:uid="{00000000-0006-0000-0A00-000001000000}">
      <text>
        <r>
          <rPr>
            <b/>
            <sz val="9"/>
            <color indexed="81"/>
            <rFont val="Tahoma"/>
            <family val="2"/>
          </rPr>
          <t>Rush, Meaghan C (US):</t>
        </r>
        <r>
          <rPr>
            <sz val="9"/>
            <color indexed="81"/>
            <rFont val="Tahoma"/>
            <family val="2"/>
          </rPr>
          <t xml:space="preserve">
Depending on the other worksheets
This or "Tons" should be changed</t>
        </r>
      </text>
    </comment>
    <comment ref="CA1" authorId="0" shapeId="0" xr:uid="{00000000-0006-0000-0A00-000008000000}">
      <text>
        <r>
          <rPr>
            <b/>
            <sz val="9"/>
            <color indexed="81"/>
            <rFont val="Tahoma"/>
            <family val="2"/>
          </rPr>
          <t>Rush, Meaghan C (US):</t>
        </r>
        <r>
          <rPr>
            <sz val="9"/>
            <color indexed="81"/>
            <rFont val="Tahoma"/>
            <family val="2"/>
          </rPr>
          <t xml:space="preserve">
Was Manual J</t>
        </r>
      </text>
    </comment>
    <comment ref="CM1" authorId="1" shapeId="0" xr:uid="{00000000-0006-0000-0A00-000002000000}">
      <text>
        <r>
          <rPr>
            <b/>
            <sz val="9"/>
            <color indexed="81"/>
            <rFont val="Tahoma"/>
            <family val="2"/>
          </rPr>
          <t>Molloy, Keith:</t>
        </r>
        <r>
          <rPr>
            <sz val="9"/>
            <color indexed="81"/>
            <rFont val="Tahoma"/>
            <family val="2"/>
          </rPr>
          <t xml:space="preserve">
Remove kW RS Savings based on 2019 Planning Tool</t>
        </r>
      </text>
    </comment>
    <comment ref="CP1" authorId="1" shapeId="0" xr:uid="{00000000-0006-0000-0A00-000003000000}">
      <text>
        <r>
          <rPr>
            <b/>
            <sz val="9"/>
            <color indexed="81"/>
            <rFont val="Tahoma"/>
            <family val="2"/>
          </rPr>
          <t>Molloy, Keith:</t>
        </r>
        <r>
          <rPr>
            <sz val="9"/>
            <color indexed="81"/>
            <rFont val="Tahoma"/>
            <family val="2"/>
          </rPr>
          <t xml:space="preserve">
Remove kW RS Savings based on 2019 Planning Tool</t>
        </r>
      </text>
    </comment>
    <comment ref="DH1" authorId="0" shapeId="0" xr:uid="{2F6C77E0-5CB6-4294-9BB5-343A21A2202D}">
      <text>
        <r>
          <rPr>
            <b/>
            <sz val="9"/>
            <color indexed="81"/>
            <rFont val="Tahoma"/>
            <family val="2"/>
          </rPr>
          <t>Rush, Meaghan C (US):</t>
        </r>
        <r>
          <rPr>
            <sz val="9"/>
            <color indexed="81"/>
            <rFont val="Tahoma"/>
            <family val="2"/>
          </rPr>
          <t xml:space="preserve">
Standard calls "kWbaseline". Change to match Refrigeration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Dean, Evelyn</author>
    <author>tc={01CC2E3D-B59F-45D2-9047-F48BF9E851A8}</author>
    <author>Rush, Meaghan C (US)</author>
    <author>Molloy, Keith</author>
  </authors>
  <commentList>
    <comment ref="AC8" authorId="0" shapeId="0" xr:uid="{C8FFEE71-B0F1-4BAB-9C69-01A644C6E3B0}">
      <text>
        <r>
          <rPr>
            <b/>
            <sz val="9"/>
            <color indexed="81"/>
            <rFont val="Tahoma"/>
            <family val="2"/>
          </rPr>
          <t>Dean, Evelyn:</t>
        </r>
        <r>
          <rPr>
            <sz val="9"/>
            <color indexed="81"/>
            <rFont val="Tahoma"/>
            <family val="2"/>
          </rPr>
          <t xml:space="preserve">
avg between T8 and T12 replacements</t>
        </r>
      </text>
    </comment>
    <comment ref="AF8" authorId="1" shapeId="0" xr:uid="{01CC2E3D-B59F-45D2-9047-F48BF9E851A8}">
      <text>
        <t>[Threaded comment]
Your version of Excel allows you to read this threaded comment; however, any edits to it will get removed if the file is opened in a newer version of Excel. Learn more: https://go.microsoft.com/fwlink/?linkid=870924
Comment:
    validate lpw for T8 and T5 systems</t>
      </text>
    </comment>
    <comment ref="B55" authorId="2" shapeId="0" xr:uid="{A9919039-9BAE-479C-81EE-61C0F6B41082}">
      <text>
        <r>
          <rPr>
            <b/>
            <sz val="9"/>
            <color indexed="81"/>
            <rFont val="Tahoma"/>
            <family val="2"/>
          </rPr>
          <t>Rush, Meaghan C (US):</t>
        </r>
        <r>
          <rPr>
            <sz val="9"/>
            <color indexed="81"/>
            <rFont val="Tahoma"/>
            <family val="2"/>
          </rPr>
          <t xml:space="preserve">
Average of selectable billing type HVACg from NYS TRM assume AC w/gas</t>
        </r>
      </text>
    </comment>
    <comment ref="B64" authorId="3" shapeId="0" xr:uid="{91F40957-79CD-4291-82C2-F296AE77B952}">
      <text>
        <r>
          <rPr>
            <b/>
            <sz val="9"/>
            <color indexed="81"/>
            <rFont val="Tahoma"/>
            <family val="2"/>
          </rPr>
          <t>Molloy, Keith:</t>
        </r>
        <r>
          <rPr>
            <sz val="9"/>
            <color indexed="81"/>
            <rFont val="Tahoma"/>
            <family val="2"/>
          </rPr>
          <t xml:space="preserve">
eGRID subregion annual CO2 non-baseload output emission rate (lb/MWh), NPCC Long Island
</t>
        </r>
      </text>
    </comment>
    <comment ref="B79" authorId="2" shapeId="0" xr:uid="{3D203655-839D-4BE4-92A3-72745844B80E}">
      <text>
        <r>
          <rPr>
            <b/>
            <sz val="9"/>
            <color indexed="81"/>
            <rFont val="Tahoma"/>
            <family val="2"/>
          </rPr>
          <t>Rush, Meaghan C (US):</t>
        </r>
        <r>
          <rPr>
            <sz val="9"/>
            <color indexed="81"/>
            <rFont val="Tahoma"/>
            <family val="2"/>
          </rPr>
          <t xml:space="preserve">
Average of selectable billing type HVACg from NYS TRM assume AC w/gas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Rush, Meaghan</author>
  </authors>
  <commentList>
    <comment ref="I9" authorId="0" shapeId="0" xr:uid="{5AE4F3BE-5BBB-4EB9-B20B-DA52F802ED8F}">
      <text>
        <r>
          <rPr>
            <b/>
            <sz val="9"/>
            <color indexed="81"/>
            <rFont val="Tahoma"/>
            <family val="2"/>
          </rPr>
          <t>Rush, Meaghan:</t>
        </r>
        <r>
          <rPr>
            <sz val="9"/>
            <color indexed="81"/>
            <rFont val="Tahoma"/>
            <family val="2"/>
          </rPr>
          <t xml:space="preserve">
For EEP HP dryers are EEP-320.
Remove HP.</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Michael Gentile</author>
    <author>Molloy, Keith</author>
    <author>Rush, Meaghan C (US)</author>
  </authors>
  <commentList>
    <comment ref="U3" authorId="0" shapeId="0" xr:uid="{00000000-0006-0000-0E00-000001000000}">
      <text>
        <r>
          <rPr>
            <b/>
            <sz val="9"/>
            <color indexed="81"/>
            <rFont val="Tahoma"/>
            <family val="2"/>
          </rPr>
          <t>Michael Gentile:</t>
        </r>
        <r>
          <rPr>
            <sz val="9"/>
            <color indexed="81"/>
            <rFont val="Tahoma"/>
            <family val="2"/>
          </rPr>
          <t xml:space="preserve">
Do we want to fill out the rest of these existing criteria keys?</t>
        </r>
      </text>
    </comment>
    <comment ref="AN3" authorId="0" shapeId="0" xr:uid="{00000000-0006-0000-0E00-000002000000}">
      <text>
        <r>
          <rPr>
            <b/>
            <sz val="9"/>
            <color indexed="81"/>
            <rFont val="Tahoma"/>
            <family val="2"/>
          </rPr>
          <t>Michael Gentile:</t>
        </r>
        <r>
          <rPr>
            <sz val="9"/>
            <color indexed="81"/>
            <rFont val="Tahoma"/>
            <family val="2"/>
          </rPr>
          <t xml:space="preserve">
Added SEER/IEER requirements as per Eligibility Table</t>
        </r>
      </text>
    </comment>
    <comment ref="S9" authorId="0" shapeId="0" xr:uid="{00000000-0006-0000-0E00-000004000000}">
      <text>
        <r>
          <rPr>
            <b/>
            <sz val="9"/>
            <color indexed="81"/>
            <rFont val="Tahoma"/>
            <family val="2"/>
          </rPr>
          <t>Michael Gentile:</t>
        </r>
        <r>
          <rPr>
            <sz val="9"/>
            <color indexed="81"/>
            <rFont val="Tahoma"/>
            <family val="2"/>
          </rPr>
          <t xml:space="preserve">
Should these units be allowed to replace Room A/Cs or Other?</t>
        </r>
      </text>
    </comment>
    <comment ref="B21" authorId="1" shapeId="0" xr:uid="{00000000-0006-0000-0E00-000006000000}">
      <text>
        <r>
          <rPr>
            <b/>
            <sz val="9"/>
            <color indexed="81"/>
            <rFont val="Tahoma"/>
            <family val="2"/>
          </rPr>
          <t>Molloy, Keith:</t>
        </r>
        <r>
          <rPr>
            <sz val="9"/>
            <color indexed="81"/>
            <rFont val="Tahoma"/>
            <family val="2"/>
          </rPr>
          <t xml:space="preserve">
eGRID subregion annual CO2 non-baseload output emission rate (lb/MWh), NPCC Long Island
</t>
        </r>
      </text>
    </comment>
    <comment ref="S27" authorId="0" shapeId="0" xr:uid="{00000000-0006-0000-0E00-000008000000}">
      <text>
        <r>
          <rPr>
            <b/>
            <sz val="9"/>
            <color indexed="81"/>
            <rFont val="Tahoma"/>
            <family val="2"/>
          </rPr>
          <t>Michael Gentile:</t>
        </r>
        <r>
          <rPr>
            <sz val="9"/>
            <color indexed="81"/>
            <rFont val="Tahoma"/>
            <family val="2"/>
          </rPr>
          <t xml:space="preserve">
Should these be allowed to replace Room A/Cs?</t>
        </r>
      </text>
    </comment>
    <comment ref="V42" authorId="2" shapeId="0" xr:uid="{015FE2F7-88E6-4C8B-9135-157CBDDF6599}">
      <text>
        <r>
          <rPr>
            <b/>
            <sz val="9"/>
            <color indexed="81"/>
            <rFont val="Tahoma"/>
            <family val="2"/>
          </rPr>
          <t>Rush, Meaghan C (US):</t>
        </r>
        <r>
          <rPr>
            <sz val="9"/>
            <color indexed="81"/>
            <rFont val="Tahoma"/>
            <family val="2"/>
          </rPr>
          <t xml:space="preserve">
Split system is more common residentially. Most cold climate HPs will cater to that. Split will have higher efficiency</t>
        </r>
      </text>
    </comment>
    <comment ref="AM55" authorId="0" shapeId="0" xr:uid="{00000000-0006-0000-0E00-00000C000000}">
      <text>
        <r>
          <rPr>
            <b/>
            <sz val="9"/>
            <color indexed="81"/>
            <rFont val="Tahoma"/>
            <family val="2"/>
          </rPr>
          <t>Michael Gentile:</t>
        </r>
        <r>
          <rPr>
            <sz val="9"/>
            <color indexed="81"/>
            <rFont val="Tahoma"/>
            <family val="2"/>
          </rPr>
          <t xml:space="preserve">
Removed VRFs.  They do not get AC retrofit rebates</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Molloy, Keith</author>
    <author>Rush, Meaghan</author>
    <author>Barnett, Nathan</author>
    <author>Rush, Meaghan C (US)</author>
    <author>Evelyn Dean</author>
    <author>Froio, Zach</author>
    <author>tc={268ED2DB-9063-4C12-93BA-2FECB5D7783D}</author>
    <author>tc={F82AB769-4C7F-4042-A233-175D8A5ADB2E}</author>
    <author>tc={B6CAE899-28A6-42A0-857E-E6829BB8C4E2}</author>
    <author>tc={D097C49E-E7E8-4D8C-9254-087D41D7AC20}</author>
    <author>Dean, Evelyn (US)</author>
  </authors>
  <commentList>
    <comment ref="A12" authorId="0" shapeId="0" xr:uid="{00000000-0006-0000-0900-000002000000}">
      <text>
        <r>
          <rPr>
            <b/>
            <sz val="9"/>
            <color indexed="81"/>
            <rFont val="Tahoma"/>
            <family val="2"/>
          </rPr>
          <t>Molloy, Keith:</t>
        </r>
        <r>
          <rPr>
            <sz val="9"/>
            <color indexed="81"/>
            <rFont val="Tahoma"/>
            <family val="2"/>
          </rPr>
          <t xml:space="preserve">
eGRID subregion annual CO2 non-baseload output emission rate (lb/MWh), NPCC Long Island
</t>
        </r>
      </text>
    </comment>
    <comment ref="H19" authorId="1" shapeId="0" xr:uid="{26EC094D-1118-48FB-ABFB-D0B5E30C47B8}">
      <text>
        <r>
          <rPr>
            <b/>
            <sz val="9"/>
            <color indexed="81"/>
            <rFont val="Tahoma"/>
            <family val="2"/>
          </rPr>
          <t>Rush, Meaghan:</t>
        </r>
        <r>
          <rPr>
            <sz val="9"/>
            <color indexed="81"/>
            <rFont val="Tahoma"/>
            <family val="2"/>
          </rPr>
          <t xml:space="preserve">
add ccASHP</t>
        </r>
      </text>
    </comment>
    <comment ref="CH23" authorId="2" shapeId="0" xr:uid="{25AD74F7-2695-4178-8EB9-AB935ECD45A4}">
      <text>
        <r>
          <rPr>
            <b/>
            <sz val="9"/>
            <color indexed="81"/>
            <rFont val="Tahoma"/>
            <family val="2"/>
          </rPr>
          <t>Barnett, Nathan:</t>
        </r>
        <r>
          <rPr>
            <sz val="9"/>
            <color indexed="81"/>
            <rFont val="Tahoma"/>
            <family val="2"/>
          </rPr>
          <t xml:space="preserve">
This is an average of CEER ratings for various AC capacities from the NYS TRM (converted to SEER)</t>
        </r>
      </text>
    </comment>
    <comment ref="FB24" authorId="3" shapeId="0" xr:uid="{266C9859-460B-44C9-9C28-98A691376E43}">
      <text>
        <r>
          <rPr>
            <b/>
            <sz val="9"/>
            <color indexed="81"/>
            <rFont val="Tahoma"/>
            <family val="2"/>
          </rPr>
          <t>Rush, Meaghan C (US):</t>
        </r>
        <r>
          <rPr>
            <sz val="9"/>
            <color indexed="81"/>
            <rFont val="Tahoma"/>
            <family val="2"/>
          </rPr>
          <t xml:space="preserve">
NYS TRM
</t>
        </r>
      </text>
    </comment>
    <comment ref="U27" authorId="4" shapeId="0" xr:uid="{00000000-0006-0000-0900-000004000000}">
      <text>
        <r>
          <rPr>
            <b/>
            <sz val="9"/>
            <color indexed="81"/>
            <rFont val="Tahoma"/>
            <family val="2"/>
          </rPr>
          <t>Evelyn Dean:</t>
        </r>
        <r>
          <rPr>
            <sz val="9"/>
            <color indexed="81"/>
            <rFont val="Tahoma"/>
            <family val="2"/>
          </rPr>
          <t xml:space="preserve">
Remove kW RS Savings based on 2019 Planning Tool</t>
        </r>
      </text>
    </comment>
    <comment ref="BS38" authorId="5" shapeId="0" xr:uid="{00000000-0006-0000-0C00-000003000000}">
      <text>
        <r>
          <rPr>
            <sz val="9"/>
            <color indexed="81"/>
            <rFont val="Tahoma"/>
            <family val="2"/>
          </rPr>
          <t xml:space="preserve">
NYSERDA Analysis of Residential Heat Pump Potential and Economics - Update May 2019</t>
        </r>
      </text>
    </comment>
    <comment ref="BX43" authorId="3" shapeId="0" xr:uid="{82AFD16E-C926-48B0-90D1-F43F511732E8}">
      <text>
        <r>
          <rPr>
            <b/>
            <sz val="9"/>
            <color indexed="81"/>
            <rFont val="Tahoma"/>
            <family val="2"/>
          </rPr>
          <t>Rush, Meaghan C (US):</t>
        </r>
        <r>
          <rPr>
            <sz val="9"/>
            <color indexed="81"/>
            <rFont val="Tahoma"/>
            <family val="2"/>
          </rPr>
          <t xml:space="preserve">
https://www.epa.gov/sites/production/files/2017-02/documents/egrid2014_summarytables_v2.pdf</t>
        </r>
      </text>
    </comment>
    <comment ref="K48" authorId="0" shapeId="0" xr:uid="{00000000-0006-0000-0900-000003000000}">
      <text>
        <r>
          <rPr>
            <b/>
            <sz val="9"/>
            <color indexed="81"/>
            <rFont val="Tahoma"/>
            <family val="2"/>
          </rPr>
          <t>Molloy, Keith:</t>
        </r>
        <r>
          <rPr>
            <sz val="9"/>
            <color indexed="81"/>
            <rFont val="Tahoma"/>
            <family val="2"/>
          </rPr>
          <t xml:space="preserve">
Includes 80% displacement factor as per LM PSEGLI_ASHP analysis 12182018_r7_with kW calc</t>
        </r>
      </text>
    </comment>
    <comment ref="CC49" authorId="6" shapeId="0" xr:uid="{268ED2DB-9063-4C12-93BA-2FECB5D7783D}">
      <text>
        <t>[Threaded comment]
Your version of Excel allows you to read this threaded comment; however, any edits to it will get removed if the file is opened in a newer version of Excel. Learn more: https://go.microsoft.com/fwlink/?linkid=870924
Comment:
    Correction for 9% change in EER as entering fluid temperature decreases from 77F to 68F -NYS TRM</t>
      </text>
    </comment>
    <comment ref="CC50" authorId="7" shapeId="0" xr:uid="{F82AB769-4C7F-4042-A233-175D8A5ADB2E}">
      <text>
        <t>[Threaded comment]
Your version of Excel allows you to read this threaded comment; however, any edits to it will get removed if the file is opened in a newer version of Excel. Learn more: https://go.microsoft.com/fwlink/?linkid=870924
Comment:
    Correction for 8% change in COP as entering fluid temperature increases from 32F to 40F - NYS TRM</t>
      </text>
    </comment>
    <comment ref="AF67" authorId="1" shapeId="0" xr:uid="{45BF1926-6935-4B2F-9626-3B3D088BA7DE}">
      <text>
        <r>
          <rPr>
            <b/>
            <sz val="9"/>
            <color indexed="81"/>
            <rFont val="Tahoma"/>
            <family val="2"/>
          </rPr>
          <t>Rush, Meaghan:</t>
        </r>
        <r>
          <rPr>
            <sz val="9"/>
            <color indexed="81"/>
            <rFont val="Tahoma"/>
            <family val="2"/>
          </rPr>
          <t xml:space="preserve">
Same as Integrated/Fixed
</t>
        </r>
      </text>
    </comment>
    <comment ref="AX76" authorId="8" shapeId="0" xr:uid="{B6CAE899-28A6-42A0-857E-E6829BB8C4E2}">
      <text>
        <t>[Threaded comment]
Your version of Excel allows you to read this threaded comment; however, any edits to it will get removed if the file is opened in a newer version of Excel. Learn more: https://go.microsoft.com/fwlink/?linkid=870924
Comment:
    If no difference is specified in TRM assume = attic</t>
      </text>
    </comment>
    <comment ref="AX77" authorId="9" shapeId="0" xr:uid="{D097C49E-E7E8-4D8C-9254-087D41D7AC20}">
      <text>
        <t>[Threaded comment]
Your version of Excel allows you to read this threaded comment; however, any edits to it will get removed if the file is opened in a newer version of Excel. Learn more: https://go.microsoft.com/fwlink/?linkid=870924
Comment:
    Per Steve W.-Crawl spaces will be have to be vented if unconditioned</t>
      </text>
    </comment>
    <comment ref="CG85" authorId="1" shapeId="0" xr:uid="{00000000-0006-0000-0C00-000005000000}">
      <text>
        <r>
          <rPr>
            <b/>
            <sz val="9"/>
            <color indexed="81"/>
            <rFont val="Tahoma"/>
            <family val="2"/>
          </rPr>
          <t>Rush, Meaghan:</t>
        </r>
        <r>
          <rPr>
            <sz val="9"/>
            <color indexed="81"/>
            <rFont val="Tahoma"/>
            <family val="2"/>
          </rPr>
          <t xml:space="preserve">
Are we updating baseline for NC to
 blended</t>
        </r>
      </text>
    </comment>
    <comment ref="AZ91" authorId="3" shapeId="0" xr:uid="{7A8A1EB0-591C-49D8-8819-B14A70FEE625}">
      <text>
        <r>
          <rPr>
            <b/>
            <sz val="9"/>
            <color indexed="81"/>
            <rFont val="Tahoma"/>
            <family val="2"/>
          </rPr>
          <t>Rush, Meaghan C (US):</t>
        </r>
        <r>
          <rPr>
            <sz val="9"/>
            <color indexed="81"/>
            <rFont val="Tahoma"/>
            <family val="2"/>
          </rPr>
          <t xml:space="preserve">
For Winter kW calcs
</t>
        </r>
      </text>
    </comment>
    <comment ref="AX94" authorId="10" shapeId="0" xr:uid="{F9EDF38B-8244-44D4-8D26-BA01175B2051}">
      <text>
        <r>
          <rPr>
            <b/>
            <sz val="9"/>
            <color indexed="81"/>
            <rFont val="Tahoma"/>
            <family val="2"/>
          </rPr>
          <t>Dean, Evelyn (US):</t>
        </r>
        <r>
          <rPr>
            <sz val="9"/>
            <color indexed="81"/>
            <rFont val="Tahoma"/>
            <family val="2"/>
          </rPr>
          <t xml:space="preserve">
Wall Insulation and Ceiling Insulation Tables are from NYS TRM V7 and use NYC Data</t>
        </r>
      </text>
    </comment>
  </commentList>
</comments>
</file>

<file path=xl/sharedStrings.xml><?xml version="1.0" encoding="utf-8"?>
<sst xmlns="http://schemas.openxmlformats.org/spreadsheetml/2006/main" count="14046" uniqueCount="5727">
  <si>
    <t>City:</t>
  </si>
  <si>
    <t>Zip:</t>
  </si>
  <si>
    <t>Business Phone:</t>
  </si>
  <si>
    <t>Contact Name/Title:</t>
  </si>
  <si>
    <t>E-Mail Address:</t>
  </si>
  <si>
    <t>Fax:</t>
  </si>
  <si>
    <t>Contractor Information</t>
  </si>
  <si>
    <t>Contractor Name:</t>
  </si>
  <si>
    <t>Contractor Address:</t>
  </si>
  <si>
    <t>Date:</t>
  </si>
  <si>
    <t>Customer Name:</t>
  </si>
  <si>
    <t>Contractor Signature:</t>
  </si>
  <si>
    <t>SEER</t>
  </si>
  <si>
    <t>EER</t>
  </si>
  <si>
    <t>HSPF</t>
  </si>
  <si>
    <t>Contractor</t>
  </si>
  <si>
    <t>YES</t>
  </si>
  <si>
    <t>NO</t>
  </si>
  <si>
    <t>Ducted ASHP</t>
  </si>
  <si>
    <t>Ducted Split CAC</t>
  </si>
  <si>
    <t>Efficiency Requirements</t>
  </si>
  <si>
    <t>Eligible Equipment</t>
  </si>
  <si>
    <t>Tier</t>
  </si>
  <si>
    <t>1.</t>
  </si>
  <si>
    <t>2.</t>
  </si>
  <si>
    <t>3.</t>
  </si>
  <si>
    <t>4.</t>
  </si>
  <si>
    <t>5.</t>
  </si>
  <si>
    <t>6.</t>
  </si>
  <si>
    <t>Instructions:</t>
  </si>
  <si>
    <t>Ducts Tested?</t>
  </si>
  <si>
    <t>Ducts Sealed?</t>
  </si>
  <si>
    <t>Tier I SEER</t>
  </si>
  <si>
    <t>Tier I</t>
  </si>
  <si>
    <t>Tier II</t>
  </si>
  <si>
    <t>*</t>
  </si>
  <si>
    <t>New</t>
  </si>
  <si>
    <t>Class Name</t>
  </si>
  <si>
    <t>Product Line</t>
  </si>
  <si>
    <t>Product Name</t>
  </si>
  <si>
    <t>BaseLine Row_ID</t>
  </si>
  <si>
    <t xml:space="preserve">New </t>
  </si>
  <si>
    <t>Existing</t>
  </si>
  <si>
    <t>Cooling - HVAC Equipment</t>
  </si>
  <si>
    <t>CH - CAC New TIER 1</t>
  </si>
  <si>
    <t>CH - CAC New TIER 2</t>
  </si>
  <si>
    <t>Cool Homes Ductless</t>
  </si>
  <si>
    <t>Residential HVAC - Other</t>
  </si>
  <si>
    <t>New Ducted Split CAC Tier I</t>
  </si>
  <si>
    <t>New Ducted Split CAC Tier II</t>
  </si>
  <si>
    <t>New Ducted ASHP Tier I</t>
  </si>
  <si>
    <t>New Ducted ASHP Tier II</t>
  </si>
  <si>
    <t>Baseline EER</t>
  </si>
  <si>
    <t>Baseline SEER</t>
  </si>
  <si>
    <t>Elec Util Cust Incentive</t>
  </si>
  <si>
    <t>Full Load Hours Cool</t>
  </si>
  <si>
    <t>Baseline HSPF</t>
  </si>
  <si>
    <t>Full Load Hours Heat</t>
  </si>
  <si>
    <t>n/a</t>
  </si>
  <si>
    <t>Efficiency</t>
  </si>
  <si>
    <t>Equipment_Type</t>
  </si>
  <si>
    <t>Yes_No</t>
  </si>
  <si>
    <t>Installations must have visible and accessible ports for airflow and temperature measurements. Ports must be sealed with contrasting color plugs. Please indicate</t>
  </si>
  <si>
    <t>location of test ports:</t>
  </si>
  <si>
    <t>Copy of table or graph supplied by manufacturer and used to estimate airflow must be attached to this form.</t>
  </si>
  <si>
    <t>Convert Pascals to inches of WC as pascals X 249.09</t>
  </si>
  <si>
    <t xml:space="preserve">Notes: </t>
  </si>
  <si>
    <t>Airflow</t>
  </si>
  <si>
    <t>Refrigerant Type:</t>
  </si>
  <si>
    <t>(specify)</t>
  </si>
  <si>
    <t>Outdoor Unit Capacity:</t>
  </si>
  <si>
    <t>Ounces:</t>
  </si>
  <si>
    <t>CAC</t>
  </si>
  <si>
    <t>Existing Equipment</t>
  </si>
  <si>
    <t>kW RS</t>
  </si>
  <si>
    <t>QI Savings</t>
  </si>
  <si>
    <t>kW C&amp;A</t>
  </si>
  <si>
    <t>kWh</t>
  </si>
  <si>
    <t>Model Number</t>
  </si>
  <si>
    <t>Serial Number</t>
  </si>
  <si>
    <t>Manufacturer</t>
  </si>
  <si>
    <t>Does this capacity include an allowance for an evaporator ?</t>
  </si>
  <si>
    <t>Does this capacity include an allowance for a line set?</t>
  </si>
  <si>
    <t>Allowed in set length</t>
  </si>
  <si>
    <t>feet</t>
  </si>
  <si>
    <t>(A) Suction Line Outside Diameter</t>
  </si>
  <si>
    <t>inches</t>
  </si>
  <si>
    <t>Net length*</t>
  </si>
  <si>
    <t>x</t>
  </si>
  <si>
    <t>ounces/foot</t>
  </si>
  <si>
    <t>=</t>
  </si>
  <si>
    <t>ounces</t>
  </si>
  <si>
    <t>*Net Length = Measured Length Minus (-) Allowed Length</t>
  </si>
  <si>
    <t>Total charge weighed in (A) + (B) + (C)</t>
  </si>
  <si>
    <t>Note: Copy of table or graph supplied by manufacturer and used to estimate charge must be attached to this form.</t>
  </si>
  <si>
    <t>Inputs</t>
  </si>
  <si>
    <t>Refrigerant Type</t>
  </si>
  <si>
    <t>Charging Method Used:</t>
  </si>
  <si>
    <t>Manufacturer Specified Superheat</t>
  </si>
  <si>
    <t>Indoor Wet Bulb Temperature</t>
  </si>
  <si>
    <t>Outdoor Dry Bulb Temperature</t>
  </si>
  <si>
    <t>°F</t>
  </si>
  <si>
    <t>Measurements</t>
  </si>
  <si>
    <t>Vapor (suction) pressure</t>
  </si>
  <si>
    <t>(D) Saturation temperature for measured pressure</t>
  </si>
  <si>
    <t>(E) Vapor (suction) line temperature near compressor</t>
  </si>
  <si>
    <t>psig</t>
  </si>
  <si>
    <t>*Measured Superheat (E minus D)</t>
  </si>
  <si>
    <t>*Measured Superheat must be within 5°F of the manufacturer specified Superheat.</t>
  </si>
  <si>
    <t>Note: A copy of the documentation of the manufacturer's specified superheat for the installed equipment must be attached to this form.</t>
  </si>
  <si>
    <t>Required Subcooling:</t>
  </si>
  <si>
    <t>Outdoor Dry Bulb Temperature:</t>
  </si>
  <si>
    <t>Liquid Line Pressure</t>
  </si>
  <si>
    <t>(F) Saturation temperature for measured pressure</t>
  </si>
  <si>
    <t>(G) Liquid Line temperature</t>
  </si>
  <si>
    <t>*Measured Subcooling (F minus G)</t>
  </si>
  <si>
    <t>*Measured Subcooling must be within 3°F of the manufacturer specified Subcooling.</t>
  </si>
  <si>
    <t>Note: A copy of the documentation of the manufacturer's specified subcooling for the installed equipment must be attached to this form</t>
  </si>
  <si>
    <t>Manual J</t>
  </si>
  <si>
    <t>7.</t>
  </si>
  <si>
    <t>All qualifying units installed at a residence must be documented on the same application (additional sheets may be attached if necessary)</t>
  </si>
  <si>
    <t>Please allow up to 60 days for the delivery of the rebate check or bill credit</t>
  </si>
  <si>
    <t>8.</t>
  </si>
  <si>
    <t>9.</t>
  </si>
  <si>
    <t>10.</t>
  </si>
  <si>
    <t>11.</t>
  </si>
  <si>
    <t>12.</t>
  </si>
  <si>
    <t>13.</t>
  </si>
  <si>
    <t>14.</t>
  </si>
  <si>
    <t>15.</t>
  </si>
  <si>
    <t>16.</t>
  </si>
  <si>
    <t>Rebate Lookup Table*</t>
  </si>
  <si>
    <t>Post Installation/Airflow &amp; Refrigerant Charge Form</t>
  </si>
  <si>
    <t>For Ducted Systems Only</t>
  </si>
  <si>
    <t>Equipment Data</t>
  </si>
  <si>
    <t>Model No.</t>
  </si>
  <si>
    <t xml:space="preserve">Unit Number: </t>
  </si>
  <si>
    <t>Application ID</t>
  </si>
  <si>
    <t xml:space="preserve">Customer Verification Statement: </t>
  </si>
  <si>
    <t>Customer Name:
(Print)</t>
  </si>
  <si>
    <t>Customer Signature:</t>
  </si>
  <si>
    <t>Geothermal Loop Type</t>
  </si>
  <si>
    <t>QI kW RS Factor</t>
  </si>
  <si>
    <t>QI kWh Factor</t>
  </si>
  <si>
    <t>Exist Model</t>
  </si>
  <si>
    <t>Pass/Fail</t>
  </si>
  <si>
    <t>Product Quantity</t>
  </si>
  <si>
    <t>Exist Mfr</t>
  </si>
  <si>
    <t>QI kW C and A</t>
  </si>
  <si>
    <t>QI kW RS</t>
  </si>
  <si>
    <t>QI kWh</t>
  </si>
  <si>
    <t>Unit 1</t>
  </si>
  <si>
    <t>Unit 2</t>
  </si>
  <si>
    <t>QI Savings Calculations</t>
  </si>
  <si>
    <t>Condenser Manufacturer</t>
  </si>
  <si>
    <t>Condenser Model</t>
  </si>
  <si>
    <t>Condenser Serial#</t>
  </si>
  <si>
    <t>Coil/Air Handler Manufacturer</t>
  </si>
  <si>
    <t>Coil/Air Handler Model</t>
  </si>
  <si>
    <t>Coil/Air Handler Serial#</t>
  </si>
  <si>
    <t>Manual J btu Range</t>
  </si>
  <si>
    <t>Unit 3</t>
  </si>
  <si>
    <t xml:space="preserve">       Project Completion Form</t>
  </si>
  <si>
    <t>Use this form to self certify project completion</t>
  </si>
  <si>
    <t>Customer Information</t>
  </si>
  <si>
    <t>Installation Information</t>
  </si>
  <si>
    <t>Installation Completion Date :</t>
  </si>
  <si>
    <t>Project Cost ( as reflected on invoice ) :</t>
  </si>
  <si>
    <t>Customer Payment:</t>
  </si>
  <si>
    <t>Contractor Verification Statement:</t>
  </si>
  <si>
    <t>Contractor Name:
(Print)</t>
  </si>
  <si>
    <t>ASHP</t>
  </si>
  <si>
    <t>Cool Homes Heat Pump</t>
  </si>
  <si>
    <t>Cool Homes CAC</t>
  </si>
  <si>
    <t xml:space="preserve">Please send all required documents to </t>
  </si>
  <si>
    <t>Version Number</t>
  </si>
  <si>
    <t xml:space="preserve">Disclaimer: Terms and conditions are subject to change without notice, including early termination of this promotion. No additional fees apply. The rebate will be issued in the form of a check unless otherwise indicated. PSEG Long Island administers the rebate program on behalf of the Long Island Power Authority, the rebate program sponsor. Please visit www.psegliny.com/efficiency for more details. </t>
  </si>
  <si>
    <t>(must complete a Rebate Assignment Form / This option may not be offered by all Contractors)</t>
  </si>
  <si>
    <t xml:space="preserve"> Tier II</t>
  </si>
  <si>
    <t>Program Year</t>
  </si>
  <si>
    <t>Unit 5</t>
  </si>
  <si>
    <t>PSEG Long Island is not responsible for any tax liability imposed as a result of rebate payments</t>
  </si>
  <si>
    <t>PSEG Long Island reserves the right to use the Customer rebate to credit accounts in arrears</t>
  </si>
  <si>
    <t>(B) Liquid Line Outside Diameter</t>
  </si>
  <si>
    <t>I would like customer rebate: (check one)</t>
  </si>
  <si>
    <t>CH - CAC Retrofit TIER 1</t>
  </si>
  <si>
    <t>CH - CAC Retrofit TIER 2</t>
  </si>
  <si>
    <t>Retrofit</t>
  </si>
  <si>
    <t>Retrofit Ducted Split CAC Tier I</t>
  </si>
  <si>
    <t>Retrofit Ducted Split CAC Tier II</t>
  </si>
  <si>
    <t>Retrofit Ducted ASHP Tier I</t>
  </si>
  <si>
    <t>Retrofit Ducted ASHP Tier II</t>
  </si>
  <si>
    <t>Row Number</t>
  </si>
  <si>
    <t>Measure Code</t>
  </si>
  <si>
    <t>Coincidence Factor</t>
  </si>
  <si>
    <t>Free Ridership</t>
  </si>
  <si>
    <t>Spillover</t>
  </si>
  <si>
    <t>Line Loss Summer Demand (kW)</t>
  </si>
  <si>
    <t>Line Loss Energy (kWh)</t>
  </si>
  <si>
    <t>kW Cooling Bonus</t>
  </si>
  <si>
    <t>kWh Cooling Bonus</t>
  </si>
  <si>
    <t>Line Loss kW Summer</t>
  </si>
  <si>
    <t>Line Loss Energy</t>
  </si>
  <si>
    <t>CH311-N</t>
  </si>
  <si>
    <t>CH311-R</t>
  </si>
  <si>
    <t>CH312-R</t>
  </si>
  <si>
    <t>CH211-N</t>
  </si>
  <si>
    <t>CH212-N</t>
  </si>
  <si>
    <t>CH211-R</t>
  </si>
  <si>
    <t>CH212-R</t>
  </si>
  <si>
    <t>Installation Address:</t>
  </si>
  <si>
    <r>
      <t xml:space="preserve">Mailing Address:
</t>
    </r>
    <r>
      <rPr>
        <b/>
        <sz val="9"/>
        <color indexed="8"/>
        <rFont val="Arial Narrow"/>
        <family val="2"/>
      </rPr>
      <t>(If different than above)</t>
    </r>
  </si>
  <si>
    <t>Home Phone:</t>
  </si>
  <si>
    <t>Alternate Contact:</t>
  </si>
  <si>
    <t>Cell Phone:</t>
  </si>
  <si>
    <t>Tax ID #:</t>
  </si>
  <si>
    <t>Rebate</t>
  </si>
  <si>
    <r>
      <t xml:space="preserve">Customer Name:
</t>
    </r>
    <r>
      <rPr>
        <b/>
        <i/>
        <sz val="10"/>
        <color indexed="8"/>
        <rFont val="Arial Narrow"/>
        <family val="2"/>
      </rPr>
      <t>(Print)</t>
    </r>
  </si>
  <si>
    <r>
      <t xml:space="preserve">Contractor Name
</t>
    </r>
    <r>
      <rPr>
        <b/>
        <i/>
        <sz val="10"/>
        <color indexed="8"/>
        <rFont val="Arial Narrow"/>
        <family val="2"/>
      </rPr>
      <t>(Print)</t>
    </r>
  </si>
  <si>
    <r>
      <t xml:space="preserve">Accepted and Agreed To Assignee:
</t>
    </r>
    <r>
      <rPr>
        <b/>
        <i/>
        <sz val="10"/>
        <color indexed="8"/>
        <rFont val="Arial Narrow"/>
        <family val="2"/>
      </rPr>
      <t>(Duly Authorized Representative Signature)</t>
    </r>
  </si>
  <si>
    <t>Account No:</t>
  </si>
  <si>
    <t>Option 1: SUBCOOLING Notes: Typical for most Thermal Expansion Valve systems when outdoor temperature is greater than OEM spec. (Typ. 60°F)</t>
  </si>
  <si>
    <t>Option 2: Weigh In (can be used for any system ONLY when outdoor ambient temperature is below OEM specification.):</t>
  </si>
  <si>
    <t>Application Version:</t>
  </si>
  <si>
    <t>Effective Date</t>
  </si>
  <si>
    <t>Effective:</t>
  </si>
  <si>
    <t>Application ID:</t>
  </si>
  <si>
    <r>
      <t xml:space="preserve">Mailing Address:
</t>
    </r>
    <r>
      <rPr>
        <b/>
        <sz val="9"/>
        <color indexed="8"/>
        <rFont val="Arial Narrow"/>
        <family val="2"/>
      </rPr>
      <t>(if different than above)</t>
    </r>
  </si>
  <si>
    <t>Date</t>
  </si>
  <si>
    <t>Description</t>
  </si>
  <si>
    <t>Initials</t>
  </si>
  <si>
    <t>Version</t>
  </si>
  <si>
    <t>Customer Incentive (per ton)</t>
  </si>
  <si>
    <t>Customer Incentive (per unit)</t>
  </si>
  <si>
    <r>
      <t xml:space="preserve">Accepted and Agreed To Payee:
</t>
    </r>
    <r>
      <rPr>
        <b/>
        <i/>
        <sz val="10"/>
        <color indexed="8"/>
        <rFont val="Arial Narrow"/>
        <family val="2"/>
      </rPr>
      <t>(Customer Signature)</t>
    </r>
  </si>
  <si>
    <t>Contractor Incentive</t>
  </si>
  <si>
    <t>Refrigerant Charge Method</t>
  </si>
  <si>
    <t>I, the Customer,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Contractors responsible for the installation of the equipment.</t>
  </si>
  <si>
    <t>I, the Contractor, certify that the equipment listed on the rebate application has been purchased and installed at the address indicated on the application.  I understand that PSEG Long Island reserves the right to verify any equipment purchases or installations which may include a site visit.  I further understand that PSEG Long Island may adjust the incentive amount before issuing the rebate based upon the verification and documentation provided by me or my technicians responsible for the installation of the equipment.</t>
  </si>
  <si>
    <t>Workbook Name</t>
  </si>
  <si>
    <t>Type</t>
  </si>
  <si>
    <t>Notes:</t>
  </si>
  <si>
    <t>(C) Driers, Accumulator, and Evaporator Capacities (if not included above):</t>
  </si>
  <si>
    <t>Performed By:</t>
  </si>
  <si>
    <t>COP/HSPF</t>
  </si>
  <si>
    <t>Ductless Mini Split - AC Only</t>
  </si>
  <si>
    <t>Retrofit Ductless Mini Split - AC Only</t>
  </si>
  <si>
    <t>CH - DUCTLESS AC Retrofit TIER 3</t>
  </si>
  <si>
    <t>CH - DUCTLESS AC New TIER 3</t>
  </si>
  <si>
    <t>CH213-R</t>
  </si>
  <si>
    <t>CH213-N</t>
  </si>
  <si>
    <t>CH214-N</t>
  </si>
  <si>
    <t>CH214-R</t>
  </si>
  <si>
    <t xml:space="preserve">Contractor </t>
  </si>
  <si>
    <t xml:space="preserve">Customer </t>
  </si>
  <si>
    <t>Incentives</t>
  </si>
  <si>
    <t>Unit Number</t>
  </si>
  <si>
    <t>Tier Requirements</t>
  </si>
  <si>
    <t>Missing Info Lookups</t>
  </si>
  <si>
    <t>Cooling Only</t>
  </si>
  <si>
    <r>
      <t>Option 2: SUPERHEAT Note: Can only be used for fixed orifice systems (Non-TXV) when outdoor temperature is greater than OEM spec. (Type 55</t>
    </r>
    <r>
      <rPr>
        <b/>
        <sz val="11"/>
        <color indexed="9"/>
        <rFont val="Calibri"/>
        <family val="2"/>
      </rPr>
      <t>°)</t>
    </r>
  </si>
  <si>
    <t>Smart Thermostat</t>
  </si>
  <si>
    <t>Home Performance</t>
  </si>
  <si>
    <t>QIV Contractor</t>
  </si>
  <si>
    <t>Install Type</t>
  </si>
  <si>
    <t>kW</t>
  </si>
  <si>
    <t>HPD - Smart Thermostat</t>
  </si>
  <si>
    <t>HP400</t>
  </si>
  <si>
    <t>CH Thermostat Cooling</t>
  </si>
  <si>
    <t>HP Thermostat</t>
  </si>
  <si>
    <t>CH Thermostat Heating Cooling</t>
  </si>
  <si>
    <t>Installing Smart Thermostat</t>
  </si>
  <si>
    <t>Smart Thermostat Rebate Amount:</t>
  </si>
  <si>
    <t>QIV</t>
  </si>
  <si>
    <t>EO</t>
  </si>
  <si>
    <t>Tier III</t>
  </si>
  <si>
    <t>New Ducted Split CAC Tier III</t>
  </si>
  <si>
    <t>CH - CAC New TIER 3</t>
  </si>
  <si>
    <t>CH - CAC Retrofit TIER 3</t>
  </si>
  <si>
    <t>Retrofit Ducted Split CAC Tier III</t>
  </si>
  <si>
    <t>Natural Gas</t>
  </si>
  <si>
    <t>Oil</t>
  </si>
  <si>
    <t>Propane</t>
  </si>
  <si>
    <t>Electric</t>
  </si>
  <si>
    <t>Heating Fuel Type</t>
  </si>
  <si>
    <t>Heating/Cooling</t>
  </si>
  <si>
    <t>Decimal Places</t>
  </si>
  <si>
    <t>Value</t>
  </si>
  <si>
    <t>N/A</t>
  </si>
  <si>
    <t>Unit Controlled</t>
  </si>
  <si>
    <t>Primary Cooling</t>
  </si>
  <si>
    <t>Heating Type</t>
  </si>
  <si>
    <t>Other</t>
  </si>
  <si>
    <t>Customer Incentive</t>
  </si>
  <si>
    <t>GSHP</t>
  </si>
  <si>
    <t>Named Range</t>
  </si>
  <si>
    <t>Smart Thermostats</t>
  </si>
  <si>
    <t>Primary Heating</t>
  </si>
  <si>
    <t>PSEG Long Island's Residential Central Air Conditioning Program, Central Air Conditioners, Heat Pumps, Ductless Mini Split Systems.</t>
  </si>
  <si>
    <t>REBATE OPTION 2: Choose any Central Air Conditioning (CAC) Contractor</t>
  </si>
  <si>
    <t>Directions:</t>
  </si>
  <si>
    <r>
      <t xml:space="preserve">Customer hires a contractor (at least three estimates are </t>
    </r>
    <r>
      <rPr>
        <u/>
        <sz val="12"/>
        <color indexed="8"/>
        <rFont val="Arial Narrow"/>
        <family val="2"/>
      </rPr>
      <t>recommended</t>
    </r>
    <r>
      <rPr>
        <sz val="12"/>
        <color indexed="8"/>
        <rFont val="Arial Narrow"/>
        <family val="2"/>
      </rPr>
      <t xml:space="preserve"> prior to selection).</t>
    </r>
  </si>
  <si>
    <t>Customer has a qualifying system installed.</t>
  </si>
  <si>
    <t>If all required paperwork is correct and all rebate requirements are fulfilled, a rebate check will be sent to the customer.</t>
  </si>
  <si>
    <t>Required Documents Checklist:</t>
  </si>
  <si>
    <t>▪</t>
  </si>
  <si>
    <t>Customer name and installation address matching electric account holder information</t>
  </si>
  <si>
    <t>Equipment manufacturer</t>
  </si>
  <si>
    <t>Condenser model number and serial number</t>
  </si>
  <si>
    <t>Coil/Air Handler model number and serial number</t>
  </si>
  <si>
    <t>Total Cost</t>
  </si>
  <si>
    <t>Eligible Equipment Table:</t>
  </si>
  <si>
    <t>Rebate Requirements / Terms and Conditions:</t>
  </si>
  <si>
    <t>There must be a PSEG Long Island residential electric account at the installation site in the applicant’s name.</t>
  </si>
  <si>
    <t>Please allow up to 60 days for delivery of the rebate check.</t>
  </si>
  <si>
    <t>It is the customer’s responsibility to ensure contractor has proper licenses, certifications and insurance. Installation is to be properly permitted (or received authorization). Documents, including but not limited to, permits and surveys are to be provided upon request.</t>
  </si>
  <si>
    <t>Replacement of systems less than five years old, that were rebated, are not eligible for a rebate unless the SEER level of the
replacement unit is higher than the existing unit by at least one full SEER level.</t>
  </si>
  <si>
    <t>All units, including Ductless Mini Split Systems, must be installed with the matching pieces specified in the AHRI directory. These rebates apply to new and replacement total system installations performed during the term of this rebate program. The Condenser (outdoor), and Coil/ Air Handler (indoor) must be installed new and constitute one unit. Partial system replacements do not qualify.</t>
  </si>
  <si>
    <t>PSEG Long Island reserves the right to inspect the equipment installation to ensure compliance with program requirements.
Failure to allow PSEG Long Island access to the equipment will result in a denial of the rebate application.</t>
  </si>
  <si>
    <t>PSEG Long Island is not responsible for any tax liability imposed as a result of rebate payments.</t>
  </si>
  <si>
    <t>PSEG Long Island reserves the right to use the customer rebate to credit accounts in arrears.</t>
  </si>
  <si>
    <t>PSEG Long Island is not responsible for lost or undeliverable mail or email.</t>
  </si>
  <si>
    <t>Submit Signed Application Form and all Required Documents:</t>
  </si>
  <si>
    <t>By Email: Preferred method for timely processing - coolhomesli@pseg.com</t>
  </si>
  <si>
    <t>395 North Service Road, Suite 409, Melville, NY 11747</t>
  </si>
  <si>
    <t>Any Questions? Call PSEG Long Island's Infoline at 1-800-692-2626 or visit PSEG Long Island's website for more information at www.psegliny.com/efficiency</t>
  </si>
  <si>
    <t>Customer Information:</t>
  </si>
  <si>
    <t xml:space="preserve">Your PSEG Long Island Residential Account Number (found on the back of your bill): </t>
  </si>
  <si>
    <t>Your Name:</t>
  </si>
  <si>
    <t>E-Mail:</t>
  </si>
  <si>
    <t>Account/Installation Address:</t>
  </si>
  <si>
    <t>State:</t>
  </si>
  <si>
    <t>Home Telephone:</t>
  </si>
  <si>
    <t>Work Telephone:</t>
  </si>
  <si>
    <t>Mailing Address: (if different)</t>
  </si>
  <si>
    <t>Installation Contractor Name:</t>
  </si>
  <si>
    <t>Contractor Telephone:</t>
  </si>
  <si>
    <t>Installation Date:</t>
  </si>
  <si>
    <t>Product Information:</t>
  </si>
  <si>
    <t>Unit Number 1:</t>
  </si>
  <si>
    <t>New Equipment</t>
  </si>
  <si>
    <t>Manufacturer:</t>
  </si>
  <si>
    <t>AHRI Reference No:</t>
  </si>
  <si>
    <t>Condenser Model No. (outdoor):</t>
  </si>
  <si>
    <t>SEER Rating:</t>
  </si>
  <si>
    <t>Condenser Serial No. (outdoor):</t>
  </si>
  <si>
    <t>EER Rating:</t>
  </si>
  <si>
    <t>Coil/Air Handler Model No. (Indoor):</t>
  </si>
  <si>
    <t>HSPF Rating (Heat Pump Only):</t>
  </si>
  <si>
    <t>Coil/Air Handler Serial No. (Indoor):</t>
  </si>
  <si>
    <t>Tons:</t>
  </si>
  <si>
    <r>
      <t xml:space="preserve">Unit Number 2:
</t>
    </r>
    <r>
      <rPr>
        <i/>
        <sz val="10"/>
        <color indexed="8"/>
        <rFont val="Arial Narrow"/>
        <family val="2"/>
      </rPr>
      <t>(if applicable)</t>
    </r>
  </si>
  <si>
    <t>Total Rebate Amount Expected: $</t>
  </si>
  <si>
    <t>I certify that I purchased the unit(s) on the enclosed invoice and /or contract and that they were installed at the location indicated. I agree to the terms and conditions stated on this application (see rebate requirements).</t>
  </si>
  <si>
    <t>Customer's Signature:</t>
  </si>
  <si>
    <t>PSEG Long Island administrators the rebate program on behalf of the Long Island Power Authority, the rebate program sponsor. Please visit www.psegliny.com/efficiency for more details.</t>
  </si>
  <si>
    <t>Some ENERGY STAR® qualified equipment may not be eligible for this rebate. Qualifying units must be listed in the AHRI directory.</t>
  </si>
  <si>
    <t>By Mail: PSEG Long Island's Residential CAC Program</t>
  </si>
  <si>
    <t>Logic</t>
  </si>
  <si>
    <t>https://enrollmythermostat.com/faqs/pseg-long-island-faq/</t>
  </si>
  <si>
    <t>Approved Thermostat</t>
  </si>
  <si>
    <t>Alarm.com</t>
  </si>
  <si>
    <t>Lux</t>
  </si>
  <si>
    <t>Nest</t>
  </si>
  <si>
    <t>Radio Thermostat CT30</t>
  </si>
  <si>
    <t>Radio Thermostat CT80</t>
  </si>
  <si>
    <t>Radio Thermostat CT100</t>
  </si>
  <si>
    <t>Trane ComfortLink Control</t>
  </si>
  <si>
    <t>RCS Z-Wave Communicating Thermostat</t>
  </si>
  <si>
    <t>GoControl Z-Wave Thermostat</t>
  </si>
  <si>
    <t>Alarm.com Smart Thermostat</t>
  </si>
  <si>
    <t>ecobee3</t>
  </si>
  <si>
    <t>ecobee4</t>
  </si>
  <si>
    <t>ecobee Smart Si</t>
  </si>
  <si>
    <t>Sensi Wi-Fi Programmable Thermostat</t>
  </si>
  <si>
    <t>Sensi Touch Wi-Fi Thermostat</t>
  </si>
  <si>
    <t>Wi-Fi 7 Day Programmable Thermostat</t>
  </si>
  <si>
    <t>LUX/GEO</t>
  </si>
  <si>
    <t>LUX KONO</t>
  </si>
  <si>
    <t>Nest Learning Thermostat</t>
  </si>
  <si>
    <t>Nest Thermostat E</t>
  </si>
  <si>
    <t>Filtrete 3M-50</t>
  </si>
  <si>
    <t>Radio Thermostat CT 100 w/Vivint Go!Control Panel</t>
  </si>
  <si>
    <t>CT30</t>
  </si>
  <si>
    <t>CT50</t>
  </si>
  <si>
    <t>CT80</t>
  </si>
  <si>
    <t>True Flow CFM Measured</t>
  </si>
  <si>
    <t>CFM Air Flow Estimated</t>
  </si>
  <si>
    <t>Static Pressure Drop</t>
  </si>
  <si>
    <t>External Static Pressure</t>
  </si>
  <si>
    <t>Required Subcooling</t>
  </si>
  <si>
    <t>Outdoor Dry Bulb Temp</t>
  </si>
  <si>
    <t>Saturation Temp</t>
  </si>
  <si>
    <t>Liquid Line Temp</t>
  </si>
  <si>
    <t>Measured Subcooling</t>
  </si>
  <si>
    <t>Indoor Wet Bulb Temp</t>
  </si>
  <si>
    <t>Vapor Line Temp</t>
  </si>
  <si>
    <t>OR</t>
  </si>
  <si>
    <t>(from manufacturer service guide or as per manufacturer's specification or cut sheet)</t>
  </si>
  <si>
    <t xml:space="preserve">°F </t>
  </si>
  <si>
    <t>T10</t>
  </si>
  <si>
    <t>CT100</t>
  </si>
  <si>
    <t>NTBZ48</t>
  </si>
  <si>
    <t>TBZ48A</t>
  </si>
  <si>
    <t>TRANE_TZ4x</t>
  </si>
  <si>
    <t>LINEAR_TBZx</t>
  </si>
  <si>
    <t>TZ45</t>
  </si>
  <si>
    <t>TZ45 400A</t>
  </si>
  <si>
    <t>TZ45A</t>
  </si>
  <si>
    <t>TBZ48</t>
  </si>
  <si>
    <t>ecobee Smart</t>
  </si>
  <si>
    <t>ecobee3 lite</t>
  </si>
  <si>
    <t>Honeywell Lyric T-Series</t>
  </si>
  <si>
    <t>Honeywell Lyric Round</t>
  </si>
  <si>
    <t>Honeywell Wi-Fi 9000</t>
  </si>
  <si>
    <t>Honeywell Wi-Fi Focus Pro</t>
  </si>
  <si>
    <t>Honeywell Wi-Fi Vision Pro</t>
  </si>
  <si>
    <t>Honeywell Wi-Fi 9000 Voice</t>
  </si>
  <si>
    <t>Honeywell Duo Wifi Trade</t>
  </si>
  <si>
    <t>Honeywell Sonic Redlink</t>
  </si>
  <si>
    <t>GEO</t>
  </si>
  <si>
    <t>KONO3</t>
  </si>
  <si>
    <t>CT50 V1.09</t>
  </si>
  <si>
    <t>CT50 V1.94</t>
  </si>
  <si>
    <t>CT30 V1.92</t>
  </si>
  <si>
    <t>CT50 V1.88</t>
  </si>
  <si>
    <t>CT80 Rev B2 V1.09</t>
  </si>
  <si>
    <t>CT30 V1.94</t>
  </si>
  <si>
    <t>CT50 V1.92</t>
  </si>
  <si>
    <t>CT80 Rev B2 V1.10</t>
  </si>
  <si>
    <t>CT80 Rev B2 V1.99D</t>
  </si>
  <si>
    <t>Emerson Sensi Classic</t>
  </si>
  <si>
    <t>Emerson Sensi</t>
  </si>
  <si>
    <t>Emerson Sensi Classic 1F86U-42WF</t>
  </si>
  <si>
    <t>Emerson Sensi Classic with HomeKit</t>
  </si>
  <si>
    <t>Emerson Sensi Classic UP500W</t>
  </si>
  <si>
    <t>Emerson Sensi Touch</t>
  </si>
  <si>
    <t>Emerson Sensi Classic with HomeKit ST55</t>
  </si>
  <si>
    <t>Emerson Sensi Classic UP500WB1</t>
  </si>
  <si>
    <t>Emerson Sensi Classic with HomeKit 1F87U-42WF</t>
  </si>
  <si>
    <t>Emerson Sensi Touch ST75</t>
  </si>
  <si>
    <t>Emerson Sensi Touch ST75W</t>
  </si>
  <si>
    <t>Emerson Sensi Touch 1F95U-42WF</t>
  </si>
  <si>
    <t>Please fill out all of the below fields as applicable for the installation</t>
  </si>
  <si>
    <t>CH215-N</t>
  </si>
  <si>
    <t>CH215-R</t>
  </si>
  <si>
    <t>CH216-N</t>
  </si>
  <si>
    <t>CH216-R</t>
  </si>
  <si>
    <t>Ductless</t>
  </si>
  <si>
    <t>Ducted ccASHP</t>
  </si>
  <si>
    <t>Honeywell Lyric</t>
  </si>
  <si>
    <t>Honeywell TCC</t>
  </si>
  <si>
    <t>Radio Thermostat</t>
  </si>
  <si>
    <t xml:space="preserve">Emerson </t>
  </si>
  <si>
    <t>Vivint GoControl</t>
  </si>
  <si>
    <t>Manufacturers</t>
  </si>
  <si>
    <t>Ecobee</t>
  </si>
  <si>
    <t>Heating Btuh</t>
  </si>
  <si>
    <t>Packaged Terminal Heat Pump</t>
  </si>
  <si>
    <t>PTHP</t>
  </si>
  <si>
    <t>New Packaged Terminal Heat Pump Tier I</t>
  </si>
  <si>
    <t>Retrofit Packaged Terminal Heat Pump Tier I</t>
  </si>
  <si>
    <t>CH - PTHP New TIER 1</t>
  </si>
  <si>
    <t>CH - PTHP Retrofit TIER 1</t>
  </si>
  <si>
    <t>CH217-N</t>
  </si>
  <si>
    <t>CH217-R</t>
  </si>
  <si>
    <t xml:space="preserve"> (Keep a copy for your records)</t>
  </si>
  <si>
    <t>Eligibility &amp; Rebate Tables</t>
  </si>
  <si>
    <t>Worksheet</t>
  </si>
  <si>
    <t>Unit</t>
  </si>
  <si>
    <t>New Equipment Type</t>
  </si>
  <si>
    <t>Baseline</t>
  </si>
  <si>
    <t>AHRI Reference No.</t>
  </si>
  <si>
    <t>Unit Efficiency</t>
  </si>
  <si>
    <t>Rebate per System</t>
  </si>
  <si>
    <t>HSPF/COP</t>
  </si>
  <si>
    <t>Customer</t>
  </si>
  <si>
    <t>Total Customer Rebate Amount:</t>
  </si>
  <si>
    <t>Installed System Specifications</t>
  </si>
  <si>
    <t>Condenser</t>
  </si>
  <si>
    <t>Coil/Air Handler</t>
  </si>
  <si>
    <t>Btu Cooling</t>
  </si>
  <si>
    <t>Rate Code:</t>
  </si>
  <si>
    <t>Mailing Address:
(If different than above)</t>
  </si>
  <si>
    <t>Rebate Payment Method:</t>
  </si>
  <si>
    <t>certify that the unit(s) will be installed at the location indicated above.  I agree to the terms and conditions stated on this application (see eligibility requirements).</t>
  </si>
  <si>
    <t xml:space="preserve">Signature: </t>
  </si>
  <si>
    <t>*Disclaimer: Terms and conditions are subject to change without notice, including early termination of this promotion. No additional fees apply. The rebate may be issued in the form of a check. PSEG Long Island administers the rebate program on behalf of the Long Island Power Authority, the rebate program sponsor. Please visit www.PSEGLINY.com/Efficiency for more details.</t>
  </si>
  <si>
    <t>Customer Signature:
Duly authorized representative</t>
  </si>
  <si>
    <t>For PSEG Long Island use only:</t>
  </si>
  <si>
    <t>New Equipment + Tier</t>
  </si>
  <si>
    <t>Select New Equipment Type from drop down menu.</t>
  </si>
  <si>
    <t xml:space="preserve">Cold Climate </t>
  </si>
  <si>
    <t>Lookup</t>
  </si>
  <si>
    <t xml:space="preserve">QI </t>
  </si>
  <si>
    <t>Codes</t>
  </si>
  <si>
    <t>Conditional</t>
  </si>
  <si>
    <t>Formatting</t>
  </si>
  <si>
    <t>Lookups</t>
  </si>
  <si>
    <t>Conditional Formatting</t>
  </si>
  <si>
    <t>Baseline COP</t>
  </si>
  <si>
    <t>Btu Heating</t>
  </si>
  <si>
    <t>AHRI Cooling BTUh</t>
  </si>
  <si>
    <t>Cooling</t>
  </si>
  <si>
    <t>Heating</t>
  </si>
  <si>
    <t>Final</t>
  </si>
  <si>
    <t>Total Estimated Customer Rebate Amount (Calculated from Equipment Worksheet and Smart Thermostat Worksheet):</t>
  </si>
  <si>
    <t>Range</t>
  </si>
  <si>
    <t>Rated Cooling Capacity</t>
  </si>
  <si>
    <t>.1-.8</t>
  </si>
  <si>
    <t>CFM Per Ton</t>
  </si>
  <si>
    <t>325-450</t>
  </si>
  <si>
    <t>Air Flow Tab - Airflow Inputs</t>
  </si>
  <si>
    <t>6-14</t>
  </si>
  <si>
    <t>60-100</t>
  </si>
  <si>
    <t>195-475</t>
  </si>
  <si>
    <t>71-130</t>
  </si>
  <si>
    <t>57-116</t>
  </si>
  <si>
    <t>Manufactured Spec Superheat</t>
  </si>
  <si>
    <t>5-30</t>
  </si>
  <si>
    <t>50-80</t>
  </si>
  <si>
    <t>50-100</t>
  </si>
  <si>
    <t>110-160</t>
  </si>
  <si>
    <t>35-95</t>
  </si>
  <si>
    <t>40-90</t>
  </si>
  <si>
    <t>1. Rated Cooling Capacity (tons):</t>
  </si>
  <si>
    <t>2. Target Airflow Volume (CFM) PER TON:</t>
  </si>
  <si>
    <t>3a. Static pressure drop in inches of water column W.C. measures across evaporator coil if new installed:</t>
  </si>
  <si>
    <t>3b. External static pressure for fan coil unit:</t>
  </si>
  <si>
    <t>Complete field 3a OR field 3b</t>
  </si>
  <si>
    <t>*If this field contains data, leave True Flow CFM field below blank</t>
  </si>
  <si>
    <t>4. Total Static measured with:</t>
  </si>
  <si>
    <t>5. CFM Air Flow Estimated from Total Static Measurement:</t>
  </si>
  <si>
    <t>6. True Flow CFM measured:</t>
  </si>
  <si>
    <t>*If this field contains data, no data input is required for field 3a/3b and field 5</t>
  </si>
  <si>
    <t>Pass/Fail Check</t>
  </si>
  <si>
    <t>Vapor Pressure</t>
  </si>
  <si>
    <t xml:space="preserve">  </t>
  </si>
  <si>
    <t>.5-11.3</t>
  </si>
  <si>
    <t>600-5000</t>
  </si>
  <si>
    <t>4. Total static measured with:</t>
  </si>
  <si>
    <t>Air Flow Tab 2 - Airflow Inputs</t>
  </si>
  <si>
    <t>Air Flow Tab 3 - Airflow Inputs</t>
  </si>
  <si>
    <t>Complete field 3a or 3b</t>
  </si>
  <si>
    <t>4. Total Static measure with:</t>
  </si>
  <si>
    <t>If this field contains data, no data input is required for the True Flow CFM field below</t>
  </si>
  <si>
    <t>If this field contains data, no data input is required for field 3a/3b and field 5</t>
  </si>
  <si>
    <t>Air Flow Tab 4 - Airflow Inputs</t>
  </si>
  <si>
    <t>Air Flow Tab 5 - Airflow Inputs</t>
  </si>
  <si>
    <t>Air Flow Tab 6 - Airflow Inputs</t>
  </si>
  <si>
    <t>Air Flow Tab 7 - Airflow Inputs</t>
  </si>
  <si>
    <t>Air Flow Tab 8 - Airflow Inputs</t>
  </si>
  <si>
    <t>Air Flow Tab 9 - Airflow Inputs</t>
  </si>
  <si>
    <t>Air Flow Tab 10 - Airflow Inputs</t>
  </si>
  <si>
    <t>Ductless Mini Split - ASHP</t>
  </si>
  <si>
    <t>Ductless Mini Split - ccASHP</t>
  </si>
  <si>
    <t>CH - ASHP New TIER 1</t>
  </si>
  <si>
    <t>CH - ASHP New TIER 2</t>
  </si>
  <si>
    <t>CH - ASHP Retrofit TIER 1</t>
  </si>
  <si>
    <t>CH - ASHP Retrofit TIER 2</t>
  </si>
  <si>
    <t>CH - ccASHP Retrofit TIER 1</t>
  </si>
  <si>
    <t>CH - DUCTLESS ASHP New TIER 3</t>
  </si>
  <si>
    <t>CH - DUCTLESS ASHP Retrofit TIER 3</t>
  </si>
  <si>
    <t>CH - DUCTLESS ccASHP Retrofit</t>
  </si>
  <si>
    <t>Ductless HP</t>
  </si>
  <si>
    <t>DuctlessCC HP</t>
  </si>
  <si>
    <t>In Service Rate</t>
  </si>
  <si>
    <t>Electric Resistance</t>
  </si>
  <si>
    <t>ccASHP</t>
  </si>
  <si>
    <t>Ducted ASHP EH</t>
  </si>
  <si>
    <t>Ductless Mini Split - ASHP EH</t>
  </si>
  <si>
    <t>CH212-N-EH</t>
  </si>
  <si>
    <t>Heating Savings (High Efficiency ASHP replacing Electric Resistance)</t>
  </si>
  <si>
    <t>Elec Resistance</t>
  </si>
  <si>
    <t>Load (kWh)</t>
  </si>
  <si>
    <t>kWh Consumption on Equipment Side</t>
  </si>
  <si>
    <t>Gross Savings (kWh)</t>
  </si>
  <si>
    <t>Ducted ASHP EH Tier II</t>
  </si>
  <si>
    <t>Ducted ASHP EH Tier I</t>
  </si>
  <si>
    <t>Ductless Mini Split - ASHP EH Tier I</t>
  </si>
  <si>
    <t>CH - ASHP EH New TIER 2</t>
  </si>
  <si>
    <t>CH - ASHP EH New TIER 1</t>
  </si>
  <si>
    <t>CH211-N-EH</t>
  </si>
  <si>
    <t>New Ductless Mini Split - AC Only Tier I</t>
  </si>
  <si>
    <t>New Ductless Mini Split - ASHP Tier I</t>
  </si>
  <si>
    <t>17.</t>
  </si>
  <si>
    <t>MT</t>
  </si>
  <si>
    <t>1.0_Draft 1.0</t>
  </si>
  <si>
    <t>5.8.19</t>
  </si>
  <si>
    <t>HomeComfortLI@pseg.com</t>
  </si>
  <si>
    <t>Contractor Incentive (per project)</t>
  </si>
  <si>
    <t>Tier II
SEER</t>
  </si>
  <si>
    <t>Tier I
New Construction</t>
  </si>
  <si>
    <t>Tier II
New Construction</t>
  </si>
  <si>
    <t>Tier I HSPF</t>
  </si>
  <si>
    <t>QI kW C and A Factord</t>
  </si>
  <si>
    <t>Cooling Manual J</t>
  </si>
  <si>
    <t>Heating Manual J</t>
  </si>
  <si>
    <t>Gross BE kWh</t>
  </si>
  <si>
    <t>Utility Gross BE kWh</t>
  </si>
  <si>
    <t>Net BE kWh</t>
  </si>
  <si>
    <t>Total Net BE kWh</t>
  </si>
  <si>
    <t>Total MMBTU Savings</t>
  </si>
  <si>
    <t>BE MMBTU Savings</t>
  </si>
  <si>
    <t xml:space="preserve">Beneficial Electrification </t>
  </si>
  <si>
    <t>New Construction</t>
  </si>
  <si>
    <t>CO2 Calc</t>
  </si>
  <si>
    <t>ton CO2/MMBTU</t>
  </si>
  <si>
    <t>https://www.epa.gov/sites/production/files/2015-07/documents/emission-factors_2014.pdf</t>
  </si>
  <si>
    <t>CO2 values:</t>
  </si>
  <si>
    <t>ton CO2/kWh</t>
  </si>
  <si>
    <t>ConversionFactors</t>
  </si>
  <si>
    <t>lbs/metric ton</t>
  </si>
  <si>
    <t>kg/metric ton</t>
  </si>
  <si>
    <t>Basic References</t>
  </si>
  <si>
    <t>Replacement Type</t>
  </si>
  <si>
    <t>Home</t>
  </si>
  <si>
    <t>Existing Equipment Type</t>
  </si>
  <si>
    <t>Displacement Factor</t>
  </si>
  <si>
    <t>Central Air Conditioner</t>
  </si>
  <si>
    <t>SEER Efficiency</t>
  </si>
  <si>
    <t>EER Efficiency</t>
  </si>
  <si>
    <t>Cooling Baselines</t>
  </si>
  <si>
    <t>New or Retrofit</t>
  </si>
  <si>
    <t>Legacy 2019 Home Comfort Application v1.0</t>
  </si>
  <si>
    <t>Rebate tables on the Worksheet tab were updated to show the new efficiency tier levels and rebates</t>
  </si>
  <si>
    <t>5.20.19</t>
  </si>
  <si>
    <t>MCR</t>
  </si>
  <si>
    <t xml:space="preserve">Added Existing Heating Equipment table to the References tab </t>
  </si>
  <si>
    <t>Added TRUE of FALSE for Beneficial electrification for each existing heating type on the Existing Heating Equipment table</t>
  </si>
  <si>
    <t>Added New Construction and Air Source Heat Pump to the list of Existing Heating Equipment</t>
  </si>
  <si>
    <t>Added values for Efficiency, Displacement, and CO2 emissions</t>
  </si>
  <si>
    <t xml:space="preserve">Added Existing Cooling Equipment table to the References tab </t>
  </si>
  <si>
    <t>Added New Construction to both the Existing Heating Tpye and Primary Heating Source check boxes on the Customer Information tab</t>
  </si>
  <si>
    <t>1.0_Draft 1.2</t>
  </si>
  <si>
    <t>Proposed Equipment Look Up</t>
  </si>
  <si>
    <t>Product Class</t>
  </si>
  <si>
    <t xml:space="preserve">Updated Baseline EER, Baseline SEER, Baseline HSPF, and Displacement Factor on the Worksheet tab to reference the Existing Heating Equipment table </t>
  </si>
  <si>
    <t>Retrofit Ductless Mini Split - ASHP Tier I</t>
  </si>
  <si>
    <t>Updated rebates on the References tab to be consistent with the proposal</t>
  </si>
  <si>
    <t>Reduced the size of the New Equipment Type drop down on the Worksheet tab to only include this offering</t>
  </si>
  <si>
    <t>Moved Naming tab information to table in References tab, and deleted the Naming tab</t>
  </si>
  <si>
    <t>Updated the Prop0 formulas to reference the References tab instead of the Naming tab</t>
  </si>
  <si>
    <t>Updated the Tier EER SEER and HSPF values on the Reference tab to be consistent with the proposal</t>
  </si>
  <si>
    <t>Furnace</t>
  </si>
  <si>
    <t>Heating Equipment</t>
  </si>
  <si>
    <t>5.21.19</t>
  </si>
  <si>
    <t>Added Pre Inspection tab</t>
  </si>
  <si>
    <t>1.0_Draft 1.3</t>
  </si>
  <si>
    <t>Changed the name of the Inspection Form Tab to say Post Inspection Form</t>
  </si>
  <si>
    <t>Added True/False for each heating equipment type able to be selected on the Customer Information tab</t>
  </si>
  <si>
    <t/>
  </si>
  <si>
    <t>Baseline Heating Efficiecny (%)</t>
  </si>
  <si>
    <t>Operating?</t>
  </si>
  <si>
    <t>Application Type:</t>
  </si>
  <si>
    <t>Model</t>
  </si>
  <si>
    <t>5.22.19</t>
  </si>
  <si>
    <t>Moved hidden calculation in the Worksheet tab to the Qualifying Index tab</t>
  </si>
  <si>
    <t>Added Existing Building and New Construction option buttons to the Customer Information tab and put them in a Group box</t>
  </si>
  <si>
    <t>5.23.19</t>
  </si>
  <si>
    <t>1.0_Draft 1.3.1</t>
  </si>
  <si>
    <t>Shifted columns for Unit Efficiency on the Worksheet tab to columns J:M</t>
  </si>
  <si>
    <t>Added the Existing Equipment Type and Efficiency to colmns P:S on the Worksheet tab</t>
  </si>
  <si>
    <t xml:space="preserve">Added the Existing Equipment Operation, Manufactur, and Model to colmns O51:S61 on the Worksheet tab </t>
  </si>
  <si>
    <t>Wrote marco to hide and unhide Columns O:S on the Worksheet tab depending on whather the project is for a Existing Building or New Construction. Macro will also clear contents when hidden.</t>
  </si>
  <si>
    <t>Moved Smart Thermostat check box, QIV contractor check box, and Clear All button Worksheet tab so that columns could hide without objects error</t>
  </si>
  <si>
    <t>5.24.19</t>
  </si>
  <si>
    <t>Added Ductless Mini Split and Other to list of existing equipment on the References tab, and expanded the drop down on the worksheet tab</t>
  </si>
  <si>
    <t>Heating Fuel</t>
  </si>
  <si>
    <t>Home Performance Thermostat</t>
  </si>
  <si>
    <t>Electric Parasitics (kWh/MMBTU)</t>
  </si>
  <si>
    <t>Existing Heat Eff.:</t>
  </si>
  <si>
    <t>https://www.ecfr.gov/cgi-bin/text-idx?SID=86e70cbc87e5af18caca2e5c205bd107&amp;mc=true&amp;node=se10.3.430_132&amp;rgn=div8</t>
  </si>
  <si>
    <t>Equipment</t>
  </si>
  <si>
    <t>Natural Gas Boiler</t>
  </si>
  <si>
    <t>Oil Boiler</t>
  </si>
  <si>
    <t>Electric Boiler</t>
  </si>
  <si>
    <t>Natural Gas Furnace</t>
  </si>
  <si>
    <t>Oil Furnace</t>
  </si>
  <si>
    <t>Electric Furnace</t>
  </si>
  <si>
    <t>Electric ASHP</t>
  </si>
  <si>
    <t>Propane Other</t>
  </si>
  <si>
    <t>Application Version</t>
  </si>
  <si>
    <t>Equipment Cost</t>
  </si>
  <si>
    <t>Labor Cost</t>
  </si>
  <si>
    <t>Total Elec Util Cust Incentive</t>
  </si>
  <si>
    <t>Location</t>
  </si>
  <si>
    <t>Operation Hours</t>
  </si>
  <si>
    <t>Waste Heat Factor – Demand</t>
  </si>
  <si>
    <t>Waste Heat Factor - Energy</t>
  </si>
  <si>
    <t xml:space="preserve">Proposed/Installed Wattage </t>
  </si>
  <si>
    <t>Lamp Type</t>
  </si>
  <si>
    <t>Existing Device Code</t>
  </si>
  <si>
    <t>Existing Wattage</t>
  </si>
  <si>
    <t>kW Saved</t>
  </si>
  <si>
    <t>Ballast Type</t>
  </si>
  <si>
    <t>Wattage</t>
  </si>
  <si>
    <t>Lamp Length (ft)</t>
  </si>
  <si>
    <t>Number Lamps</t>
  </si>
  <si>
    <t>Product ID</t>
  </si>
  <si>
    <t>Watts Saved</t>
  </si>
  <si>
    <t>Proposed/Installed EER</t>
  </si>
  <si>
    <t>Proposed/Installed SEER</t>
  </si>
  <si>
    <t>Proposed/Installed HSPF</t>
  </si>
  <si>
    <t>Proposed/Installed COP</t>
  </si>
  <si>
    <t>Cooling Btuh</t>
  </si>
  <si>
    <t>Exist tons</t>
  </si>
  <si>
    <t>Energy Savings Factor kW</t>
  </si>
  <si>
    <t>Energy Savings Factor kWh</t>
  </si>
  <si>
    <t>Roof Area (sq ft)</t>
  </si>
  <si>
    <t>Solar Reflectance Index (3YR)</t>
  </si>
  <si>
    <t>Solar Reflectance Index (INITIAL)</t>
  </si>
  <si>
    <t>Horsepower</t>
  </si>
  <si>
    <t>CFM</t>
  </si>
  <si>
    <t>Storage Capacity</t>
  </si>
  <si>
    <t>Baseline Compressor Factor</t>
  </si>
  <si>
    <t>Compressor Factor</t>
  </si>
  <si>
    <t xml:space="preserve">Building Type </t>
  </si>
  <si>
    <t>Baseline Efficiency</t>
  </si>
  <si>
    <t>Load Factor</t>
  </si>
  <si>
    <t>Adjust the Prop0 to the Mater Prop0 layout</t>
  </si>
  <si>
    <t>Added Tonnage to Existing Equipment on the Worksheet tab</t>
  </si>
  <si>
    <t>Adjusted the Existing Equipment table on the Reference tab to organize by fuel type and equipment type</t>
  </si>
  <si>
    <t>EE Savings</t>
  </si>
  <si>
    <t>Cooling kW Savings</t>
  </si>
  <si>
    <t>Cooling MMBTU Savings</t>
  </si>
  <si>
    <t>Cooling kWh Savings</t>
  </si>
  <si>
    <t>Heating kW Savings</t>
  </si>
  <si>
    <t>Heating kWh Savings</t>
  </si>
  <si>
    <t>Heating BE kW</t>
  </si>
  <si>
    <t>Heating BE kWh</t>
  </si>
  <si>
    <t>Savings and Beneficial Electrification Calculation</t>
  </si>
  <si>
    <t>Fossil Fuel Savings</t>
  </si>
  <si>
    <t>Propane Boiler</t>
  </si>
  <si>
    <t>Boiler</t>
  </si>
  <si>
    <t>Natural Gas Other</t>
  </si>
  <si>
    <t>Oil Other</t>
  </si>
  <si>
    <t>Electric Other</t>
  </si>
  <si>
    <t>Equipment Minimum Efficiency Look up</t>
  </si>
  <si>
    <t>Propane Furnace</t>
  </si>
  <si>
    <t>COP to HSPF conversion</t>
  </si>
  <si>
    <t>Heating MMBTU Savings (fuel)</t>
  </si>
  <si>
    <t>Heating MMBTU Savings (kWh)</t>
  </si>
  <si>
    <t>Heating MMBTU Savings Total</t>
  </si>
  <si>
    <t>Heating CO2 Savings (lbs)</t>
  </si>
  <si>
    <t>Cooling CO2 savings (lbs)</t>
  </si>
  <si>
    <t>Emission Factor (lb CO2 / kWh)</t>
  </si>
  <si>
    <t>5.28.19</t>
  </si>
  <si>
    <t>Added Cooling and Heating Savings section to the Qualifying Index tab</t>
  </si>
  <si>
    <t>1.0_Draft 1.3.2</t>
  </si>
  <si>
    <t>Cooling and Heating Savings will calculte the cooling kW, kWh, MMBTU, and CO2 savings, as well as the heating kW, kWh, MMBTU beneficial electrification, and kW, kWh, MMBTU, and CO2 savings</t>
  </si>
  <si>
    <t>Mapped the correct savings value to the right column of the Prop0 tab</t>
  </si>
  <si>
    <t>Air Flow Tab - Refrigerant Inputs Super Heat</t>
  </si>
  <si>
    <t>Air Flow Tab - Refrigerant Inputs Subcooling</t>
  </si>
  <si>
    <t>Air Flow Tab 2 - Refrigerant Inputs Subcooling</t>
  </si>
  <si>
    <t>Air Flow Tab 2 - Refrigerant Inputs Super Heat</t>
  </si>
  <si>
    <t>Air Flow Tab 3 - Refrigerant Inputs Super Heat</t>
  </si>
  <si>
    <t>Air Flow Tab 3 - Refrigerant Inputs Subcooling</t>
  </si>
  <si>
    <t>Air Flow Tab 4 - Refrigerant Inputs Subcooling</t>
  </si>
  <si>
    <t>Air Flow Tab 5 - Refrigerant Inputs Subcooling</t>
  </si>
  <si>
    <t>Air Flow Tab 6 - Refrigerant Inputs Subcooling</t>
  </si>
  <si>
    <t>Air Flow Tab 4 - Refrigerant Inputs Super Heat</t>
  </si>
  <si>
    <t>Air Flow Tab 5 - Refrigerant Inputs Super Heat</t>
  </si>
  <si>
    <t>Air Flow Tab 6 - Refrigerant Inputs Super Heat</t>
  </si>
  <si>
    <t>Air Flow Tab 7 - Refrigerant Inputs Subcooling</t>
  </si>
  <si>
    <t>Air Flow Tab 7 - Refrigerant Inputs Super Heat</t>
  </si>
  <si>
    <t>Air Flow Tab 9 - Refrigerant Inputs Subcooling</t>
  </si>
  <si>
    <t>Air Flow Tab 9 - Refrigerant Inputs Super Heat</t>
  </si>
  <si>
    <t>Air Flow Tab 10 - Refrigerant Inputs Subcooling</t>
  </si>
  <si>
    <t>Air Flow Tab 10 - Refrigerant Inputs Super Heat</t>
  </si>
  <si>
    <t>Air Flow Tab 8 - Refrigerant Inputs Super Heat</t>
  </si>
  <si>
    <t>Air Flow Tab 8 - Refrigerant Inputs Subcooling</t>
  </si>
  <si>
    <t>Proposed</t>
  </si>
  <si>
    <t>Baseline Annual Usage (kWh)</t>
  </si>
  <si>
    <t>Efficient Annual Usage (kWh)</t>
  </si>
  <si>
    <t>Volume (ft3)</t>
  </si>
  <si>
    <t>Harvest Rate (lb/day)</t>
  </si>
  <si>
    <t>Bonus Factor</t>
  </si>
  <si>
    <t>Total Load</t>
  </si>
  <si>
    <t>Infiltration Factor - Closed</t>
  </si>
  <si>
    <t>Infiltration Factor - Open</t>
  </si>
  <si>
    <t>Free Cooling - Closed</t>
  </si>
  <si>
    <t>Free Cooling - Open</t>
  </si>
  <si>
    <t>Unit Type</t>
  </si>
  <si>
    <t>Pre CFM</t>
  </si>
  <si>
    <t>Post CFM</t>
  </si>
  <si>
    <t>CFM Reduction</t>
  </si>
  <si>
    <t>Existing AC Age</t>
  </si>
  <si>
    <t>Building Square Footage</t>
  </si>
  <si>
    <t>Pre Water Temperature</t>
  </si>
  <si>
    <t>Post Water Temperature</t>
  </si>
  <si>
    <t>Tank Insulation</t>
  </si>
  <si>
    <t>Pre GPM</t>
  </si>
  <si>
    <t>Post GPM</t>
  </si>
  <si>
    <t>Conditioned</t>
  </si>
  <si>
    <t>Pints per Day</t>
  </si>
  <si>
    <t>Proposed EF</t>
  </si>
  <si>
    <t>Dehumidifier Age</t>
  </si>
  <si>
    <t>Extended Prop0 tab to include field from Comprehensive lighting, FT lighting, Outdoor Lighting, HVAC, Refrigeration, Standard, HPDI, REAP, and Geothermal Applications. This application will have the first master Prop0 tab</t>
  </si>
  <si>
    <t>The participating Customer must have or obtain a PSEG Long Island residential electric account prior to payment</t>
  </si>
  <si>
    <t>5.29.19</t>
  </si>
  <si>
    <t>Removed QIV language</t>
  </si>
  <si>
    <t>Removed pink comments from Customer Information, T&amp;Cs, Required Documents, and Guidelines</t>
  </si>
  <si>
    <t>Changed the application submission date from January 1, 2019 to the effective date of the application</t>
  </si>
  <si>
    <t>Customer Information tab: added field to collect square footage of home</t>
  </si>
  <si>
    <t>Adjusted row heights and column width on guidelines tab so text can be fully visible.</t>
  </si>
  <si>
    <t>Corrected typo on guidelines tab</t>
  </si>
  <si>
    <t>On worksheet tab: merged and centered cells for input of serial number under Installed System Specifications section</t>
  </si>
  <si>
    <t>Hid formulas within tables on both inspection tabs</t>
  </si>
  <si>
    <t>Locked all cells not requiring data input on inspection tabs</t>
  </si>
  <si>
    <t>1.0_Draft 1.3.4</t>
  </si>
  <si>
    <t>6.5.19</t>
  </si>
  <si>
    <t>Formatted PSEG-LI Logos across each tab</t>
  </si>
  <si>
    <t>6.6.19</t>
  </si>
  <si>
    <t>Changed settings for QIV Contractor checkbox on the Worksheet tab to move and size with cells</t>
  </si>
  <si>
    <t>Hid rows that are connected to the QIV Contractor checkbox so the checkbox will also be hidden</t>
  </si>
  <si>
    <t>Removed "Check her to Assign Rebate" check box because it is already checked under Rebate Payment Method in the section above</t>
  </si>
  <si>
    <t>Moved the formula that shos/hides the Assignment Form tab to the "Assigned Installation Contractor" check box</t>
  </si>
  <si>
    <t>Reinstated the Ductless HP options in the table on the Worksheet tab with the old teir values of 18 SEER and 8.5 or 10 HSPF</t>
  </si>
  <si>
    <t>Added new rebate and incentive values to the Ductless HPs on the Worksheets tab table</t>
  </si>
  <si>
    <t>Added the Word "Ducted" before all non-ductless heat pumps listed on the Worksheet tab table</t>
  </si>
  <si>
    <t>EE CO2 Savings</t>
  </si>
  <si>
    <t>BE CO2 Savings</t>
  </si>
  <si>
    <t>Total CO2 Savings</t>
  </si>
  <si>
    <t>Ducted ccASHP EH</t>
  </si>
  <si>
    <t>Retrofit Ducted ccASHP Tier II</t>
  </si>
  <si>
    <t>Ducted Cold Climate ASHP</t>
  </si>
  <si>
    <t>Ductless Mini Split Systems - Cold Climate ASHP</t>
  </si>
  <si>
    <t>Gross Winter kW</t>
  </si>
  <si>
    <t>Utility Gross Winter kW</t>
  </si>
  <si>
    <t>Net Winter kW</t>
  </si>
  <si>
    <t>Total Net Winter kW</t>
  </si>
  <si>
    <t>Delta Gross kWh</t>
  </si>
  <si>
    <t>Delta Utility Gross kWh</t>
  </si>
  <si>
    <t>Delta Net kWh</t>
  </si>
  <si>
    <t>Total Delta Net kWh</t>
  </si>
  <si>
    <t>Cooling Hours</t>
  </si>
  <si>
    <t>Heating hours</t>
  </si>
  <si>
    <t>Ducted ccASHP EH Tier II</t>
  </si>
  <si>
    <t>Ductless Mini Split - ASHP EH Tier II</t>
  </si>
  <si>
    <t>Ductless Mini Split - ccASHP EH Tier II</t>
  </si>
  <si>
    <t>CH - DUCTLESS EH New TIER 1</t>
  </si>
  <si>
    <t>CH - DUCTLESS EH New TIER 2</t>
  </si>
  <si>
    <t>CH201-N-EH</t>
  </si>
  <si>
    <t>CH202-N-EH</t>
  </si>
  <si>
    <t>Heating kWh CO2 Savings (lbs)</t>
  </si>
  <si>
    <t>Heating ff CO2 Savings (lbs)</t>
  </si>
  <si>
    <t>Option 3: Weigh In (can be used for any system ONLY when outdoor ambient temperature is below OEM specification.):</t>
  </si>
  <si>
    <t>Option 1: SUBCOOLING Notes: Preferred Method. Typical for most Thermal Expansion Valve systems when outdoor temperature is greater than OEM spec. (Typ. 60°F)</t>
  </si>
  <si>
    <t>Require ccASHP for new construction Whole House Solutions</t>
  </si>
  <si>
    <t>1.0_Draft 1.3.5</t>
  </si>
  <si>
    <t>6.7.19</t>
  </si>
  <si>
    <t>Added Option 3 on Airflow Form</t>
  </si>
  <si>
    <t>Noted that Option 1 was the preferred method for Airflow testing on the Airflow tab</t>
  </si>
  <si>
    <t>On the Qualifying Index tab the logic for Equipment + Tier was updated to say &lt;&gt; CAC PTHP or Ductless, as opposed to = ASHP or Ductless HP</t>
  </si>
  <si>
    <t>Added EE and BE CO2 columns to Prop 0 which will reference the CO2 savings calculated on the Qualifying index tab</t>
  </si>
  <si>
    <t>Added Heating CO2 Savings from kWh and ff to Qualifying Index tab to properly separate out the CO2 savings</t>
  </si>
  <si>
    <t>Updated Product Names and Measure codes to be more consistan with the current method to set up Measure Codes</t>
  </si>
  <si>
    <t>Added Ducted ccASHP EH Tier II, Ductless Mini Split - ASHP EH Tier II, and Ductless Mini Split - ccASHP EH Tier II to the Rebate lookup table on the References tab</t>
  </si>
  <si>
    <t>Updated the table on the worksheet to only reflect the ccASHPs offered for New Construction Whole House Solutions</t>
  </si>
  <si>
    <t>Adjusted Existing Building/ New Construction button code to clear the new Existing equipment table range</t>
  </si>
  <si>
    <t>Added space on the Post Inspection form to collect secondary heating systems as well as integrated controls</t>
  </si>
  <si>
    <t>18.</t>
  </si>
  <si>
    <t xml:space="preserve">Integrated Controls </t>
  </si>
  <si>
    <t>Added Requirement for Integrated Controls on the Guidelines tab</t>
  </si>
  <si>
    <t>Added check box for Integrated controls on the Worksheet tab</t>
  </si>
  <si>
    <t>CH - Integrated Controls</t>
  </si>
  <si>
    <t>Added row for Integrated controls on the Prop0, Only populated fields for Product Line, Class, Name, Measure Code, Savings (0), and Rebate. Currently not requiring additional info on controls.</t>
  </si>
  <si>
    <t>Added Integrated controls to the table on the Worksheet tab</t>
  </si>
  <si>
    <t>Terms and Conditions</t>
  </si>
  <si>
    <t>Updated language prefacing Assignment Letter</t>
  </si>
  <si>
    <t xml:space="preserve">Updated Terms &amp; Conditions and Guidelines with new policy related to secondary heating source. Updated Guidelines to reflect newsizing requirements </t>
  </si>
  <si>
    <t>6.10.19</t>
  </si>
  <si>
    <t>Added QIV factor savings to Heating EE kW and kWh savings on the Qualifying Index</t>
  </si>
  <si>
    <t>1.0_Draft 1.3.6</t>
  </si>
  <si>
    <t>Updated Winter kW Savings to be depndant on whether the heating is EE or BE</t>
  </si>
  <si>
    <t>Chnaged the Qualifying Index to always have negative kW for BE savings</t>
  </si>
  <si>
    <t>Added an "IF" statement to the Integrated Controls on the Prop0 tab so savings will apear as "" if there are no Integrated controls</t>
  </si>
  <si>
    <t xml:space="preserve">Ducted ASHP </t>
  </si>
  <si>
    <t xml:space="preserve">Ducted Cold Climate ASHP </t>
  </si>
  <si>
    <t xml:space="preserve">Ductless Mini Split Systems - ASHP </t>
  </si>
  <si>
    <t xml:space="preserve">Ductless Mini Split Systems - Cold Climate ASHP </t>
  </si>
  <si>
    <t>6.12.19</t>
  </si>
  <si>
    <t>1.0_Draft 1.3.7</t>
  </si>
  <si>
    <t>Worksheet tab: split eligibility and rebate table into two; one for new construction and the other for electric resistance heating customers</t>
  </si>
  <si>
    <t>Increased row height on Terms &amp; Conditions tab so text is legible</t>
  </si>
  <si>
    <t>Required Documents Tab: made sure manual j requirement applied to heating and cooling load calculations</t>
  </si>
  <si>
    <t>6.13.19</t>
  </si>
  <si>
    <t>Moved Worksheet tables to be one on top of the other</t>
  </si>
  <si>
    <t>Added PopUp and Note on Customer Information to notify the contractor this offering is only available to NC whole house or existing ER</t>
  </si>
  <si>
    <t>1.0_Draft 1.3.8</t>
  </si>
  <si>
    <t>Worksheet tab- ASHP</t>
  </si>
  <si>
    <t>Smart T-Stats tab- Thermostats</t>
  </si>
  <si>
    <t>Learning vs. Connected</t>
  </si>
  <si>
    <t>Controlled Unit</t>
  </si>
  <si>
    <t>Cooling BTUH</t>
  </si>
  <si>
    <t>Heating BTUH</t>
  </si>
  <si>
    <t>Heating Hours</t>
  </si>
  <si>
    <t>kWh Savings</t>
  </si>
  <si>
    <t>MMBTU savings</t>
  </si>
  <si>
    <t>Connected</t>
  </si>
  <si>
    <t>Learning</t>
  </si>
  <si>
    <t>Efficiency Savings Factors</t>
  </si>
  <si>
    <t>CO2 savings (lbs)</t>
  </si>
  <si>
    <t>Added Learning vs Connected table to references to differentiate between ENERGYSTAR rated Learning/geofencing thermostats, and ones only with Wifi capability</t>
  </si>
  <si>
    <t>Added Smart Tstat Savings calcs to Qualifying index using ASHP real data or TRM assumptions</t>
  </si>
  <si>
    <t>Smart Tstat Savings will follow the original Index and Match protocol for connected thermostats, and will calculate using HVAC info and energy savings factors for Leanring thermostats</t>
  </si>
  <si>
    <t>Populated Qualifying Index Smart Tstat saving to Prop0</t>
  </si>
  <si>
    <t>Ductless ccASHP tier 2 was changed to be be $1000 per ton. It was incorrectly written as $800</t>
  </si>
  <si>
    <t>Rebate calculation on the Worksheet was updated to search if References cell H14 was blank instead of G14</t>
  </si>
  <si>
    <t>1.0_Draft 1.3.9</t>
  </si>
  <si>
    <t>Updated Coincidence factor to be 65% to be consistant with the ODC TRM</t>
  </si>
  <si>
    <t>Measure codes for whole House Solutions were updated to show WH-NC for whole house new construction</t>
  </si>
  <si>
    <t>1.0_Draft 1.4</t>
  </si>
  <si>
    <t>6.14.19</t>
  </si>
  <si>
    <t>Increased row height on Terms &amp; Conditions tab even more so text is legible</t>
  </si>
  <si>
    <t>7.9.19</t>
  </si>
  <si>
    <t>Fixed QIV kWh savings to allow heating QIV savings when "Ducted ccASHP" is selected. Previously, it was only for "Ducted ASHP".</t>
  </si>
  <si>
    <t>1.1_Draft 1.0</t>
  </si>
  <si>
    <t>Adjusted formatting for SqFt. On Customer Information tab. Previously it was following the phone number format</t>
  </si>
  <si>
    <t>CH - WH ccASHP New TIER 2</t>
  </si>
  <si>
    <t>CH - WH DUCTLESS ccASHP New TIER 2</t>
  </si>
  <si>
    <t>Added "WH" to the Product Name of Whole House Heat Pumps</t>
  </si>
  <si>
    <t>Gross kWh</t>
  </si>
  <si>
    <t>Net kWh</t>
  </si>
  <si>
    <t>Total Net kWh</t>
  </si>
  <si>
    <t>Removed "EE" from renamed savings fields to make mapping easier for the first iteration of the Master Prop0</t>
  </si>
  <si>
    <t>Updated formula on References tab I36:N36 to allow formulas to work when NC is selected without a source or primary heating</t>
  </si>
  <si>
    <t>Updated EE and BE MMBTU formulas on Prop0 to have positive kWh MMBTU (Heating MMBTU Savings (kWh)) savings be counted as EE MMBTU and Negative kWh MMBTU counted as BE MMBTU</t>
  </si>
  <si>
    <t>Gross kW</t>
  </si>
  <si>
    <t>7.10.19</t>
  </si>
  <si>
    <t>Mapped Building SqFt to Prop0 column DW</t>
  </si>
  <si>
    <t>1.1_Draft 1.1</t>
  </si>
  <si>
    <t>Changed contractor incentive to reference ReferencesH36 instead of ReferencesG14, because incentive was not appearing if NC was selected w/o a heating source or equipment</t>
  </si>
  <si>
    <t>7.11.19</t>
  </si>
  <si>
    <t>Customer and contractor information were not populating to the Pre-Isection Form tab. Formulas were added to match the Post-Inspection Form tab.</t>
  </si>
  <si>
    <t>6.18.19</t>
  </si>
  <si>
    <t xml:space="preserve">Draft 1.0 approved by client and ready for release. </t>
  </si>
  <si>
    <t>7.23.19</t>
  </si>
  <si>
    <t>EFLH was correctly displayed for calculations, but incorrectly mapped to Prop0. Prop0 Full load hours now reference the Qualifying Index tab</t>
  </si>
  <si>
    <t>1.1_Draft 1.2</t>
  </si>
  <si>
    <t>Added NOT ISNUMBER function for Existing equipment logic on the Qualifying Index to avoid non-number values from being used in formulas</t>
  </si>
  <si>
    <t>Changed rounding values on Reference tab to be 7 and 5 for kW and kWh savings respectively</t>
  </si>
  <si>
    <t>Utility Gross kW</t>
  </si>
  <si>
    <t>Net kW</t>
  </si>
  <si>
    <t>Total Net kW</t>
  </si>
  <si>
    <t>Utility Gross kWh</t>
  </si>
  <si>
    <t>EE MMBTU Savings</t>
  </si>
  <si>
    <t>Changed Qualifying Index Winter kW calcs to reference HSPF not EER</t>
  </si>
  <si>
    <t>Wi-Fi Enabled Smart Thermostat</t>
  </si>
  <si>
    <t>7.24.19</t>
  </si>
  <si>
    <t>Changed font and border colors, and logos to match LM colors and logos on all tabs</t>
  </si>
  <si>
    <t>7.25.19</t>
  </si>
  <si>
    <t>1.1_Draft 1.3</t>
  </si>
  <si>
    <t xml:space="preserve">Changed Winter kW to look at heating efficiencies </t>
  </si>
  <si>
    <t xml:space="preserve">Changed NC SEER baseline to 14 SEER to be consistant with the WH proposal </t>
  </si>
  <si>
    <t>Rounded rebate to the nearest dollar</t>
  </si>
  <si>
    <t>Removed "New Construction" from the Elecrtic Heating table on the Worksheet</t>
  </si>
  <si>
    <t>1.1_Draft 1.4</t>
  </si>
  <si>
    <t>7.29.19</t>
  </si>
  <si>
    <t>Removed Coincidence Factor from Winter kW Savings as there is not Winter Peak yet</t>
  </si>
  <si>
    <t>1.1_Draft 1.5</t>
  </si>
  <si>
    <t>7.31.19</t>
  </si>
  <si>
    <t>ED</t>
  </si>
  <si>
    <t>1.1_Draft1.6</t>
  </si>
  <si>
    <t>Worksheet: Updated number formatting in "existing" table for cooling btuh</t>
  </si>
  <si>
    <t>Prop 0: Updated formula in Column K (Gross Winter kW) to drag down References I36 to all equipment lines</t>
  </si>
  <si>
    <t>Qualifying Index: Column BC - Changed formula to reference column AJ instead of AI</t>
  </si>
  <si>
    <t>Prop 0: kW and MMBTU BE/EE Formulas dragged down</t>
  </si>
  <si>
    <t>1.1_Draft1.7</t>
  </si>
  <si>
    <t>Ed</t>
  </si>
  <si>
    <t>8.6.19</t>
  </si>
  <si>
    <t>Locked up and finalized workbook per client approval; updated effective date to 8.6.2019 and version to 1.0 since this is the first INTERNAL version of the workbook</t>
  </si>
  <si>
    <t>9.18.19</t>
  </si>
  <si>
    <t>draft1.0</t>
  </si>
  <si>
    <t>CH220-N-EH</t>
  </si>
  <si>
    <t>CH221-WH-NC</t>
  </si>
  <si>
    <t>CH221-N-EH</t>
  </si>
  <si>
    <t>CH220-WH-NC</t>
  </si>
  <si>
    <t>Reference: Changed the Ductless mini split ccASHP Tier 2 for Electric Heat measure code from CH302 to CH220</t>
  </si>
  <si>
    <t>Reference: Changed the Ductless mini split ccASHP Tier 2 for Whole House measure code from CH313 to CH220</t>
  </si>
  <si>
    <t>Reference: Changed the Ducted ccASHP Tier 2 for Electric Heat measure code from CH312 to CH221</t>
  </si>
  <si>
    <t>Reference: Changed the Ducted ccASHP Tier 2 for Whole House measure code from CH312 to CH221</t>
  </si>
  <si>
    <t>Worksheet: changed Contractor Incentive on electric heat  eligibility table from $500 to $1,500</t>
  </si>
  <si>
    <t>Refrences: Updated contractor incentive from $500 to $1,500 this will be effective for Sept 1st through October 31st</t>
  </si>
  <si>
    <t>10.17.19</t>
  </si>
  <si>
    <t>Early release of Whole House Application with senarios 2 &amp; 3 available</t>
  </si>
  <si>
    <t>2.0_draft1.0</t>
  </si>
  <si>
    <t>Whole House Scenario?</t>
  </si>
  <si>
    <t>Whole House?</t>
  </si>
  <si>
    <t>Customer Information: Added "Whole House Existing Building" and "Whole House New Construction" Option buttons</t>
  </si>
  <si>
    <t>References: Added a Whole House TRUE FALSE in C21</t>
  </si>
  <si>
    <t>Electric Heat</t>
  </si>
  <si>
    <t>Qualifying_Index: Added Column I to track which WH scenario is true</t>
  </si>
  <si>
    <t>Qualifying_Index: Cooling and Heating EFLH will change based on whether the project is Whole house, new constrcution, etc.</t>
  </si>
  <si>
    <t>Qualifying_Index: Revised New or Retrofit column to include Whole House</t>
  </si>
  <si>
    <t>Customer Information: Linked new Option buttons to References A21 &amp; Macro</t>
  </si>
  <si>
    <t>Qualifying_Index: Revised New Equipment + Tier to include Whole House Scenario</t>
  </si>
  <si>
    <t>Whole House Ducted ccASHP Tier II2</t>
  </si>
  <si>
    <t>CH221-WH-OC</t>
  </si>
  <si>
    <t>CH - WH S2 ccASHP New TIER 2</t>
  </si>
  <si>
    <t>Whole House Ductless Mini Split - ccASHP Tier II2</t>
  </si>
  <si>
    <t>CH220-WH-OC</t>
  </si>
  <si>
    <t>CH - WH S2 DUCTLESS ccASHP New TIER 2</t>
  </si>
  <si>
    <t>Whole House Ducted ccASHP Tier II3</t>
  </si>
  <si>
    <t>CH221-WH-AO</t>
  </si>
  <si>
    <t>CH - WH S3 ccASHP New TIER 2</t>
  </si>
  <si>
    <t>Whole House Ductless Mini Split - ccASHP Tier II3</t>
  </si>
  <si>
    <t>CH220-WH-AO</t>
  </si>
  <si>
    <t>CH - WH S3 DUCTLESS ccASHP New TIER 2</t>
  </si>
  <si>
    <t>Whole House Ducted ccASHP Tier II1</t>
  </si>
  <si>
    <t>Whole House Ductless Mini Split - ccASHP Tier II1</t>
  </si>
  <si>
    <t>References: Added Scenarios 2 &amp; 3 from 2020 Master Internal Resi draft 1.2.2</t>
  </si>
  <si>
    <t>2.0_draft1.1</t>
  </si>
  <si>
    <t>10.18.19</t>
  </si>
  <si>
    <t>Qualifying_Index: Adjusted rebate formula to include new Whole House scenarios</t>
  </si>
  <si>
    <t>Qualifying Index: Adjusted formulas in AG AH AJ AK to check if project is Whole House instead of New Construction</t>
  </si>
  <si>
    <t>Whole House Projects</t>
  </si>
  <si>
    <t>2.0_draft1.2</t>
  </si>
  <si>
    <t>Worksheet: Expanded rebate table</t>
  </si>
  <si>
    <t>Change to External worksheet: Remove "INTERNAL", change colors to orange, logos are all PSEGLI</t>
  </si>
  <si>
    <t xml:space="preserve">Tier II 
HSPF </t>
  </si>
  <si>
    <t>Tier I
Existing Oil w/ no CAC</t>
  </si>
  <si>
    <t>Tier II
Existing Oil w/ no CAC</t>
  </si>
  <si>
    <t>Tier I
All Others</t>
  </si>
  <si>
    <t>Tier II
All Others</t>
  </si>
  <si>
    <t>By providing a telephone number you are giving consent to be contacted at that number about matters that are closely related to the utility service</t>
  </si>
  <si>
    <t xml:space="preserve">Participating Contractors must use an ACCA approved Manual J version 8 software package to perform the load calculation, and then size the unit(s) accordingly 
(Visit http://www.acca.org/software/ for a current list of ACCA approved Manual J version 8 software) </t>
  </si>
  <si>
    <t>10.22.19</t>
  </si>
  <si>
    <t>Customer Macro: Added two new Macros for the two Whole House option buttons that will trigger a pop up explaining the main criteria for whole house</t>
  </si>
  <si>
    <t>Worksheet: Removed tables</t>
  </si>
  <si>
    <t>Worksheet: Copied tables from "Tables" as pictures</t>
  </si>
  <si>
    <t>Added new tab "Tables"</t>
  </si>
  <si>
    <t>Tables: Recreated Electric Heat and Whole House eligibility tables</t>
  </si>
  <si>
    <t>References: Changed H14 formula to include Whole House New Construction</t>
  </si>
  <si>
    <t>Qualifying_Index: Changed New or Retrofit to look for Whole House first</t>
  </si>
  <si>
    <t>Worksheet: Changed logic in P38  formula to include Whole House New Construction</t>
  </si>
  <si>
    <t>Integrated Controls</t>
  </si>
  <si>
    <t>Technology Type</t>
  </si>
  <si>
    <t>Dual Fuel Thermostats &amp;Integrated Control Kits</t>
  </si>
  <si>
    <t>Which one is installed?</t>
  </si>
  <si>
    <t>Model Names</t>
  </si>
  <si>
    <t>Dual Fuel Thermostat</t>
  </si>
  <si>
    <t>Aprilaire</t>
  </si>
  <si>
    <t>Bosche</t>
  </si>
  <si>
    <t>Bryant</t>
  </si>
  <si>
    <t>Building36</t>
  </si>
  <si>
    <t>Carrier</t>
  </si>
  <si>
    <t>Honeywell Home</t>
  </si>
  <si>
    <t>Lennox Industries Inc.</t>
  </si>
  <si>
    <t>LG Electronics</t>
  </si>
  <si>
    <t>Nexia</t>
  </si>
  <si>
    <t>Robertshaw</t>
  </si>
  <si>
    <t>Tekmar</t>
  </si>
  <si>
    <t>Integrated Control</t>
  </si>
  <si>
    <t>Bosch Connected Control BCC100 Thermostat</t>
  </si>
  <si>
    <t>Evolution System Control</t>
  </si>
  <si>
    <t>Intelligent Thermostat</t>
  </si>
  <si>
    <t>COR</t>
  </si>
  <si>
    <t>Ecobee 3 lite</t>
  </si>
  <si>
    <t>Prestige IAQ</t>
  </si>
  <si>
    <t>iComfort E30</t>
  </si>
  <si>
    <t>Thermostat</t>
  </si>
  <si>
    <t>Nest Third Gen</t>
  </si>
  <si>
    <t>Trane/American Standard/Service First</t>
  </si>
  <si>
    <t>Invita</t>
  </si>
  <si>
    <t>COR 5C</t>
  </si>
  <si>
    <t>Ecobee 4</t>
  </si>
  <si>
    <t>Smart Round</t>
  </si>
  <si>
    <t>iComfort M30</t>
  </si>
  <si>
    <t>COR 7C</t>
  </si>
  <si>
    <t>Ecobee Smart Thermostat with Voice Control</t>
  </si>
  <si>
    <t>T6 Pro</t>
  </si>
  <si>
    <t>iComfort S30</t>
  </si>
  <si>
    <t>Infintiy System Control</t>
  </si>
  <si>
    <t>T6 Pro Smart</t>
  </si>
  <si>
    <t>iComfort WiFi</t>
  </si>
  <si>
    <t>VisionPro 800 Smart</t>
  </si>
  <si>
    <t>CMNA ICP-MIDEA</t>
  </si>
  <si>
    <t>Daikin</t>
  </si>
  <si>
    <t>WiFi 8000</t>
  </si>
  <si>
    <t>EWC Controls</t>
  </si>
  <si>
    <t>Fujitsu</t>
  </si>
  <si>
    <t>8476W</t>
  </si>
  <si>
    <t>Gree</t>
  </si>
  <si>
    <t>8620W</t>
  </si>
  <si>
    <t>Haier</t>
  </si>
  <si>
    <t>8910W</t>
  </si>
  <si>
    <t>8920W</t>
  </si>
  <si>
    <t>Mitsubishi Electric</t>
  </si>
  <si>
    <t>Samsung Electric</t>
  </si>
  <si>
    <t>Panasonic</t>
  </si>
  <si>
    <t>Based on list above. If not on list above, it will not be counted.</t>
  </si>
  <si>
    <t>Model Numbers</t>
  </si>
  <si>
    <t>Capability</t>
  </si>
  <si>
    <t>BCC100</t>
  </si>
  <si>
    <t>SYSTXBBECC01</t>
  </si>
  <si>
    <t>B36-T10</t>
  </si>
  <si>
    <t>T6-WEM01-A</t>
  </si>
  <si>
    <t>EB-STATE3LT***</t>
  </si>
  <si>
    <t>YTHX9421R5085WW</t>
  </si>
  <si>
    <t>E30</t>
  </si>
  <si>
    <t>PREMTVBC0</t>
  </si>
  <si>
    <t>T3008US</t>
  </si>
  <si>
    <t>ACONT824AS52D*</t>
  </si>
  <si>
    <t>9725I2</t>
  </si>
  <si>
    <t>TSTWHA01</t>
  </si>
  <si>
    <t>EB-STATE4***</t>
  </si>
  <si>
    <t>YTHX9421R5101WW</t>
  </si>
  <si>
    <t>M30</t>
  </si>
  <si>
    <t>PREMTBVC1</t>
  </si>
  <si>
    <t>T3016US</t>
  </si>
  <si>
    <t>TCONT824AS52D*</t>
  </si>
  <si>
    <t>9825I2</t>
  </si>
  <si>
    <t>564B</t>
  </si>
  <si>
    <t>TSTWRH01</t>
  </si>
  <si>
    <t>EB-STATE5***</t>
  </si>
  <si>
    <t>TH8732WFH 5002</t>
  </si>
  <si>
    <t>S30</t>
  </si>
  <si>
    <t>T3017US</t>
  </si>
  <si>
    <t>ACONT724AS42D*</t>
  </si>
  <si>
    <t>SYSTXCCITC01-B</t>
  </si>
  <si>
    <t>TH6320U 2008</t>
  </si>
  <si>
    <t>WiFi</t>
  </si>
  <si>
    <t>T3021US</t>
  </si>
  <si>
    <t>TCONT724AS42D*</t>
  </si>
  <si>
    <t>TH6320WF 2003</t>
  </si>
  <si>
    <t>ACONT624AS42D*</t>
  </si>
  <si>
    <t>TH8320R 1003</t>
  </si>
  <si>
    <t>TCONT624AS42D*</t>
  </si>
  <si>
    <t>TH8321R 1001</t>
  </si>
  <si>
    <t>AZON1050AC52Z*</t>
  </si>
  <si>
    <t>TH8321WF 1001</t>
  </si>
  <si>
    <t>TZON1050AC52Z*</t>
  </si>
  <si>
    <t>ACONT850AC52U*</t>
  </si>
  <si>
    <t>TCONT850AC52U*</t>
  </si>
  <si>
    <t>Control Kits- Model Names</t>
  </si>
  <si>
    <t>24V Interface</t>
  </si>
  <si>
    <t>ENVI</t>
  </si>
  <si>
    <t>Ultra-Zone</t>
  </si>
  <si>
    <t>Wired Remote Controller (Touch Panel)</t>
  </si>
  <si>
    <t>Flair Puck + Honeywell T6 Pro Smart</t>
  </si>
  <si>
    <t>IFTTT</t>
  </si>
  <si>
    <t>Third Party Tstat Method L Model Series IDU</t>
  </si>
  <si>
    <t>T-stat Interface + Transformer</t>
  </si>
  <si>
    <t>Thermostat Adaptor</t>
  </si>
  <si>
    <t>Honeywell LYRIC</t>
  </si>
  <si>
    <t>Novus N2020</t>
  </si>
  <si>
    <t>AUX Heater Kit Highwall Multi</t>
  </si>
  <si>
    <t>Kumo Station + Kumo Cloud + Outdoor Temperature Sensor</t>
  </si>
  <si>
    <t>Honeywell LYRIC T6</t>
  </si>
  <si>
    <t>Thermostat Converter</t>
  </si>
  <si>
    <t>Aux Heater Kit All Ducted/Cassette</t>
  </si>
  <si>
    <t>IFTTT Connect</t>
  </si>
  <si>
    <t>Third Party Tstat Method A Model Series IDU</t>
  </si>
  <si>
    <t>A Series IDU Model - Dry Contact Built In</t>
  </si>
  <si>
    <t>Control Kits- Model Number</t>
  </si>
  <si>
    <t>KSAIC0301230</t>
  </si>
  <si>
    <t>KSAIC0401230</t>
  </si>
  <si>
    <t>DACA-TSI-1</t>
  </si>
  <si>
    <t>BMPlus 3000</t>
  </si>
  <si>
    <t>UTY-RNRUZ2</t>
  </si>
  <si>
    <t>ICS001P</t>
  </si>
  <si>
    <t>QAWF01A</t>
  </si>
  <si>
    <t>PDRYCB300</t>
  </si>
  <si>
    <t>PAC-US444CN-1</t>
  </si>
  <si>
    <t>TADPT2</t>
  </si>
  <si>
    <t>TH8732WFH5002/U</t>
  </si>
  <si>
    <t>BMPlus 5000</t>
  </si>
  <si>
    <t>PRARS1</t>
  </si>
  <si>
    <t>PAC-WHS01HC-E</t>
  </si>
  <si>
    <t>TH6220WF2006</t>
  </si>
  <si>
    <t>BMPlus 7000</t>
  </si>
  <si>
    <t>UTY-TTRX</t>
  </si>
  <si>
    <t>PRARH0</t>
  </si>
  <si>
    <t>C7089U1006/U</t>
  </si>
  <si>
    <t>PICDF19</t>
  </si>
  <si>
    <t>UZC-4</t>
  </si>
  <si>
    <t>IDU MODEL</t>
  </si>
  <si>
    <t>PAC-USWHS002-WF-1</t>
  </si>
  <si>
    <t>UZC-6</t>
  </si>
  <si>
    <t>VPL24-210</t>
  </si>
  <si>
    <t>Technology</t>
  </si>
  <si>
    <t>11.4.19</t>
  </si>
  <si>
    <t>References: Added Integrated Controls Section Listing Manufactures, and Models for both Dual Fuel Thermostats and Integrated controls. Based on masssave 10/18 list</t>
  </si>
  <si>
    <t xml:space="preserve">MCR </t>
  </si>
  <si>
    <t>Integrated Controls: Copied Dual Fuel Thermostat Tab and renamed "Integrated Controls"</t>
  </si>
  <si>
    <t>Integrated Controls: Hid all but one row for User inputs</t>
  </si>
  <si>
    <t>Integrated Controls: Linked drop downs to new Integrated Controls section in References. Manufacturers will update based on whether Thermostat or Control is selected.</t>
  </si>
  <si>
    <t>Integrated Controls: Updated Customer and Contractor incentive based on 10/30/19 meeting. Contractor will get larger incentive for their labor.</t>
  </si>
  <si>
    <t>Integrated Controls: Updated Instructions</t>
  </si>
  <si>
    <t>Integrated Controls: Changed the eligibilty explanation in row 4 to be more relevant for dual fuel thermostats and integrated controls</t>
  </si>
  <si>
    <t>Worksheet: Linked Integrated Control Check box to Integrated control sheet to hide/unhide</t>
  </si>
  <si>
    <t>Worksheet: Removed Integrated Control incentive</t>
  </si>
  <si>
    <t>Integrated Control: Added Contractor Incentive Column to table</t>
  </si>
  <si>
    <t>Qualifying_Index: Added Integrated controls Section</t>
  </si>
  <si>
    <t>Prop0: Linked Savings for integrated controls to the Qualifying Index</t>
  </si>
  <si>
    <t>Prop0: Linked customer and contractor incentives, manufacturer, and model for integrated controls to the Integrated controls tab</t>
  </si>
  <si>
    <t>Integrated Controls: Added instructions for smart thermostats</t>
  </si>
  <si>
    <t>11.5.19</t>
  </si>
  <si>
    <t>2.0_draft1.3</t>
  </si>
  <si>
    <t>2.0_draft 1.4</t>
  </si>
  <si>
    <t>Ductless Mini Split - ccASHP EH</t>
  </si>
  <si>
    <t>Qualifying_Index: Added Logic for SEER, HSPF Teirs 1 and 2 to find EH specific Minimum efficiencies</t>
  </si>
  <si>
    <t>References: Populated Minimum efficiencies for Ductless ccASHP EH replacements</t>
  </si>
  <si>
    <t>Integrated Controls: Deleted the Customer Incentive column</t>
  </si>
  <si>
    <t>Integrated Controls: Chnaged Contractor Incentive to $500</t>
  </si>
  <si>
    <t>Ducted Air Source HP</t>
  </si>
  <si>
    <t>11.6.19</t>
  </si>
  <si>
    <t>References: Chnaged "Air Source HP" to "Ducted Air Source HP"</t>
  </si>
  <si>
    <t>Qualifying Index:  Added logic to Whole House Scenario to generate scenario 3 for existing ducted ASHPs</t>
  </si>
  <si>
    <t>2.0_draft 1.4.1</t>
  </si>
  <si>
    <t>Select the appropriate check boxes on the Customer Information tab prior to filling out the tables below..</t>
  </si>
  <si>
    <t>11.7.19</t>
  </si>
  <si>
    <t>2.0_draft 1.4.2</t>
  </si>
  <si>
    <t>Worksheet: Changed instructions to inform user to fill in the Customer Inouts tab first</t>
  </si>
  <si>
    <t>Customer Information: Updated language at the top to explain which customers are eligible for the two rebate offerings on this application.</t>
  </si>
  <si>
    <t>11.8.19</t>
  </si>
  <si>
    <t>Integrated Controls: Switched Rebate back to Customer</t>
  </si>
  <si>
    <t>Prop0: Moved Contractor incentive to Customer Rebate column</t>
  </si>
  <si>
    <t>2.0_draft 1.4.3</t>
  </si>
  <si>
    <t>11.15.19</t>
  </si>
  <si>
    <t>R-Value Installed:</t>
  </si>
  <si>
    <t>Existing R-Value:</t>
  </si>
  <si>
    <t>Location:</t>
  </si>
  <si>
    <t>Location 5:</t>
  </si>
  <si>
    <t>Location 4:</t>
  </si>
  <si>
    <t>Location 3:</t>
  </si>
  <si>
    <t>Location 2:</t>
  </si>
  <si>
    <t>Location 1:</t>
  </si>
  <si>
    <t>Insulation Installed:</t>
  </si>
  <si>
    <t>Insulation</t>
  </si>
  <si>
    <t>Total Air Sealing Square Footage:</t>
  </si>
  <si>
    <t>Post CFM50:</t>
  </si>
  <si>
    <t>Pre CFM50:</t>
  </si>
  <si>
    <t>Conditioned Air Volume:</t>
  </si>
  <si>
    <t>Air Sealing Perfomed:</t>
  </si>
  <si>
    <t>Air Sealing</t>
  </si>
  <si>
    <t>Duct Location:</t>
  </si>
  <si>
    <t>Duct Sealing</t>
  </si>
  <si>
    <t>Heating Source:</t>
  </si>
  <si>
    <t>COP:</t>
  </si>
  <si>
    <t>EER:</t>
  </si>
  <si>
    <t>HSPF:</t>
  </si>
  <si>
    <t>SEER:</t>
  </si>
  <si>
    <t>Efficieny:</t>
  </si>
  <si>
    <t>Cooling Capacity:</t>
  </si>
  <si>
    <t>Heating Capacity:</t>
  </si>
  <si>
    <t>- Please Select -</t>
  </si>
  <si>
    <t>Heating and Cooling Data</t>
  </si>
  <si>
    <t>Enter all data inputs fields for installed measures</t>
  </si>
  <si>
    <t>3)</t>
  </si>
  <si>
    <t>Select Yes/No from "Performed" drop down</t>
  </si>
  <si>
    <t>2)</t>
  </si>
  <si>
    <t>Enter applicable Heating and Cooling System information</t>
  </si>
  <si>
    <t>1)</t>
  </si>
  <si>
    <t>Home Performance with ENERGY STAR</t>
  </si>
  <si>
    <t>Spillage:</t>
  </si>
  <si>
    <t>Test Out</t>
  </si>
  <si>
    <t>Test In</t>
  </si>
  <si>
    <t>Pa</t>
  </si>
  <si>
    <t>Draft:</t>
  </si>
  <si>
    <t>ppm</t>
  </si>
  <si>
    <t>CO Ambient:</t>
  </si>
  <si>
    <t>CO Flue:</t>
  </si>
  <si>
    <t>Energy Factor:</t>
  </si>
  <si>
    <t>Size(gallons):</t>
  </si>
  <si>
    <t>Year of Mfg.:</t>
  </si>
  <si>
    <t>Fuel:</t>
  </si>
  <si>
    <t>Distribution:</t>
  </si>
  <si>
    <t>B.T.U.:</t>
  </si>
  <si>
    <t>Venting:</t>
  </si>
  <si>
    <t>Type:</t>
  </si>
  <si>
    <t>Detail:</t>
  </si>
  <si>
    <t>DHW</t>
  </si>
  <si>
    <t>Combustion Appliance No. 2</t>
  </si>
  <si>
    <t>Combustion Appliance No. 1</t>
  </si>
  <si>
    <t xml:space="preserve"> </t>
  </si>
  <si>
    <t>Gas Leak:</t>
  </si>
  <si>
    <t>Worst Case Pressure WRTO:</t>
  </si>
  <si>
    <t>CAZ Ambient CO:</t>
  </si>
  <si>
    <t>Combustion Safety test in (Tested at worst case)</t>
  </si>
  <si>
    <t>Pressure Difference:</t>
  </si>
  <si>
    <t>Baseline Pressure WRTO:</t>
  </si>
  <si>
    <t>CAZ Pressure Diagnostics</t>
  </si>
  <si>
    <t>Project Number</t>
  </si>
  <si>
    <t>Health &amp; Safety: Heating and Air Conditioning</t>
  </si>
  <si>
    <t>Go To…</t>
  </si>
  <si>
    <t>Air Flow</t>
  </si>
  <si>
    <t>Air Flow Tabs</t>
  </si>
  <si>
    <t>Unconditioned Basement</t>
  </si>
  <si>
    <t>Unconditioned Attic</t>
  </si>
  <si>
    <t>Duct Location</t>
  </si>
  <si>
    <t>Flooring</t>
  </si>
  <si>
    <t>Foundation Walls</t>
  </si>
  <si>
    <t>Rim Joist</t>
  </si>
  <si>
    <t>Garage Overhang</t>
  </si>
  <si>
    <t>Exterior Walls</t>
  </si>
  <si>
    <t>Attic 2</t>
  </si>
  <si>
    <t>Attic</t>
  </si>
  <si>
    <t>Location Attribute</t>
  </si>
  <si>
    <t>Garage/Overhang</t>
  </si>
  <si>
    <t>11.14.19</t>
  </si>
  <si>
    <t>HPwES: Moved from PSEGLI_2020 Home Comfort_VERSION draft_2.4</t>
  </si>
  <si>
    <t>HPwES H&amp;S: Moved from PSEGLI_2020 Home Comfort_VERSION draft_2.4</t>
  </si>
  <si>
    <t>1.0_draft 2.5</t>
  </si>
  <si>
    <t>References: Cut and Paste HP tables on draft 2.4 Reference tab to this Reference tab</t>
  </si>
  <si>
    <t>HPwES: Changed Data Validation to use Offset formula for D110, J110, D122, J122, &amp; D134</t>
  </si>
  <si>
    <t>Electric Baseboard</t>
  </si>
  <si>
    <t>Geothermal</t>
  </si>
  <si>
    <t>Heat Pump</t>
  </si>
  <si>
    <t>Combustion Equipment</t>
  </si>
  <si>
    <t>Fuel Type</t>
  </si>
  <si>
    <t>Sealed</t>
  </si>
  <si>
    <t xml:space="preserve">Power Vented </t>
  </si>
  <si>
    <t>Induced</t>
  </si>
  <si>
    <t>Natural</t>
  </si>
  <si>
    <t>Venting</t>
  </si>
  <si>
    <t>Radiator</t>
  </si>
  <si>
    <t>Baseboard</t>
  </si>
  <si>
    <t>Forced Hot Air</t>
  </si>
  <si>
    <t>Distribution</t>
  </si>
  <si>
    <t>Tankless</t>
  </si>
  <si>
    <t>Indirect Storage</t>
  </si>
  <si>
    <t>Direct Storage</t>
  </si>
  <si>
    <t>Project Type:</t>
  </si>
  <si>
    <t>Income Eligible?</t>
  </si>
  <si>
    <t>References: Cut and Paste DHW tabled from 2020 HPDI draft 4 References tab to this References tab</t>
  </si>
  <si>
    <t>Customer Information: added 2 rows below Application Type &amp; Named row Project Type</t>
  </si>
  <si>
    <t>Customer Information: added 2 Check Boxes to Project Type called "Whole House" &amp; "Income Eligible"</t>
  </si>
  <si>
    <t>Customer Information: Linked "Whole House" check box to References cell C21</t>
  </si>
  <si>
    <t>Macro: Added macro for "Whole House" (checkbox1) so that when TRUE a pop-up explains what whole house is</t>
  </si>
  <si>
    <t>Macro: Added macro for "Income Eligible" (chackbox3) so that when TRUE a pop-up explains where they can learn if they are income eligible</t>
  </si>
  <si>
    <t>Customer Information: Linked "Income Eligible" check box to References cell C17</t>
  </si>
  <si>
    <t>Tier I EER</t>
  </si>
  <si>
    <t>Tier I HSPF/COP</t>
  </si>
  <si>
    <t>Tier II SEER</t>
  </si>
  <si>
    <t xml:space="preserve">Tier II HSPF </t>
  </si>
  <si>
    <t>Ducted Split Air Source Heat Pumps</t>
  </si>
  <si>
    <t>Ducted Cold Climate Air Source Heat Pumps</t>
  </si>
  <si>
    <t>Ductless Mini Split Systems - Air Source Heat Pumps</t>
  </si>
  <si>
    <t>Ductless Mini Split Systems - Cold Climate Air Source Heat Pumps</t>
  </si>
  <si>
    <t>Packaged Terminal Heat Pumps</t>
  </si>
  <si>
    <t>1.0_draft 2.6</t>
  </si>
  <si>
    <t>Tables: Added Regular HC offerings table</t>
  </si>
  <si>
    <t>Select…</t>
  </si>
  <si>
    <t>-</t>
  </si>
  <si>
    <t>I - Inaccessible</t>
  </si>
  <si>
    <t>I</t>
  </si>
  <si>
    <t>F - Floored</t>
  </si>
  <si>
    <t>F</t>
  </si>
  <si>
    <t>O - Open/ Unfloored</t>
  </si>
  <si>
    <t>O</t>
  </si>
  <si>
    <t>S - Finished Slope</t>
  </si>
  <si>
    <t>S</t>
  </si>
  <si>
    <t>K - Kneewall</t>
  </si>
  <si>
    <t>K</t>
  </si>
  <si>
    <t>V - Overhang</t>
  </si>
  <si>
    <t>V</t>
  </si>
  <si>
    <t>G - Garage Ceiling</t>
  </si>
  <si>
    <t>G</t>
  </si>
  <si>
    <t>Attic Insulation</t>
  </si>
  <si>
    <t>R-29</t>
  </si>
  <si>
    <t>&gt; 12"</t>
  </si>
  <si>
    <t>R-24</t>
  </si>
  <si>
    <t>9 - 12"</t>
  </si>
  <si>
    <t>R-19</t>
  </si>
  <si>
    <t>6 - 9"</t>
  </si>
  <si>
    <t>R-14</t>
  </si>
  <si>
    <t>3 -5"</t>
  </si>
  <si>
    <t>R-9</t>
  </si>
  <si>
    <t>&lt; 3"</t>
  </si>
  <si>
    <t>Bypass Codes</t>
  </si>
  <si>
    <t>C - Chaseways</t>
  </si>
  <si>
    <t>C</t>
  </si>
  <si>
    <t>F - Flue Stacks</t>
  </si>
  <si>
    <t>P - Plumping Stacks</t>
  </si>
  <si>
    <t>P</t>
  </si>
  <si>
    <t>W - Open Wall Tops</t>
  </si>
  <si>
    <t>W</t>
  </si>
  <si>
    <t>D - Dropped Ceiling</t>
  </si>
  <si>
    <t>D</t>
  </si>
  <si>
    <t>H - Attic Hatch</t>
  </si>
  <si>
    <t>H</t>
  </si>
  <si>
    <t>O - Other</t>
  </si>
  <si>
    <t>Color</t>
  </si>
  <si>
    <t>Black</t>
  </si>
  <si>
    <t xml:space="preserve">White </t>
  </si>
  <si>
    <t xml:space="preserve">Bisque </t>
  </si>
  <si>
    <t>Color 2</t>
  </si>
  <si>
    <t>Select...</t>
  </si>
  <si>
    <t>White</t>
  </si>
  <si>
    <t>Bisque</t>
  </si>
  <si>
    <t>Condition Codes</t>
  </si>
  <si>
    <t>EX - Existing Leak</t>
  </si>
  <si>
    <t>EX</t>
  </si>
  <si>
    <t>P - Prior Leak</t>
  </si>
  <si>
    <t>S - Structural Damage</t>
  </si>
  <si>
    <t>M - Minor Damage</t>
  </si>
  <si>
    <t>M</t>
  </si>
  <si>
    <t>O - Obstructions</t>
  </si>
  <si>
    <t>C - Customer Will Clear</t>
  </si>
  <si>
    <t>Condition</t>
  </si>
  <si>
    <t>Yes</t>
  </si>
  <si>
    <t>None</t>
  </si>
  <si>
    <t>No Access</t>
  </si>
  <si>
    <t>Unconditioned</t>
  </si>
  <si>
    <t>Conditoned/Unconditioned</t>
  </si>
  <si>
    <t>Overheated</t>
  </si>
  <si>
    <t>Hinge</t>
  </si>
  <si>
    <t xml:space="preserve">Left </t>
  </si>
  <si>
    <t>Right</t>
  </si>
  <si>
    <t>Heating Source</t>
  </si>
  <si>
    <t>Gas</t>
  </si>
  <si>
    <t>Wood</t>
  </si>
  <si>
    <t>11.25.19</t>
  </si>
  <si>
    <t>Name Manager: Remove duplicate names</t>
  </si>
  <si>
    <t>1.0_draft 2.7</t>
  </si>
  <si>
    <t>AC Types</t>
  </si>
  <si>
    <t>Central AC</t>
  </si>
  <si>
    <t>Central HP</t>
  </si>
  <si>
    <t>Minisplit AC</t>
  </si>
  <si>
    <t>Minisplit HP</t>
  </si>
  <si>
    <t>Closed Loop Geo</t>
  </si>
  <si>
    <t>Open Loop Geo</t>
  </si>
  <si>
    <t>PASS/FAIL</t>
  </si>
  <si>
    <t>Pass</t>
  </si>
  <si>
    <t>Fail</t>
  </si>
  <si>
    <t>PASS/FAIL2</t>
  </si>
  <si>
    <t>Locations 2</t>
  </si>
  <si>
    <t>Front Door</t>
  </si>
  <si>
    <t>Side/Rear Door</t>
  </si>
  <si>
    <t>Interior Passageway</t>
  </si>
  <si>
    <t>Locations</t>
  </si>
  <si>
    <t>B - Bedroom</t>
  </si>
  <si>
    <t>BC - Basement/Cellar</t>
  </si>
  <si>
    <t>D - Dining Room</t>
  </si>
  <si>
    <t>E - Exterior</t>
  </si>
  <si>
    <t>F - Family Room/Den</t>
  </si>
  <si>
    <t>H - Hallway</t>
  </si>
  <si>
    <t>K - Kitchen</t>
  </si>
  <si>
    <t>L - Living Room</t>
  </si>
  <si>
    <t>O  - Office/Study</t>
  </si>
  <si>
    <t>T - Bathroom Toilet</t>
  </si>
  <si>
    <t>U - Unlisted/Other</t>
  </si>
  <si>
    <t>DECLINED</t>
  </si>
  <si>
    <t>notes</t>
  </si>
  <si>
    <t>Refrigerator Subcontractor</t>
  </si>
  <si>
    <t>Custom Measure Evaluation</t>
  </si>
  <si>
    <t>File</t>
  </si>
  <si>
    <t>Electrician</t>
  </si>
  <si>
    <t>Plumber</t>
  </si>
  <si>
    <t>HVAC Subcontractor</t>
  </si>
  <si>
    <t>Other:</t>
  </si>
  <si>
    <t>Locations 3</t>
  </si>
  <si>
    <t>A - Attic</t>
  </si>
  <si>
    <t>Bedroom</t>
  </si>
  <si>
    <t>C - Cellar/Crawl</t>
  </si>
  <si>
    <t>Cellar/Crawl</t>
  </si>
  <si>
    <t>Exterior</t>
  </si>
  <si>
    <t>F - Family Room</t>
  </si>
  <si>
    <t>Family Room</t>
  </si>
  <si>
    <t>Kitchen</t>
  </si>
  <si>
    <t>Living Room</t>
  </si>
  <si>
    <t>S - Office/Study</t>
  </si>
  <si>
    <t>Office/Study</t>
  </si>
  <si>
    <t>W - Work Area/Shop</t>
  </si>
  <si>
    <t>Work Area/Shop</t>
  </si>
  <si>
    <t>Siding</t>
  </si>
  <si>
    <t>A - Asbestos</t>
  </si>
  <si>
    <t>A</t>
  </si>
  <si>
    <t>AL - Aluminum</t>
  </si>
  <si>
    <t>AL</t>
  </si>
  <si>
    <t>AS - Asphalt</t>
  </si>
  <si>
    <t>AS</t>
  </si>
  <si>
    <t>B - Brick</t>
  </si>
  <si>
    <t>B</t>
  </si>
  <si>
    <t>M - Masonite</t>
  </si>
  <si>
    <t>S - Stucco</t>
  </si>
  <si>
    <t>W - Wood</t>
  </si>
  <si>
    <t>V - Vinyl</t>
  </si>
  <si>
    <t>R-Values</t>
  </si>
  <si>
    <t>&gt; 10"</t>
  </si>
  <si>
    <t>3 - 5"</t>
  </si>
  <si>
    <t>HPwES tab - Duct Sealing</t>
  </si>
  <si>
    <t>HVAC Info</t>
  </si>
  <si>
    <t>Heating 1 Capacity</t>
  </si>
  <si>
    <t>Cooling 1 Capacity</t>
  </si>
  <si>
    <t>Heating 2 Capacity</t>
  </si>
  <si>
    <t>Qualifying Index: Added HPwES Duct Sealing table for calcs</t>
  </si>
  <si>
    <t>Cooling 1 SEER</t>
  </si>
  <si>
    <t>Cooling 1 EER</t>
  </si>
  <si>
    <t>Heating 1 HSPF</t>
  </si>
  <si>
    <t>Heating 1 COP</t>
  </si>
  <si>
    <t>Heating 1 Efficiency</t>
  </si>
  <si>
    <t>Heating 1 %</t>
  </si>
  <si>
    <t>Cooling 1 %</t>
  </si>
  <si>
    <t>Cooling 2 Capacity</t>
  </si>
  <si>
    <t>Cooling 2 EER</t>
  </si>
  <si>
    <t>Cooling 2 SEER</t>
  </si>
  <si>
    <t>Cooling 2 %</t>
  </si>
  <si>
    <t>Heating 2 HSPF</t>
  </si>
  <si>
    <t>Heating 2 COP</t>
  </si>
  <si>
    <t>Heating 2 Efficiency</t>
  </si>
  <si>
    <t>Heating 2 %</t>
  </si>
  <si>
    <t>Unconditioned Duct Length</t>
  </si>
  <si>
    <t>EFLH Cooling</t>
  </si>
  <si>
    <t>EFLH Heating</t>
  </si>
  <si>
    <t>TRF heating</t>
  </si>
  <si>
    <t>TRF cooling</t>
  </si>
  <si>
    <t>Under-slab</t>
  </si>
  <si>
    <t>Total Duct Length</t>
  </si>
  <si>
    <t>Unconditioned Garage</t>
  </si>
  <si>
    <t>Duct  Location</t>
  </si>
  <si>
    <t>Thermal Regain Factor cooling</t>
  </si>
  <si>
    <t>Thermal Regain Factor heating</t>
  </si>
  <si>
    <t>kW Savings Cooling</t>
  </si>
  <si>
    <t>kW Savings Heating</t>
  </si>
  <si>
    <t>kWh Savings Cooling</t>
  </si>
  <si>
    <t>kWh Savings Heating</t>
  </si>
  <si>
    <t>MMBTU Savings Cooling</t>
  </si>
  <si>
    <t>MMBTU Savings Heating (kWh)</t>
  </si>
  <si>
    <t>MMBTU Savings Heating (FF)</t>
  </si>
  <si>
    <t>Cooling Distribution Efficiency Baseline</t>
  </si>
  <si>
    <t>Heating Distribution Efficiency Baseline</t>
  </si>
  <si>
    <t>Unconditioned Crawl Space Uninsulated</t>
  </si>
  <si>
    <t>Unconditioned Crawl Space Insulated Floor</t>
  </si>
  <si>
    <t>Unconditioned Crawl Space Insulated Floor &amp; Walls</t>
  </si>
  <si>
    <t>Cooling Distribution Efficiency Baseline *</t>
  </si>
  <si>
    <t>Heating Distribution Efficiency Baseline *</t>
  </si>
  <si>
    <t>Cooling Distribution Efficiency EE *</t>
  </si>
  <si>
    <t>Heating Distribution Efficiency EE *</t>
  </si>
  <si>
    <t>Cooling Distribution Efficiency ee</t>
  </si>
  <si>
    <t>Heating Distribution Efficiency ee</t>
  </si>
  <si>
    <t>Qualifying Index: Added HPwES Duct Sealing table to HPwES tab Heating and cooling information</t>
  </si>
  <si>
    <t xml:space="preserve">References: Created a new table under Home Performance to show all locations for the duct sealing </t>
  </si>
  <si>
    <t>References: Added columns to new table for TRF and Distribution efficiency</t>
  </si>
  <si>
    <t>Qualifying idex: Separated Heating and Cooling information from duct information on Duct Sealing table</t>
  </si>
  <si>
    <t>Qualifying idex: Added third section under duct sealing for savings calcs</t>
  </si>
  <si>
    <t>11.27.19</t>
  </si>
  <si>
    <t>References: Filled out TRF and Distribution efficiency table</t>
  </si>
  <si>
    <t>Qualifying Index: Linked Duct information table to References tab</t>
  </si>
  <si>
    <t>Duct Information</t>
  </si>
  <si>
    <t>1.0_draft 2.8</t>
  </si>
  <si>
    <t>HPwES tab - Air Sealing</t>
  </si>
  <si>
    <t>HPwES tab - Insulation</t>
  </si>
  <si>
    <t>kWh/CFM</t>
  </si>
  <si>
    <t>kW/CFM</t>
  </si>
  <si>
    <t>Therm/CFM</t>
  </si>
  <si>
    <t>AC Electric Heat</t>
  </si>
  <si>
    <t>Heating &amp; Cooling type</t>
  </si>
  <si>
    <t>Heating &amp; Cooling Type</t>
  </si>
  <si>
    <t>Base</t>
  </si>
  <si>
    <t>Measure</t>
  </si>
  <si>
    <t>kWh/ kSF</t>
  </si>
  <si>
    <t>kW/ kSF</t>
  </si>
  <si>
    <t>therm/ kSF</t>
  </si>
  <si>
    <t>Duct Sealing Performed:</t>
  </si>
  <si>
    <t>(linear feet)</t>
  </si>
  <si>
    <t>Total Linear Footage
of Ductwork:</t>
  </si>
  <si>
    <t>Total Linear Footage of Ductwork</t>
  </si>
  <si>
    <t>Location Attribute:</t>
  </si>
  <si>
    <t>Insulated</t>
  </si>
  <si>
    <t>Uninsulated</t>
  </si>
  <si>
    <t>Duct Sealing - Attribute</t>
  </si>
  <si>
    <t>Heating System 1:</t>
  </si>
  <si>
    <t>Cooling System 1:</t>
  </si>
  <si>
    <t>% of Heating Load</t>
  </si>
  <si>
    <t>% of Cooling Load</t>
  </si>
  <si>
    <t>Heating System 2:</t>
  </si>
  <si>
    <t>Cooling System 2:</t>
  </si>
  <si>
    <t>(btu)</t>
  </si>
  <si>
    <t>12.1.19</t>
  </si>
  <si>
    <t>Ref Tab: Added table : Duct Attribute - Instulation (Added to name Manager)</t>
  </si>
  <si>
    <t>Ref Tab: Added "Heating &amp; Cooling 1" and "Heating &amp; Cooling 2" to Heating/Cooling Table (Updated Name Manager as needed)</t>
  </si>
  <si>
    <t>HPwES Tab: Added Heating &amp; Cooling 2" section under Heating and Cooling</t>
  </si>
  <si>
    <t>HPwES Tab: Heating and Cooling Section - Added "btu" after Heating and Cooling Capacity fields</t>
  </si>
  <si>
    <t>HPwES Tab: Added field for "Total Ductwork Performed" under Duct Sealing Section</t>
  </si>
  <si>
    <t>HPwES Tab: Added "Location Attribute" field under Duct Sealing for Crawl Space Insulated/Uninsulated</t>
  </si>
  <si>
    <t>HPwES Tab: Changed Duct Square Footage to Linear Footage</t>
  </si>
  <si>
    <t>HPwES Tab: Added %Heating and % Cooling fields under Heating and Cooling Section</t>
  </si>
  <si>
    <t>HPwES Tab: Added Location 3 under duct sealing section</t>
  </si>
  <si>
    <t>1.0_Draft2.9</t>
  </si>
  <si>
    <t>12.2.19</t>
  </si>
  <si>
    <t>HPwES H&amp;S: Removed references to Home Comfort draft 2.4_Testing Development tab</t>
  </si>
  <si>
    <t>1.0_Draft3.0</t>
  </si>
  <si>
    <t>Certificate of Completion - Read and Sign after Work is Completed</t>
  </si>
  <si>
    <t xml:space="preserve">Note to Customer: Please read the following statement before signing. By signing this document, you are attesting that all work has been completed pursuant to your contract. If any part of the work has not been completed, please indicate below. If you have any questions or concerns about any aspect of the work performed, you should resolve them with your contractor BEFORE signing this form. </t>
  </si>
  <si>
    <t>All work has been completed, with the exception of the following:</t>
  </si>
  <si>
    <t>Contractor agrees to complete these items and will notify TRC Companies upon their completion. Job will not be credited fully as a completed project until the Contractor and Customer sign a new Certificate of Completiong that has no pending items.</t>
  </si>
  <si>
    <t>Warranty</t>
  </si>
  <si>
    <t>Contractor Intials</t>
  </si>
  <si>
    <t>Lien Waiver</t>
  </si>
  <si>
    <t>Contractor warrants that the work and the equipment furnished in this installation job comply with the requirements as outlined in the Contractor Participation Agreement with PSEG Long Island. In the event that ant defect in workmanship or equipment is discovered within one (1) year after payment authorization, the Contractor will remedy, repair, correct, or cause to be remedied, repaired, corrected, or replaced at Contractor's expense such defect in equipment or workmanship. The foregoing warranty survives any inspection PSEG Long Island may elect to make.</t>
  </si>
  <si>
    <t>WORK AND EQUIPMENT COVERED BY Home Performance with ENERGY STAR Program FINANCING OR ASSISTED HOME PERFORMANCE SUBSIDY: Contractor hereby waives and releases any and all lien or claim of, or right, to lien, under laws relating to mechanics liens with respect to and on the property referenced above.</t>
  </si>
  <si>
    <t>WORK AND EQUIPMENT NOT COVERED BY HPwES FINANCING: Said waiver does not apply to any work and equipment furnished in this installation job that is not financed by the HPwES Loan or an Assisted Home Performance Subsidy. Any costs incurred by Customer exceeding the sum of the HPwES Loan and the Assisted ome Performance Subsidy, or financed by any means other than HPwES financing or an Assisted Home Performance Subsidy, are subject to a mechanics lien or claim under applicable laws relating to mechanics liens with respect to and on the property referenced above.</t>
  </si>
  <si>
    <t>Customer Affirmation</t>
  </si>
  <si>
    <t>Customer's Acceptance of Work Scope</t>
  </si>
  <si>
    <t>The energy efficiency upgrades to be installed in the property as well as any applicable incentives, loan, and/or subsidy stated herein have been explained thoroughly by the Contractor, are satisfactory, and are hereby accepted. This worksheet accurately describes the work as agreed to through the contract between me and the Home Performance Contractor. The Home Performance Contractor is authorized to do the work as specified in the contract that has been provided to me by my contractor.</t>
  </si>
  <si>
    <t>Program Quality Assurance and Evaluation</t>
  </si>
  <si>
    <t>I agree to participate in program quality assurance and evaluation activities. The purposes of these activities are to provide the Program Administrators with an opportunity to ensure that the eligible measures are installed consistent with program standards, to assess energy savings and to evaluate program effectiveness. Program quality assurance and evaluation activities may include in-site visits, questionnaries and interviews.</t>
  </si>
  <si>
    <t>As a value added service, the PSEG Long Island Home Performance with ENERGY STAR Program offers participants the option of having a post-completion inspection performed on their home. If you are interested in receiving this valuable, FREE service, please contact PSEG Long Island to schedule an appointment. Availability depends upon number of requests received.</t>
  </si>
  <si>
    <t>Customer Statement</t>
  </si>
  <si>
    <t>The undersigned hereby certifies personal ownership of the home specified above, that all materials and equipment included in the construction contract (work order, job order, bd summary, proposal, invoice, etc.) have been furnished and installed by the Contractor, and that the work has been completed pursuant to the contract. In addition, I have not obtained the benefit of and will not receive any cash payment, rebate, cash bonus, sales commission, or anything from the contractor as inducement to enter into the HPwES Agreement or proceed with work. If there is a HPwES Loan Agreement, I also agree to the terms specified in the HPwES Loan Agreement and authorize payment to the above Contractor.</t>
  </si>
  <si>
    <t>Homeowner's Name (Print)</t>
  </si>
  <si>
    <t>Contractor's Business Name (Print)</t>
  </si>
  <si>
    <t>Signature</t>
  </si>
  <si>
    <t>12.3.19</t>
  </si>
  <si>
    <t>Project Completion Form HPwES Tab: Added tab per current HPwES requirements</t>
  </si>
  <si>
    <t>1.0_Draft 3.1</t>
  </si>
  <si>
    <t>(Conditioned + Unconditioned)</t>
  </si>
  <si>
    <t>Wall Insulation - HVAC: AC with Gas Heat</t>
  </si>
  <si>
    <t>Wall Insulation - HVAC: Heat Pump</t>
  </si>
  <si>
    <t>Wall Insulation - HVAC: AC with Electric Heat</t>
  </si>
  <si>
    <t>Wall Insulation - HVAC: Electric Heat No AC</t>
  </si>
  <si>
    <t>Wall Insulation - HVAC: Gas Heat No AC</t>
  </si>
  <si>
    <t>Ceiling Insulation - HVAC: AC with Gas Heat</t>
  </si>
  <si>
    <t>Ceiling Insulation - HVAC: Heat Pump</t>
  </si>
  <si>
    <t>Ceiling Insulation - HVAC: AC with Electric Heat</t>
  </si>
  <si>
    <t>Ceiling Insulation - Electric Heat No AC</t>
  </si>
  <si>
    <t>Ceiling Insulation - HVAC: Gas Heat No AC</t>
  </si>
  <si>
    <t>12.05.19</t>
  </si>
  <si>
    <t xml:space="preserve">Ref Tab: Added in Wall Insulation and Ceiling Insulation Tables per NYS TRM V 7 </t>
  </si>
  <si>
    <t>1.0_Draft 3.3</t>
  </si>
  <si>
    <t>Heating &amp; Cooling (1)</t>
  </si>
  <si>
    <t>Heating &amp; Cooling (1&amp;2)</t>
  </si>
  <si>
    <t>12.06.19</t>
  </si>
  <si>
    <t>HPwES Tab: Added conditional formatting to duct section to hide "Location Attribute" fields unless Crawl Space is selected</t>
  </si>
  <si>
    <t>HPwES Tab: Removed option for "Cooling" and "heating" from system drop down and replaced with "Heating and Coolin (1)" and "Heating and Cooling (1&amp;2)"</t>
  </si>
  <si>
    <t>Unconditioned Crawl Space</t>
  </si>
  <si>
    <t>Unconditioned Basement Insulated</t>
  </si>
  <si>
    <t>Unconditioned Basement Uninsulated</t>
  </si>
  <si>
    <t>Additional Attribute</t>
  </si>
  <si>
    <t>Duct Info</t>
  </si>
  <si>
    <t xml:space="preserve">Unconditioned Attic </t>
  </si>
  <si>
    <t xml:space="preserve">Unconditioned Garage </t>
  </si>
  <si>
    <t>Insulated Floor</t>
  </si>
  <si>
    <t>Insulated Floor &amp; Walls</t>
  </si>
  <si>
    <t>Name Manager: Changed Duct_Location range</t>
  </si>
  <si>
    <t>References: Added Unconditioned Basement Uninsulated to Duct Location &amp; TRF table</t>
  </si>
  <si>
    <t>References: Expanded Duct Attribute table</t>
  </si>
  <si>
    <t>1.0_Draft 3.5</t>
  </si>
  <si>
    <t>Qualifying Index: Added Additional Attribute and Duct Info columns to Duct Information Table under Duct Sealing</t>
  </si>
  <si>
    <t>Qualifying Index: Linked Additional Attribute to HPwES tab</t>
  </si>
  <si>
    <t>Qualifying Index: Updated TRF formulas</t>
  </si>
  <si>
    <t>Heating 1
Fuel</t>
  </si>
  <si>
    <t>Heating 2
Fuel</t>
  </si>
  <si>
    <t>Qualifying Index: Added Heating 1 Fuel and Heating 2 Fuel to HVAC Info Table under Duct Sealing</t>
  </si>
  <si>
    <t>12.09.19</t>
  </si>
  <si>
    <t>HPwES: Changed Data Validation for Duct Attribute to reference different cells for Crawl Spaces</t>
  </si>
  <si>
    <t>1.0_Draft 3.6</t>
  </si>
  <si>
    <t>Total Ductwork:</t>
  </si>
  <si>
    <t>Air Sealing Corrections</t>
  </si>
  <si>
    <t>*http://www.bpi.org/sites/default/files/Guidance%20on%20Estimating%20Distribution%20Efficiency.pdf</t>
  </si>
  <si>
    <t>Fn</t>
  </si>
  <si>
    <t>Fh</t>
  </si>
  <si>
    <t>Pre CFM50</t>
  </si>
  <si>
    <t>Post CFM50</t>
  </si>
  <si>
    <t>Delta CFM50</t>
  </si>
  <si>
    <t>Cooling Heating Combo 1</t>
  </si>
  <si>
    <t>Cooling Heating Combo 2</t>
  </si>
  <si>
    <t>Delta kWh/CFM 1</t>
  </si>
  <si>
    <t>Delta kWh/CFM 2</t>
  </si>
  <si>
    <t>Electric Heat Pump</t>
  </si>
  <si>
    <t>AC Fossil Fuel Heat</t>
  </si>
  <si>
    <t>References: Differentiated between Electric Resistance and Electric Heat Pump for Heating Sources under Home Performance w/ ES</t>
  </si>
  <si>
    <t>Air Sealing Information</t>
  </si>
  <si>
    <t>Qualifying Index added Air Sealing Information table which will Show CFM50 info, HVAc info for kWh/CFM lookups, kW/CFM lookups, and Therm/CFM lookups</t>
  </si>
  <si>
    <t>Delta kW/CFM 1</t>
  </si>
  <si>
    <t>Delta kW/CFM 2</t>
  </si>
  <si>
    <t>Delta therm/CFM 1</t>
  </si>
  <si>
    <t>Delta therm/CFM 2</t>
  </si>
  <si>
    <t xml:space="preserve">kWh Savings </t>
  </si>
  <si>
    <t>MMBTU (FF) Savings</t>
  </si>
  <si>
    <t>Delta therm/1000sqft 2</t>
  </si>
  <si>
    <t>Existing R-Value</t>
  </si>
  <si>
    <t>Installed R-Value</t>
  </si>
  <si>
    <t>Square Foot of Insulation Installed</t>
  </si>
  <si>
    <t>Max</t>
  </si>
  <si>
    <t>Min</t>
  </si>
  <si>
    <t>Base/Measure R-Value</t>
  </si>
  <si>
    <t>HPwES: Changed Existing R-Value data validation for Insulation to greater than or equal to 0</t>
  </si>
  <si>
    <t>Base R Value Low</t>
  </si>
  <si>
    <t>Base R value High</t>
  </si>
  <si>
    <t>Delta kWh/1,000sqft 1 (Low)</t>
  </si>
  <si>
    <t>Delta kWh/1,000sqft 1 (High)</t>
  </si>
  <si>
    <t>Delta kWh/1,000sqft 1 (Interpolated)</t>
  </si>
  <si>
    <t>Delta kWh/1,000sqft 2 (Low)</t>
  </si>
  <si>
    <t>Delta kWh/1,000sqft 2 (High)</t>
  </si>
  <si>
    <t>Delta kWh/1,000sqft 2 (Interpolated)</t>
  </si>
  <si>
    <t>Delta kW/1000sqft 1 (Low)</t>
  </si>
  <si>
    <t>Delta kW/1000sqft 1 (High)</t>
  </si>
  <si>
    <t>Delta kW/1000sqft 1 (Interpolated)</t>
  </si>
  <si>
    <t>Delta kW/1000sqft 2 (Low)</t>
  </si>
  <si>
    <t>Delta kW/1000sqft 2 (High)</t>
  </si>
  <si>
    <t>Delta kW/1000sqft 2 (Interpolated)</t>
  </si>
  <si>
    <t>Qualifying Index: Added Insulation Info Tbale</t>
  </si>
  <si>
    <t>References: Expanded Insulation tables to include "in between" values of installed insulation. Values found through linear interpolation</t>
  </si>
  <si>
    <t>Installed Square Footage:</t>
  </si>
  <si>
    <t>Total Cost:</t>
  </si>
  <si>
    <t>Rebate:</t>
  </si>
  <si>
    <t>(Cubic Feet)</t>
  </si>
  <si>
    <t>0-5</t>
  </si>
  <si>
    <t>14-17</t>
  </si>
  <si>
    <t>Existing R-Values</t>
  </si>
  <si>
    <t>Installed R-Values</t>
  </si>
  <si>
    <t>18+</t>
  </si>
  <si>
    <t>13-16</t>
  </si>
  <si>
    <t>17-18</t>
  </si>
  <si>
    <t>19-20</t>
  </si>
  <si>
    <t>21-24</t>
  </si>
  <si>
    <t>25-26</t>
  </si>
  <si>
    <t>27+</t>
  </si>
  <si>
    <t>11-12</t>
  </si>
  <si>
    <t>5-11</t>
  </si>
  <si>
    <t>12-13</t>
  </si>
  <si>
    <t>12.10.19</t>
  </si>
  <si>
    <t>References: Added a table for Existing and Installed R Values - Added both to Name Manager - "Insulation_Existing_Rvalue" and "Insulation_Installed_Rvalue"</t>
  </si>
  <si>
    <t>1.0_Draft3.7</t>
  </si>
  <si>
    <t>HPwES Tab: Added Total Cost and Rebate fields to each section (Duct Sealing, Air Sealing, and Insulation)</t>
  </si>
  <si>
    <t>HPwES Tab: Insulation - Existing R Value and R Value Installed fields - Added data validation to both fields to populate with drop down selections based on "Insulation_Existing_Rvalue" 
and "Insulation_Installed_Rvalue"</t>
  </si>
  <si>
    <t>HpwES Tab: Air Sealing - Added "cubic feet" after Conditioned Air Volume</t>
  </si>
  <si>
    <t>References: Expanded Insulation tables to include "in between" values of installed insulation. Values found through linear interpolation (done for HVAC:Heat Pump)</t>
  </si>
  <si>
    <t>12.11.19</t>
  </si>
  <si>
    <t>References: Expanded Insulation tables to include "in between" values of installed insulation. Values found through linear interpolation (done for HVAC: AC with Electric Heart)</t>
  </si>
  <si>
    <t>HPwES Tab: Removed drop down data validation from R-Value fields- Updated fields to reflect Whole Number Data Validation and added validation to ensure installed R value is greater than existing</t>
  </si>
  <si>
    <t>1.0_Draft3.8</t>
  </si>
  <si>
    <t>References: Expanded Insulation tables to include "in between" values of installed insulation. Values found through linear interpolation (done for Ceiling HVAC:AC with Gas)</t>
  </si>
  <si>
    <t>1.0_Draft3.9</t>
  </si>
  <si>
    <t>Baseline: Leaky or Average, R-2 or R-0</t>
  </si>
  <si>
    <t>Efficient: Tight, R-8+,R4+</t>
  </si>
  <si>
    <t>Delta therm/1000sqft 1 (Low)</t>
  </si>
  <si>
    <t>Delta therm/1000sqft 1 (High)</t>
  </si>
  <si>
    <t>Delta therm/1000sqft 1 (Interpolated)</t>
  </si>
  <si>
    <t>Delta therm/1000sqft 2 (High)</t>
  </si>
  <si>
    <t>Delta therm/1000sqft 2 (Interpolated)</t>
  </si>
  <si>
    <t>Summer kW Savings</t>
  </si>
  <si>
    <t>Delta kW/1000sqft</t>
  </si>
  <si>
    <t>Delta kWh/1000sqft</t>
  </si>
  <si>
    <t>Delta therm/1000sqft</t>
  </si>
  <si>
    <t>References: Expanded Insulation tables to include "in between" values of installed insulation. Values found through linear interpolation (done for Ceiling HVAC:AC with Electric Heat)</t>
  </si>
  <si>
    <t>References: Expanded Insulation tables to include "in between" values of installed insulation. Values found through linear interpolation (done for Ceiling HVAC:Heat Pump)</t>
  </si>
  <si>
    <t>References: Expanded Insulation tables to include "in between" values of installed insulation. Values found through linear interpolation (done for Ceiling HVAC:Gas Heat only)</t>
  </si>
  <si>
    <t>References: Expanded Insulation tables to include "in between" values of installed insulation. Values found through linear interpolation (done for Ceiling HVAC:Electric Heat only)</t>
  </si>
  <si>
    <t>Qualifying Index: Finished Calculating Delta (kW,kWh,therms)/1000 sqft</t>
  </si>
  <si>
    <t>Qualifying Index: Removed extra rows from Duct Sealing, Air Sealing, and Insulation</t>
  </si>
  <si>
    <t>References: Updated Distribution Efficiencies for Duct Sealing to Average R-4+ and R-8+ Insulation for post sealing efficiency</t>
  </si>
  <si>
    <t>12.12.19</t>
  </si>
  <si>
    <t>References: Expanded Insulation tables to include "in between" values of installed insulation. Values found through linear interpolation (done for HVAC: Electric Heat No AC)</t>
  </si>
  <si>
    <t>References: Expanded Insulation tables to include "in between" values of installed insulation. Values found through linear interpolation (done for HVAC: Gas Heat No AC)</t>
  </si>
  <si>
    <t>Duct_Heating_Cooling System</t>
  </si>
  <si>
    <t>Heating (1)</t>
  </si>
  <si>
    <t>Cooling (1)</t>
  </si>
  <si>
    <t>Heating (2)</t>
  </si>
  <si>
    <t>Cooling (2)</t>
  </si>
  <si>
    <t>System Impacted:</t>
  </si>
  <si>
    <t>R-Value Installed</t>
  </si>
  <si>
    <t>HPwES Tab: Ductwork - Added a field to each duct section to collect "R-Vaue Installed"</t>
  </si>
  <si>
    <t>HPwES Tab: Ductwork - Added a field to capture "System Impacted" - Added a drop down from the Name Manager "Ductwork_HeatingCooling_System"</t>
  </si>
  <si>
    <t>Ref Tab: Added a table for Duct Heating and Cooling System - Added to Name Manager</t>
  </si>
  <si>
    <t>Basement Ceiling</t>
  </si>
  <si>
    <t>Knee Wall</t>
  </si>
  <si>
    <t>HVAC System</t>
  </si>
  <si>
    <t>Heating &amp; Cooling (2)</t>
  </si>
  <si>
    <t>HVAC Cooling Load</t>
  </si>
  <si>
    <t>HVAC Electric Heating Load</t>
  </si>
  <si>
    <t>Qualifying Index: Added logic for HVAC portion of Duct Sealing</t>
  </si>
  <si>
    <t>1.0_Draft4.2</t>
  </si>
  <si>
    <t>CH313-R</t>
  </si>
  <si>
    <t>New Ducted ccASHP Tier II</t>
  </si>
  <si>
    <t>CH - DUCTLESS ccASHP New TIER2</t>
  </si>
  <si>
    <t>New Ductless Mini Split - ccASHP Tier II</t>
  </si>
  <si>
    <t>12.13.19</t>
  </si>
  <si>
    <t>Worksheet: Removed Conditional Formatting in H52:H61 so that you do not have to enter "HP". All systems should be heat pumps</t>
  </si>
  <si>
    <t>1.0_Draft4.3</t>
  </si>
  <si>
    <t>Worksheet: Expanded C52:C61 Data Validation to include PTHPs</t>
  </si>
  <si>
    <t>Equipment Type</t>
  </si>
  <si>
    <t>Customer Information: Chnaged "Customer Name" to "Account Holder Name"</t>
  </si>
  <si>
    <t>Qualifying Index: Adjusted Manual J Pass/Fail to require Manual J for all Whole House Systems, and Ducted non-Whole House only</t>
  </si>
  <si>
    <t>Qualifying Index: Changed Logic in Savings formula to account for new Manual J PASS/FAIL criteria</t>
  </si>
  <si>
    <t>Heating (1&amp;2)</t>
  </si>
  <si>
    <t>Cooling (1&amp;2)</t>
  </si>
  <si>
    <t>HVAC FF Heating Load</t>
  </si>
  <si>
    <t>Qualifying Index: Added Heating FF Laod to Duct Info under Duct sealing</t>
  </si>
  <si>
    <t>kWh to MMBTU</t>
  </si>
  <si>
    <t>Total kWh Savings</t>
  </si>
  <si>
    <t>12.16.19</t>
  </si>
  <si>
    <t>1.0_Draft4.4</t>
  </si>
  <si>
    <t>CH221-N</t>
  </si>
  <si>
    <t>CH - ccASHP EH New TIER 2</t>
  </si>
  <si>
    <t>CH - ccASHP New TIER 2</t>
  </si>
  <si>
    <t>CH220-N</t>
  </si>
  <si>
    <t>MMBTU (kWh) Savings</t>
  </si>
  <si>
    <t>Cool Homes</t>
  </si>
  <si>
    <t>HPwES-100</t>
  </si>
  <si>
    <t>HPwES-105</t>
  </si>
  <si>
    <t>HPwES-106</t>
  </si>
  <si>
    <t>HPwES-107</t>
  </si>
  <si>
    <t>HPwES-110</t>
  </si>
  <si>
    <t>HPwES-115</t>
  </si>
  <si>
    <t>HPwES-120</t>
  </si>
  <si>
    <t>HPwES-125</t>
  </si>
  <si>
    <t>HPwES-130</t>
  </si>
  <si>
    <t>HPwES-135</t>
  </si>
  <si>
    <t>HPwES-Systems</t>
  </si>
  <si>
    <t>HPwES Duct Sealing</t>
  </si>
  <si>
    <t xml:space="preserve">Conditioned Space </t>
  </si>
  <si>
    <t xml:space="preserve">Unconditioned Basement </t>
  </si>
  <si>
    <t>Look up</t>
  </si>
  <si>
    <t>Measure Codes</t>
  </si>
  <si>
    <t>HPwES Air Sealing</t>
  </si>
  <si>
    <t>HPwES Insulation</t>
  </si>
  <si>
    <t>12.17.19</t>
  </si>
  <si>
    <t>Qualifying Index: Adjusted Dut Sealing Savings</t>
  </si>
  <si>
    <t>Qualifying Index: Adjusted Air Sealing Savings</t>
  </si>
  <si>
    <t>Qualifying Index: Adjusted Insulation Savings</t>
  </si>
  <si>
    <t>Qualifying Index: Added Duct Sealing lookup</t>
  </si>
  <si>
    <t>Qualifying Index: Added Air Sealing lookup</t>
  </si>
  <si>
    <t>Qualifying Index: Added Insulation lookup</t>
  </si>
  <si>
    <t>References: Created a HP measure codes table</t>
  </si>
  <si>
    <t>References: Changed Sealing to Ceiling in cell AN68</t>
  </si>
  <si>
    <t xml:space="preserve">Rebates </t>
  </si>
  <si>
    <t>Qualifying Index: Added Rebate calculation to all three measures</t>
  </si>
  <si>
    <t>References: Added Rebate lookup table</t>
  </si>
  <si>
    <t>HPwES: Linked Rebate to Qualifying Index tab calculations</t>
  </si>
  <si>
    <t>Prop0: Linked Measure codes to Qualifying Index tab</t>
  </si>
  <si>
    <t>1.0_Draft4.5</t>
  </si>
  <si>
    <t>HPwES: Changed formulas in C146, I146, C158, I158, C170, and I170 to look for "Basement Ceiling"</t>
  </si>
  <si>
    <t>HPwES: Changed Conditional formatting in D146, J146, D158, J158, D170, and J170 to look for "Basement Ceiling"</t>
  </si>
  <si>
    <t>Account Holder Name:
(Print)</t>
  </si>
  <si>
    <t>Customer Address:</t>
  </si>
  <si>
    <t>EFS Project ID Number:</t>
  </si>
  <si>
    <t>Customer Incentive Amount:</t>
  </si>
  <si>
    <t>Customer Incentive Type:</t>
  </si>
  <si>
    <t>Loan Type Requested:</t>
  </si>
  <si>
    <t>Total Loan Amount*:</t>
  </si>
  <si>
    <t>*Indicate if Loan Amount includes 
$150 EFS Fee</t>
  </si>
  <si>
    <t>Customer Zip:</t>
  </si>
  <si>
    <t>Customer City:</t>
  </si>
  <si>
    <t>Contractor:</t>
  </si>
  <si>
    <t>EFS Pre-Approval Tab: Added this new tab to build  EFS Loan approval letter using fields provided by Steve Wagner</t>
  </si>
  <si>
    <t>Whole House Projects - Income Eligible</t>
  </si>
  <si>
    <t>Electric Resistance Heating Replacement</t>
  </si>
  <si>
    <t>Electric Resistance Heating Replacement - Income Eligible</t>
  </si>
  <si>
    <t>Macro: Udated Check box Macro for Whole House, Income Eligible, and Electric Resistance to Hide/Unhide tables</t>
  </si>
  <si>
    <t>1.0_Draft4.7</t>
  </si>
  <si>
    <t>Regular Offering</t>
  </si>
  <si>
    <t>Income Eligible</t>
  </si>
  <si>
    <t>1.0_Draft4.8</t>
  </si>
  <si>
    <t>12.18.19</t>
  </si>
  <si>
    <t>Qualifying Index: Changed Rebate calculations for HP measures to change to LMI if "Income Eligible" is selected</t>
  </si>
  <si>
    <t>References: Extended Rebate lookup table to include LMI rebates</t>
  </si>
  <si>
    <t>LMI Y/N</t>
  </si>
  <si>
    <t>Macro: Module5: Un-comment New Construction Option button</t>
  </si>
  <si>
    <t>Macro: Module5: Change New Construction Clear range to be consistent with added rows, and move unlock to after the clear content</t>
  </si>
  <si>
    <t>True Zone Dual Fuel Zoning Panel Kit</t>
  </si>
  <si>
    <t>True Zone Dual Fuel Zoning Panel</t>
  </si>
  <si>
    <t>HZ432K</t>
  </si>
  <si>
    <t>HZ432</t>
  </si>
  <si>
    <t>Any IR Controlled Mini-split + Flair</t>
  </si>
  <si>
    <t>Puck Pro</t>
  </si>
  <si>
    <t>FLAIRPUCK001P</t>
  </si>
  <si>
    <t>No Fossil Fuel Heater</t>
  </si>
  <si>
    <t>New Construction Fuel Split</t>
  </si>
  <si>
    <t>References: Added Gas/Oil split for New Construction in table N2:O4</t>
  </si>
  <si>
    <t>*For New Construction, a mix of gas/oil heating per ODC</t>
  </si>
  <si>
    <t xml:space="preserve">References: Changed New Construction CO2 to weighted average of Gas and Oil </t>
  </si>
  <si>
    <t>Calculations: Changed Displacement factor formula</t>
  </si>
  <si>
    <t>References: Changed New Construction Efficiency to weighted average of Gas and Oil</t>
  </si>
  <si>
    <t>In-Service Rate</t>
  </si>
  <si>
    <t>Total Project Cost</t>
  </si>
  <si>
    <t>Total Customer Down Payment</t>
  </si>
  <si>
    <t>Please fill in appropriate project data in grey fields.</t>
  </si>
  <si>
    <t>This form is to be used only for Home Comfort and Home Performance with ENERGY STAR projects where a loan from EFS is to be provided to the customer.</t>
  </si>
  <si>
    <t>EFS Pre-Approval Tab: Finished Tab based on SW comments. Added conditional formatting to generate fields based on code 1043</t>
  </si>
  <si>
    <t>1.0_Draft4.9</t>
  </si>
  <si>
    <r>
      <t xml:space="preserve">Loan Project ID Number:
</t>
    </r>
    <r>
      <rPr>
        <b/>
        <sz val="9"/>
        <color theme="1"/>
        <rFont val="Arial Narrow"/>
        <family val="2"/>
      </rPr>
      <t>(if applicable)</t>
    </r>
  </si>
  <si>
    <t>Loan Project ID:
(if applicable)</t>
  </si>
  <si>
    <t>I would like customer rebate: (Check One)</t>
  </si>
  <si>
    <t>(must complete a Rebate Assignment Form/This opion may not be offered to all Contractors)</t>
  </si>
  <si>
    <t>PCF Tab: Added a field under Customer Information to captuer "Loan Project ID" and linked to EFS Project ID cell on EFS Pre-App Tab</t>
  </si>
  <si>
    <t>PCF Tab: Added "Loan - Rebate assigned to EFS" as a radio button for customer rebate method</t>
  </si>
  <si>
    <t>HPwES PCF Tab: Added a field under Customer Information to captuer "Loan Project ID" and linked to EFS Project ID cell on EFS Pre-App Tab</t>
  </si>
  <si>
    <t>Hpwes PCF Tab: Added "Loan - Rebate assigned to EFS" as a radio button for customer rebate method</t>
  </si>
  <si>
    <t>1.0_Draft5</t>
  </si>
  <si>
    <t>Required Docs Tab: Added Required Documents for HPwES, Loan, and LMI</t>
  </si>
  <si>
    <t>Option 3: Weigh in (Can be used for any system ONLY when outdoor ambient temperature is below OEM specifications):</t>
  </si>
  <si>
    <t>Does this capacity include an allowance for an evaportator?</t>
  </si>
  <si>
    <t xml:space="preserve"> x</t>
  </si>
  <si>
    <t>(C) Driers, Accumulator, and Evaporator Capcities (if not included above)</t>
  </si>
  <si>
    <t xml:space="preserve">Total charge weighed in (A) + (B) + (C) </t>
  </si>
  <si>
    <t>1.0_Draft5.1</t>
  </si>
  <si>
    <t>Airflow tabs: Updated all air flow tabs 2-10 to include section 3 like tab 1</t>
  </si>
  <si>
    <t>12.19.19</t>
  </si>
  <si>
    <t>PCF Tabs - Removed "Loan-Rebate assigned to EFS" radio buttons</t>
  </si>
  <si>
    <t>Customer Info Tab - Removed "Loan" checkbox associated with Rebate Payment Type</t>
  </si>
  <si>
    <t>1.0_Draft5.2</t>
  </si>
  <si>
    <t>Guidelines Tab: Reworked guidelnes tab to include specifics for All Project types, Home Comfort Projects, and HPwES Projects</t>
  </si>
  <si>
    <t>4)</t>
  </si>
  <si>
    <t>Home Performance with ENERGY STAR (HPwES) market and income eligible rebates are available to all residential electric customers. It is recommended that all potential participants receive a free Home Energy Assessment before HPwES participation. Loans are available for HPwES projects. Speak to your HPwES Partner for more information.</t>
  </si>
  <si>
    <t>1.0_Draft5.3</t>
  </si>
  <si>
    <t>Name Managed - Added "HP_Content1" "HP_Content2", "HP_Content3" and tied to HPwES tab "Clear Input" Button - Updated Code as well</t>
  </si>
  <si>
    <t>If only Heating &amp; Cooling 1 and Cooling 2 require inputs, please enter 0% in the" % of Heating Load" field for Heating System 2</t>
  </si>
  <si>
    <t>1.0_Draft5.4</t>
  </si>
  <si>
    <t>Customer Information: Changed Primary Heating to Existing Primary Heating</t>
  </si>
  <si>
    <t>References: Updated rebates for non-whole house and non electric replacements</t>
  </si>
  <si>
    <t>The heat pump unit and air handler / fan coil must both be installed new. Partial system replacements do not qualify</t>
  </si>
  <si>
    <t>PSEG Long Island reserves the right to inspect and test the equipment installation and review the original contract in order to ensure compliance with program requirements. Failure to allow PSEG Long Island access to the equipment or original contract will result in denial of the rebate application</t>
  </si>
  <si>
    <t>Partial House Projects</t>
  </si>
  <si>
    <t>12.20.19</t>
  </si>
  <si>
    <t>Tables: Adjusted columns to show contractor incentive is (per Project)</t>
  </si>
  <si>
    <t>Tables: Updated Contractor incentive</t>
  </si>
  <si>
    <t>1.0_Draft5.6</t>
  </si>
  <si>
    <t>Worksheet: Added adjusted tables</t>
  </si>
  <si>
    <t>References: Updated Partial Rebate Values to match "SystemToTonNonWHashp_v1" proposal</t>
  </si>
  <si>
    <t>EFS Pre-Approval: Adjusted Customer Incentive formula to change "" values to 0</t>
  </si>
  <si>
    <t>PSEG Long Island reserves the right to modify or withdraw these rebates and incentives, or to adjust the eligibility requirements, at any time</t>
  </si>
  <si>
    <t>Required Documents as outlined on the corresponding tab must be submited with this application</t>
  </si>
  <si>
    <t>Installation must be completed after the application has been preapproved.</t>
  </si>
  <si>
    <t>Retrofit of systems less than five years old that were previously rebated by PSEG Long Island are not eligible for another rebate unless the SEER level of the replacement unit is higher than the existing unit by at least 1 full SEER level</t>
  </si>
  <si>
    <t xml:space="preserve">Rebates and incentives apply only to installations completed within the effective dates of this rebate application </t>
  </si>
  <si>
    <t>Split ASHP systems must be installed with the matching pieces specified in the AHRI directory at the time of installation</t>
  </si>
  <si>
    <t>Qualifying ASHP units must be listed in the AHRI directory at the time of installation (Visit www.ahridirectory.org/ to verify equipment eligibility). Program Manager document review and approval required</t>
  </si>
  <si>
    <t>12.21.19</t>
  </si>
  <si>
    <t xml:space="preserve">Review of formatting </t>
  </si>
  <si>
    <t>1.0_draft5.7</t>
  </si>
  <si>
    <t>12.23.19</t>
  </si>
  <si>
    <t>Integrated Controls: Added link to NYSERDA Qualified Integrated Controls list</t>
  </si>
  <si>
    <t>1.0_draft5.8</t>
  </si>
  <si>
    <t>Customer Incentive - Income Eligible</t>
  </si>
  <si>
    <t>1.0_draft5.9</t>
  </si>
  <si>
    <t>Integrated Controls: If Incomeligible is selected the rebate is $750 for an integrted control</t>
  </si>
  <si>
    <t>Worksheet: Partial House rebate typo incetive was change to incentive</t>
  </si>
  <si>
    <t>Connected for Cooling</t>
  </si>
  <si>
    <t>CH405</t>
  </si>
  <si>
    <t>CH - Smart Thermostat - Connected (WiFi Enabled) for Cooling</t>
  </si>
  <si>
    <t>CH410</t>
  </si>
  <si>
    <t>CH - Smart Thermostat - Connected (WiFi Enabled) for Heating and Cooling (HP)</t>
  </si>
  <si>
    <t>Learning for Cooling</t>
  </si>
  <si>
    <t>CH415</t>
  </si>
  <si>
    <t>CH - Smart Thermostat - Learning for Cooling</t>
  </si>
  <si>
    <t>Learning for Heating and Cooling</t>
  </si>
  <si>
    <t>CH420</t>
  </si>
  <si>
    <t>CH - Smart Thermostat - Learning for Heating and Cooling (HP)</t>
  </si>
  <si>
    <t>CH425</t>
  </si>
  <si>
    <t>CH430</t>
  </si>
  <si>
    <t>CH - Dual Fuel Thermostat</t>
  </si>
  <si>
    <t>Dual Fuel vs. Kit</t>
  </si>
  <si>
    <t>Con. Incentive (per Project)</t>
  </si>
  <si>
    <t>Customer Rebate (per ton, per control)</t>
  </si>
  <si>
    <t>LMI Rebate (per ton, per control)</t>
  </si>
  <si>
    <t>1.6.2020</t>
  </si>
  <si>
    <t>References: Added "per Project", "per ton", and "per control" to the appropriate rebate and incentive columns (X21:Z21) [Voltz request]</t>
  </si>
  <si>
    <t>1.6.20</t>
  </si>
  <si>
    <t>References: changed Learning thermostat rebate to $50 per control</t>
  </si>
  <si>
    <t>1.0_draft1.6</t>
  </si>
  <si>
    <t>Learning Smart Thermostat</t>
  </si>
  <si>
    <t>Smart T-stat: Customer Incentive now shows $35 for Wifi Enabled and $50 for Learning</t>
  </si>
  <si>
    <t>Workbook Locked for Use</t>
  </si>
  <si>
    <t>version 1.0</t>
  </si>
  <si>
    <t>Effective Date:</t>
  </si>
  <si>
    <t>Worksheet: PTHP can receive Contractor Incentive</t>
  </si>
  <si>
    <t>New Ductless Mini Split - ASHP Tier II</t>
  </si>
  <si>
    <t>1.7.20</t>
  </si>
  <si>
    <t>Worksheet: Allow PTHP to receive contractor incentive</t>
  </si>
  <si>
    <t>References: Removed Ductless ASHP tier 2</t>
  </si>
  <si>
    <t>Qualified index: Whole House Scenario should look for ReferencesA21=2 not 4</t>
  </si>
  <si>
    <t>draft1</t>
  </si>
  <si>
    <t>Locked and finalized workbook as Version 1.1 (Version 1.0 was sent internally but with a glitch)</t>
  </si>
  <si>
    <t>Version 1.1</t>
  </si>
  <si>
    <t>Connected for Heating and Cooling</t>
  </si>
  <si>
    <t>3.4.20</t>
  </si>
  <si>
    <t>Changed version to 1.2 in preparation of Q2 launch</t>
  </si>
  <si>
    <t>Version 1.2_draft 1</t>
  </si>
  <si>
    <t>version 1.1_draft1</t>
  </si>
  <si>
    <t>draft 1</t>
  </si>
  <si>
    <t>Custom Information: Added Data validation to the Building Size cell so only numbers are entered</t>
  </si>
  <si>
    <t>Freeze Stat</t>
  </si>
  <si>
    <t>References: Added Freeze Stat to the integrated drop dpwn list for Technology Type</t>
  </si>
  <si>
    <t>Retrofit Ductless Mini Split - ccASHP Tier II</t>
  </si>
  <si>
    <t>Qualifying Index: Chnaged Connected Cooling and Heating to Connected Heating and Cooling</t>
  </si>
  <si>
    <t>Prop0: Changed per unit rebate to reference Qualifying Index column U</t>
  </si>
  <si>
    <t>Prop0: Changed Measure code lookup to reference Qualifying Index column R</t>
  </si>
  <si>
    <t>CH - Freeze Stat</t>
  </si>
  <si>
    <t>CH435</t>
  </si>
  <si>
    <t>References: Added Freeze Stat to the Home Comfort measure code table</t>
  </si>
  <si>
    <t>HPwES: Added Data Validation message for r-values less than 11 for installed insulation</t>
  </si>
  <si>
    <t>Integrated Controls: adjusted data validation to allow user entry of Manufacturer name and Model. (This should only be used for freeze stats.)</t>
  </si>
  <si>
    <t>References: Added Freeze Stat Rebate of $350</t>
  </si>
  <si>
    <t>Integrated Controls: Added Instruction "4" stating that the Freeze Stat must switch at 32 degrees or less</t>
  </si>
  <si>
    <t>Integrated Controls: added "Freeze Stats" to rebate table</t>
  </si>
  <si>
    <t xml:space="preserve">Integrated Controls: Added 2nd row </t>
  </si>
  <si>
    <t>Post-Inspection: Added addition row for integrated contrls</t>
  </si>
  <si>
    <t>Qualifying_Index: Added row to Integrated control table</t>
  </si>
  <si>
    <t>Qualifying_Index: Added column to Integrated control table that calculates the rebate, but doesn't allow more than one</t>
  </si>
  <si>
    <t>Integrated Controls: Linked rebate column to the Qualifying Index</t>
  </si>
  <si>
    <t>3.6.20</t>
  </si>
  <si>
    <t>Draft 2</t>
  </si>
  <si>
    <t>Qualifying Index: Changed Whole House Manual J requirements to 90%-125%</t>
  </si>
  <si>
    <t>Home Comfort Worksheet: Changed AHRI heating header to say AHRI Heating BTUh @ 17⁰F</t>
  </si>
  <si>
    <t>Cooling kWh</t>
  </si>
  <si>
    <t>Heating kWh</t>
  </si>
  <si>
    <t>Draft 3</t>
  </si>
  <si>
    <t>3.12.20</t>
  </si>
  <si>
    <t>Qualifying Index: Added Heating QIV kWh column</t>
  </si>
  <si>
    <t>Qualifying Index: Adjusted QIV kWh to Cooling QIV kWh</t>
  </si>
  <si>
    <t>Qualifying Index: Adjusted QIV kW column</t>
  </si>
  <si>
    <t>Qualifying Index: Adjusted Heating kWh Savings to reference new heating QIV kWh</t>
  </si>
  <si>
    <t xml:space="preserve">HPwES: Added formula next t rebate when rebate is capped that the rebate cannot be higher than the cost </t>
  </si>
  <si>
    <t>Air Flow References: Created</t>
  </si>
  <si>
    <t>References: Cut and pasted Air flow tables to Air Flow References</t>
  </si>
  <si>
    <t>References: Moved Home Comfort Measure Code table and HPwES info to columns AB through BP</t>
  </si>
  <si>
    <t>EFS Pre-Approval: Added field for Steve</t>
  </si>
  <si>
    <t>Non-Incentive Measure Cost Total:</t>
  </si>
  <si>
    <t>Capacity of Refrigerant Shipped With Outdoor Unit:</t>
  </si>
  <si>
    <t>Allowed Line Set Length:</t>
  </si>
  <si>
    <t>3.20.20</t>
  </si>
  <si>
    <t>Draft 4</t>
  </si>
  <si>
    <t>Qualifying Index: Added QIV savings to heating kWh savings when fuel switching is present</t>
  </si>
  <si>
    <t>Qualifyinig Index: Adjusted MMBTU Heating from kWh formula for QIV savings</t>
  </si>
  <si>
    <t>Prop0: Integrated Control formulas were extended to include Freeze Stats</t>
  </si>
  <si>
    <t>Draft 5</t>
  </si>
  <si>
    <t>Air Flow Tabs 1-10: Fixed workinf under Option 3</t>
  </si>
  <si>
    <t>4.1.20</t>
  </si>
  <si>
    <t>1_draft1</t>
  </si>
  <si>
    <t>Working off of 2020 Home Comfort Application to develop Multi Family Application</t>
  </si>
  <si>
    <t>draft2-3</t>
  </si>
  <si>
    <t>4.13.20</t>
  </si>
  <si>
    <t>Updated the Required Documents and Guidelines to include specific Multi-Family language/items as per research</t>
  </si>
  <si>
    <t>draft4</t>
  </si>
  <si>
    <t>Guidelines: Adding more guidelines per research</t>
  </si>
  <si>
    <t>4.14.20</t>
  </si>
  <si>
    <t>Guidelines and Required Documents: Adding more items based on existing FT, Outdoor Lighting, HVAC applications</t>
  </si>
  <si>
    <t>draft5</t>
  </si>
  <si>
    <t>Size of Building (sq. ft.)</t>
  </si>
  <si>
    <t>Total Estimated Customer Rebate Amount (Calculated from Equipment Worksheets):</t>
  </si>
  <si>
    <t>Applicant Information</t>
  </si>
  <si>
    <t>4.16.20</t>
  </si>
  <si>
    <t>4.21.20</t>
  </si>
  <si>
    <t>Guidelines and Required Documents: Made language adjustments and added notes per Planning Meeting</t>
  </si>
  <si>
    <t>draft 7</t>
  </si>
  <si>
    <t>draft 6</t>
  </si>
  <si>
    <t>Required Documents: Added section for Loan Projects</t>
  </si>
  <si>
    <t>draft8</t>
  </si>
  <si>
    <t>Guidelines and Required Documents: Added language to differentiate what is necessary for New Construction and EB  - I.E. Pre-Inspections, Energy Assessments, and Energy Models</t>
  </si>
  <si>
    <t>Guidelines: Added language informing customers that if applying as an indivual unit (and not through Multi-Family approach), tenant must participate through individual program applications</t>
  </si>
  <si>
    <t>Proposed Quantity</t>
  </si>
  <si>
    <t>Equipment Size</t>
  </si>
  <si>
    <t>Heat Pump Water Heater</t>
  </si>
  <si>
    <t>≤ 55 Gallons</t>
  </si>
  <si>
    <t>&gt; 55 Gallons</t>
  </si>
  <si>
    <t>Worksheet - Appliances tab: Added tab to start building appliances worksheet</t>
  </si>
  <si>
    <t>draft9</t>
  </si>
  <si>
    <t>draft10</t>
  </si>
  <si>
    <t>4.23.20</t>
  </si>
  <si>
    <t>Worksheet - Appliances tab: Added all ME ES, ES, and APS rows to worksheet</t>
  </si>
  <si>
    <t>For all Common Area Lighting, select checkbox to indicate that the product is listed with the proper rating agency at time of purchase</t>
  </si>
  <si>
    <t>Enter Quantity, Wattage, Product ID, Manufacturer and Model Number</t>
  </si>
  <si>
    <t>LED Interior Parking Garage Lighting Fixtures - $100 each</t>
  </si>
  <si>
    <t>Lighting Type to be Replaced</t>
  </si>
  <si>
    <t>Proposed
Quantity</t>
  </si>
  <si>
    <t>Proposed Watts</t>
  </si>
  <si>
    <t>DLC Product Code</t>
  </si>
  <si>
    <t>DLC Rating</t>
  </si>
  <si>
    <t>ENERGY STAR Unique ID</t>
  </si>
  <si>
    <t>LED Lamps - $4 each</t>
  </si>
  <si>
    <t>LED Downlights &gt; 1,000 Lumens - $35 each</t>
  </si>
  <si>
    <t>LED Downlights &lt; 1,000 Lumens - $35 each</t>
  </si>
  <si>
    <t>Recessed LED Retrofit Kits - $20 each</t>
  </si>
  <si>
    <t>LED 1 X 4 Linear Panel - $35 each</t>
  </si>
  <si>
    <t>LED 2 X 4 Linear Panel - $50 each</t>
  </si>
  <si>
    <t>LED 2 X 2 Linear Panel - $35 each</t>
  </si>
  <si>
    <t>Select "Common Area - Indoor Lighting" and/or "Common Area - Outdoor Lighting" checkbox to generate equipment inputs</t>
  </si>
  <si>
    <t>2' Linear Ambient LED Luminaire - $15 each</t>
  </si>
  <si>
    <t>4' Linear Ambient LED Luminaire - $30 each</t>
  </si>
  <si>
    <t>LED Two Foot Linear Replacements - $4 each</t>
  </si>
  <si>
    <t>LED Four Foot Linear Replacements - $5 each</t>
  </si>
  <si>
    <t>Retrofit Kits for 2X4 Luminaires - $35 each</t>
  </si>
  <si>
    <t>LED Low Bay Fixtures - $30 each</t>
  </si>
  <si>
    <t>LED High Bay Fixtures - $100 each</t>
  </si>
  <si>
    <t xml:space="preserve">Indoor Lighting Controls </t>
  </si>
  <si>
    <t>Control Type</t>
  </si>
  <si>
    <t>4.27.20</t>
  </si>
  <si>
    <t>Worksheet - Common Area Lighting: Added tab to account for Fast Track Lighting and Outdoor Lighting</t>
  </si>
  <si>
    <t>Draft11</t>
  </si>
  <si>
    <t>Common Area - Indoor Lighting</t>
  </si>
  <si>
    <t xml:space="preserve">Common Area - Outdoor Lighting </t>
  </si>
  <si>
    <t>LED Architectural Floor and Spot Fixtures - Low, Mid - $60 each</t>
  </si>
  <si>
    <t>LED Architectural Floor and Spot Fixtures - High - $165 each</t>
  </si>
  <si>
    <t>LED Area Lighting Fixtures - Low, Mid - $100 each</t>
  </si>
  <si>
    <t>LED Area Lighting Fixtures - High, Very High - $200 each</t>
  </si>
  <si>
    <t>LED Area Lighting Replacement Lamps, Types B&amp;C - Low, Mid - $60 each</t>
  </si>
  <si>
    <t>LED Area Lighting Replacement Lamps, Types B&amp;C - High, Very High - $130 each</t>
  </si>
  <si>
    <t>LED Area Lighting Retrofit Kits - Low, Mid - $80 each</t>
  </si>
  <si>
    <t>LED Area Lighting Retrofit Kits - High, Very High - $170 each</t>
  </si>
  <si>
    <t>LED Wall Mounted Full-Cutoff Fixtures - Low, Mid - $60 each</t>
  </si>
  <si>
    <t>LED Wall Mounted Full-Cutoff Fixtures - High, Very High - $160 each</t>
  </si>
  <si>
    <t>LED Wall Mounted Full-Cutoff Replacement Lamps - Low, Mid - $50 each</t>
  </si>
  <si>
    <t>LED Wall Mounted Full-Cutoff Replacement Lamps - High, Very High - $100 each</t>
  </si>
  <si>
    <t>LED Wall Mounted Full-Cutoff Retrofit Kits - Low, Mid - $80 each</t>
  </si>
  <si>
    <t>LED Wall Mounted Full-Cutoff Retrofit Kits - High, Very High - $170 each</t>
  </si>
  <si>
    <t>LED Decorative Fixtures - Low, Mid - $90 each</t>
  </si>
  <si>
    <t>LED Decorative Fixtures - High, Very High - $180 each</t>
  </si>
  <si>
    <t>LED Decorative Replacement Lamps - Low, Mid - $60 each</t>
  </si>
  <si>
    <t>LED Decorative Replacement Lamps - High, Very High - $130 each</t>
  </si>
  <si>
    <t>LED Decorative Retrofit Kits - Low, Mid - $80 each</t>
  </si>
  <si>
    <t>LED Decorative Retrofit Kits - High, Very High - $170 each</t>
  </si>
  <si>
    <t>LED Vapor Tight Replacement Tubes - $5 each</t>
  </si>
  <si>
    <t>LED Downlight Fixtures - $35 each</t>
  </si>
  <si>
    <t>Units must be installed per rated condition or IESNA best practices</t>
  </si>
  <si>
    <t xml:space="preserve">Product </t>
  </si>
  <si>
    <t>MMBTU EE</t>
  </si>
  <si>
    <t>MMBTU BE</t>
  </si>
  <si>
    <t>HVAC Interactivity Factor Demand</t>
  </si>
  <si>
    <t>HVAC Interactivity Factor Energy</t>
  </si>
  <si>
    <t>Appliances</t>
  </si>
  <si>
    <t>Worksheet - Common Area Lighting: Added two checkboxes, one for Indoor Lighting and one for Outdoor Lighting (there is no code tied to these yet) Customer will check the box to generate worksheet rows</t>
  </si>
  <si>
    <t>Worksheet - Common Area Lighting: Added equipment data  and instructions to worksheet from FT and OL Apps</t>
  </si>
  <si>
    <t>Guidelines Tab: Removed language regarding energy assessment (this app will be geared toward NC)</t>
  </si>
  <si>
    <t>Guidelines Tab: Removed language regarding tenant engagement (this app will be geared toward NC)</t>
  </si>
  <si>
    <t>Guidelines Tab: Removed language regarding LMI options for individual tenants (this app will be geared toward NC)</t>
  </si>
  <si>
    <t>Required Documents Tab: Removed Energy assessment, pre-inspection, and loan language (this app will be geared toward NC)</t>
  </si>
  <si>
    <t>Customer Information Tab: Removed Existing Heating Source and Existing Heating System</t>
  </si>
  <si>
    <t>Appliances Ref Tab: Added this tab and started building it out - Added NTG table</t>
  </si>
  <si>
    <t>Appliances Ref Tab: Added HPWH measure details from 2020 Program Planning Tool</t>
  </si>
  <si>
    <t>4.28.20</t>
  </si>
  <si>
    <t>Added Common Lighting Ref tab and Common HAV ref tab</t>
  </si>
  <si>
    <t>Draft12</t>
  </si>
  <si>
    <t>Clothes Washer</t>
  </si>
  <si>
    <t>CF</t>
  </si>
  <si>
    <t>Clothes Dryer</t>
  </si>
  <si>
    <t>Most Efficient Dryer - Heat Pump</t>
  </si>
  <si>
    <t>Dishwasher</t>
  </si>
  <si>
    <t>Most Efficient Dishwasher</t>
  </si>
  <si>
    <t>Freezer</t>
  </si>
  <si>
    <t>ENERGY STAR Freezer</t>
  </si>
  <si>
    <t>Air Purifier</t>
  </si>
  <si>
    <t>Dehumidifier</t>
  </si>
  <si>
    <t xml:space="preserve">ENERGY STAR Dehumidifier </t>
  </si>
  <si>
    <t>Advanced Power Strips Tier II</t>
  </si>
  <si>
    <t>4.30.20</t>
  </si>
  <si>
    <t>Appliances Ref tab: Added table for all appliances and linked the necessary cells to the NTG table</t>
  </si>
  <si>
    <t>Draft14</t>
  </si>
  <si>
    <t>5.1.20</t>
  </si>
  <si>
    <t>Appliances Ref Tab: Added APS Tier II and linked to NTG table</t>
  </si>
  <si>
    <t>Draft15</t>
  </si>
  <si>
    <t>Advanced Power Strips</t>
  </si>
  <si>
    <t>Specialty Lamps</t>
  </si>
  <si>
    <t>Lamps</t>
  </si>
  <si>
    <t>5.5.20</t>
  </si>
  <si>
    <t>Common HVAC Elig Tab: Added tab from CEP HVAC Workbook</t>
  </si>
  <si>
    <t>Draft 16</t>
  </si>
  <si>
    <t>Size Category</t>
  </si>
  <si>
    <t>Sub Category</t>
  </si>
  <si>
    <t>&lt; 0.75 Tons</t>
  </si>
  <si>
    <t>All Types</t>
  </si>
  <si>
    <t>Ductless Mini-Split AC</t>
  </si>
  <si>
    <t>&lt; 5.4 Tons</t>
  </si>
  <si>
    <t>Split System</t>
  </si>
  <si>
    <t>Single Package</t>
  </si>
  <si>
    <t>≥ 5.4 &amp; &lt; 11.25 Tons</t>
  </si>
  <si>
    <t>≥ 11.25 &amp; &lt; 20 Tons</t>
  </si>
  <si>
    <t>≥ 20 &amp; &lt; 63 Tons</t>
  </si>
  <si>
    <t>All Sizes</t>
  </si>
  <si>
    <t>Code</t>
  </si>
  <si>
    <t>PTAC101</t>
  </si>
  <si>
    <t>PTAC201</t>
  </si>
  <si>
    <t>PTAC301</t>
  </si>
  <si>
    <t>AC201</t>
  </si>
  <si>
    <t>AC311</t>
  </si>
  <si>
    <t>AC321</t>
  </si>
  <si>
    <t>AC411</t>
  </si>
  <si>
    <t>AC421</t>
  </si>
  <si>
    <t>AC511</t>
  </si>
  <si>
    <t>AC521</t>
  </si>
  <si>
    <t>AC611</t>
  </si>
  <si>
    <t>AC621</t>
  </si>
  <si>
    <t>AC811</t>
  </si>
  <si>
    <t>AC821</t>
  </si>
  <si>
    <t>Tier 0</t>
  </si>
  <si>
    <t>Equipment Type - Sub Categories</t>
  </si>
  <si>
    <t>Existing Unit - Equipment Type</t>
  </si>
  <si>
    <t>Code Lookup</t>
  </si>
  <si>
    <t>New Unit (min)</t>
  </si>
  <si>
    <t>Existing Unit (max)</t>
  </si>
  <si>
    <t>Tier 1</t>
  </si>
  <si>
    <t>Tier 2</t>
  </si>
  <si>
    <t>Worksheet Name</t>
  </si>
  <si>
    <t>Room Air Conditioners</t>
  </si>
  <si>
    <t>Air Conditioners - Air Cooled</t>
  </si>
  <si>
    <t>Air Conditioners - Water &amp; Evaporatively Cooled</t>
  </si>
  <si>
    <t>Geothermal Heat Pumps</t>
  </si>
  <si>
    <t>Ductless Mini-Split Heat Pumps</t>
  </si>
  <si>
    <t>Air Cooled Heat Pumps</t>
  </si>
  <si>
    <t>Water Source Heat Pumps</t>
  </si>
  <si>
    <t>VRF Air Cooled Heat Pumps</t>
  </si>
  <si>
    <t>VRF Water Source Heat Pumps</t>
  </si>
  <si>
    <t>Packaged Terminal Air Conditioners</t>
  </si>
  <si>
    <t>Cold Climate Air Source Heat Pumps</t>
  </si>
  <si>
    <t>Ductless Mini-Split Cold Climate Heat Pumps</t>
  </si>
  <si>
    <t>Proposed criteria</t>
  </si>
  <si>
    <t>Existing Criteria</t>
  </si>
  <si>
    <t>COP</t>
  </si>
  <si>
    <t>Rebate*</t>
  </si>
  <si>
    <t>IEER</t>
  </si>
  <si>
    <t>IEER/SEER</t>
  </si>
  <si>
    <t>Room Air Conditioners &lt; 2.5 Tons All Types</t>
  </si>
  <si>
    <t>Room Air Conditioner</t>
  </si>
  <si>
    <t>Room Air Conditioners &lt; 2.5 Tons All Types Tier 0</t>
  </si>
  <si>
    <t>AC100</t>
  </si>
  <si>
    <t>Room Air Conditioners &lt; 2.5 Tons All Types Room Air Conditioner</t>
  </si>
  <si>
    <t>Closed Loop</t>
  </si>
  <si>
    <t>Multisplit System</t>
  </si>
  <si>
    <t>Ductless Mini-Split AC &lt; 5.4 Tons All Types</t>
  </si>
  <si>
    <t>Ductless Mini-Split AC &lt; 5.4 Tons All Types Tier 0</t>
  </si>
  <si>
    <t>AC200</t>
  </si>
  <si>
    <t>Ductless Mini-Split AC &lt; 5.4 Tons All Types Room Air Conditioner</t>
  </si>
  <si>
    <t>Ductless Mini-Split AC &lt; 5.4 tons All Types</t>
  </si>
  <si>
    <t>No Fossil Fuel Heating</t>
  </si>
  <si>
    <t>Open Loop</t>
  </si>
  <si>
    <t>Air Conditioners - Air Cooled &lt; 5.4 Tons Split System</t>
  </si>
  <si>
    <t>Air Conditioner Split System</t>
  </si>
  <si>
    <t>Split System AC</t>
  </si>
  <si>
    <t>Ductless Mini-Split AC &lt; 5.4 Tons All Types Tier 1</t>
  </si>
  <si>
    <t>Ductless Mini-Split Heat Pumps &lt; 5.4 Tons All Types Room Air Conditioner</t>
  </si>
  <si>
    <t>Direct Exchange (DX)</t>
  </si>
  <si>
    <t>Air Conditioners - Air Cooled &lt; 5.4 Tons Single Package</t>
  </si>
  <si>
    <t>Air Conditioner Single Package</t>
  </si>
  <si>
    <t>Single Package AC</t>
  </si>
  <si>
    <t>Ductless Mini-Split AC &lt; 5.4 Tons All Types Tier 2</t>
  </si>
  <si>
    <t>AC202</t>
  </si>
  <si>
    <t>Air Conditioners - Air Cooled &lt; 5.4 Tons Split System Room Air Conditioner</t>
  </si>
  <si>
    <t>Air Conditioners - Air Cooled ≥ 5.4 &amp; &lt; 11.25 Tons Split System</t>
  </si>
  <si>
    <t>Air Conditioners - Air Cooled &lt; 5.4 Tons Split System Tier 0</t>
  </si>
  <si>
    <t>AC310</t>
  </si>
  <si>
    <t>Air Conditioners - Air Cooled &lt; 5.4 Tons Split System Split System</t>
  </si>
  <si>
    <t>Equipment Type - Size Categories</t>
  </si>
  <si>
    <t>Air Conditioners - Air Cooled ≥ 5.4 &amp; &lt; 11.25 Tons Single Package</t>
  </si>
  <si>
    <t>Air Conditioners - Air Cooled &lt; 5.4 Tons Split System Tier 1</t>
  </si>
  <si>
    <t>Air Conditioners - Air Cooled &lt; 5.4 Tons Single Package Room Air Conditioner</t>
  </si>
  <si>
    <t>Heating Fuels</t>
  </si>
  <si>
    <t>Air Conditioners - Air Cooled ≥ 11.25 &amp; &lt; 20 Tons Split System</t>
  </si>
  <si>
    <t>Air Conditioners - Air Cooled &lt; 5.4 Tons Split System Tier 2</t>
  </si>
  <si>
    <t>AC312</t>
  </si>
  <si>
    <t>Air Conditioners - Air Cooled &lt; 5.4 Tons Single Package Single Package</t>
  </si>
  <si>
    <t>Air Conditioners - Air Cooled ≥ 11.25 &amp; &lt; 20 Tons Single Package</t>
  </si>
  <si>
    <t>Split SystemAC</t>
  </si>
  <si>
    <t>Air Conditioners - Air Cooled &lt; 5.4 Tons Single Package Tier 0</t>
  </si>
  <si>
    <t>AC320</t>
  </si>
  <si>
    <t>Air Conditioners - Air Cooled ≥ 5.4 &amp; &lt; 11.25 Tons Split System Room Air Conditioner</t>
  </si>
  <si>
    <t>&lt; 2.5 Tons</t>
  </si>
  <si>
    <t>&lt; 11.25 Tons</t>
  </si>
  <si>
    <r>
      <rPr>
        <sz val="10"/>
        <color indexed="8"/>
        <rFont val="Calibri"/>
        <family val="2"/>
      </rPr>
      <t>&lt;</t>
    </r>
    <r>
      <rPr>
        <sz val="10"/>
        <color indexed="8"/>
        <rFont val="Arial Narrow"/>
        <family val="2"/>
      </rPr>
      <t xml:space="preserve"> 0.75 Tons</t>
    </r>
  </si>
  <si>
    <t>Air Conditioners - Air Cooled ≥ 20 &amp; &lt; 63 Tons Split System</t>
  </si>
  <si>
    <t>Air Conditioners - Air Cooled &lt; 5.4 Tons Single Package Tier 1</t>
  </si>
  <si>
    <t>Air Conditioners - Air Cooled ≥ 5.4 &amp; &lt; 11.25 Tons Split System Split System</t>
  </si>
  <si>
    <r>
      <rPr>
        <sz val="10"/>
        <color indexed="8"/>
        <rFont val="Calibri"/>
        <family val="2"/>
      </rPr>
      <t>≥</t>
    </r>
    <r>
      <rPr>
        <sz val="10"/>
        <color indexed="8"/>
        <rFont val="Arial Narrow"/>
        <family val="2"/>
      </rPr>
      <t xml:space="preserve"> 0.75 Tons &amp; &lt; 1 Ton</t>
    </r>
  </si>
  <si>
    <t>Air Conditioners - Air Cooled ≥ 20 &amp; &lt; 63 Tons Single Package</t>
  </si>
  <si>
    <t>Air Conditioners - Air Cooled &lt; 5.4 Tons Single Package Tier 2</t>
  </si>
  <si>
    <t>AC322</t>
  </si>
  <si>
    <t>Air Conditioners - Air Cooled ≥ 5.4 &amp; &lt; 11.25 Tons Split System Single Package</t>
  </si>
  <si>
    <t>≥ 1 Tons</t>
  </si>
  <si>
    <t>Air Conditioners - Air Cooled ≥ 63 Tons Split System</t>
  </si>
  <si>
    <t>Air Conditioners - Air Cooled ≥ 5.4 &amp; &lt; 11.25 Tons Split System Tier 0</t>
  </si>
  <si>
    <t>AC410</t>
  </si>
  <si>
    <t>Air Conditioners - Air Cooled ≥ 5.4 &amp; &lt; 11.25 Tons Split System Other</t>
  </si>
  <si>
    <t>≥ 20 Tons</t>
  </si>
  <si>
    <t>Air Conditioners - Air Cooled ≥ 63 Tons Single Package</t>
  </si>
  <si>
    <t>Air Conditioners - Air Cooled ≥ 5.4 &amp; &lt; 11.25 Tons Split System Tier 1</t>
  </si>
  <si>
    <t>Air Conditioners - Air Cooled ≥ 5.4 &amp; &lt; 11.25 Tons Single Package Room Air Conditioner</t>
  </si>
  <si>
    <t>Air Conditioners - Water &amp; Evaporatively Cooled All Sizes Split System</t>
  </si>
  <si>
    <t>Air Conditioners - Air Cooled ≥ 5.4 &amp; &lt; 11.25 Tons Split System Tier 2</t>
  </si>
  <si>
    <t>AC412</t>
  </si>
  <si>
    <t>Air Conditioners - Air Cooled ≥ 5.4 &amp; &lt; 11.25 Tons Single Package Split System</t>
  </si>
  <si>
    <t>Air Conditioners - Water &amp; Evaporatively Cooled All Sizes Single Package</t>
  </si>
  <si>
    <t>Air Conditioners - Air Cooled ≥ 5.4 &amp; &lt; 11.25 Tons Single Package Tier 0</t>
  </si>
  <si>
    <t>AC420</t>
  </si>
  <si>
    <t>Air Conditioners - Air Cooled ≥ 5.4 &amp; &lt; 11.25 Tons Single Package Single Package</t>
  </si>
  <si>
    <t>Ductless Mini-Split Heat Pumps &lt; 5.4 tons All Types</t>
  </si>
  <si>
    <t>Ductless Mini -Split Heat Pumps</t>
  </si>
  <si>
    <t>Ductless Mini-Split HP</t>
  </si>
  <si>
    <t>Air Conditioners - Air Cooled ≥ 5.4 &amp; &lt; 11.25 Tons Single Package Tier 1</t>
  </si>
  <si>
    <t>Air Conditioners - Air Cooled ≥ 5.4 &amp; &lt; 11.25 Tons Single Package Other</t>
  </si>
  <si>
    <t>Drop Down Lists</t>
  </si>
  <si>
    <t>Air Cooled Heat Pumps &lt; 5.4 Tons Split System</t>
  </si>
  <si>
    <t>Air Cooled Heat Pumps Split System</t>
  </si>
  <si>
    <t>Split System HP</t>
  </si>
  <si>
    <t>Air Conditioners - Air Cooled ≥ 5.4 &amp; &lt; 11.25 Tons Single Package Tier 2</t>
  </si>
  <si>
    <t>AC422</t>
  </si>
  <si>
    <t>Air Conditioners - Air Cooled ≥ 11.25 &amp; &lt; 20 Tons Split System Room Air Conditioner</t>
  </si>
  <si>
    <t>Packaged Terminal Air Conditioners &lt; 0.75 Tons All Types</t>
  </si>
  <si>
    <t>Fossil Fuel Burner</t>
  </si>
  <si>
    <t>Equipment Type (Existing)</t>
  </si>
  <si>
    <t>Equipment Type (New Construction)</t>
  </si>
  <si>
    <t>Building Type</t>
  </si>
  <si>
    <t>Size Requirements</t>
  </si>
  <si>
    <t>Air Cooled Heat Pumps &lt; 5.4 Tons Single Package</t>
  </si>
  <si>
    <t>Air Cooled Heat Pump Single Package</t>
  </si>
  <si>
    <t>Single Package HP</t>
  </si>
  <si>
    <t>Air Conditioners - Air Cooled ≥ 11.25 &amp; &lt; 20 Tons Split System Tier 0</t>
  </si>
  <si>
    <t>AC510</t>
  </si>
  <si>
    <t>Air Conditioners - Air Cooled ≥ 11.25 &amp; &lt; 20 Tons Split System Split System</t>
  </si>
  <si>
    <t>Packaged Terminal Air Conditioners ≥ 0.75 Tons &amp; &lt; 1 Ton All Types</t>
  </si>
  <si>
    <t>Parasitics (kWh/MMBtu)</t>
  </si>
  <si>
    <t>AAON, INC.</t>
  </si>
  <si>
    <t>… please select …</t>
  </si>
  <si>
    <t>Minimum</t>
  </si>
  <si>
    <t>Maximum</t>
  </si>
  <si>
    <t>Air Cooled Heat Pumps ≥ 5.4 &amp; &lt; 11.25 Tons Split System</t>
  </si>
  <si>
    <t>Air Conditioners - Air Cooled ≥ 11.25 &amp; &lt; 20 Tons Split System Tier 1</t>
  </si>
  <si>
    <t>Air Conditioners - Air Cooled ≥ 11.25 &amp; &lt; 20 Tons Split System Single Package</t>
  </si>
  <si>
    <t>Packaged Terminal Air Conditioners ≥ 1 Tons All Types</t>
  </si>
  <si>
    <t>AEROSYS, INC.</t>
  </si>
  <si>
    <t>Assembly</t>
  </si>
  <si>
    <t>Air Cooled Heat Pumps ≥ 5.4 &amp; &lt; 11.25 Tons Single Package</t>
  </si>
  <si>
    <t>Air Conditioners - Air Cooled ≥ 11.25 &amp; &lt; 20 Tons Split System Tier 2</t>
  </si>
  <si>
    <t>AC512</t>
  </si>
  <si>
    <t>Air Conditioners - Air Cooled ≥ 11.25 &amp; &lt; 20 Tons Split System Other</t>
  </si>
  <si>
    <t>AIR GREEN CORPORATION</t>
  </si>
  <si>
    <t>Auto Repair</t>
  </si>
  <si>
    <t>≥ 0.75 Tons &amp; &lt; 1 Ton</t>
  </si>
  <si>
    <t>Air Cooled Heat Pumps ≥ 11.25 &amp; &lt; 20 Tons Split System</t>
  </si>
  <si>
    <t>Air Conditioners - Air Cooled ≥ 11.25 &amp; &lt; 20 Tons Single Package Tier 0</t>
  </si>
  <si>
    <t>AC520</t>
  </si>
  <si>
    <t>Air Conditioners - Air Cooled ≥ 11.25 &amp; &lt; 20 Tons Single Package Room Air Conditioner</t>
  </si>
  <si>
    <r>
      <t>*Using 47</t>
    </r>
    <r>
      <rPr>
        <sz val="10"/>
        <color indexed="8"/>
        <rFont val="Calibri"/>
        <family val="2"/>
      </rPr>
      <t>°</t>
    </r>
    <r>
      <rPr>
        <sz val="10"/>
        <color indexed="8"/>
        <rFont val="Arial Narrow"/>
        <family val="2"/>
      </rPr>
      <t>F DB / 43</t>
    </r>
    <r>
      <rPr>
        <sz val="10"/>
        <color indexed="8"/>
        <rFont val="Calibri"/>
        <family val="2"/>
      </rPr>
      <t>°</t>
    </r>
    <r>
      <rPr>
        <sz val="10"/>
        <color indexed="8"/>
        <rFont val="Arial Narrow"/>
        <family val="2"/>
      </rPr>
      <t>F WB</t>
    </r>
  </si>
  <si>
    <t>Displacement</t>
  </si>
  <si>
    <t>AIR-CON INTERNATIONAL, INC.</t>
  </si>
  <si>
    <t>Big Box Retail</t>
  </si>
  <si>
    <t>Air Cooled Heat Pumps ≥ 11.25 &amp; &lt; 20 Tons Single Package</t>
  </si>
  <si>
    <t>Air Conditioners - Air Cooled ≥ 11.25 &amp; &lt; 20 Tons Single Package Tier 1</t>
  </si>
  <si>
    <t>Air Conditioners - Air Cooled ≥ 11.25 &amp; &lt; 20 Tons Single Package Split System</t>
  </si>
  <si>
    <t>Factor</t>
  </si>
  <si>
    <t>AIREASE</t>
  </si>
  <si>
    <t>Community College</t>
  </si>
  <si>
    <t>Air Cooled Heat Pumps ≥ 20 &amp; &lt; 63 Tons Split System</t>
  </si>
  <si>
    <t>Air Conditioners - Air Cooled ≥ 11.25 &amp; &lt; 20 Tons Single Package Tier 2</t>
  </si>
  <si>
    <t>AC522</t>
  </si>
  <si>
    <t>Air Conditioners - Air Cooled ≥ 11.25 &amp; &lt; 20 Tons Single Package Single Package</t>
  </si>
  <si>
    <t>AIRE-FLO</t>
  </si>
  <si>
    <t>Fast Food Restaurant</t>
  </si>
  <si>
    <t>Air Cooled Heat Pumps ≥ 20 &amp; &lt; 63 Tons Single Package</t>
  </si>
  <si>
    <t>Air Conditioners - Air Cooled ≥ 20 &amp; &lt; 63 Tons Split System Tier 0</t>
  </si>
  <si>
    <t>AC610</t>
  </si>
  <si>
    <t>Air Conditioners - Air Cooled ≥ 11.25 &amp; &lt; 20 Tons Single Package Other</t>
  </si>
  <si>
    <t>AIRQUEST</t>
  </si>
  <si>
    <t>Full Service Restaurant</t>
  </si>
  <si>
    <t>Geothermal Heat Pumps &lt; 11.25 Tons Closed Loop</t>
  </si>
  <si>
    <t>Air Conditioners - Air Cooled ≥ 20 &amp; &lt; 63 Tons Split System Tier 1</t>
  </si>
  <si>
    <t>Air Conditioners - Air Cooled ≥ 20 &amp; &lt; 63 Tons Split System Room Air Conditioner</t>
  </si>
  <si>
    <t>AMANA HEATING AND AIR CONDITIONING</t>
  </si>
  <si>
    <t xml:space="preserve">Grocery </t>
  </si>
  <si>
    <t>Geothermal Heat Pumps &lt; 11.25 Tons Open Loop</t>
  </si>
  <si>
    <t>Air Conditioners - Air Cooled ≥ 20 &amp; &lt; 63 Tons Split System Tier 2</t>
  </si>
  <si>
    <t>AC612</t>
  </si>
  <si>
    <t>Air Conditioners - Air Cooled ≥ 20 &amp; &lt; 63 Tons Split System Split System</t>
  </si>
  <si>
    <t>AMERICAN STANDARD, INC.</t>
  </si>
  <si>
    <t>High School</t>
  </si>
  <si>
    <t>Geothermal Heat Pumps &lt; 11.25 Tons Direct Exchange (DX)</t>
  </si>
  <si>
    <t>Air Conditioners - Air Cooled ≥ 20 &amp; &lt; 63 Tons Single Package Tier 0</t>
  </si>
  <si>
    <t>AC620</t>
  </si>
  <si>
    <t>Air Conditioners - Air Cooled ≥ 20 &amp; &lt; 63 Tons Split System Single Package</t>
  </si>
  <si>
    <t>ARCOAIRE</t>
  </si>
  <si>
    <t>Hospital</t>
  </si>
  <si>
    <t>Water Source Heat Pumps &lt; 11.25 Tons All Types</t>
  </si>
  <si>
    <t>Water Source Heat Pump</t>
  </si>
  <si>
    <t>Air Conditioners - Air Cooled ≥ 20 &amp; &lt; 63 Tons Single Package Tier 1</t>
  </si>
  <si>
    <t>Air Conditioners - Air Cooled ≥ 20 &amp; &lt; 63 Tons Split System Other</t>
  </si>
  <si>
    <t>ARMSTRONG AIR CONDITIONING, INC.</t>
  </si>
  <si>
    <t>Hotel</t>
  </si>
  <si>
    <t>Packaged Terminal Air Conditioner</t>
  </si>
  <si>
    <t>Packaged Terminal AC</t>
  </si>
  <si>
    <t>Air Conditioners - Air Cooled ≥ 20 &amp; &lt; 63 Tons Single Package Tier 2</t>
  </si>
  <si>
    <t>AC622</t>
  </si>
  <si>
    <t>Air Conditioners - Air Cooled ≥ 20 &amp; &lt; 63 Tons Single Package Room Air Conditioner</t>
  </si>
  <si>
    <t>BARD MANUFACTURING COMPANY</t>
  </si>
  <si>
    <t>Large Office</t>
  </si>
  <si>
    <t>≥ 63 Tons</t>
  </si>
  <si>
    <t>Air Conditioners - Air Cooled ≥ 63 Tons Split System Tier 0</t>
  </si>
  <si>
    <t>AC710</t>
  </si>
  <si>
    <t>Air Conditioners - Air Cooled ≥ 20 &amp; &lt; 63 Tons Single Package Split System</t>
  </si>
  <si>
    <t>BEUTLER CORPORATION</t>
  </si>
  <si>
    <t>Large Retail</t>
  </si>
  <si>
    <t>Air Conditioners - Air Cooled ≥ 63 Tons Split System Tier 1</t>
  </si>
  <si>
    <t>AC711</t>
  </si>
  <si>
    <t>Air Conditioners - Air Cooled ≥ 20 &amp; &lt; 63 Tons Single Package Single Package</t>
  </si>
  <si>
    <t>BROAN</t>
  </si>
  <si>
    <t>Light Industrial</t>
  </si>
  <si>
    <t>Packaged Terminal Heat Pumps &lt; 0.75 Tons All Types</t>
  </si>
  <si>
    <t>Packaged Terminal HP</t>
  </si>
  <si>
    <t>Air Conditioners - Air Cooled ≥ 63 Tons Split System Tier 2</t>
  </si>
  <si>
    <t>AC712</t>
  </si>
  <si>
    <t>Air Conditioners - Air Cooled ≥ 20 &amp; &lt; 63 Tons Single Package Other</t>
  </si>
  <si>
    <t>BRYANT</t>
  </si>
  <si>
    <t>Motel</t>
  </si>
  <si>
    <t>Packaged Terminal Heat Pumps ≥ 0.75 Tons &amp; &lt; 1 Ton All Types</t>
  </si>
  <si>
    <t>Air Conditioners - Air Cooled ≥ 63 Tons Single Package Tier 0</t>
  </si>
  <si>
    <t>AC720</t>
  </si>
  <si>
    <t>Air Conditioners - Air Cooled ≥ 63 Tons Split System Room Air Conditioner</t>
  </si>
  <si>
    <t>CARRIER AIR CONDITIONING</t>
  </si>
  <si>
    <t>Primary School</t>
  </si>
  <si>
    <t>Packaged Terminal Heat Pumps ≥ 1 Tons All Types</t>
  </si>
  <si>
    <t>Air Conditioners - Air Cooled ≥ 63 Tons Single Package Tier 1</t>
  </si>
  <si>
    <t>AC721</t>
  </si>
  <si>
    <t>Air Conditioners - Air Cooled ≥ 63 Tons Split System Split System</t>
  </si>
  <si>
    <t>COAIRE CORPORATION</t>
  </si>
  <si>
    <t>Religious</t>
  </si>
  <si>
    <t>VRF Air Cooled Heat Pumps &lt; 5.4 Tons Multisplit System</t>
  </si>
  <si>
    <t>VRF Air Cooled Heat Pump</t>
  </si>
  <si>
    <t>Air Conditioners - Air Cooled ≥ 63 Tons Single Package Tier 2</t>
  </si>
  <si>
    <t>AC722</t>
  </si>
  <si>
    <t>Air Conditioners - Air Cooled ≥ 63 Tons Split System Single Package</t>
  </si>
  <si>
    <t>COLEMAN, UNITARY PRODUCTS GROUP</t>
  </si>
  <si>
    <t>Small Office</t>
  </si>
  <si>
    <t>VRF Air Cooled Heat Pumps ≥ 5.4 &amp; &lt; 11.25 Tons Multisplit System</t>
  </si>
  <si>
    <t>Air Conditioners - Water &amp; Evaporatively Cooled All Sizes Split System Tier 1</t>
  </si>
  <si>
    <t>Air Conditioners - Air Cooled ≥ 63 Tons Split System Other</t>
  </si>
  <si>
    <t>COMFORTMAKER</t>
  </si>
  <si>
    <t>Small Retail</t>
  </si>
  <si>
    <t>VRF Air Cooled Heat Pumps ≥ 11.25 &amp; &lt; 20 Tons Multisplit System</t>
  </si>
  <si>
    <t>Air Conditioners - Water &amp; Evaporatively Cooled All Sizes Single Package Tier 1</t>
  </si>
  <si>
    <t>Air Conditioners - Air Cooled ≥ 63 Tons Single Package Room Air Conditioner</t>
  </si>
  <si>
    <t>CONCORD</t>
  </si>
  <si>
    <t>University</t>
  </si>
  <si>
    <t>VRF Air Cooled Heat Pumps ≥ 20 Tons Multisplit System</t>
  </si>
  <si>
    <t>Packaged Terminal Air Conditioners &lt; 0.75 Tons All Types Tier 1</t>
  </si>
  <si>
    <t>Air Conditioners - Air Cooled ≥ 63 Tons Single Package Split System</t>
  </si>
  <si>
    <t>DAIKIN AC (AMERICAS), INC.</t>
  </si>
  <si>
    <t>Warehouse</t>
  </si>
  <si>
    <t>VRF Water Source Heat Pumps &lt; 11.25 Tons Multisplit System</t>
  </si>
  <si>
    <t>Packaged Terminal Air Conditioners ≥ 0.75 Tons &amp; &lt; 1 Ton All Types Tier 1</t>
  </si>
  <si>
    <t>Air Conditioners - Air Cooled ≥ 63 Tons Single Package Single Package</t>
  </si>
  <si>
    <t>DAY &amp; NIGHT</t>
  </si>
  <si>
    <t>Cold Climate Air Source Heat Pumps All Sizes All Types</t>
  </si>
  <si>
    <t>Packaged Terminal Air Conditioners ≥ 1 Tons All Types Tier 1</t>
  </si>
  <si>
    <t>Air Conditioners - Air Cooled ≥ 63 Tons Single Package Other</t>
  </si>
  <si>
    <t>DAYTON ELECTRIC MANUFACTURING COMPANY</t>
  </si>
  <si>
    <t>Ductless Mini-Split Cold Climate Heat Pumps All Sizes All Types</t>
  </si>
  <si>
    <t>Geothermal Heat Pumps &lt; 11.25 Tons Closed Loop Tier 0</t>
  </si>
  <si>
    <t>GHP100</t>
  </si>
  <si>
    <t>Geothermal Heat Pumps &lt; 11.25 Tons Closed Loop Room Air Conditioner</t>
  </si>
  <si>
    <t>DIAMONDAIR, INC.</t>
  </si>
  <si>
    <t>Geothermal Heat Pumps &lt; 11.25 Tons Closed Loop Tier 1</t>
  </si>
  <si>
    <t>GHP101</t>
  </si>
  <si>
    <t>Geothermal Heat Pumps &lt; 11.25 Tons Closed Loop Split System</t>
  </si>
  <si>
    <t>Integrated control</t>
  </si>
  <si>
    <t>DUCANE</t>
  </si>
  <si>
    <t>Geothermal Heat Pumps &lt; 11.25 Tons Closed Loop Tier 2</t>
  </si>
  <si>
    <t>GHP102</t>
  </si>
  <si>
    <t>Geothermal Heat Pumps &lt; 11.25 Tons Closed Loop Single Package</t>
  </si>
  <si>
    <t>EAIR LLC</t>
  </si>
  <si>
    <t>Geothermal Heat Pumps &lt; 11.25 Tons Open Loop Tier 0</t>
  </si>
  <si>
    <t>GHP200</t>
  </si>
  <si>
    <t>Geothermal Heat Pumps &lt; 11.25 Tons Closed Loop Other</t>
  </si>
  <si>
    <t>ECOTEMP</t>
  </si>
  <si>
    <t>Key:</t>
  </si>
  <si>
    <t>Geothermal Heat Pumps &lt; 11.25 Tons Open Loop Tier 1</t>
  </si>
  <si>
    <t>GHP201</t>
  </si>
  <si>
    <t>Geothermal Heat Pumps &lt; 11.25 Tons Open Loop Room Air Conditioner</t>
  </si>
  <si>
    <t>ELECT-AIRE</t>
  </si>
  <si>
    <t>EER, SEER or IEER</t>
  </si>
  <si>
    <t>Geothermal Heat Pumps &lt; 11.25 Tons Open Loop Tier 2</t>
  </si>
  <si>
    <t>GHP202</t>
  </si>
  <si>
    <t>Geothermal Heat Pumps &lt; 11.25 Tons Open Loop Split System</t>
  </si>
  <si>
    <t>ENVIROMASTER INTERNATIONAL</t>
  </si>
  <si>
    <t>EER only</t>
  </si>
  <si>
    <t>Geothermal Heat Pumps &lt; 11.25 Tons Direct Exchange (DX) Tier 0</t>
  </si>
  <si>
    <t>GHP300</t>
  </si>
  <si>
    <t>Geothermal Heat Pumps &lt; 11.25 Tons Open Loop Single Package</t>
  </si>
  <si>
    <t>EVCON, UNITARY PRODUCTS GROUP</t>
  </si>
  <si>
    <t>EER, SEER or IEER and COP</t>
  </si>
  <si>
    <t>Geothermal Heat Pumps &lt; 11.25 Tons Direct Exchange (DX) Tier 1</t>
  </si>
  <si>
    <t>GHP301</t>
  </si>
  <si>
    <t>Geothermal Heat Pumps &lt; 11.25 Tons Open Loop Other</t>
  </si>
  <si>
    <t>FRASER - JOHNSTON, UNITARY PRODUCTS GROUP</t>
  </si>
  <si>
    <t>EER, SEER or IEER and HSPF</t>
  </si>
  <si>
    <t>Geothermal Heat Pumps &lt; 11.25 Tons Direct Exchange (DX) Tier 2</t>
  </si>
  <si>
    <t>GHP302</t>
  </si>
  <si>
    <t>Geothermal Heat Pumps &lt; 11.25 Tons Direct Exchange (DX) Room Air Conditioner</t>
  </si>
  <si>
    <t>FRIEDRICH AIR CONDITIONING CO.</t>
  </si>
  <si>
    <t>EER and COP</t>
  </si>
  <si>
    <t>Ductless Mini-Split Heat Pumps &lt; 5.4 Tons All Types Tier 0</t>
  </si>
  <si>
    <t>HP100</t>
  </si>
  <si>
    <t>Geothermal Heat Pumps &lt; 11.25 Tons Direct Exchange (DX) Split System</t>
  </si>
  <si>
    <t>FRIGIDAIRE</t>
  </si>
  <si>
    <t>All</t>
  </si>
  <si>
    <t>Ductless Mini-Split Heat Pumps &lt; 5.4 Tons All Types Tier 1</t>
  </si>
  <si>
    <t>HP101</t>
  </si>
  <si>
    <t>Geothermal Heat Pumps &lt; 11.25 Tons Direct Exchange (DX) Single Package</t>
  </si>
  <si>
    <t>FUJITSU GENERAL AMERICA, INC.</t>
  </si>
  <si>
    <t>Ductless Mini-Split Heat Pumps &lt; 5.4 Tons All Types Tier 2</t>
  </si>
  <si>
    <t>HP102</t>
  </si>
  <si>
    <t>Geothermal Heat Pumps &lt; 11.25 Tons Direct Exchange (DX) Other</t>
  </si>
  <si>
    <t>GARRISON</t>
  </si>
  <si>
    <t>Air Cooled Heat Pumps &lt; 5.4 Tons Split System Tier 1</t>
  </si>
  <si>
    <t>HP211</t>
  </si>
  <si>
    <t>GD MIDEA AIR-CONDITIONING EQUIPMENT CO., LTD.</t>
  </si>
  <si>
    <t>Air Cooled Heat Pumps &lt; 5.4 Tons Split System Tier 2</t>
  </si>
  <si>
    <t>HP212</t>
  </si>
  <si>
    <t>GE CONSUMER &amp; INDUSTRIAL</t>
  </si>
  <si>
    <t>Air Cooled Heat Pumps &lt; 5.4 Tons Single Package Tier 1</t>
  </si>
  <si>
    <t>HP221</t>
  </si>
  <si>
    <t>GIBSON</t>
  </si>
  <si>
    <t>Air Cooled Heat Pumps &lt; 5.4 Tons Single Package Tier 2</t>
  </si>
  <si>
    <t>HP222</t>
  </si>
  <si>
    <t>GOODMAN MANUFACTURING CO., LP.</t>
  </si>
  <si>
    <t>Air Cooled Heat Pumps ≥ 5.4 &amp; &lt; 11.25 tons Split System Tier 1</t>
  </si>
  <si>
    <t>HP311</t>
  </si>
  <si>
    <t>GRANDAIRE</t>
  </si>
  <si>
    <t>Air Cooled Heat Pumps ≥ 5.4 &amp; &lt; 11.25 tons Single Package Tier 1</t>
  </si>
  <si>
    <t>HP321</t>
  </si>
  <si>
    <t>GREE ELECTRIC APPLIANCES INC. OF ZHUHAI</t>
  </si>
  <si>
    <t>Air Cooled Heat Pumps ≥ 11.25 &amp; &lt; 20 Tons Split System Tier 1</t>
  </si>
  <si>
    <t>HP411</t>
  </si>
  <si>
    <t>* ($/Ton)</t>
  </si>
  <si>
    <t>GUANGDONG CHIGO AIR-CONDITIONING CO., LTD.</t>
  </si>
  <si>
    <t>Air Cooled Heat Pumps ≥ 11.25 &amp; &lt; 20 Tons Single Package Tier 1</t>
  </si>
  <si>
    <t>HP421</t>
  </si>
  <si>
    <t>GUARDIAN, UNITARY PRODUCTS GROUP</t>
  </si>
  <si>
    <t>Air Cooled Heat Pumps ≥ 20 &amp; &lt; 63 Tons Split System Tier 1</t>
  </si>
  <si>
    <t>HP511</t>
  </si>
  <si>
    <t>HAIER AMERICA</t>
  </si>
  <si>
    <t>Air Cooled Heat Pumps ≥ 20 &amp; &lt; 63 Tons Single Package Tier 1</t>
  </si>
  <si>
    <t>HP521</t>
  </si>
  <si>
    <t>HEAT CONTROLLER, INC.</t>
  </si>
  <si>
    <t>Water Source Heat Pumps &lt; 11.25 Tons All Types Tier 1</t>
  </si>
  <si>
    <t>HP601</t>
  </si>
  <si>
    <t>HEIL</t>
  </si>
  <si>
    <t>Packaged Terminal Heat Pumps &lt; 0.75 Tons All Types Tier 1</t>
  </si>
  <si>
    <t>PTHP101</t>
  </si>
  <si>
    <t>ICP COMMERCIAL</t>
  </si>
  <si>
    <t>Packaged Terminal Heat Pumps ≥ 0.75 Tons &amp; &lt; 1 Ton All Types Tier 1</t>
  </si>
  <si>
    <t>PTHP201</t>
  </si>
  <si>
    <t>INNOVAIR CORPORATION</t>
  </si>
  <si>
    <t>Packaged Terminal Heat Pumps ≥ 1 Tons All Types Tier 1</t>
  </si>
  <si>
    <t>PTHP301</t>
  </si>
  <si>
    <t>INTERNATIONAL REFRIGERATION PRODUCTS, INC.</t>
  </si>
  <si>
    <t>VRF Air Cooled Heat Pumps &lt; 5.4 Tons Multisplit System Tier 1</t>
  </si>
  <si>
    <t>VHP211</t>
  </si>
  <si>
    <t>INTERTHERM</t>
  </si>
  <si>
    <t>VRF Air Cooled Heat Pumps &lt; 5.4 Tons Multisplit System Tier 2</t>
  </si>
  <si>
    <t>VHP212</t>
  </si>
  <si>
    <t>JOHNSON CONTROLS, UNITARY PRODUCTS - COMMERCIAL</t>
  </si>
  <si>
    <t>VRF Air Cooled Heat Pumps ≥ 5.4 &amp; &lt; 11.25 Tons Multisplit System Tier 1</t>
  </si>
  <si>
    <t>VHP311</t>
  </si>
  <si>
    <t>KEEPRITE</t>
  </si>
  <si>
    <t>VRF Air Cooled Heat Pumps ≥ 11.25 &amp; &lt; 20 Tons Multisplit System Tier 1</t>
  </si>
  <si>
    <t>VHP321</t>
  </si>
  <si>
    <t>KELVINATOR</t>
  </si>
  <si>
    <t>VRF Air Cooled Heat Pumps ≥ 20 Tons Multisplit System Tier 1</t>
  </si>
  <si>
    <t>VHP411</t>
  </si>
  <si>
    <t>KENMORE</t>
  </si>
  <si>
    <t>VRF Water Source Heat Pumps &lt; 11.25 Tons Multisplit System Tier 1</t>
  </si>
  <si>
    <t>VHP421</t>
  </si>
  <si>
    <t>KLIMAIRE PRODUCTS INC.</t>
  </si>
  <si>
    <t xml:space="preserve">Ductless Mini-Split Cold Climate Heat Pumps All Sizes All Types </t>
  </si>
  <si>
    <t>CCHP101</t>
  </si>
  <si>
    <t>LENNOX INDUSTRIES, INC.</t>
  </si>
  <si>
    <t>Ductless Mini-Split Cold Climate Heat Pumps All Sizes All Types New Construction</t>
  </si>
  <si>
    <t>CCHP101-NC</t>
  </si>
  <si>
    <t>LG ELECTRONICS, INC.</t>
  </si>
  <si>
    <t>Ductless Mini-Split Cold Climate Heat Pumps All Sizes All Types Existing Oil NO CAC</t>
  </si>
  <si>
    <t>CCHP101-OC</t>
  </si>
  <si>
    <t>LUXAIRE, UNITARY PRODUCTS GROUP</t>
  </si>
  <si>
    <t>Ductless Mini-Split Cold Climate Heat Pumps All Sizes All Types All Other</t>
  </si>
  <si>
    <t>CCHP101-AO</t>
  </si>
  <si>
    <t>MAMMOTH, INC.</t>
  </si>
  <si>
    <t xml:space="preserve">Cold Climate Air Source Heat Pumps All Sizes All Types </t>
  </si>
  <si>
    <t>CCHP211</t>
  </si>
  <si>
    <t>MARATHERM</t>
  </si>
  <si>
    <t>Cold Climate Air Source Heat Pumps All Sizes All Types New Construction</t>
  </si>
  <si>
    <t>CCHP211-NC</t>
  </si>
  <si>
    <t>MAYTAG</t>
  </si>
  <si>
    <t>Cold Climate Air Source Heat Pumps All Sizes All Types Existing Oil No CAC</t>
  </si>
  <si>
    <t>CCHP211-OC</t>
  </si>
  <si>
    <t>MCQUAY INTERNATIONAL</t>
  </si>
  <si>
    <t>Cold Climate Air Source Heat Pumps All Sizes All Types All Other</t>
  </si>
  <si>
    <t>CCHP211-AO</t>
  </si>
  <si>
    <t>MEDALLION</t>
  </si>
  <si>
    <t>CEP402</t>
  </si>
  <si>
    <t>MILLER</t>
  </si>
  <si>
    <t>MITSUBISHI ELECTRIC AND ELECTRONICS USA, INC.</t>
  </si>
  <si>
    <t>NATIONAL COMFORT PRODUCTS</t>
  </si>
  <si>
    <t>NORDYNE, INC.</t>
  </si>
  <si>
    <t>NUTONE</t>
  </si>
  <si>
    <t>PANASONIC CORPORATION OF NORTH AMERICA</t>
  </si>
  <si>
    <t>PAYNE HEATING AND COOLING</t>
  </si>
  <si>
    <t>PETRA ENGINEERING INDUSTRIES CO.</t>
  </si>
  <si>
    <t>PHILCO</t>
  </si>
  <si>
    <t>QUIETSIDE</t>
  </si>
  <si>
    <t>RHEEM MANUFACTURING COMPANY</t>
  </si>
  <si>
    <t>RICHMOND</t>
  </si>
  <si>
    <t>RUUD AIR CONDITIONING DIVISION</t>
  </si>
  <si>
    <t>SANYO COMMERCIAL SOLUTIONS</t>
  </si>
  <si>
    <t>TAPPAN</t>
  </si>
  <si>
    <t>TEMPSTAR</t>
  </si>
  <si>
    <t>TEXAS FURNACE, LLC</t>
  </si>
  <si>
    <t>THERMO PRODUCTS, INC.</t>
  </si>
  <si>
    <t>TRANE</t>
  </si>
  <si>
    <t>UNITED REFRIGERATION DISTRIBUTORS, INC.</t>
  </si>
  <si>
    <t>V-AIRE</t>
  </si>
  <si>
    <t>WEATHERKING AIR CONDITIONING DIVISION</t>
  </si>
  <si>
    <t>WESTINGHOUSE</t>
  </si>
  <si>
    <t>WHIRLPOOL</t>
  </si>
  <si>
    <t>XENON</t>
  </si>
  <si>
    <t>YMGI GROUP LLC.</t>
  </si>
  <si>
    <t>YORK, UNITARY PRODUCTS GROUP</t>
  </si>
  <si>
    <t>OTHER</t>
  </si>
  <si>
    <t>Line Loss kWh</t>
  </si>
  <si>
    <t>In-Servce Rate</t>
  </si>
  <si>
    <t>Existing Heat</t>
  </si>
  <si>
    <t>Existing Gas</t>
  </si>
  <si>
    <t>Existing Oil</t>
  </si>
  <si>
    <t>Existing Propane</t>
  </si>
  <si>
    <t>Existing Electric</t>
  </si>
  <si>
    <t>NA</t>
  </si>
  <si>
    <t>5.6.20</t>
  </si>
  <si>
    <t>Comman HVAC Ref Tab: Moved HVAC References tab from CEP Master Internal V1.2 to this tab</t>
  </si>
  <si>
    <t>Draft17</t>
  </si>
  <si>
    <t>Common HVAC Elig Tab: Finished rest of HVAC Eligibility tab</t>
  </si>
  <si>
    <t>New Unit</t>
  </si>
  <si>
    <t>Installed Cost</t>
  </si>
  <si>
    <t>Existing Unit</t>
  </si>
  <si>
    <t>Size (tons)</t>
  </si>
  <si>
    <t>Quantity</t>
  </si>
  <si>
    <t>SEER/IEER</t>
  </si>
  <si>
    <t>Labor Per Unit</t>
  </si>
  <si>
    <t>Total Per Unit</t>
  </si>
  <si>
    <t>Cooling Equipment
(required)</t>
  </si>
  <si>
    <t>SEER/IEER/IPLV 
(if available)</t>
  </si>
  <si>
    <t>Equipment Status</t>
  </si>
  <si>
    <t>Total Rebate</t>
  </si>
  <si>
    <t>Project Summary</t>
  </si>
  <si>
    <t>Total kW Savings:</t>
  </si>
  <si>
    <t>Total kWh Savings:</t>
  </si>
  <si>
    <t>Total MMBTU Savings:</t>
  </si>
  <si>
    <t>Total Calculated Rebate :</t>
  </si>
  <si>
    <t>Total Estimated Rebate:</t>
  </si>
  <si>
    <t>Ex.</t>
  </si>
  <si>
    <t>Trane</t>
  </si>
  <si>
    <t>YHC024</t>
  </si>
  <si>
    <t>Common Area Heating and Cooling</t>
  </si>
  <si>
    <t>Instructions</t>
  </si>
  <si>
    <t>No</t>
  </si>
  <si>
    <t>Fast Track &amp; Outdoor Lighting</t>
  </si>
  <si>
    <t>Worksheet Sections</t>
  </si>
  <si>
    <t>X900</t>
  </si>
  <si>
    <t>X900-P</t>
  </si>
  <si>
    <t>X901</t>
  </si>
  <si>
    <t>X901-P</t>
  </si>
  <si>
    <t>X910</t>
  </si>
  <si>
    <t>X910-P</t>
  </si>
  <si>
    <t>X911</t>
  </si>
  <si>
    <t>X911-P</t>
  </si>
  <si>
    <t>X912</t>
  </si>
  <si>
    <t>X913</t>
  </si>
  <si>
    <t>X914</t>
  </si>
  <si>
    <t>X914-P</t>
  </si>
  <si>
    <t>X915</t>
  </si>
  <si>
    <t>X915-P</t>
  </si>
  <si>
    <t>X920</t>
  </si>
  <si>
    <t>X920-P</t>
  </si>
  <si>
    <t>X921</t>
  </si>
  <si>
    <t>X921-P</t>
  </si>
  <si>
    <t>X922</t>
  </si>
  <si>
    <t>X923</t>
  </si>
  <si>
    <t>X924</t>
  </si>
  <si>
    <t>X924-P</t>
  </si>
  <si>
    <t>X925</t>
  </si>
  <si>
    <t>X925-P</t>
  </si>
  <si>
    <t>X930</t>
  </si>
  <si>
    <t>X930-P</t>
  </si>
  <si>
    <t>X931</t>
  </si>
  <si>
    <t>X931-P</t>
  </si>
  <si>
    <t>X932</t>
  </si>
  <si>
    <t>X933</t>
  </si>
  <si>
    <t>X934</t>
  </si>
  <si>
    <t>X934-P</t>
  </si>
  <si>
    <t>X935</t>
  </si>
  <si>
    <t>X935-P</t>
  </si>
  <si>
    <t>X940</t>
  </si>
  <si>
    <t>X945</t>
  </si>
  <si>
    <t>LR100</t>
  </si>
  <si>
    <t>LR100-P</t>
  </si>
  <si>
    <t>LR410</t>
  </si>
  <si>
    <t>LR600</t>
  </si>
  <si>
    <t>LR610</t>
  </si>
  <si>
    <t>LR620</t>
  </si>
  <si>
    <t>LR700</t>
  </si>
  <si>
    <t>LR700-P</t>
  </si>
  <si>
    <t>LR710</t>
  </si>
  <si>
    <t>LR710-P</t>
  </si>
  <si>
    <t>LR720</t>
  </si>
  <si>
    <t>LR720-P</t>
  </si>
  <si>
    <t>LR732</t>
  </si>
  <si>
    <t>LR732-P</t>
  </si>
  <si>
    <t>LR734</t>
  </si>
  <si>
    <t>LR734-P</t>
  </si>
  <si>
    <t>LR742</t>
  </si>
  <si>
    <t>LR744</t>
  </si>
  <si>
    <t>LR750</t>
  </si>
  <si>
    <t>LR750-P</t>
  </si>
  <si>
    <t>LR760</t>
  </si>
  <si>
    <t>LR760-P</t>
  </si>
  <si>
    <t>LR810</t>
  </si>
  <si>
    <t>LR810-P</t>
  </si>
  <si>
    <t>LR820</t>
  </si>
  <si>
    <t>LR820-P</t>
  </si>
  <si>
    <t>RC101</t>
  </si>
  <si>
    <t>RC101-P</t>
  </si>
  <si>
    <t>LRC100</t>
  </si>
  <si>
    <t>LRC200</t>
  </si>
  <si>
    <t>LRC300</t>
  </si>
  <si>
    <t>LRC400</t>
  </si>
  <si>
    <t>LRC600</t>
  </si>
  <si>
    <t>LRC700</t>
  </si>
  <si>
    <t>SSLR100</t>
  </si>
  <si>
    <t>SSLR100-P</t>
  </si>
  <si>
    <t>SSLR410</t>
  </si>
  <si>
    <t>SSLR600</t>
  </si>
  <si>
    <t>SSLR610</t>
  </si>
  <si>
    <t>SSLR620</t>
  </si>
  <si>
    <t>SSLR700</t>
  </si>
  <si>
    <t>SSLR700-P</t>
  </si>
  <si>
    <t>SSLR710</t>
  </si>
  <si>
    <t>SSLR710-P</t>
  </si>
  <si>
    <t>SSLR720</t>
  </si>
  <si>
    <t>SSLR720-P</t>
  </si>
  <si>
    <t>SSLR732</t>
  </si>
  <si>
    <t>SSLR732-P</t>
  </si>
  <si>
    <t>SSLR734</t>
  </si>
  <si>
    <t>SSLR734-P</t>
  </si>
  <si>
    <t>SSLR742</t>
  </si>
  <si>
    <t>SSLR744</t>
  </si>
  <si>
    <t>SSLR750</t>
  </si>
  <si>
    <t>SSLR750-P</t>
  </si>
  <si>
    <t>SSLR760</t>
  </si>
  <si>
    <t>SSLR760-P</t>
  </si>
  <si>
    <t>SSLR810</t>
  </si>
  <si>
    <t>SSLR810-P</t>
  </si>
  <si>
    <t>SSLR820</t>
  </si>
  <si>
    <t>SSLR820-P</t>
  </si>
  <si>
    <t>SSLRC100</t>
  </si>
  <si>
    <t>SSLRC200</t>
  </si>
  <si>
    <t>SSLRC300</t>
  </si>
  <si>
    <t>SSLRC400</t>
  </si>
  <si>
    <t>SSLRC700</t>
  </si>
  <si>
    <t>Measure Description</t>
  </si>
  <si>
    <t>PBL1000</t>
  </si>
  <si>
    <t>LED Interior Parking Garage Lighting Fixtures</t>
  </si>
  <si>
    <t>PBL4100</t>
  </si>
  <si>
    <t>LED Lamps</t>
  </si>
  <si>
    <t>PBL6000</t>
  </si>
  <si>
    <t>LED Downlight Fixtures</t>
  </si>
  <si>
    <t>PBL6200</t>
  </si>
  <si>
    <t>LED Downlight Retrofit Kits</t>
  </si>
  <si>
    <t>PBL7000</t>
  </si>
  <si>
    <t>LED Ambient Fixtures/Panels</t>
  </si>
  <si>
    <t>PBL7400</t>
  </si>
  <si>
    <t xml:space="preserve">LED Linear Replacement Tubes </t>
  </si>
  <si>
    <t>PBL7500</t>
  </si>
  <si>
    <t>LED Retrofit Kits</t>
  </si>
  <si>
    <t>PBL8100</t>
  </si>
  <si>
    <t>LED High Bay/Low Bay Fixtures</t>
  </si>
  <si>
    <t>L100</t>
  </si>
  <si>
    <t>L100-P</t>
  </si>
  <si>
    <t>L410</t>
  </si>
  <si>
    <t>L600</t>
  </si>
  <si>
    <t>L610</t>
  </si>
  <si>
    <t>L620</t>
  </si>
  <si>
    <t>L700</t>
  </si>
  <si>
    <t>L700-P</t>
  </si>
  <si>
    <t>L710</t>
  </si>
  <si>
    <t>L710-P</t>
  </si>
  <si>
    <t>L720</t>
  </si>
  <si>
    <t>L720-P</t>
  </si>
  <si>
    <t>L732</t>
  </si>
  <si>
    <t>L732-P</t>
  </si>
  <si>
    <t>L734</t>
  </si>
  <si>
    <t>L734-P</t>
  </si>
  <si>
    <t>L742</t>
  </si>
  <si>
    <t>L744</t>
  </si>
  <si>
    <t>L750</t>
  </si>
  <si>
    <t>L750-P</t>
  </si>
  <si>
    <t>L760</t>
  </si>
  <si>
    <t>L760-P</t>
  </si>
  <si>
    <t>L810</t>
  </si>
  <si>
    <t>L810-P</t>
  </si>
  <si>
    <t>L820</t>
  </si>
  <si>
    <t>L820-P</t>
  </si>
  <si>
    <t>R101</t>
  </si>
  <si>
    <t>R101-P</t>
  </si>
  <si>
    <t>SPBL1000</t>
  </si>
  <si>
    <t>SPBL4100</t>
  </si>
  <si>
    <t>SPBL6000</t>
  </si>
  <si>
    <t>SPBL6200</t>
  </si>
  <si>
    <t>SPBL7000</t>
  </si>
  <si>
    <t>SPBL7400</t>
  </si>
  <si>
    <t>SPBL7500</t>
  </si>
  <si>
    <t>SPBL8100</t>
  </si>
  <si>
    <t>SSL100</t>
  </si>
  <si>
    <t>SSL100-P</t>
  </si>
  <si>
    <t>SSL410</t>
  </si>
  <si>
    <t>SSL600</t>
  </si>
  <si>
    <t>SSL610</t>
  </si>
  <si>
    <t>SSL620</t>
  </si>
  <si>
    <t>SSL700</t>
  </si>
  <si>
    <t>SSL700-P</t>
  </si>
  <si>
    <t>SSL710</t>
  </si>
  <si>
    <t>SSL710-P</t>
  </si>
  <si>
    <t>SSL720</t>
  </si>
  <si>
    <t>SSL720-P</t>
  </si>
  <si>
    <t>SSL732</t>
  </si>
  <si>
    <t>SSL732-P</t>
  </si>
  <si>
    <t>SSL734</t>
  </si>
  <si>
    <t>SSL734-P</t>
  </si>
  <si>
    <t>SSL742</t>
  </si>
  <si>
    <t>SSL744</t>
  </si>
  <si>
    <t>SSL750</t>
  </si>
  <si>
    <t>SSL750-P</t>
  </si>
  <si>
    <t>SSL760</t>
  </si>
  <si>
    <t>SSL760-P</t>
  </si>
  <si>
    <t>SSL810</t>
  </si>
  <si>
    <t>SSL810-P</t>
  </si>
  <si>
    <t>SSL820</t>
  </si>
  <si>
    <t>SSL820-P</t>
  </si>
  <si>
    <t>L510</t>
  </si>
  <si>
    <t>Measure Code Categories - Proposed</t>
  </si>
  <si>
    <t>PBR1010</t>
  </si>
  <si>
    <t>L300</t>
  </si>
  <si>
    <t>L500</t>
  </si>
  <si>
    <t>M100</t>
  </si>
  <si>
    <t>M200</t>
  </si>
  <si>
    <t>M300</t>
  </si>
  <si>
    <t>SSL300</t>
  </si>
  <si>
    <t>Refrigerated Case Lighting</t>
  </si>
  <si>
    <t>LED Parking Garage</t>
  </si>
  <si>
    <t>LED Track Lighting</t>
  </si>
  <si>
    <t>LED Exit</t>
  </si>
  <si>
    <t>LED Recessed Downlights &lt; 1000 Lumens</t>
  </si>
  <si>
    <t>LED Recessed Downlights &gt;= 1000 Lumens</t>
  </si>
  <si>
    <t>Retrofit Kits</t>
  </si>
  <si>
    <t>LED 1x4 Linear Panel</t>
  </si>
  <si>
    <t>LED 2x4 Linear Panel</t>
  </si>
  <si>
    <t>LED 2x2 Linear Panel</t>
  </si>
  <si>
    <t>2' Linear Ambient Luminaires</t>
  </si>
  <si>
    <t>4' Linear Ambient Luminaires</t>
  </si>
  <si>
    <t>LED Two Foot Linear Replacements</t>
  </si>
  <si>
    <t>LED Four Foot Linear Replacements</t>
  </si>
  <si>
    <t>LED Retrofit Kits for 2x2 Luminaires</t>
  </si>
  <si>
    <t>LED Retrofit Kits for 2x4 Luminaires</t>
  </si>
  <si>
    <t xml:space="preserve">LED Low Bay Fixtures </t>
  </si>
  <si>
    <t xml:space="preserve">LED High Bay Fixtures </t>
  </si>
  <si>
    <t>Ceramic MH - Integrated</t>
  </si>
  <si>
    <t>Ceramic MH - Remote</t>
  </si>
  <si>
    <t>CDM Lamps</t>
  </si>
  <si>
    <t>LED Mounted Downlights &lt; 1000 Lumens</t>
  </si>
  <si>
    <t>LED Mounted Downlights &gt;= 1000 Lumens</t>
  </si>
  <si>
    <t>Existing Fast Track &amp; Outdoor Equipment</t>
  </si>
  <si>
    <t>LR410 &amp; LR620</t>
  </si>
  <si>
    <t>LR732 &amp; 34</t>
  </si>
  <si>
    <t>LR710 &amp; LR720</t>
  </si>
  <si>
    <t>LR600 &amp; LR610</t>
  </si>
  <si>
    <t>Exterior Lighting</t>
  </si>
  <si>
    <t>LR100, 810 &amp; 820</t>
  </si>
  <si>
    <t>CFL</t>
  </si>
  <si>
    <t>T8</t>
  </si>
  <si>
    <t>T5</t>
  </si>
  <si>
    <t>Incandescent</t>
  </si>
  <si>
    <t>MH</t>
  </si>
  <si>
    <t>Biax</t>
  </si>
  <si>
    <t>New Install</t>
  </si>
  <si>
    <t>Halogen</t>
  </si>
  <si>
    <t>T12</t>
  </si>
  <si>
    <t>HPS</t>
  </si>
  <si>
    <t>Standard</t>
  </si>
  <si>
    <t>Premium</t>
  </si>
  <si>
    <t>FLH</t>
  </si>
  <si>
    <t>Bakery</t>
  </si>
  <si>
    <t>Commercial Condos</t>
  </si>
  <si>
    <t>Convenience Stores</t>
  </si>
  <si>
    <t>Convention Center</t>
  </si>
  <si>
    <t>Court House</t>
  </si>
  <si>
    <t>Entertainment</t>
  </si>
  <si>
    <t>Exercise Center</t>
  </si>
  <si>
    <t>Fast Food Restaurants</t>
  </si>
  <si>
    <t>Fire Station (Unmanned)</t>
  </si>
  <si>
    <t>Gymnasium</t>
  </si>
  <si>
    <t>Hospitals</t>
  </si>
  <si>
    <t>Industrial - 1 Shift</t>
  </si>
  <si>
    <t>Industrial - 3 Shift</t>
  </si>
  <si>
    <t>Laundromats</t>
  </si>
  <si>
    <t>Library</t>
  </si>
  <si>
    <t>Motion Picture Theatre</t>
  </si>
  <si>
    <t>Museum</t>
  </si>
  <si>
    <t>Nursing Homes</t>
  </si>
  <si>
    <t>Penitentiary</t>
  </si>
  <si>
    <t>Performing Arts Theatre</t>
  </si>
  <si>
    <t>Police / Fire Stations (24 Hr)</t>
  </si>
  <si>
    <t>Post Office</t>
  </si>
  <si>
    <t>Pump Stations</t>
  </si>
  <si>
    <t>Refrigerated Warehouse</t>
  </si>
  <si>
    <t>Religious Building</t>
  </si>
  <si>
    <t>Retail</t>
  </si>
  <si>
    <t>Small Services</t>
  </si>
  <si>
    <t>Sports Arena</t>
  </si>
  <si>
    <t>Transportation</t>
  </si>
  <si>
    <t>Waste Water Treatment Plant</t>
  </si>
  <si>
    <t>Workshop</t>
  </si>
  <si>
    <t>X901 &amp; X901-P - LED Architectural Flood and Spot Fixtures - High - $165 each</t>
  </si>
  <si>
    <t>X910 &amp; X910-P - LED Area Lighting Fixtures - Low, Mid  - $100 each</t>
  </si>
  <si>
    <t>X911 &amp; X911-P - LED Area Lighting Fixtures - High, Very High - $200 each</t>
  </si>
  <si>
    <t>X912 - LED Area Lighting Replacement Lamps, Types B&amp;C - Low, Mid - $60 each</t>
  </si>
  <si>
    <t>X913 - LED Area Lighting Replacement Lamps, Types B&amp;C - High, Very High  - $130 each</t>
  </si>
  <si>
    <t>X914 &amp; X914-P - LED Area Lighting Retrofit Kits - Low, Mid  - $80 each</t>
  </si>
  <si>
    <t>X915 &amp; X915-P - LED Area Lighting Retrofit Kits - High, Very High - $170 each</t>
  </si>
  <si>
    <t>X920 &amp; X920-P - LED Wall Mounted Full-Cutoff, Fixtures - Low, Mid  - $60 each</t>
  </si>
  <si>
    <t>X921 &amp; X921-P - LED Wall Mounted Full-Cutoff, Fixtures - High, Very High - $160 each</t>
  </si>
  <si>
    <t>X922 - LED Wall Mounted Full-Cutoff, Replacement Lamps - Low, Mid  - $50 each</t>
  </si>
  <si>
    <t>X923 - LED Wall Mounted Full-Cutoff, Replacement Lamps - High, Very High  - $100 each</t>
  </si>
  <si>
    <t>X924 &amp; X924-P - LED Wall Mounted Full-Cutoff, Retrofit Kits - Low, Mid  - $80 each</t>
  </si>
  <si>
    <t>X925 &amp; X925-P - LED Wall Mounted Full-Cutoff, Retrofit Kits - High, Very High - $170 each</t>
  </si>
  <si>
    <t>X930 &amp; X930-P - LED Decorative Fixtures - Low, Mid - $90 each</t>
  </si>
  <si>
    <t>X931 &amp; X931-P - LED Decorative Fixtures - High, Very High  - $180 each</t>
  </si>
  <si>
    <t>X932 - LED Decorative Replacement Lamps - Low, Mid  - $60 each</t>
  </si>
  <si>
    <t>X933 - LED Decorative Replacement Lamps - High, Very High - $130 each</t>
  </si>
  <si>
    <t>X934 &amp; X934-P - LED Decorative Retrofit Kits - Low, Mid  - $80 each</t>
  </si>
  <si>
    <t>X935 &amp; X935-P - LED Decorative Retrofit Kits - High, Very High  - $170 each</t>
  </si>
  <si>
    <t>X940 - LED Vapor Tight Replacement Tubes - $5 each</t>
  </si>
  <si>
    <t>X945 - LED Downlight Fixtures - $35 each</t>
  </si>
  <si>
    <t>Office</t>
  </si>
  <si>
    <t>Restaurant</t>
  </si>
  <si>
    <t>Grocery</t>
  </si>
  <si>
    <t>School</t>
  </si>
  <si>
    <t>College</t>
  </si>
  <si>
    <t>Health</t>
  </si>
  <si>
    <t>Hotels/Motels</t>
  </si>
  <si>
    <t>Manufacturing</t>
  </si>
  <si>
    <t>Other/Miscellaneous</t>
  </si>
  <si>
    <t>Emmision Factor</t>
  </si>
  <si>
    <t>(lb CO2 / Unit)</t>
  </si>
  <si>
    <t>conversion factor</t>
  </si>
  <si>
    <t>Common Lighting Ref Tab: Moved Lighting ReferencesTav from Master Internal V1.2 to this tab</t>
  </si>
  <si>
    <t>Draft18</t>
  </si>
  <si>
    <t>5.7.20</t>
  </si>
  <si>
    <t>5.8.20</t>
  </si>
  <si>
    <t>Commin Lighting Ref Tab: QC-ed tab versus Master Internal - Added in the new CPL Sensor measure codes as needed</t>
  </si>
  <si>
    <t>Draft19</t>
  </si>
  <si>
    <t>Retrofit Kits for 2X2 Luminaires - $30 each</t>
  </si>
  <si>
    <t>Common Area Lighting Tab: Added Data Validation - Drop Downs- to Existing Lighting and DLC Rating for all FT and OL Measures</t>
  </si>
  <si>
    <t>Common HVAC Tab: Started adding data validation drop-downs; left off at Sub-Cateogyr</t>
  </si>
  <si>
    <t>5.12.20</t>
  </si>
  <si>
    <t>Effective Full Load Hours (Multi-Family)</t>
  </si>
  <si>
    <t>High-Rise Full Load Hours Heat</t>
  </si>
  <si>
    <t>Low-Rise Full Load Hours Cool</t>
  </si>
  <si>
    <t>High-Rise Full Load Hours Cool</t>
  </si>
  <si>
    <t>Low-Rise Full Load Hours Heat</t>
  </si>
  <si>
    <t>NYS TRM v7</t>
  </si>
  <si>
    <t xml:space="preserve">Common HVAC Tab: Finished adding data validation drop-downs </t>
  </si>
  <si>
    <t>draft20</t>
  </si>
  <si>
    <t>Cust Info Tab: Added the following to Project Type - "New Construction - High Rise" and "New Construction - Low Rise"</t>
  </si>
  <si>
    <t>Ref Tab: Added EFLH for Cooling and Heating for MF - starting in cell A194 (Includes High Rise and Low Rise Hours)</t>
  </si>
  <si>
    <t>Worksheet Common Lighting Tab: Added Code to the "Indoor Lighting" and "Outdoor Lighting" checkboxes to hide/un-hide rows</t>
  </si>
  <si>
    <t>Cust Info Tab: Changed checkboxes for Partial House and Whole House to Partial Unit and Whole Unit</t>
  </si>
  <si>
    <t>Ref Tab: Cell C22- Changed "Whole House" to "Whole Unit"</t>
  </si>
  <si>
    <t>Cust Info Tab: "Appliances" Checkbox - Added code to hide/unhide tab</t>
  </si>
  <si>
    <t>5.13.20</t>
  </si>
  <si>
    <t>Cust Inf Tab: Addes checkboxes for Common Area Pool and Common Area VFD</t>
  </si>
  <si>
    <t>New Tabs: Add worksheet tabs for Common Pool and Common VFD</t>
  </si>
  <si>
    <t>Appliances Tab: Added fields to each section for "ENERGY STAR Unique ID:</t>
  </si>
  <si>
    <t>Draft 21</t>
  </si>
  <si>
    <t>If the proposed equipment either does not meet the eligibility requirements or is not listed below, the applicant may still be eligible for a Custom Performance Rebate. Please refer to the Custom Performance Rebate Application found on our website. You may also contact a PSEG Long Island representative or the PSEG Long Island Infoline at 1-800-692-2626.</t>
  </si>
  <si>
    <t>VFD - Eligibility Requirements</t>
  </si>
  <si>
    <t>VFDs can not replace existing VFDs</t>
  </si>
  <si>
    <t>Forward curve fans with inlet guide vanes, variable pitch vane axial fans, and code required VFD installations are not eligible for rebate</t>
  </si>
  <si>
    <t>VFDs cannot be operated in manual mode only</t>
  </si>
  <si>
    <t>Motors must operate a minimum of 2,000 hours annually</t>
  </si>
  <si>
    <t xml:space="preserve">VFDs must include a series reactor (inductor choke) in its AC input connections  </t>
  </si>
  <si>
    <t xml:space="preserve">VFDs must control motors rated less than or equal to 200HP </t>
  </si>
  <si>
    <t>A 3% impedance reactor or greater is required, based upon the horsepower rating of the VFD to be installed</t>
  </si>
  <si>
    <t>Application Code</t>
  </si>
  <si>
    <t xml:space="preserve">Drive Application </t>
  </si>
  <si>
    <t>BEF</t>
  </si>
  <si>
    <t>Building Exhaust Fan</t>
  </si>
  <si>
    <t>CTF</t>
  </si>
  <si>
    <t>Cooling Tower Fan</t>
  </si>
  <si>
    <t>CWP</t>
  </si>
  <si>
    <t>Chilled Water Pump</t>
  </si>
  <si>
    <t>RFA</t>
  </si>
  <si>
    <t>HVAC Return Air Fan</t>
  </si>
  <si>
    <t>SFA</t>
  </si>
  <si>
    <t>HVAC Supply Air Fan</t>
  </si>
  <si>
    <t>WHP</t>
  </si>
  <si>
    <t>Water Source HP Circulator</t>
  </si>
  <si>
    <t>HWP</t>
  </si>
  <si>
    <t>Hot Water Pump</t>
  </si>
  <si>
    <t>BFWP</t>
  </si>
  <si>
    <t>Boiler Feed Water Pump</t>
  </si>
  <si>
    <t>BDF</t>
  </si>
  <si>
    <t>Boiler Draft Fan</t>
  </si>
  <si>
    <t>CNWP</t>
  </si>
  <si>
    <t>Condenser Water Pump</t>
  </si>
  <si>
    <t>Baseline Code</t>
  </si>
  <si>
    <t>Baseline Control Type</t>
  </si>
  <si>
    <t>Constant Flow</t>
  </si>
  <si>
    <t>IV</t>
  </si>
  <si>
    <t>Inlet Vane</t>
  </si>
  <si>
    <t>OD</t>
  </si>
  <si>
    <t>Outlet Damper</t>
  </si>
  <si>
    <t>TV</t>
  </si>
  <si>
    <t>Throttle Valve</t>
  </si>
  <si>
    <r>
      <t xml:space="preserve">Worksheet  - </t>
    </r>
    <r>
      <rPr>
        <i/>
        <sz val="11"/>
        <rFont val="Arial Narrow"/>
        <family val="2"/>
      </rPr>
      <t>Fill in the gray shaded areas with project information</t>
    </r>
  </si>
  <si>
    <t>Fan/Pump ID</t>
  </si>
  <si>
    <t>HP Controlled</t>
  </si>
  <si>
    <t>Drive Application</t>
  </si>
  <si>
    <t>Total</t>
  </si>
  <si>
    <t>VFD Tab: Populated VFD tab with inputs from Standard Application</t>
  </si>
  <si>
    <t>Rebate Amount</t>
  </si>
  <si>
    <t>All VFD Types</t>
  </si>
  <si>
    <t>$100/HP</t>
  </si>
  <si>
    <t>Pool Equipment - Eligibility Requirements</t>
  </si>
  <si>
    <t>Heat Pump Pool Heater must have a COP of 5 or more</t>
  </si>
  <si>
    <t>Heat Pump Pool Heaters must be the primary or only Pool Heaters</t>
  </si>
  <si>
    <t>A Solar Pool Cover must be installed with all Outdoor Heat Pump Pool Heaters</t>
  </si>
  <si>
    <t>If applying for a Solar Pool Cover rebate only, existing Heat Pump Pool Heater must be present</t>
  </si>
  <si>
    <t>Heat Pump Pool Heater</t>
  </si>
  <si>
    <t>$30/1,000 Gallons</t>
  </si>
  <si>
    <t>Solar Pool Cover</t>
  </si>
  <si>
    <t>$0.17/Square Foot</t>
  </si>
  <si>
    <t>Pool Information</t>
  </si>
  <si>
    <t>Pool #</t>
  </si>
  <si>
    <t>Gallons</t>
  </si>
  <si>
    <t>Total Number of Pool Heaters*</t>
  </si>
  <si>
    <t>Do all of the HPPHs qualify?</t>
  </si>
  <si>
    <t>Sum of qualified HPPH costs</t>
  </si>
  <si>
    <t>Square Foot of Pool</t>
  </si>
  <si>
    <t>Existing Solar Pool Cover?</t>
  </si>
  <si>
    <t>Installing Solar Cover?</t>
  </si>
  <si>
    <t>Solar Pool Cover Cost</t>
  </si>
  <si>
    <t>Heat Pump Pool Heater Rebate</t>
  </si>
  <si>
    <t>Solar Pool Cover Rebate</t>
  </si>
  <si>
    <t>Pool 1</t>
  </si>
  <si>
    <t>Pool 2</t>
  </si>
  <si>
    <t>Pool 3</t>
  </si>
  <si>
    <t>Pool 4</t>
  </si>
  <si>
    <t>Pool 5</t>
  </si>
  <si>
    <t>Pool 6</t>
  </si>
  <si>
    <t>Pool 7</t>
  </si>
  <si>
    <t>Pool 8</t>
  </si>
  <si>
    <t>Pool 9</t>
  </si>
  <si>
    <t>Pool 10</t>
  </si>
  <si>
    <t>Equipment Information</t>
  </si>
  <si>
    <t>Heat Pump #</t>
  </si>
  <si>
    <t>Existing Pool Heater Fuel</t>
  </si>
  <si>
    <t>Proposed Heat Pump Pool Heater Size (Btu)</t>
  </si>
  <si>
    <t>Proposed COP</t>
  </si>
  <si>
    <t>Pool # 
(From Above)</t>
  </si>
  <si>
    <t xml:space="preserve">Heat Pump Pool Heater Cost </t>
  </si>
  <si>
    <t xml:space="preserve">Pass/Fail </t>
  </si>
  <si>
    <t>HP 1</t>
  </si>
  <si>
    <t>HP 2</t>
  </si>
  <si>
    <t>HP 3</t>
  </si>
  <si>
    <t>HP 4</t>
  </si>
  <si>
    <t>HP 5</t>
  </si>
  <si>
    <t>HP 6</t>
  </si>
  <si>
    <t>HP 7</t>
  </si>
  <si>
    <t xml:space="preserve">HP 8 </t>
  </si>
  <si>
    <t>HP 9</t>
  </si>
  <si>
    <t>HP 10</t>
  </si>
  <si>
    <t>VFD</t>
  </si>
  <si>
    <t>*2009 LIPA Algorithm Siebel Optimal TRM</t>
  </si>
  <si>
    <t>Rated Load Factor</t>
  </si>
  <si>
    <t>Horsepower to kW conversion</t>
  </si>
  <si>
    <t>VFD Baseline Efficiency Table</t>
  </si>
  <si>
    <t>hp</t>
  </si>
  <si>
    <t>baseline efficiency</t>
  </si>
  <si>
    <t>BEF CF</t>
  </si>
  <si>
    <t>Building Exhaust Fan (Constant Flow)</t>
  </si>
  <si>
    <t>Fan</t>
  </si>
  <si>
    <t>VFD-Fans (Uncontrolled)</t>
  </si>
  <si>
    <t>BEF IV</t>
  </si>
  <si>
    <t>Building Exhaust Fan (Inlet Vane)</t>
  </si>
  <si>
    <t>VFD-Fans (Inlet Vane)</t>
  </si>
  <si>
    <t>BEF OD</t>
  </si>
  <si>
    <t>Building Exhaust Fan (Outlet Damper)</t>
  </si>
  <si>
    <t>VFD-Fans (Outlet Damper)</t>
  </si>
  <si>
    <t>CTF CF</t>
  </si>
  <si>
    <t>Cooling Tower Fan (Constant Flow)</t>
  </si>
  <si>
    <t>CTF IV</t>
  </si>
  <si>
    <t>Cooling Tower Fan (Inlet Vane)</t>
  </si>
  <si>
    <t>CTF OD</t>
  </si>
  <si>
    <t>Cooling Tower Fan (Outlet Damper)</t>
  </si>
  <si>
    <t>CWP CF</t>
  </si>
  <si>
    <t>Chilled/Condenser Water Pump (Constant Flow)</t>
  </si>
  <si>
    <t>Pump</t>
  </si>
  <si>
    <t>VFD-Cooling Pumps (Uncontrolled)</t>
  </si>
  <si>
    <t>CWP TV</t>
  </si>
  <si>
    <t>Chilled/Condenser Water Pump (Throttle Valve)</t>
  </si>
  <si>
    <t>VFD-Cooling Pumps (Throttle Valve)</t>
  </si>
  <si>
    <t>RFA CF</t>
  </si>
  <si>
    <t>HVAC Return Air Fan (Constant Flow)</t>
  </si>
  <si>
    <t>RFA IV</t>
  </si>
  <si>
    <t>HVAC Return Air Fan (Inlet Vane)</t>
  </si>
  <si>
    <t>RFA OD</t>
  </si>
  <si>
    <t>HVAC Return Air Fan (Outlet Damper)</t>
  </si>
  <si>
    <t>SFA CF</t>
  </si>
  <si>
    <t>HVAC Supply Air Fan (Constant Flow)</t>
  </si>
  <si>
    <t>SFA IV</t>
  </si>
  <si>
    <t>HVAC Supply Air Fan (Inlet Vane)</t>
  </si>
  <si>
    <t>SFA OD</t>
  </si>
  <si>
    <t>HVAC Supply Air Fan (Outlet Damper)</t>
  </si>
  <si>
    <t>WHP CF</t>
  </si>
  <si>
    <t>Water Source HP Circulator Pump (Constant Flow)</t>
  </si>
  <si>
    <t>WHP TV</t>
  </si>
  <si>
    <t>Water Source HP Circulator Pump (Throttle Valve)</t>
  </si>
  <si>
    <t>HWP CF</t>
  </si>
  <si>
    <t>Hot Water Pump (Constant Flow)</t>
  </si>
  <si>
    <t>HWP TV</t>
  </si>
  <si>
    <t>Hot Water Pump (Throttle Valve)</t>
  </si>
  <si>
    <t>BFWP CF</t>
  </si>
  <si>
    <t>Boiler Feed Water Pump (Constant Flow)</t>
  </si>
  <si>
    <t>BFWP TV</t>
  </si>
  <si>
    <t>Boiler Feed Water Pump (Throttle Valve)</t>
  </si>
  <si>
    <t>BDF CF</t>
  </si>
  <si>
    <t>Boiler Draft Fan (Constant Flow)</t>
  </si>
  <si>
    <t>BDF IV</t>
  </si>
  <si>
    <t>Boiler Draft Fan (Inlet Vane)</t>
  </si>
  <si>
    <t>BDF OD</t>
  </si>
  <si>
    <t>Boiler Draft Fan (Outlet Damper)</t>
  </si>
  <si>
    <t>CNWP CF</t>
  </si>
  <si>
    <t>Condenser Water Pump (Constant Flow)</t>
  </si>
  <si>
    <t>CNWP TV</t>
  </si>
  <si>
    <t>Condenser Water Pump (Throttle Valve)</t>
  </si>
  <si>
    <t>VFD - 2020</t>
  </si>
  <si>
    <t>NYS TRM v7- NYC values</t>
  </si>
  <si>
    <t>kWh/hp</t>
  </si>
  <si>
    <t>Hotel/Motel</t>
  </si>
  <si>
    <t>Gorcery</t>
  </si>
  <si>
    <t>Rebate per HP</t>
  </si>
  <si>
    <t>kW/hp</t>
  </si>
  <si>
    <t>Ref Tab: Added VFD information to References Tab (starting in cell BO1)</t>
  </si>
  <si>
    <t>hours*</t>
  </si>
  <si>
    <t>kW savings %</t>
  </si>
  <si>
    <t>kWh savings %</t>
  </si>
  <si>
    <t>Pool Equipment</t>
  </si>
  <si>
    <t>Please see Pool Cover Heater Calculations REV 12 for assumptions reasonings explanations and sources</t>
  </si>
  <si>
    <t>Replaced Fuels</t>
  </si>
  <si>
    <t>Incoming City Water Temperature</t>
  </si>
  <si>
    <t>Lowest Ambient Temperature</t>
  </si>
  <si>
    <t>Average Ambient Temperature</t>
  </si>
  <si>
    <t>Design Temperature</t>
  </si>
  <si>
    <t>Pool Operation Hours</t>
  </si>
  <si>
    <t>Cover Operation Hours</t>
  </si>
  <si>
    <t>Saturation Vapor Pressure (Pw @ 78⁰) (in HG)</t>
  </si>
  <si>
    <t>Partial Vapor Pressure at Dew Point (Pa) (in HG)</t>
  </si>
  <si>
    <t>Indoor</t>
  </si>
  <si>
    <t>Outdoor</t>
  </si>
  <si>
    <t>Btu/hr ft^2 degree F</t>
  </si>
  <si>
    <t>lbs/gallon of Water</t>
  </si>
  <si>
    <t>Cover Efficiency</t>
  </si>
  <si>
    <t>Assumed COP for Cover savings</t>
  </si>
  <si>
    <t>Activity Facor</t>
  </si>
  <si>
    <t>Elec.</t>
  </si>
  <si>
    <t>LP</t>
  </si>
  <si>
    <t>ES</t>
  </si>
  <si>
    <t>Ref Tab: Added Pool Equipment info to Ref Tab (Starting in cell DB1)</t>
  </si>
  <si>
    <t>VFD Tab: Added Formulas and Drop-Downs (Name Manager - Data Validation)</t>
  </si>
  <si>
    <t>Existing Pool Heater fuel</t>
  </si>
  <si>
    <t>Pool Tab: Added Formulas and Drop-Downs (Name Manager - Data Validation)</t>
  </si>
  <si>
    <t>5.14.20</t>
  </si>
  <si>
    <t>SS and PS Additional $$$</t>
  </si>
  <si>
    <t>Incentive</t>
  </si>
  <si>
    <t xml:space="preserve">LED Architectural Flood and Spot Fixtures - Low, Mid </t>
  </si>
  <si>
    <t>LED Architectural Flood and Spot Fixtures - High</t>
  </si>
  <si>
    <t xml:space="preserve">LED Architectural Flood and Spot Fixtures - High </t>
  </si>
  <si>
    <t xml:space="preserve">LED Area Lighting Fixtures - Low, Mid </t>
  </si>
  <si>
    <t>LED Area Lighting Fixtures - Low, Mid</t>
  </si>
  <si>
    <t>LED Area Lighting Fixtures - High, Very High</t>
  </si>
  <si>
    <t>LED Area Lighting Replacement Lamps, Types B&amp;C - Low, Mid</t>
  </si>
  <si>
    <t xml:space="preserve">LED Area Lighting Replacement Lamps, Types B&amp;C - High, Very High </t>
  </si>
  <si>
    <t xml:space="preserve">LED Area Lighting Retrofit Kits - Low, Mid </t>
  </si>
  <si>
    <t>LED Area Lighting Retrofit Kits - High, Very High</t>
  </si>
  <si>
    <t xml:space="preserve">LED Area Lighting Retrofit Kits - High, Very High </t>
  </si>
  <si>
    <t xml:space="preserve">LED Wall Mounted Full-Cutoff, Fixtures - Low, Mid </t>
  </si>
  <si>
    <t>LED Wall Mounted Full-Cutoff, Fixtures - High, Very High</t>
  </si>
  <si>
    <t xml:space="preserve">LED Wall Mounted Full-Cutoff, Replacement Lamps - Low, Mid </t>
  </si>
  <si>
    <t xml:space="preserve">LED Wall Mounted Full-Cutoff, Replacement Lamps - High, Very High </t>
  </si>
  <si>
    <t xml:space="preserve">LED Wall Mounted Full-Cutoff, Retrofit Kits - Low, Mid </t>
  </si>
  <si>
    <t>LED Wall Mounted Full-Cutoff, Retrofit Kits - High, Very High</t>
  </si>
  <si>
    <t>LED Decorative Fixtures - Low, Mid</t>
  </si>
  <si>
    <t xml:space="preserve">LED Decorative Fixtures - High, Very High </t>
  </si>
  <si>
    <t>LED Decorative Fixtures - High, Very High</t>
  </si>
  <si>
    <t xml:space="preserve">LED Decorative Replacement Lamps - Low, Mid </t>
  </si>
  <si>
    <t>LED Decorative Replacement Lamps - High, Very High</t>
  </si>
  <si>
    <t xml:space="preserve">LED Decorative Retrofit Kits - Low, Mid </t>
  </si>
  <si>
    <t>LED Decorative Retrofit Kits - Low, Mid</t>
  </si>
  <si>
    <t xml:space="preserve">LED Decorative Retrofit Kits - High, Very High </t>
  </si>
  <si>
    <t>LED Vapor Tight Replacement Tubes</t>
  </si>
  <si>
    <t>LED Downlights &lt; 1,000 Lumens</t>
  </si>
  <si>
    <t>LED Downlights &gt; 1,000 Lumens</t>
  </si>
  <si>
    <t>Recessed LED Retrofit Kits</t>
  </si>
  <si>
    <t>LED 1 x 4 Linear Panel</t>
  </si>
  <si>
    <t>LED 2 x 4 Linear Panel</t>
  </si>
  <si>
    <t>LED 2 x 2 Linear Panel</t>
  </si>
  <si>
    <t>2' Linear Ambient LED Luminaire</t>
  </si>
  <si>
    <t>4' Linear Ambient LED Luminaire</t>
  </si>
  <si>
    <t>Retrofit Kits for 2x2 Luminaires</t>
  </si>
  <si>
    <t>Retrofit Kits for 2x4 Luminaires</t>
  </si>
  <si>
    <t>LED  Low Bay Fixtures</t>
  </si>
  <si>
    <t>LED High Bay Fixtures</t>
  </si>
  <si>
    <t xml:space="preserve">Wall Mounted </t>
  </si>
  <si>
    <t xml:space="preserve">Ceiling/Remote Mounted </t>
  </si>
  <si>
    <t>Fixture mounted</t>
  </si>
  <si>
    <t xml:space="preserve">Day lighting Controlled Dimming </t>
  </si>
  <si>
    <t xml:space="preserve">Fixture mounted daylight </t>
  </si>
  <si>
    <t>SSLRC600</t>
  </si>
  <si>
    <t>Common Lighting calcs: Added tab to start building out FT and OL lighting Calcs - All rows for FT calcs are on the tab and calcs added for all columns</t>
  </si>
  <si>
    <t>Wall Mounted</t>
  </si>
  <si>
    <t>Ceiling/Remote Mounted</t>
  </si>
  <si>
    <t>Fixture Mounted</t>
  </si>
  <si>
    <t>Day Lighting Controlled</t>
  </si>
  <si>
    <t>Fixture Mounted Daylight</t>
  </si>
  <si>
    <t>Draft22</t>
  </si>
  <si>
    <t>Common Lighting Tab: Added formulas to Rebate column (FT)</t>
  </si>
  <si>
    <t>Common LightingTab: Added Formulas to Rebate Column (OL)</t>
  </si>
  <si>
    <t>Common Lighting Calcs Tab: All rows for OL calcs are on tab and calcs added for all columns</t>
  </si>
  <si>
    <t>Minimum Requirement</t>
  </si>
  <si>
    <t>Building</t>
  </si>
  <si>
    <t>VLOOKUP</t>
  </si>
  <si>
    <t>Tons</t>
  </si>
  <si>
    <t>RAC Only</t>
  </si>
  <si>
    <t>RAC only</t>
  </si>
  <si>
    <t>FLCH</t>
  </si>
  <si>
    <t>FLHH</t>
  </si>
  <si>
    <t>Customer Inputs</t>
  </si>
  <si>
    <t>5.19.20</t>
  </si>
  <si>
    <t>New Construction - Whole Unit</t>
  </si>
  <si>
    <t>Existing Building - Whole Unit</t>
  </si>
  <si>
    <t>Partial Unit</t>
  </si>
  <si>
    <t>Sources:</t>
  </si>
  <si>
    <t>NENY: Analysis of Residential Heat Pump Potential and Economics</t>
  </si>
  <si>
    <t>References: Updated Multifamily EFLH to align with the NYS TRM v7 and NENY (NYSERDA)</t>
  </si>
  <si>
    <t>Draft24</t>
  </si>
  <si>
    <t>Draft23</t>
  </si>
  <si>
    <t>Existing/Baseline Equipment</t>
  </si>
  <si>
    <t>Existing/Baseline Unit</t>
  </si>
  <si>
    <t xml:space="preserve">Parasitics </t>
  </si>
  <si>
    <t>Cooling Savings</t>
  </si>
  <si>
    <t>Fossil Fuel Heating Savings</t>
  </si>
  <si>
    <t>Heating Savings</t>
  </si>
  <si>
    <t>Added Heating</t>
  </si>
  <si>
    <t>Electric Heating Savings</t>
  </si>
  <si>
    <t>FF + E Heating Savings</t>
  </si>
  <si>
    <t>Total Combined</t>
  </si>
  <si>
    <t>Combined</t>
  </si>
  <si>
    <t>EEkWh</t>
  </si>
  <si>
    <t>EE kWh</t>
  </si>
  <si>
    <t>Cooling Equipment</t>
  </si>
  <si>
    <t>Heating equipment</t>
  </si>
  <si>
    <t>AFUE</t>
  </si>
  <si>
    <t>(kWh/MMBTU)</t>
  </si>
  <si>
    <t>kW per Unit</t>
  </si>
  <si>
    <t>Total kW</t>
  </si>
  <si>
    <t>kWh per Unit</t>
  </si>
  <si>
    <t>MMBTU per Unit</t>
  </si>
  <si>
    <t>MMBtu per Unit</t>
  </si>
  <si>
    <t>kWh Parasitics</t>
  </si>
  <si>
    <t>Total kWh</t>
  </si>
  <si>
    <t>Total MMBtu</t>
  </si>
  <si>
    <t>per unit</t>
  </si>
  <si>
    <t>Total Rebate ($)</t>
  </si>
  <si>
    <t>Total Savings (Tons)</t>
  </si>
  <si>
    <t>Tier 1 &amp; Tier 2</t>
  </si>
  <si>
    <t>Common HVAC Calculations: Added Tab from HVAC Workbook - Started adding formulas - left off in Column T</t>
  </si>
  <si>
    <t>Common HVAC Tab: Added formula to Column D on worksheet</t>
  </si>
  <si>
    <t>Draft 25</t>
  </si>
  <si>
    <t xml:space="preserve">Common HVAC Tab: Added formulas to 'Equipment Status' and 'Total Rebate' columns </t>
  </si>
  <si>
    <t>5.20.20</t>
  </si>
  <si>
    <t>Cust Info Tab: Added code to the rest of the Project Type checkboxes</t>
  </si>
  <si>
    <t>Draft 26</t>
  </si>
  <si>
    <t>Guidelines Tab: Removed any language that applied to an existing building approach</t>
  </si>
  <si>
    <t>Req Docs Tab: Updated "Responsible Party" designations to align with current applications</t>
  </si>
  <si>
    <t>Facility Address:</t>
  </si>
  <si>
    <t>Building Type:</t>
  </si>
  <si>
    <t>6.1.20</t>
  </si>
  <si>
    <t>Common Area Post Inspection Form - Added Tab to capture all common area measures</t>
  </si>
  <si>
    <t xml:space="preserve">Common Area Post Inspection Form: Added Fast Track INS form </t>
  </si>
  <si>
    <t>Common Area Post Inspection Form: Added Fast Track INS form - Formulas are now in Columns C,D,E,H</t>
  </si>
  <si>
    <t>Draft28</t>
  </si>
  <si>
    <t>Common Area Post Inspection Form: OL INS form - left off with formulas in highlighted cells</t>
  </si>
  <si>
    <t>6.8.20</t>
  </si>
  <si>
    <t>Worksheet Appliances: Merge and centered Models</t>
  </si>
  <si>
    <t>Worksheet Appliances: Centered Quantity</t>
  </si>
  <si>
    <t>Draft 29</t>
  </si>
  <si>
    <t>Worksheet Appliances: shifted water heater columns to better fit format</t>
  </si>
  <si>
    <t>Clothes Washers</t>
  </si>
  <si>
    <t>Summer kW saved</t>
  </si>
  <si>
    <t>6.9.20</t>
  </si>
  <si>
    <t>Created Appliance Calculations tab</t>
  </si>
  <si>
    <t>Appliance Calculations: Copied Common Lighting Calculations</t>
  </si>
  <si>
    <t>Appliances References: Added EEP measure codes as placeholders</t>
  </si>
  <si>
    <t>Appliance Calculations: Changed formulas to reference Appliance References tab</t>
  </si>
  <si>
    <t>Draft 30</t>
  </si>
  <si>
    <t>Appliance References: Removed "Utility Gross" from the title of the savings headers because these are gross numbers</t>
  </si>
  <si>
    <t>EE kWh saved</t>
  </si>
  <si>
    <t>Winter kW saved</t>
  </si>
  <si>
    <t>BE kWh saved</t>
  </si>
  <si>
    <t>Appliance Calculations: Index savings for appliances based on measure code</t>
  </si>
  <si>
    <t>Appliance References: added rebates</t>
  </si>
  <si>
    <t>Appliance Calculations: Reference appliance rebates</t>
  </si>
  <si>
    <t>Worksheet Appliances: Linked rebates to Calculations tab</t>
  </si>
  <si>
    <t>Multifamily</t>
  </si>
  <si>
    <t>6.15.20</t>
  </si>
  <si>
    <t>Common Lighting References: Added Multi-family lighting hours</t>
  </si>
  <si>
    <t>Draft 31</t>
  </si>
  <si>
    <t>Common Lighting References: Project Type for Fast Track now references ReferencesA21</t>
  </si>
  <si>
    <t>Worksheet Common Lighting: Changed Building Type reference to AL20</t>
  </si>
  <si>
    <t>Worksheet Common Lighting: Reformatted Rebate to Currency</t>
  </si>
  <si>
    <t>Common Lighting Calculations: kWh Savings now reference AL19 for hours</t>
  </si>
  <si>
    <t>Worksheet Common Lighting: Control rebate was referencing Column G instead of I</t>
  </si>
  <si>
    <t>Common Lighting Calculations: Outdoor Lighting kWh Savings now reference AL18 for hours</t>
  </si>
  <si>
    <t>Common Lighting Calculations: Outdoor Lighting kWh Savings now reference AL20=0</t>
  </si>
  <si>
    <t>Common Lighting Calculations: Outdoor lighting measure codes were "False" when looking for Premium. Fixed</t>
  </si>
  <si>
    <t>Heater AFUE</t>
  </si>
  <si>
    <t>COP 
(if available)</t>
  </si>
  <si>
    <t>HSPF
(if available)</t>
  </si>
  <si>
    <t>EER 
(if available)</t>
  </si>
  <si>
    <t>Primary Heating Fuel Type
(required)</t>
  </si>
  <si>
    <t>Material Per Unit</t>
  </si>
  <si>
    <t>Tons CO2/unit</t>
  </si>
  <si>
    <t>Spillover*</t>
  </si>
  <si>
    <t>*ODC TRM kWh value</t>
  </si>
  <si>
    <t>COP to HSPF</t>
  </si>
  <si>
    <t xml:space="preserve">MMBTU Rounding </t>
  </si>
  <si>
    <t>kWh Rounding</t>
  </si>
  <si>
    <t>kW Rounding</t>
  </si>
  <si>
    <t>Heating EFLH</t>
  </si>
  <si>
    <t>Cooling ELFH</t>
  </si>
  <si>
    <t>PSEGLI_2020 HVAC Worksheet_VERSION 1.0_draft9.1.xlsm</t>
  </si>
  <si>
    <t>PSEGLI_2020 HVAC Worksheet_VERSION 1.0.xlsm</t>
  </si>
  <si>
    <t>Enhanced rebate 3</t>
  </si>
  <si>
    <t>Enhanced rebate 2</t>
  </si>
  <si>
    <t>Enhanced rebate 1</t>
  </si>
  <si>
    <t>Existing Equipment Dropdown List</t>
  </si>
  <si>
    <t>Eligible products are required to be listed with an approved rating agency (i.e. ENERGY STAR, CEE, or other approved equivalent)</t>
  </si>
  <si>
    <t>Products must be installed and used in accordance with the rating condition for which it was approved at the time such approval was given.</t>
  </si>
  <si>
    <t>All measures must carry the appropriate designated Underwriters Laboratory (UL) or Electrical Testing Laboratory (ETL) label</t>
  </si>
  <si>
    <t>Worksheet Common HVAC: Added Istructions 2 - 5</t>
  </si>
  <si>
    <t>Draft 32</t>
  </si>
  <si>
    <t>6.16.20</t>
  </si>
  <si>
    <t>Worksheet Common HVAC: Added Conditional fomating and data validation for efficiencies, size categories, and existing cooling and heating equipment</t>
  </si>
  <si>
    <t>Common HVAC References: Added Multifamily EFLH (building type other)</t>
  </si>
  <si>
    <t>Common HVAC Calculations: Changed building Type to Multifamily</t>
  </si>
  <si>
    <t>Common HVAC Calculations: Finished adding HVAC alculations</t>
  </si>
  <si>
    <t>Worksheet Common HVAC: Added formulas to the Project Summary</t>
  </si>
  <si>
    <t>Fossil Fuel Only</t>
  </si>
  <si>
    <t>Qualilfying Index: Dragged down cell R42 to R51</t>
  </si>
  <si>
    <t>Smart Tstats: Hide column J</t>
  </si>
  <si>
    <t>Integrated Controls: Changed wording in Row 4 to"If the customer will have fossil fuel back up heat present after the proposed equipment is installed, Integrated Controls, Freeze Stats, or Dual Fuel Thermostats must be installed. For Ductless Systems, installation of Integrated Controls or Freeze Stats is required."</t>
  </si>
  <si>
    <t>Smart Tstats: Hide row 31</t>
  </si>
  <si>
    <t>Integrated Controls: Added language to Instructions to inform customer that Freeze Stat inputs are manual entries and not selectable in the dropdown</t>
  </si>
  <si>
    <t>Worksheet: Removed "@ 17 degrees" from heating</t>
  </si>
  <si>
    <t>Worksheet: Changed Partial Home Eligibility Table to have ccASHPs be tier 2</t>
  </si>
  <si>
    <t>References: Changed AX90 to "Fossil Fuel Only"</t>
  </si>
  <si>
    <t>Qualifying Index: Extended formula in AG78 down to other rows</t>
  </si>
  <si>
    <t>Integrated Controls: Changed Dual Fuel Thermostat Named Range to be C17:G18</t>
  </si>
  <si>
    <t>Qualifying Index: Heating Manual J check to make sure its whole house and not Electric</t>
  </si>
  <si>
    <t>Macro: changed explanation of Manual J to 100%</t>
  </si>
  <si>
    <t>Qualifying Index: Changed Insulation logic for fossil fuel only systems</t>
  </si>
  <si>
    <t>6.19.20</t>
  </si>
  <si>
    <t>Draft 33</t>
  </si>
  <si>
    <t>6.22.20</t>
  </si>
  <si>
    <t>Draft 34</t>
  </si>
  <si>
    <t>References: Moved Multifamily EFLH in place of Home Comfort EFLH</t>
  </si>
  <si>
    <t>Qualifying Index: Updated ELFH formula to look for Whole House New Construction and High Rise vs Low Rise</t>
  </si>
  <si>
    <t>References: H14 was updated to look for 1 or 2 as the Option button selection</t>
  </si>
  <si>
    <t>Module 5: disabled hide/unhide for Home Comofrt Existing Equipment</t>
  </si>
  <si>
    <t>Air Conditioners</t>
  </si>
  <si>
    <t>ACR Room Air Conditioners - AC100</t>
  </si>
  <si>
    <t>ACR Ductless Mini Split - AC200</t>
  </si>
  <si>
    <t>ACR Ductless Mini-Split AC - AC201</t>
  </si>
  <si>
    <t>ACR Ductless Mini-Split AC - AC202</t>
  </si>
  <si>
    <t>ACR Air Cooled AC Split - AC310</t>
  </si>
  <si>
    <t>ACR Air Cooled AC Split - AC311</t>
  </si>
  <si>
    <t>ACR Air Cooled AC Split - AC312</t>
  </si>
  <si>
    <t>ACR Air Cooled AC Packaged - AC320</t>
  </si>
  <si>
    <t>ACR Air Cooled AC Packaged - AC321</t>
  </si>
  <si>
    <t>ACR Air Cooled AC Packaged - AC322</t>
  </si>
  <si>
    <t>ACR Packaged Air Conditioner - AC410</t>
  </si>
  <si>
    <t>ACR Air Cooled AC Split - AC411</t>
  </si>
  <si>
    <t>ACR Air Cooled AC Split - AC412</t>
  </si>
  <si>
    <t>ACR Air Cooled AC Packaged - AC420</t>
  </si>
  <si>
    <t>ACR Air Cooled AC Packaged - AC421</t>
  </si>
  <si>
    <t>ACR Air Cooled AC Packaged - AC422</t>
  </si>
  <si>
    <t>ACR Air Cooled AC Split - AC510</t>
  </si>
  <si>
    <t>ACR Air Cooled AC Split - AC511</t>
  </si>
  <si>
    <t>ACR Air Cooled AC Split - AC512</t>
  </si>
  <si>
    <t>ACR Air Cooled AC Packaged - AC520</t>
  </si>
  <si>
    <t>ACR Air Cooled AC Packaged - AC521</t>
  </si>
  <si>
    <t>ACR Air Cooled AC Packaged - AC522</t>
  </si>
  <si>
    <t>ACR Air Cooled AC Split - AC610</t>
  </si>
  <si>
    <t>ACR Air Cooled AC Split - AC611</t>
  </si>
  <si>
    <t>ACR Air Cooled AC Split - AC612</t>
  </si>
  <si>
    <t>ACR Air Cooled AC Packaged - AC620</t>
  </si>
  <si>
    <t>ACR Air Cooled AC Packaged - AC621</t>
  </si>
  <si>
    <t>ACR Air Cooled AC Packaged - AC622</t>
  </si>
  <si>
    <t>ACR Air Cooled AC Split - AC710</t>
  </si>
  <si>
    <t>ACR Air Cooled AC Split - AC711</t>
  </si>
  <si>
    <t>ACR Air Cooled AC Split - AC712</t>
  </si>
  <si>
    <t>ACR Air Cooled AC Packaged - AC720</t>
  </si>
  <si>
    <t>ACR Air Cooled AC Packaged - AC721</t>
  </si>
  <si>
    <t>ACR Air Cooled AC Packaged - AC722</t>
  </si>
  <si>
    <t>ACR Evaporatively Cooled AC Split - AC811</t>
  </si>
  <si>
    <t>ACR Evaporatively Cooled AC Packaged - AC821</t>
  </si>
  <si>
    <t>ACR Packaged Termincal AC - PTAC101</t>
  </si>
  <si>
    <t>ACR Packaged Termincal AC - PTAC201</t>
  </si>
  <si>
    <t>ACR Packaged Termincal AC - PTAC301</t>
  </si>
  <si>
    <t>ACR Geothermal Heat Pump Closed Loop - GHP100</t>
  </si>
  <si>
    <t>Geothermal Heat Pump Closed Loop - GHP101</t>
  </si>
  <si>
    <t>Geothermal Heat Pump Closed Loop - GHP102</t>
  </si>
  <si>
    <t>ACR Geothermal Heat Pump Open Loop - GHP200</t>
  </si>
  <si>
    <t>Geothermal Heat Pump Open Loop - GHP201</t>
  </si>
  <si>
    <t>Geothermal Heat Pump Open Loop - GHP202</t>
  </si>
  <si>
    <t>ACR Geothermal Heat Pump Direct Geoexchange - GHP300</t>
  </si>
  <si>
    <t>Geothermal Heat Pump Direct Geoexchange - GHP301</t>
  </si>
  <si>
    <t>Geothermal Heat Pump Direct Geoexchange - GHP302</t>
  </si>
  <si>
    <t>ACR Ductless Mini-Split Heat Pump - HP100</t>
  </si>
  <si>
    <t>ACR Ductless Mini-Split Heat Pump - HP101</t>
  </si>
  <si>
    <t>ACR Ductless Mini-Split Heat Pump - HP102</t>
  </si>
  <si>
    <t>ACR Air Cooled Heat Pump Split - HP211</t>
  </si>
  <si>
    <t>ACR Air Cooled Heat Pump Split - HP212</t>
  </si>
  <si>
    <t>ACR Air Cooled Heat Pump Packaged - HP221</t>
  </si>
  <si>
    <t>ACR Air Cooled Heat Pump Packaged - HP222</t>
  </si>
  <si>
    <t>ACR Air Cooled Heat Pump Split - HP311</t>
  </si>
  <si>
    <t>ACR Air Cooled Heat Pump Packaged - HP321</t>
  </si>
  <si>
    <t>ACR Air Cooled Heat Pump Split - HP411</t>
  </si>
  <si>
    <t>ACR Air Cooled Heat Pump Packaged - HP421</t>
  </si>
  <si>
    <t>ACR Air Cooled Heat Pump Split - HP511</t>
  </si>
  <si>
    <t>ACR Air Cooled Heat Pump Packaged - HP521</t>
  </si>
  <si>
    <t>ACR Water Source Heat Pump - HP601</t>
  </si>
  <si>
    <t>ACR Packaged Terminal Heat Pump - PTHP101</t>
  </si>
  <si>
    <t>ACR Packaged Terminal Heat Pump - PTHP201</t>
  </si>
  <si>
    <t>ACR Packaged Terminal Heat Pump - PTHP301</t>
  </si>
  <si>
    <t>VRF Water Source Heat Pump - VHP211</t>
  </si>
  <si>
    <t>VRF Air Cooled Heat Pump - VHP212</t>
  </si>
  <si>
    <t>VRF Air Cooled Heat Pump - VHP311</t>
  </si>
  <si>
    <t>VRF Air Cooled Heat Pump - VHP321</t>
  </si>
  <si>
    <t>VRF Air Cooled Heat Pump - VHP411</t>
  </si>
  <si>
    <t>VRF Air Cooled Heat Pump - VHP421</t>
  </si>
  <si>
    <t>Ductless Mini-Split Cold Climate Heat Pump - CCHP101</t>
  </si>
  <si>
    <t>Ductless Mini-Split Cold Climate Heat Pump - CCHP101-NC</t>
  </si>
  <si>
    <t>Ductless Mini-Split Cold Climate Heat Pump - CCHP101-OC</t>
  </si>
  <si>
    <t>Ductless Mini-Split Cold Climate Heat Pump - CCHP101-AO</t>
  </si>
  <si>
    <t>Ducted Cold Climate Heat Pump - CCHP211</t>
  </si>
  <si>
    <t>Ducted Cold Climate Heat Pump - CCHP211-NC</t>
  </si>
  <si>
    <t>Ducted Cold Climate Heat Pump - CCHP211-OC</t>
  </si>
  <si>
    <t>Ducted Cold Climate Heat Pump - CCHP211-AO</t>
  </si>
  <si>
    <t>Cooling &amp; Controls</t>
  </si>
  <si>
    <t>Cooling HVAC Equipment - CEP402</t>
  </si>
  <si>
    <t>INS Form: Continued adding in OL formulas - Left off at highlighted section</t>
  </si>
  <si>
    <t>draft 35</t>
  </si>
  <si>
    <t>INS Form: Started adding in HVAC Post Inspection Form and Formulas</t>
  </si>
  <si>
    <t>draft35</t>
  </si>
  <si>
    <t>INS Form: Finished HVAC form and added VFDs and Pools with formulas</t>
  </si>
  <si>
    <t>draft 36</t>
  </si>
  <si>
    <t>6.24.20</t>
  </si>
  <si>
    <t>draft 37</t>
  </si>
  <si>
    <t>References: Updated Insulation for HPwES to Multifam values - walls</t>
  </si>
  <si>
    <t xml:space="preserve">References: Updated Insulation for HPwES to Multifam values - ceiling </t>
  </si>
  <si>
    <t>Customer Information: Removed HPwES macro opening tab</t>
  </si>
  <si>
    <t>Customer Information: Added HPwES macro with message notifying user that HPwES is not available for New Construction</t>
  </si>
  <si>
    <t>6.29.20</t>
  </si>
  <si>
    <t>draft38</t>
  </si>
  <si>
    <t>INS Form: Added code to worksheet checkboxes to generate rows based on checkbox selected</t>
  </si>
  <si>
    <t>INS form: Added code to "Update" Checkboxes for OL and FT lighting</t>
  </si>
  <si>
    <t>6.30.20</t>
  </si>
  <si>
    <t>HC Worksheet: Inserted Column F</t>
  </si>
  <si>
    <t>HC Worksheet: Updated Column W to mulitply rebate by Quantity</t>
  </si>
  <si>
    <t>Draft 39</t>
  </si>
  <si>
    <t>7.6.20</t>
  </si>
  <si>
    <t>INS Form: Removed note about code for buttons and boxes</t>
  </si>
  <si>
    <t>draft 40</t>
  </si>
  <si>
    <t>In-Unit INS Form: Added quantity columns for Heat Pumps, Int Controls, and Smart Therms - Need to add formulas to quantity columns for ICs and Smart Therms</t>
  </si>
  <si>
    <t>In-Unit INS Form: Added section for appliances - formulas are done</t>
  </si>
  <si>
    <t>In-Unit INS Form: Added code to "Heat Pump" check box and "Appliances" check box</t>
  </si>
  <si>
    <t>In-Unit INS Form: Added code to Appliances "Update" box</t>
  </si>
  <si>
    <t>Advanced Power Strips Tier I</t>
  </si>
  <si>
    <t>7.8.20</t>
  </si>
  <si>
    <t>Applliances Ref Tab: Added APS Tier 1 Power strips table from PPT</t>
  </si>
  <si>
    <t>Appliances Ref Tab: Added APS Tier 1 row above the Specialty Lamps in NTG Table</t>
  </si>
  <si>
    <t>Appliances Ref Tab: Updated rebate values for APS Tier I and Tier 2</t>
  </si>
  <si>
    <t>draft 41</t>
  </si>
  <si>
    <t>EE CO2</t>
  </si>
  <si>
    <t>BE CO2</t>
  </si>
  <si>
    <t>Heat Pump Water Heaters</t>
  </si>
  <si>
    <t>Clothes Dryers</t>
  </si>
  <si>
    <t>Dishwashers</t>
  </si>
  <si>
    <t>Freezers</t>
  </si>
  <si>
    <t>Room Air Purifier</t>
  </si>
  <si>
    <t>Advanced Power Strip</t>
  </si>
  <si>
    <t>LED Specialty</t>
  </si>
  <si>
    <t>Qualified Model</t>
  </si>
  <si>
    <t>draft 42</t>
  </si>
  <si>
    <t>Appliances: Added APS Tier 1</t>
  </si>
  <si>
    <t>Appliances: Added Smart Thermostat Measures</t>
  </si>
  <si>
    <t>Appliance References: Added Smart thermostat manfacturers, and models separated by learning and connected</t>
  </si>
  <si>
    <t>Appliance References: Copy-Pasted from Internal</t>
  </si>
  <si>
    <t>Appliance Calculations: Added Smart Thermosats Savings calcs</t>
  </si>
  <si>
    <t>Appliance Calculations: Added APS Tier 1 savings calcs</t>
  </si>
  <si>
    <t>Appliance References: Added APS Tier 1 manfacturers, and models</t>
  </si>
  <si>
    <t>Appliances: Set up Smart Thermostat drop downs</t>
  </si>
  <si>
    <t>7.9.20</t>
  </si>
  <si>
    <t>Customer Information: Macro: Added function so when Whole House or Partial House is selected the smart thermostat section of the Appliance Worksheet is cleared and hidden</t>
  </si>
  <si>
    <t>draft 43</t>
  </si>
  <si>
    <t>Name Manager: Broke links to extrnal books</t>
  </si>
  <si>
    <t>7.13.20</t>
  </si>
  <si>
    <t>Appliances: Added Rebate formulas for Smart Therms - Fixed rebate formula for APS Tier II</t>
  </si>
  <si>
    <t>draft 44</t>
  </si>
  <si>
    <t>In-Unit INS: Added APS Tier 2 and Smart Therms</t>
  </si>
  <si>
    <t>In-Unit INS: Updated range in formulas to account for APS Tier 2 and Smart Therms to Appliances References Tab</t>
  </si>
  <si>
    <t>In-Unit INS: Updated range for "Update" button to account for new rows (APS Tier 2 and Smart Therms)</t>
  </si>
  <si>
    <t xml:space="preserve">If Installing Heat Pumps: I certify that the system to be installed will be in accordance with ACCA Manual J version 8.0 calculations and that the calculation was performed using ACCA-approved software.  I also </t>
  </si>
  <si>
    <t>Certification Statement:  
Customer has read, understands and agrees to be bound by the Terms and Conditions set forth herein, and agrees to abide by them.  By participating in this program, Customer agrees on behalf of itself and any successor in interest or assignee that PSEG Long Island obtains and/or retains ownership of all rights to existing and future emission credits, renewable energy rights to existing and future emissions credits, renewable energy green tags, tradable renewable certificates and/or any and all other environmental benefits associated with the installation of the ECMs. Customer certifies that the information provided in the herein is true and accurate.  Customer further certifies that the energy saving products described herein have or will be installed in the facility indicated above and will not be resold.  As specified herein, Customer agrees to permit PSEG Long Island to: (1) verify the purchase invoices and product installations and (2) upon request, install and remove load-monitoring equipment at the facility.  Customer acknowledges that the rights and obligations in this application shall be binding upon assignees, successors and future owners of the facility.  Customer agrees to include restrictions contained in this agreement in any leases, sales, contracts, or other similar documents relating to the use and ownership of the facility.  Customer acknowledge that, consistent with PSEG Long Island’s Efficiency Long Island program policies and procedures, PSEG Long Island may pro-rate a rebate or incentive (the “Rebate”) if the Customer purchases less than its full electric requirements from PSEG Long Island.  Customer further acknowledges that PSEG Long Island may require the Customer to repay all or a portion of the Rebate received if, within five (5) years of receipt of the Rebate, the Customer ceases purchasing its full electric requirements from PSEG Long Island or increases its use of electric power from non-PSEG Long Island sources at the facility, other than through the Long Island Choice Program.</t>
  </si>
  <si>
    <t>Customer Info Tab: Added "If Installing Heat Pumps…" in front of the ACCA statement</t>
  </si>
  <si>
    <t>Customer Info Tab: Replaced HC "Certification Statement" with CEP "Certification Statement"</t>
  </si>
  <si>
    <t xml:space="preserve">Customer Info Tab: Removed "and weatherization equipment" from header paragraph </t>
  </si>
  <si>
    <t>Account Name:</t>
  </si>
  <si>
    <t>I have read and understand the terms and conditions detailed above.</t>
  </si>
  <si>
    <t>(initials)</t>
  </si>
  <si>
    <t>Ts and Cs: Added CEP Ts and Cs and labeled the tab "CEP - Ts and Cs"</t>
  </si>
  <si>
    <t>Ts and Cs: Renamed Home Comfort TS and Cs to "HC - Ts and Cs"</t>
  </si>
  <si>
    <t>Req Docs Tab: Removed Low-Income required docs</t>
  </si>
  <si>
    <t>Guidelines Tab: Hid rows with LMI language</t>
  </si>
  <si>
    <t>Guidelines Tab: Heat Pumps - Added language to row 31 informaring participant of Integrated Controls requirement for Whole House installations</t>
  </si>
  <si>
    <t>Guidelines Tab: Added eligibility sections for VFDs and Pool Equipment</t>
  </si>
  <si>
    <t>7.15.20</t>
  </si>
  <si>
    <t>Smart T-stat: Added Quantity column</t>
  </si>
  <si>
    <t>Smart T-stat: Added Data validation for Smart Thermostat to only allow between 1 and quantity of units controlled to be entered</t>
  </si>
  <si>
    <t>Smart T-stat: Removed data validation from Primary Cooling and heating columns to pre-fill the equipment type based on the unit controlled</t>
  </si>
  <si>
    <t xml:space="preserve">Qualifying Index: Added Quantity column to smart thermostat savings table </t>
  </si>
  <si>
    <t>Qualifying Index: Added Total Rebate column</t>
  </si>
  <si>
    <t>Smart T-stat: Rebate column references Total Rebate column now</t>
  </si>
  <si>
    <t>Draft 45</t>
  </si>
  <si>
    <t>Integrated Controls: Added Quantity</t>
  </si>
  <si>
    <t xml:space="preserve">Qualifying Index: Added Quantity column to the integrated controls savings table </t>
  </si>
  <si>
    <t xml:space="preserve">Qualifying Index: Added Total rebate column to the integrated controls savings table </t>
  </si>
  <si>
    <t>Integrated Controls: Rebate references total rebate now</t>
  </si>
  <si>
    <t xml:space="preserve">Tax-ID: </t>
  </si>
  <si>
    <t>NTG Value</t>
  </si>
  <si>
    <t>Line Loss kW summer</t>
  </si>
  <si>
    <t>Winter Coincidence</t>
  </si>
  <si>
    <t>CP100-BE</t>
  </si>
  <si>
    <t>Commercial Pools</t>
  </si>
  <si>
    <t>Commercial Pool Equipment</t>
  </si>
  <si>
    <t>BE Heat Pump Pool Heater (Indoor)</t>
  </si>
  <si>
    <t>CP100-EE</t>
  </si>
  <si>
    <t>EE Heat Pump Pool Heater (Indoor)</t>
  </si>
  <si>
    <t>CP105-BE</t>
  </si>
  <si>
    <t>BE Heat Pump Pool Heater (Outdoor)</t>
  </si>
  <si>
    <t>CP105-EE</t>
  </si>
  <si>
    <t>EE Heat Pump Pool Heater (Outdoor)</t>
  </si>
  <si>
    <t>CP110</t>
  </si>
  <si>
    <t>Indoor Pool Cover</t>
  </si>
  <si>
    <t>CP115</t>
  </si>
  <si>
    <t>Outdoor Pool Cover</t>
  </si>
  <si>
    <t>7.20.20</t>
  </si>
  <si>
    <t>Added comments throughout tabs for team review</t>
  </si>
  <si>
    <t>draft 46</t>
  </si>
  <si>
    <t>7.21.20</t>
  </si>
  <si>
    <t>draft 47</t>
  </si>
  <si>
    <t>References Tab: Added in measure code table for Pools (begins in DB23)</t>
  </si>
  <si>
    <t>7.22.20</t>
  </si>
  <si>
    <t>Customer Information: Added Hide/Unhide for for HVAC Eligibility tab to HVAC Check box</t>
  </si>
  <si>
    <t>draft 48</t>
  </si>
  <si>
    <t>Customer Information: Macro: Commented out HPwES code</t>
  </si>
  <si>
    <t>Customer Information: Deleted HPwES and Income Eligible check box</t>
  </si>
  <si>
    <t>7.28.20</t>
  </si>
  <si>
    <t>draft 49</t>
  </si>
  <si>
    <t>Worksheet Common VFD: VFDs might not work for NC under ASHRAE 2016 - Ruchir is duble checking eligibilty</t>
  </si>
  <si>
    <t>8.6.20</t>
  </si>
  <si>
    <t>Macro: Changed all passwords to *Kamonkey111</t>
  </si>
  <si>
    <t>Unlock all sheets</t>
  </si>
  <si>
    <t>Worksheet Appliances: Fixed un-merged fields</t>
  </si>
  <si>
    <t>Worksheet Appliances: Removed Loaction field</t>
  </si>
  <si>
    <t>draft 50</t>
  </si>
  <si>
    <t>Worksheet Appliances: Formatted user input cells to not be locked</t>
  </si>
  <si>
    <t>Worksheet Common Lighting: Formatted user input cells to not be locked</t>
  </si>
  <si>
    <t>8.10.20</t>
  </si>
  <si>
    <t>Worksheet Common Lighting: Updated the customer input cells for 2' and 4' Linear Tubes (removed DLC Rating column)</t>
  </si>
  <si>
    <t>draft51</t>
  </si>
  <si>
    <t>Worksheet Common Lighting: Added Drop down to "DLC Rating" fields</t>
  </si>
  <si>
    <t>All grey cells require equipment data inputs</t>
  </si>
  <si>
    <t>All units must serve common areas only; refer to "In-Unit HVAC" tab for in-unit equipment</t>
  </si>
  <si>
    <t>Worksheet Common HVAC: Edited instructions and eligibility language</t>
  </si>
  <si>
    <t>Worksheet Common Area VFD: Updated sheet in VBA to "Sheet Very Hidden"</t>
  </si>
  <si>
    <t>HPwES Tabs: Updated sheets in VBA to "Sheet Very Hidden"</t>
  </si>
  <si>
    <t>*Please note, Total Number of Pool Heaters includes all Pool Heaters including gas, oil, propane, and electric pool heaters</t>
  </si>
  <si>
    <t xml:space="preserve">Worksheet Appliances: Updated formatting on all customer inputs </t>
  </si>
  <si>
    <t>Worksheet Appliances: Added photos for Smart Therms and APS Tier I</t>
  </si>
  <si>
    <t>Common Area Inspection Form: Removed VFD Checkbox</t>
  </si>
  <si>
    <t>Smart T-Stats Tab: Removed HPwES Check Box and Eligiblity Language</t>
  </si>
  <si>
    <t>If new thermostat is to be connected to a unit identified on the Worksheet tab, please indicate the unit number from Column B. of the "In Unit HVAC" Worksheet tab in Column G under "Unit Controlled".</t>
  </si>
  <si>
    <t>**Please note, if you are not installing in-unit HVAC, refer to the "Appliances" Worksheet tab to apply for Smart Thermostat rebates</t>
  </si>
  <si>
    <t>Smart T-Stats Tab: Added the following language to the instructions: **Please note, if you are not installing in-unit HVAC, refer to the "Appliances" Worksheet tab to apply for Smart Thermostat rebates</t>
  </si>
  <si>
    <t>Customer Info Tab: Removed VFD checkbox</t>
  </si>
  <si>
    <t>Customer Info Tab: Added "Pool Equipment (Common Areas)" to header language</t>
  </si>
  <si>
    <t>Guidelines: Hid VFD rows</t>
  </si>
  <si>
    <t>8.11.20</t>
  </si>
  <si>
    <t>Worksheet Tab: Changed name of tab to "In Unit HVAC"</t>
  </si>
  <si>
    <t>draft52</t>
  </si>
  <si>
    <t>Customer Information Tab: Updated all references of "Worksheet" in the code to reflect "Worksheet In Unit HVAC"</t>
  </si>
  <si>
    <t>Worksheet In Unit HVAC: Updated all references of "Worksheet" in the code to reflect "Worksheet In Unit HVAC"</t>
  </si>
  <si>
    <t>Integrated Controls Tab:Clear Inputs Button -  Updated "Dual Fuel Thermostat" Named Range to account for new Quantity Column</t>
  </si>
  <si>
    <t>Worksheet In Unit HVAC Tab :Clear Inputs Button -  Updated "Model Data" and "New Equipment"  Named Ranges to account for new Quantity Column</t>
  </si>
  <si>
    <t>Reference Tab: In Cell C35 Added table to capture "Worksheet Name"</t>
  </si>
  <si>
    <t>In Unit Post Inspection Form: Added formulas to customer information data table</t>
  </si>
  <si>
    <t>In unit Post Inspection Form: Added formulas for quantity in Integrated Controls and Smart Therms table</t>
  </si>
  <si>
    <t>Common Area Inspection Form: Added formulas to customer information data table</t>
  </si>
  <si>
    <t>Worksheet in Unit HVAC tab: Updated tab name to In Unit HVAC Worksheet to align with Macro</t>
  </si>
  <si>
    <t>Worksheet Common HVAC: Added "Other" to the Building Type field</t>
  </si>
  <si>
    <t>8.12.20</t>
  </si>
  <si>
    <t xml:space="preserve">Worksheet Appliances: Added Smart Thermostat Rebates </t>
  </si>
  <si>
    <t>draft 53</t>
  </si>
  <si>
    <t>8.14.20</t>
  </si>
  <si>
    <t>Cust Info Tab: Changed "Checkbox 3" to "Checkbox 13" in code that was referenning to the Whole House Tab and the Smart Therm Rows on Appliances Tab (Appliances tab is checkbox 13_q</t>
  </si>
  <si>
    <t>draft54</t>
  </si>
  <si>
    <t>Smart Thermostat: Adjusted rebate formula to not require columns I &amp; J</t>
  </si>
  <si>
    <t>draft 55</t>
  </si>
  <si>
    <t>Worksheet Common Lighting: Adjusted rebate formula to reference the right rows on the Lighting Calculation tab</t>
  </si>
  <si>
    <t>Worksheet Appliances: Changed thermostat picture format to move and size with cells</t>
  </si>
  <si>
    <t>8.17.20</t>
  </si>
  <si>
    <t>Smart Tstat: Changed Tstat_Data name range</t>
  </si>
  <si>
    <t>Smart Tstat: Chnaged Rebate formula to reference columns E G H &amp; K instead of I &amp; J</t>
  </si>
  <si>
    <t>In Unit HVAC: Changed Model Data and New Equipment named range</t>
  </si>
  <si>
    <t>draft 56</t>
  </si>
  <si>
    <t>8.18.20</t>
  </si>
  <si>
    <t>Customer Inout: Macro: Removed logic from Whole House check box for Income Eligibe Check Box</t>
  </si>
  <si>
    <t>draft 57</t>
  </si>
  <si>
    <t>8.19.20</t>
  </si>
  <si>
    <t>Worksheet Common HVAC: Removed INS Form Checkbox</t>
  </si>
  <si>
    <t>draft 58</t>
  </si>
  <si>
    <t>Worksheet Common HVAC: Hid Column AB</t>
  </si>
  <si>
    <t>Worksheet Common HVAC: VBA Code - Commented out "Building type" range</t>
  </si>
  <si>
    <t>Worksheet In Unit HVAC: Fixed formula for Model Data (Clear Inputs Button)</t>
  </si>
  <si>
    <t>Worksheet Integrated Controls: Hid LMI Rebates (used white font)</t>
  </si>
  <si>
    <t>Customer Info Tab: Updated Code related to hiding and unhiding Smart Therms on Appliances Tab - Code is for "Checkbox 1" section</t>
  </si>
  <si>
    <t>Common Area Post INS Form: Corrected formula in customer table that links to Customer Name</t>
  </si>
  <si>
    <t>In Unit Post INS Form: Corrected formula in customer table that links to Customer Name</t>
  </si>
  <si>
    <t>Common Area Post INS Form: Updated formatting for Phone Number</t>
  </si>
  <si>
    <t>In Unit Post INS Form: Updated formatting for Phone Number</t>
  </si>
  <si>
    <t>Worksheet Common Area Lighting: Updated code tied to checkboxes to allow rows to generate when worksheet is locked</t>
  </si>
  <si>
    <t>draft 59</t>
  </si>
  <si>
    <t>Worksheet Common Pool: Updated formatting to Number for "proposed heat pump pool heater size" fields</t>
  </si>
  <si>
    <t>Customer Ifnormation Tab: Added data validation to Account Number, Rate, Code, Tax-ID to allow numeric entries over 1</t>
  </si>
  <si>
    <t>8.20.20</t>
  </si>
  <si>
    <t>Worksheet Common Lighting: Added Total Rebate Table and Formula to top of tab</t>
  </si>
  <si>
    <t>draft 60</t>
  </si>
  <si>
    <t>Worksheet Appliances: Added total rebate table and formula to top of tab</t>
  </si>
  <si>
    <t>In Unit HVAC: Updated Partial and Whole Unit tables to exclude New Construction and Contractor Incentive levels</t>
  </si>
  <si>
    <t>draft 61</t>
  </si>
  <si>
    <t>In Unit HVAC: Merged Customer Rebate and Contractor Incentive cells</t>
  </si>
  <si>
    <t>In Unit HVAC: Removed Contractor Incentive totals</t>
  </si>
  <si>
    <t>8.21.20</t>
  </si>
  <si>
    <t>Qualifying Index Tab: Dragged down HVAC formulas in columns AM, AN, and AO (Rows-27-36)</t>
  </si>
  <si>
    <t>draft 62</t>
  </si>
  <si>
    <t>MTF600</t>
  </si>
  <si>
    <t>Heat Pump Water Heater &lt; 55 Gallons</t>
  </si>
  <si>
    <t>MTF610</t>
  </si>
  <si>
    <t>Heat Pump Water Heater &gt; 55 Gallons</t>
  </si>
  <si>
    <t>MTF400</t>
  </si>
  <si>
    <t>Most Efficient Clothes Washer</t>
  </si>
  <si>
    <t>MTF300</t>
  </si>
  <si>
    <t>ENERGY STAR Clothes Dryer - Electric Resistance</t>
  </si>
  <si>
    <t>MTF1500</t>
  </si>
  <si>
    <t>MTF1800</t>
  </si>
  <si>
    <t>MTF500</t>
  </si>
  <si>
    <t>MTF200</t>
  </si>
  <si>
    <t>MTF210</t>
  </si>
  <si>
    <t>MTF1250</t>
  </si>
  <si>
    <t>MTF1420</t>
  </si>
  <si>
    <t>Smart Thermostat Connected</t>
  </si>
  <si>
    <t>MTF1415</t>
  </si>
  <si>
    <t>Smart Thermostat Learning</t>
  </si>
  <si>
    <t>Appliance References: Added kWh and MMBTU calculations to HPWH</t>
  </si>
  <si>
    <t>Appliance References: Changed Space Heating and Water Heating % to Multifamily percentages</t>
  </si>
  <si>
    <t>Appliance References: Updated HPWH and Smart Thermostat CO2 calcs</t>
  </si>
  <si>
    <t>Draft 63</t>
  </si>
  <si>
    <t>8.28.20</t>
  </si>
  <si>
    <t>Module 5: Changed "Worksheet" reference to "In Unit HVAC Worksheet"</t>
  </si>
  <si>
    <t>Draft 64</t>
  </si>
  <si>
    <t>Worksheet Appliances: Changed SmartTherm_Entries Name range to not include the rebate column</t>
  </si>
  <si>
    <t>Common HVAC References: changed &gt;=1 minimum to 1 instead of 1.00001</t>
  </si>
  <si>
    <t>Worksheet Appliances: Changed APS Tier 1 to Appliance Calculation N108</t>
  </si>
  <si>
    <t>Worksheet Appliances: Added back in Smart Ther Rebates</t>
  </si>
  <si>
    <t xml:space="preserve">Worksheet Common HVAC: Existing Cooling and Heating now shows "None" </t>
  </si>
  <si>
    <t>Worksheet Common HVAC: Chnaged Clear Inputs to not clear existing cooling and heating</t>
  </si>
  <si>
    <t>Worksheet Appliances: Total Appliances formatted to Currency with 2 decimal places</t>
  </si>
  <si>
    <t>8.28.2020</t>
  </si>
  <si>
    <t>Cust info tab: changed checkboxes for Partial Unit and Whole Unit to Reflect "HVAC" at the end</t>
  </si>
  <si>
    <t>draft 65</t>
  </si>
  <si>
    <t>Appliances Info Tab: Updated formatting on quantity fields to only allow number</t>
  </si>
  <si>
    <t>Common Lighting tab: Updating formatting on quantity and watts field to only allow number, updated formatting for MFG and  Energy Star fields</t>
  </si>
  <si>
    <t>Common Lighting Tab: Updated formatting for rebate to remove decimal place and 0s</t>
  </si>
  <si>
    <t>Common Pool Tab: Added number data validation to all fields for number entry</t>
  </si>
  <si>
    <t>8.31.20</t>
  </si>
  <si>
    <t>draft 66</t>
  </si>
  <si>
    <t>Qualifying Index: Chanegd Whole House Scenario to recognize both option buttons as NC</t>
  </si>
  <si>
    <t xml:space="preserve">Worksheet Appliances: Changed smart therm rebate formula to include manufacturer and model </t>
  </si>
  <si>
    <t>9.1.20</t>
  </si>
  <si>
    <t>Workbook Macro: After Save macrowas changed to update References C36 to the new Workbook Name</t>
  </si>
  <si>
    <t>drfat 66</t>
  </si>
  <si>
    <t>9.2.20</t>
  </si>
  <si>
    <t>Cust Info Tab: Corrected typo for the word Building in header paragraph</t>
  </si>
  <si>
    <t>draft67</t>
  </si>
  <si>
    <t xml:space="preserve">In-Unit Post INS Form: Updated formula in "Serial" column for heat pumps </t>
  </si>
  <si>
    <t>In-Unit Post INS Form: Updated Quantity formulas for Heat Pump Dryers and Dishwashers</t>
  </si>
  <si>
    <t>Appliances Cals Tab: Updated row spacing between measures to match worksheet row spacing</t>
  </si>
  <si>
    <t>In Unit INS Form: Updated table layout and formulas to align with updated row spacing on appliances calcs tab</t>
  </si>
  <si>
    <t>In Units INS Form: Updated code to account for new rows for Appliances INS form</t>
  </si>
  <si>
    <t>draft68</t>
  </si>
  <si>
    <t>9.3.20</t>
  </si>
  <si>
    <t>Common Area INS Form: Updated table layout and formulas to align with updated row spacing on common lighting calcs tab</t>
  </si>
  <si>
    <t>Common Area INS Form: Updated code to account for new rows for All project type checkboxes</t>
  </si>
  <si>
    <t>Common Lighting Cals Tab: Updated row spacing between measures to match worksheet row spacing</t>
  </si>
  <si>
    <t>9.16.20</t>
  </si>
  <si>
    <t>Common Lighting Calculations: Changed Cooling Bonus to Index Match for Gross kW</t>
  </si>
  <si>
    <t>Common Lighting Calculations: Changed Cooling Bonus to Index Match for Gross kWh</t>
  </si>
  <si>
    <t>Quality Index: Dragged down formula in V42</t>
  </si>
  <si>
    <t>draft 69</t>
  </si>
  <si>
    <t>Customer Information: Macro: Hide/Unhide Integrated Controls check box for partial and whole unit selection</t>
  </si>
  <si>
    <t>9.21.20</t>
  </si>
  <si>
    <t>Guidelines - Added rows 23 and 24 to degine High-Rise and Low-Rise Buildings</t>
  </si>
  <si>
    <t>Draft70</t>
  </si>
  <si>
    <t>Dev Tab: Updated effective date to 10/01/20-12/31/20</t>
  </si>
  <si>
    <t>Guidelines: updated row 7 to include, all projects starting after 12/31/20 will use later version</t>
  </si>
  <si>
    <t>Guidelines- Row 33: added the following language to Home Comfort Eligibility section: For all ducted and cold climate equipment, a Manual J must be submitted for each unit type; an energy model is also accpetable</t>
  </si>
  <si>
    <t>Required Docs: Removed Weatherization Health and Safety required document</t>
  </si>
  <si>
    <t>Rebate per Unit</t>
  </si>
  <si>
    <t>Outdoor Lighting - Eligb Table Tab - Added Outdoor Lighting Eligibility Table tab</t>
  </si>
  <si>
    <t>Fast Track Lighting - Eligb Table Tab - Added FT Lighting Eligibility Table tab</t>
  </si>
  <si>
    <t>9.22.20</t>
  </si>
  <si>
    <t>Worksheet Common HVAC Tab: Hid all existing unit columns</t>
  </si>
  <si>
    <t>draft71</t>
  </si>
  <si>
    <t>Lighting and HVAC Eligibility Tabs: Hid all columns to the right of the eligibilit table</t>
  </si>
  <si>
    <t>Worksheet Appliances Tab: Removed decimal place and zeroes from "Total Rebate" table</t>
  </si>
  <si>
    <t>Cust Info Tab: VBA Code - Added code to the Common Lighting checkbox section that prompts the Outdoor Lighting Eligibility tab and Indoor Lighting Eligiblity tab to generate when Common Lighting checkbox is selected</t>
  </si>
  <si>
    <t>Cust Info Tab: Updated header language to say "Post inspection" and "Pre inspection" (these two were plural before)</t>
  </si>
  <si>
    <t>Guidelines Tab: Edited language in row 33 to include different residence types for example purposes</t>
  </si>
  <si>
    <t>draft72</t>
  </si>
  <si>
    <t>Ruud</t>
  </si>
  <si>
    <t>Honeywell Home Brand</t>
  </si>
  <si>
    <t>One+</t>
  </si>
  <si>
    <t>DTST-CWBSA-NI-A</t>
  </si>
  <si>
    <t>Kumo Cloud+ IFTTT compatible Thermstat</t>
  </si>
  <si>
    <t>PAC-USWHS002-WF-2</t>
  </si>
  <si>
    <t>Econet Thermostat</t>
  </si>
  <si>
    <t>ETST700SYS</t>
  </si>
  <si>
    <t>D6 Pro Wi-Fi Ductless Controller</t>
  </si>
  <si>
    <t>DC6000WF1001/U</t>
  </si>
  <si>
    <t>T3007ES</t>
  </si>
  <si>
    <t>ADC-T2000</t>
  </si>
  <si>
    <t>ADC-T3000</t>
  </si>
  <si>
    <t>N2000</t>
  </si>
  <si>
    <t>Kumo Cloud + IFTT compatible Thermostat</t>
  </si>
  <si>
    <t>WiFi Interface Module (LMAS IDU)</t>
  </si>
  <si>
    <t>CN24 Relay Kit + compatible Indoor Unit</t>
  </si>
  <si>
    <t>WiFi Interface Module (2-Wire Indoor Units)</t>
  </si>
  <si>
    <t>WiFi Interface Module (3-Wire Indoor Units)</t>
  </si>
  <si>
    <t>WiFi Thermostat</t>
  </si>
  <si>
    <t>ICS001P + TH6320WF 2003</t>
  </si>
  <si>
    <t>DTST-ONE-ADA-A</t>
  </si>
  <si>
    <t>UTY-TFSXF1</t>
  </si>
  <si>
    <t>UTY-TFSXZ2</t>
  </si>
  <si>
    <t>Any "A" Series IDU</t>
  </si>
  <si>
    <t>UTY-TFNXZ2</t>
  </si>
  <si>
    <t>various</t>
  </si>
  <si>
    <t>References: Added new IC models</t>
  </si>
  <si>
    <t>Integrated controls: Extended drop downs to incorporate new IC models</t>
  </si>
  <si>
    <t>draft 73</t>
  </si>
  <si>
    <t>If proposed equipment is a Cold Climate Air Source Heat Pump (ASHP), equipment must be listed with NEEP and visible on its Cold Climate Air Source Heat Pump Specifications Product Listing: www.NEEP.org</t>
  </si>
  <si>
    <t>To qualify for Whole House ASHP rebates and incentives, integrated controls must be installed with the ASHP where there is a secondary/supplementary gas, oil, or propane heating system. The ASHP must be used for primary heating of the space. If integrated controls are not installed, the project will not be eligible for Whole House rebates and incentives. (Not applicable to homes with electric resistance heating.)</t>
  </si>
  <si>
    <t>Applications must be received by December 31, 2020</t>
  </si>
  <si>
    <t>19.</t>
  </si>
  <si>
    <t>20.</t>
  </si>
  <si>
    <t>9.23.20</t>
  </si>
  <si>
    <t>HC - Ts and Cs Tab: Updated tab to match the Home Comfort V1.3 Ts and Cs</t>
  </si>
  <si>
    <t>draft74</t>
  </si>
  <si>
    <t>Guidelines Tab: Added in row 33 from current Home Comfort Application V1.3)</t>
  </si>
  <si>
    <t>Common HVAC Elig Tab: Added Multi-Family heading in row 1</t>
  </si>
  <si>
    <t>9.24.20</t>
  </si>
  <si>
    <t xml:space="preserve">draft 75 </t>
  </si>
  <si>
    <t xml:space="preserve">Common INS Form: Removed from because file became too large - Need to rebuild tab </t>
  </si>
  <si>
    <t xml:space="preserve">In-Unit INS Form: Removed from because file became too large - Need to rebuild tab </t>
  </si>
  <si>
    <t>In-Units INS Form: Rebuilt the In-unit INS form - Added table for Heat Pumps, Integrated Controls, Smart Therms, and Appliances</t>
  </si>
  <si>
    <t>MR</t>
  </si>
  <si>
    <t>draft 76</t>
  </si>
  <si>
    <t xml:space="preserve">In-Unit INS Form: Linked all formulas for all INS form cells to respectibe worksheet cells </t>
  </si>
  <si>
    <t>In-Unit INS Form: Addeed "Update" button for appliances portion of INS form - Also added Code for the button function</t>
  </si>
  <si>
    <t>Watts</t>
  </si>
  <si>
    <t>Common Area INS Form: Added tab back in - Started Common Lighting part of form</t>
  </si>
  <si>
    <t>drfat77</t>
  </si>
  <si>
    <t>9.25.20</t>
  </si>
  <si>
    <t>draft78</t>
  </si>
  <si>
    <t xml:space="preserve">Common Area INS Form: Finished form (including all formulas) - Form includes Common Area Indoor Lighting, Common Area Outdoor Lightign, Common HVAC, and Common Pools </t>
  </si>
  <si>
    <t>9.29.20</t>
  </si>
  <si>
    <t>References: Removed Other from Existing Pool Heater list</t>
  </si>
  <si>
    <t>draft80</t>
  </si>
  <si>
    <t>VFD worksheet: Cleared entries</t>
  </si>
  <si>
    <t>Customer Information: changed Common HVAC rebate reference</t>
  </si>
  <si>
    <t>Lock up</t>
  </si>
  <si>
    <t>9.30.30</t>
  </si>
  <si>
    <t>Eligibilty tabs: Hid all measure codes</t>
  </si>
  <si>
    <t>draft81</t>
  </si>
  <si>
    <t>Saving application as V1.0 for release</t>
  </si>
  <si>
    <t>Version 1.0</t>
  </si>
  <si>
    <t>v1.0_draft1.0</t>
  </si>
  <si>
    <t>Created 2021 Application v1.0_Draft 1.0</t>
  </si>
  <si>
    <t>Guidelines Tab: Updated date referenced under "Rebate Guidelines for All Projects" section</t>
  </si>
  <si>
    <t>Tankless Water Heater</t>
  </si>
  <si>
    <t>Appliances References: added tankless water heater savings algorithm from latest draft of 2020 Planning Tool</t>
  </si>
  <si>
    <t>Appliances References: added deemed savings for tankless water savings to existing table</t>
  </si>
  <si>
    <t>Worksheet Appliances: updated total rebate calculation at the top of the tab</t>
  </si>
  <si>
    <t xml:space="preserve">Appliance Calulations: copied HPWH section to create tankless water heater section beneath it. Updated formulas accordingly. </t>
  </si>
  <si>
    <t>Worksheet Appliances: copied HPWH section to create a Tankless Water Heater section beneath it. Updated formulas accordingly.</t>
  </si>
  <si>
    <t>In Unit Post Inspection Form: Added section for Tankless Water Heaters under "Post-Inspection Form - In-Unit Appliances" section</t>
  </si>
  <si>
    <t>11.22.20</t>
  </si>
  <si>
    <t>11.23.20</t>
  </si>
  <si>
    <t>v1.0_draft1.1</t>
  </si>
  <si>
    <t>MTF650</t>
  </si>
  <si>
    <t>Appliances References: Updated measure code for Tankless Water Heater</t>
  </si>
  <si>
    <t>Appliances References: Updated BE &amp; EE CO2 labels for HPWH</t>
  </si>
  <si>
    <t xml:space="preserve">Appliances References: Updated formula for BE CO2 savigns for HPWH by adding all inputs/tables from master internal </t>
  </si>
  <si>
    <t>Appliances References: Copied BE CO2 formula for HPWH for Takless Water Heaters</t>
  </si>
  <si>
    <t>11.24.20</t>
  </si>
  <si>
    <t>Appliance References: Adjusted Tankless Water heater BE CO2 Savings</t>
  </si>
  <si>
    <t>Draft 1.2</t>
  </si>
  <si>
    <t>12.07.20</t>
  </si>
  <si>
    <t xml:space="preserve">Cust Info Tab: Removed In Unit HVAC Checkboxes to In Unit Multi Zone for Partial and In Unit Single Zone for Whole House </t>
  </si>
  <si>
    <t>V1.0_Draft2</t>
  </si>
  <si>
    <t>Cust Info Tab: Removed "Pre-inspection" requirement for header paragraph language</t>
  </si>
  <si>
    <t>HC Ts and Cs tab: Made very hidden - Will incorporate items from Ts and Cs to Guidelines as appropriate</t>
  </si>
  <si>
    <t>Required Docs: Removed Energy Model from list of Required Docs</t>
  </si>
  <si>
    <t>Guidelines Tab: Reworded ENERGY Model row to say Energy model may be submitted but is not required</t>
  </si>
  <si>
    <t>Guidelines Tab: Added rows 32 and 33 from the HC Ts and Cs</t>
  </si>
  <si>
    <t>12.08.20</t>
  </si>
  <si>
    <t>All Tabs: Updated color scheme</t>
  </si>
  <si>
    <t>V1.0_Draft3</t>
  </si>
  <si>
    <t>Appliances ref Tab: Updated rebate value for Connected Smart Therms to $70 and Learning therms to $100</t>
  </si>
  <si>
    <t>In Unit INS Form: Fixed formulas for Tankless Water Heater Manufacturer</t>
  </si>
  <si>
    <t>Ref Tab: Updated Home Comfort - Updated rebate value for Connected Smart Therms to $70 and Learning therms to $100</t>
  </si>
  <si>
    <t>Smar Tstae Tab: Updated rebate values in incentive table to $70 for connected and $100 for learning</t>
  </si>
  <si>
    <t>Whole House Ductless Multi Split - ccASHP Tier II1</t>
  </si>
  <si>
    <t>Whole House Ductless Multi Split - ccASHP Tier II2</t>
  </si>
  <si>
    <t>Whole House Ductless Multi Split - ccASHP Tier II3</t>
  </si>
  <si>
    <t>Ductless Multi Split - ccASHP EH Tier II</t>
  </si>
  <si>
    <t>New Ductless Multi Split - ccASHP Tier II</t>
  </si>
  <si>
    <t>Retrofit Ductless Multi Split - ccASHP Tier II</t>
  </si>
  <si>
    <t>12.09.20</t>
  </si>
  <si>
    <t>Ref Tab: Added Multisplit Measure rows to HC Measure table (highlighted new rows in oranhe)</t>
  </si>
  <si>
    <t>V1.0_Draft3.1</t>
  </si>
  <si>
    <t>Ductless Multi Split - ccASHP</t>
  </si>
  <si>
    <t>Ductless Multi Split - ccASHP EH</t>
  </si>
  <si>
    <t>Appliances Tab: Updated the links to the app reference tab to populate correct rebate value for Smart Therms</t>
  </si>
  <si>
    <t>V1.0_Draft4</t>
  </si>
  <si>
    <t>Ductless Multi Split Systems - Cold Climate ASHP</t>
  </si>
  <si>
    <t>Intergated Control Unit</t>
  </si>
  <si>
    <t>Cooling Type</t>
  </si>
  <si>
    <t>Ductless Mini Split - AC</t>
  </si>
  <si>
    <t>Ductless Mini Split - HP</t>
  </si>
  <si>
    <t>Existing Heating Electric Efficiency</t>
  </si>
  <si>
    <t>Existing Heating FF Efficiency</t>
  </si>
  <si>
    <t>Fossil fuel total</t>
  </si>
  <si>
    <t>*From 2018 In Home Resi study</t>
  </si>
  <si>
    <t>F HSPF</t>
  </si>
  <si>
    <t>Climate Adjustment Factor</t>
  </si>
  <si>
    <t>HSPF &lt;8.5</t>
  </si>
  <si>
    <t>COPseason,baseline</t>
  </si>
  <si>
    <t>EE Savings %</t>
  </si>
  <si>
    <t>BE Savings %</t>
  </si>
  <si>
    <t>HSPF &gt;8.5</t>
  </si>
  <si>
    <t>CO2 Baseline</t>
  </si>
  <si>
    <t>AHRI Capacity Cooling</t>
  </si>
  <si>
    <t>Manual J btu Input</t>
  </si>
  <si>
    <t>Actual Sizing</t>
  </si>
  <si>
    <t>Ratio</t>
  </si>
  <si>
    <t>TRM Sizing</t>
  </si>
  <si>
    <t>Look Up type</t>
  </si>
  <si>
    <t>a</t>
  </si>
  <si>
    <t>b</t>
  </si>
  <si>
    <t>c</t>
  </si>
  <si>
    <t>d</t>
  </si>
  <si>
    <t>EER season,ee</t>
  </si>
  <si>
    <t>COP season,ee</t>
  </si>
  <si>
    <t>F load cooling</t>
  </si>
  <si>
    <t>F load heating</t>
  </si>
  <si>
    <t>Scenario</t>
  </si>
  <si>
    <t>Type (lookup)</t>
  </si>
  <si>
    <t>HP Sizing Ratio</t>
  </si>
  <si>
    <t>F cooling</t>
  </si>
  <si>
    <t>F heating</t>
  </si>
  <si>
    <t>Whole House</t>
  </si>
  <si>
    <t>1d</t>
  </si>
  <si>
    <t>Ducted ccASHP No Fossil Fuel Heater 1</t>
  </si>
  <si>
    <t>Ducted ccASHP Integrated/Modulating Control 1</t>
  </si>
  <si>
    <t>1a</t>
  </si>
  <si>
    <t>Ducted ccASHP Integrated/Modulating Control 0.9</t>
  </si>
  <si>
    <t>1b</t>
  </si>
  <si>
    <t>Ducted ccASHP Freeze Stat 0.9</t>
  </si>
  <si>
    <t>1c</t>
  </si>
  <si>
    <t>Ducted ccASHP Dual Fuel Thermostat 0.9</t>
  </si>
  <si>
    <t>2h</t>
  </si>
  <si>
    <t>Ductless Mini Split - ccASHP No Fossil Fuel Heater 1</t>
  </si>
  <si>
    <t>Ductless Mini Split - ccASHP Integrated/Modulating Control 1</t>
  </si>
  <si>
    <t>2g</t>
  </si>
  <si>
    <t>Ductless Mini Split - ccASHP Integrated/Modulating Control 0.9</t>
  </si>
  <si>
    <t>3c</t>
  </si>
  <si>
    <t>Ductless Multi Split - ccASHP No Fossil Fuel Heater 1</t>
  </si>
  <si>
    <t>Ductless Multi Split - ccASHP Integrated/Modulating Control 1</t>
  </si>
  <si>
    <t>3b</t>
  </si>
  <si>
    <t>Ductless Multi Split - ccASHP Integrated/Modulating Control 0.9</t>
  </si>
  <si>
    <t>Partial Replacement</t>
  </si>
  <si>
    <t>2f</t>
  </si>
  <si>
    <t>Ductless Mini Split - ccASHP Integrated/Modulating Control 0.7</t>
  </si>
  <si>
    <t>Ductless Mini Split - ccASHP Integrated/Fixed Control 0.7</t>
  </si>
  <si>
    <t>Ductless Mini Split - ccASHP Freeze Stat 0.7</t>
  </si>
  <si>
    <t>2c</t>
  </si>
  <si>
    <t>Ductless Mini Split - ccASHP Separate Control 0.7</t>
  </si>
  <si>
    <t>3a</t>
  </si>
  <si>
    <t>Ductless Multi Split - ccASHP Integrated/Modulating Control 0.7</t>
  </si>
  <si>
    <t>Ductless Multi Split - ccASHP Integrated/Fixed Control 0.7</t>
  </si>
  <si>
    <t>Ductless Multi Split - ccASHP Freeze Stat 0.7</t>
  </si>
  <si>
    <t>Ductless Multi Split - ccASHP Separate Control 0.7</t>
  </si>
  <si>
    <t>Average 2f &amp; 2e</t>
  </si>
  <si>
    <t>Ductless Mini Split - ccASHP Integrated/Modulating Control 0.6</t>
  </si>
  <si>
    <t>Ductless Mini Split - ccASHP Integrated/Fixed Control 0.6</t>
  </si>
  <si>
    <t>Ductless Mini Split - ccASHP Freeze Stat 0.6</t>
  </si>
  <si>
    <t>Average 2c &amp; 2b</t>
  </si>
  <si>
    <t>Ductless Mini Split - ccASHP Separate Control 0.6</t>
  </si>
  <si>
    <t>Ductless Multi Split - ccASHP Integrated/Modulating Control 0.6</t>
  </si>
  <si>
    <t>Ductless Multi Split - ccASHP Integrated/Fixed Control 0.6</t>
  </si>
  <si>
    <t>Ductless Multi Split - ccASHP Freeze Stat 0.6</t>
  </si>
  <si>
    <t>Ductless Multi Split - ccASHP Separate Control 0.6</t>
  </si>
  <si>
    <t>2e</t>
  </si>
  <si>
    <t>Ductless Mini Split - ccASHP Integrated/Modulating Control 0.5</t>
  </si>
  <si>
    <t>Ductless Mini Split - ccASHP Integrated/Fixed Control 0.5</t>
  </si>
  <si>
    <t>Ductless Mini Split - ccASHP Freeze Stat 0.5</t>
  </si>
  <si>
    <t>2b</t>
  </si>
  <si>
    <t>Ductless Mini Split - ccASHP Separate Control 0.5</t>
  </si>
  <si>
    <t>Ductless Multi Split - ccASHP Integrated/Modulating Control 0.5</t>
  </si>
  <si>
    <t>Ductless Multi Split - ccASHP Integrated/Fixed Control 0.5</t>
  </si>
  <si>
    <t>Ductless Multi Split - ccASHP Freeze Stat 0.5</t>
  </si>
  <si>
    <t>Ductless Multi Split - ccASHP Separate Control 0.5</t>
  </si>
  <si>
    <t>Average 2e &amp; 2d</t>
  </si>
  <si>
    <t>Ductless Mini Split - ccASHP Integrated/Modulating Control 0.4</t>
  </si>
  <si>
    <t>Ductless Mini Split - ccASHP Integrated/Fixed Control 0.4</t>
  </si>
  <si>
    <t>Ductless Mini Split - ccASHP Freeze Stat 0.4</t>
  </si>
  <si>
    <t>Average 2b &amp; 2a</t>
  </si>
  <si>
    <t>Ductless Mini Split - ccASHP Separate Control 0.4</t>
  </si>
  <si>
    <t>Ductless Multi Split - ccASHP Integrated/Modulating Control 0.4</t>
  </si>
  <si>
    <t>Ductless Multi Split - ccASHP Integrated/Fixed Control 0.4</t>
  </si>
  <si>
    <t>Ductless Multi Split - ccASHP Freeze Stat 0.4</t>
  </si>
  <si>
    <t>Ductless Multi Split - ccASHP Separate Control 0.4</t>
  </si>
  <si>
    <t>2d</t>
  </si>
  <si>
    <t>Ductless Mini Split - ccASHP Integrated/Modulating Control 0.3</t>
  </si>
  <si>
    <t>Ductless Mini Split - ccASHP Integrated/Fixed Control 0.3</t>
  </si>
  <si>
    <t>Ductless Mini Split - ccASHP Freeze Stat 0.3</t>
  </si>
  <si>
    <t>2a</t>
  </si>
  <si>
    <t>Ductless Mini Split - ccASHP Separate Control 0.3</t>
  </si>
  <si>
    <t>Ductless Multi Split - ccASHP Integrated/Modulating Control 0.3</t>
  </si>
  <si>
    <t>Ductless Multi Split - ccASHP Integrated/Fixed Control 0.3</t>
  </si>
  <si>
    <t>Ductless Multi Split - ccASHP Freeze Stat 0.3</t>
  </si>
  <si>
    <t>Ductless Multi Split - ccASHP Separate Control 0.3</t>
  </si>
  <si>
    <t>Integrated/Modulating Control</t>
  </si>
  <si>
    <t>Integrated/Fixed Control</t>
  </si>
  <si>
    <t>12.11.20</t>
  </si>
  <si>
    <t>In Unit HVAC Worksheet: Added Column P</t>
  </si>
  <si>
    <t>In Unit HVAC Worksheet: Made new Column P for Integrated Controls (Unit 1, Unit 2 drop down)</t>
  </si>
  <si>
    <t>References: Added Cold Climate reference table</t>
  </si>
  <si>
    <t>References: Expanded existing cooling table</t>
  </si>
  <si>
    <t xml:space="preserve">References: Expanded existing heating options </t>
  </si>
  <si>
    <t>References: Changed TRUE FALSE EE/BE on existing heating table to %, added electric vs ff efficiency</t>
  </si>
  <si>
    <t>References: Changed EFLH to match NYS TRM</t>
  </si>
  <si>
    <t>References: Added Integrated Controls modulating and fixed</t>
  </si>
  <si>
    <t>Qualifying Index: Added new Existing table</t>
  </si>
  <si>
    <t>Qualifying Index: Added cold climate table</t>
  </si>
  <si>
    <t>Qualifying Index: Updates to match Resi Internal</t>
  </si>
  <si>
    <t>12.14.20</t>
  </si>
  <si>
    <t>Common HVAC References: Updated Baseline to ASHRAE 2016</t>
  </si>
  <si>
    <t>Draft 6</t>
  </si>
  <si>
    <t>References: Added Integrated/Modlating and Integrated/Fixed to measure and rebate table</t>
  </si>
  <si>
    <t>12.16.20</t>
  </si>
  <si>
    <t xml:space="preserve">Common HVAC - Eligibility Table: Added new HVAC Eligibility Reuirements from the HVAC Application senza Whole Building </t>
  </si>
  <si>
    <t>Draft 7</t>
  </si>
  <si>
    <t>MTF655</t>
  </si>
  <si>
    <t>Tankless Water Heater &lt; 12 kW</t>
  </si>
  <si>
    <r>
      <t xml:space="preserve">Tankless Water Heater </t>
    </r>
    <r>
      <rPr>
        <sz val="11"/>
        <color theme="1"/>
        <rFont val="Calibri"/>
        <family val="2"/>
      </rPr>
      <t>≥</t>
    </r>
    <r>
      <rPr>
        <sz val="6.6"/>
        <color theme="1"/>
        <rFont val="Calibri"/>
        <family val="2"/>
      </rPr>
      <t xml:space="preserve"> 12 kW</t>
    </r>
  </si>
  <si>
    <t>Customer Information: Changed In Unti HVAC Macro to Hide/Unhide Smart Thermostat rows on Appliances now that the rows have shifted down</t>
  </si>
  <si>
    <t>Worksheet Appliances: Added Equipment Size to tankless water heaters</t>
  </si>
  <si>
    <t>References: Split Tankless into two measures</t>
  </si>
  <si>
    <t>References: Added Tankless Size categories</t>
  </si>
  <si>
    <t>Worksheet Appliances: Added Drop down to Tankless Water Heater Equipment Sizes</t>
  </si>
  <si>
    <t>12.18.20</t>
  </si>
  <si>
    <t>Appliances Ref Tab: Updated rebate value for HPWH to $600</t>
  </si>
  <si>
    <t>Electric Tankless Water Heater &lt;12 kW or ≥12 kW - $100 and $300 each</t>
  </si>
  <si>
    <t>Worksheet Appliances Tab: Updated Measure Name and rebate for Tankless Water Heater in row 80</t>
  </si>
  <si>
    <t>In Unit HVAC Tab: Updated Name Manager for "Model Data" to include "Unit Controlled" column in Model Data table</t>
  </si>
  <si>
    <t>Existing Other</t>
  </si>
  <si>
    <t>Eligibility Table: Air Cool HP 11.25 - 63 tons COP requirement changed to 3.3 COP</t>
  </si>
  <si>
    <t>12.28.20</t>
  </si>
  <si>
    <t>HVAC References: Chnaged &lt;2.5 tons to Max of 2.499999</t>
  </si>
  <si>
    <t>HVAC Calculations: Cooling kWh rounding using SEER now also references the references tab</t>
  </si>
  <si>
    <t>HVAC Calculations: Heating kW was missing kW increase if Proposed COP is present and baseline is not</t>
  </si>
  <si>
    <t>HVAC References: Added "Existing Other" as abseline with electric CO2</t>
  </si>
  <si>
    <t>HVAC References: Double checked ASHRAE 2016 Baselines</t>
  </si>
  <si>
    <t>HVAC Calculations: Existing Baselin COP Reference search expanded to 4:44</t>
  </si>
  <si>
    <t>12.29.20</t>
  </si>
  <si>
    <t>In-Unit HVAC: Data Validation dragged down for all New Equipment Cells</t>
  </si>
  <si>
    <t>Version1.0_Draft10</t>
  </si>
  <si>
    <t>Ductless Multi Split Systems - Cold Climate Air Source Heat Pumps</t>
  </si>
  <si>
    <t>Tables: Updated Partial and Whole Unit Rebate tables to include Multi-Split and remove contractor incentice</t>
  </si>
  <si>
    <t>In Unit HVAC Tab: Added updated Partial and Whole unit rebate tables</t>
  </si>
  <si>
    <t>Qual Index Tab: Updated formula in Heating MMBTU (Column CI)</t>
  </si>
  <si>
    <t>Cust Info Tab: Updated Pop-up Language for Whole unit to reflect 90-120% instead of 100%</t>
  </si>
  <si>
    <t>Guidelines - Row 35: Updated language for Whole unit to reflect 90-120% instead of 100%</t>
  </si>
  <si>
    <t>Integrated/Modulating Controls</t>
  </si>
  <si>
    <t>Integrated/Fixed Controls</t>
  </si>
  <si>
    <t>In the "Technology Type" drop-down, select Integrated Controls (Modulating or Fixed), Dual Fuel Thermostat, Freeze Stat,
 or No Fossil Fuel Heater</t>
  </si>
  <si>
    <t>If Dual Fuel Thermostat: Select Manufacturer, Approved Thermostat, Model Number and Serial Number</t>
  </si>
  <si>
    <t>If Integrated Controls (Modulating or Fixed): Manually enter Manufacturer, Approved Thermostat, Model Number, and Serial Number</t>
  </si>
  <si>
    <t>- Modulating Controls allow the backup fossil fuel system to modulate to meet the load without limiting the ASHP from delivering its maximum capacity
- Fixed Controls allow the backup fossil fuel system (which is generally larger than the ASHP) to operate because the ASHP is not always able to deliver its maximum capacity</t>
  </si>
  <si>
    <t>All Freeze Stats must have a setpoint of 32 degrees or less</t>
  </si>
  <si>
    <t>All Serial Numbers entered must match invoice</t>
  </si>
  <si>
    <t>IC Tab: Updated rebate table to include modulating and fixed controls</t>
  </si>
  <si>
    <t>IC Tab: Updated instructions to include Modulating and Fixed Controls language</t>
  </si>
  <si>
    <t>Guidelines: Added rows 38 and 39 to inform customer of rebates being calculated based on heating tons at 17f and 47f</t>
  </si>
  <si>
    <t>If the customer will have fossil fuel back-up heat present after the proposed equipment is installed, Integrated Controls (Modulating or Fixed), Freeze Stats, or Dual Fuel Thermostats must be installed. For Ductless Systems, installation of Integrated Controls or Freeze Stats is required.</t>
  </si>
  <si>
    <t>Smart Thermostat incentives are limited to one thermostat per unit and cannot replace an existing Smart Thermostat. The Smart Thermostat must control the installed unit in order to be eligible for an incentive.</t>
  </si>
  <si>
    <t>Tstats and IC Tab: Updated color scheme to match other tabs</t>
  </si>
  <si>
    <t>12.30.20</t>
  </si>
  <si>
    <t xml:space="preserve">Common HVAC References: Double checked Tier 1 </t>
  </si>
  <si>
    <t>Draft 11</t>
  </si>
  <si>
    <t>01.04.20</t>
  </si>
  <si>
    <t>Qualifying Index: Added qualifications for Ics and ccHPs</t>
  </si>
  <si>
    <t>Qualifying Index: Fixed Heating kW and Heating kWh to include QIV if the rest of the savings are BE</t>
  </si>
  <si>
    <t>Qualifying Index: Updated fuel MMBTU for cc vs non-cc</t>
  </si>
  <si>
    <t>Draft 12</t>
  </si>
  <si>
    <t>Cust Info Tab: Updated code for hide/unhide of Ics tab</t>
  </si>
  <si>
    <t>Draft 13</t>
  </si>
  <si>
    <t>1.04.21</t>
  </si>
  <si>
    <t>Locked and finalized for Jan 2021 Launch</t>
  </si>
  <si>
    <t>Fossil Fuel</t>
  </si>
  <si>
    <t>electric</t>
  </si>
  <si>
    <t>Natural gas</t>
  </si>
  <si>
    <t>No Electric Element Present</t>
  </si>
  <si>
    <t>Electric Element Present</t>
  </si>
  <si>
    <t>Water Heater Displacement</t>
  </si>
  <si>
    <t>T,set</t>
  </si>
  <si>
    <t>Water Heater Set Point</t>
  </si>
  <si>
    <t>T,main</t>
  </si>
  <si>
    <t>Cold Water Inlet Temp</t>
  </si>
  <si>
    <t>Water Temp.</t>
  </si>
  <si>
    <t>ASHP &gt; 55 gal</t>
  </si>
  <si>
    <t>ASHP &lt;= 55 gal</t>
  </si>
  <si>
    <t>Full-Service Restaurant</t>
  </si>
  <si>
    <t>Geothermal &gt; 55 gal</t>
  </si>
  <si>
    <t>Geothermal &lt;= 55 gal</t>
  </si>
  <si>
    <t>Elementary School</t>
  </si>
  <si>
    <t>Electric Tankless &lt;= 55 gal</t>
  </si>
  <si>
    <t>Electric Storage &gt; 55 gal</t>
  </si>
  <si>
    <t>*Federal Standard</t>
  </si>
  <si>
    <t>Electric Storage &lt;= 55 gal</t>
  </si>
  <si>
    <t>Propane Tankless &lt;= 55 gal</t>
  </si>
  <si>
    <t>Residential GPD</t>
  </si>
  <si>
    <t>GPD</t>
  </si>
  <si>
    <t>Cooling EFLH</t>
  </si>
  <si>
    <t>Natural Gas Tankless &lt;= 55 gal</t>
  </si>
  <si>
    <t>NG</t>
  </si>
  <si>
    <t>Commercial EFLH LookUp</t>
  </si>
  <si>
    <t>Natural Gas Fired Storage &gt; 55 gal</t>
  </si>
  <si>
    <t>*Same as NG</t>
  </si>
  <si>
    <t>Propane Fired Storage &gt; 55 gal</t>
  </si>
  <si>
    <t>Oil Fired Storage</t>
  </si>
  <si>
    <t>Natural Gas Fired Storage &lt;= 55 gal</t>
  </si>
  <si>
    <t>Propane Fired Storage &lt;= 55 gal</t>
  </si>
  <si>
    <t>UEF (multiplier)</t>
  </si>
  <si>
    <t>UEF (subtracted)</t>
  </si>
  <si>
    <t>UA</t>
  </si>
  <si>
    <t>Part Load</t>
  </si>
  <si>
    <t>Variable Pumping</t>
  </si>
  <si>
    <t>Heating Baseline (NYS TRM v7)</t>
  </si>
  <si>
    <t>Staged Pumping</t>
  </si>
  <si>
    <t>Constant Pumping</t>
  </si>
  <si>
    <t>Full Load</t>
  </si>
  <si>
    <t>CH312-N</t>
  </si>
  <si>
    <t>Early Retirement Ducted Split CAC Tier II</t>
  </si>
  <si>
    <t>CH312-ER</t>
  </si>
  <si>
    <t>Fheating</t>
  </si>
  <si>
    <t>Fcooling</t>
  </si>
  <si>
    <t>Pump power (W/ton)</t>
  </si>
  <si>
    <t>Load</t>
  </si>
  <si>
    <t>Pump type</t>
  </si>
  <si>
    <t>EER, COP Adjustment Factors, Mapped to Application Heat Pump Types</t>
  </si>
  <si>
    <t>Early Retirement Ducted Split CAC Tier I</t>
  </si>
  <si>
    <t>CH311-ER</t>
  </si>
  <si>
    <t>Source: NY TRM v6.1 p. 162</t>
  </si>
  <si>
    <t>Constant flow</t>
  </si>
  <si>
    <t>Low</t>
  </si>
  <si>
    <t>Two-Stage</t>
  </si>
  <si>
    <t>Variable</t>
  </si>
  <si>
    <t>Early Retirement Ducted ASHP Tier II</t>
  </si>
  <si>
    <t>CH212-ER</t>
  </si>
  <si>
    <t>Electric Tankless</t>
  </si>
  <si>
    <t>Variable flow</t>
  </si>
  <si>
    <t>Two-stage</t>
  </si>
  <si>
    <t>Propane Tankless</t>
  </si>
  <si>
    <t>Natural Gas Tankless</t>
  </si>
  <si>
    <t>Pump Type</t>
  </si>
  <si>
    <t>Stage</t>
  </si>
  <si>
    <t>Heat Pump Type</t>
  </si>
  <si>
    <t>Early Retirement Ducted ASHP Tier I</t>
  </si>
  <si>
    <t>CH211-ER</t>
  </si>
  <si>
    <t>Electric Storage</t>
  </si>
  <si>
    <t>EER, COP Adjustment Factors</t>
  </si>
  <si>
    <t xml:space="preserve">Retrofit Ductless Mini Split </t>
  </si>
  <si>
    <t>CH200-R</t>
  </si>
  <si>
    <t>Propane Fired Storage</t>
  </si>
  <si>
    <t xml:space="preserve">New Ductless Mini Split </t>
  </si>
  <si>
    <t>CH200-N</t>
  </si>
  <si>
    <t xml:space="preserve">Early Retirement Ductless Mini Split </t>
  </si>
  <si>
    <t>CH200-ER</t>
  </si>
  <si>
    <t>Natural Gas Fired Storage</t>
  </si>
  <si>
    <t>Geothermal, Water to Water - Open</t>
  </si>
  <si>
    <t>Retrofit Geothermal Tier II</t>
  </si>
  <si>
    <t>CH102-R</t>
  </si>
  <si>
    <t>Geothermal, Water to Water - Closed</t>
  </si>
  <si>
    <t>http://www.metric-conversions.org/weight/pounds-to-metric-tons.htm</t>
  </si>
  <si>
    <t>Reference:</t>
  </si>
  <si>
    <t>New Geothermal Tier II</t>
  </si>
  <si>
    <t>CH102-N</t>
  </si>
  <si>
    <t>Geothermal HP</t>
  </si>
  <si>
    <t>Geothermal System</t>
  </si>
  <si>
    <t>lbs</t>
  </si>
  <si>
    <t xml:space="preserve">1 Metric Ton = </t>
  </si>
  <si>
    <t>Retrofit Geothermal Tier I</t>
  </si>
  <si>
    <t>CH101-R</t>
  </si>
  <si>
    <t>Water Heating</t>
  </si>
  <si>
    <t>New Geothermal Tier I</t>
  </si>
  <si>
    <t>CH101-N</t>
  </si>
  <si>
    <t>Source: EIA</t>
  </si>
  <si>
    <t>Cost</t>
  </si>
  <si>
    <t>gallons of Gasoline</t>
  </si>
  <si>
    <t>Gasoline</t>
  </si>
  <si>
    <t>Desuperheater Savings</t>
  </si>
  <si>
    <t>Boiler and Furnace HSPF is based upon 75% AFUE x 3.412 for Boilers and 78% AFUE x 3.412 for Furnaces</t>
  </si>
  <si>
    <t>therms</t>
  </si>
  <si>
    <t>Boiler and Furnaces assumed CAC for cooling</t>
  </si>
  <si>
    <t>gallons LP gas</t>
  </si>
  <si>
    <t>gallons of #2 fuel oil</t>
  </si>
  <si>
    <t>Fuel Unit</t>
  </si>
  <si>
    <t>MMBtu/Fuel Unit</t>
  </si>
  <si>
    <t>ton CO2 / MMBtu</t>
  </si>
  <si>
    <t>lb CO2 / MMBtu</t>
  </si>
  <si>
    <t>Retrofit Tier II</t>
  </si>
  <si>
    <t>Retrofit Tier I</t>
  </si>
  <si>
    <t>New Install Tier II</t>
  </si>
  <si>
    <t>New Install Tier I</t>
  </si>
  <si>
    <t>Fossil Fuel Factors</t>
  </si>
  <si>
    <r>
      <t>Contractor Incentive</t>
    </r>
    <r>
      <rPr>
        <b/>
        <vertAlign val="superscript"/>
        <sz val="11"/>
        <color indexed="9"/>
        <rFont val="Calibri"/>
        <family val="2"/>
      </rPr>
      <t>1</t>
    </r>
  </si>
  <si>
    <t>Source: NYS TRM version 6.1</t>
  </si>
  <si>
    <t>Fdist,h - HP</t>
  </si>
  <si>
    <t>Variable Speed</t>
  </si>
  <si>
    <t>Fdist,h - FF</t>
  </si>
  <si>
    <t>Multi-Stage</t>
  </si>
  <si>
    <r>
      <t>F</t>
    </r>
    <r>
      <rPr>
        <vertAlign val="subscript"/>
        <sz val="11"/>
        <color indexed="8"/>
        <rFont val="Calibri"/>
        <family val="2"/>
      </rPr>
      <t>HSPF</t>
    </r>
  </si>
  <si>
    <t>Fdist,c</t>
  </si>
  <si>
    <t>W to Btu/hr</t>
  </si>
  <si>
    <t>kWh to MMBtu</t>
  </si>
  <si>
    <t>Dual Stage</t>
  </si>
  <si>
    <t>Electric to Btu Conversion Factors</t>
  </si>
  <si>
    <t>Single Stage</t>
  </si>
  <si>
    <r>
      <t>F</t>
    </r>
    <r>
      <rPr>
        <vertAlign val="subscript"/>
        <sz val="11"/>
        <color indexed="8"/>
        <rFont val="Calibri"/>
        <family val="2"/>
      </rPr>
      <t>part</t>
    </r>
  </si>
  <si>
    <t>COPcorrection</t>
  </si>
  <si>
    <t>Stages</t>
  </si>
  <si>
    <r>
      <t>F</t>
    </r>
    <r>
      <rPr>
        <vertAlign val="subscript"/>
        <sz val="11"/>
        <color indexed="8"/>
        <rFont val="Calibri"/>
        <family val="2"/>
      </rPr>
      <t>full</t>
    </r>
  </si>
  <si>
    <t>EERcorrction</t>
  </si>
  <si>
    <t>ton CO2 / MWh</t>
  </si>
  <si>
    <t>lb CO2 / kWh</t>
  </si>
  <si>
    <t>Emmision Factors</t>
  </si>
  <si>
    <t>Commercial</t>
  </si>
  <si>
    <t>Ductless Mini Split</t>
  </si>
  <si>
    <t>Residential</t>
  </si>
  <si>
    <t>NYC, Average Vintage</t>
  </si>
  <si>
    <t>Unit 4</t>
  </si>
  <si>
    <t>Sector</t>
  </si>
  <si>
    <t>Full Load Hours EB (NY TRM)</t>
  </si>
  <si>
    <t>Full Load Hours NC (NY TRM)</t>
  </si>
  <si>
    <t xml:space="preserve">Oil Boiler </t>
  </si>
  <si>
    <t xml:space="preserve">Natural Gas Boiler </t>
  </si>
  <si>
    <t>Ground-Coupled</t>
  </si>
  <si>
    <t>Geothermal, DGX</t>
  </si>
  <si>
    <t>Oil Furnace &gt;= 225 kBtuh</t>
  </si>
  <si>
    <t>Open Loop/Well</t>
  </si>
  <si>
    <t>Natural Gas Furnace &gt;=225 kBtuh</t>
  </si>
  <si>
    <t>Existing Building</t>
  </si>
  <si>
    <t>Options</t>
  </si>
  <si>
    <t>Propane Furnace &gt;= 225 kBtuh</t>
  </si>
  <si>
    <t>Geothermal, Water to Air - Open</t>
  </si>
  <si>
    <t>Selected</t>
  </si>
  <si>
    <t>Oil Furnace &lt;225 kBtuh</t>
  </si>
  <si>
    <t>Geothermal, Water to Air - Closed</t>
  </si>
  <si>
    <t>Existing Heating Source</t>
  </si>
  <si>
    <t>Natural Gas Furnace &lt;225 kBtuh</t>
  </si>
  <si>
    <t>Geo Type Index</t>
  </si>
  <si>
    <t>Propane Furnace &lt;225 kBtuh</t>
  </si>
  <si>
    <t>All Commercial Geothermal Units</t>
  </si>
  <si>
    <t>Geothermal HP Water Heater Geothermal, Water to Water - Open</t>
  </si>
  <si>
    <t>G130-R</t>
  </si>
  <si>
    <t>In agreement?</t>
  </si>
  <si>
    <t>Number of power phases</t>
  </si>
  <si>
    <t>Geothermal HP Water Heater Geothermal, Water to Water - Closed</t>
  </si>
  <si>
    <t>G120-R</t>
  </si>
  <si>
    <t>Loop Field Cx Form Lists</t>
  </si>
  <si>
    <t>Customer Sector</t>
  </si>
  <si>
    <t>Geothermal System Water Heater Geothermal, Water to Water - Open</t>
  </si>
  <si>
    <t>G130-N</t>
  </si>
  <si>
    <t>Geothermal System Water Heater Geothermal, Water to Water - Closed</t>
  </si>
  <si>
    <t>G120-N</t>
  </si>
  <si>
    <t>Room AC</t>
  </si>
  <si>
    <t>G112-R</t>
  </si>
  <si>
    <t>Geothermal HP Geothermal, Water to Water - Open Tier II</t>
  </si>
  <si>
    <t>G111-R</t>
  </si>
  <si>
    <t>Geothermal HP Geothermal, Water to Water - Open Tier I</t>
  </si>
  <si>
    <t>G110-R</t>
  </si>
  <si>
    <t>Ductless Mini split</t>
  </si>
  <si>
    <t>Geothermal HP Geothermal, Water to Water - Closed Tier II</t>
  </si>
  <si>
    <t>G109-R</t>
  </si>
  <si>
    <t>Geothermal HP Geothermal, Water to Water - Closed Tier I</t>
  </si>
  <si>
    <t>Effective Full Load Hours</t>
  </si>
  <si>
    <t>G108-R</t>
  </si>
  <si>
    <t>Converted (EER)</t>
  </si>
  <si>
    <t>Efficiency (SEER)</t>
  </si>
  <si>
    <t>Geothermal HP Geothermal, Water to Air - Open Tier II</t>
  </si>
  <si>
    <t>G107-R</t>
  </si>
  <si>
    <t>Geothermal HP Geothermal, Water to Air - Open Tier I</t>
  </si>
  <si>
    <t>G106-R</t>
  </si>
  <si>
    <t>Geothermal HP Geothermal, Water to Air - Closed Tier II</t>
  </si>
  <si>
    <t>G105-R</t>
  </si>
  <si>
    <t>Geothermal HP Geothermal, Water to Air - Closed Tier I</t>
  </si>
  <si>
    <t>Central Air Conditioning/Heat Pumps</t>
  </si>
  <si>
    <t>G104-R</t>
  </si>
  <si>
    <t>Geothermal HP Geothermal, DGX Tier II</t>
  </si>
  <si>
    <t>G103-R</t>
  </si>
  <si>
    <t>Geothermal HP Geothermal, DGX Tier I</t>
  </si>
  <si>
    <t>G112-N</t>
  </si>
  <si>
    <t>Geothermal System Geothermal, Water to Water - Open Tier II</t>
  </si>
  <si>
    <t>Space &amp; Water Heating</t>
  </si>
  <si>
    <t>G111-N</t>
  </si>
  <si>
    <t>Geothermal System Geothermal, Water to Water - Open Tier I</t>
  </si>
  <si>
    <t>Space Heating</t>
  </si>
  <si>
    <t>G110-N</t>
  </si>
  <si>
    <t>Geothermal System Geothermal, Water to Water - Closed Tier II</t>
  </si>
  <si>
    <t>G109-N</t>
  </si>
  <si>
    <t>Geothermal System Geothermal, Water to Water - Closed Tier I</t>
  </si>
  <si>
    <t>G108-N</t>
  </si>
  <si>
    <t>Geothermal System Geothermal, Water to Air - Open Tier II</t>
  </si>
  <si>
    <t>G107-N</t>
  </si>
  <si>
    <t>Geothermal System Geothermal, Water to Air - Open Tier I</t>
  </si>
  <si>
    <t>G106-N</t>
  </si>
  <si>
    <t>Geothermal System Geothermal, Water to Air - Closed Tier II</t>
  </si>
  <si>
    <t>G105-N</t>
  </si>
  <si>
    <t>Geothermal System Geothermal, Water to Air - Closed Tier I</t>
  </si>
  <si>
    <t>G104-N</t>
  </si>
  <si>
    <t>Geothermal System Geothermal, DGX Tier II</t>
  </si>
  <si>
    <t>G103-N</t>
  </si>
  <si>
    <t>Geothermal System Geothermal, DGX Tier I</t>
  </si>
  <si>
    <t>Qualifying Index</t>
  </si>
  <si>
    <t>Qualifying Tier</t>
  </si>
  <si>
    <t>Qualifying COP</t>
  </si>
  <si>
    <t>Look Up</t>
  </si>
  <si>
    <t>Configuration</t>
  </si>
  <si>
    <t>System Type</t>
  </si>
  <si>
    <t>Application Type</t>
  </si>
  <si>
    <t>Cooling Part Load</t>
  </si>
  <si>
    <t>Cooling Full Load</t>
  </si>
  <si>
    <t>Heating Full Load</t>
  </si>
  <si>
    <t>Desuperheater</t>
  </si>
  <si>
    <t>Missing Info (Selected Sector)</t>
  </si>
  <si>
    <t>Equipment Sized in Accordance with Manual S?</t>
  </si>
  <si>
    <t>Full Load Efficiency</t>
  </si>
  <si>
    <t>Total Savings in MMBtu</t>
  </si>
  <si>
    <t>Fossil MMBtu</t>
  </si>
  <si>
    <t>Gross BE lb/CO2</t>
  </si>
  <si>
    <t>Gross EE lb/CO2</t>
  </si>
  <si>
    <t>Gross BE MMBtu</t>
  </si>
  <si>
    <t>Gross EE MMBtu</t>
  </si>
  <si>
    <t>Gross EE kWh</t>
  </si>
  <si>
    <t>Winter kW</t>
  </si>
  <si>
    <t>Summer Peak kW</t>
  </si>
  <si>
    <t>Qgshp,dhw</t>
  </si>
  <si>
    <t>COPgshp,dhw</t>
  </si>
  <si>
    <t>Proposed System</t>
  </si>
  <si>
    <t>ER Element</t>
  </si>
  <si>
    <t>Delta T</t>
  </si>
  <si>
    <t>Baseline UEF</t>
  </si>
  <si>
    <t>Baseline UA</t>
  </si>
  <si>
    <t>Baseline Gallons</t>
  </si>
  <si>
    <t>Fossil Fuel vs. Electric</t>
  </si>
  <si>
    <t>Baseline Heating</t>
  </si>
  <si>
    <t>Total Savings</t>
  </si>
  <si>
    <t>Gross BE ton/CO2</t>
  </si>
  <si>
    <t>Gross EE ton/CO2</t>
  </si>
  <si>
    <t>MMBtu</t>
  </si>
  <si>
    <t>Includes a Desuperheater?</t>
  </si>
  <si>
    <t>Cooling Usage</t>
  </si>
  <si>
    <t>Seasonal EER</t>
  </si>
  <si>
    <t>Fpump,part</t>
  </si>
  <si>
    <t>Fpump,full</t>
  </si>
  <si>
    <t>Part-Load EER</t>
  </si>
  <si>
    <t>Full-Load EER</t>
  </si>
  <si>
    <t>Loop Type</t>
  </si>
  <si>
    <t>Geothermal Cooling Load (Btuh)</t>
  </si>
  <si>
    <t>Gallons of LP</t>
  </si>
  <si>
    <t>Gallons of Oil</t>
  </si>
  <si>
    <t>Natural Gas (Therms)</t>
  </si>
  <si>
    <t>Seasonal COP</t>
  </si>
  <si>
    <t>Fdist,h</t>
  </si>
  <si>
    <t>Baseline AFUE</t>
  </si>
  <si>
    <t>Goethermal Heating Load (Btuh)</t>
  </si>
  <si>
    <t>Baseline Cooling</t>
  </si>
  <si>
    <t>Water Heating Savings</t>
  </si>
  <si>
    <t>Proposed kWh</t>
  </si>
  <si>
    <t>Proposed Efficiency</t>
  </si>
  <si>
    <t>Baseline kWh</t>
  </si>
  <si>
    <t>Baseline Full-Load Efficiency</t>
  </si>
  <si>
    <t>Heating Savings ton/CO2</t>
  </si>
  <si>
    <t>Heating Savings MMBTU</t>
  </si>
  <si>
    <t>Heating Savings Electric</t>
  </si>
  <si>
    <t>Proposed Heating Usage</t>
  </si>
  <si>
    <t>Baseline Heating Usage</t>
  </si>
  <si>
    <t>Proposed Heating Efficiency</t>
  </si>
  <si>
    <t>Calculations</t>
  </si>
  <si>
    <t>Operating? (Y/N)</t>
  </si>
  <si>
    <t>&lt;-- Check for Completeness</t>
  </si>
  <si>
    <t xml:space="preserve">Residential Only - Desuperheater Included? </t>
  </si>
  <si>
    <t>Condenser information must be entered in all cases.  In cases where Coil/Air Handler information is not available, please enter "N/A".</t>
  </si>
  <si>
    <t>Heating System + Size</t>
  </si>
  <si>
    <t>Heating System + Fuel Type</t>
  </si>
  <si>
    <t>COP/ AFUE</t>
  </si>
  <si>
    <t>Heating btuh</t>
  </si>
  <si>
    <t>Cooling btuh</t>
  </si>
  <si>
    <r>
      <rPr>
        <b/>
        <sz val="11"/>
        <color indexed="9"/>
        <rFont val="Calibri"/>
        <family val="2"/>
      </rPr>
      <t>←</t>
    </r>
    <r>
      <rPr>
        <b/>
        <sz val="11"/>
        <color indexed="9"/>
        <rFont val="Arial Narrow"/>
        <family val="2"/>
      </rPr>
      <t xml:space="preserve"> Check Completeness</t>
    </r>
  </si>
  <si>
    <t>Part Load Efficiency</t>
  </si>
  <si>
    <t>AHRI Part Load Capacity</t>
  </si>
  <si>
    <t>AHRI Full Load Capacity</t>
  </si>
  <si>
    <t>Stage_Pump Type</t>
  </si>
  <si>
    <t>Application Type
(New System or Retrofit HP)</t>
  </si>
  <si>
    <t>2. Contractor Incentive of $200 applies to first unit, each additional unit will receive $100 per unit.</t>
  </si>
  <si>
    <t>1. The specifications apply to single stage GSHP models.  Multi-stage GSHP models may be qualified based on a calculation utilizing both part load as well as full load efficiency values.</t>
  </si>
  <si>
    <t>Available rebate amounts, when eligible, will populate automatically based upon data entered.</t>
  </si>
  <si>
    <t xml:space="preserve">Enter Tonnage and all applicable Efficiency ratings (EER &amp; COP).  </t>
  </si>
  <si>
    <t>Select Existing Equipment when applicable, from drop down menu: Ductless Mini Split System, Central Air Conditioner (CAC), Air Source Heat Pump (ASHP),Room Air Conditioner (AC), Air Conditioners - Air Cooled, Air Conditioners - Water &amp; Evaporatively Cooled, Air Cooled Heat Pumps, Ductless Mini Split Heat Pumps, Packaged Terminal Air Conditioners, Packaged Terminal Heat Pumps, or if no equipment currently exists, simply select "None".</t>
  </si>
  <si>
    <t xml:space="preserve">Select Geothermal System/Geothermal HP (Retrofit) from drop down menu.  If Geothermal System is selected, a new well or ground heat exchange is installed. If Geothermal Heat Pump is selected an existing Geothermal System is being replaced.
</t>
  </si>
  <si>
    <t xml:space="preserve">Select the appropriate options based upon the proposed equipment including the system type as well as system use. </t>
  </si>
  <si>
    <r>
      <t xml:space="preserve">Important: </t>
    </r>
    <r>
      <rPr>
        <b/>
        <i/>
        <sz val="14"/>
        <color indexed="10"/>
        <rFont val="Arial Narrow"/>
        <family val="2"/>
      </rPr>
      <t>In order to properly use worksheet, all macros MUST be enabled.</t>
    </r>
    <r>
      <rPr>
        <i/>
        <sz val="14"/>
        <rFont val="Arial Narrow"/>
        <family val="2"/>
      </rPr>
      <t xml:space="preserve">  Please read all instructions thoroughly before submitting forms</t>
    </r>
  </si>
  <si>
    <t>Supplemental Electric Heat?</t>
  </si>
  <si>
    <t>UEF</t>
  </si>
  <si>
    <t>Storage Tank Size (gallons)</t>
  </si>
  <si>
    <t>Water Heater Type</t>
  </si>
  <si>
    <t>Existing Equipment Information</t>
  </si>
  <si>
    <t>AHRI Full Load 
COP</t>
  </si>
  <si>
    <t>AHRI Full Load 
Heating btuh</t>
  </si>
  <si>
    <t xml:space="preserve">Enter Capacity and all applicable Efficiency ratings (COP).  </t>
  </si>
  <si>
    <t>Select Existing Equipment when applicable, from drop down menu: Natural Gas Fired Storage, Oil Fired Storage, Propane Fired Storage, Electric Storage, Natural Gas Tankless, Propane Tankless, Electric Tankless, Air Source Heat Pump (ASHP), Geothermal, None</t>
  </si>
  <si>
    <t>Commissioning Technician Signature:</t>
  </si>
  <si>
    <t>General Notes:</t>
  </si>
  <si>
    <t>Coefficient of Performance (COP)</t>
  </si>
  <si>
    <t>Electrical Demand (W)</t>
  </si>
  <si>
    <t>Heating Capacity (Btu/hr)</t>
  </si>
  <si>
    <t>Heat of Extraction (Btu/hr)</t>
  </si>
  <si>
    <t>Explanation 
(if necessary)</t>
  </si>
  <si>
    <t>In Agreement?</t>
  </si>
  <si>
    <t>Difference</t>
  </si>
  <si>
    <t>Manufacturer's Data</t>
  </si>
  <si>
    <t>Measured Value</t>
  </si>
  <si>
    <t>Parameter</t>
  </si>
  <si>
    <t>Overall Performance Check</t>
  </si>
  <si>
    <t>Btu/hr</t>
  </si>
  <si>
    <t>GSHP Heating Capacity</t>
  </si>
  <si>
    <t>Electrical Demand</t>
  </si>
  <si>
    <t>amps</t>
  </si>
  <si>
    <t>Measured current draw</t>
  </si>
  <si>
    <t>volts</t>
  </si>
  <si>
    <t>Measured voltage</t>
  </si>
  <si>
    <t>Measure voltage supplied to GSHP and measure current draw</t>
  </si>
  <si>
    <t>Capacity and Efficiency Calculation</t>
  </si>
  <si>
    <t>Heat of Extraction</t>
  </si>
  <si>
    <t>Estimated K-Value (default = 500)</t>
  </si>
  <si>
    <t>Concentration (volume %)</t>
  </si>
  <si>
    <t>deg. F</t>
  </si>
  <si>
    <t>Fluid Temp</t>
  </si>
  <si>
    <t>Circulating Fluid Type</t>
  </si>
  <si>
    <t>Heat of Extraction Calculation</t>
  </si>
  <si>
    <t>gpm</t>
  </si>
  <si>
    <t>Measured Flow Rate (GPM)</t>
  </si>
  <si>
    <t>psi</t>
  </si>
  <si>
    <t>Pressure Difference</t>
  </si>
  <si>
    <t>Outlet Load Pressure</t>
  </si>
  <si>
    <t>Outlet Pressure</t>
  </si>
  <si>
    <t>Inlet Load Pressure</t>
  </si>
  <si>
    <t>Inlet Pressure</t>
  </si>
  <si>
    <t>Temperature Difference</t>
  </si>
  <si>
    <t>Leaving Load Temperature</t>
  </si>
  <si>
    <t>Leaving Water Temperature</t>
  </si>
  <si>
    <t>Entering Load Temperature</t>
  </si>
  <si>
    <t>Entering Water Temperature</t>
  </si>
  <si>
    <t>Load-Side Coil (Water-to-Water Systems ONLY)</t>
  </si>
  <si>
    <t>Primary or Source-Side Coil</t>
  </si>
  <si>
    <t>Set thermostat to Heating Mode, run continuously for 10 minutes and then take temperature and pressure readings across the water refrigerant coil(s)</t>
  </si>
  <si>
    <t>Loop Field Pressure and Temperature Data During Heating Mode</t>
  </si>
  <si>
    <t>System Type:</t>
  </si>
  <si>
    <t>Manual J/N  Load Calculation</t>
  </si>
  <si>
    <r>
      <t>Efficiency Requirements</t>
    </r>
    <r>
      <rPr>
        <b/>
        <vertAlign val="superscript"/>
        <sz val="11"/>
        <color indexed="9"/>
        <rFont val="Arial Narrow"/>
        <family val="2"/>
      </rPr>
      <t>1</t>
    </r>
  </si>
  <si>
    <t>Tier I COP</t>
  </si>
  <si>
    <t>Tier II EER</t>
  </si>
  <si>
    <t>Tier II COP</t>
  </si>
  <si>
    <r>
      <t>Desuperheater Incentive</t>
    </r>
    <r>
      <rPr>
        <b/>
        <vertAlign val="superscript"/>
        <sz val="11"/>
        <color indexed="9"/>
        <rFont val="Calibri"/>
        <family val="2"/>
      </rPr>
      <t>3</t>
    </r>
  </si>
  <si>
    <t>Residential-Only</t>
  </si>
  <si>
    <r>
      <t>Contractor Incentive</t>
    </r>
    <r>
      <rPr>
        <b/>
        <vertAlign val="superscript"/>
        <sz val="11"/>
        <color indexed="9"/>
        <rFont val="Calibri"/>
        <family val="2"/>
      </rPr>
      <t>2</t>
    </r>
  </si>
  <si>
    <t>Manual J/N Btu Range</t>
  </si>
  <si>
    <t>1.19.21</t>
  </si>
  <si>
    <t>Space Heating tab transferred from Geo</t>
  </si>
  <si>
    <t>Dedicated Water Heating tab transferred from Geo</t>
  </si>
  <si>
    <t>Version 1.1_draft1</t>
  </si>
  <si>
    <t>Qualifying Index: Copied Geo calcs and qualifying index from Geo Application</t>
  </si>
  <si>
    <t>References: Copied over Geo References and Table from Geo Application</t>
  </si>
  <si>
    <t>Space HeatingWorksheet: Added Column for Sector</t>
  </si>
  <si>
    <t>Dedicated Water Heating: Added Column for Sector</t>
  </si>
  <si>
    <t>Qualifying Index: Added Columns for Sector to all four geo tables</t>
  </si>
  <si>
    <t>Qualifying Index: Changed Customer_Sector reference to new column for Sector</t>
  </si>
  <si>
    <t>Broke remaining links to the Geothermal Application</t>
  </si>
  <si>
    <t>draft2</t>
  </si>
  <si>
    <t>Low Rise</t>
  </si>
  <si>
    <t>References: Changed EFLH to Multifamily</t>
  </si>
  <si>
    <t>High Rise/Low Rise</t>
  </si>
  <si>
    <t>High Rise</t>
  </si>
  <si>
    <t>New Construction/Existing Building</t>
  </si>
  <si>
    <t>Customer Information: Added Building Type drop down</t>
  </si>
  <si>
    <t>Customer Information: Changed Option buttons to New Construction and Existing Building</t>
  </si>
  <si>
    <t>Cooling Equipment Type (Required)</t>
  </si>
  <si>
    <t>Heating Equipment Type (Required)</t>
  </si>
  <si>
    <t>In Unit HVAC: Updated Existing Equipment table to have Cooling Equipment Type and Heatin Equipment Type fields</t>
  </si>
  <si>
    <t>draft3</t>
  </si>
  <si>
    <t>1.20.21</t>
  </si>
  <si>
    <t>In Unit HVAC: Updated Cooling Equipment Type and Heatin Equipment Type fields to reference the References tab for system types</t>
  </si>
  <si>
    <t>In Unit HVAC: Added AFUE field to Existing Equipment field</t>
  </si>
  <si>
    <t>Qualifying index: Adjusted Existing Cooling and Heating type formulas</t>
  </si>
  <si>
    <t>Common VFD Worksheet: Unhidden</t>
  </si>
  <si>
    <t>Qualifying Index: Adjusted EFLH formulas for In Unit HVAC to incorporate Existing building hours</t>
  </si>
  <si>
    <t>1.21.21</t>
  </si>
  <si>
    <t>Customer Information: Added VFD Check box</t>
  </si>
  <si>
    <t>draft 4</t>
  </si>
  <si>
    <t>Qualifying Index: Updated Existing Equipment Efficiencies</t>
  </si>
  <si>
    <t>1.22.21</t>
  </si>
  <si>
    <t>LMI Certification Form added (copied from Project completion Form tab)</t>
  </si>
  <si>
    <t>draft 5</t>
  </si>
  <si>
    <t>In Unit HVAC</t>
  </si>
  <si>
    <t>In Unit LEDs</t>
  </si>
  <si>
    <t>Water Heaters</t>
  </si>
  <si>
    <t>Other Appliances</t>
  </si>
  <si>
    <t>Washers</t>
  </si>
  <si>
    <t>Dryers</t>
  </si>
  <si>
    <t>Partial House</t>
  </si>
  <si>
    <t>1.25.21</t>
  </si>
  <si>
    <t>LMI Certification Form: Added Income eligibility table</t>
  </si>
  <si>
    <t>LMI Certificatoin: Resized cells, fixed wording</t>
  </si>
  <si>
    <t>draft6</t>
  </si>
  <si>
    <t>Common HVAC - Eligiblity Table: Added rows above Air Conditioning table</t>
  </si>
  <si>
    <t>Common HVAC - Eligiblity Table: Added RACs now that Existing Building is an option</t>
  </si>
  <si>
    <t>Common HVAC: Unhid Existing Equipment table</t>
  </si>
  <si>
    <t>2.1.21</t>
  </si>
  <si>
    <t>Appliances Ref Tab: Correct HP Dryer rebate to $300</t>
  </si>
  <si>
    <t>Draft7</t>
  </si>
  <si>
    <t>2.2.21</t>
  </si>
  <si>
    <t>Space Heating Worksheet: Removed Contractor Incentive</t>
  </si>
  <si>
    <t>Draft8</t>
  </si>
  <si>
    <t>2.3.21</t>
  </si>
  <si>
    <t>Appliances Ref Tab: Corrected specialty bulb incentive to 2.25</t>
  </si>
  <si>
    <t>Draft9</t>
  </si>
  <si>
    <t>3.9.21</t>
  </si>
  <si>
    <t>Dev Tab: Updated effective date to 4.5.21-7.02.21</t>
  </si>
  <si>
    <t>Draft10</t>
  </si>
  <si>
    <t>Cust Info Tab: Added Common Area VFDS to paragraph in row 4</t>
  </si>
  <si>
    <t>Guidelines Tab: Unhid rows 55-61 for VFD language</t>
  </si>
  <si>
    <t>Guidelines Tab: Row 44 - Added "Cold Climate" to integrated controls statement so it reads Whole House and Cold Climate installations required Integrated Controls</t>
  </si>
  <si>
    <t>Guidelines Tab: Row 8 - Added effective date of 7.02.2021</t>
  </si>
  <si>
    <t>Ref Tab: Updated rebates for Home Comfort Whole House Scenario 2 to $1,000/ton and Scenario 3 to $800/Ton</t>
  </si>
  <si>
    <t>Ref Tab: Updated Rebates for Home Comfort LMI and EH to $3,000/Ton (only cold climate measures)</t>
  </si>
  <si>
    <t>Ref Tab: Updated Rebates for Home Comfort Ducted ccASHP from $350 to $375/Ton and for Ductless ccASHP from $300 to $325/tom</t>
  </si>
  <si>
    <t>Appliances Worksheet Tab: Added the following under bullet 4 in the instructions "'- The ENERGY STAR listing does not apply to the Electric Tankless Water Heater"</t>
  </si>
  <si>
    <t>Cust Info Tab: Unlocked Building Type Drop Down Cell</t>
  </si>
  <si>
    <t>Guidelines Tab: Row 42- Added language that Low-Rise MultiFamily Buildings are eligible for GSHP, but High-Rise is not. This is per NYS TRM</t>
  </si>
  <si>
    <t>Guidelines Tab: Added section for Geothermal Space Heating and Water Heating - Applies to Low Rise Residential only</t>
  </si>
  <si>
    <t>Req Docs Tab: Added required Docs for Geothermal</t>
  </si>
  <si>
    <t>Space Heating Worksheet Tab: Added a 4th item under the eligibility table "4. Low-Rise In-Unit installations qualify only"</t>
  </si>
  <si>
    <t>Water Heating Worksheet Tab: Added language below eligibility table - * Low-Rise In-Unit installations qualify only</t>
  </si>
  <si>
    <t>VFD Tab: Updated formatting to be consistent with all tabs (color scheme)</t>
  </si>
  <si>
    <t>**Updated 3/09 based on PSEG approval email on 3/05 - Also including Existing Building selections</t>
  </si>
  <si>
    <t>Tables Tab: Updated Whole House table to include Scenario 2 and Scenario 3</t>
  </si>
  <si>
    <t>Tables Tab: Updated Scenario 2 rebates to $1,000/ton and Scenario 3 rebate to $800/tom</t>
  </si>
  <si>
    <t>In-Unit Worksheet Ta: Replaced Whole House rebate table with updated table</t>
  </si>
  <si>
    <t>Tables Tab: Corrected table and updated rebates for Ducted CC equipment to $375/ton and Ductless CC equipment to $325/ton</t>
  </si>
  <si>
    <t>In-Unit Worksheeet Tab: Replaced Partial House rebate table with updated table</t>
  </si>
  <si>
    <t>3.11.21</t>
  </si>
  <si>
    <t>Guidelines Tab" row 42 - Added language to make it cleae that Common area and in-unit qualify for GSHP offering in Low Rise building</t>
  </si>
  <si>
    <t>Space heating worksheet - row 26:  Updated eligiblity language to: Low-Rise In-Unit  and Common Area installations qualify only. High-Rise buildings are not eligible</t>
  </si>
  <si>
    <t>*Low-Rise In-Unit  and Common Area installations qualify only. High-Rise buildings are not eligible</t>
  </si>
  <si>
    <t>Dedidcated Water Heating Worksheet - row 22: updated eligibility language to : Low-Rise In-Unit  and Common Area installations qualify only. High-Rise buildings are not eligible</t>
  </si>
  <si>
    <t>Refer to the "Mass Save" list of qualified controls (Speak to your PSEG Long Island Representative if clarification is required)</t>
  </si>
  <si>
    <t>IC Tab: Removed NYSERDA QPL language and replaced with Mass Save</t>
  </si>
  <si>
    <t>3.25.21</t>
  </si>
  <si>
    <t>Customer Info: Added Geothermal check box</t>
  </si>
  <si>
    <t>3.26.21</t>
  </si>
  <si>
    <t>Space Heating Worksheet: Multiplied Rebate with Quantity</t>
  </si>
  <si>
    <t>Draft 14</t>
  </si>
  <si>
    <t>Dedicated Water Heating: Multiplied Rebate with Quantity</t>
  </si>
  <si>
    <t>3.29.21</t>
  </si>
  <si>
    <t>References: Updated Ductless Prtial House rebates per MV email 3/26</t>
  </si>
  <si>
    <t>Draft 15</t>
  </si>
  <si>
    <t>In Unit HVAC: Updated Ductless Partial House rebates</t>
  </si>
  <si>
    <t>Dev Tab: Updated effective date to 4.2.21-7.02.21</t>
  </si>
  <si>
    <t>3.30.21</t>
  </si>
  <si>
    <t>In-Unit Worksheet Tab - Updated properties on partial house table to hide and un-hide whole house/partial house tables</t>
  </si>
  <si>
    <t>Draft16</t>
  </si>
  <si>
    <t>In-Unit Worksheet Tab - Hid column O</t>
  </si>
  <si>
    <t>4.1.21</t>
  </si>
  <si>
    <t>Common HVAC References: Removed ccASHPs</t>
  </si>
  <si>
    <t>Draft 17</t>
  </si>
  <si>
    <t>For Common Area - Indoor Lighting, indicate existing lamp type, i.e. CFL, T8, T12, New Install etc.</t>
  </si>
  <si>
    <t xml:space="preserve">For Common Area - Outdoor Lighting, indicate existing lamp type, i.e. incandescent, MH, HPS, New Install, etc. </t>
  </si>
  <si>
    <t>5.17.21</t>
  </si>
  <si>
    <t>Guidelines Tab: Add Pre-Inspection to rows 9 and 13</t>
  </si>
  <si>
    <t>5.27.21</t>
  </si>
  <si>
    <t>1.2_Draft2</t>
  </si>
  <si>
    <t>Common HVAC Elig Tab: Hid Cold Climate ASHPS</t>
  </si>
  <si>
    <t>6.3.21</t>
  </si>
  <si>
    <t>Updated Effective Date to 7.05.21-10.01.21</t>
  </si>
  <si>
    <t>1.2_Draft2.1</t>
  </si>
  <si>
    <t xml:space="preserve">6.4.21 </t>
  </si>
  <si>
    <t>In Unit Pre Inspection Form: Added Covid Pre-Screening Safety Questions</t>
  </si>
  <si>
    <t>1.2_Draft2.2</t>
  </si>
  <si>
    <t>Common Area INS Form: Added Covid Pre-Screenng Safety Questions</t>
  </si>
  <si>
    <t>Pre-Inspection Form: Added Covid Pre-Screening Safety Questions</t>
  </si>
  <si>
    <t>Geothermal Inspection Form: Added Covid Pre-Screening Safety Questions</t>
  </si>
  <si>
    <t>1.2_Draft2.3</t>
  </si>
  <si>
    <t>In Unit Post Inspction Form: Added Covid Pre-Screening Safety Questions</t>
  </si>
  <si>
    <t>Ducted ccASHP Integrated/Fixed Control 0.9</t>
  </si>
  <si>
    <t>6.23.21</t>
  </si>
  <si>
    <t>Qualifying Index: Chnaged Integrated Controld DNQ check to match Resi Internal</t>
  </si>
  <si>
    <t>References: Changed Ducted Integrated/Fixed Control .9 to 0.9</t>
  </si>
  <si>
    <t>1.3_Draft1.0</t>
  </si>
  <si>
    <t>8.9.21</t>
  </si>
  <si>
    <t>New Version/Draft created.</t>
  </si>
  <si>
    <t>Qualifying Index: Remove DNQ formula in column AX for heat pumps in rows 27-36, in alignment with current version of Home Comfort</t>
  </si>
  <si>
    <t>Appliances References: Updated savings algorithm for ME Clothes Wathers to 2022 values</t>
  </si>
  <si>
    <t>1.3_Draft2</t>
  </si>
  <si>
    <t>8.12.21</t>
  </si>
  <si>
    <t>Lighting Ref Tab: Added Parking Garage Cooling Bonus kW (1), Cooling Bonus kWh (1), and Heating factor (0 ) to column B</t>
  </si>
  <si>
    <t>Lighting Ref Tab: Updated Cooking Bonus kW, Cooling Bonus kWh, and add heating factor per 2022 planning</t>
  </si>
  <si>
    <t>Lighting Ref Tab: updated Cooling Bonus kW, Cooling Bonus kWh, and Heating factor values in measure code tabke</t>
  </si>
  <si>
    <t>Lighting Ref Tab: Added a column for MMBTU Heating Factor to Measure Code Table</t>
  </si>
  <si>
    <t>Lighting Calc Tab: Added columns for Heating Pentalty Per Unit, kWh Per Unit No Cooling, MMBTU Per Unit</t>
  </si>
  <si>
    <t>Lighting Calc Tab: Added formulas to calculate Heating Pentalty Per Unit</t>
  </si>
  <si>
    <t>Lighting Calc Tab: Started updated kWh per unit formulas to match internal. Left off at cell I10</t>
  </si>
  <si>
    <t>1.3_Draft3</t>
  </si>
  <si>
    <t>8.17.21</t>
  </si>
  <si>
    <t>Lighting Calc Tab: Finished adding formulas to kWh per unit cells</t>
  </si>
  <si>
    <t>Lighting Calc Tab: Added formulas for kWh per unit NO Cooling Bonus and MMBTU Per Unit</t>
  </si>
  <si>
    <t>kWh to MMBTU Conversion</t>
  </si>
  <si>
    <t>Cust Info Tab: Updated "Appliances checkbox to "Appliances and Lighting"</t>
  </si>
  <si>
    <t>Motor Eligibility Requirements</t>
  </si>
  <si>
    <t xml:space="preserve">Motor rebates are for existing building projects only; new construction projects are ineligible. </t>
  </si>
  <si>
    <t>Select "Max Rated Wattage" from dropdown and enter quantity</t>
  </si>
  <si>
    <t>Max Rated Wattage</t>
  </si>
  <si>
    <t>EC Motor: Hydronic Circulator Pump</t>
  </si>
  <si>
    <t>&gt; 144 to ≤ 575 Watts</t>
  </si>
  <si>
    <t>&gt; 575 Watts</t>
  </si>
  <si>
    <r>
      <rPr>
        <i/>
        <sz val="16"/>
        <color indexed="53"/>
        <rFont val="Arial Narrow"/>
        <family val="2"/>
      </rPr>
      <t>Motor Worksheet</t>
    </r>
    <r>
      <rPr>
        <i/>
        <sz val="12"/>
        <color indexed="30"/>
        <rFont val="Arial Narrow"/>
        <family val="2"/>
      </rPr>
      <t xml:space="preserve">  </t>
    </r>
    <r>
      <rPr>
        <i/>
        <sz val="11"/>
        <rFont val="Arial Narrow"/>
        <family val="2"/>
      </rPr>
      <t xml:space="preserve">- </t>
    </r>
    <r>
      <rPr>
        <i/>
        <sz val="12"/>
        <rFont val="Arial Narrow"/>
        <family val="2"/>
      </rPr>
      <t>Fill in the gray shaded areas with project information</t>
    </r>
  </si>
  <si>
    <t>Total VFD Amount:</t>
  </si>
  <si>
    <t>8.18.21</t>
  </si>
  <si>
    <t>Worksheet Common VFD: Added data collection fields and eligibility table  for ECM motors</t>
  </si>
  <si>
    <t xml:space="preserve"> ≤ 144 Watts</t>
  </si>
  <si>
    <t>Worksheet Appliances: added data collection fields for LED Downlights</t>
  </si>
  <si>
    <t>LED Downlights</t>
  </si>
  <si>
    <t>Appliances References: copied references for LED Specialty in order to create references for LED Downlights</t>
  </si>
  <si>
    <t>Appliance Calculations: added section for LED Downlight Calculations</t>
  </si>
  <si>
    <t>1.3_Draft4</t>
  </si>
  <si>
    <t>Worksheet Appliances: changed name of tab to "Worksheet Appliances &amp; Lighting"</t>
  </si>
  <si>
    <t>Worksheet Common VFD: changed name of tab to "Worksheet Common VFD &amp; Motor"</t>
  </si>
  <si>
    <t>Eligible Measures</t>
  </si>
  <si>
    <t>1.3_Draft5</t>
  </si>
  <si>
    <t>8.19.21</t>
  </si>
  <si>
    <t>Common Lighting Calcs Tab: Corrected kWh Per Unit formulas</t>
  </si>
  <si>
    <t>Removed "&amp;" from all Tab names</t>
  </si>
  <si>
    <t>1.3_Draft6</t>
  </si>
  <si>
    <t xml:space="preserve">Appliances References: Updated measure code for downlights on </t>
  </si>
  <si>
    <t>MTF1255</t>
  </si>
  <si>
    <t>Appliances references: updated all measure algorithms to match 2022 planning tool</t>
  </si>
  <si>
    <t>Customer Information: updated coding for hiding/unhiding tabs to include current tab names</t>
  </si>
  <si>
    <t>Worksheet Common VFD Motor: I updated coding to hide and unhide cells depending on measure based on check box selection</t>
  </si>
  <si>
    <t>1.3_Draft7</t>
  </si>
  <si>
    <t>8.23.21</t>
  </si>
  <si>
    <t>Appliances References: Updated savings algorithms with multifamily heating and water heating  factors</t>
  </si>
  <si>
    <t>1.3_Draft8</t>
  </si>
  <si>
    <t>1.3_Draft9</t>
  </si>
  <si>
    <t>Edit Links: Pop-up was appearing to edit links when application opened, flagged pop-up to not appear and also not update links</t>
  </si>
  <si>
    <t>Admin Tab: Made very hidden</t>
  </si>
  <si>
    <t>2.0_Draft9</t>
  </si>
  <si>
    <t>Dev Tab: Changed Version to 2.0 since Hydronic Circulator Pumps added</t>
  </si>
  <si>
    <t>LMI Cert Form: Set to Very Hidden</t>
  </si>
  <si>
    <t>2.0_Draft10</t>
  </si>
  <si>
    <t>ENERGY STAR Air  Purifier &lt;150 CADR</t>
  </si>
  <si>
    <t>ENERGY STAR Air  Purifier &gt;150 CADR</t>
  </si>
  <si>
    <t>8.30.21</t>
  </si>
  <si>
    <t>Appliances Ref Tab: Updated Air Purifier measure name in measure table (150 CADR)</t>
  </si>
  <si>
    <t xml:space="preserve">Appliances Ref Tab: Updated links in measure table for Larger Tankless Water Heater savings </t>
  </si>
  <si>
    <t>Appliances Ref Tab: Updated the oil/propane/gas split for dishwashers per the 2022 program planning tool</t>
  </si>
  <si>
    <t>MTF120</t>
  </si>
  <si>
    <t>MTF125</t>
  </si>
  <si>
    <t>Appliances Ref Tab: Updated Air Purifier measure codes in measure table (150 CADR)</t>
  </si>
  <si>
    <t>Appliances Ref Tab: Updated calculations for HPWH (both sizes)</t>
  </si>
  <si>
    <t>Qualifying Index: Updated Integrated Controls formula to match Resi Internal</t>
  </si>
  <si>
    <t>2.0_draft11</t>
  </si>
  <si>
    <t>Appliance References: Added CO2 Savings Calculations</t>
  </si>
  <si>
    <t>Multi-Family Participating Contractors Assignment Form</t>
  </si>
  <si>
    <t>Relocked tabs so workbook has one password</t>
  </si>
  <si>
    <t>AssignmentForm: replaced references to Home Comfort with Multi-Family</t>
  </si>
  <si>
    <t>The Multi-Family Rebate Program offers rebates to PSEG Long Island customers who install energy efficient equipment at multi-family buildings. 
Projects are subject to pre-inspection and post-inspection.</t>
  </si>
  <si>
    <t xml:space="preserve">As the payee of the above referenced Multi-Family Rebate, I, Customer, hereby assign my rights and interest in the payment of said rebate to Assignee as indicated below.
I certify that the electric account listed above is not in arrears and that I have supplied the contractor with a copy of the latest PSEGLI bill for the listed account, showing that the account is active and that there is no previous balance owed on the account.  Rebates can not be assigned to the contractor if the PSEGLI account is in arrears.
If the PSEGLI account goes into arrears while the rebate is being processed, PSEGLI will apply the Home Comfort Rebate to those arrears before remitting the balance of the rebate, if any, to my Assignee.  I also understand that PSEGLI’s application of all, or a portion of, the Rebate to any arrears on my PSEGLI account does not reduce the amount I am responsible to pay my Assignee (I will still owe my contractor the Rebate amount applied to my PSEGLI account). Please forward my rebate to the Assignee listed directly above. 
I also understand that I am responsible to inform PSEGLI (via email to cepli@pseg.com or in writing to PSEG Long Island, Multi-Family Program, 15 Park Drive, Melville, NY 11747) of any changes to this assignment.
</t>
  </si>
  <si>
    <t>Worksheet Appliances: unlocked 2nd row's ENERGY Star Unique ID field</t>
  </si>
  <si>
    <t>Worksheet Appliances: included LED Downlights in total rebate calculations at top of tab</t>
  </si>
  <si>
    <t>8.31.21</t>
  </si>
  <si>
    <t>2.0_draft12</t>
  </si>
  <si>
    <t>Updated hide/unhide macro for smart thermostats</t>
  </si>
  <si>
    <t>2.0_draft13</t>
  </si>
  <si>
    <t>2.0_Draft14</t>
  </si>
  <si>
    <t>VFD Worksheet: Added a total rebate field for ECMs</t>
  </si>
  <si>
    <t>9.03.21</t>
  </si>
  <si>
    <t>Cust Info Tab: Updated Estimated Rebate formula to include VFDs</t>
  </si>
  <si>
    <t>Applainces Tab: In Unit Lighting - Corrected rebate formula for second row</t>
  </si>
  <si>
    <t>Appliances Tab: Updated CADRs for RAPS to 150</t>
  </si>
  <si>
    <t>Specialty Lamps - Downlight</t>
  </si>
  <si>
    <t>In Unit Post Inspection Form: Added LED downlights</t>
  </si>
  <si>
    <t>Appliance References: updated references for LED downlights so they appear as separate measures on inspection form when compared to Specialty Bulbs</t>
  </si>
  <si>
    <t>9.06.21</t>
  </si>
  <si>
    <t>2.0_Draft15</t>
  </si>
  <si>
    <t>Common Area INS Form: Added Added EC Motors and VFD</t>
  </si>
  <si>
    <t>≤144 Watts</t>
  </si>
  <si>
    <t>&gt;144 to ≤ 575 Watts</t>
  </si>
  <si>
    <t>&gt;575 Watts</t>
  </si>
  <si>
    <t>2.0_Draft16</t>
  </si>
  <si>
    <t>9.07.21</t>
  </si>
  <si>
    <t>Ref Tab: Added measure table for EC Motors</t>
  </si>
  <si>
    <t>VFD Motor Tab: Updated formulas to ref to EC Motors table on Ref Tab</t>
  </si>
  <si>
    <t>&lt; 12 kW</t>
  </si>
  <si>
    <t>≥ 12 kW</t>
  </si>
  <si>
    <t>Thermostat Model</t>
  </si>
  <si>
    <t>Connected/Learning*</t>
  </si>
  <si>
    <t>9.15.21</t>
  </si>
  <si>
    <t>References: Added Connected and Learning table</t>
  </si>
  <si>
    <t>9.10.21</t>
  </si>
  <si>
    <t>Qualifying Index: Dragged down IC formula</t>
  </si>
  <si>
    <t>Qualifying Index: Repaired Heating kWh formulas for PTHPs</t>
  </si>
  <si>
    <t>Qualifying Index: Updated Manual J check</t>
  </si>
  <si>
    <t>Space Heating Worksheet: Added Data validation so individual geothermal units do not exceed 10 tons</t>
  </si>
  <si>
    <t>Created In-Unit HVAC Eligibility tab from Eligibility Table tab of Home Comfort application</t>
  </si>
  <si>
    <t>In Unit HVAC Worksheet: Updated formatting of eligibility tables to match reformated Home Comfort eligibility tables</t>
  </si>
  <si>
    <t>Draft20</t>
  </si>
  <si>
    <t>9.17.21</t>
  </si>
  <si>
    <t>Worksheet Common VFD Motors: Updated rebate calculations for ECM motors so all three entries reference the same table on references tab</t>
  </si>
  <si>
    <t xml:space="preserve">Guidelines: Added PSEGLI approved language on customer participation in other utility rebate programs. </t>
  </si>
  <si>
    <t>9.23.21</t>
  </si>
  <si>
    <t>Draft21</t>
  </si>
  <si>
    <t>In Unit HVAC Worksheet: removed references to non-cold climate multisplits</t>
  </si>
  <si>
    <t>In Unit HVAC Eligibility: removed references to non-cold climate multisplits</t>
  </si>
  <si>
    <t>2. Desuperheaters are eligible for incentives when they are installed on residential systems and in conjunction with an existing electric, tank-storage water heater.</t>
  </si>
  <si>
    <t>3. Low-Rise In-Unit  and Common Area installations qualify only. High-Rise buildings are not eligible</t>
  </si>
  <si>
    <t>Space Heating Worksheet: Removed language related to geothermal contractor incentive</t>
  </si>
  <si>
    <t>In-Unit HVAC Eligibility: Added sizing requirements for partial house ducted systems.</t>
  </si>
  <si>
    <t>9.27.21</t>
  </si>
  <si>
    <t>In-Unit HVAC Eligibility: Added eligibility requirements for packaged terminal heat pumps</t>
  </si>
  <si>
    <t>In Unit HVAC Worksheet: added packaged terminal heat pumps to eligibility table</t>
  </si>
  <si>
    <t>VFD Motor Tab: Updatedmacro to hide newly added EC motor totals fields</t>
  </si>
  <si>
    <t>11.5.21</t>
  </si>
  <si>
    <t>References: update coincidence factor for home comfort measures to .69 to match Home comfort application.</t>
  </si>
  <si>
    <t>Guidelines: updated dates to reflect 2022 program year</t>
  </si>
  <si>
    <t>References: Updated Baseline SEER and EER values to match Home Comfort application</t>
  </si>
  <si>
    <t>Qualifying Index: Updated QIV kW formula in line with Home Comfort Application</t>
  </si>
  <si>
    <t>References: Updated QIV kW factor in line with Home Comfort application</t>
  </si>
  <si>
    <t>Cooling ESF</t>
  </si>
  <si>
    <t>Heating ESF</t>
  </si>
  <si>
    <t>Qualifying Index: Updated Smart Tstat kWh formula to not change with connected and learning in line with Home Comfort application</t>
  </si>
  <si>
    <t>Qualifying Index: Added Electric Boiler and Electric Furnace to EH measure discription in line with Home Comfort application</t>
  </si>
  <si>
    <t>Guidelines: Updated geothermal guidelines to appropriately state the duration of the project</t>
  </si>
  <si>
    <t>Heating Baseline (NYS TRM v8.0)</t>
  </si>
  <si>
    <t>References: Updated geothermal baseline existing equipment efficiencies to align with DSA/NYS V8 trm</t>
  </si>
  <si>
    <t>References: Updated net to gross factors for geothermal and home comfort measures</t>
  </si>
  <si>
    <t>11.11.21</t>
  </si>
  <si>
    <t>References: Updated new construction fuel split for geothermal and home comfort measures</t>
  </si>
  <si>
    <t>Qualifying Index: Updated Fpumpc and Fpumph which had errors</t>
  </si>
  <si>
    <t>Geothermal System Geothermal, Vertical Stack - Closed Tier I</t>
  </si>
  <si>
    <t>Geothermal System Geothermal,  Vertical Stack - Open Tier I</t>
  </si>
  <si>
    <t>Geothermal HP Geothermal, Vertical Stack - Closed Tier I</t>
  </si>
  <si>
    <t>Geothermal HP Geothermal, Vertical Stack - Open Tier I</t>
  </si>
  <si>
    <t>Geothermal, Vertical Stack - Closed</t>
  </si>
  <si>
    <t>Geothermal, Vertical Stack - Open</t>
  </si>
  <si>
    <t>References: Added Vertical Stack scenarios to Geothermal selections</t>
  </si>
  <si>
    <t>References: Added Vertical Stack scenarios to Geothermal Rebate, NTG, and efficiency tables</t>
  </si>
  <si>
    <t>Qualifying Index: Updated tables to extend to the new Verticl Stack selections</t>
  </si>
  <si>
    <t>Name Manager: Extended Space Heating Worksheet drop down selections to include Vertical Stack units</t>
  </si>
  <si>
    <t>Tset</t>
  </si>
  <si>
    <t>Tmain</t>
  </si>
  <si>
    <t>UEF elec</t>
  </si>
  <si>
    <t>UEF ff</t>
  </si>
  <si>
    <t>Variables</t>
  </si>
  <si>
    <t>Days</t>
  </si>
  <si>
    <t>Energy Required</t>
  </si>
  <si>
    <t>F gshp,dhw</t>
  </si>
  <si>
    <t>kWh to Btu/hr</t>
  </si>
  <si>
    <t>11.15.21</t>
  </si>
  <si>
    <t>References: Updated Desuperheater section to have new TRM factors</t>
  </si>
  <si>
    <t>Quality Index: Updated desuper heater formula</t>
  </si>
  <si>
    <t>Quality Index: Added UEF column to desuperheater table</t>
  </si>
  <si>
    <r>
      <t>Desuperheater Incentive</t>
    </r>
    <r>
      <rPr>
        <b/>
        <vertAlign val="superscript"/>
        <sz val="11"/>
        <color indexed="9"/>
        <rFont val="Calibri"/>
        <family val="2"/>
      </rPr>
      <t>2</t>
    </r>
  </si>
  <si>
    <t>Space Heating Worksheet: Updated rebate table to include vertical stack units</t>
  </si>
  <si>
    <t>Tables: added new geothermal table</t>
  </si>
  <si>
    <t>CO2</t>
  </si>
  <si>
    <t>11.19.21</t>
  </si>
  <si>
    <t>Calculation: Added CO2 calculations for desuperheaters</t>
  </si>
  <si>
    <t>Calculation: Added additional logic to the desuperheater MMBTUs to not calculate savings for desuper heater when no desuperhater is installed</t>
  </si>
  <si>
    <t>Motor Belt Eligibility Requirements</t>
  </si>
  <si>
    <t xml:space="preserve">Motor Belt rebates are for existing building projects only; new construction projects are ineligible. </t>
  </si>
  <si>
    <t>Select "Belt Type" from dropdown and enter quantity</t>
  </si>
  <si>
    <t>Belt Type</t>
  </si>
  <si>
    <t>Motor Belt Replacement</t>
  </si>
  <si>
    <t>Notched Belt</t>
  </si>
  <si>
    <t>Synchoronous Belt</t>
  </si>
  <si>
    <t>Horsepower per Motor</t>
  </si>
  <si>
    <t>Total Motor Belt Rebate Amount:</t>
  </si>
  <si>
    <t>Total EC Motor Rebate Amount:</t>
  </si>
  <si>
    <t>RLF</t>
  </si>
  <si>
    <t>EFFbaseline</t>
  </si>
  <si>
    <t>EFFee</t>
  </si>
  <si>
    <t>EFFMotor</t>
  </si>
  <si>
    <t>Conversion Factor</t>
  </si>
  <si>
    <t>MBR NB</t>
  </si>
  <si>
    <t>Synchronous Belt</t>
  </si>
  <si>
    <t>MBR SB</t>
  </si>
  <si>
    <t>**2022 PSEG Long Islamd TRM</t>
  </si>
  <si>
    <t>Motor Belt Factors</t>
  </si>
  <si>
    <t>Term</t>
  </si>
  <si>
    <t>Units</t>
  </si>
  <si>
    <t>Reference</t>
  </si>
  <si>
    <t>hp: Horsepower per retrofitted motor</t>
  </si>
  <si>
    <t>From application</t>
  </si>
  <si>
    <t>NYS TRM v8</t>
  </si>
  <si>
    <t>RLF: rated load factor</t>
  </si>
  <si>
    <t>If unknown, assume 0.75</t>
  </si>
  <si>
    <t>Effbase: Efficiency of V-belts</t>
  </si>
  <si>
    <t>Effee: Efficiency of notched or synchronous belts</t>
  </si>
  <si>
    <t>Notched: 0.95
Synchronous: 0.98</t>
  </si>
  <si>
    <t>Effmotor: Efficiency of retrofitted motor (existing motor is assumed to remain in place)</t>
  </si>
  <si>
    <t>If unknown, assume 0.93</t>
  </si>
  <si>
    <r>
      <t>FLH: Full-load hours - total annual energy consumption divided by the peak hourly demand (kWh/kW</t>
    </r>
    <r>
      <rPr>
        <vertAlign val="subscript"/>
        <sz val="11"/>
        <color theme="1"/>
        <rFont val="Corbel"/>
        <family val="2"/>
      </rPr>
      <t>max</t>
    </r>
    <r>
      <rPr>
        <sz val="11"/>
        <color theme="1"/>
        <rFont val="Corbel"/>
        <family val="2"/>
      </rPr>
      <t>)</t>
    </r>
  </si>
  <si>
    <t>From application. If unknown, reference table below.</t>
  </si>
  <si>
    <t>Hours</t>
  </si>
  <si>
    <t>CF: Coincidence factor</t>
  </si>
  <si>
    <t>Conversion factor</t>
  </si>
  <si>
    <t>Annual Operating Hours - Motor Belts</t>
  </si>
  <si>
    <t>Facility Type</t>
  </si>
  <si>
    <t>Distribution Fan Motor (hours)</t>
  </si>
  <si>
    <t>Cooling Tower Fans (hours)</t>
  </si>
  <si>
    <t>Banks, Financial Centers</t>
  </si>
  <si>
    <t>Dining: Cafeteria</t>
  </si>
  <si>
    <t>Dormitory</t>
  </si>
  <si>
    <t>Bar</t>
  </si>
  <si>
    <t>Light Manufacturers</t>
  </si>
  <si>
    <t>Parking Garages &amp; Lots</t>
  </si>
  <si>
    <t>Residential (Except Nursing Homes)</t>
  </si>
  <si>
    <t>11.29.21</t>
  </si>
  <si>
    <t>Ref Tab: Added Motor Belt Data Tables near VFD Section</t>
  </si>
  <si>
    <t>Draft6</t>
  </si>
  <si>
    <t>VFD Tab: Added Motor Belt Data Tables and Rebate Formulas</t>
  </si>
  <si>
    <t>Common Area INS Form : Added table for Motor Belts</t>
  </si>
  <si>
    <t>Elevator Modernization Worksheet</t>
  </si>
  <si>
    <t>Elevator Modernization Requirements</t>
  </si>
  <si>
    <t>* Elevator Modernization is eligible in existing building only scenarios</t>
  </si>
  <si>
    <t>*If interested in Mulitfamily project, please refer to the Multifamily application found on the PSEG Long Island website</t>
  </si>
  <si>
    <t>* Elevator Modernization is intended to replace a Motor Generator set or Silicon-Controlled Rectifier (SCR) Drives with Pulse Width Modulation (PWM) Drives or Variable Voltage/Variable Frequency (VVVF) Drives</t>
  </si>
  <si>
    <t>*For Motor-Generator Retrofit, complete the first worksheet table</t>
  </si>
  <si>
    <t>*For SCR Drive or PWM Drive Retrofit, complete the second worksheet table</t>
  </si>
  <si>
    <r>
      <rPr>
        <i/>
        <sz val="16"/>
        <color indexed="53"/>
        <rFont val="Arial Narrow"/>
        <family val="2"/>
      </rPr>
      <t>Elevator Modernization Worksheet</t>
    </r>
    <r>
      <rPr>
        <i/>
        <sz val="12"/>
        <color indexed="30"/>
        <rFont val="Arial Narrow"/>
        <family val="2"/>
      </rPr>
      <t xml:space="preserve"> (Motor-Generator Retrofit) </t>
    </r>
    <r>
      <rPr>
        <i/>
        <sz val="11"/>
        <rFont val="Arial Narrow"/>
        <family val="2"/>
      </rPr>
      <t xml:space="preserve">- </t>
    </r>
    <r>
      <rPr>
        <i/>
        <sz val="12"/>
        <rFont val="Arial Narrow"/>
        <family val="2"/>
      </rPr>
      <t>Fill in the gray shaded areas with project information</t>
    </r>
  </si>
  <si>
    <t>Motor Generator Set  Horsepower</t>
  </si>
  <si>
    <t>Proposed System Type</t>
  </si>
  <si>
    <t>Existing System Type</t>
  </si>
  <si>
    <t>Existing Motor Efficiency</t>
  </si>
  <si>
    <t>Existing Drive Efficiency</t>
  </si>
  <si>
    <t>Proposed Motor Efficiency</t>
  </si>
  <si>
    <t>Proposed Drive Efficiency</t>
  </si>
  <si>
    <t>Proposed Capacity of Car Installed (lbs)</t>
  </si>
  <si>
    <t>Existing Capacity of Car Installed (lbs)</t>
  </si>
  <si>
    <t>Proposed Idling Factor</t>
  </si>
  <si>
    <t>Proposed Rated Top Velocity of Car (Foot/Min)</t>
  </si>
  <si>
    <t>Existing Rated Top Velocity of Car (Foot/Min)</t>
  </si>
  <si>
    <t>Proposed Regenerative Breaking</t>
  </si>
  <si>
    <t>Gearless System</t>
  </si>
  <si>
    <t>Geared System</t>
  </si>
  <si>
    <t>Silicon Controlled Rectifier Drive (SCR6)</t>
  </si>
  <si>
    <t>Variable Voltage Variable Frequency Drive (VVVF)</t>
  </si>
  <si>
    <t>Unknown</t>
  </si>
  <si>
    <t>Total Rebate Requested:</t>
  </si>
  <si>
    <r>
      <rPr>
        <i/>
        <sz val="16"/>
        <color indexed="53"/>
        <rFont val="Arial Narrow"/>
        <family val="2"/>
      </rPr>
      <t>Elevator Modernization Worksheet</t>
    </r>
    <r>
      <rPr>
        <i/>
        <sz val="12"/>
        <color indexed="30"/>
        <rFont val="Arial Narrow"/>
        <family val="2"/>
      </rPr>
      <t xml:space="preserve"> (SCR Drive or PWM Drive Retrofit) </t>
    </r>
    <r>
      <rPr>
        <i/>
        <sz val="11"/>
        <rFont val="Arial Narrow"/>
        <family val="2"/>
      </rPr>
      <t xml:space="preserve">- </t>
    </r>
    <r>
      <rPr>
        <i/>
        <sz val="12"/>
        <rFont val="Arial Narrow"/>
        <family val="2"/>
      </rPr>
      <t>Fill in the gray shaded areas with project information</t>
    </r>
  </si>
  <si>
    <t>SCR/PWM Drive Horsepower</t>
  </si>
  <si>
    <t>Elevator Modernization</t>
  </si>
  <si>
    <t>Gross Savings Algorithm Terms</t>
  </si>
  <si>
    <t xml:space="preserve">Baseline Gear Efficiency </t>
  </si>
  <si>
    <t>Efficiency of Elevator Hoist</t>
  </si>
  <si>
    <t>EffHoist</t>
  </si>
  <si>
    <t>Per kWh Saved</t>
  </si>
  <si>
    <t>hp: horsepower of M-G set motor</t>
  </si>
  <si>
    <t>Horsepower to kW conversion factor</t>
  </si>
  <si>
    <t>Baseline Drive Efficiency</t>
  </si>
  <si>
    <r>
      <t>LF</t>
    </r>
    <r>
      <rPr>
        <vertAlign val="subscript"/>
        <sz val="11"/>
        <color theme="1"/>
        <rFont val="Corbel"/>
        <family val="2"/>
      </rPr>
      <t>motor,run</t>
    </r>
    <r>
      <rPr>
        <sz val="11"/>
        <color theme="1"/>
        <rFont val="Corbel"/>
        <family val="2"/>
      </rPr>
      <t>: M-G set motor load factor when loaded</t>
    </r>
  </si>
  <si>
    <t xml:space="preserve">Hours </t>
  </si>
  <si>
    <t>HP to KW</t>
  </si>
  <si>
    <r>
      <t>Eff</t>
    </r>
    <r>
      <rPr>
        <vertAlign val="subscript"/>
        <sz val="11"/>
        <color theme="1"/>
        <rFont val="Corbel"/>
        <family val="2"/>
      </rPr>
      <t>motor,base</t>
    </r>
    <r>
      <rPr>
        <sz val="11"/>
        <color theme="1"/>
        <rFont val="Corbel"/>
        <family val="2"/>
      </rPr>
      <t>: Baseline Motor Efficiency</t>
    </r>
  </si>
  <si>
    <t>Silicon Controlled Rectifier Drive (SCR12)</t>
  </si>
  <si>
    <t>Unlown Hours</t>
  </si>
  <si>
    <r>
      <t>Eff</t>
    </r>
    <r>
      <rPr>
        <vertAlign val="subscript"/>
        <sz val="11"/>
        <color theme="1"/>
        <rFont val="Corbel"/>
        <family val="2"/>
      </rPr>
      <t>gear,base</t>
    </r>
    <r>
      <rPr>
        <sz val="11"/>
        <color theme="1"/>
        <rFont val="Corbel"/>
        <family val="2"/>
      </rPr>
      <t>: Baseline Gear Efficiency</t>
    </r>
  </si>
  <si>
    <t>0.85 (Geared system)
1.0 (Gearless system)</t>
  </si>
  <si>
    <t>Pulse Width Modulation Drive (PWM)</t>
  </si>
  <si>
    <r>
      <t>Eff</t>
    </r>
    <r>
      <rPr>
        <vertAlign val="subscript"/>
        <sz val="11"/>
        <color theme="1"/>
        <rFont val="Corbel"/>
        <family val="2"/>
      </rPr>
      <t>drive,base</t>
    </r>
    <r>
      <rPr>
        <sz val="11"/>
        <color theme="1"/>
        <rFont val="Corbel"/>
        <family val="2"/>
      </rPr>
      <t>: Baseline Drive Efficiency</t>
    </r>
  </si>
  <si>
    <t>From application
If unknown use
0.85 (SCR6)
0.90 (SCR12)
0.94 (PWM)</t>
  </si>
  <si>
    <r>
      <t>Eff</t>
    </r>
    <r>
      <rPr>
        <vertAlign val="subscript"/>
        <sz val="11"/>
        <color theme="1"/>
        <rFont val="Corbel"/>
        <family val="2"/>
      </rPr>
      <t>ee,base</t>
    </r>
    <r>
      <rPr>
        <sz val="11"/>
        <color theme="1"/>
        <rFont val="Corbel"/>
        <family val="2"/>
      </rPr>
      <t>: Installed Motor Efficiency</t>
    </r>
  </si>
  <si>
    <t xml:space="preserve">Installed Gear Efficiency </t>
  </si>
  <si>
    <t>Motor Idle</t>
  </si>
  <si>
    <t>Regenerative Breaking</t>
  </si>
  <si>
    <r>
      <t>Eff</t>
    </r>
    <r>
      <rPr>
        <vertAlign val="subscript"/>
        <sz val="11"/>
        <color theme="1"/>
        <rFont val="Corbel"/>
        <family val="2"/>
      </rPr>
      <t>ee,base</t>
    </r>
    <r>
      <rPr>
        <sz val="11"/>
        <color theme="1"/>
        <rFont val="Corbel"/>
        <family val="2"/>
      </rPr>
      <t>: Installed Gear Efficiency</t>
    </r>
  </si>
  <si>
    <t>LF Motor Idle</t>
  </si>
  <si>
    <r>
      <t>Eff</t>
    </r>
    <r>
      <rPr>
        <vertAlign val="subscript"/>
        <sz val="11"/>
        <color theme="1"/>
        <rFont val="Corbel"/>
        <family val="2"/>
      </rPr>
      <t>ee,base</t>
    </r>
    <r>
      <rPr>
        <sz val="11"/>
        <color theme="1"/>
        <rFont val="Corbel"/>
        <family val="2"/>
      </rPr>
      <t>: Installed Drive Efficiency</t>
    </r>
  </si>
  <si>
    <t>From application
If unknown use
0.85 (SCR6)
0.90 (SCR12)
0.94 (PWM)
0.95 (VVVF)</t>
  </si>
  <si>
    <r>
      <t>lb</t>
    </r>
    <r>
      <rPr>
        <vertAlign val="subscript"/>
        <sz val="11"/>
        <color theme="1"/>
        <rFont val="Corbel"/>
        <family val="2"/>
      </rPr>
      <t>ee</t>
    </r>
    <r>
      <rPr>
        <sz val="11"/>
        <color theme="1"/>
        <rFont val="Corbel"/>
        <family val="2"/>
      </rPr>
      <t>: Capacity of Car (Installed)</t>
    </r>
  </si>
  <si>
    <t>lb</t>
  </si>
  <si>
    <r>
      <t>OCW</t>
    </r>
    <r>
      <rPr>
        <vertAlign val="subscript"/>
        <sz val="11"/>
        <color theme="1"/>
        <rFont val="Corbel"/>
        <family val="2"/>
      </rPr>
      <t>ee</t>
    </r>
    <r>
      <rPr>
        <sz val="11"/>
        <color theme="1"/>
        <rFont val="Corbel"/>
        <family val="2"/>
      </rPr>
      <t>: Overweight of counterbalance as a fraction of car capacity (Installed)</t>
    </r>
  </si>
  <si>
    <t>From application; Use 0.5 as default</t>
  </si>
  <si>
    <t>Installed Drive Efficiency</t>
  </si>
  <si>
    <t>Idling Factor</t>
  </si>
  <si>
    <r>
      <t>ft/min</t>
    </r>
    <r>
      <rPr>
        <vertAlign val="subscript"/>
        <sz val="11"/>
        <color theme="1"/>
        <rFont val="Corbel"/>
        <family val="2"/>
      </rPr>
      <t>ee</t>
    </r>
    <r>
      <rPr>
        <sz val="11"/>
        <color theme="1"/>
        <rFont val="Corbel"/>
        <family val="2"/>
      </rPr>
      <t>: Rated top velocity of car (Installed)</t>
    </r>
  </si>
  <si>
    <t>ft/min</t>
  </si>
  <si>
    <t>Timer Incorporated</t>
  </si>
  <si>
    <r>
      <t>LF</t>
    </r>
    <r>
      <rPr>
        <vertAlign val="subscript"/>
        <sz val="11"/>
        <color theme="1"/>
        <rFont val="Corbel"/>
        <family val="2"/>
      </rPr>
      <t>peak</t>
    </r>
    <r>
      <rPr>
        <sz val="11"/>
        <color theme="1"/>
        <rFont val="Corbel"/>
        <family val="2"/>
      </rPr>
      <t>: Peak load factor</t>
    </r>
  </si>
  <si>
    <t>No Timer</t>
  </si>
  <si>
    <t>Horspower to foot-pounds per minute conversion factor</t>
  </si>
  <si>
    <t>(ft-lb/min)/hp</t>
  </si>
  <si>
    <r>
      <t>Eff</t>
    </r>
    <r>
      <rPr>
        <vertAlign val="subscript"/>
        <sz val="11"/>
        <color theme="1"/>
        <rFont val="Corbel"/>
        <family val="2"/>
      </rPr>
      <t>hoist</t>
    </r>
    <r>
      <rPr>
        <sz val="11"/>
        <color theme="1"/>
        <rFont val="Corbel"/>
        <family val="2"/>
      </rPr>
      <t>: Efficiency of elevator hoist</t>
    </r>
  </si>
  <si>
    <r>
      <t>lb</t>
    </r>
    <r>
      <rPr>
        <vertAlign val="subscript"/>
        <sz val="11"/>
        <color theme="1"/>
        <rFont val="Corbel"/>
        <family val="2"/>
      </rPr>
      <t>base</t>
    </r>
  </si>
  <si>
    <t>Capacity of Car (Baseline)</t>
  </si>
  <si>
    <r>
      <t>OCW</t>
    </r>
    <r>
      <rPr>
        <vertAlign val="subscript"/>
        <sz val="11"/>
        <color theme="1"/>
        <rFont val="Corbel"/>
        <family val="2"/>
      </rPr>
      <t>base</t>
    </r>
    <r>
      <rPr>
        <sz val="11"/>
        <color theme="1"/>
        <rFont val="Corbel"/>
        <family val="2"/>
      </rPr>
      <t>: Overweight of counterbalance as a fraction of car capacity (Baseline)</t>
    </r>
  </si>
  <si>
    <t>Overweight of Counterbalance</t>
  </si>
  <si>
    <r>
      <t>ft/min</t>
    </r>
    <r>
      <rPr>
        <vertAlign val="subscript"/>
        <sz val="11"/>
        <color theme="1"/>
        <rFont val="Corbel"/>
        <family val="2"/>
      </rPr>
      <t>base</t>
    </r>
    <r>
      <rPr>
        <sz val="11"/>
        <color theme="1"/>
        <rFont val="Corbel"/>
        <family val="2"/>
      </rPr>
      <t>: Rated top velocity of car (Baseline)</t>
    </r>
  </si>
  <si>
    <t>OCWee</t>
  </si>
  <si>
    <t>OCWbase</t>
  </si>
  <si>
    <r>
      <t>LF</t>
    </r>
    <r>
      <rPr>
        <vertAlign val="subscript"/>
        <sz val="11"/>
        <color theme="1"/>
        <rFont val="Corbel"/>
        <family val="2"/>
      </rPr>
      <t>avg</t>
    </r>
    <r>
      <rPr>
        <sz val="11"/>
        <color theme="1"/>
        <rFont val="Corbel"/>
        <family val="2"/>
      </rPr>
      <t>: Average load factor</t>
    </r>
  </si>
  <si>
    <t>Hours: Annual Hours of elevator operation</t>
  </si>
  <si>
    <t>hours</t>
  </si>
  <si>
    <t>Peak Load Factor</t>
  </si>
  <si>
    <t>Average Load Factor</t>
  </si>
  <si>
    <r>
      <t>LF</t>
    </r>
    <r>
      <rPr>
        <vertAlign val="subscript"/>
        <sz val="11"/>
        <color theme="1"/>
        <rFont val="Corbel"/>
        <family val="2"/>
      </rPr>
      <t>motor,idle</t>
    </r>
    <r>
      <rPr>
        <sz val="11"/>
        <color theme="1"/>
        <rFont val="Corbel"/>
        <family val="2"/>
      </rPr>
      <t>: M-G set motor load factor in idling mode</t>
    </r>
  </si>
  <si>
    <t>LF peak</t>
  </si>
  <si>
    <t>Lfavg</t>
  </si>
  <si>
    <r>
      <t>F</t>
    </r>
    <r>
      <rPr>
        <vertAlign val="subscript"/>
        <sz val="11"/>
        <color theme="1"/>
        <rFont val="Corbel"/>
        <family val="2"/>
      </rPr>
      <t>idle</t>
    </r>
    <r>
      <rPr>
        <sz val="11"/>
        <color theme="1"/>
        <rFont val="Corbel"/>
        <family val="2"/>
      </rPr>
      <t>: Idling factor; used to account for fraction of run hours M-G set system in idling mode</t>
    </r>
  </si>
  <si>
    <t>0.7 (timer incorporated)
1.0 (no timer)
0.7 (unknown)</t>
  </si>
  <si>
    <r>
      <t>Eff</t>
    </r>
    <r>
      <rPr>
        <vertAlign val="subscript"/>
        <sz val="11"/>
        <color theme="1"/>
        <rFont val="Corbel"/>
        <family val="2"/>
      </rPr>
      <t>regen</t>
    </r>
    <r>
      <rPr>
        <sz val="11"/>
        <color theme="1"/>
        <rFont val="Corbel"/>
        <family val="2"/>
      </rPr>
      <t>: Regenerative braking efficiency</t>
    </r>
  </si>
  <si>
    <t>Horsepower to Foot</t>
  </si>
  <si>
    <t>Regenerative Braking Eff</t>
  </si>
  <si>
    <r>
      <t>F</t>
    </r>
    <r>
      <rPr>
        <vertAlign val="subscript"/>
        <sz val="11"/>
        <color theme="1"/>
        <rFont val="Corbel"/>
        <family val="2"/>
      </rPr>
      <t>regen</t>
    </r>
    <r>
      <rPr>
        <sz val="11"/>
        <color theme="1"/>
        <rFont val="Corbel"/>
        <family val="2"/>
      </rPr>
      <t>: Regenerative breaking factor; used account for fraction of run hours regenerative braking produces energy savings</t>
    </r>
  </si>
  <si>
    <t>EFFregen</t>
  </si>
  <si>
    <t>M-G Set motor load</t>
  </si>
  <si>
    <t>Regenerative Braking Factor</t>
  </si>
  <si>
    <t>LF Motor Run</t>
  </si>
  <si>
    <t>Fregen</t>
  </si>
  <si>
    <t>Ref Tab: Added assumption tables for Elevator Modernization beginning in cell FS1</t>
  </si>
  <si>
    <t>Elevator Modernization - Motor Generator Retrofit</t>
  </si>
  <si>
    <t>Installed Gear Efficiency</t>
  </si>
  <si>
    <t>Existing Gear Efficiency</t>
  </si>
  <si>
    <t>Baseline Drive Efficieny</t>
  </si>
  <si>
    <t>Proposed Rated Top Velocity of Car</t>
  </si>
  <si>
    <t>Existing Rated Top Velocity of Car</t>
  </si>
  <si>
    <t>OCW_EE</t>
  </si>
  <si>
    <t>OCW_Base</t>
  </si>
  <si>
    <t>LF_Peak</t>
  </si>
  <si>
    <t>EFF_Hoist</t>
  </si>
  <si>
    <t>LF Avg</t>
  </si>
  <si>
    <t>EFF_Regen</t>
  </si>
  <si>
    <t>F_Regen</t>
  </si>
  <si>
    <t>Regen_SF</t>
  </si>
  <si>
    <t>HP to kW Conversion</t>
  </si>
  <si>
    <t>Eff_Base</t>
  </si>
  <si>
    <t>Eff_EE</t>
  </si>
  <si>
    <t>kWh Base</t>
  </si>
  <si>
    <t>kWh EFF</t>
  </si>
  <si>
    <t>kWh Regen</t>
  </si>
  <si>
    <t xml:space="preserve">BE kWh </t>
  </si>
  <si>
    <t>EE MMBTU</t>
  </si>
  <si>
    <t>BE MMBTU</t>
  </si>
  <si>
    <t>Total MMBTU</t>
  </si>
  <si>
    <t>Total CO2</t>
  </si>
  <si>
    <t>Elevator Modernization - Drive Retrofit</t>
  </si>
  <si>
    <t>R_Regen</t>
  </si>
  <si>
    <t>Elevator Modernization Tab: Added new tab</t>
  </si>
  <si>
    <t>Elevator Calcs Tab: Added new tab - started writing formulas. Left off at highlighted rows</t>
  </si>
  <si>
    <t>Baseline Drive Efficiency - Motor Gen</t>
  </si>
  <si>
    <t>Not Applicable</t>
  </si>
  <si>
    <t>Elevator Calcs Tab: Finished Calculations</t>
  </si>
  <si>
    <t>Elevator Tab: Edited Motor Gen Worksheet Table to make the "Existing Drive" dropdown say Not Applicable</t>
  </si>
  <si>
    <t>11.30.21</t>
  </si>
  <si>
    <t>12.01.21</t>
  </si>
  <si>
    <t>Cust Info Tab: Added Checkbox and code for Elevator Modernization Tab</t>
  </si>
  <si>
    <t>Draft 8</t>
  </si>
  <si>
    <t>VFD Tab: Updated Hide/Unhide Code for Motors checbkox to account for motor belts</t>
  </si>
  <si>
    <t>12.06.21</t>
  </si>
  <si>
    <t>Appliances References: updated water heating factor for dishwashers and clothes washers</t>
  </si>
  <si>
    <t>Enter Manufacturer, Approved Thermostat, and Serial Number.</t>
  </si>
  <si>
    <t>In order to qualify for an incentive, Smart thermostats must be listed at:</t>
  </si>
  <si>
    <t>Google Nest</t>
  </si>
  <si>
    <t>Vivint</t>
  </si>
  <si>
    <t>Wi-Fi Smart Color Thermostat</t>
  </si>
  <si>
    <t>Google Nest Learning Thermostat</t>
  </si>
  <si>
    <t>ecobee3 Lite</t>
  </si>
  <si>
    <t>Google Nest Thermostat E</t>
  </si>
  <si>
    <t>Wi-Fi 9000 7-Day Programmable Thermostat</t>
  </si>
  <si>
    <t>Google Nest Thermostat</t>
  </si>
  <si>
    <t>9000 Smart Thermostat</t>
  </si>
  <si>
    <t>ecobee SmartThermostat with voice control</t>
  </si>
  <si>
    <t>VisionPro 8000 Smart Thermostat</t>
  </si>
  <si>
    <t>Round Smart Thermostat</t>
  </si>
  <si>
    <t>T5+ Smart Thermostat</t>
  </si>
  <si>
    <t>2GIG Z-Wave Plus Battery Powered Thermostat</t>
  </si>
  <si>
    <t>T6 Pro Smart Thermostat</t>
  </si>
  <si>
    <t>Trane Z-Wave Thermostat</t>
  </si>
  <si>
    <t>T9 Smart Thermostat</t>
  </si>
  <si>
    <t>Linear Thermostat</t>
  </si>
  <si>
    <t>T10 Smart Thermostat</t>
  </si>
  <si>
    <t>12.09.21</t>
  </si>
  <si>
    <t>Smart Tstat: Hid column E to hide Model column in table and re arranged other rows accordingly</t>
  </si>
  <si>
    <t>References: Expanded smart thermstat connected/learning table</t>
  </si>
  <si>
    <t>References: Added new smart tstat manufacturers and models</t>
  </si>
  <si>
    <t>Draft 10</t>
  </si>
  <si>
    <t>12.20.21</t>
  </si>
  <si>
    <t>Updated PSEGLI Logo on all public facing tabs</t>
  </si>
  <si>
    <t>Customer Information Tab: updated customer rebate calculations to include any rebates from Motor belts, geothermal space heating/water heating, and elevato rmodernization</t>
  </si>
  <si>
    <t>AssignmentForm Tab: changed to very hidden</t>
  </si>
  <si>
    <t>Customer Information Tab: removed macro linking AssignmentForm tab to check box on customer information tab</t>
  </si>
  <si>
    <t>Cust Info Tab: Edited Total Rebate Formula to remove Value Error</t>
  </si>
  <si>
    <t>12.22.21</t>
  </si>
  <si>
    <t>Updated PSEGLI Logo on all hidden tabs</t>
  </si>
  <si>
    <t>Geothermal System Geothermal, Vertical Stack - Open Tier I</t>
  </si>
  <si>
    <t>MTF310</t>
  </si>
  <si>
    <t>12.29.21</t>
  </si>
  <si>
    <t>References: fixed Vertical Stack Open Loop rebate look up</t>
  </si>
  <si>
    <t>12.28.21</t>
  </si>
  <si>
    <t>Ductless Mini Split - ccASHP Integrated/Fixed Control 0.9</t>
  </si>
  <si>
    <t>Ductless Mini Split - ccASHP Freeze Stat 0.9</t>
  </si>
  <si>
    <t>Ductless Multi Split - ccASHP Integrated/Fixed Control 0.9</t>
  </si>
  <si>
    <t>Ductless Multi Split - ccASHP Freeze Stat 0.9</t>
  </si>
  <si>
    <t>12.30.21</t>
  </si>
  <si>
    <t>References: Updated abcd, F cooling and F heating values for ccASHPs</t>
  </si>
  <si>
    <t>Drfat 18</t>
  </si>
  <si>
    <t>Appliance References: changed clothes dryer measure code to 310</t>
  </si>
  <si>
    <t>Locked and finalized per pseg approval</t>
  </si>
  <si>
    <t>Version1</t>
  </si>
  <si>
    <t>2_draft1</t>
  </si>
  <si>
    <t>1.19.22</t>
  </si>
  <si>
    <t>Deleted multiple tabs: Ts and Cs, Required Documents, Guidelines, In Unit Pre Inspection, Common Area INS Form, and IN Unit Post Inspection Form</t>
  </si>
  <si>
    <t>Worksheet Appliances Lighting: updated rebate calculations to remove references to Appliance Calculations Tab</t>
  </si>
  <si>
    <t>Deleted Appliance Calculations Tab</t>
  </si>
  <si>
    <t>Removed all savings algorithms from Appliances References</t>
  </si>
  <si>
    <t xml:space="preserve">Worksheet Common Lighting: updated rebate calculations to remove references to Common Lighting Calculations Tab </t>
  </si>
  <si>
    <t xml:space="preserve">Deleted Appliance Common Lighting Calculations Tab </t>
  </si>
  <si>
    <t>Removed all savings algorithms from Common Lighting References</t>
  </si>
  <si>
    <t>2_draft2</t>
  </si>
  <si>
    <t>Learning Thermostat</t>
  </si>
  <si>
    <t xml:space="preserve">Honeywell </t>
  </si>
  <si>
    <t>Lyric T5 Wi-Fi Thermostat</t>
  </si>
  <si>
    <t>ecobee SmartThermostat with Voice Control</t>
  </si>
  <si>
    <t>Connected Thermostat</t>
  </si>
  <si>
    <t>Emerson</t>
  </si>
  <si>
    <t>Honeywell</t>
  </si>
  <si>
    <t>Sensi Touch Smart Thermostat</t>
  </si>
  <si>
    <t>ecobee3 Lite Thermostat</t>
  </si>
  <si>
    <t>Wi-Fi Smart Thermostat</t>
  </si>
  <si>
    <t>Emerson Sensi Thermostat</t>
  </si>
  <si>
    <t>1.27.22</t>
  </si>
  <si>
    <t xml:space="preserve">Appliance References: added smart thermostat EEP QPL back into application </t>
  </si>
  <si>
    <t>2_draft3</t>
  </si>
  <si>
    <t>Workplace Appliances: updated algorithms to refer to updated EEP QPL on Appliances References Tab</t>
  </si>
  <si>
    <t>2022 Multi-Family Program</t>
  </si>
  <si>
    <t>2.7.22</t>
  </si>
  <si>
    <t>2_draft4</t>
  </si>
  <si>
    <t>MTF410</t>
  </si>
  <si>
    <t>MTF420</t>
  </si>
  <si>
    <t>MTF430</t>
  </si>
  <si>
    <t>ENGERY STAR Clothes Washer</t>
  </si>
  <si>
    <t>Appliance Bundling</t>
  </si>
  <si>
    <t>ENERGY STAR Clothes Washer + ENERGY STAR Dishwasher - $70 per Appliance Bundle</t>
  </si>
  <si>
    <t>ENERGY STAR Clothes Washer + ENERGY STAR Refrigerator + ENERGY STAR Dishwasher - $100 per Appliance Bundle</t>
  </si>
  <si>
    <t>Clothes Washer ENERGY STAR Unique ID</t>
  </si>
  <si>
    <t>Refrigerator ENERGY STAR Unique ID</t>
  </si>
  <si>
    <t>ENERGY STAR Clothes Washer Manufacturer</t>
  </si>
  <si>
    <t>ENERGY STAR Clothes Washer Model Number</t>
  </si>
  <si>
    <t>ENERGY STAR Refrigerator Proposed Quantity</t>
  </si>
  <si>
    <t>ENERGY STAR Clothes Washer Proposed Quantity</t>
  </si>
  <si>
    <t>ENERGY STAR Refrigerator Manufacturer</t>
  </si>
  <si>
    <t>ENERGY STAR Refrigerator Model Number</t>
  </si>
  <si>
    <t>ENERGY STAR Dishwasher Proposed Quantity</t>
  </si>
  <si>
    <t>Dishwasher ENERGY STAR Unique ID</t>
  </si>
  <si>
    <t>ENERGY STAR Dishwasher Manufacturer</t>
  </si>
  <si>
    <t>ENERGY STAR Dishwasher Model Number</t>
  </si>
  <si>
    <t xml:space="preserve">Refrigerator </t>
  </si>
  <si>
    <t xml:space="preserve">Dishwasher </t>
  </si>
  <si>
    <t>ENERGY STAR Dishwasher</t>
  </si>
  <si>
    <t>ENERGY STAR Refrigerator</t>
  </si>
  <si>
    <t>Refrigerator</t>
  </si>
  <si>
    <t>Wahser + Refrigerator</t>
  </si>
  <si>
    <t>Washer + Dishwasher</t>
  </si>
  <si>
    <t>Washer + Refrigerator + Dishwasher</t>
  </si>
  <si>
    <t>Bundle #1</t>
  </si>
  <si>
    <t>Bundle #2</t>
  </si>
  <si>
    <t>Bundle #3</t>
  </si>
  <si>
    <t>Bundle #4</t>
  </si>
  <si>
    <t>ENERGY STAR Clothes Washer + ENERGY STAR Refrigerator - $70 per Appliance Bundle*</t>
  </si>
  <si>
    <t>*For each Bundle in this section, the number of Clothes Washers, Refrigerators, and Dishwashers must be the same.
Rebates won't populate until this requirement is met.</t>
  </si>
  <si>
    <t>*For each Bundle in this section, the number of Clothes Washers and Dishwashers must be the same.
Rebates won't populate until this requirement is met.</t>
  </si>
  <si>
    <t>*For each Bundle in this section, the number of Clothes Washers and Refrigerators must be the same.
Rebates won't populate until this requirement is met.</t>
  </si>
  <si>
    <t>Elevator Modernization: added Multifamily Program to tab header rather than Commercial Efficeicny Program</t>
  </si>
  <si>
    <t>Worksheet Appliances Lighting: Added rows for appliance bundling inputs</t>
  </si>
  <si>
    <t>Appliances References: add measure codes, savigns algorithms, and rebate values for newly added bundled appliances</t>
  </si>
  <si>
    <t>Worksheet Appliances Lighting: Added formulas and logic to calculate rebates for bundles appliances using customer inputs</t>
  </si>
  <si>
    <t>2_Draft8</t>
  </si>
  <si>
    <t>Worksheet Appliances Lighting: Added language flagging incomplete bundles</t>
  </si>
  <si>
    <t>3.18.22</t>
  </si>
  <si>
    <t>3.25.22</t>
  </si>
  <si>
    <t xml:space="preserve">Worksheet Appliances Lighting: updated fields for newly added measures to maintain consistancey with existing formatting and to make sure all text is visible. </t>
  </si>
  <si>
    <t>2_Draft10</t>
  </si>
  <si>
    <t>Worksheet Appliances Lighting: Added checkboxes to hide and unhide sextions for standalone appliances and bundles appliances</t>
  </si>
  <si>
    <t>4.18.22</t>
  </si>
  <si>
    <t>References: Changed ccASHP efficiency requirements to match NEEP in table starting in cell S4</t>
  </si>
  <si>
    <t>Qualifying Index: Changed Heating Manual J Pass/Fail to not include "EH" logic</t>
  </si>
  <si>
    <t>Qualifying Index: Removed EH logic based on Heating Type "&lt;&gt; Electric Resistance"</t>
  </si>
  <si>
    <t xml:space="preserve">Qualifying Index: Changed New Equipment + Tier formula not include "EH" logic starting in column </t>
  </si>
  <si>
    <t>References: Changed WH S3 rebate to be equivalent to S1 to S2</t>
  </si>
  <si>
    <t>2_Draft12</t>
  </si>
  <si>
    <t xml:space="preserve">In Unit HVAC Worksheet: Updated Whole Unit eligibility table to reflect single offering </t>
  </si>
  <si>
    <t>4.27.22</t>
  </si>
  <si>
    <t>Airflow Form 3: updated oz calcualtion in cell M118</t>
  </si>
  <si>
    <t>2_Draft13</t>
  </si>
  <si>
    <t>In Unit HVAC Worksheet: Updated partial house eligibility table so cold climate measures have to be NEEP listed</t>
  </si>
  <si>
    <t>5.4.22</t>
  </si>
  <si>
    <t>In Unit HVAC Worksheet: Reformatted eligibility table</t>
  </si>
  <si>
    <t>2_Draft14</t>
  </si>
  <si>
    <t>5.11.22</t>
  </si>
  <si>
    <t>Updated effective date to 5.16.22</t>
  </si>
  <si>
    <t>2_Draft15</t>
  </si>
  <si>
    <t>1. Rebates</t>
  </si>
  <si>
    <t>a)</t>
  </si>
  <si>
    <t>Subject to these Terms and Conditions, PSEG Long Island and/or its subsidiary, the Long Island Lighting Company d/b/a PSEG Long Island (hereinafter referred to individually or collectively as “PSEG Long Island”), will pay rebates to eligible Customers (hereinafter “Customers”) for the installation of Energy Conservation Measures (“ECMs”) listed on PSEG Long Island’s Commercial Efficiency Program (CEP)application forms.</t>
  </si>
  <si>
    <t>b)</t>
  </si>
  <si>
    <t xml:space="preserve">ECMs are those electric conservation measures identified as such in program materials issued by PSEG Long Island and other site-specific Custom or Whole Building Design Measures that are approved by PSEG Long Island.  The installation of ECMs and other site-specific Custom or Whole Building Design Measures will be referred to as (“Project”) in these Terms and Conditions. </t>
  </si>
  <si>
    <t>c)</t>
  </si>
  <si>
    <t>All ECMs must be new equipment and installed by licensed contractors where required by code and/or law.</t>
  </si>
  <si>
    <t>2. Customer Eligibility</t>
  </si>
  <si>
    <t>The PSEG Long Island Commercial Efficiency Program (“Program”) is available to all non-residential electric customers in the PSEG Long Island “Service Area,” which includes Nassau and Suffolk counties and a portion of Queens County known as the Rockaways.</t>
  </si>
  <si>
    <t>3. Pre-Approval and Pre-Installation Survey</t>
  </si>
  <si>
    <t>PSEG Long Island will not pay any rebates unless PSEG Long Island pre-approves the ECMs proposed by the Customer and completes, to PSEG Long Island’s satisfaction, a pre-installation survey of the Customer’s facilities, unless PSEG Long Island has expressly waived such pre-approval/inspection requirement.</t>
  </si>
  <si>
    <t>PSEG Long Island reserves sole discretion to approve or disapprove of any proposed ECMs.</t>
  </si>
  <si>
    <t>4. Post-Installation Verification</t>
  </si>
  <si>
    <t>PSEG Long Island will not pay any rebates until it has performed, to PSEG Long Island’s satisfaction a post-installation verification of the installation, unless PSEG Long Island has expressly waived such post-installation verification requirement.  If PSEG Long Island determines that the ECMs were not installed in a manner that is consistent with the purpose of achieving energy savings, or if the installation was not consistent with generally accepted good engineering practices, PSEG Long Island reserves the right to require changes before making any rebate payments.  PSEG Long Island will not pay rebates until it has been verified that the Customer has received, as appropriate, final drawings, operation and maintenance manuals, and operator training.</t>
  </si>
  <si>
    <t>5. Customer Application and Analysis</t>
  </si>
  <si>
    <t xml:space="preserve">In addition to completing the application, the Customer may be required by PSEG Long Island to provide an analysis of the demand and energy reduction potential of the proposed ECMs.  In some cases, a Professional Engineer licensed in the state of New York must prepare the analysis.  Nameplate data may be required at PSEG Long Island’s discretion.  </t>
  </si>
  <si>
    <t>PSEG Long Island may review the Customer’s application and analysis to make an independent determination of the energy saving and demand reduction potential.  PSEG Long Island reserves the right to reject or modify any calculations, based on PSEG Long Island’s own analysis.</t>
  </si>
  <si>
    <t>6. Site-Specific Custom Measures</t>
  </si>
  <si>
    <t>PSEG Long Island will only approve of those site-specific Custom ECMs that PSEG Long Island believes have cost-effective energy and/or demand reduction potential.  In any case, PSEG Long Island reserves sole discretion to approve or disapprove of payment of rebates for any such proposed ECMs.</t>
  </si>
  <si>
    <t>7. Rebate Amounts</t>
  </si>
  <si>
    <t>Before pre-approving any rebate amounts requested by the Customer, PSEG Long Island reserves the right to adjust the rebate amount.</t>
  </si>
  <si>
    <t>Once a rebate amount is pre-approved, PSEG Long Island will pay the customer no more than 70% of the installed cost of the ECM, or the pre-approved rebate amount, whichever is less.</t>
  </si>
  <si>
    <t xml:space="preserve">PSEG Long Island reserves the right to lower the rebate amount if the quantity and/or cost of ECMs actually installed by the Customer differ from the pre-approved amounts.  </t>
  </si>
  <si>
    <t>d)</t>
  </si>
  <si>
    <t>Notwithstanding any other provision of these Terms and Conditions, PSEG Long Island reserves the right to a refund of any rebates paid if, at any time, it learns that any agreed to ECMs were not actually, or properly installed, or have subsequently been disconnected.</t>
  </si>
  <si>
    <t>e)</t>
  </si>
  <si>
    <t>Custom Applications – The approved rebate cannot exceed PSEG Long Island’s electric savings benefits, as determined by PSEG Long Island through its analysis of the project</t>
  </si>
  <si>
    <t>f)</t>
  </si>
  <si>
    <t>PSEG Long Island reserves the right to withhold payment or to award the rebate in the form of a bill credit.  Customers in arrears at the time of rebate payment may not be eligible to receive a rebate.</t>
  </si>
  <si>
    <t>g)</t>
  </si>
  <si>
    <t xml:space="preserve">The UL classification of Energy Verification Services (EVS) for the appropriate product classification is required.  PSEG Long Island reserves the right to withhold rebate payments for or disqualify any ECM’s that do not carry the Underwriter’s Laboratory (UL) Classification Mark or, with the written consent of PSEG Long Island, an equivalent independent efficiency and product safety certification organization.  </t>
  </si>
  <si>
    <t xml:space="preserve">8. ECM and Installation Proof of Payment  </t>
  </si>
  <si>
    <t xml:space="preserve">The Customer must provide copies of all invoices (including itemization of all materials, labor, and equipment discounts) reflecting the costs of purchasing and installing the ECMs.  The invoices shall include a breakdown of all ECMs purchased for installation under the Program.  In addition, PSEG Long Island may require any other reasonable documentation or verification of the cost to the Customer of purchasing and installing the ECM.  PSEG Long Island may require invoices from Customer’s contractor to determine the price paid by the contractor (including any discounts or rebates) for the ECMs.  For custom ECMs, PSEG Long Island reserves the right to use the contractor’s reasonable costs in order to determine the correct rebate amount.  </t>
  </si>
  <si>
    <t xml:space="preserve">PSEG Long Island may require copies of the construction specifications, including relevant ECMs, provided to the construction/installation contractors for certain Projects. PSEG Long Island may refuse to pay rebates if the specifications do not adequately provide for installation of the ECMs consistent with good engineering and energy-efficient design practices.  Customer will, upon request by PSEG Long Island, provide a copy of the as-built drawings and equipment submittals for the facility.  </t>
  </si>
  <si>
    <t>Title to all of the equipment purchased under this agreement shall rest with the Customer.</t>
  </si>
  <si>
    <t>9. Installation Service Costs Recognized</t>
  </si>
  <si>
    <t>PSEG Long Island will recognize installation costs only to the extent that they are determined by PSEG Long Island to be reasonable and actually incurred by the Customer.</t>
  </si>
  <si>
    <t>10. Contractor Shared Savings Arrangements</t>
  </si>
  <si>
    <t>If Custom ECMs are being installed by Customer’s contractor under a “shared savings” contract or other situation where the customer’s contract is not based upon the price of installed equipment, PSEG Long Island reserves the right to determine the cost of purchasing and installing the ECMs based on the reasonable retail costs in purchasing the equipment and installing the ECMs.</t>
  </si>
  <si>
    <t>11. Date of Rebate Payments</t>
  </si>
  <si>
    <t xml:space="preserve">PSEG Long Island expects to pay the rebate within sixty (60) days after all of the following conditions are met:  (1) construction/renovation of Customer’s facility is completed; (2) Customer has received an occupancy permit; and (3) PSEG Long Island has verified equipment and installation costs and satisfactory installation of the ECMs, all in accordance with the specifications. (4) All documents required by the application have been received by PSEG Long Island. </t>
  </si>
  <si>
    <t>12. Replacement of Burn-Outs</t>
  </si>
  <si>
    <t>Customers who install energy-efficient lighting ECMs are expected to replace any of the energy-efficient lights that burn out with lights of similar or superior energy savings efficiency at the Customer’s expense.</t>
  </si>
  <si>
    <t>13. Monitoring and Evaluation Follow-up Visits</t>
  </si>
  <si>
    <t>PSEG Long Island reserves the right to make a reasonable number of installation follow-up visits to Customer’s Facility during the 24 months following the actual completion date noted on this application.  Such visit(s) are not meant to inconvenience the Customer, PSEG Long Island, and the Customer agrees to provide access within a reasonable timeframe of receiving the request for a follow up visit.</t>
  </si>
  <si>
    <t xml:space="preserve">The purpose of the follow-up visit(s) is to provide PSEG Long Island with an opportunity to review the operation of the ECMs for program evaluation purposes.  </t>
  </si>
  <si>
    <t>14. Limited Scope of Review</t>
  </si>
  <si>
    <t xml:space="preserve">PSEG Long Island is under no obligation to:  (1) make follow-up visits, (2) review the operation of the ECMs, or (3) make any suggestions of any kind to the Customer.  </t>
  </si>
  <si>
    <t>The scope of review by PSEG Long Island of the design and installation of the ECMs is limited solely to determining whether Program conditions have been met.  It does not include any kind of safety review.</t>
  </si>
  <si>
    <t>15. Changes in the Program</t>
  </si>
  <si>
    <t>PSEG Long Island may change the program and the Terms &amp; Conditions at any time without notice.  PSEG Long Island, however, will process pre-approved applications, to completion under the Terms &amp; Conditions in effect at the time of the pre-approval.</t>
  </si>
  <si>
    <t>PSEG Long Island reserves the right, for any reason, to stop pre-approving ECMs at any time without notice.  In particular, PSEG Long Island is not obligated to pre-approve any application for an rebate that may result in PSEG Long Island exceeding its program budget</t>
  </si>
  <si>
    <t>The Program described in the application may be altered, suspended, or canceled by PSEG Long Island at any time without prior notice.  Under such circumstances, the Customer is not entitled to any Program benefits in excess of those approved prior to such action by PSEG Long Island.  Submission of a completed application does not entitle the Customer to program participation.  Entitlement to Program participation can only occur after PSEG Long Island has signed a copy of the application and granted pre-approval</t>
  </si>
  <si>
    <t>16. Payments Assignable to Contractors</t>
  </si>
  <si>
    <t>The Customer may direct that rebates be paid directly to the Customer’s contractor.  This request must be made expressly in writing.</t>
  </si>
  <si>
    <t>17. Publicity of Customer Participation</t>
  </si>
  <si>
    <t xml:space="preserve">PSEG Long Island may publicize the Customer’s participation in the Program, the results, the amount of rebates paid to the Customer, and any other information which reasonably relates to the Customer’s participation. </t>
  </si>
  <si>
    <t>18. Installation Schedule Requirements</t>
  </si>
  <si>
    <t>Where there is no deadline indicating otherwise on the application, PSEG Long Island may terminate the application and any approved rebate if the Customer is not engaged in installation of the pre-approved ECMs by the end of 180 days from the date PSEG Long Island approves the Customer’s Retrofit application and One year for all Custom applications.</t>
  </si>
  <si>
    <t>19. Limitation of Liability and Indemnification</t>
  </si>
  <si>
    <t>PSEG Long Island’s liability is limited to paying the approved rebates.  Neither PSEG Long Island,  nor its affiliates, subsidiaries, Manager, employees, consultants, agents and contractors (“PSEG Long Island Parties”) shall be liable to the Customer for any consequential or incidental damages or for any damages in tort (including negligence) caused by any activities associated with this application or  the Program.</t>
  </si>
  <si>
    <t>The Customer shall protect, indemnify, and hold harmless PSEG Long Island, and the PSEG Long Island Parties from and against all liabilities, losses, claims, damages, judgments, penalties, causes of action, costs and expenses (including, without limitation, attorney’s fees and expenses) imposed upon or incurred by or assessed against PSEG Long Island, and the PSEG Long Island Parties resulting from, arising out of, or relating to the Program.</t>
  </si>
  <si>
    <t>20. No Warranties</t>
  </si>
  <si>
    <t xml:space="preserve">PSEG Long Island does not endorse, guarantee, or warrant any particular manufacturer or product, and PSEG Long Island provides no warranties, expressed or implied, for any product or services.   </t>
  </si>
  <si>
    <t>The Customer acknowledges that neither PSEG Long Island nor any of the PSEG Long Island Parties are responsible for assuring that the design, engineering and construction of Customer’s Project or that the installation of the ECMs is proper or complies with any particular laws (including patent laws), codes, or industry standards.  PSEG Long Island does not make any representations of any kind regarding the results to be achieved by the ECMs or the adequacy or safety of such measures.</t>
  </si>
  <si>
    <t>21. Customer Must Pay All Taxes</t>
  </si>
  <si>
    <t xml:space="preserve">The benefits conferred upon the Customer through participation in this program may be taxable by the federal, state, and local government.  The Customer is responsible for declaring any benefits and paying any associated  taxes.   </t>
  </si>
  <si>
    <t>22. Pre-Approval Letter</t>
  </si>
  <si>
    <t>After an application is approved by PSEG Long Island’s authorized executive, the Customer will receive written notification of the pre-approved rebate amount and the date that the ECMs must be fully installed to qualify for rebate payments.  Any ECMs installed prior to the issuance of PSEG Long Island’s written authorization will be deemed as an unauthorized installation and PSEG Long Island will have no obligation to pay rebates for those ECMs.</t>
  </si>
  <si>
    <t>23. Vendor Selection</t>
  </si>
  <si>
    <t>It is the Customer’s responsibility to select a vendor to perform the work indicated on the Customer’s Application.</t>
  </si>
  <si>
    <t>24. Removal of Equipment</t>
  </si>
  <si>
    <t>The Customer agrees, as a condition of participation in the Program, to remove and dispose of all equipment being replaced by the ECMs and further agrees to carry out such removal and disposal in accordance with all laws, rules, and regulations.  The Customer agrees not to reinstall any of this equipment in the Service Area of PSEG Long Island.</t>
  </si>
  <si>
    <t>25. Miscellaneous</t>
  </si>
  <si>
    <t>By providing a telephone number you are giving consent to be contacted at that number about matters that are closely related to the utility service.</t>
  </si>
  <si>
    <t xml:space="preserve">These Terms and Conditions and program requirements outline the conditions under which PSEG Long Island will pay rebates.  These Terms and Conditions are subject to change at PSEG Long Island’s discretion. </t>
  </si>
  <si>
    <t xml:space="preserve">If any provision of the Terms and Conditions is deemed invalid by any court or administrative body having jurisdiction, such ruling shall not invalidate any other provision, and the remaining Terms and Conditions shall remain in full force and effect in accordance with their terms.  </t>
  </si>
  <si>
    <t>The Customer’s acceptance of final payment releases PSEG Long Island from all claims and liabilities to the Customer, and its representatives or assigns.</t>
  </si>
  <si>
    <t>Required Documents Checklist</t>
  </si>
  <si>
    <t>Required Documents for Multi-Family Pre Approval</t>
  </si>
  <si>
    <t>Document:</t>
  </si>
  <si>
    <t>Responsible Party</t>
  </si>
  <si>
    <t>Customer/Applicant</t>
  </si>
  <si>
    <t>Required Documents for Multi-Family Payment</t>
  </si>
  <si>
    <t>Customer/Contractor</t>
  </si>
  <si>
    <t>PSEG Long Island Represenative</t>
  </si>
  <si>
    <t>PSEG Long Island may require additional documentation not listed above as deemed necessary to properly process any rebates.</t>
  </si>
  <si>
    <t>Any hard copy documents provided by Customer must be scanned and emailed  to PSEG Long Island or uploaded to the Lead Partner Portal by a participating Partner</t>
  </si>
  <si>
    <t>Rebate Guidelines For All Projects</t>
  </si>
  <si>
    <t>If customer has participated in any other state or utility sponsored rebate program, related to the technology in this application, please contact a PSEG Long Island Representative to determine whether the project is also eligible under this program.</t>
  </si>
  <si>
    <t>All equipment must be installed in a permanent building or structure</t>
  </si>
  <si>
    <t>Customers must agree to PSEG Long Island’s Terms and Conditions found within this application</t>
  </si>
  <si>
    <t>Common areas (Hallways, lobbies, parking garages, etc.) in Multi-Family buildings are eligible for Commercial rebates only</t>
  </si>
  <si>
    <t>Residential units in Multi-Family buildings are eligible for Residential rebates only</t>
  </si>
  <si>
    <t>Eligible High-Rise Multi Family buildings are considered buildings with four or more floors</t>
  </si>
  <si>
    <t>Eligible Low-Rise Multi Family buildings are considered buildings with three or less floors</t>
  </si>
  <si>
    <t>All Eligible Multi Family buildings must be five or more units</t>
  </si>
  <si>
    <t>If applying for enhanced LMI rebates, Building Owner/Manager/HOA Member must submit Affordable Housing verification documents (regulatory agreements, tax credit award documents, qualifying mortgage insurance, loan closing documents)</t>
  </si>
  <si>
    <t>If 50% or more of building tenants meet designated low income levels (per the REAP and HPwES Program), enhanced rebates may be available</t>
  </si>
  <si>
    <t>Additional Rebate Guidelines Residential Air Source Heat Pump Installations</t>
  </si>
  <si>
    <t>If proposed equipment is a Cold Climate Air Source Heat Pump (ASHP), equipment must be listed with NEEP and be visible on its Cold Climate Air Source Heat Pump Specifications Product Listing:</t>
  </si>
  <si>
    <t>www.NEEP.org</t>
  </si>
  <si>
    <t>Qualifying ASHP units must be listed in the AHRI directory at the time of installation (Visit www.ahridirectory.org/ to verify equipment eligibility); Program Manager document review and approval required</t>
  </si>
  <si>
    <t>For all ducted and cold climate equipment, a Manual J must be submitted for each residence type (I.E. one bedroom, 2 bedroom, studio, etc.) ; an energy model is also acceptable</t>
  </si>
  <si>
    <t>Ducted Partial Unit heat pumps must meet 65-135% of Peak Heating or Cooling Load, as determined by the Manual J.</t>
  </si>
  <si>
    <t>To qualify for Whole Unit ASHP rebates and incentives, integrated controls must be installed with the ASHP where there is a secondary/supplementary gas, oil, or propane heating system. If integrated controls are not installed, the project will not be eligible for Whole Unit rebates and incentives. (Not applicable to homes with electric resistance heating.)</t>
  </si>
  <si>
    <t>Smart Thermostats should be installed with all Heat Pumps; If Whole Unit or Cold Climate installation, Integrated Controls must be installed</t>
  </si>
  <si>
    <t>Additional Rebate Guidelines for Low-Rise Geothermal Space Heating and Water Heating Installations</t>
  </si>
  <si>
    <t xml:space="preserve">Ground Source Heat Pumps may only be installed in Low-Rise Multi-Family buildings (in-unit and common area). High-Rise Multi-Family buildings are not eligible.
</t>
  </si>
  <si>
    <t xml:space="preserve">Ground Source Heat Pumps must be installed by a Geothermal participating contractor.
</t>
  </si>
  <si>
    <t>Contractor must hold IGSHPA Accredited Installer certification or plan to acquire this certification within 1 year. If the installer plans to acquire the certification in coming months, then the installer will be granted provisional status as a Geothermal participating contractor.</t>
  </si>
  <si>
    <t>Install properly sized qualifying equipment for the space being heated. Heat Pump may not be used exclusively for water heating.</t>
  </si>
  <si>
    <t>-Geothermal unit may use a Desuperheater for water heating; Please see Eligibility Table on Space Heating Worksheet for more details.</t>
  </si>
  <si>
    <t>The geothermal heat pump system installer shall provide the customer with a written warranty of labor for a minimum of one (1) year from the date the service is performed and, for materials, and the equipment installed shall carry the full manufacturer’s warranty.</t>
  </si>
  <si>
    <t>One application per residence every 5 years, unless new equipment efficiency exceeds the existing equipment efficiency by at least 1.0 EER value.</t>
  </si>
  <si>
    <t>Desuperheaters must only be installed on residential electric tank-storage water heaters.</t>
  </si>
  <si>
    <t>Desuperheater installation must comply with all local plumbing codes.</t>
  </si>
  <si>
    <t xml:space="preserve">If installing Geothermal Water Heating with Geothermal Space Heating system:
</t>
  </si>
  <si>
    <t>- Water to Water - Closed system is eligible with a COP of 3.1 or higher.</t>
  </si>
  <si>
    <t>- Water to Water - Open system is eligible with a COP of 3.5 or higher.</t>
  </si>
  <si>
    <t>Geothermal Water Heating is not eligible without installing a Geothermal Space Heating System.</t>
  </si>
  <si>
    <t>* Limit of 1 rebate per appliance type, per unit</t>
  </si>
  <si>
    <t xml:space="preserve">Appliance must carry ENERGY STAR or Most Efficient designation (if applicable)
</t>
  </si>
  <si>
    <t>Model must be on the qualified ENERGY STAR list at time of purchase (if applicable)</t>
  </si>
  <si>
    <t>The rebate amount cannot be more than 50% of the purchase price paid</t>
  </si>
  <si>
    <t>Program Requirements/Steps to Participate</t>
  </si>
  <si>
    <t>Before equipment purchase and installation:</t>
  </si>
  <si>
    <t>Building owner must choose a licensed contractor(s) to install equipment being rebated</t>
  </si>
  <si>
    <t>Print, complete, sign and date the Customer Information section of Application and provide to installation contractor</t>
  </si>
  <si>
    <t>For In-Unit Heat Pump Installations, Lead Partner must complete Airflow/Refrigerant and Equipment schedule worksheets from this application, perform Manual J calculation, ensure equipment is AHRI listed and properly sized</t>
  </si>
  <si>
    <t>An energy model must be completed for the building</t>
  </si>
  <si>
    <t>Once Project is Complete submit the following:</t>
  </si>
  <si>
    <t>Invoice (must contain total cost, equipment make, model, &amp; serial numbers, date, place of purchase, and building installation address) 
 save document as: "Invoice_&lt;AccountName&gt;.pdf"</t>
  </si>
  <si>
    <r>
      <t>AHRI Certificate, save document as: "AHRI_&lt;customer name&gt;.pdf" (Residential and Commercial HVAC</t>
    </r>
    <r>
      <rPr>
        <b/>
        <sz val="11"/>
        <color rgb="FF000000"/>
        <rFont val="Arial Narrow"/>
        <family val="2"/>
      </rPr>
      <t>)</t>
    </r>
  </si>
  <si>
    <t>Manual J/Manual N save document as: "Manual_J/N_&lt;AccountName&gt;.pdf" (Residential and Commercial HVAC)</t>
  </si>
  <si>
    <r>
      <t>Assignment form (if applicable), save document as: "Assignment_</t>
    </r>
    <r>
      <rPr>
        <i/>
        <sz val="11"/>
        <color indexed="8"/>
        <rFont val="Arial Narrow"/>
        <family val="2"/>
      </rPr>
      <t>&lt;AccountName&gt;</t>
    </r>
    <r>
      <rPr>
        <sz val="11"/>
        <color indexed="8"/>
        <rFont val="Arial Narrow"/>
        <family val="2"/>
      </rPr>
      <t>.pdf"</t>
    </r>
  </si>
  <si>
    <t>CEPLI@pseg.com</t>
  </si>
  <si>
    <r>
      <rPr>
        <sz val="11"/>
        <rFont val="Arial Narrow"/>
        <family val="2"/>
      </rPr>
      <t>Subject Line should read:</t>
    </r>
    <r>
      <rPr>
        <b/>
        <sz val="11"/>
        <rFont val="Arial Narrow"/>
        <family val="2"/>
      </rPr>
      <t xml:space="preserve"> Multi-Family Application - Account Name</t>
    </r>
  </si>
  <si>
    <t>Ts and Cs, Guidelines, and Req Docs added back in</t>
  </si>
  <si>
    <t>5.13.22</t>
  </si>
  <si>
    <t>Locked and final as V2.0</t>
  </si>
  <si>
    <t>Version 2.0</t>
  </si>
  <si>
    <t>7.1.22</t>
  </si>
  <si>
    <t>Common Area HVAC References: Updated list to be without VRFs</t>
  </si>
  <si>
    <t>Version 3.0_draft1</t>
  </si>
  <si>
    <t>7.7.22</t>
  </si>
  <si>
    <t>Locked and final as V3.0</t>
  </si>
  <si>
    <t>Version 3.0</t>
  </si>
  <si>
    <t>11.18.22</t>
  </si>
  <si>
    <t>Saved new draft version for 2023 program year</t>
  </si>
  <si>
    <t>v1_draft1</t>
  </si>
  <si>
    <t>Partners may submit documentation by completing an On Line Application via Partner Portal</t>
  </si>
  <si>
    <t>www.pseglinyportal.com</t>
  </si>
  <si>
    <t>Contractor can also electronically submit documents to:</t>
  </si>
  <si>
    <t>Guidelines: Added language related to Lead Partner Portal OLA</t>
  </si>
  <si>
    <t>Customer Information: removed check boxes for rebate payment method</t>
  </si>
  <si>
    <t>Rebate Payment Method</t>
  </si>
  <si>
    <t>Check to Customer</t>
  </si>
  <si>
    <t>Customer Bill Credit</t>
  </si>
  <si>
    <t>Assigned to Contractor</t>
  </si>
  <si>
    <t>References: Created list of Payment Method Options</t>
  </si>
  <si>
    <t>Customer Information: created dropdown menu selection for Rebate Peyment Method</t>
  </si>
  <si>
    <t>Proposed Qty</t>
  </si>
  <si>
    <t xml:space="preserve">Worksheet Common Lighting: added section for LED Eight Foot Linear Replacements </t>
  </si>
  <si>
    <t>Worksheet Common Lighting: added section for 8' Linear Ambient LED Luminaire</t>
  </si>
  <si>
    <t>LR748</t>
  </si>
  <si>
    <t>LR748-P</t>
  </si>
  <si>
    <t>LR738</t>
  </si>
  <si>
    <t>LR738-P</t>
  </si>
  <si>
    <t>LED Eight Foot Linear Replacements</t>
  </si>
  <si>
    <t>8' Linear Ambient LED Luminaire</t>
  </si>
  <si>
    <t>References: added measure codes and rebate values for 8ft Linear Replacements &amp; 8ft Linear Ambient Luminaire</t>
  </si>
  <si>
    <t>LED Eight Foot Linear Replacements - $8 each</t>
  </si>
  <si>
    <t>8' Linear Ambient LED Luminaire - $40 each</t>
  </si>
  <si>
    <t>X950</t>
  </si>
  <si>
    <t>X955</t>
  </si>
  <si>
    <t>LED Bollard Fixtures - $35 each</t>
  </si>
  <si>
    <t>LED Bollard Fixtures</t>
  </si>
  <si>
    <t>LED Stairwell and Passageway Fixtures</t>
  </si>
  <si>
    <t>LED Stairwell and Passageway Fixtures - $40 each</t>
  </si>
  <si>
    <t>Worksheet Common Lighting: formatted photos for new measures so they adjust as cells hide and unhide</t>
  </si>
  <si>
    <t>Worksheet Common Lighting: updated hide/unhide coding behind check boses to include enewly added measures</t>
  </si>
  <si>
    <t>Worksheet Common Lighting: updated total rebate field at top of page to include rebates from newly added measures</t>
  </si>
  <si>
    <t>Worksheet Appliances Lighting: updated rebate values to match 2023 EEP program for HPWH, smart thermostats and air purifiers</t>
  </si>
  <si>
    <t>Religious Worship</t>
  </si>
  <si>
    <t>Cooling Baseline - New Standard 2023</t>
  </si>
  <si>
    <t>Baseline Cooling Equipement</t>
  </si>
  <si>
    <t>Baseline Heating Equipement</t>
  </si>
  <si>
    <t>Common HVAC References: added references for baseline heating equipment</t>
  </si>
  <si>
    <t>Common HVAC Calculations: updated formula for pulling in bseline heating equipment to include new baseline heating equipment references</t>
  </si>
  <si>
    <t>References: updated EFLH for HVAC related measures to match geothermal references</t>
  </si>
  <si>
    <t>References: updated cooling and heating baselines for common area HVAC to match geothermal references</t>
  </si>
  <si>
    <t>References: Updated Air Conditioner and Heat Pump baselines for 2023</t>
  </si>
  <si>
    <t>v1_draft2</t>
  </si>
  <si>
    <t>All project installations must be complete within 2 years of pre-approval.</t>
  </si>
  <si>
    <t>11.28.22</t>
  </si>
  <si>
    <t>Guidelines: added language extending pre-approval period to two years</t>
  </si>
  <si>
    <t>12.19.22</t>
  </si>
  <si>
    <t>Ductless Multi-Split Cold Climate Heat Pumps All Sizes All Types</t>
  </si>
  <si>
    <t>Common HVAC References: updated references for baseline heating equipment to match final common area HVAC</t>
  </si>
  <si>
    <t>Ductless Multi-Split Cold Climate Heat Pumps</t>
  </si>
  <si>
    <t>Baseline New Construction</t>
  </si>
  <si>
    <t>Baseline None</t>
  </si>
  <si>
    <t>Common HVAC References: Updated Baseline SEER, EER, and HSPF values for systems &lt;5.4 tons to new 2023 Standards</t>
  </si>
  <si>
    <t>Common HVAC References: Changed New Construction to "Baseline New Construction"</t>
  </si>
  <si>
    <t>Common HVAC Calculations: Added "Baseline New Constrution" to BE savings calcs</t>
  </si>
  <si>
    <t>Common HVAC Removed Room Air Conditioner from Existing Building Drop Down</t>
  </si>
  <si>
    <t>v1_draft4</t>
  </si>
  <si>
    <t>Savings methodology and references are found in master internal application</t>
  </si>
  <si>
    <t>Appliances References: added note that references were moved to master internal</t>
  </si>
  <si>
    <t>v1_draft6</t>
  </si>
  <si>
    <t>Common HVAC References:updated heat pump rebates to $2 per kWh</t>
  </si>
  <si>
    <r>
      <t>NEEP Heating BTUh @ Max 17</t>
    </r>
    <r>
      <rPr>
        <b/>
        <sz val="11"/>
        <color theme="0"/>
        <rFont val="Calibri"/>
        <family val="2"/>
      </rPr>
      <t>°</t>
    </r>
    <r>
      <rPr>
        <b/>
        <sz val="8.6999999999999993"/>
        <color theme="0"/>
        <rFont val="Arial Narrow"/>
        <family val="2"/>
      </rPr>
      <t>F</t>
    </r>
  </si>
  <si>
    <t>Rating Method</t>
  </si>
  <si>
    <t>SEER/EER/HSPF</t>
  </si>
  <si>
    <t>SEER2/EER2/HSPF2</t>
  </si>
  <si>
    <t>In Unit HVAC Worksheet: Added columns for max equipmnet rating at 17 degrees &amp; rating method</t>
  </si>
  <si>
    <t>SEER/SEER2</t>
  </si>
  <si>
    <t>EER/EER2</t>
  </si>
  <si>
    <t>HSPF/HSPF2/COP</t>
  </si>
  <si>
    <t>Rating Method Check</t>
  </si>
  <si>
    <t>AHRI Rated
Heating Capacity</t>
  </si>
  <si>
    <t>References: Updated smart thermostat rebates for home comfort/home performance</t>
  </si>
  <si>
    <t>Referencess: updated baseline factors per 2023 Home Comfort Application</t>
  </si>
  <si>
    <t>References: updated EFLH for in-unit hvac per PSEGLI TRM</t>
  </si>
  <si>
    <t>SEER/EER/HSPF and SEER2/EER2/HSPF2 are all accepted efficieny values in this worksheet. Please specify which rating system will be used in the "Rating Method" field on the In Unit HVAC Worksheet tab</t>
  </si>
  <si>
    <t>The Whole Unit Air Source Heat Pump rebate is only available for newly installed ducted and ductless cold climate air-source heat pumps that must be both sized and used for 90%-120% of the unit's heating load, as calculated by the Manual J based on the system's 17°F Maximum Heating Capacity</t>
  </si>
  <si>
    <t xml:space="preserve">Enter Tonnage (in BTUh) and all applicable Efficiency ratings (SEER/SEER2, EER/EER2, HSPF/HSPF2/COP).  </t>
  </si>
  <si>
    <t>Qualifying_Index: Incorproated new methodology related to maximum rated heat pumps</t>
  </si>
  <si>
    <t xml:space="preserve">MT </t>
  </si>
  <si>
    <t>Cold Climate/NEEP Check</t>
  </si>
  <si>
    <t>Cold Climate</t>
  </si>
  <si>
    <t>non-Cold Climate</t>
  </si>
  <si>
    <t>NEEP MAX 
Heating Capacity</t>
  </si>
  <si>
    <t>For all Non-Cold Climate equipment, rebates will be calculated using the 47⁰F Rated Heating Capacity</t>
  </si>
  <si>
    <t>For all Cold Climate equipment, including Whole Unit and Partial Unit projects, rebates will be calculated using the 17⁰F Rated Heating Capacity</t>
  </si>
  <si>
    <t xml:space="preserve">- Systems will use the NEEP listed 17⁰F Maximum Heating Capacity for sizing Cold Climate Heat Pumps. This includes both Whole Unit and Partial Unit projects. </t>
  </si>
  <si>
    <t>- Systems should use the AHRI Rated Capacity when sizing equipment non-Cold Climate, Partial Unit projects</t>
  </si>
  <si>
    <t>Qualifying_Index: updated logic so system sizing is based on max for cold climate and rated for non cold climate partial house</t>
  </si>
  <si>
    <t>12.28.22</t>
  </si>
  <si>
    <t>Cust Info tab: Removed links to References tabs for EB and NC</t>
  </si>
  <si>
    <t>Calcs: Updated SEER/EER/HSPF/COP/Displacement formulas to account for "New Construction Baseline"</t>
  </si>
  <si>
    <t>V1_Draft7</t>
  </si>
  <si>
    <t>Cust info Tab: Unlocked Rebate Payment Method field and added bottom border</t>
  </si>
  <si>
    <t>12.29.22</t>
  </si>
  <si>
    <t>1.5.23</t>
  </si>
  <si>
    <t>Common HVAC: Updated worksheet to allow cc ductless minisplit to be selectable and pass</t>
  </si>
  <si>
    <t>V1_D9</t>
  </si>
  <si>
    <t>1.10.23</t>
  </si>
  <si>
    <t>Common HVAC References: updated efficiency requirements reference table and updated name manager to reference expanded table area</t>
  </si>
  <si>
    <t>v1_d10</t>
  </si>
  <si>
    <t>Project Completion Form (filled out and signed by Customer and Contractor), save document as: "PCF_&lt;AccountName&gt;.pdf"</t>
  </si>
  <si>
    <t>In Unit HVAC Worksheet: updated clear inputs macro to include addition of new columns</t>
  </si>
  <si>
    <t>References: added efficiency requirements for tier II, non cold climate, ducted heat pumps</t>
  </si>
  <si>
    <t>Guidelines: corrected spelling error under Program Requirements/Steps to Participate section</t>
  </si>
  <si>
    <t>In Unit HVAC Worksheet: added row label for unit one under installed systems specifications section</t>
  </si>
  <si>
    <t>Common Area HVAC: updated clear inputs macro to include all fields on the application form</t>
  </si>
  <si>
    <t>Worksheet Common Lighting: updated inputs for LED bollard fixtures and LED Stairweel and Passageway fixutres to include DLC code in calculations. This was also done for 8 ft linear replacements</t>
  </si>
  <si>
    <t>AHRI Heating BTUh @ Rated</t>
  </si>
  <si>
    <t>Guidelines: updated in-unit hvac guidelines to incoporate new SEER2/EER2/HSPF2 methodology and change to maximum system sizing</t>
  </si>
  <si>
    <t>1.13.23</t>
  </si>
  <si>
    <t>HC Tab: Updated rebate tables to reflect 17F Rated for CC Equipment</t>
  </si>
  <si>
    <t>Va_d11</t>
  </si>
  <si>
    <t>Locked and final per client approval</t>
  </si>
  <si>
    <t>V1</t>
  </si>
  <si>
    <t>Confirmation and Screening Questions</t>
  </si>
  <si>
    <t>1. Have you or any family member traveled to a country for which the CDC has issued a Level 2 or 3 travel designation within the last 14 days?</t>
  </si>
  <si>
    <t>2. Have you or any family member traveled had contact with any Persons Under Investigation (PUIs) for COVID-19 within the last 14 days, OR with anyone with known COVID-19?</t>
  </si>
  <si>
    <t>3. Do you or any family member have any symptoms of a fever or respiratory infection (e.g., cough, sore throat, fever, or shortness of breath)?</t>
  </si>
  <si>
    <t>IF ANY QUESTION IS RESPONDED TO WITH A YES, YOU CANNOT PROCEED AND WILL NEED TO RESCHEDULE THE APPOINTMENT</t>
  </si>
  <si>
    <t>Address:</t>
  </si>
  <si>
    <t>Town:</t>
  </si>
  <si>
    <t>Phone:</t>
  </si>
  <si>
    <t>Inspector:</t>
  </si>
  <si>
    <t>Inspection Type:</t>
  </si>
  <si>
    <t>Company:</t>
  </si>
  <si>
    <t>Contact Name:</t>
  </si>
  <si>
    <t>Existing Equipment Details</t>
  </si>
  <si>
    <t>Space Heating Information</t>
  </si>
  <si>
    <t>Equipment Tonnage</t>
  </si>
  <si>
    <t>Matching?</t>
  </si>
  <si>
    <t>Primary:</t>
  </si>
  <si>
    <t>Space Cooling Information</t>
  </si>
  <si>
    <t>Model #</t>
  </si>
  <si>
    <t>Tonnage</t>
  </si>
  <si>
    <t>Efficiency Rating</t>
  </si>
  <si>
    <t>Inspection Analysis</t>
  </si>
  <si>
    <t>Fail Reason*:</t>
  </si>
  <si>
    <r>
      <t xml:space="preserve">ACCA Manual J </t>
    </r>
    <r>
      <rPr>
        <sz val="10"/>
        <color indexed="8"/>
        <rFont val="Arial Narrow"/>
        <family val="2"/>
      </rPr>
      <t>(Total Tons):</t>
    </r>
  </si>
  <si>
    <r>
      <t xml:space="preserve">ACCA Manual J </t>
    </r>
    <r>
      <rPr>
        <sz val="11"/>
        <color indexed="8"/>
        <rFont val="Arial Narrow"/>
        <family val="2"/>
      </rPr>
      <t>(BTU)</t>
    </r>
  </si>
  <si>
    <t>AHRI Certificate Number:</t>
  </si>
  <si>
    <t>AHRI Ratings:</t>
  </si>
  <si>
    <t xml:space="preserve">Unit 4 </t>
  </si>
  <si>
    <t>Unit 6</t>
  </si>
  <si>
    <t>Unit 7</t>
  </si>
  <si>
    <t>Unit 8</t>
  </si>
  <si>
    <t>Unit 9</t>
  </si>
  <si>
    <t>Unit 10</t>
  </si>
  <si>
    <t>Inspector Signature:</t>
  </si>
  <si>
    <t>Matches 
Invoice</t>
  </si>
  <si>
    <t>Measure Name</t>
  </si>
  <si>
    <t>Measure #</t>
  </si>
  <si>
    <t>Home Performance with ENERGY STAR Measures</t>
  </si>
  <si>
    <t>Serial #</t>
  </si>
  <si>
    <t>Unit #</t>
  </si>
  <si>
    <t>Secondary Heating Source</t>
  </si>
  <si>
    <t>Heat Pump Units</t>
  </si>
  <si>
    <t>New Equipment Details</t>
  </si>
  <si>
    <t>Account Holder Name:</t>
  </si>
  <si>
    <t xml:space="preserve">Workbook Name : </t>
  </si>
  <si>
    <t xml:space="preserve">Project ID : </t>
  </si>
  <si>
    <t xml:space="preserve">Account Name : </t>
  </si>
  <si>
    <t>Confirmation</t>
  </si>
  <si>
    <t xml:space="preserve">Facility Address : </t>
  </si>
  <si>
    <t>Inspector Name:</t>
  </si>
  <si>
    <t>Signature :</t>
  </si>
  <si>
    <t xml:space="preserve">Contact Name / Title : </t>
  </si>
  <si>
    <t xml:space="preserve">Phone : </t>
  </si>
  <si>
    <t>Inspector Company Name:</t>
  </si>
  <si>
    <t xml:space="preserve">Cell : </t>
  </si>
  <si>
    <t>Additional Projects to Inspect:</t>
  </si>
  <si>
    <t>1. Have you or any family member traveled to a country for which the CDC has issued a Lvel 2 or 3 travel designation within the last 14 days?</t>
  </si>
  <si>
    <t>2. Have you or a family member traveled or had contact with any Persons Under Investigation (PUIs) for COVID-19 within the last 14 days, OR with anyone with known COVID-19?</t>
  </si>
  <si>
    <t>Pre Inspection</t>
  </si>
  <si>
    <t>Unit ID</t>
  </si>
  <si>
    <t>Existig Heating Fuel</t>
  </si>
  <si>
    <t>Qty.</t>
  </si>
  <si>
    <t>Serial No.</t>
  </si>
  <si>
    <t>Verified</t>
  </si>
  <si>
    <t>Images</t>
  </si>
  <si>
    <t>Comments</t>
  </si>
  <si>
    <t>Post Inspection</t>
  </si>
  <si>
    <t>Unit Size</t>
  </si>
  <si>
    <t xml:space="preserve">Installation Address : </t>
  </si>
  <si>
    <t>Was the selected Building Type appropriate for this facility?</t>
  </si>
  <si>
    <t>2. Have you or any family member traveled or had contact with any Persons Under Investigation (PUIs) for COVID-19 within the last 14 days, OR with anyone with known COVID-19?</t>
  </si>
  <si>
    <t>Location/Designation</t>
  </si>
  <si>
    <t>Proposed/Installed Product Description</t>
  </si>
  <si>
    <t>Notes</t>
  </si>
  <si>
    <t>Location /
Designation</t>
  </si>
  <si>
    <t>Existing Product Type</t>
  </si>
  <si>
    <t>Workbook Name:</t>
  </si>
  <si>
    <t xml:space="preserve">City: </t>
  </si>
  <si>
    <r>
      <t>Elevator Modernization Worksheet (</t>
    </r>
    <r>
      <rPr>
        <i/>
        <sz val="12"/>
        <color rgb="FF00B0F0"/>
        <rFont val="Arial Narrow"/>
        <family val="2"/>
      </rPr>
      <t>Motor-Generator Retrofit)</t>
    </r>
  </si>
  <si>
    <t>Existing System Efficiency</t>
  </si>
  <si>
    <t>Proposed System Efficiency</t>
  </si>
  <si>
    <t>Proposed System Horsepower</t>
  </si>
  <si>
    <r>
      <t>Elevator Modernization Worksheet (SCR Drive or PWM Drive</t>
    </r>
    <r>
      <rPr>
        <i/>
        <sz val="12"/>
        <color rgb="FF00B0F0"/>
        <rFont val="Arial Narrow"/>
        <family val="2"/>
      </rPr>
      <t xml:space="preserve"> Retrofit)</t>
    </r>
  </si>
  <si>
    <t>Pool Size (gallons)</t>
  </si>
  <si>
    <t>Pool Size (sqft.)</t>
  </si>
  <si>
    <t>Total Number of Pool Heaters</t>
  </si>
  <si>
    <t>Existing Fuel Type</t>
  </si>
  <si>
    <t>Number of Proposed Heat Pump Pool Heaters</t>
  </si>
  <si>
    <t>Heat Pump(s) Verfified</t>
  </si>
  <si>
    <t>Cover</t>
  </si>
  <si>
    <t>Cover Verified</t>
  </si>
  <si>
    <t>Motor Belts</t>
  </si>
  <si>
    <t>2023 Geothermal Inspection Form</t>
  </si>
  <si>
    <t>Date &amp;Time:</t>
  </si>
  <si>
    <t>Project ID:</t>
  </si>
  <si>
    <t>Existing Space Heating Equipment Details</t>
  </si>
  <si>
    <t>Existing Heating Type</t>
  </si>
  <si>
    <t>Existing Cooling Type</t>
  </si>
  <si>
    <t>Operating (Y/N)</t>
  </si>
  <si>
    <t>Matches 
Worksheet</t>
  </si>
  <si>
    <r>
      <t xml:space="preserve">ACCA Manual J </t>
    </r>
    <r>
      <rPr>
        <sz val="11"/>
        <color indexed="8"/>
        <rFont val="Arial Narrow"/>
        <family val="2"/>
      </rPr>
      <t>(BTU Cooling)</t>
    </r>
  </si>
  <si>
    <r>
      <t xml:space="preserve">ACCA Manual J </t>
    </r>
    <r>
      <rPr>
        <sz val="11"/>
        <color indexed="8"/>
        <rFont val="Arial Narrow"/>
        <family val="2"/>
      </rPr>
      <t>(BTU Heating)</t>
    </r>
  </si>
  <si>
    <t>Existing Water Heating Equipment Details</t>
  </si>
  <si>
    <t>Existing Water Heating Type</t>
  </si>
  <si>
    <t>New Water Heating Equipment Details</t>
  </si>
  <si>
    <t>New Space Heating Equipment Details</t>
  </si>
  <si>
    <t>4.6.23</t>
  </si>
  <si>
    <t>Copied over inspection forms from other applications for each application type/tab</t>
  </si>
  <si>
    <t>v2_draft1</t>
  </si>
  <si>
    <t>Created new draft version</t>
  </si>
  <si>
    <t>4.10.23</t>
  </si>
  <si>
    <t>Linked Home Comfort Inspection Forms to In Unit HVAC Form</t>
  </si>
  <si>
    <t>v2_draft2</t>
  </si>
  <si>
    <t>Model No.
(if available)</t>
  </si>
  <si>
    <t xml:space="preserve">Contact Name: </t>
  </si>
  <si>
    <t>Linked Common HVAC, Elevator, VFD, Pool, and Geothermal tabs to respective data input forms</t>
  </si>
  <si>
    <t>4.13.23</t>
  </si>
  <si>
    <t>v2_draft3</t>
  </si>
  <si>
    <t>5.10.23</t>
  </si>
  <si>
    <t>Linked Appliances Inspection Form to In-Unit Appliances and Lighting Worksheet</t>
  </si>
  <si>
    <t>v2_draft5</t>
  </si>
  <si>
    <t>Worksheet Appliances Lighting: hid in-unit lighting measures including downlights</t>
  </si>
  <si>
    <t>Worksheet Common Lighting: removed new install baselines for LED Lamps and downlights, include outdoor downlights</t>
  </si>
  <si>
    <t>Common Area Lighting Inspection: linked inspection sheet to Worksheet Common Lighting</t>
  </si>
  <si>
    <t>Worksheet Appliances Lighting: updated standalone appliances checkbox to remove in-unit lighting</t>
  </si>
  <si>
    <t>v2_draft6</t>
  </si>
  <si>
    <t>Common Area Lighting Inspection: recreated macro for update button to hide empty rows</t>
  </si>
  <si>
    <t>Appliances Inspection Form: recreated macro for update button to hide empty rows</t>
  </si>
  <si>
    <t>Renamed Appliances Tab and removed references to in-unit lighting</t>
  </si>
  <si>
    <t>Tied Inspection Forms to checkboxes on relevant worksheets</t>
  </si>
  <si>
    <t>Existing Lamp Type</t>
  </si>
  <si>
    <t>Apt Type</t>
  </si>
  <si>
    <t>Watts per Fixture</t>
  </si>
  <si>
    <t>Apt Qty</t>
  </si>
  <si>
    <t>Buildings per Site:</t>
  </si>
  <si>
    <t>Apartment Types</t>
  </si>
  <si>
    <t>Studio</t>
  </si>
  <si>
    <t>1 Bedroom</t>
  </si>
  <si>
    <t>2 Bedroom</t>
  </si>
  <si>
    <t>3 Bedroom</t>
  </si>
  <si>
    <t>4 Bedroom</t>
  </si>
  <si>
    <t>4+Bedroom</t>
  </si>
  <si>
    <t>8.14.23</t>
  </si>
  <si>
    <t>Worksheet Appliances: Specialty Bulbs Hidden, Added new data collection fields for LED Down lights for LPD savings approach</t>
  </si>
  <si>
    <t>Appliances INS form: Added new INS fields to tie in with LPD Approach</t>
  </si>
  <si>
    <t>Apt SqF</t>
  </si>
  <si>
    <t>NC</t>
  </si>
  <si>
    <t>*For LED Downlights Please Refer to Second Table on form</t>
  </si>
  <si>
    <t>8.16.23</t>
  </si>
  <si>
    <t>SB</t>
  </si>
  <si>
    <t>V2_Draft10</t>
  </si>
  <si>
    <t>V2_Draft11</t>
  </si>
  <si>
    <t>Worksheet Appliances: Corrected "New Construction" typo in dropdown for Downlights</t>
  </si>
  <si>
    <t>Worksheet Appliances: Updated Formula for Downlights based on New Construction baseline</t>
  </si>
  <si>
    <t>Worksheet Appliances: Added instruction for Downlights specific for New Construction</t>
  </si>
  <si>
    <t>Guidelines: Added guideline for Downlights specific for New Construction</t>
  </si>
  <si>
    <t>Req Docs: Added Design Drawing for NC Downlights</t>
  </si>
  <si>
    <t>Appliances INS Form: Updated Code to correctly hide and unhide fields</t>
  </si>
  <si>
    <t>v</t>
  </si>
  <si>
    <t>z</t>
  </si>
  <si>
    <t>Boshe</t>
  </si>
  <si>
    <t>yeh57d</t>
  </si>
  <si>
    <t>Lumen</t>
  </si>
  <si>
    <t>q</t>
  </si>
  <si>
    <t>tge453</t>
  </si>
  <si>
    <t>w</t>
  </si>
  <si>
    <t>329321k</t>
  </si>
  <si>
    <t>fwerwed</t>
  </si>
  <si>
    <t>s</t>
  </si>
  <si>
    <t>rretret</t>
  </si>
  <si>
    <t>boshe</t>
  </si>
  <si>
    <t>trgfd</t>
  </si>
  <si>
    <t>rtrwtrtre</t>
  </si>
  <si>
    <t>retretew</t>
  </si>
  <si>
    <t>PSEGLI_2023_MultiFamilyRebateApplication_Version 2.0_Draft11_ForTestSB.xlsm</t>
  </si>
  <si>
    <t>added baseline to new construction</t>
  </si>
  <si>
    <t>10.6.23</t>
  </si>
  <si>
    <t xml:space="preserve">References: </t>
  </si>
  <si>
    <t>Whole House Set Perminently to True</t>
  </si>
  <si>
    <t>Fasle</t>
  </si>
  <si>
    <t>Home Comfort QIV Partner:</t>
  </si>
  <si>
    <t>Important: Please read all instructions thoroughly before submitting forms</t>
  </si>
  <si>
    <t>Whole Unit Projects</t>
  </si>
  <si>
    <t>Customer Rebate</t>
  </si>
  <si>
    <t>Cold Climate Air Source Heat Pump</t>
  </si>
  <si>
    <r>
      <t>$1,000/12,000 Heating BTU @ 17</t>
    </r>
    <r>
      <rPr>
        <sz val="12"/>
        <color theme="1"/>
        <rFont val="Calibri"/>
        <family val="2"/>
      </rPr>
      <t>°F Rated</t>
    </r>
  </si>
  <si>
    <t>Installing Smart Thermostats:</t>
  </si>
  <si>
    <r>
      <t>Efficiency Requirments</t>
    </r>
    <r>
      <rPr>
        <i/>
        <vertAlign val="superscript"/>
        <sz val="16"/>
        <color theme="0"/>
        <rFont val="Arial Narrow"/>
        <family val="2"/>
      </rPr>
      <t>1</t>
    </r>
  </si>
  <si>
    <t>Water to Air - Closed</t>
  </si>
  <si>
    <t>Water to Air - Open</t>
  </si>
  <si>
    <t>Water to Water - Closed</t>
  </si>
  <si>
    <t>Water to Water - Open</t>
  </si>
  <si>
    <t>DGX</t>
  </si>
  <si>
    <t>Vertical Stack - Closed</t>
  </si>
  <si>
    <t>Vertical Stack - Open</t>
  </si>
  <si>
    <t>Customer Incentive (Per Ton)</t>
  </si>
  <si>
    <t>New Install
Tier I</t>
  </si>
  <si>
    <t>New Install
Tier II</t>
  </si>
  <si>
    <t>Retrofit
Tier I</t>
  </si>
  <si>
    <t>Retrofit
Tier II</t>
  </si>
  <si>
    <r>
      <t>Desuperheater
Incentive</t>
    </r>
    <r>
      <rPr>
        <i/>
        <vertAlign val="superscript"/>
        <sz val="18"/>
        <color theme="0"/>
        <rFont val="Arial Narrow"/>
        <family val="2"/>
      </rPr>
      <t>2</t>
    </r>
  </si>
  <si>
    <r>
      <t>Efficiency Requirements</t>
    </r>
    <r>
      <rPr>
        <i/>
        <vertAlign val="superscript"/>
        <sz val="16"/>
        <color theme="0"/>
        <rFont val="Arial Narrow"/>
        <family val="2"/>
      </rPr>
      <t>1</t>
    </r>
  </si>
  <si>
    <t>Tier I
COP</t>
  </si>
  <si>
    <t>VFD       Motors</t>
  </si>
  <si>
    <t>Formatting and colors updated for 2024</t>
  </si>
  <si>
    <t>All macros and checkboxes and buttons have been removed</t>
  </si>
  <si>
    <t>Version 1.0 creaetd for 2024</t>
  </si>
  <si>
    <t>V1_Draft2</t>
  </si>
  <si>
    <t>10.9.23</t>
  </si>
  <si>
    <t>References:</t>
  </si>
  <si>
    <t>Air Conditioners - Air Cooled ≥ 5.4 &amp; &lt; 11.25 Tons: (baselines) EER 11 -&gt; 12.1; IEER 12.7 -&gt; 14.6</t>
  </si>
  <si>
    <t>Air Conditioners - Air Cooled ≥ 11.25 &amp; &lt; 20 Tons: (Baselines) EER 10.8 -&gt; 11.8; IEER 12.2 -&gt; 14.0</t>
  </si>
  <si>
    <t>Air Conditioners - Air Cooled ≥ 20 &amp; &lt; 63 Tons: (Baselines) EER 9.8 -&gt; 11.2; IEER 11.4 -&gt; 13</t>
  </si>
  <si>
    <t>Air Cooled Heat Pumps ≥ 5.4 &amp; &lt; 11.25 Tons: (Baselines) EER 10.8 -&gt; 11.7; IEER 12 -&gt; 13.9; COP 3.3 -&gt; 3.4</t>
  </si>
  <si>
    <t>Air Cooled Heat Pumps ≥ 11.25 &amp; &lt; 20 Tons: (Baselines) EER 10.4 -&gt; 11.4; IEER 11.4 -&gt;13.3; COP 3.2 -&gt; 3.3</t>
  </si>
  <si>
    <t>Air Cooled Heat Pumps ≥ 20 &amp; &lt; 63 Tons: (Baselines) EER 9.3 -&gt; 10.8; IEER 10.4 -&gt; 12.3</t>
  </si>
  <si>
    <t>Ductless Mini-Split AC &lt; 5.4 tons All Types: (Baselines) EER 11.18 -&gt; 11.2</t>
  </si>
  <si>
    <t>Ductless Mini-Split Heat Pumps &lt; 5.4 tons All Types: (Baselines) EER 11.76 -&gt; 11.2; SEER 14-&gt;13</t>
  </si>
  <si>
    <t>VRF Water Source Heat Pumps &lt; 11.25 Tons Multisplit System: (Baselines) IEER n/a -&gt; 16</t>
  </si>
  <si>
    <t>Cold Climate Air Source Heat Pumps All Sizes All Types: (Baselines) EER 11.76 -&gt; 11.8</t>
  </si>
  <si>
    <t>GEO All types: (Baselines) EER 10.8 -&gt; 11.2</t>
  </si>
  <si>
    <t>10.10.23</t>
  </si>
  <si>
    <t>All Wroksheets hidden</t>
  </si>
  <si>
    <t>appliance tab chnaged to eligibility sheet with HPWH still availible</t>
  </si>
  <si>
    <t>V1_Draft3</t>
  </si>
  <si>
    <t>11.6.23</t>
  </si>
  <si>
    <t>Project Type</t>
  </si>
  <si>
    <t>Rebate/Dwelling</t>
  </si>
  <si>
    <t>$500/Dwelling</t>
  </si>
  <si>
    <t>Rebate Cap (per Building)</t>
  </si>
  <si>
    <t>NEEP Listed Cold Climate Air Source Heat Pump</t>
  </si>
  <si>
    <t>Air Source Variable Refrigerant Flow Heat Pump</t>
  </si>
  <si>
    <t>Estimated Rebate</t>
  </si>
  <si>
    <t>Apartment per Site</t>
  </si>
  <si>
    <t>$/Dwelling</t>
  </si>
  <si>
    <t>Estimated Project Rebate</t>
  </si>
  <si>
    <t>Total Dwellings*</t>
  </si>
  <si>
    <t>$1,000/Unit</t>
  </si>
  <si>
    <t>$/Building Cap</t>
  </si>
  <si>
    <t>Cap</t>
  </si>
  <si>
    <t>Customer or Contractor is assaigned</t>
  </si>
  <si>
    <t>PSEG Long Island Project Manager</t>
  </si>
  <si>
    <t>10.25.23</t>
  </si>
  <si>
    <t>Added in custom heat pump rebate calculator</t>
  </si>
  <si>
    <t>updated eligibility table</t>
  </si>
  <si>
    <t>updated req docs</t>
  </si>
  <si>
    <t>updated guidelines</t>
  </si>
  <si>
    <t>V1_Draft5</t>
  </si>
  <si>
    <t>Additional Rebate Guidelines ENERGY STAR Heat Pump Water Heater</t>
  </si>
  <si>
    <t xml:space="preserve">Heat Pump water heater must be installed in pre-approved unit
</t>
  </si>
  <si>
    <t>Total Buildings*</t>
  </si>
  <si>
    <t>Do not use this application for Lighting, Refrigeration, HVAC, or Standard rebates; for these please visit our website:</t>
  </si>
  <si>
    <t>https://www.psegliny.com/businessandcontractorservices/businessandcommercialsavings/rebates</t>
  </si>
  <si>
    <t>Pre-approval is required.</t>
  </si>
  <si>
    <t xml:space="preserve">Eligibility criteria may be updated or modified regularly.  </t>
  </si>
  <si>
    <t>Only Applications and Worksheets in effect at the time of submittal will be accepted. Please visit our website to confirm effective Applications:</t>
  </si>
  <si>
    <t xml:space="preserve">All installations must be installed in accordance with all applicable local, state and national codes and ordinances.
</t>
  </si>
  <si>
    <t>Measure-specific eligibility requirements and deadlines apply.  See appropriate Eligibility Requirements for each application type.</t>
  </si>
  <si>
    <t>If  submitting electronically, applicant must either submit an e-mail in lieu of signature or provide a hard copy with signature (fax, pdf, printed original, etc.).</t>
  </si>
  <si>
    <t>Rebate Guidelines</t>
  </si>
  <si>
    <t>Heat Pump Eligibility Requirements</t>
  </si>
  <si>
    <t xml:space="preserve">     - Must be listed on the NEEP list at the point of Application submission - https://ashp.neep.org/</t>
  </si>
  <si>
    <t xml:space="preserve">     - All equipment must have greater than 65,000 Btu cooling capacity</t>
  </si>
  <si>
    <t>To be eligible for incentives, all heat pump systems must be sized in compliance with NY state and municipal codes</t>
  </si>
  <si>
    <t>Equipment installed in commercial buildings must be sized in accordance with load calculations following ANSI21/ASHRAE22/ACCA Standard 183-2007 (RA2017) or other code-approved equivalent computational procedure.</t>
  </si>
  <si>
    <t>All equipment must comply with the NY State Clean Heat Calculator and/or applicable Industry Standards</t>
  </si>
  <si>
    <t>Changes in scope after project pre-approval require submittal of revised analysis and other supporting documents for second pre-approval. The project will be analyzed as per the current rebate.</t>
  </si>
  <si>
    <t>Final rebate payment is based upon installed equipment specifications and operating data (through M&amp;V or EMS/BMS), and may be lower than pre-approved amounts</t>
  </si>
  <si>
    <t>Only electrical energy efficiency or beneficial electrification measures will be eligible for a rebate; beneficial electrification includes on-site replacement or displacement of fossil fuel consuming equipment (oil, gas or propane) by efficient electric technology</t>
  </si>
  <si>
    <t>New Construction projects will have natural gas as the baseline if available in the area and existing building will use existing conditions as the baseline</t>
  </si>
  <si>
    <t>Integrated controls will be required on ccASHP projects where a supplemental fossil fuel heat source is present</t>
  </si>
  <si>
    <t>All new equipment must not increase the overall annual site energy consumption</t>
  </si>
  <si>
    <t>For HRV/ERV projects, please refer to the PSEG Long Island Standard Application for rebates</t>
  </si>
  <si>
    <t>NEEP Cold Climate ASHPs have the following additional criteria:</t>
  </si>
  <si>
    <t>Large Unitary ASHPs have the following additional criteria:</t>
  </si>
  <si>
    <t>PSEG Long Island reserves the right to ask for operating data for any project for a certain period of time.</t>
  </si>
  <si>
    <t>Before you purchase and install equipment, send the following to PSEG Long Island to receive your Pre-Approval Letter:</t>
  </si>
  <si>
    <t>Completed Customer Information section of application and appropriate worksheets.  (Incomplete applications will not be accepted.)</t>
  </si>
  <si>
    <t>Submit required documents (see Required Documents check sheet tab for selected Application Type)</t>
  </si>
  <si>
    <t>Partners may submit documentation by completing an On Line Application via Partner Portal. If not submitting via Partner Portal On Line Application:</t>
  </si>
  <si>
    <t xml:space="preserve">For Electronic Submissions e-mail documents to:  </t>
  </si>
  <si>
    <t>Each required document must be a separate file (no zipped files)</t>
  </si>
  <si>
    <t>*Please note, you may also complete and submit project applications and documents through the Online Application found in the Lead Partner Portal</t>
  </si>
  <si>
    <t xml:space="preserve">For Online Submissions:  </t>
  </si>
  <si>
    <r>
      <rPr>
        <sz val="11"/>
        <rFont val="Calibri"/>
        <family val="2"/>
        <scheme val="minor"/>
      </rPr>
      <t xml:space="preserve">Please note, all emails from the Partner Portal will be from the following email address: </t>
    </r>
    <r>
      <rPr>
        <u/>
        <sz val="11"/>
        <color theme="10"/>
        <rFont val="Calibri"/>
        <family val="2"/>
        <scheme val="minor"/>
      </rPr>
      <t>psegpartnersupport@trccompanies.com</t>
    </r>
  </si>
  <si>
    <t>For Hardcopy Submissions:  PSEG Long Island CEP, 395 North Service Rd, Suite 409, Melville, NY 11747</t>
  </si>
  <si>
    <r>
      <rPr>
        <b/>
        <sz val="11"/>
        <color rgb="FF000000"/>
        <rFont val="Arial Narrow"/>
        <family val="2"/>
      </rPr>
      <t>AFTER you receive your Pre-Approval Letter,</t>
    </r>
    <r>
      <rPr>
        <sz val="11"/>
        <color indexed="8"/>
        <rFont val="Arial Narrow"/>
        <family val="2"/>
      </rPr>
      <t xml:space="preserve"> complete the project. </t>
    </r>
  </si>
  <si>
    <t>Once Project is Complete:</t>
  </si>
  <si>
    <t xml:space="preserve">Submit copies of customer validated proof of payment (e.g. itemized invoice) showing the facility address, date and place of purchase and the model/part numbers of installed equipment. </t>
  </si>
  <si>
    <t xml:space="preserve">A PSEG Long Island representative will contact you to schedule a post-inspection. </t>
  </si>
  <si>
    <t>After verification that all necessary requirements have been met, a PSEG Long Island representative will authorize payment and either mail a check to the applicant/assignee or apply a bill credit to the applicant’s account.</t>
  </si>
  <si>
    <t>I have read and understand the Guidelines listed above.</t>
  </si>
  <si>
    <t xml:space="preserve">HPWH must carry ENERGY STAR or Most Efficient designation (if applicable)
</t>
  </si>
  <si>
    <t>Muti-Family - High Rise</t>
  </si>
  <si>
    <t>Multi-Family - Low Rise</t>
  </si>
  <si>
    <t>The Multi-Family Program offers rebates to PSEG Long Island Building Owners who install efficient equipment in a Multi-Family building consisting of 5 or more units.
All projects are subject to pre-approval and post inspection. If the building has 4 or less units, please contact the infoline.</t>
  </si>
  <si>
    <t>10.30.23</t>
  </si>
  <si>
    <t>Cust Info Tab: Removed all measures named in header paragraph</t>
  </si>
  <si>
    <t>V1_Draft6</t>
  </si>
  <si>
    <t>Guidelines: Removed Income eligible language</t>
  </si>
  <si>
    <t>Guidelines: Added in pre-approval durations</t>
  </si>
  <si>
    <t>Applications must be saved as:  24MultiFamily_&lt;&lt;&lt;customer Name&gt;&gt;MMDDYYYY.xls</t>
  </si>
  <si>
    <t>All projects are subject to Pre and Post-inspection.</t>
  </si>
  <si>
    <t>Custom Multi-Family Heat Pump projects must pass PSEG Long Island's cost/benefit screening. Rebates will not exceed PSEG Long Island's energy savings benefits.</t>
  </si>
  <si>
    <t>Multi-Family In-Unit Heat Pump Water Heater*</t>
  </si>
  <si>
    <t>*Please see below to apply for in-unit ENERGY STAR Heat Pump Water Heaters</t>
  </si>
  <si>
    <t>ENERGY STAR Heat Pump Water Heater ≤ 55 Gallons</t>
  </si>
  <si>
    <t>ENERGY STAR Heat Pump Water Heater &gt; 55 Gallons</t>
  </si>
  <si>
    <t>Complete all grey fields with equipment data</t>
  </si>
  <si>
    <t>Heat Pump Water Heaters must be ENERGY STAR listed &amp; installed in a permanent structure</t>
  </si>
  <si>
    <t>One Heat Pump Water Heater per unit is eligible for a rebate</t>
  </si>
  <si>
    <t>Mulit-Fam heat pump tab: Added clarifying language for heat pump water heaters to be ES Listed and one per unit</t>
  </si>
  <si>
    <t>Mulit-Fam heat pump tab: Updated HPWH rebate to calculate when Model # is entered</t>
  </si>
  <si>
    <t>Final and locked per client approval</t>
  </si>
  <si>
    <t>Multi-Family Space Heating In- Unit Heat Pumps</t>
  </si>
  <si>
    <t>In- Unit Heat Pump Eligibility</t>
  </si>
  <si>
    <t>Common Area Heat Pump Eligibility</t>
  </si>
  <si>
    <t>Multi-Family Space Heating Common Area Heat Pumps</t>
  </si>
  <si>
    <t>New Construction Heat Pump Scenario*</t>
  </si>
  <si>
    <t>Decomissioned Fossil Fuel System Heat Pump Scenario</t>
  </si>
  <si>
    <t>Rebate/Type</t>
  </si>
  <si>
    <t>$/MMBTU</t>
  </si>
  <si>
    <t>$50/MMBTU</t>
  </si>
  <si>
    <r>
      <t xml:space="preserve">*Total dwellings should equal number of apartments on customer information tab
*Total buildings should equal number of buildings on customer information tab
</t>
    </r>
    <r>
      <rPr>
        <b/>
        <i/>
        <sz val="11"/>
        <color theme="1"/>
        <rFont val="Calibri"/>
        <family val="2"/>
        <scheme val="minor"/>
      </rPr>
      <t>All equipment must comply with the NY State Clean Heat Calculator and/or applicable Industry Standards</t>
    </r>
    <r>
      <rPr>
        <i/>
        <sz val="11"/>
        <color theme="1"/>
        <rFont val="Calibri"/>
        <family val="2"/>
        <scheme val="minor"/>
      </rPr>
      <t xml:space="preserve">
</t>
    </r>
  </si>
  <si>
    <r>
      <t xml:space="preserve">*Includes Electric Replacements and Supplemental Heating Scenarios
</t>
    </r>
    <r>
      <rPr>
        <b/>
        <i/>
        <sz val="11"/>
        <color theme="1"/>
        <rFont val="Calibri"/>
        <family val="2"/>
        <scheme val="minor"/>
      </rPr>
      <t>All equipment must comply with the NY State Clean Heat Calculator and/or applicable Industry Standards</t>
    </r>
  </si>
  <si>
    <t>Total Number of Buildings</t>
  </si>
  <si>
    <t>Total Net MMBtu Savings</t>
  </si>
  <si>
    <t>Estimated Rebate ($)</t>
  </si>
  <si>
    <t>Large Unitary Air Source Heat Pump</t>
  </si>
  <si>
    <t>ccASHP Rebate</t>
  </si>
  <si>
    <t>HP Rebate</t>
  </si>
  <si>
    <t>Weatherization</t>
  </si>
  <si>
    <t>Heat Pump Cap</t>
  </si>
  <si>
    <t>Fossil Fuel Left in Place</t>
  </si>
  <si>
    <t>Fossil Fuel Decommissioning</t>
  </si>
  <si>
    <t>Project Cost</t>
  </si>
  <si>
    <t>Heat Pump Water Heat Rebate Calculation</t>
  </si>
  <si>
    <t>11.17.23</t>
  </si>
  <si>
    <t>Guidelines: Updated Heat Pump guidelines to icnlude "PSEG Long Island may change rebate eligibility at any time based on updates to federal codes and standards.</t>
  </si>
  <si>
    <t>*Please note, PSEG Long Island may change rebate eligibility at any time based on updates to federal/state/local codes and standards.</t>
  </si>
  <si>
    <t>$150/MMBTU</t>
  </si>
  <si>
    <t>$200/MMBTU</t>
  </si>
  <si>
    <t>$1,500/Dwelling</t>
  </si>
  <si>
    <t>$/Dwelling DAC</t>
  </si>
  <si>
    <t>DAC Rebate</t>
  </si>
  <si>
    <t>4.01.2024</t>
  </si>
  <si>
    <t>3.13.24</t>
  </si>
  <si>
    <t>Ref Tab: Updated Rebate Tables to include approved $/MMBTU rebate increases an DAC Rebates</t>
  </si>
  <si>
    <t>V2_D1</t>
  </si>
  <si>
    <t>Multi-Fam Heat Pumps Tab: Updated rebate tables per PSEG approval for increase in $/MMBTU and DAC Rebates</t>
  </si>
  <si>
    <t>Disadvantaged Community Rebate/Dwelling*</t>
  </si>
  <si>
    <t xml:space="preserve">            - PSEG Long Island will make the final determination if a customer is located within a Disadvantaged Community based on the above link and data</t>
  </si>
  <si>
    <t>*Disadvantaged Community (DAC) rebates are available to customers who are located within a Disadvantaged Community; DAC status can be checked here:</t>
  </si>
  <si>
    <t>https://www.nyserda.ny.gov/ny/disadvantaged-communities</t>
  </si>
  <si>
    <t>Located in a Disadvantaged Community:</t>
  </si>
  <si>
    <t>DAC?</t>
  </si>
  <si>
    <t>Multi-Fam Heat Pumps: Updated rebate logic to include DAC LTO Rebate levels ($2000/Dwelling EB)</t>
  </si>
  <si>
    <t>3.14.24</t>
  </si>
  <si>
    <t>V2_D2</t>
  </si>
  <si>
    <t>3.19.24</t>
  </si>
  <si>
    <t>Ref Tab: Updated rebate logic for Common Area Heat Pumps</t>
  </si>
  <si>
    <t>V2_D3</t>
  </si>
  <si>
    <t>Disadvantaged Community Rebate**</t>
  </si>
  <si>
    <t>**Disadvantaged Community (DAC) rebates are available to customers who are located within a Disadvantaged Community; DAC status can be checked here:</t>
  </si>
  <si>
    <t>3.22.24</t>
  </si>
  <si>
    <t>Project must be started after 4/01/2024 and completed within 365 days of preapproval for existing buildings and 730 days for new construction, where there is a vacant lot at time of application submittal.</t>
  </si>
  <si>
    <t>Req Docs: Removed Air flow Required Docs and Completed Worksheet</t>
  </si>
  <si>
    <t>V2_D4</t>
  </si>
  <si>
    <t>Guidelines: Added "Or per building rebate caps" to the 70% project cost cap language</t>
  </si>
  <si>
    <t>-In order to qualify for the above listed rebates, all closing documents must be received by November 1, 2024</t>
  </si>
  <si>
    <t>MF Heat Pump Tab: Updated rebate language to ensure "ALL Rebates" are valid per 11/01 closing document receipts and not just DACs</t>
  </si>
  <si>
    <t>MF Heat Pump Tab: Corrected rebate logic to cap based on Total Project Costs (In unit + Common area)</t>
  </si>
  <si>
    <t>Geothermal Heat Pump</t>
  </si>
  <si>
    <t>$2,500/Dwelling</t>
  </si>
  <si>
    <t>Geothermal Existing Building</t>
  </si>
  <si>
    <t>$3,000/Dwelling</t>
  </si>
  <si>
    <t>$5,000/Dwelling</t>
  </si>
  <si>
    <t>In-Unit</t>
  </si>
  <si>
    <t>Common Area</t>
  </si>
  <si>
    <t>3.25.24</t>
  </si>
  <si>
    <t>Ref Tab: Added an In-Unit + Common Area table to cap rebates based on Total Project Costs</t>
  </si>
  <si>
    <t>Multi-Fam Heat Pump Tab: Updated Estimated Rebate Formulas to link with rebate table on Ref Tab for In-Unit + Common</t>
  </si>
  <si>
    <t>V2_D5</t>
  </si>
  <si>
    <t>In-Unit Total Project Cost</t>
  </si>
  <si>
    <t>Common Area Total Project Cost</t>
  </si>
  <si>
    <t>Total rebates for Multi-Family Projects will not exceed 70% of total in-unit or common area project costs or per building rebate caps.</t>
  </si>
  <si>
    <t>3.28.24</t>
  </si>
  <si>
    <t>V2.0</t>
  </si>
  <si>
    <t>2.0</t>
  </si>
  <si>
    <t xml:space="preserve">             - If the customer is located within a DAC, please make sure to select "Yes" in the "Located in a Disadvanatged Community" field on the "Customer Information" tab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</si>
</sst>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9">
    <numFmt numFmtId="5" formatCode="&quot;$&quot;#,##0_);\(&quot;$&quot;#,##0\)"/>
    <numFmt numFmtId="6" formatCode="&quot;$&quot;#,##0_);[Red]\(&quot;$&quot;#,##0\)"/>
    <numFmt numFmtId="42" formatCode="_(&quot;$&quot;* #,##0_);_(&quot;$&quot;* \(#,##0\);_(&quot;$&quot;* &quot;-&quot;_);_(@_)"/>
    <numFmt numFmtId="44" formatCode="_(&quot;$&quot;* #,##0.00_);_(&quot;$&quot;* \(#,##0.00\);_(&quot;$&quot;* &quot;-&quot;??_);_(@_)"/>
    <numFmt numFmtId="43" formatCode="_(* #,##0.00_);_(* \(#,##0.00\);_(* &quot;-&quot;??_);_(@_)"/>
    <numFmt numFmtId="164" formatCode="00000"/>
    <numFmt numFmtId="165" formatCode="[&lt;=9999999]###\-####;\(###\)\ ###\-####"/>
    <numFmt numFmtId="166" formatCode="_(&quot;$&quot;* #,##0_);_(&quot;$&quot;* \(#,##0\);_(&quot;$&quot;* &quot;-&quot;??_);_(@_)"/>
    <numFmt numFmtId="167" formatCode="&quot;$&quot;#,##0"/>
    <numFmt numFmtId="168" formatCode="_(* #,##0.0_);_(* \(#,##0.0\);_(* &quot;-&quot;??_);_(@_)"/>
    <numFmt numFmtId="169" formatCode="_(* #,##0_);_(* \(#,##0\);_(* &quot;-&quot;??_);_(@_)"/>
    <numFmt numFmtId="170" formatCode="0.0"/>
    <numFmt numFmtId="171" formatCode="_(* #,##0.000_);_(* \(#,##0.000\);_(* &quot;-&quot;??_);_(@_)"/>
    <numFmt numFmtId="172" formatCode="0.000"/>
    <numFmt numFmtId="173" formatCode="[$-409]mmmm\ d\,\ yyyy;@"/>
    <numFmt numFmtId="174" formatCode="0.00000"/>
    <numFmt numFmtId="175" formatCode="0.0000000"/>
    <numFmt numFmtId="176" formatCode="0.0000000_);\(0.0000000\)"/>
    <numFmt numFmtId="177" formatCode="0.00000_);\(0.00000\)"/>
    <numFmt numFmtId="178" formatCode="#,##0.000"/>
    <numFmt numFmtId="179" formatCode="[$-409]m/d/yy\ h:mm\ AM/PM;@"/>
    <numFmt numFmtId="180" formatCode="0.00000000_);\(0.00000000\)"/>
    <numFmt numFmtId="181" formatCode="[$-409]d\-mmm\-yy;@"/>
    <numFmt numFmtId="182" formatCode="#,##0.0"/>
    <numFmt numFmtId="183" formatCode="0.000000000"/>
    <numFmt numFmtId="184" formatCode="&quot;$&quot;#,##0.00"/>
    <numFmt numFmtId="185" formatCode="0.0000"/>
    <numFmt numFmtId="186" formatCode="0.000000"/>
    <numFmt numFmtId="187" formatCode="#,##0.00000"/>
    <numFmt numFmtId="188" formatCode="#,##0.0000"/>
    <numFmt numFmtId="189" formatCode="0.0%"/>
    <numFmt numFmtId="190" formatCode="0.00000000"/>
    <numFmt numFmtId="191" formatCode="0.00;\-0.00;;@"/>
    <numFmt numFmtId="192" formatCode="0;\-0;;@"/>
    <numFmt numFmtId="193" formatCode="_(* #,##0.000000_);_(* \(#,##0.000000\);_(* &quot;-&quot;??_);_(@_)"/>
    <numFmt numFmtId="194" formatCode="_(* #,##0_);_(* \(#,##0\);_(* &quot;-&quot;?_);_(@_)"/>
    <numFmt numFmtId="195" formatCode="_(* #,##0.00000_);_(* \(#,##0.00000\);_(* &quot;-&quot;??_);_(@_)"/>
    <numFmt numFmtId="196" formatCode="#\(###\)\ ###\-####"/>
    <numFmt numFmtId="197" formatCode="_(&quot;$&quot;* #,##0.000_);_(&quot;$&quot;* \(#,##0.000\);_(&quot;$&quot;* &quot;-&quot;???_);_(@_)"/>
  </numFmts>
  <fonts count="265">
    <font>
      <sz val="11"/>
      <color theme="1"/>
      <name val="Calibri"/>
      <family val="2"/>
      <scheme val="minor"/>
    </font>
    <font>
      <sz val="11"/>
      <color indexed="8"/>
      <name val="Calibri"/>
      <family val="2"/>
    </font>
    <font>
      <sz val="11"/>
      <name val="Arial Narrow"/>
      <family val="2"/>
    </font>
    <font>
      <sz val="9"/>
      <name val="Arial Narrow"/>
      <family val="2"/>
    </font>
    <font>
      <sz val="10"/>
      <name val="Arial Narrow"/>
      <family val="2"/>
    </font>
    <font>
      <i/>
      <sz val="11"/>
      <name val="Arial Narrow"/>
      <family val="2"/>
    </font>
    <font>
      <i/>
      <sz val="10"/>
      <name val="Arial Narrow"/>
      <family val="2"/>
    </font>
    <font>
      <sz val="14"/>
      <name val="Times New Roman"/>
      <family val="1"/>
    </font>
    <font>
      <b/>
      <sz val="18"/>
      <name val="Arial Narrow"/>
      <family val="2"/>
    </font>
    <font>
      <b/>
      <i/>
      <sz val="11"/>
      <name val="Arial Narrow"/>
      <family val="2"/>
    </font>
    <font>
      <sz val="10"/>
      <name val="Arial"/>
      <family val="2"/>
    </font>
    <font>
      <sz val="11"/>
      <color indexed="8"/>
      <name val="Calibri"/>
      <family val="2"/>
    </font>
    <font>
      <sz val="10"/>
      <color indexed="8"/>
      <name val="Arial"/>
      <family val="2"/>
    </font>
    <font>
      <i/>
      <sz val="18"/>
      <name val="Times New Roman"/>
      <family val="1"/>
    </font>
    <font>
      <i/>
      <sz val="12"/>
      <name val="Times New Roman"/>
      <family val="1"/>
    </font>
    <font>
      <b/>
      <sz val="11"/>
      <name val="Arial Narrow"/>
      <family val="2"/>
    </font>
    <font>
      <b/>
      <sz val="24"/>
      <name val="Times New Roman"/>
      <family val="1"/>
    </font>
    <font>
      <b/>
      <sz val="11"/>
      <color indexed="9"/>
      <name val="Calibri"/>
      <family val="2"/>
    </font>
    <font>
      <i/>
      <sz val="24"/>
      <name val="Times New Roman"/>
      <family val="1"/>
    </font>
    <font>
      <b/>
      <sz val="22"/>
      <name val="Arial Narrow"/>
      <family val="2"/>
    </font>
    <font>
      <b/>
      <sz val="7"/>
      <name val="Arial Narrow"/>
      <family val="2"/>
    </font>
    <font>
      <sz val="7"/>
      <name val="Arial Narrow"/>
      <family val="2"/>
    </font>
    <font>
      <sz val="6"/>
      <name val="Arial Narrow"/>
      <family val="2"/>
    </font>
    <font>
      <b/>
      <sz val="11"/>
      <name val="Times New Roman"/>
      <family val="1"/>
    </font>
    <font>
      <sz val="16"/>
      <name val="Times New Roman"/>
      <family val="1"/>
    </font>
    <font>
      <sz val="12"/>
      <color indexed="8"/>
      <name val="Arial Narrow"/>
      <family val="2"/>
    </font>
    <font>
      <sz val="9"/>
      <color indexed="8"/>
      <name val="Arial Narrow"/>
      <family val="2"/>
    </font>
    <font>
      <b/>
      <sz val="12"/>
      <name val="Arial Narrow"/>
      <family val="2"/>
    </font>
    <font>
      <b/>
      <sz val="10"/>
      <color indexed="8"/>
      <name val="Arial Narrow"/>
      <family val="2"/>
    </font>
    <font>
      <b/>
      <sz val="10"/>
      <color indexed="9"/>
      <name val="Arial Narrow"/>
      <family val="2"/>
    </font>
    <font>
      <b/>
      <sz val="9"/>
      <color indexed="8"/>
      <name val="Arial Narrow"/>
      <family val="2"/>
    </font>
    <font>
      <i/>
      <sz val="17"/>
      <name val="Times New Roman"/>
      <family val="1"/>
    </font>
    <font>
      <b/>
      <i/>
      <sz val="10"/>
      <color indexed="8"/>
      <name val="Arial Narrow"/>
      <family val="2"/>
    </font>
    <font>
      <sz val="14"/>
      <name val="Arial Narrow"/>
      <family val="2"/>
    </font>
    <font>
      <sz val="9"/>
      <color indexed="81"/>
      <name val="Tahoma"/>
      <family val="2"/>
    </font>
    <font>
      <b/>
      <sz val="9"/>
      <color indexed="81"/>
      <name val="Tahoma"/>
      <family val="2"/>
    </font>
    <font>
      <sz val="10"/>
      <color indexed="8"/>
      <name val="Arial Narrow"/>
      <family val="2"/>
    </font>
    <font>
      <i/>
      <sz val="10"/>
      <color indexed="8"/>
      <name val="Arial Narrow"/>
      <family val="2"/>
    </font>
    <font>
      <u/>
      <sz val="12"/>
      <color indexed="8"/>
      <name val="Arial Narrow"/>
      <family val="2"/>
    </font>
    <font>
      <b/>
      <sz val="10"/>
      <name val="Arial Narrow"/>
      <family val="2"/>
    </font>
    <font>
      <i/>
      <sz val="14"/>
      <name val="Arial Narrow"/>
      <family val="2"/>
    </font>
    <font>
      <i/>
      <sz val="11"/>
      <name val="Times New Roman"/>
      <family val="1"/>
    </font>
    <font>
      <i/>
      <sz val="17"/>
      <name val="Arial Narrow"/>
      <family val="2"/>
    </font>
    <font>
      <sz val="11"/>
      <color theme="1"/>
      <name val="Calibri"/>
      <family val="2"/>
      <scheme val="minor"/>
    </font>
    <font>
      <sz val="11"/>
      <color theme="0"/>
      <name val="Calibri"/>
      <family val="2"/>
      <scheme val="minor"/>
    </font>
    <font>
      <b/>
      <sz val="11"/>
      <color rgb="FFFA7D00"/>
      <name val="Calibri"/>
      <family val="2"/>
      <scheme val="minor"/>
    </font>
    <font>
      <b/>
      <sz val="11"/>
      <color theme="0"/>
      <name val="Calibri"/>
      <family val="2"/>
      <scheme val="minor"/>
    </font>
    <font>
      <u/>
      <sz val="11"/>
      <color theme="10"/>
      <name val="Calibri"/>
      <family val="2"/>
      <scheme val="minor"/>
    </font>
    <font>
      <u/>
      <sz val="14.3"/>
      <color theme="10"/>
      <name val="Calibri"/>
      <family val="2"/>
    </font>
    <font>
      <sz val="11"/>
      <color rgb="FFFA7D00"/>
      <name val="Calibri"/>
      <family val="2"/>
      <scheme val="minor"/>
    </font>
    <font>
      <b/>
      <sz val="11"/>
      <color theme="1"/>
      <name val="Calibri"/>
      <family val="2"/>
      <scheme val="minor"/>
    </font>
    <font>
      <sz val="11"/>
      <color rgb="FFFF0000"/>
      <name val="Calibri"/>
      <family val="2"/>
      <scheme val="minor"/>
    </font>
    <font>
      <sz val="11"/>
      <color theme="1"/>
      <name val="Arial Narrow"/>
      <family val="2"/>
    </font>
    <font>
      <i/>
      <sz val="10"/>
      <color theme="1"/>
      <name val="Calibri"/>
      <family val="2"/>
      <scheme val="minor"/>
    </font>
    <font>
      <i/>
      <sz val="18"/>
      <color rgb="FFF85208"/>
      <name val="Times New Roman"/>
      <family val="1"/>
    </font>
    <font>
      <i/>
      <sz val="18"/>
      <color theme="0"/>
      <name val="Times New Roman"/>
      <family val="1"/>
    </font>
    <font>
      <b/>
      <sz val="48"/>
      <color theme="0"/>
      <name val="Times New Roman"/>
      <family val="1"/>
    </font>
    <font>
      <i/>
      <sz val="24"/>
      <color theme="0"/>
      <name val="Times New Roman"/>
      <family val="1"/>
    </font>
    <font>
      <b/>
      <sz val="24"/>
      <color theme="0"/>
      <name val="Times New Roman"/>
      <family val="1"/>
    </font>
    <font>
      <b/>
      <sz val="11"/>
      <color theme="0"/>
      <name val="Arial Narrow"/>
      <family val="2"/>
    </font>
    <font>
      <sz val="11"/>
      <name val="Calibri"/>
      <family val="2"/>
      <scheme val="minor"/>
    </font>
    <font>
      <b/>
      <sz val="11"/>
      <color theme="1"/>
      <name val="Arial Narrow"/>
      <family val="2"/>
    </font>
    <font>
      <b/>
      <sz val="10"/>
      <color theme="1"/>
      <name val="Arial Narrow"/>
      <family val="2"/>
    </font>
    <font>
      <b/>
      <sz val="9"/>
      <color theme="1"/>
      <name val="Arial Narrow"/>
      <family val="2"/>
    </font>
    <font>
      <sz val="9"/>
      <color theme="1"/>
      <name val="Arial Narrow"/>
      <family val="2"/>
    </font>
    <font>
      <i/>
      <sz val="11"/>
      <color rgb="FFFF0000"/>
      <name val="Calibri"/>
      <family val="2"/>
      <scheme val="minor"/>
    </font>
    <font>
      <b/>
      <u/>
      <sz val="11"/>
      <color theme="1"/>
      <name val="Calibri"/>
      <family val="2"/>
      <scheme val="minor"/>
    </font>
    <font>
      <sz val="11"/>
      <color theme="1"/>
      <name val="Calibri"/>
      <family val="2"/>
    </font>
    <font>
      <sz val="8"/>
      <color theme="1"/>
      <name val="Arial Narrow"/>
      <family val="2"/>
    </font>
    <font>
      <sz val="14"/>
      <color theme="1"/>
      <name val="Calibri"/>
      <family val="2"/>
      <scheme val="minor"/>
    </font>
    <font>
      <sz val="14"/>
      <color theme="1"/>
      <name val="Arial Narrow"/>
      <family val="2"/>
    </font>
    <font>
      <b/>
      <sz val="18"/>
      <color rgb="FF0070C0"/>
      <name val="Calibri"/>
      <family val="2"/>
      <scheme val="minor"/>
    </font>
    <font>
      <sz val="11"/>
      <color rgb="FFF85208"/>
      <name val="Calibri"/>
      <family val="2"/>
      <scheme val="minor"/>
    </font>
    <font>
      <i/>
      <sz val="10"/>
      <color theme="1"/>
      <name val="Arial Narrow"/>
      <family val="2"/>
    </font>
    <font>
      <sz val="11"/>
      <color theme="0"/>
      <name val="Arial Narrow"/>
      <family val="2"/>
    </font>
    <font>
      <i/>
      <sz val="14"/>
      <color theme="1"/>
      <name val="Times New Roman"/>
      <family val="1"/>
    </font>
    <font>
      <sz val="12"/>
      <color theme="1"/>
      <name val="Arial Narrow"/>
      <family val="2"/>
    </font>
    <font>
      <sz val="14"/>
      <color theme="1"/>
      <name val="Calibri"/>
      <family val="2"/>
    </font>
    <font>
      <b/>
      <sz val="11"/>
      <name val="Calibri"/>
      <family val="2"/>
      <scheme val="minor"/>
    </font>
    <font>
      <i/>
      <sz val="11"/>
      <color theme="1"/>
      <name val="Calibri"/>
      <family val="2"/>
      <scheme val="minor"/>
    </font>
    <font>
      <u/>
      <sz val="10"/>
      <color theme="10"/>
      <name val="Calibri"/>
      <family val="2"/>
      <scheme val="minor"/>
    </font>
    <font>
      <b/>
      <sz val="14"/>
      <color theme="1"/>
      <name val="Calibri"/>
      <family val="2"/>
      <scheme val="minor"/>
    </font>
    <font>
      <sz val="10"/>
      <color theme="1"/>
      <name val="Calibri"/>
      <family val="2"/>
      <scheme val="minor"/>
    </font>
    <font>
      <b/>
      <i/>
      <sz val="11"/>
      <color theme="1"/>
      <name val="Calibri"/>
      <family val="2"/>
      <scheme val="minor"/>
    </font>
    <font>
      <b/>
      <sz val="11"/>
      <color rgb="FFFF0000"/>
      <name val="Arial Narrow"/>
      <family val="2"/>
    </font>
    <font>
      <b/>
      <sz val="14"/>
      <color rgb="FFF85208"/>
      <name val="Arial Narrow"/>
      <family val="2"/>
    </font>
    <font>
      <i/>
      <sz val="11"/>
      <color theme="1"/>
      <name val="Arial Narrow"/>
      <family val="2"/>
    </font>
    <font>
      <i/>
      <sz val="9"/>
      <color theme="1"/>
      <name val="Arial Narrow"/>
      <family val="2"/>
    </font>
    <font>
      <b/>
      <sz val="14"/>
      <color rgb="FF0054CC"/>
      <name val="Arial Narrow"/>
      <family val="2"/>
    </font>
    <font>
      <i/>
      <sz val="12"/>
      <color theme="1"/>
      <name val="Arial Narrow"/>
      <family val="2"/>
    </font>
    <font>
      <i/>
      <sz val="16"/>
      <color rgb="FFF85208"/>
      <name val="Arial Narrow"/>
      <family val="2"/>
    </font>
    <font>
      <i/>
      <sz val="12"/>
      <color theme="1"/>
      <name val="Calibri"/>
      <family val="2"/>
      <scheme val="minor"/>
    </font>
    <font>
      <b/>
      <i/>
      <sz val="12"/>
      <color rgb="FFFF0000"/>
      <name val="Calibri"/>
      <family val="2"/>
      <scheme val="minor"/>
    </font>
    <font>
      <sz val="6"/>
      <color theme="1"/>
      <name val="Arial Narrow"/>
      <family val="2"/>
    </font>
    <font>
      <sz val="10"/>
      <color theme="1"/>
      <name val="Arial Narrow"/>
      <family val="2"/>
    </font>
    <font>
      <b/>
      <sz val="12"/>
      <color theme="1"/>
      <name val="Arial Narrow"/>
      <family val="2"/>
    </font>
    <font>
      <b/>
      <i/>
      <sz val="11"/>
      <color theme="1"/>
      <name val="Arial Narrow"/>
      <family val="2"/>
    </font>
    <font>
      <b/>
      <sz val="14"/>
      <color theme="0"/>
      <name val="Arial Narrow"/>
      <family val="2"/>
    </font>
    <font>
      <b/>
      <sz val="12"/>
      <color theme="0"/>
      <name val="Arial Narrow"/>
      <family val="2"/>
    </font>
    <font>
      <b/>
      <strike/>
      <sz val="10"/>
      <color rgb="FFFF0000"/>
      <name val="Arial Narrow"/>
      <family val="2"/>
    </font>
    <font>
      <b/>
      <sz val="12"/>
      <color rgb="FFFF0000"/>
      <name val="Calibri"/>
      <family val="2"/>
      <scheme val="minor"/>
    </font>
    <font>
      <sz val="16"/>
      <color theme="1"/>
      <name val="Arial Narrow"/>
      <family val="2"/>
    </font>
    <font>
      <b/>
      <sz val="24"/>
      <color rgb="FF002060"/>
      <name val="Calibri"/>
      <family val="2"/>
      <scheme val="minor"/>
    </font>
    <font>
      <sz val="8"/>
      <color rgb="FF000000"/>
      <name val="Segoe UI"/>
      <family val="2"/>
    </font>
    <font>
      <sz val="8"/>
      <color rgb="FF000000"/>
      <name val="Tahoma"/>
      <family val="2"/>
    </font>
    <font>
      <b/>
      <sz val="24"/>
      <color theme="1"/>
      <name val="Times New Roman"/>
      <family val="1"/>
    </font>
    <font>
      <i/>
      <sz val="18"/>
      <color theme="1"/>
      <name val="Times New Roman"/>
      <family val="1"/>
    </font>
    <font>
      <sz val="11"/>
      <color theme="0" tint="-0.249977111117893"/>
      <name val="Calibri"/>
      <family val="2"/>
      <scheme val="minor"/>
    </font>
    <font>
      <i/>
      <sz val="14"/>
      <name val="Times New Roman"/>
      <family val="1"/>
    </font>
    <font>
      <b/>
      <sz val="20"/>
      <color theme="0"/>
      <name val="Calibri"/>
      <family val="2"/>
      <scheme val="minor"/>
    </font>
    <font>
      <b/>
      <sz val="14"/>
      <color theme="0"/>
      <name val="Calibri"/>
      <family val="2"/>
      <scheme val="minor"/>
    </font>
    <font>
      <sz val="14"/>
      <color theme="0"/>
      <name val="Calibri"/>
      <family val="2"/>
      <scheme val="minor"/>
    </font>
    <font>
      <i/>
      <sz val="18"/>
      <color rgb="FFF85208"/>
      <name val="Calibri"/>
      <family val="2"/>
      <scheme val="minor"/>
    </font>
    <font>
      <i/>
      <sz val="18"/>
      <name val="Calibri"/>
      <family val="2"/>
      <scheme val="minor"/>
    </font>
    <font>
      <i/>
      <sz val="18"/>
      <color rgb="FFF85208"/>
      <name val="Arial"/>
      <family val="2"/>
    </font>
    <font>
      <i/>
      <sz val="18"/>
      <color rgb="FFF85208"/>
      <name val="Airla"/>
    </font>
    <font>
      <i/>
      <sz val="14"/>
      <name val="Calibri"/>
      <family val="2"/>
      <scheme val="minor"/>
    </font>
    <font>
      <i/>
      <sz val="18"/>
      <color rgb="FFF85208"/>
      <name val="Aial"/>
    </font>
    <font>
      <sz val="12"/>
      <name val="Calibri"/>
      <family val="2"/>
      <scheme val="minor"/>
    </font>
    <font>
      <sz val="18"/>
      <color theme="1"/>
      <name val="Times New Roman"/>
      <family val="1"/>
    </font>
    <font>
      <i/>
      <sz val="14"/>
      <name val="Arial"/>
      <family val="2"/>
    </font>
    <font>
      <i/>
      <sz val="12"/>
      <name val="Arial Narrow"/>
      <family val="2"/>
    </font>
    <font>
      <i/>
      <sz val="10"/>
      <color theme="1" tint="0.34998626667073579"/>
      <name val="Arial Narrow"/>
      <family val="2"/>
    </font>
    <font>
      <u/>
      <sz val="11"/>
      <color theme="1"/>
      <name val="Arial Narrow"/>
      <family val="2"/>
    </font>
    <font>
      <sz val="11"/>
      <color rgb="FFFF0000"/>
      <name val="Arial Narrow"/>
      <family val="2"/>
    </font>
    <font>
      <i/>
      <sz val="11"/>
      <color rgb="FFFF0000"/>
      <name val="Arial Narrow"/>
      <family val="2"/>
    </font>
    <font>
      <i/>
      <sz val="10"/>
      <color theme="9" tint="-0.249977111117893"/>
      <name val="Calibri"/>
      <family val="2"/>
      <scheme val="minor"/>
    </font>
    <font>
      <i/>
      <sz val="9"/>
      <color theme="9" tint="-0.249977111117893"/>
      <name val="Calibri"/>
      <family val="2"/>
      <scheme val="minor"/>
    </font>
    <font>
      <b/>
      <sz val="18"/>
      <name val="Times New Roman"/>
      <family val="1"/>
    </font>
    <font>
      <b/>
      <sz val="18"/>
      <color theme="0"/>
      <name val="Times New Roman"/>
      <family val="1"/>
    </font>
    <font>
      <sz val="12"/>
      <name val="Times New Roman"/>
      <family val="1"/>
    </font>
    <font>
      <sz val="11"/>
      <color theme="1"/>
      <name val="Times New Roman"/>
      <family val="1"/>
    </font>
    <font>
      <b/>
      <sz val="12"/>
      <color rgb="FFF85208"/>
      <name val="Arial Narrow"/>
      <family val="2"/>
    </font>
    <font>
      <sz val="8"/>
      <color theme="1"/>
      <name val="Calibri"/>
      <family val="2"/>
      <scheme val="minor"/>
    </font>
    <font>
      <i/>
      <sz val="11"/>
      <color theme="0"/>
      <name val="Calibri"/>
      <family val="2"/>
      <scheme val="minor"/>
    </font>
    <font>
      <i/>
      <vertAlign val="superscript"/>
      <sz val="14"/>
      <color theme="0"/>
      <name val="Calibri"/>
      <family val="2"/>
      <scheme val="minor"/>
    </font>
    <font>
      <vertAlign val="subscript"/>
      <sz val="10"/>
      <color theme="1"/>
      <name val="Arial Narrow"/>
      <family val="2"/>
    </font>
    <font>
      <b/>
      <sz val="12"/>
      <color theme="1"/>
      <name val="Times New Roman"/>
      <family val="1"/>
    </font>
    <font>
      <b/>
      <sz val="10"/>
      <name val="Times New Roman"/>
      <family val="1"/>
    </font>
    <font>
      <sz val="8"/>
      <name val="Calibri"/>
      <family val="2"/>
      <scheme val="minor"/>
    </font>
    <font>
      <b/>
      <i/>
      <sz val="11"/>
      <color rgb="FFFF0000"/>
      <name val="Calibri"/>
      <family val="2"/>
      <scheme val="minor"/>
    </font>
    <font>
      <b/>
      <i/>
      <sz val="16"/>
      <color theme="0"/>
      <name val="Arial Narrow"/>
      <family val="2"/>
    </font>
    <font>
      <sz val="11"/>
      <color rgb="FF000000"/>
      <name val="Calibri"/>
      <family val="2"/>
    </font>
    <font>
      <sz val="10"/>
      <color indexed="8"/>
      <name val="Calibri"/>
      <family val="2"/>
    </font>
    <font>
      <sz val="10"/>
      <color rgb="FFFF0000"/>
      <name val="Arial Narrow"/>
      <family val="2"/>
    </font>
    <font>
      <b/>
      <sz val="10"/>
      <color theme="0"/>
      <name val="Arial Narrow"/>
      <family val="2"/>
    </font>
    <font>
      <sz val="10"/>
      <color theme="0"/>
      <name val="Arial Narrow"/>
      <family val="2"/>
    </font>
    <font>
      <b/>
      <u/>
      <sz val="10"/>
      <color theme="1"/>
      <name val="Arial Narrow"/>
      <family val="2"/>
    </font>
    <font>
      <sz val="10"/>
      <color theme="1"/>
      <name val="Calibri"/>
      <family val="2"/>
    </font>
    <font>
      <u/>
      <sz val="11"/>
      <color theme="10"/>
      <name val="Calibri"/>
      <family val="2"/>
    </font>
    <font>
      <b/>
      <sz val="18"/>
      <color indexed="9"/>
      <name val="Arial Narrow"/>
      <family val="2"/>
    </font>
    <font>
      <b/>
      <sz val="10"/>
      <color theme="0" tint="-0.249977111117893"/>
      <name val="Arial Narrow"/>
      <family val="2"/>
    </font>
    <font>
      <sz val="10"/>
      <color theme="0" tint="-0.249977111117893"/>
      <name val="Arial Narrow"/>
      <family val="2"/>
    </font>
    <font>
      <sz val="10"/>
      <color theme="0" tint="-0.14999847407452621"/>
      <name val="Arial Narrow"/>
      <family val="2"/>
    </font>
    <font>
      <sz val="10"/>
      <color theme="0" tint="-0.34998626667073579"/>
      <name val="Arial Narrow"/>
      <family val="2"/>
    </font>
    <font>
      <sz val="12"/>
      <name val="Arial Narrow"/>
      <family val="2"/>
    </font>
    <font>
      <sz val="10"/>
      <color theme="1" tint="0.499984740745262"/>
      <name val="Arial Narrow"/>
      <family val="2"/>
    </font>
    <font>
      <b/>
      <i/>
      <sz val="14"/>
      <color theme="1"/>
      <name val="Arial Narrow"/>
      <family val="2"/>
    </font>
    <font>
      <b/>
      <i/>
      <sz val="10"/>
      <color theme="0"/>
      <name val="Arial Narrow"/>
      <family val="2"/>
    </font>
    <font>
      <i/>
      <sz val="10"/>
      <color theme="0"/>
      <name val="Arial Narrow"/>
      <family val="2"/>
    </font>
    <font>
      <b/>
      <sz val="11"/>
      <color indexed="10"/>
      <name val="Calibri"/>
      <family val="2"/>
    </font>
    <font>
      <sz val="9"/>
      <color theme="1"/>
      <name val="Calibri"/>
      <family val="2"/>
      <scheme val="minor"/>
    </font>
    <font>
      <sz val="22"/>
      <color theme="0"/>
      <name val="Arial Narrow"/>
      <family val="2"/>
    </font>
    <font>
      <b/>
      <sz val="28"/>
      <color theme="0"/>
      <name val="Times New Roman"/>
      <family val="1"/>
    </font>
    <font>
      <i/>
      <sz val="16"/>
      <color theme="0"/>
      <name val="Times New Roman"/>
      <family val="1"/>
    </font>
    <font>
      <i/>
      <sz val="22"/>
      <color theme="0"/>
      <name val="Times New Roman"/>
      <family val="1"/>
    </font>
    <font>
      <i/>
      <sz val="22"/>
      <color theme="1"/>
      <name val="Times New Roman"/>
      <family val="1"/>
    </font>
    <font>
      <sz val="6.6"/>
      <color theme="1"/>
      <name val="Calibri"/>
      <family val="2"/>
    </font>
    <font>
      <sz val="10.5"/>
      <color theme="1"/>
      <name val="Calibri"/>
      <family val="2"/>
      <scheme val="minor"/>
    </font>
    <font>
      <u/>
      <sz val="10.5"/>
      <color theme="10"/>
      <name val="Calibri"/>
      <family val="2"/>
      <scheme val="minor"/>
    </font>
    <font>
      <sz val="10.5"/>
      <name val="Calibri"/>
      <family val="2"/>
      <scheme val="minor"/>
    </font>
    <font>
      <sz val="10.5"/>
      <color theme="0"/>
      <name val="Calibri"/>
      <family val="2"/>
      <scheme val="minor"/>
    </font>
    <font>
      <b/>
      <sz val="10.5"/>
      <color theme="0"/>
      <name val="Calibri"/>
      <family val="2"/>
      <scheme val="minor"/>
    </font>
    <font>
      <i/>
      <sz val="11"/>
      <color rgb="FF7F7F7F"/>
      <name val="Calibri"/>
      <family val="2"/>
      <scheme val="minor"/>
    </font>
    <font>
      <u/>
      <sz val="10"/>
      <name val="Arial Narrow"/>
      <family val="2"/>
    </font>
    <font>
      <b/>
      <vertAlign val="superscript"/>
      <sz val="11"/>
      <color indexed="9"/>
      <name val="Calibri"/>
      <family val="2"/>
    </font>
    <font>
      <vertAlign val="subscript"/>
      <sz val="11"/>
      <color indexed="8"/>
      <name val="Calibri"/>
      <family val="2"/>
    </font>
    <font>
      <sz val="10"/>
      <name val="Calibri"/>
      <family val="2"/>
      <scheme val="minor"/>
    </font>
    <font>
      <b/>
      <i/>
      <sz val="12"/>
      <name val="Times New Roman"/>
      <family val="1"/>
    </font>
    <font>
      <i/>
      <sz val="10"/>
      <color rgb="FFFF0000"/>
      <name val="Arial Narrow"/>
      <family val="2"/>
    </font>
    <font>
      <b/>
      <sz val="11"/>
      <color indexed="9"/>
      <name val="Arial Narrow"/>
      <family val="2"/>
    </font>
    <font>
      <i/>
      <sz val="18"/>
      <color theme="0"/>
      <name val="Arial Narrow"/>
      <family val="2"/>
    </font>
    <font>
      <b/>
      <i/>
      <sz val="14"/>
      <color indexed="10"/>
      <name val="Arial Narrow"/>
      <family val="2"/>
    </font>
    <font>
      <b/>
      <sz val="12"/>
      <color rgb="FF92D050"/>
      <name val="Arial Narrow"/>
      <family val="2"/>
    </font>
    <font>
      <b/>
      <sz val="14"/>
      <color theme="9" tint="-0.249977111117893"/>
      <name val="Arial Narrow"/>
      <family val="2"/>
    </font>
    <font>
      <b/>
      <u/>
      <sz val="14"/>
      <color theme="1"/>
      <name val="Arial Narrow"/>
      <family val="2"/>
    </font>
    <font>
      <b/>
      <i/>
      <sz val="12"/>
      <color theme="1"/>
      <name val="Arial Narrow"/>
      <family val="2"/>
    </font>
    <font>
      <b/>
      <sz val="16"/>
      <color theme="9" tint="-0.249977111117893"/>
      <name val="Arial Narrow"/>
      <family val="2"/>
    </font>
    <font>
      <b/>
      <sz val="26"/>
      <color theme="0"/>
      <name val="Times New Roman"/>
      <family val="1"/>
    </font>
    <font>
      <b/>
      <vertAlign val="superscript"/>
      <sz val="11"/>
      <color indexed="9"/>
      <name val="Arial Narrow"/>
      <family val="2"/>
    </font>
    <font>
      <sz val="24"/>
      <color theme="1"/>
      <name val="Times New Roman"/>
      <family val="1"/>
    </font>
    <font>
      <i/>
      <sz val="12"/>
      <color rgb="FF0043DA"/>
      <name val="Arial Narrow"/>
      <family val="2"/>
    </font>
    <font>
      <i/>
      <sz val="16"/>
      <color indexed="53"/>
      <name val="Arial Narrow"/>
      <family val="2"/>
    </font>
    <font>
      <i/>
      <sz val="12"/>
      <color indexed="30"/>
      <name val="Arial Narrow"/>
      <family val="2"/>
    </font>
    <font>
      <sz val="12"/>
      <color rgb="FF92D050"/>
      <name val="Arial Narrow"/>
      <family val="2"/>
    </font>
    <font>
      <sz val="11"/>
      <color rgb="FF00B050"/>
      <name val="Calibri"/>
      <family val="2"/>
      <scheme val="minor"/>
    </font>
    <font>
      <b/>
      <sz val="11"/>
      <color rgb="FFFFFFFF"/>
      <name val="Calibri"/>
      <family val="2"/>
      <scheme val="minor"/>
    </font>
    <font>
      <sz val="10"/>
      <color theme="1"/>
      <name val="Arial"/>
      <family val="2"/>
    </font>
    <font>
      <sz val="11"/>
      <color theme="1"/>
      <name val="Corbel"/>
      <family val="2"/>
    </font>
    <font>
      <vertAlign val="subscript"/>
      <sz val="11"/>
      <color theme="1"/>
      <name val="Corbel"/>
      <family val="2"/>
    </font>
    <font>
      <sz val="10"/>
      <color theme="1"/>
      <name val="Corbel"/>
      <family val="2"/>
    </font>
    <font>
      <i/>
      <sz val="16"/>
      <name val="Arial Narrow"/>
      <family val="2"/>
    </font>
    <font>
      <b/>
      <sz val="11"/>
      <color rgb="FFFFFFFF"/>
      <name val="Corbel"/>
      <family val="2"/>
    </font>
    <font>
      <b/>
      <sz val="11"/>
      <color theme="1"/>
      <name val="Corbel"/>
      <family val="2"/>
    </font>
    <font>
      <b/>
      <u/>
      <sz val="10"/>
      <color indexed="8"/>
      <name val="Arial Narrow"/>
      <family val="2"/>
    </font>
    <font>
      <b/>
      <i/>
      <sz val="12"/>
      <name val="Calibri"/>
      <family val="2"/>
      <scheme val="minor"/>
    </font>
    <font>
      <i/>
      <sz val="10"/>
      <name val="Calibri"/>
      <family val="2"/>
      <scheme val="minor"/>
    </font>
    <font>
      <b/>
      <sz val="20"/>
      <color theme="0"/>
      <name val="Times New Roman"/>
      <family val="1"/>
    </font>
    <font>
      <b/>
      <sz val="7"/>
      <color rgb="FFF85208"/>
      <name val="Arial Narrow"/>
      <family val="2"/>
    </font>
    <font>
      <sz val="7"/>
      <color rgb="FFF85208"/>
      <name val="Arial Narrow"/>
      <family val="2"/>
    </font>
    <font>
      <sz val="6"/>
      <color rgb="FFF85208"/>
      <name val="Arial Narrow"/>
      <family val="2"/>
    </font>
    <font>
      <sz val="7"/>
      <color theme="1"/>
      <name val="Arial Narrow"/>
      <family val="2"/>
    </font>
    <font>
      <sz val="11"/>
      <color rgb="FFF85208"/>
      <name val="Arial Narrow"/>
      <family val="2"/>
    </font>
    <font>
      <i/>
      <sz val="7"/>
      <color theme="1"/>
      <name val="Arial Narrow"/>
      <family val="2"/>
    </font>
    <font>
      <i/>
      <sz val="17"/>
      <color theme="1"/>
      <name val="Times New Roman"/>
      <family val="1"/>
    </font>
    <font>
      <b/>
      <sz val="24"/>
      <name val="Arial Narrow"/>
      <family val="2"/>
    </font>
    <font>
      <b/>
      <sz val="14"/>
      <name val="Arial Narrow"/>
      <family val="2"/>
    </font>
    <font>
      <sz val="11"/>
      <color rgb="FF002060"/>
      <name val="Calibri"/>
      <family val="2"/>
      <scheme val="minor"/>
    </font>
    <font>
      <sz val="11"/>
      <color rgb="FF002060"/>
      <name val="Arial Narrow"/>
      <family val="2"/>
    </font>
    <font>
      <b/>
      <i/>
      <sz val="12"/>
      <name val="Arial Narrow"/>
      <family val="2"/>
    </font>
    <font>
      <i/>
      <sz val="12"/>
      <name val="Calibri"/>
      <family val="2"/>
      <scheme val="minor"/>
    </font>
    <font>
      <b/>
      <i/>
      <sz val="12"/>
      <color rgb="FF0000CC"/>
      <name val="Arial Narrow"/>
      <family val="2"/>
    </font>
    <font>
      <sz val="12"/>
      <color theme="1"/>
      <name val="Calibri"/>
      <family val="2"/>
      <scheme val="minor"/>
    </font>
    <font>
      <sz val="11"/>
      <color indexed="8"/>
      <name val="Arial Narrow"/>
      <family val="2"/>
    </font>
    <font>
      <b/>
      <i/>
      <sz val="11"/>
      <color rgb="FF0000CC"/>
      <name val="Arial Narrow"/>
      <family val="2"/>
    </font>
    <font>
      <b/>
      <sz val="11"/>
      <color rgb="FF000000"/>
      <name val="Arial Narrow"/>
      <family val="2"/>
    </font>
    <font>
      <i/>
      <sz val="11"/>
      <color indexed="8"/>
      <name val="Arial Narrow"/>
      <family val="2"/>
    </font>
    <font>
      <u/>
      <sz val="14"/>
      <color theme="10"/>
      <name val="Arial Narrow"/>
      <family val="2"/>
    </font>
    <font>
      <b/>
      <sz val="14"/>
      <color theme="1"/>
      <name val="Arial Narrow"/>
      <family val="2"/>
    </font>
    <font>
      <b/>
      <sz val="24"/>
      <color theme="1"/>
      <name val="Calibri"/>
      <family val="2"/>
      <scheme val="minor"/>
    </font>
    <font>
      <b/>
      <sz val="11"/>
      <color theme="0"/>
      <name val="Calibri"/>
      <family val="2"/>
    </font>
    <font>
      <b/>
      <sz val="8.6999999999999993"/>
      <color theme="0"/>
      <name val="Arial Narrow"/>
      <family val="2"/>
    </font>
    <font>
      <b/>
      <sz val="16"/>
      <color theme="1"/>
      <name val="Arial Narrow"/>
      <family val="2"/>
    </font>
    <font>
      <b/>
      <u/>
      <sz val="11"/>
      <color theme="1"/>
      <name val="Arial Narrow"/>
      <family val="2"/>
    </font>
    <font>
      <b/>
      <sz val="12"/>
      <color rgb="FFFF0000"/>
      <name val="Arial Narrow"/>
      <family val="2"/>
    </font>
    <font>
      <i/>
      <sz val="12"/>
      <color rgb="FFF85208"/>
      <name val="Arial Narrow"/>
      <family val="2"/>
    </font>
    <font>
      <sz val="20"/>
      <color theme="1"/>
      <name val="Calibri"/>
      <family val="2"/>
      <scheme val="minor"/>
    </font>
    <font>
      <b/>
      <sz val="16"/>
      <color theme="0"/>
      <name val="Times New Roman"/>
      <family val="1"/>
    </font>
    <font>
      <sz val="12"/>
      <color rgb="FF000000"/>
      <name val="Arial Narrow"/>
      <family val="2"/>
    </font>
    <font>
      <i/>
      <sz val="12"/>
      <color theme="9" tint="-0.249977111117893"/>
      <name val="Arial Narrow"/>
      <family val="2"/>
    </font>
    <font>
      <i/>
      <sz val="12"/>
      <color rgb="FF00B0F0"/>
      <name val="Arial Narrow"/>
      <family val="2"/>
    </font>
    <font>
      <sz val="10"/>
      <color rgb="FF000000"/>
      <name val="Arial Narrow"/>
      <family val="2"/>
    </font>
    <font>
      <b/>
      <sz val="10"/>
      <color rgb="FF000000"/>
      <name val="Arial Narrow"/>
      <family val="2"/>
    </font>
    <font>
      <sz val="14"/>
      <color theme="9" tint="-0.249977111117893"/>
      <name val="Arial Narrow"/>
      <family val="2"/>
    </font>
    <font>
      <b/>
      <sz val="11"/>
      <color rgb="FF0000FF"/>
      <name val="Calibri"/>
      <family val="2"/>
    </font>
    <font>
      <sz val="20"/>
      <color rgb="FF000000"/>
      <name val="Calibri"/>
      <family val="2"/>
    </font>
    <font>
      <b/>
      <sz val="12"/>
      <color theme="1"/>
      <name val="Calibri"/>
      <family val="2"/>
      <scheme val="minor"/>
    </font>
    <font>
      <b/>
      <sz val="16"/>
      <color theme="0"/>
      <name val="Calibri"/>
      <family val="2"/>
      <scheme val="minor"/>
    </font>
    <font>
      <sz val="12"/>
      <color theme="1"/>
      <name val="Calibri"/>
      <family val="2"/>
    </font>
    <font>
      <i/>
      <vertAlign val="superscript"/>
      <sz val="18"/>
      <color theme="0"/>
      <name val="Arial Narrow"/>
      <family val="2"/>
    </font>
    <font>
      <i/>
      <sz val="16"/>
      <color theme="0"/>
      <name val="Arial Narrow"/>
      <family val="2"/>
    </font>
    <font>
      <i/>
      <sz val="14"/>
      <color theme="0"/>
      <name val="Arial Narrow"/>
      <family val="2"/>
    </font>
    <font>
      <i/>
      <vertAlign val="superscript"/>
      <sz val="16"/>
      <color theme="0"/>
      <name val="Arial Narrow"/>
      <family val="2"/>
    </font>
    <font>
      <i/>
      <sz val="18"/>
      <name val="Arial Narrow"/>
      <family val="2"/>
    </font>
    <font>
      <sz val="18"/>
      <color theme="0"/>
      <name val="Arial Narrow"/>
      <family val="2"/>
    </font>
    <font>
      <b/>
      <sz val="18"/>
      <color theme="0"/>
      <name val="Arial Narrow"/>
      <family val="2"/>
    </font>
    <font>
      <b/>
      <sz val="16"/>
      <color theme="1"/>
      <name val="Calibri"/>
      <family val="2"/>
      <scheme val="minor"/>
    </font>
    <font>
      <sz val="16"/>
      <name val="Arial Narrow"/>
      <family val="2"/>
    </font>
    <font>
      <sz val="16"/>
      <color theme="1"/>
      <name val="Calibri"/>
      <family val="2"/>
      <scheme val="minor"/>
    </font>
    <font>
      <strike/>
      <sz val="11"/>
      <color theme="1"/>
      <name val="Arial Narrow"/>
      <family val="2"/>
    </font>
    <font>
      <strike/>
      <sz val="11"/>
      <name val="Arial Narrow"/>
      <family val="2"/>
    </font>
    <font>
      <u/>
      <sz val="11"/>
      <color theme="10"/>
      <name val="Arial Narrow"/>
      <family val="2"/>
    </font>
    <font>
      <b/>
      <sz val="16"/>
      <name val="Arial Narrow"/>
      <family val="2"/>
    </font>
    <font>
      <b/>
      <sz val="16"/>
      <color rgb="FF142C41"/>
      <name val="Arial Narrow"/>
      <family val="2"/>
    </font>
    <font>
      <b/>
      <sz val="22"/>
      <color theme="0"/>
      <name val="Arial Narrow"/>
      <family val="2"/>
    </font>
  </fonts>
  <fills count="50">
    <fill>
      <patternFill patternType="none"/>
    </fill>
    <fill>
      <patternFill patternType="gray125"/>
    </fill>
    <fill>
      <patternFill patternType="solid">
        <fgColor rgb="FFF2F2F2"/>
      </patternFill>
    </fill>
    <fill>
      <patternFill patternType="solid">
        <fgColor rgb="FFF85208"/>
        <bgColor indexed="64"/>
      </patternFill>
    </fill>
    <fill>
      <gradientFill>
        <stop position="0">
          <color rgb="FF6A5B4E"/>
        </stop>
        <stop position="1">
          <color theme="0"/>
        </stop>
      </gradientFill>
    </fill>
    <fill>
      <patternFill patternType="solid">
        <fgColor theme="6" tint="-0.249977111117893"/>
        <bgColor indexed="64"/>
      </patternFill>
    </fill>
    <fill>
      <patternFill patternType="solid">
        <fgColor theme="0" tint="-0.14999847407452621"/>
        <bgColor indexed="64"/>
      </patternFill>
    </fill>
    <fill>
      <patternFill patternType="solid">
        <fgColor theme="1" tint="0.499984740745262"/>
        <bgColor indexed="64"/>
      </patternFill>
    </fill>
    <fill>
      <patternFill patternType="solid">
        <fgColor rgb="FF6A5B4E"/>
        <bgColor indexed="64"/>
      </patternFill>
    </fill>
    <fill>
      <patternFill patternType="solid">
        <fgColor rgb="FFFFFFC9"/>
        <bgColor indexed="64"/>
      </patternFill>
    </fill>
    <fill>
      <patternFill patternType="solid">
        <fgColor theme="0"/>
        <bgColor indexed="64"/>
      </patternFill>
    </fill>
    <fill>
      <patternFill patternType="solid">
        <fgColor rgb="FFFFFF00"/>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9"/>
        <bgColor indexed="64"/>
      </patternFill>
    </fill>
    <fill>
      <patternFill patternType="solid">
        <fgColor theme="1"/>
        <bgColor indexed="64"/>
      </patternFill>
    </fill>
    <fill>
      <patternFill patternType="solid">
        <fgColor rgb="FFFFC000"/>
        <bgColor indexed="64"/>
      </patternFill>
    </fill>
    <fill>
      <patternFill patternType="solid">
        <fgColor theme="6"/>
        <bgColor indexed="64"/>
      </patternFill>
    </fill>
    <fill>
      <patternFill patternType="solid">
        <fgColor rgb="FF0070C0"/>
        <bgColor indexed="64"/>
      </patternFill>
    </fill>
    <fill>
      <patternFill patternType="solid">
        <fgColor rgb="FFFF3399"/>
        <bgColor indexed="64"/>
      </patternFill>
    </fill>
    <fill>
      <patternFill patternType="solid">
        <fgColor rgb="FF7030A0"/>
        <bgColor indexed="64"/>
      </patternFill>
    </fill>
    <fill>
      <patternFill patternType="solid">
        <fgColor rgb="FF92D050"/>
        <bgColor indexed="64"/>
      </patternFill>
    </fill>
    <fill>
      <patternFill patternType="solid">
        <fgColor rgb="FFCC0000"/>
        <bgColor indexed="64"/>
      </patternFill>
    </fill>
    <fill>
      <patternFill patternType="solid">
        <fgColor rgb="FFFF3300"/>
        <bgColor indexed="64"/>
      </patternFill>
    </fill>
    <fill>
      <patternFill patternType="solid">
        <fgColor theme="5" tint="-0.249977111117893"/>
        <bgColor indexed="64"/>
      </patternFill>
    </fill>
    <fill>
      <patternFill patternType="solid">
        <fgColor theme="3"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0.499984740745262"/>
        <bgColor indexed="64"/>
      </patternFill>
    </fill>
    <fill>
      <patternFill patternType="solid">
        <fgColor theme="9" tint="0.39997558519241921"/>
        <bgColor indexed="64"/>
      </patternFill>
    </fill>
    <fill>
      <patternFill patternType="solid">
        <fgColor rgb="FFFF0000"/>
        <bgColor indexed="64"/>
      </patternFill>
    </fill>
    <fill>
      <patternFill patternType="solid">
        <fgColor rgb="FF00B0F0"/>
        <bgColor indexed="64"/>
      </patternFill>
    </fill>
    <fill>
      <patternFill patternType="solid">
        <fgColor theme="5" tint="0.59999389629810485"/>
        <bgColor indexed="64"/>
      </patternFill>
    </fill>
    <fill>
      <patternFill patternType="solid">
        <fgColor rgb="FF063F6E"/>
        <bgColor indexed="64"/>
      </patternFill>
    </fill>
    <fill>
      <patternFill patternType="solid">
        <fgColor theme="0" tint="-0.34998626667073579"/>
        <bgColor indexed="64"/>
      </patternFill>
    </fill>
    <fill>
      <patternFill patternType="solid">
        <fgColor theme="8" tint="0.59999389629810485"/>
        <bgColor indexed="64"/>
      </patternFill>
    </fill>
    <fill>
      <patternFill patternType="solid">
        <fgColor theme="9" tint="-0.249977111117893"/>
        <bgColor indexed="64"/>
      </patternFill>
    </fill>
    <fill>
      <patternFill patternType="solid">
        <fgColor rgb="FF002060"/>
        <bgColor indexed="64"/>
      </patternFill>
    </fill>
    <fill>
      <patternFill patternType="solid">
        <fgColor rgb="FF053572"/>
        <bgColor indexed="64"/>
      </patternFill>
    </fill>
    <fill>
      <patternFill patternType="solid">
        <fgColor theme="8" tint="0.79998168889431442"/>
        <bgColor indexed="64"/>
      </patternFill>
    </fill>
    <fill>
      <patternFill patternType="solid">
        <fgColor rgb="FF142C41"/>
        <bgColor indexed="64"/>
      </patternFill>
    </fill>
    <fill>
      <gradientFill degree="180">
        <stop position="0">
          <color theme="0"/>
        </stop>
        <stop position="1">
          <color rgb="FF142C41"/>
        </stop>
      </gradientFill>
    </fill>
    <fill>
      <patternFill patternType="solid">
        <fgColor theme="9" tint="0.79998168889431442"/>
        <bgColor indexed="64"/>
      </patternFill>
    </fill>
    <fill>
      <patternFill patternType="solid">
        <fgColor theme="6" tint="0.79998168889431442"/>
        <bgColor indexed="64"/>
      </patternFill>
    </fill>
    <fill>
      <patternFill patternType="gray125">
        <bgColor theme="6" tint="0.79998168889431442"/>
      </patternFill>
    </fill>
    <fill>
      <patternFill patternType="solid">
        <fgColor theme="4" tint="0.79998168889431442"/>
        <bgColor indexed="64"/>
      </patternFill>
    </fill>
    <fill>
      <gradientFill>
        <stop position="0">
          <color rgb="FF142C41"/>
        </stop>
        <stop position="1">
          <color theme="0"/>
        </stop>
      </gradientFill>
    </fill>
  </fills>
  <borders count="92">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top/>
      <bottom/>
      <diagonal/>
    </border>
    <border>
      <left/>
      <right style="medium">
        <color indexed="64"/>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rgb="FF7F7F7F"/>
      </left>
      <right style="thin">
        <color rgb="FF7F7F7F"/>
      </right>
      <top style="thin">
        <color rgb="FF7F7F7F"/>
      </top>
      <bottom style="thin">
        <color rgb="FF7F7F7F"/>
      </bottom>
      <diagonal/>
    </border>
    <border>
      <left/>
      <right/>
      <top/>
      <bottom style="medium">
        <color rgb="FFF85208"/>
      </bottom>
      <diagonal/>
    </border>
    <border>
      <left/>
      <right/>
      <top style="medium">
        <color rgb="FFF85208"/>
      </top>
      <bottom/>
      <diagonal/>
    </border>
    <border>
      <left/>
      <right/>
      <top style="medium">
        <color theme="9" tint="-0.24994659260841701"/>
      </top>
      <bottom/>
      <diagonal/>
    </border>
    <border>
      <left/>
      <right/>
      <top/>
      <bottom style="medium">
        <color theme="9" tint="-0.24994659260841701"/>
      </bottom>
      <diagonal/>
    </border>
    <border>
      <left/>
      <right/>
      <top style="medium">
        <color theme="9" tint="-0.24994659260841701"/>
      </top>
      <bottom style="thin">
        <color indexed="64"/>
      </bottom>
      <diagonal/>
    </border>
    <border>
      <left style="thin">
        <color rgb="FF7F7F7F"/>
      </left>
      <right style="thin">
        <color rgb="FF7F7F7F"/>
      </right>
      <top/>
      <bottom style="thin">
        <color rgb="FF7F7F7F"/>
      </bottom>
      <diagonal/>
    </border>
    <border>
      <left style="thin">
        <color rgb="FF7F7F7F"/>
      </left>
      <right/>
      <top/>
      <bottom style="thin">
        <color rgb="FF7F7F7F"/>
      </bottom>
      <diagonal/>
    </border>
    <border>
      <left style="thin">
        <color indexed="64"/>
      </left>
      <right style="thin">
        <color indexed="64"/>
      </right>
      <top style="thin">
        <color indexed="22"/>
      </top>
      <bottom style="thin">
        <color indexed="22"/>
      </bottom>
      <diagonal/>
    </border>
    <border>
      <left style="thin">
        <color indexed="22"/>
      </left>
      <right style="thin">
        <color indexed="22"/>
      </right>
      <top style="thin">
        <color indexed="22"/>
      </top>
      <bottom style="thin">
        <color indexed="22"/>
      </bottom>
      <diagonal/>
    </border>
    <border>
      <left style="medium">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rgb="FF7F7F7F"/>
      </left>
      <right/>
      <top style="thin">
        <color indexed="64"/>
      </top>
      <bottom style="thin">
        <color rgb="FF7F7F7F"/>
      </bottom>
      <diagonal/>
    </border>
    <border>
      <left/>
      <right style="thin">
        <color rgb="FF7F7F7F"/>
      </right>
      <top style="thin">
        <color indexed="64"/>
      </top>
      <bottom style="thin">
        <color rgb="FF7F7F7F"/>
      </bottom>
      <diagonal/>
    </border>
    <border>
      <left/>
      <right/>
      <top style="thin">
        <color indexed="64"/>
      </top>
      <bottom style="medium">
        <color rgb="FFF85208"/>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thin">
        <color rgb="FF7F7F7F"/>
      </bottom>
      <diagonal/>
    </border>
    <border>
      <left style="medium">
        <color indexed="64"/>
      </left>
      <right style="thin">
        <color indexed="64"/>
      </right>
      <top/>
      <bottom/>
      <diagonal/>
    </border>
    <border>
      <left style="thin">
        <color indexed="64"/>
      </left>
      <right style="medium">
        <color indexed="64"/>
      </right>
      <top/>
      <bottom/>
      <diagonal/>
    </border>
    <border>
      <left/>
      <right/>
      <top/>
      <bottom style="thin">
        <color theme="0"/>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ck">
        <color rgb="FFF85208"/>
      </top>
      <bottom/>
      <diagonal/>
    </border>
    <border>
      <left/>
      <right/>
      <top style="thick">
        <color rgb="FFF85208"/>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thin">
        <color rgb="FFF85208"/>
      </top>
      <bottom style="thin">
        <color rgb="FFF85208"/>
      </bottom>
      <diagonal/>
    </border>
    <border>
      <left/>
      <right/>
      <top/>
      <bottom style="medium">
        <color theme="9" tint="-0.249977111117893"/>
      </bottom>
      <diagonal/>
    </border>
    <border>
      <left/>
      <right/>
      <top style="thin">
        <color rgb="FFF85208"/>
      </top>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top style="thick">
        <color rgb="FFE26B0A"/>
      </top>
      <bottom/>
      <diagonal/>
    </border>
    <border>
      <left style="medium">
        <color indexed="64"/>
      </left>
      <right style="medium">
        <color indexed="64"/>
      </right>
      <top style="medium">
        <color indexed="64"/>
      </top>
      <bottom style="medium">
        <color indexed="64"/>
      </bottom>
      <diagonal/>
    </border>
    <border>
      <left/>
      <right/>
      <top/>
      <bottom style="medium">
        <color rgb="FF002060"/>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s>
  <cellStyleXfs count="159">
    <xf numFmtId="0" fontId="0" fillId="0" borderId="0"/>
    <xf numFmtId="0" fontId="10" fillId="0" borderId="0"/>
    <xf numFmtId="0" fontId="10" fillId="0" borderId="0"/>
    <xf numFmtId="0" fontId="45" fillId="2" borderId="43" applyNumberFormat="0" applyAlignment="0" applyProtection="0"/>
    <xf numFmtId="43" fontId="43"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43"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1" fillId="0" borderId="0" applyFont="0" applyFill="0" applyBorder="0" applyAlignment="0" applyProtection="0"/>
    <xf numFmtId="44" fontId="1"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8" fillId="0" borderId="0" applyNumberFormat="0" applyFill="0" applyBorder="0" applyAlignment="0" applyProtection="0">
      <alignment vertical="top"/>
      <protection locked="0"/>
    </xf>
    <xf numFmtId="0" fontId="10" fillId="0" borderId="0"/>
    <xf numFmtId="0" fontId="43" fillId="0" borderId="0"/>
    <xf numFmtId="0" fontId="10" fillId="0" borderId="0"/>
    <xf numFmtId="0" fontId="43" fillId="0" borderId="0"/>
    <xf numFmtId="0" fontId="10" fillId="0" borderId="0"/>
    <xf numFmtId="0" fontId="10" fillId="0" borderId="0"/>
    <xf numFmtId="0" fontId="12" fillId="0" borderId="0"/>
    <xf numFmtId="9" fontId="43"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179" fontId="12" fillId="0" borderId="0"/>
    <xf numFmtId="179" fontId="43" fillId="0" borderId="0"/>
    <xf numFmtId="179" fontId="43" fillId="0" borderId="0"/>
    <xf numFmtId="43" fontId="10" fillId="0" borderId="0" applyFont="0" applyFill="0" applyBorder="0" applyAlignment="0" applyProtection="0"/>
    <xf numFmtId="181" fontId="10" fillId="0" borderId="0"/>
    <xf numFmtId="181" fontId="10" fillId="0" borderId="0"/>
    <xf numFmtId="179" fontId="43" fillId="0" borderId="0"/>
    <xf numFmtId="179" fontId="43" fillId="0" borderId="0"/>
    <xf numFmtId="179" fontId="43" fillId="0" borderId="0"/>
    <xf numFmtId="179" fontId="43" fillId="0" borderId="0"/>
    <xf numFmtId="179" fontId="43" fillId="0" borderId="0"/>
    <xf numFmtId="179" fontId="43" fillId="0" borderId="0"/>
    <xf numFmtId="179" fontId="43" fillId="0" borderId="0"/>
    <xf numFmtId="179" fontId="43" fillId="0" borderId="0"/>
    <xf numFmtId="179" fontId="43" fillId="0" borderId="0"/>
    <xf numFmtId="179" fontId="43" fillId="0" borderId="0"/>
    <xf numFmtId="179" fontId="43" fillId="0" borderId="0"/>
    <xf numFmtId="179" fontId="43" fillId="0" borderId="0"/>
    <xf numFmtId="179" fontId="43" fillId="0" borderId="0"/>
    <xf numFmtId="43" fontId="1" fillId="0" borderId="0" applyFont="0" applyFill="0" applyBorder="0" applyAlignment="0" applyProtection="0"/>
    <xf numFmtId="43" fontId="43" fillId="0" borderId="0" applyFont="0" applyFill="0" applyBorder="0" applyAlignment="0" applyProtection="0"/>
    <xf numFmtId="44" fontId="1" fillId="0" borderId="0" applyFont="0" applyFill="0" applyBorder="0" applyAlignment="0" applyProtection="0"/>
    <xf numFmtId="44" fontId="43" fillId="0" borderId="0" applyFont="0" applyFill="0" applyBorder="0" applyAlignment="0" applyProtection="0"/>
    <xf numFmtId="0" fontId="10" fillId="0" borderId="0"/>
    <xf numFmtId="9" fontId="43" fillId="0" borderId="0" applyFont="0" applyFill="0" applyBorder="0" applyAlignment="0" applyProtection="0"/>
    <xf numFmtId="9"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49" fillId="0" borderId="0" applyNumberFormat="0" applyFill="0" applyBorder="0" applyAlignment="0" applyProtection="0">
      <alignment vertical="top"/>
      <protection locked="0"/>
    </xf>
    <xf numFmtId="0" fontId="12" fillId="0" borderId="0"/>
    <xf numFmtId="0" fontId="173" fillId="0" borderId="0" applyNumberFormat="0" applyFill="0" applyBorder="0" applyAlignment="0" applyProtection="0"/>
    <xf numFmtId="0" fontId="197" fillId="0" borderId="0"/>
    <xf numFmtId="0" fontId="43" fillId="0" borderId="0"/>
    <xf numFmtId="43" fontId="43" fillId="0" borderId="0" applyFont="0" applyFill="0" applyBorder="0" applyAlignment="0" applyProtection="0"/>
  </cellStyleXfs>
  <cellXfs count="2907">
    <xf numFmtId="0" fontId="0" fillId="0" borderId="0" xfId="0"/>
    <xf numFmtId="0" fontId="52" fillId="0" borderId="0" xfId="0" applyFont="1"/>
    <xf numFmtId="0" fontId="0" fillId="0" borderId="1" xfId="0" applyBorder="1"/>
    <xf numFmtId="0" fontId="7" fillId="0" borderId="0" xfId="0" applyFont="1" applyAlignment="1" applyProtection="1">
      <alignment horizontal="left"/>
      <protection hidden="1"/>
    </xf>
    <xf numFmtId="0" fontId="54" fillId="0" borderId="0" xfId="0" applyFont="1" applyAlignment="1" applyProtection="1">
      <alignment horizontal="left" vertical="center"/>
      <protection hidden="1"/>
    </xf>
    <xf numFmtId="0" fontId="55" fillId="0" borderId="0" xfId="0" applyFont="1" applyAlignment="1" applyProtection="1">
      <alignment horizontal="left" vertical="center"/>
      <protection hidden="1"/>
    </xf>
    <xf numFmtId="0" fontId="56" fillId="0" borderId="0" xfId="0" applyFont="1" applyAlignment="1" applyProtection="1">
      <alignment vertical="center"/>
      <protection hidden="1"/>
    </xf>
    <xf numFmtId="0" fontId="57" fillId="0" borderId="0" xfId="0" applyFont="1" applyAlignment="1" applyProtection="1">
      <alignment vertical="center"/>
      <protection hidden="1"/>
    </xf>
    <xf numFmtId="0" fontId="0" fillId="0" borderId="2" xfId="0" applyBorder="1"/>
    <xf numFmtId="0" fontId="58" fillId="0" borderId="0" xfId="0" applyFont="1" applyProtection="1">
      <protection hidden="1"/>
    </xf>
    <xf numFmtId="0" fontId="58" fillId="0" borderId="0" xfId="0" applyFont="1" applyAlignment="1" applyProtection="1">
      <alignment vertical="center"/>
      <protection hidden="1"/>
    </xf>
    <xf numFmtId="0" fontId="13" fillId="0" borderId="0" xfId="0" applyFont="1" applyAlignment="1" applyProtection="1">
      <alignment vertical="center"/>
      <protection hidden="1"/>
    </xf>
    <xf numFmtId="0" fontId="19" fillId="0" borderId="0" xfId="0" applyFont="1" applyAlignment="1" applyProtection="1">
      <alignment vertical="center"/>
      <protection hidden="1"/>
    </xf>
    <xf numFmtId="0" fontId="19" fillId="0" borderId="0" xfId="0" applyFont="1" applyProtection="1">
      <protection hidden="1"/>
    </xf>
    <xf numFmtId="0" fontId="18" fillId="0" borderId="0" xfId="0" applyFont="1" applyAlignment="1" applyProtection="1">
      <alignment vertical="center"/>
      <protection hidden="1"/>
    </xf>
    <xf numFmtId="0" fontId="55" fillId="0" borderId="3" xfId="0" applyFont="1" applyBorder="1" applyAlignment="1" applyProtection="1">
      <alignment vertical="center"/>
      <protection hidden="1"/>
    </xf>
    <xf numFmtId="0" fontId="24" fillId="0" borderId="0" xfId="0" applyFont="1" applyAlignment="1" applyProtection="1">
      <alignment vertical="center"/>
      <protection hidden="1"/>
    </xf>
    <xf numFmtId="0" fontId="54" fillId="0" borderId="44" xfId="0" applyFont="1" applyBorder="1" applyAlignment="1" applyProtection="1">
      <alignment vertical="center"/>
      <protection hidden="1"/>
    </xf>
    <xf numFmtId="0" fontId="2" fillId="0" borderId="0" xfId="0" applyFont="1" applyAlignment="1" applyProtection="1">
      <alignment vertical="center"/>
      <protection hidden="1"/>
    </xf>
    <xf numFmtId="0" fontId="54" fillId="0" borderId="0" xfId="0" applyFont="1" applyAlignment="1" applyProtection="1">
      <alignment vertical="center"/>
      <protection hidden="1"/>
    </xf>
    <xf numFmtId="0" fontId="14" fillId="0" borderId="0" xfId="0" applyFont="1" applyAlignment="1" applyProtection="1">
      <alignment vertical="center"/>
      <protection hidden="1"/>
    </xf>
    <xf numFmtId="0" fontId="59" fillId="5" borderId="1" xfId="0" applyFont="1" applyFill="1" applyBorder="1" applyAlignment="1">
      <alignment horizontal="center"/>
    </xf>
    <xf numFmtId="0" fontId="57" fillId="6" borderId="3" xfId="0" applyFont="1" applyFill="1" applyBorder="1" applyAlignment="1" applyProtection="1">
      <alignment vertical="center"/>
      <protection hidden="1"/>
    </xf>
    <xf numFmtId="0" fontId="15" fillId="7" borderId="1" xfId="0" applyFont="1" applyFill="1" applyBorder="1" applyAlignment="1">
      <alignment horizontal="center"/>
    </xf>
    <xf numFmtId="0" fontId="54" fillId="0" borderId="44" xfId="0" applyFont="1" applyBorder="1" applyAlignment="1" applyProtection="1">
      <alignment horizontal="left"/>
      <protection hidden="1"/>
    </xf>
    <xf numFmtId="0" fontId="54" fillId="0" borderId="45" xfId="0" applyFont="1" applyBorder="1" applyAlignment="1" applyProtection="1">
      <alignment horizontal="left" vertical="center"/>
      <protection hidden="1"/>
    </xf>
    <xf numFmtId="172" fontId="60" fillId="0" borderId="1" xfId="0" applyNumberFormat="1" applyFont="1" applyBorder="1"/>
    <xf numFmtId="170" fontId="60" fillId="0" borderId="1" xfId="0" applyNumberFormat="1" applyFont="1" applyBorder="1"/>
    <xf numFmtId="0" fontId="15" fillId="0" borderId="3" xfId="0" applyFont="1" applyBorder="1"/>
    <xf numFmtId="49" fontId="0" fillId="0" borderId="0" xfId="0" applyNumberFormat="1"/>
    <xf numFmtId="0" fontId="46" fillId="0" borderId="0" xfId="0" applyFont="1"/>
    <xf numFmtId="0" fontId="61" fillId="0" borderId="0" xfId="0" applyFont="1" applyAlignment="1" applyProtection="1">
      <alignment horizontal="right" vertical="center" wrapText="1"/>
      <protection hidden="1"/>
    </xf>
    <xf numFmtId="0" fontId="61" fillId="0" borderId="0" xfId="0" applyFont="1" applyAlignment="1" applyProtection="1">
      <alignment horizontal="right" vertical="center"/>
      <protection hidden="1"/>
    </xf>
    <xf numFmtId="0" fontId="61" fillId="0" borderId="0" xfId="0" applyFont="1" applyAlignment="1" applyProtection="1">
      <alignment horizontal="left" vertical="top"/>
      <protection hidden="1"/>
    </xf>
    <xf numFmtId="0" fontId="62" fillId="0" borderId="0" xfId="0" applyFont="1" applyAlignment="1" applyProtection="1">
      <alignment horizontal="left" vertical="top"/>
      <protection hidden="1"/>
    </xf>
    <xf numFmtId="0" fontId="61" fillId="0" borderId="0" xfId="0" applyFont="1" applyAlignment="1" applyProtection="1">
      <alignment horizontal="left" vertical="top" wrapText="1"/>
      <protection hidden="1"/>
    </xf>
    <xf numFmtId="0" fontId="52" fillId="0" borderId="2" xfId="0" applyFont="1" applyBorder="1" applyAlignment="1" applyProtection="1">
      <alignment horizontal="left"/>
      <protection hidden="1"/>
    </xf>
    <xf numFmtId="0" fontId="61" fillId="0" borderId="0" xfId="0" applyFont="1" applyAlignment="1" applyProtection="1">
      <alignment vertical="top"/>
      <protection hidden="1"/>
    </xf>
    <xf numFmtId="0" fontId="63" fillId="0" borderId="0" xfId="0" applyFont="1" applyProtection="1">
      <protection hidden="1"/>
    </xf>
    <xf numFmtId="0" fontId="61" fillId="0" borderId="0" xfId="0" applyFont="1" applyAlignment="1" applyProtection="1">
      <alignment vertical="top" wrapText="1"/>
      <protection hidden="1"/>
    </xf>
    <xf numFmtId="0" fontId="64" fillId="0" borderId="0" xfId="0" applyFont="1" applyAlignment="1" applyProtection="1">
      <alignment horizontal="left" vertical="top"/>
      <protection hidden="1"/>
    </xf>
    <xf numFmtId="173" fontId="52" fillId="0" borderId="0" xfId="0" applyNumberFormat="1" applyFont="1" applyAlignment="1" applyProtection="1">
      <alignment horizontal="center"/>
      <protection hidden="1"/>
    </xf>
    <xf numFmtId="0" fontId="0" fillId="0" borderId="0" xfId="0" applyProtection="1">
      <protection hidden="1"/>
    </xf>
    <xf numFmtId="0" fontId="0" fillId="0" borderId="0" xfId="0" applyAlignment="1" applyProtection="1">
      <alignment horizontal="right"/>
      <protection hidden="1"/>
    </xf>
    <xf numFmtId="0" fontId="65" fillId="0" borderId="0" xfId="0" applyFont="1" applyAlignment="1" applyProtection="1">
      <alignment horizontal="right"/>
      <protection hidden="1"/>
    </xf>
    <xf numFmtId="0" fontId="50" fillId="0" borderId="0" xfId="0" applyFont="1" applyProtection="1">
      <protection hidden="1"/>
    </xf>
    <xf numFmtId="0" fontId="46" fillId="8" borderId="0" xfId="0" applyFont="1" applyFill="1" applyProtection="1">
      <protection hidden="1"/>
    </xf>
    <xf numFmtId="0" fontId="46" fillId="0" borderId="0" xfId="0" applyFont="1" applyProtection="1">
      <protection hidden="1"/>
    </xf>
    <xf numFmtId="0" fontId="0" fillId="0" borderId="4" xfId="0" applyBorder="1" applyProtection="1">
      <protection hidden="1"/>
    </xf>
    <xf numFmtId="0" fontId="0" fillId="0" borderId="2" xfId="0" applyBorder="1" applyProtection="1">
      <protection hidden="1"/>
    </xf>
    <xf numFmtId="0" fontId="0" fillId="0" borderId="5" xfId="0" applyBorder="1" applyProtection="1">
      <protection hidden="1"/>
    </xf>
    <xf numFmtId="0" fontId="0" fillId="0" borderId="0" xfId="0" applyAlignment="1" applyProtection="1">
      <alignment horizontal="center"/>
      <protection hidden="1"/>
    </xf>
    <xf numFmtId="0" fontId="0" fillId="0" borderId="5" xfId="0" quotePrefix="1" applyBorder="1" applyProtection="1">
      <protection hidden="1"/>
    </xf>
    <xf numFmtId="0" fontId="0" fillId="0" borderId="0" xfId="0" applyAlignment="1" applyProtection="1">
      <alignment vertical="center"/>
      <protection hidden="1"/>
    </xf>
    <xf numFmtId="0" fontId="66" fillId="0" borderId="5" xfId="0" applyFont="1" applyBorder="1" applyProtection="1">
      <protection hidden="1"/>
    </xf>
    <xf numFmtId="0" fontId="53" fillId="0" borderId="0" xfId="0" applyFont="1" applyProtection="1">
      <protection hidden="1"/>
    </xf>
    <xf numFmtId="0" fontId="67" fillId="0" borderId="0" xfId="0" applyFont="1" applyProtection="1">
      <protection hidden="1"/>
    </xf>
    <xf numFmtId="0" fontId="53" fillId="0" borderId="5" xfId="0" applyFont="1" applyBorder="1" applyProtection="1">
      <protection hidden="1"/>
    </xf>
    <xf numFmtId="0" fontId="50" fillId="0" borderId="6" xfId="0" applyFont="1" applyBorder="1" applyProtection="1">
      <protection hidden="1"/>
    </xf>
    <xf numFmtId="0" fontId="0" fillId="0" borderId="3" xfId="0" applyBorder="1" applyProtection="1">
      <protection hidden="1"/>
    </xf>
    <xf numFmtId="0" fontId="68" fillId="0" borderId="0" xfId="0" applyFont="1" applyProtection="1">
      <protection hidden="1"/>
    </xf>
    <xf numFmtId="0" fontId="29" fillId="3" borderId="4" xfId="0" applyFont="1" applyFill="1" applyBorder="1" applyAlignment="1">
      <alignment horizontal="center" vertical="center"/>
    </xf>
    <xf numFmtId="0" fontId="52" fillId="0" borderId="0" xfId="0" applyFont="1" applyAlignment="1">
      <alignment horizontal="center"/>
    </xf>
    <xf numFmtId="0" fontId="6" fillId="0" borderId="2" xfId="0" applyFont="1" applyBorder="1" applyAlignment="1">
      <alignment horizontal="left" vertical="center"/>
    </xf>
    <xf numFmtId="0" fontId="6" fillId="0" borderId="2" xfId="0" applyFont="1" applyBorder="1" applyAlignment="1">
      <alignment vertical="center"/>
    </xf>
    <xf numFmtId="0" fontId="6" fillId="0" borderId="2" xfId="0" applyFont="1" applyBorder="1" applyAlignment="1">
      <alignment horizontal="right" vertical="center" wrapText="1"/>
    </xf>
    <xf numFmtId="0" fontId="6" fillId="0" borderId="2" xfId="0" applyFont="1" applyBorder="1" applyAlignment="1" applyProtection="1">
      <alignment horizontal="right"/>
      <protection locked="0"/>
    </xf>
    <xf numFmtId="0" fontId="52" fillId="0" borderId="2" xfId="0" applyFont="1" applyBorder="1"/>
    <xf numFmtId="0" fontId="52" fillId="0" borderId="3" xfId="0" applyFont="1" applyBorder="1"/>
    <xf numFmtId="0" fontId="69" fillId="0" borderId="0" xfId="0" applyFont="1" applyProtection="1">
      <protection hidden="1"/>
    </xf>
    <xf numFmtId="0" fontId="2" fillId="6" borderId="0" xfId="0" applyFont="1" applyFill="1" applyAlignment="1" applyProtection="1">
      <alignment vertical="center"/>
      <protection hidden="1"/>
    </xf>
    <xf numFmtId="0" fontId="5" fillId="6" borderId="0" xfId="0" applyFont="1" applyFill="1" applyAlignment="1" applyProtection="1">
      <alignment vertical="center"/>
      <protection hidden="1"/>
    </xf>
    <xf numFmtId="0" fontId="18" fillId="6" borderId="0" xfId="0" applyFont="1" applyFill="1" applyAlignment="1" applyProtection="1">
      <alignment vertical="center"/>
      <protection hidden="1"/>
    </xf>
    <xf numFmtId="0" fontId="0" fillId="6" borderId="3" xfId="0" applyFill="1" applyBorder="1" applyProtection="1">
      <protection hidden="1"/>
    </xf>
    <xf numFmtId="0" fontId="0" fillId="6" borderId="3" xfId="0" applyFill="1" applyBorder="1" applyProtection="1">
      <protection locked="0"/>
    </xf>
    <xf numFmtId="0" fontId="68" fillId="0" borderId="0" xfId="0" applyFont="1" applyAlignment="1" applyProtection="1">
      <alignment horizontal="left"/>
      <protection hidden="1"/>
    </xf>
    <xf numFmtId="0" fontId="61" fillId="0" borderId="0" xfId="0" applyFont="1" applyProtection="1">
      <protection hidden="1"/>
    </xf>
    <xf numFmtId="0" fontId="70" fillId="0" borderId="0" xfId="0" applyFont="1" applyProtection="1">
      <protection hidden="1"/>
    </xf>
    <xf numFmtId="0" fontId="62" fillId="0" borderId="46" xfId="0" applyFont="1" applyBorder="1" applyProtection="1">
      <protection hidden="1"/>
    </xf>
    <xf numFmtId="0" fontId="62" fillId="0" borderId="0" xfId="0" applyFont="1" applyAlignment="1" applyProtection="1">
      <alignment horizontal="right"/>
      <protection hidden="1"/>
    </xf>
    <xf numFmtId="0" fontId="6" fillId="0" borderId="2" xfId="0" applyFont="1" applyBorder="1" applyAlignment="1" applyProtection="1">
      <alignment horizontal="left" vertical="center"/>
      <protection hidden="1"/>
    </xf>
    <xf numFmtId="0" fontId="6" fillId="0" borderId="2" xfId="0" applyFont="1" applyBorder="1" applyAlignment="1" applyProtection="1">
      <alignment vertical="center"/>
      <protection hidden="1"/>
    </xf>
    <xf numFmtId="0" fontId="3" fillId="0" borderId="2" xfId="0" applyFont="1" applyBorder="1" applyProtection="1">
      <protection hidden="1"/>
    </xf>
    <xf numFmtId="0" fontId="52" fillId="0" borderId="2" xfId="0" applyFont="1" applyBorder="1" applyProtection="1">
      <protection hidden="1"/>
    </xf>
    <xf numFmtId="0" fontId="6" fillId="0" borderId="2" xfId="0" applyFont="1" applyBorder="1" applyAlignment="1" applyProtection="1">
      <alignment horizontal="right"/>
      <protection hidden="1"/>
    </xf>
    <xf numFmtId="0" fontId="6" fillId="0" borderId="2" xfId="0" applyFont="1" applyBorder="1" applyAlignment="1" applyProtection="1">
      <alignment horizontal="right" vertical="center" wrapText="1"/>
      <protection hidden="1"/>
    </xf>
    <xf numFmtId="0" fontId="71" fillId="0" borderId="0" xfId="0" applyFont="1" applyAlignment="1" applyProtection="1">
      <alignment vertical="center"/>
      <protection hidden="1"/>
    </xf>
    <xf numFmtId="0" fontId="72" fillId="0" borderId="0" xfId="0" applyFont="1" applyProtection="1">
      <protection hidden="1"/>
    </xf>
    <xf numFmtId="0" fontId="52" fillId="9" borderId="3" xfId="0" applyFont="1" applyFill="1" applyBorder="1" applyProtection="1">
      <protection hidden="1"/>
    </xf>
    <xf numFmtId="14" fontId="61" fillId="6" borderId="3" xfId="0" applyNumberFormat="1" applyFont="1" applyFill="1" applyBorder="1" applyProtection="1">
      <protection locked="0"/>
    </xf>
    <xf numFmtId="0" fontId="0" fillId="0" borderId="3" xfId="0" applyBorder="1"/>
    <xf numFmtId="0" fontId="2" fillId="0" borderId="0" xfId="0" applyFont="1" applyAlignment="1" applyProtection="1">
      <alignment vertical="center" wrapText="1"/>
      <protection hidden="1"/>
    </xf>
    <xf numFmtId="0" fontId="73" fillId="0" borderId="0" xfId="0" applyFont="1" applyProtection="1">
      <protection hidden="1"/>
    </xf>
    <xf numFmtId="0" fontId="73" fillId="0" borderId="0" xfId="0" applyFont="1" applyAlignment="1" applyProtection="1">
      <alignment horizontal="right"/>
      <protection hidden="1"/>
    </xf>
    <xf numFmtId="0" fontId="52" fillId="0" borderId="3" xfId="0" applyFont="1" applyBorder="1" applyProtection="1">
      <protection hidden="1"/>
    </xf>
    <xf numFmtId="0" fontId="2" fillId="10" borderId="0" xfId="0" applyFont="1" applyFill="1" applyAlignment="1" applyProtection="1">
      <alignment vertical="center"/>
      <protection hidden="1"/>
    </xf>
    <xf numFmtId="0" fontId="0" fillId="6" borderId="3" xfId="0" applyFill="1" applyBorder="1" applyAlignment="1" applyProtection="1">
      <alignment horizontal="center"/>
      <protection locked="0"/>
    </xf>
    <xf numFmtId="0" fontId="2" fillId="6" borderId="3" xfId="0" applyFont="1" applyFill="1" applyBorder="1" applyAlignment="1" applyProtection="1">
      <alignment horizontal="center" vertical="center"/>
      <protection locked="0"/>
    </xf>
    <xf numFmtId="0" fontId="0" fillId="0" borderId="3" xfId="0" applyBorder="1" applyAlignment="1">
      <alignment horizontal="center"/>
    </xf>
    <xf numFmtId="0" fontId="0" fillId="0" borderId="5" xfId="0" applyBorder="1"/>
    <xf numFmtId="0" fontId="0" fillId="0" borderId="9" xfId="0" applyBorder="1"/>
    <xf numFmtId="0" fontId="0" fillId="0" borderId="6" xfId="0" applyBorder="1"/>
    <xf numFmtId="0" fontId="0" fillId="0" borderId="10" xfId="0" applyBorder="1"/>
    <xf numFmtId="0" fontId="46" fillId="3" borderId="1" xfId="0" applyFont="1" applyFill="1" applyBorder="1"/>
    <xf numFmtId="0" fontId="0" fillId="0" borderId="11" xfId="0" applyBorder="1"/>
    <xf numFmtId="0" fontId="0" fillId="0" borderId="12" xfId="0" applyBorder="1"/>
    <xf numFmtId="0" fontId="0" fillId="0" borderId="13" xfId="0" applyBorder="1"/>
    <xf numFmtId="2" fontId="0" fillId="0" borderId="0" xfId="0" applyNumberFormat="1"/>
    <xf numFmtId="0" fontId="46" fillId="0" borderId="0" xfId="0" applyFont="1" applyAlignment="1">
      <alignment horizontal="center"/>
    </xf>
    <xf numFmtId="0" fontId="60" fillId="0" borderId="0" xfId="0" applyFont="1"/>
    <xf numFmtId="0" fontId="43" fillId="0" borderId="0" xfId="4" applyNumberFormat="1"/>
    <xf numFmtId="0" fontId="0" fillId="0" borderId="14" xfId="0" applyBorder="1"/>
    <xf numFmtId="0" fontId="0" fillId="0" borderId="1" xfId="0" applyBorder="1" applyAlignment="1">
      <alignment horizontal="right"/>
    </xf>
    <xf numFmtId="0" fontId="52" fillId="0" borderId="5" xfId="0" applyFont="1" applyBorder="1"/>
    <xf numFmtId="0" fontId="46" fillId="3" borderId="1" xfId="0" applyFont="1" applyFill="1" applyBorder="1" applyAlignment="1">
      <alignment horizontal="center"/>
    </xf>
    <xf numFmtId="170" fontId="0" fillId="0" borderId="0" xfId="0" applyNumberFormat="1"/>
    <xf numFmtId="0" fontId="0" fillId="0" borderId="4" xfId="0" applyBorder="1"/>
    <xf numFmtId="167" fontId="0" fillId="10" borderId="1" xfId="0" applyNumberFormat="1" applyFill="1" applyBorder="1" applyProtection="1">
      <protection hidden="1"/>
    </xf>
    <xf numFmtId="167" fontId="0" fillId="0" borderId="3" xfId="0" applyNumberFormat="1" applyBorder="1" applyProtection="1">
      <protection hidden="1"/>
    </xf>
    <xf numFmtId="0" fontId="52" fillId="6" borderId="3" xfId="0" applyFont="1" applyFill="1" applyBorder="1" applyProtection="1">
      <protection locked="0"/>
    </xf>
    <xf numFmtId="0" fontId="75" fillId="0" borderId="0" xfId="0" applyFont="1" applyAlignment="1">
      <alignment vertical="center" wrapText="1"/>
    </xf>
    <xf numFmtId="0" fontId="70" fillId="0" borderId="0" xfId="0" applyFont="1"/>
    <xf numFmtId="49" fontId="76" fillId="0" borderId="0" xfId="0" applyNumberFormat="1" applyFont="1" applyAlignment="1">
      <alignment horizontal="right"/>
    </xf>
    <xf numFmtId="0" fontId="76" fillId="0" borderId="0" xfId="0" applyFont="1"/>
    <xf numFmtId="49" fontId="76" fillId="0" borderId="0" xfId="0" applyNumberFormat="1" applyFont="1" applyAlignment="1">
      <alignment horizontal="right" vertical="top"/>
    </xf>
    <xf numFmtId="0" fontId="77" fillId="0" borderId="0" xfId="0" applyFont="1" applyAlignment="1">
      <alignment horizontal="center" vertical="center"/>
    </xf>
    <xf numFmtId="0" fontId="76" fillId="0" borderId="0" xfId="0" applyFont="1" applyAlignment="1">
      <alignment vertical="top"/>
    </xf>
    <xf numFmtId="0" fontId="52" fillId="0" borderId="0" xfId="0" applyFont="1" applyProtection="1">
      <protection locked="0"/>
    </xf>
    <xf numFmtId="0" fontId="52" fillId="0" borderId="0" xfId="0" applyFont="1" applyAlignment="1">
      <alignment horizontal="right"/>
    </xf>
    <xf numFmtId="0" fontId="52" fillId="0" borderId="1" xfId="0" applyFont="1" applyBorder="1"/>
    <xf numFmtId="0" fontId="2" fillId="6" borderId="3" xfId="58" applyNumberFormat="1" applyFont="1" applyFill="1" applyBorder="1" applyProtection="1">
      <protection locked="0"/>
    </xf>
    <xf numFmtId="0" fontId="52" fillId="0" borderId="9" xfId="0" applyFont="1" applyBorder="1"/>
    <xf numFmtId="0" fontId="52" fillId="0" borderId="6" xfId="0" applyFont="1" applyBorder="1"/>
    <xf numFmtId="0" fontId="52" fillId="0" borderId="10" xfId="0" applyFont="1" applyBorder="1"/>
    <xf numFmtId="0" fontId="50" fillId="0" borderId="0" xfId="0" applyFont="1"/>
    <xf numFmtId="167" fontId="0" fillId="10" borderId="0" xfId="0" applyNumberFormat="1" applyFill="1" applyProtection="1">
      <protection hidden="1"/>
    </xf>
    <xf numFmtId="0" fontId="0" fillId="0" borderId="0" xfId="0" applyAlignment="1" applyProtection="1">
      <alignment horizontal="left" vertical="top"/>
      <protection hidden="1"/>
    </xf>
    <xf numFmtId="0" fontId="78" fillId="0" borderId="0" xfId="0" applyFont="1" applyAlignment="1" applyProtection="1">
      <alignment vertical="center"/>
      <protection hidden="1"/>
    </xf>
    <xf numFmtId="0" fontId="79" fillId="0" borderId="0" xfId="0" applyFont="1" applyProtection="1">
      <protection hidden="1"/>
    </xf>
    <xf numFmtId="0" fontId="14" fillId="0" borderId="0" xfId="0" applyFont="1" applyAlignment="1" applyProtection="1">
      <alignment horizontal="left" vertical="center"/>
      <protection hidden="1"/>
    </xf>
    <xf numFmtId="0" fontId="29" fillId="3" borderId="1" xfId="0" applyFont="1" applyFill="1" applyBorder="1" applyAlignment="1">
      <alignment horizontal="center" vertical="center"/>
    </xf>
    <xf numFmtId="0" fontId="29" fillId="3" borderId="11" xfId="0" applyFont="1" applyFill="1" applyBorder="1" applyAlignment="1">
      <alignment horizontal="center" vertical="center"/>
    </xf>
    <xf numFmtId="164" fontId="70" fillId="6" borderId="3" xfId="0" applyNumberFormat="1" applyFont="1" applyFill="1" applyBorder="1" applyAlignment="1" applyProtection="1">
      <alignment horizontal="left"/>
      <protection locked="0"/>
    </xf>
    <xf numFmtId="0" fontId="62" fillId="0" borderId="0" xfId="0" applyFont="1" applyAlignment="1" applyProtection="1">
      <alignment vertical="center"/>
      <protection hidden="1"/>
    </xf>
    <xf numFmtId="0" fontId="62" fillId="0" borderId="0" xfId="0" applyFont="1" applyProtection="1">
      <protection hidden="1"/>
    </xf>
    <xf numFmtId="0" fontId="80" fillId="0" borderId="0" xfId="105" applyFont="1" applyAlignment="1" applyProtection="1">
      <alignment horizontal="right"/>
      <protection hidden="1"/>
    </xf>
    <xf numFmtId="0" fontId="64" fillId="0" borderId="3" xfId="0" applyFont="1" applyBorder="1" applyProtection="1">
      <protection locked="0"/>
    </xf>
    <xf numFmtId="3" fontId="0" fillId="0" borderId="0" xfId="0" applyNumberFormat="1"/>
    <xf numFmtId="0" fontId="0" fillId="0" borderId="0" xfId="0" applyAlignment="1">
      <alignment horizontal="right"/>
    </xf>
    <xf numFmtId="0" fontId="46" fillId="3" borderId="11" xfId="0" applyFont="1" applyFill="1" applyBorder="1" applyAlignment="1">
      <alignment horizontal="center"/>
    </xf>
    <xf numFmtId="43" fontId="43" fillId="0" borderId="0" xfId="4"/>
    <xf numFmtId="171" fontId="43" fillId="0" borderId="0" xfId="4" applyNumberFormat="1"/>
    <xf numFmtId="0" fontId="46" fillId="3" borderId="11" xfId="0" applyFont="1" applyFill="1" applyBorder="1"/>
    <xf numFmtId="2" fontId="0" fillId="0" borderId="1" xfId="0" applyNumberFormat="1" applyBorder="1"/>
    <xf numFmtId="168" fontId="43" fillId="0" borderId="0" xfId="4" applyNumberFormat="1"/>
    <xf numFmtId="172" fontId="0" fillId="0" borderId="0" xfId="0" applyNumberFormat="1"/>
    <xf numFmtId="2" fontId="43" fillId="0" borderId="0" xfId="4" applyNumberFormat="1"/>
    <xf numFmtId="0" fontId="52" fillId="0" borderId="0" xfId="0" applyFont="1" applyProtection="1">
      <protection hidden="1"/>
    </xf>
    <xf numFmtId="0" fontId="50" fillId="0" borderId="0" xfId="0" applyFont="1" applyAlignment="1" applyProtection="1">
      <alignment horizontal="left"/>
      <protection hidden="1"/>
    </xf>
    <xf numFmtId="0" fontId="50" fillId="0" borderId="0" xfId="0" applyFont="1" applyAlignment="1" applyProtection="1">
      <alignment horizontal="center"/>
      <protection hidden="1"/>
    </xf>
    <xf numFmtId="0" fontId="29" fillId="3" borderId="1" xfId="0" applyFont="1" applyFill="1" applyBorder="1" applyAlignment="1">
      <alignment horizontal="center" vertical="center" wrapText="1"/>
    </xf>
    <xf numFmtId="49" fontId="0" fillId="0" borderId="9" xfId="0" applyNumberFormat="1" applyBorder="1"/>
    <xf numFmtId="0" fontId="79" fillId="0" borderId="0" xfId="0" applyFont="1" applyAlignment="1" applyProtection="1">
      <alignment vertical="top"/>
      <protection hidden="1"/>
    </xf>
    <xf numFmtId="0" fontId="0" fillId="6" borderId="3" xfId="0" applyFill="1" applyBorder="1" applyAlignment="1" applyProtection="1">
      <alignment vertical="center"/>
      <protection hidden="1"/>
    </xf>
    <xf numFmtId="3" fontId="0" fillId="0" borderId="0" xfId="0" applyNumberFormat="1" applyAlignment="1" applyProtection="1">
      <alignment horizontal="center"/>
      <protection locked="0"/>
    </xf>
    <xf numFmtId="0" fontId="0" fillId="10" borderId="0" xfId="0" applyFill="1" applyProtection="1">
      <protection hidden="1"/>
    </xf>
    <xf numFmtId="0" fontId="81" fillId="0" borderId="0" xfId="0" applyFont="1" applyProtection="1">
      <protection hidden="1"/>
    </xf>
    <xf numFmtId="0" fontId="0" fillId="0" borderId="0" xfId="0" applyAlignment="1" applyProtection="1">
      <alignment horizontal="center"/>
      <protection locked="0"/>
    </xf>
    <xf numFmtId="0" fontId="29" fillId="0" borderId="22" xfId="0" applyFont="1" applyBorder="1" applyAlignment="1">
      <alignment horizontal="center" vertical="center"/>
    </xf>
    <xf numFmtId="0" fontId="60" fillId="0" borderId="0" xfId="0" applyFont="1" applyAlignment="1" applyProtection="1">
      <alignment horizontal="center"/>
      <protection locked="0"/>
    </xf>
    <xf numFmtId="0" fontId="41" fillId="0" borderId="0" xfId="0" applyFont="1" applyAlignment="1" applyProtection="1">
      <alignment horizontal="left" vertical="center"/>
      <protection hidden="1"/>
    </xf>
    <xf numFmtId="0" fontId="2" fillId="6" borderId="3" xfId="0" applyFont="1" applyFill="1" applyBorder="1" applyAlignment="1" applyProtection="1">
      <alignment horizontal="center" vertical="center"/>
      <protection locked="0" hidden="1"/>
    </xf>
    <xf numFmtId="0" fontId="82" fillId="0" borderId="0" xfId="0" applyFont="1" applyProtection="1">
      <protection hidden="1"/>
    </xf>
    <xf numFmtId="0" fontId="2" fillId="6" borderId="0" xfId="0" applyFont="1" applyFill="1" applyAlignment="1" applyProtection="1">
      <alignment horizontal="left" vertical="center"/>
      <protection hidden="1"/>
    </xf>
    <xf numFmtId="0" fontId="0" fillId="0" borderId="1" xfId="0" applyBorder="1" applyProtection="1">
      <protection locked="0"/>
    </xf>
    <xf numFmtId="0" fontId="46" fillId="3" borderId="3" xfId="0" applyFont="1" applyFill="1" applyBorder="1"/>
    <xf numFmtId="0" fontId="46" fillId="3" borderId="10" xfId="0" applyFont="1" applyFill="1" applyBorder="1"/>
    <xf numFmtId="175" fontId="43" fillId="0" borderId="0" xfId="4" applyNumberFormat="1"/>
    <xf numFmtId="176" fontId="43" fillId="0" borderId="0" xfId="4" applyNumberFormat="1"/>
    <xf numFmtId="177" fontId="43" fillId="0" borderId="0" xfId="4" applyNumberFormat="1"/>
    <xf numFmtId="176" fontId="0" fillId="0" borderId="0" xfId="0" applyNumberFormat="1"/>
    <xf numFmtId="0" fontId="0" fillId="12" borderId="1" xfId="0" applyFill="1" applyBorder="1" applyProtection="1">
      <protection locked="0"/>
    </xf>
    <xf numFmtId="2" fontId="0" fillId="12" borderId="1" xfId="0" applyNumberFormat="1" applyFill="1" applyBorder="1" applyProtection="1">
      <protection locked="0"/>
    </xf>
    <xf numFmtId="0" fontId="83" fillId="0" borderId="0" xfId="0" applyFont="1"/>
    <xf numFmtId="2" fontId="0" fillId="6" borderId="1" xfId="0" applyNumberFormat="1" applyFill="1" applyBorder="1" applyProtection="1">
      <protection locked="0"/>
    </xf>
    <xf numFmtId="0" fontId="84" fillId="0" borderId="0" xfId="0" applyFont="1" applyProtection="1">
      <protection hidden="1"/>
    </xf>
    <xf numFmtId="0" fontId="52" fillId="0" borderId="0" xfId="0" applyFont="1" applyAlignment="1" applyProtection="1">
      <alignment vertical="center"/>
      <protection hidden="1"/>
    </xf>
    <xf numFmtId="0" fontId="61" fillId="0" borderId="0" xfId="0" applyFont="1" applyAlignment="1" applyProtection="1">
      <alignment vertical="center" wrapText="1"/>
      <protection hidden="1"/>
    </xf>
    <xf numFmtId="0" fontId="85" fillId="0" borderId="0" xfId="0" applyFont="1" applyAlignment="1" applyProtection="1">
      <alignment horizontal="left"/>
      <protection hidden="1"/>
    </xf>
    <xf numFmtId="0" fontId="39" fillId="0" borderId="0" xfId="0" applyFont="1" applyAlignment="1" applyProtection="1">
      <alignment horizontal="right" vertical="center"/>
      <protection hidden="1"/>
    </xf>
    <xf numFmtId="0" fontId="86" fillId="0" borderId="0" xfId="0" applyFont="1" applyAlignment="1" applyProtection="1">
      <alignment horizontal="right"/>
      <protection hidden="1"/>
    </xf>
    <xf numFmtId="0" fontId="87" fillId="0" borderId="0" xfId="0" applyFont="1" applyAlignment="1" applyProtection="1">
      <alignment horizontal="right"/>
      <protection hidden="1"/>
    </xf>
    <xf numFmtId="0" fontId="2" fillId="0" borderId="0" xfId="0" applyFont="1" applyProtection="1">
      <protection hidden="1"/>
    </xf>
    <xf numFmtId="0" fontId="15" fillId="0" borderId="0" xfId="0" applyFont="1" applyProtection="1">
      <protection hidden="1"/>
    </xf>
    <xf numFmtId="0" fontId="86" fillId="0" borderId="0" xfId="0" applyFont="1" applyProtection="1">
      <protection hidden="1"/>
    </xf>
    <xf numFmtId="0" fontId="6" fillId="0" borderId="0" xfId="0" applyFont="1" applyAlignment="1" applyProtection="1">
      <alignment horizontal="left" vertical="center"/>
      <protection hidden="1"/>
    </xf>
    <xf numFmtId="0" fontId="89" fillId="0" borderId="3" xfId="110" applyFont="1" applyBorder="1" applyAlignment="1" applyProtection="1">
      <alignment vertical="center"/>
      <protection hidden="1"/>
    </xf>
    <xf numFmtId="0" fontId="90" fillId="0" borderId="0" xfId="0" applyFont="1" applyAlignment="1" applyProtection="1">
      <alignment horizontal="left"/>
      <protection hidden="1"/>
    </xf>
    <xf numFmtId="49" fontId="0" fillId="0" borderId="0" xfId="0" applyNumberFormat="1" applyAlignment="1" applyProtection="1">
      <alignment horizontal="right"/>
      <protection hidden="1"/>
    </xf>
    <xf numFmtId="49" fontId="0" fillId="0" borderId="0" xfId="0" applyNumberFormat="1" applyProtection="1">
      <protection hidden="1"/>
    </xf>
    <xf numFmtId="0" fontId="91" fillId="0" borderId="0" xfId="0" applyFont="1" applyProtection="1">
      <protection hidden="1"/>
    </xf>
    <xf numFmtId="0" fontId="47" fillId="0" borderId="0" xfId="105" applyProtection="1">
      <protection hidden="1"/>
    </xf>
    <xf numFmtId="0" fontId="0" fillId="6" borderId="1" xfId="0" applyFill="1" applyBorder="1" applyProtection="1">
      <protection hidden="1"/>
    </xf>
    <xf numFmtId="0" fontId="0" fillId="10" borderId="1" xfId="0" applyFill="1" applyBorder="1" applyProtection="1">
      <protection hidden="1"/>
    </xf>
    <xf numFmtId="0" fontId="6" fillId="0" borderId="0" xfId="0" applyFont="1" applyAlignment="1" applyProtection="1">
      <alignment horizontal="right"/>
      <protection hidden="1"/>
    </xf>
    <xf numFmtId="0" fontId="6" fillId="0" borderId="0" xfId="0" applyFont="1" applyAlignment="1" applyProtection="1">
      <alignment horizontal="right" vertical="center" wrapText="1"/>
      <protection hidden="1"/>
    </xf>
    <xf numFmtId="0" fontId="0" fillId="0" borderId="14" xfId="0" applyBorder="1" applyProtection="1">
      <protection hidden="1"/>
    </xf>
    <xf numFmtId="49" fontId="0" fillId="0" borderId="5" xfId="0" applyNumberFormat="1" applyBorder="1" applyAlignment="1" applyProtection="1">
      <alignment horizontal="right"/>
      <protection hidden="1"/>
    </xf>
    <xf numFmtId="0" fontId="0" fillId="0" borderId="9" xfId="0" applyBorder="1" applyProtection="1">
      <protection hidden="1"/>
    </xf>
    <xf numFmtId="49" fontId="0" fillId="0" borderId="6" xfId="0" applyNumberFormat="1" applyBorder="1" applyAlignment="1" applyProtection="1">
      <alignment horizontal="right"/>
      <protection hidden="1"/>
    </xf>
    <xf numFmtId="0" fontId="0" fillId="0" borderId="10" xfId="0" applyBorder="1" applyProtection="1">
      <protection hidden="1"/>
    </xf>
    <xf numFmtId="0" fontId="60" fillId="0" borderId="1" xfId="0" applyFont="1" applyBorder="1" applyAlignment="1" applyProtection="1">
      <alignment horizontal="center" vertical="center"/>
      <protection hidden="1"/>
    </xf>
    <xf numFmtId="166" fontId="60" fillId="0" borderId="23" xfId="58" applyNumberFormat="1" applyFont="1" applyBorder="1" applyAlignment="1" applyProtection="1">
      <alignment horizontal="center" vertical="center"/>
      <protection hidden="1"/>
    </xf>
    <xf numFmtId="0" fontId="60" fillId="0" borderId="17" xfId="0" applyFont="1" applyBorder="1" applyAlignment="1" applyProtection="1">
      <alignment horizontal="center" vertical="center"/>
      <protection hidden="1"/>
    </xf>
    <xf numFmtId="0" fontId="60" fillId="0" borderId="18" xfId="0" applyFont="1" applyBorder="1" applyAlignment="1" applyProtection="1">
      <alignment horizontal="center" vertical="center"/>
      <protection hidden="1"/>
    </xf>
    <xf numFmtId="0" fontId="92" fillId="0" borderId="0" xfId="0" applyFont="1" applyProtection="1">
      <protection hidden="1"/>
    </xf>
    <xf numFmtId="0" fontId="49" fillId="2" borderId="43" xfId="3" applyFont="1" applyProtection="1">
      <protection hidden="1"/>
    </xf>
    <xf numFmtId="17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49" fillId="2" borderId="43" xfId="3" applyFont="1" applyProtection="1">
      <protection locked="0"/>
    </xf>
    <xf numFmtId="172" fontId="49" fillId="2" borderId="43" xfId="3" applyNumberFormat="1" applyFont="1" applyProtection="1">
      <protection locked="0"/>
    </xf>
    <xf numFmtId="49" fontId="46" fillId="0" borderId="0" xfId="0" applyNumberFormat="1" applyFont="1" applyProtection="1">
      <protection hidden="1"/>
    </xf>
    <xf numFmtId="0" fontId="44" fillId="0" borderId="0" xfId="0" applyFont="1" applyProtection="1">
      <protection hidden="1"/>
    </xf>
    <xf numFmtId="44" fontId="44" fillId="0" borderId="0" xfId="58" applyFont="1" applyProtection="1">
      <protection hidden="1"/>
    </xf>
    <xf numFmtId="171" fontId="44" fillId="0" borderId="0" xfId="4" applyNumberFormat="1" applyFont="1" applyProtection="1">
      <protection hidden="1"/>
    </xf>
    <xf numFmtId="43" fontId="44" fillId="0" borderId="0" xfId="4" applyFont="1" applyProtection="1">
      <protection hidden="1"/>
    </xf>
    <xf numFmtId="0" fontId="23" fillId="0" borderId="0" xfId="0" applyFont="1" applyProtection="1">
      <protection hidden="1"/>
    </xf>
    <xf numFmtId="0" fontId="21" fillId="0" borderId="0" xfId="0" applyFont="1" applyAlignment="1" applyProtection="1">
      <alignment vertical="top"/>
      <protection hidden="1"/>
    </xf>
    <xf numFmtId="0" fontId="21" fillId="0" borderId="0" xfId="0" applyFont="1" applyAlignment="1" applyProtection="1">
      <alignment horizontal="right" vertical="top"/>
      <protection hidden="1"/>
    </xf>
    <xf numFmtId="0" fontId="20" fillId="0" borderId="0" xfId="0" applyFont="1" applyAlignment="1" applyProtection="1">
      <alignment horizontal="left" vertical="top"/>
      <protection hidden="1"/>
    </xf>
    <xf numFmtId="0" fontId="22" fillId="0" borderId="0" xfId="0" applyFont="1" applyAlignment="1" applyProtection="1">
      <alignment vertical="top" wrapText="1"/>
      <protection hidden="1"/>
    </xf>
    <xf numFmtId="0" fontId="93" fillId="0" borderId="0" xfId="0" applyFont="1" applyAlignment="1" applyProtection="1">
      <alignment vertical="top" wrapText="1"/>
      <protection hidden="1"/>
    </xf>
    <xf numFmtId="0" fontId="0" fillId="10" borderId="0" xfId="0" applyFill="1" applyAlignment="1" applyProtection="1">
      <alignment horizontal="center" wrapText="1"/>
      <protection hidden="1"/>
    </xf>
    <xf numFmtId="0" fontId="0" fillId="0" borderId="3" xfId="0" applyBorder="1" applyAlignment="1" applyProtection="1">
      <alignment horizontal="center"/>
      <protection hidden="1"/>
    </xf>
    <xf numFmtId="0" fontId="0" fillId="6" borderId="1" xfId="0" applyFill="1" applyBorder="1" applyAlignment="1" applyProtection="1">
      <alignment wrapText="1"/>
      <protection locked="0"/>
    </xf>
    <xf numFmtId="0" fontId="0" fillId="6" borderId="1" xfId="0" applyFill="1" applyBorder="1" applyAlignment="1" applyProtection="1">
      <alignment horizontal="center" wrapText="1"/>
      <protection locked="0"/>
    </xf>
    <xf numFmtId="0" fontId="2" fillId="6" borderId="3" xfId="0" applyFont="1" applyFill="1" applyBorder="1" applyAlignment="1" applyProtection="1">
      <alignment horizontal="center"/>
      <protection locked="0"/>
    </xf>
    <xf numFmtId="167" fontId="60" fillId="0" borderId="23" xfId="58" applyNumberFormat="1" applyFont="1" applyBorder="1" applyAlignment="1" applyProtection="1">
      <alignment horizontal="center" vertical="center"/>
      <protection hidden="1"/>
    </xf>
    <xf numFmtId="0" fontId="42" fillId="0" borderId="0" xfId="0" applyFont="1" applyAlignment="1" applyProtection="1">
      <alignment vertical="center" wrapText="1"/>
      <protection hidden="1"/>
    </xf>
    <xf numFmtId="0" fontId="42" fillId="0" borderId="0" xfId="0" applyFont="1" applyAlignment="1" applyProtection="1">
      <alignment wrapText="1"/>
      <protection hidden="1"/>
    </xf>
    <xf numFmtId="0" fontId="10" fillId="14" borderId="3" xfId="0" applyFont="1" applyFill="1" applyBorder="1" applyAlignment="1">
      <alignment wrapText="1"/>
    </xf>
    <xf numFmtId="0" fontId="0" fillId="14" borderId="3" xfId="0" applyFill="1" applyBorder="1" applyAlignment="1">
      <alignment wrapText="1"/>
    </xf>
    <xf numFmtId="166" fontId="43" fillId="0" borderId="1" xfId="58" applyNumberFormat="1" applyBorder="1"/>
    <xf numFmtId="0" fontId="0" fillId="0" borderId="18" xfId="0" applyBorder="1"/>
    <xf numFmtId="0" fontId="0" fillId="0" borderId="13" xfId="0" applyBorder="1" applyProtection="1">
      <protection locked="0"/>
    </xf>
    <xf numFmtId="9" fontId="0" fillId="0" borderId="1" xfId="0" applyNumberFormat="1" applyBorder="1"/>
    <xf numFmtId="0" fontId="66" fillId="0" borderId="0" xfId="0" applyFont="1"/>
    <xf numFmtId="0" fontId="46" fillId="3" borderId="1" xfId="0" applyFont="1" applyFill="1" applyBorder="1" applyAlignment="1" applyProtection="1">
      <alignment horizontal="center"/>
      <protection locked="0"/>
    </xf>
    <xf numFmtId="0" fontId="0" fillId="0" borderId="1" xfId="0" applyBorder="1" applyAlignment="1" applyProtection="1">
      <alignment horizontal="center"/>
      <protection locked="0"/>
    </xf>
    <xf numFmtId="0" fontId="0" fillId="0" borderId="22" xfId="0" applyBorder="1"/>
    <xf numFmtId="0" fontId="0" fillId="0" borderId="24" xfId="0" applyBorder="1"/>
    <xf numFmtId="0" fontId="46" fillId="3" borderId="1" xfId="0" applyFont="1" applyFill="1" applyBorder="1" applyAlignment="1">
      <alignment horizontal="left"/>
    </xf>
    <xf numFmtId="0" fontId="46" fillId="3" borderId="0" xfId="0" applyFont="1" applyFill="1"/>
    <xf numFmtId="44" fontId="0" fillId="0" borderId="1" xfId="0" applyNumberFormat="1" applyBorder="1"/>
    <xf numFmtId="0" fontId="44" fillId="15" borderId="12" xfId="0" applyFont="1" applyFill="1" applyBorder="1"/>
    <xf numFmtId="0" fontId="44" fillId="15" borderId="5" xfId="0" applyFont="1" applyFill="1" applyBorder="1" applyAlignment="1">
      <alignment horizontal="center"/>
    </xf>
    <xf numFmtId="0" fontId="44" fillId="15" borderId="0" xfId="0" applyFont="1" applyFill="1" applyAlignment="1">
      <alignment horizontal="center"/>
    </xf>
    <xf numFmtId="0" fontId="44" fillId="15" borderId="9" xfId="0" applyFont="1" applyFill="1" applyBorder="1" applyAlignment="1">
      <alignment horizontal="center"/>
    </xf>
    <xf numFmtId="0" fontId="44" fillId="15" borderId="5" xfId="0" applyFont="1" applyFill="1" applyBorder="1"/>
    <xf numFmtId="0" fontId="44" fillId="15" borderId="9" xfId="0" applyFont="1" applyFill="1" applyBorder="1"/>
    <xf numFmtId="0" fontId="46" fillId="3" borderId="1" xfId="0" applyFont="1" applyFill="1" applyBorder="1" applyAlignment="1">
      <alignment horizontal="center" vertical="center"/>
    </xf>
    <xf numFmtId="0" fontId="52" fillId="10" borderId="0" xfId="0" applyFont="1" applyFill="1" applyProtection="1">
      <protection hidden="1"/>
    </xf>
    <xf numFmtId="0" fontId="52" fillId="0" borderId="0" xfId="0" applyFont="1" applyAlignment="1" applyProtection="1">
      <alignment horizontal="right"/>
      <protection hidden="1"/>
    </xf>
    <xf numFmtId="0" fontId="46" fillId="0" borderId="0" xfId="0" applyFont="1" applyAlignment="1">
      <alignment wrapText="1"/>
    </xf>
    <xf numFmtId="0" fontId="59" fillId="0" borderId="0" xfId="0" applyFont="1" applyAlignment="1">
      <alignment horizontal="center" vertical="center" wrapText="1"/>
    </xf>
    <xf numFmtId="167" fontId="0" fillId="0" borderId="0" xfId="0" applyNumberFormat="1" applyAlignment="1">
      <alignment horizontal="center"/>
    </xf>
    <xf numFmtId="0" fontId="2" fillId="0" borderId="0" xfId="0" applyFont="1" applyAlignment="1">
      <alignment horizontal="left"/>
    </xf>
    <xf numFmtId="0" fontId="2" fillId="0" borderId="0" xfId="0" applyFont="1"/>
    <xf numFmtId="0" fontId="2" fillId="0" borderId="0" xfId="0" applyFont="1" applyAlignment="1">
      <alignment horizontal="left" vertical="center" wrapText="1"/>
    </xf>
    <xf numFmtId="167" fontId="2" fillId="0" borderId="0" xfId="0" applyNumberFormat="1" applyFont="1" applyAlignment="1">
      <alignment horizontal="left"/>
    </xf>
    <xf numFmtId="170" fontId="2" fillId="0" borderId="0" xfId="0" applyNumberFormat="1" applyFont="1" applyAlignment="1">
      <alignment horizontal="left"/>
    </xf>
    <xf numFmtId="0" fontId="47" fillId="0" borderId="0" xfId="105"/>
    <xf numFmtId="0" fontId="0" fillId="0" borderId="0" xfId="0" applyProtection="1">
      <protection locked="0"/>
    </xf>
    <xf numFmtId="174" fontId="0" fillId="0" borderId="1" xfId="0" applyNumberFormat="1" applyBorder="1"/>
    <xf numFmtId="0" fontId="60" fillId="16" borderId="3" xfId="0" applyFont="1" applyFill="1" applyBorder="1"/>
    <xf numFmtId="0" fontId="60" fillId="16" borderId="3" xfId="0" applyFont="1" applyFill="1" applyBorder="1" applyAlignment="1">
      <alignment wrapText="1"/>
    </xf>
    <xf numFmtId="0" fontId="60" fillId="17" borderId="3" xfId="0" applyFont="1" applyFill="1" applyBorder="1"/>
    <xf numFmtId="0" fontId="10" fillId="17" borderId="3" xfId="114" applyFont="1" applyFill="1" applyBorder="1" applyAlignment="1">
      <alignment horizontal="center"/>
    </xf>
    <xf numFmtId="0" fontId="60" fillId="17" borderId="3" xfId="0" applyFont="1" applyFill="1" applyBorder="1" applyAlignment="1">
      <alignment wrapText="1"/>
    </xf>
    <xf numFmtId="0" fontId="10" fillId="17" borderId="3" xfId="0" applyFont="1" applyFill="1" applyBorder="1" applyAlignment="1">
      <alignment wrapText="1"/>
    </xf>
    <xf numFmtId="0" fontId="0" fillId="17" borderId="3" xfId="0" applyFill="1" applyBorder="1" applyAlignment="1">
      <alignment wrapText="1"/>
    </xf>
    <xf numFmtId="0" fontId="60" fillId="14" borderId="3" xfId="0" applyFont="1" applyFill="1" applyBorder="1" applyAlignment="1">
      <alignment wrapText="1"/>
    </xf>
    <xf numFmtId="0" fontId="60" fillId="14" borderId="3" xfId="0" applyFont="1" applyFill="1" applyBorder="1"/>
    <xf numFmtId="0" fontId="60" fillId="11" borderId="0" xfId="0" applyFont="1" applyFill="1" applyAlignment="1">
      <alignment wrapText="1"/>
    </xf>
    <xf numFmtId="0" fontId="60" fillId="18" borderId="0" xfId="0" applyFont="1" applyFill="1"/>
    <xf numFmtId="0" fontId="10" fillId="19" borderId="3" xfId="0" applyFont="1" applyFill="1" applyBorder="1" applyAlignment="1">
      <alignment wrapText="1"/>
    </xf>
    <xf numFmtId="0" fontId="10" fillId="20" borderId="3" xfId="0" applyFont="1" applyFill="1" applyBorder="1" applyAlignment="1">
      <alignment wrapText="1"/>
    </xf>
    <xf numFmtId="0" fontId="60" fillId="20" borderId="3" xfId="0" applyFont="1" applyFill="1" applyBorder="1" applyAlignment="1">
      <alignment wrapText="1"/>
    </xf>
    <xf numFmtId="0" fontId="10" fillId="21" borderId="3" xfId="0" applyFont="1" applyFill="1" applyBorder="1" applyAlignment="1">
      <alignment wrapText="1"/>
    </xf>
    <xf numFmtId="0" fontId="60" fillId="22" borderId="0" xfId="0" applyFont="1" applyFill="1"/>
    <xf numFmtId="0" fontId="60" fillId="22" borderId="3" xfId="0" applyFont="1" applyFill="1" applyBorder="1"/>
    <xf numFmtId="0" fontId="100" fillId="0" borderId="0" xfId="0" applyFont="1" applyProtection="1">
      <protection hidden="1"/>
    </xf>
    <xf numFmtId="172" fontId="0" fillId="0" borderId="1" xfId="0" applyNumberFormat="1" applyBorder="1"/>
    <xf numFmtId="9" fontId="0" fillId="0" borderId="11" xfId="0" applyNumberFormat="1" applyBorder="1"/>
    <xf numFmtId="2" fontId="0" fillId="0" borderId="3" xfId="0" applyNumberFormat="1" applyBorder="1"/>
    <xf numFmtId="2" fontId="0" fillId="0" borderId="9" xfId="0" applyNumberFormat="1" applyBorder="1"/>
    <xf numFmtId="9" fontId="0" fillId="0" borderId="1" xfId="115" applyFont="1" applyBorder="1"/>
    <xf numFmtId="9" fontId="0" fillId="0" borderId="1" xfId="115" applyFont="1" applyFill="1" applyBorder="1"/>
    <xf numFmtId="178" fontId="60" fillId="0" borderId="1" xfId="4" applyNumberFormat="1" applyFont="1" applyBorder="1"/>
    <xf numFmtId="2" fontId="60" fillId="0" borderId="1" xfId="0" applyNumberFormat="1" applyFont="1" applyBorder="1"/>
    <xf numFmtId="178" fontId="0" fillId="0" borderId="0" xfId="0" applyNumberFormat="1"/>
    <xf numFmtId="0" fontId="60" fillId="0" borderId="1" xfId="0" applyFont="1" applyBorder="1"/>
    <xf numFmtId="0" fontId="46" fillId="10" borderId="0" xfId="0" applyFont="1" applyFill="1" applyAlignment="1" applyProtection="1">
      <alignment horizontal="center"/>
      <protection hidden="1"/>
    </xf>
    <xf numFmtId="49" fontId="0" fillId="0" borderId="14" xfId="0" applyNumberFormat="1" applyBorder="1"/>
    <xf numFmtId="49" fontId="0" fillId="0" borderId="10" xfId="0" applyNumberFormat="1" applyBorder="1"/>
    <xf numFmtId="0" fontId="46" fillId="3" borderId="4" xfId="0" applyFont="1" applyFill="1" applyBorder="1"/>
    <xf numFmtId="0" fontId="46" fillId="3" borderId="14" xfId="0" applyFont="1" applyFill="1" applyBorder="1"/>
    <xf numFmtId="0" fontId="60" fillId="0" borderId="11" xfId="0" applyFont="1" applyBorder="1" applyAlignment="1">
      <alignment wrapText="1"/>
    </xf>
    <xf numFmtId="0" fontId="60" fillId="0" borderId="22" xfId="0" applyFont="1" applyBorder="1"/>
    <xf numFmtId="166" fontId="60" fillId="0" borderId="1" xfId="58" applyNumberFormat="1" applyFont="1" applyBorder="1"/>
    <xf numFmtId="44" fontId="60" fillId="0" borderId="1" xfId="0" applyNumberFormat="1" applyFont="1" applyBorder="1"/>
    <xf numFmtId="166" fontId="60" fillId="0" borderId="1" xfId="58" applyNumberFormat="1" applyFont="1" applyFill="1" applyBorder="1"/>
    <xf numFmtId="0" fontId="46" fillId="3" borderId="22" xfId="0" applyFont="1" applyFill="1" applyBorder="1"/>
    <xf numFmtId="0" fontId="49" fillId="2" borderId="49" xfId="3" applyFont="1" applyBorder="1" applyProtection="1">
      <protection locked="0"/>
    </xf>
    <xf numFmtId="0" fontId="49" fillId="2" borderId="50" xfId="3" applyFont="1" applyBorder="1" applyProtection="1">
      <protection locked="0"/>
    </xf>
    <xf numFmtId="0" fontId="46" fillId="3" borderId="13" xfId="0" applyFont="1" applyFill="1" applyBorder="1"/>
    <xf numFmtId="0" fontId="46" fillId="3" borderId="20" xfId="0" applyFont="1" applyFill="1" applyBorder="1" applyAlignment="1">
      <alignment horizontal="center"/>
    </xf>
    <xf numFmtId="0" fontId="46" fillId="3" borderId="15" xfId="0" applyFont="1" applyFill="1" applyBorder="1" applyAlignment="1">
      <alignment horizontal="center"/>
    </xf>
    <xf numFmtId="0" fontId="46" fillId="3" borderId="15" xfId="0" applyFont="1" applyFill="1" applyBorder="1" applyAlignment="1">
      <alignment horizontal="left"/>
    </xf>
    <xf numFmtId="0" fontId="46" fillId="3" borderId="16" xfId="0" applyFont="1" applyFill="1" applyBorder="1" applyAlignment="1">
      <alignment horizontal="center"/>
    </xf>
    <xf numFmtId="172" fontId="60" fillId="0" borderId="23" xfId="0" applyNumberFormat="1" applyFont="1" applyBorder="1"/>
    <xf numFmtId="172" fontId="60" fillId="0" borderId="17" xfId="0" applyNumberFormat="1" applyFont="1" applyBorder="1"/>
    <xf numFmtId="170" fontId="60" fillId="0" borderId="18" xfId="0" applyNumberFormat="1" applyFont="1" applyBorder="1"/>
    <xf numFmtId="172" fontId="60" fillId="0" borderId="19" xfId="0" applyNumberFormat="1" applyFont="1" applyBorder="1"/>
    <xf numFmtId="0" fontId="60" fillId="23" borderId="0" xfId="0" applyFont="1" applyFill="1"/>
    <xf numFmtId="0" fontId="44" fillId="24" borderId="0" xfId="0" applyFont="1" applyFill="1"/>
    <xf numFmtId="0" fontId="60" fillId="25" borderId="5" xfId="0" applyFont="1" applyFill="1" applyBorder="1"/>
    <xf numFmtId="0" fontId="60" fillId="26" borderId="51" xfId="125" applyNumberFormat="1" applyFont="1" applyFill="1" applyBorder="1" applyAlignment="1">
      <alignment horizontal="left" wrapText="1"/>
    </xf>
    <xf numFmtId="0" fontId="60" fillId="26" borderId="51" xfId="125" applyNumberFormat="1" applyFont="1" applyFill="1" applyBorder="1" applyAlignment="1">
      <alignment horizontal="left"/>
    </xf>
    <xf numFmtId="0" fontId="60" fillId="26" borderId="12" xfId="0" applyFont="1" applyFill="1" applyBorder="1"/>
    <xf numFmtId="0" fontId="60" fillId="26" borderId="12" xfId="0" applyFont="1" applyFill="1" applyBorder="1" applyAlignment="1">
      <alignment horizontal="center" wrapText="1"/>
    </xf>
    <xf numFmtId="0" fontId="60" fillId="27" borderId="52" xfId="125" applyNumberFormat="1" applyFont="1" applyFill="1" applyBorder="1" applyAlignment="1">
      <alignment horizontal="left" wrapText="1"/>
    </xf>
    <xf numFmtId="0" fontId="60" fillId="27" borderId="0" xfId="125" applyNumberFormat="1" applyFont="1" applyFill="1" applyAlignment="1">
      <alignment horizontal="left" wrapText="1"/>
    </xf>
    <xf numFmtId="0" fontId="0" fillId="10" borderId="0" xfId="0" applyFill="1" applyProtection="1">
      <protection locked="0" hidden="1"/>
    </xf>
    <xf numFmtId="0" fontId="107" fillId="13" borderId="1" xfId="0" applyFont="1" applyFill="1" applyBorder="1" applyProtection="1">
      <protection locked="0"/>
    </xf>
    <xf numFmtId="0" fontId="0" fillId="0" borderId="15" xfId="0" applyBorder="1" applyProtection="1">
      <protection locked="0"/>
    </xf>
    <xf numFmtId="0" fontId="85" fillId="10" borderId="0" xfId="0" applyFont="1" applyFill="1" applyAlignment="1" applyProtection="1">
      <alignment horizontal="left"/>
      <protection hidden="1"/>
    </xf>
    <xf numFmtId="0" fontId="60" fillId="0" borderId="11" xfId="0" applyFont="1" applyBorder="1" applyAlignment="1" applyProtection="1">
      <alignment horizontal="center" vertical="center"/>
      <protection hidden="1"/>
    </xf>
    <xf numFmtId="0" fontId="60" fillId="0" borderId="26" xfId="0" applyFont="1" applyBorder="1" applyAlignment="1" applyProtection="1">
      <alignment horizontal="center" vertical="center"/>
      <protection hidden="1"/>
    </xf>
    <xf numFmtId="166" fontId="60" fillId="0" borderId="28" xfId="58" applyNumberFormat="1" applyFont="1" applyBorder="1" applyAlignment="1" applyProtection="1">
      <alignment horizontal="center" vertical="center"/>
      <protection hidden="1"/>
    </xf>
    <xf numFmtId="167" fontId="60" fillId="0" borderId="26" xfId="58" applyNumberFormat="1" applyFont="1" applyBorder="1" applyAlignment="1" applyProtection="1">
      <alignment horizontal="center" vertical="center"/>
      <protection hidden="1"/>
    </xf>
    <xf numFmtId="0" fontId="60" fillId="0" borderId="4" xfId="0" applyFont="1" applyBorder="1" applyAlignment="1" applyProtection="1">
      <alignment horizontal="center" vertical="center"/>
      <protection hidden="1"/>
    </xf>
    <xf numFmtId="167" fontId="60" fillId="0" borderId="28" xfId="58" applyNumberFormat="1" applyFont="1" applyBorder="1" applyAlignment="1" applyProtection="1">
      <alignment horizontal="center" vertical="center"/>
      <protection hidden="1"/>
    </xf>
    <xf numFmtId="0" fontId="61" fillId="0" borderId="0" xfId="0" applyFont="1" applyAlignment="1" applyProtection="1">
      <alignment horizontal="center" wrapText="1"/>
      <protection hidden="1"/>
    </xf>
    <xf numFmtId="0" fontId="61" fillId="0" borderId="0" xfId="0" applyFont="1" applyAlignment="1" applyProtection="1">
      <alignment horizontal="center"/>
      <protection hidden="1"/>
    </xf>
    <xf numFmtId="0" fontId="61" fillId="0" borderId="0" xfId="0" applyFont="1" applyAlignment="1" applyProtection="1">
      <alignment horizontal="left"/>
      <protection hidden="1"/>
    </xf>
    <xf numFmtId="0" fontId="52" fillId="0" borderId="0" xfId="0" applyFont="1" applyAlignment="1" applyProtection="1">
      <alignment horizontal="center"/>
      <protection hidden="1"/>
    </xf>
    <xf numFmtId="0" fontId="52" fillId="0" borderId="0" xfId="0" applyFont="1" applyAlignment="1" applyProtection="1">
      <alignment horizontal="left"/>
      <protection hidden="1"/>
    </xf>
    <xf numFmtId="0" fontId="61" fillId="0" borderId="0" xfId="0" applyFont="1" applyAlignment="1" applyProtection="1">
      <alignment horizontal="right"/>
      <protection hidden="1"/>
    </xf>
    <xf numFmtId="0" fontId="16" fillId="0" borderId="0" xfId="0" applyFont="1" applyAlignment="1" applyProtection="1">
      <alignment vertical="center"/>
      <protection hidden="1"/>
    </xf>
    <xf numFmtId="0" fontId="21" fillId="0" borderId="0" xfId="0" applyFont="1" applyAlignment="1" applyProtection="1">
      <alignment horizontal="left" vertical="top"/>
      <protection hidden="1"/>
    </xf>
    <xf numFmtId="0" fontId="13" fillId="0" borderId="3" xfId="0" applyFont="1" applyBorder="1" applyAlignment="1" applyProtection="1">
      <alignment vertical="center"/>
      <protection hidden="1"/>
    </xf>
    <xf numFmtId="0" fontId="70" fillId="0" borderId="0" xfId="0" applyFont="1" applyAlignment="1" applyProtection="1">
      <alignment horizontal="left"/>
      <protection hidden="1"/>
    </xf>
    <xf numFmtId="0" fontId="70" fillId="0" borderId="3" xfId="0" applyFont="1" applyBorder="1" applyAlignment="1" applyProtection="1">
      <alignment horizontal="left"/>
      <protection hidden="1"/>
    </xf>
    <xf numFmtId="0" fontId="0" fillId="6" borderId="1" xfId="0" applyFill="1" applyBorder="1" applyAlignment="1" applyProtection="1">
      <alignment horizontal="center"/>
      <protection locked="0"/>
    </xf>
    <xf numFmtId="0" fontId="0" fillId="0" borderId="1" xfId="0" applyBorder="1" applyAlignment="1" applyProtection="1">
      <alignment horizontal="center"/>
      <protection hidden="1"/>
    </xf>
    <xf numFmtId="0" fontId="0" fillId="0" borderId="0" xfId="0" applyAlignment="1" applyProtection="1">
      <alignment wrapText="1"/>
      <protection hidden="1"/>
    </xf>
    <xf numFmtId="0" fontId="0" fillId="10" borderId="0" xfId="0" applyFill="1" applyAlignment="1" applyProtection="1">
      <alignment horizontal="center"/>
      <protection hidden="1"/>
    </xf>
    <xf numFmtId="0" fontId="0" fillId="0" borderId="0" xfId="0" applyAlignment="1" applyProtection="1">
      <alignment horizontal="left"/>
      <protection hidden="1"/>
    </xf>
    <xf numFmtId="0" fontId="26" fillId="0" borderId="0" xfId="0" applyFont="1" applyAlignment="1" applyProtection="1">
      <alignment horizontal="left" vertical="top" wrapText="1"/>
      <protection hidden="1"/>
    </xf>
    <xf numFmtId="0" fontId="0" fillId="17" borderId="3" xfId="0" applyFill="1" applyBorder="1"/>
    <xf numFmtId="0" fontId="0" fillId="14" borderId="3" xfId="0" applyFill="1" applyBorder="1"/>
    <xf numFmtId="0" fontId="44" fillId="15" borderId="1" xfId="0" applyFont="1" applyFill="1" applyBorder="1"/>
    <xf numFmtId="0" fontId="44" fillId="15" borderId="22" xfId="0" applyFont="1" applyFill="1" applyBorder="1"/>
    <xf numFmtId="166" fontId="44" fillId="15" borderId="1" xfId="58" applyNumberFormat="1" applyFont="1" applyFill="1" applyBorder="1" applyAlignment="1">
      <alignment horizontal="center"/>
    </xf>
    <xf numFmtId="44" fontId="44" fillId="15" borderId="1" xfId="0" applyNumberFormat="1" applyFont="1" applyFill="1" applyBorder="1"/>
    <xf numFmtId="166" fontId="44" fillId="15" borderId="1" xfId="58" applyNumberFormat="1" applyFont="1" applyFill="1" applyBorder="1"/>
    <xf numFmtId="0" fontId="60" fillId="11" borderId="1" xfId="0" applyFont="1" applyFill="1" applyBorder="1"/>
    <xf numFmtId="0" fontId="60" fillId="11" borderId="22" xfId="0" applyFont="1" applyFill="1" applyBorder="1"/>
    <xf numFmtId="166" fontId="60" fillId="11" borderId="1" xfId="58" applyNumberFormat="1" applyFont="1" applyFill="1" applyBorder="1"/>
    <xf numFmtId="170" fontId="60" fillId="0" borderId="22" xfId="0" applyNumberFormat="1" applyFont="1" applyBorder="1"/>
    <xf numFmtId="170" fontId="60" fillId="0" borderId="55" xfId="0" applyNumberFormat="1" applyFont="1" applyBorder="1"/>
    <xf numFmtId="0" fontId="46" fillId="8" borderId="30" xfId="0" applyFont="1" applyFill="1" applyBorder="1" applyProtection="1">
      <protection hidden="1"/>
    </xf>
    <xf numFmtId="2" fontId="0" fillId="0" borderId="0" xfId="0" applyNumberFormat="1" applyProtection="1">
      <protection hidden="1"/>
    </xf>
    <xf numFmtId="0" fontId="54" fillId="0" borderId="0" xfId="0" applyFont="1" applyAlignment="1" applyProtection="1">
      <alignment horizontal="left"/>
      <protection hidden="1"/>
    </xf>
    <xf numFmtId="0" fontId="0" fillId="0" borderId="7" xfId="0" applyBorder="1" applyProtection="1">
      <protection hidden="1"/>
    </xf>
    <xf numFmtId="0" fontId="0" fillId="0" borderId="8" xfId="0" applyBorder="1" applyProtection="1">
      <protection hidden="1"/>
    </xf>
    <xf numFmtId="0" fontId="0" fillId="6" borderId="1" xfId="0" applyFill="1" applyBorder="1" applyAlignment="1" applyProtection="1">
      <alignment wrapText="1"/>
      <protection locked="0" hidden="1"/>
    </xf>
    <xf numFmtId="172" fontId="49" fillId="2" borderId="49" xfId="3" applyNumberFormat="1" applyFont="1" applyBorder="1" applyProtection="1">
      <protection locked="0"/>
    </xf>
    <xf numFmtId="2" fontId="0" fillId="0" borderId="13" xfId="0" applyNumberFormat="1" applyBorder="1"/>
    <xf numFmtId="0" fontId="46" fillId="3" borderId="1" xfId="0" applyFont="1" applyFill="1" applyBorder="1" applyAlignment="1">
      <alignment wrapText="1"/>
    </xf>
    <xf numFmtId="0" fontId="49" fillId="10" borderId="1" xfId="3" applyFont="1" applyFill="1" applyBorder="1" applyProtection="1">
      <protection locked="0"/>
    </xf>
    <xf numFmtId="9" fontId="0" fillId="0" borderId="13" xfId="0" applyNumberFormat="1" applyBorder="1"/>
    <xf numFmtId="170" fontId="0" fillId="0" borderId="0" xfId="0" applyNumberFormat="1" applyAlignment="1">
      <alignment horizontal="left"/>
    </xf>
    <xf numFmtId="180" fontId="43" fillId="0" borderId="0" xfId="4" applyNumberFormat="1"/>
    <xf numFmtId="169" fontId="0" fillId="6" borderId="1" xfId="0" applyNumberFormat="1" applyFill="1" applyBorder="1" applyProtection="1">
      <protection locked="0"/>
    </xf>
    <xf numFmtId="0" fontId="60" fillId="28" borderId="22" xfId="0" applyFont="1" applyFill="1" applyBorder="1"/>
    <xf numFmtId="44" fontId="60" fillId="28" borderId="1" xfId="0" applyNumberFormat="1" applyFont="1" applyFill="1" applyBorder="1"/>
    <xf numFmtId="0" fontId="49" fillId="2" borderId="1" xfId="3" applyFont="1" applyBorder="1" applyProtection="1">
      <protection locked="0"/>
    </xf>
    <xf numFmtId="44" fontId="60" fillId="11" borderId="1" xfId="0" applyNumberFormat="1" applyFont="1" applyFill="1" applyBorder="1"/>
    <xf numFmtId="0" fontId="0" fillId="0" borderId="34" xfId="0" applyBorder="1" applyAlignment="1" applyProtection="1">
      <alignment wrapText="1"/>
      <protection hidden="1"/>
    </xf>
    <xf numFmtId="0" fontId="60" fillId="0" borderId="0" xfId="0" applyFont="1" applyAlignment="1" applyProtection="1">
      <alignment horizontal="center" vertical="center"/>
      <protection hidden="1"/>
    </xf>
    <xf numFmtId="167" fontId="60" fillId="0" borderId="0" xfId="58" applyNumberFormat="1" applyFont="1" applyBorder="1" applyAlignment="1" applyProtection="1">
      <alignment horizontal="center" vertical="center"/>
      <protection hidden="1"/>
    </xf>
    <xf numFmtId="167" fontId="60" fillId="0" borderId="34" xfId="58" applyNumberFormat="1" applyFont="1" applyBorder="1" applyAlignment="1" applyProtection="1">
      <alignment horizontal="center" vertical="center"/>
      <protection hidden="1"/>
    </xf>
    <xf numFmtId="166" fontId="60" fillId="0" borderId="1" xfId="58" applyNumberFormat="1" applyFont="1" applyBorder="1" applyAlignment="1" applyProtection="1">
      <alignment horizontal="center" vertical="center"/>
      <protection hidden="1"/>
    </xf>
    <xf numFmtId="0" fontId="60" fillId="0" borderId="19" xfId="0" applyFont="1" applyBorder="1" applyAlignment="1" applyProtection="1">
      <alignment horizontal="center" vertical="center"/>
      <protection hidden="1"/>
    </xf>
    <xf numFmtId="167" fontId="60" fillId="0" borderId="21" xfId="58" applyNumberFormat="1" applyFont="1" applyBorder="1" applyAlignment="1" applyProtection="1">
      <alignment horizontal="center" vertical="center"/>
      <protection hidden="1"/>
    </xf>
    <xf numFmtId="167" fontId="60" fillId="0" borderId="18" xfId="58" applyNumberFormat="1" applyFont="1" applyBorder="1" applyAlignment="1" applyProtection="1">
      <alignment horizontal="center" vertical="center"/>
      <protection hidden="1"/>
    </xf>
    <xf numFmtId="167" fontId="60" fillId="0" borderId="1" xfId="58" applyNumberFormat="1" applyFont="1" applyBorder="1" applyAlignment="1" applyProtection="1">
      <alignment horizontal="center" vertical="center"/>
      <protection hidden="1"/>
    </xf>
    <xf numFmtId="167" fontId="60" fillId="0" borderId="17" xfId="58" applyNumberFormat="1" applyFont="1" applyBorder="1" applyAlignment="1" applyProtection="1">
      <alignment horizontal="center" vertical="center"/>
      <protection hidden="1"/>
    </xf>
    <xf numFmtId="167" fontId="60" fillId="0" borderId="19" xfId="58" applyNumberFormat="1" applyFont="1" applyBorder="1" applyAlignment="1" applyProtection="1">
      <alignment horizontal="center" vertical="center"/>
      <protection hidden="1"/>
    </xf>
    <xf numFmtId="0" fontId="85" fillId="0" borderId="44" xfId="0" applyFont="1" applyBorder="1" applyAlignment="1" applyProtection="1">
      <alignment vertical="center"/>
      <protection hidden="1"/>
    </xf>
    <xf numFmtId="0" fontId="59" fillId="3" borderId="1" xfId="0" applyFont="1" applyFill="1" applyBorder="1" applyAlignment="1" applyProtection="1">
      <alignment vertical="center" wrapText="1"/>
      <protection hidden="1"/>
    </xf>
    <xf numFmtId="0" fontId="59" fillId="3" borderId="17" xfId="0" applyFont="1" applyFill="1" applyBorder="1" applyAlignment="1" applyProtection="1">
      <alignment vertical="center" wrapText="1"/>
      <protection hidden="1"/>
    </xf>
    <xf numFmtId="0" fontId="59" fillId="3" borderId="11" xfId="0" applyFont="1" applyFill="1" applyBorder="1" applyAlignment="1" applyProtection="1">
      <alignment vertical="center" wrapText="1"/>
      <protection hidden="1"/>
    </xf>
    <xf numFmtId="0" fontId="59" fillId="3" borderId="13" xfId="0" applyFont="1" applyFill="1" applyBorder="1" applyAlignment="1" applyProtection="1">
      <alignment vertical="center" wrapText="1"/>
      <protection hidden="1"/>
    </xf>
    <xf numFmtId="0" fontId="59" fillId="3" borderId="26" xfId="0" applyFont="1" applyFill="1" applyBorder="1" applyAlignment="1" applyProtection="1">
      <alignment vertical="center" wrapText="1"/>
      <protection hidden="1"/>
    </xf>
    <xf numFmtId="0" fontId="59" fillId="3" borderId="27" xfId="0" applyFont="1" applyFill="1" applyBorder="1" applyAlignment="1" applyProtection="1">
      <alignment vertical="center" wrapText="1"/>
      <protection hidden="1"/>
    </xf>
    <xf numFmtId="0" fontId="60" fillId="0" borderId="24" xfId="0" applyFont="1" applyBorder="1" applyAlignment="1" applyProtection="1">
      <alignment horizontal="center" vertical="center"/>
      <protection hidden="1"/>
    </xf>
    <xf numFmtId="49" fontId="109" fillId="10" borderId="0" xfId="0" applyNumberFormat="1" applyFont="1" applyFill="1" applyAlignment="1" applyProtection="1">
      <alignment vertical="center"/>
      <protection hidden="1"/>
    </xf>
    <xf numFmtId="0" fontId="60" fillId="10" borderId="0" xfId="0" applyFont="1" applyFill="1" applyAlignment="1" applyProtection="1">
      <alignment horizontal="center" vertical="center"/>
      <protection hidden="1"/>
    </xf>
    <xf numFmtId="167" fontId="60" fillId="10" borderId="0" xfId="58" applyNumberFormat="1" applyFont="1" applyFill="1" applyBorder="1" applyAlignment="1" applyProtection="1">
      <alignment horizontal="center" vertical="center"/>
      <protection hidden="1"/>
    </xf>
    <xf numFmtId="166" fontId="60" fillId="10" borderId="0" xfId="58" applyNumberFormat="1" applyFont="1" applyFill="1" applyBorder="1" applyAlignment="1" applyProtection="1">
      <alignment horizontal="center" vertical="center"/>
      <protection hidden="1"/>
    </xf>
    <xf numFmtId="0" fontId="59" fillId="10" borderId="0" xfId="0" applyFont="1" applyFill="1" applyAlignment="1" applyProtection="1">
      <alignment horizontal="center" vertical="center" wrapText="1"/>
      <protection hidden="1"/>
    </xf>
    <xf numFmtId="0" fontId="0" fillId="6" borderId="22" xfId="0" applyFill="1" applyBorder="1" applyAlignment="1" applyProtection="1">
      <alignment horizontal="center" wrapText="1"/>
      <protection locked="0"/>
    </xf>
    <xf numFmtId="0" fontId="0" fillId="0" borderId="62" xfId="0" applyBorder="1" applyAlignment="1" applyProtection="1">
      <alignment horizontal="center"/>
      <protection hidden="1"/>
    </xf>
    <xf numFmtId="0" fontId="0" fillId="0" borderId="18" xfId="0" applyBorder="1" applyAlignment="1" applyProtection="1">
      <alignment horizontal="center"/>
      <protection hidden="1"/>
    </xf>
    <xf numFmtId="6" fontId="0" fillId="0" borderId="0" xfId="0" applyNumberFormat="1" applyProtection="1">
      <protection hidden="1"/>
    </xf>
    <xf numFmtId="0" fontId="89" fillId="0" borderId="0" xfId="110" applyFont="1" applyAlignment="1" applyProtection="1">
      <alignment vertical="center" wrapText="1"/>
      <protection hidden="1"/>
    </xf>
    <xf numFmtId="49" fontId="0" fillId="0" borderId="1" xfId="0" applyNumberFormat="1" applyBorder="1"/>
    <xf numFmtId="49" fontId="109" fillId="10" borderId="0" xfId="0" applyNumberFormat="1" applyFont="1" applyFill="1" applyAlignment="1" applyProtection="1">
      <alignment horizontal="center" vertical="center"/>
      <protection hidden="1"/>
    </xf>
    <xf numFmtId="170" fontId="0" fillId="6" borderId="3" xfId="0" applyNumberFormat="1" applyFill="1" applyBorder="1" applyAlignment="1" applyProtection="1">
      <alignment horizontal="center"/>
      <protection locked="0"/>
    </xf>
    <xf numFmtId="169" fontId="0" fillId="6" borderId="3" xfId="4" applyNumberFormat="1" applyFont="1" applyFill="1" applyBorder="1" applyAlignment="1" applyProtection="1">
      <alignment horizontal="center"/>
      <protection locked="0"/>
    </xf>
    <xf numFmtId="0" fontId="112" fillId="0" borderId="44" xfId="0" applyFont="1" applyBorder="1" applyAlignment="1" applyProtection="1">
      <alignment horizontal="left"/>
      <protection hidden="1"/>
    </xf>
    <xf numFmtId="0" fontId="44" fillId="0" borderId="0" xfId="0" applyFont="1" applyAlignment="1" applyProtection="1">
      <alignment horizontal="center"/>
      <protection locked="0"/>
    </xf>
    <xf numFmtId="0" fontId="112" fillId="0" borderId="0" xfId="0" applyFont="1" applyAlignment="1" applyProtection="1">
      <alignment horizontal="left"/>
      <protection hidden="1"/>
    </xf>
    <xf numFmtId="0" fontId="114" fillId="0" borderId="44" xfId="0" applyFont="1" applyBorder="1" applyAlignment="1" applyProtection="1">
      <alignment horizontal="left"/>
      <protection hidden="1"/>
    </xf>
    <xf numFmtId="0" fontId="13" fillId="0" borderId="0" xfId="0" applyFont="1" applyAlignment="1" applyProtection="1">
      <alignment horizontal="left" vertical="center"/>
      <protection hidden="1"/>
    </xf>
    <xf numFmtId="0" fontId="60" fillId="6" borderId="3" xfId="0" applyFont="1" applyFill="1" applyBorder="1" applyAlignment="1" applyProtection="1">
      <alignment horizontal="center"/>
      <protection locked="0"/>
    </xf>
    <xf numFmtId="0" fontId="115" fillId="0" borderId="44" xfId="0" applyFont="1" applyBorder="1" applyAlignment="1" applyProtection="1">
      <alignment horizontal="left"/>
      <protection hidden="1"/>
    </xf>
    <xf numFmtId="0" fontId="108" fillId="0" borderId="0" xfId="0" applyFont="1" applyAlignment="1" applyProtection="1">
      <alignment vertical="center"/>
      <protection hidden="1"/>
    </xf>
    <xf numFmtId="0" fontId="116" fillId="0" borderId="0" xfId="0" applyFont="1" applyAlignment="1" applyProtection="1">
      <alignment vertical="center"/>
      <protection hidden="1"/>
    </xf>
    <xf numFmtId="168" fontId="0" fillId="6" borderId="3" xfId="4" applyNumberFormat="1" applyFont="1" applyFill="1" applyBorder="1" applyProtection="1">
      <protection locked="0"/>
    </xf>
    <xf numFmtId="168" fontId="0" fillId="6" borderId="3" xfId="4" applyNumberFormat="1" applyFont="1" applyFill="1" applyBorder="1" applyAlignment="1" applyProtection="1">
      <protection locked="0"/>
    </xf>
    <xf numFmtId="0" fontId="117" fillId="0" borderId="44" xfId="0" applyFont="1" applyBorder="1" applyAlignment="1" applyProtection="1">
      <alignment horizontal="left"/>
      <protection hidden="1"/>
    </xf>
    <xf numFmtId="0" fontId="108" fillId="0" borderId="3" xfId="0" applyFont="1" applyBorder="1" applyAlignment="1" applyProtection="1">
      <alignment vertical="center"/>
      <protection hidden="1"/>
    </xf>
    <xf numFmtId="0" fontId="13" fillId="0" borderId="3" xfId="0" applyFont="1" applyBorder="1" applyAlignment="1" applyProtection="1">
      <alignment horizontal="left" vertical="center" indent="1"/>
      <protection hidden="1"/>
    </xf>
    <xf numFmtId="0" fontId="43" fillId="0" borderId="0" xfId="126" applyNumberFormat="1" applyProtection="1">
      <protection hidden="1"/>
    </xf>
    <xf numFmtId="0" fontId="52" fillId="0" borderId="0" xfId="126" applyNumberFormat="1" applyFont="1" applyProtection="1">
      <protection hidden="1"/>
    </xf>
    <xf numFmtId="0" fontId="122" fillId="0" borderId="0" xfId="126" applyNumberFormat="1" applyFont="1" applyProtection="1">
      <protection hidden="1"/>
    </xf>
    <xf numFmtId="0" fontId="122" fillId="0" borderId="0" xfId="126" applyNumberFormat="1" applyFont="1" applyAlignment="1" applyProtection="1">
      <alignment horizontal="left"/>
      <protection hidden="1"/>
    </xf>
    <xf numFmtId="0" fontId="123" fillId="0" borderId="3" xfId="126" applyNumberFormat="1" applyFont="1" applyBorder="1" applyProtection="1">
      <protection hidden="1"/>
    </xf>
    <xf numFmtId="0" fontId="52" fillId="0" borderId="3" xfId="126" applyNumberFormat="1" applyFont="1" applyBorder="1" applyProtection="1">
      <protection hidden="1"/>
    </xf>
    <xf numFmtId="0" fontId="124" fillId="0" borderId="0" xfId="126" applyNumberFormat="1" applyFont="1" applyProtection="1">
      <protection hidden="1"/>
    </xf>
    <xf numFmtId="0" fontId="125" fillId="0" borderId="0" xfId="126" applyNumberFormat="1" applyFont="1" applyAlignment="1" applyProtection="1">
      <alignment horizontal="center" vertical="center"/>
      <protection hidden="1"/>
    </xf>
    <xf numFmtId="0" fontId="2" fillId="6" borderId="6" xfId="126" applyNumberFormat="1" applyFont="1" applyFill="1" applyBorder="1" applyProtection="1">
      <protection locked="0"/>
    </xf>
    <xf numFmtId="0" fontId="2" fillId="0" borderId="0" xfId="126" applyNumberFormat="1" applyFont="1" applyProtection="1">
      <protection hidden="1"/>
    </xf>
    <xf numFmtId="0" fontId="5" fillId="6" borderId="4" xfId="126" applyNumberFormat="1" applyFont="1" applyFill="1" applyBorder="1" applyAlignment="1" applyProtection="1">
      <alignment vertical="center"/>
      <protection hidden="1"/>
    </xf>
    <xf numFmtId="0" fontId="2" fillId="0" borderId="9" xfId="126" applyNumberFormat="1" applyFont="1" applyBorder="1" applyProtection="1">
      <protection hidden="1"/>
    </xf>
    <xf numFmtId="0" fontId="5" fillId="0" borderId="0" xfId="126" applyNumberFormat="1" applyFont="1" applyAlignment="1" applyProtection="1">
      <alignment horizontal="center" vertical="center"/>
      <protection hidden="1"/>
    </xf>
    <xf numFmtId="0" fontId="2" fillId="0" borderId="5" xfId="126" applyNumberFormat="1" applyFont="1" applyBorder="1" applyProtection="1">
      <protection hidden="1"/>
    </xf>
    <xf numFmtId="0" fontId="2" fillId="0" borderId="0" xfId="126" applyNumberFormat="1" applyFont="1" applyAlignment="1" applyProtection="1">
      <alignment horizontal="right"/>
      <protection hidden="1"/>
    </xf>
    <xf numFmtId="0" fontId="2" fillId="0" borderId="0" xfId="126" applyNumberFormat="1" applyFont="1" applyAlignment="1" applyProtection="1">
      <alignment horizontal="left"/>
      <protection hidden="1"/>
    </xf>
    <xf numFmtId="0" fontId="2" fillId="0" borderId="0" xfId="126" applyNumberFormat="1" applyFont="1" applyAlignment="1" applyProtection="1">
      <alignment horizontal="center"/>
      <protection hidden="1"/>
    </xf>
    <xf numFmtId="0" fontId="2" fillId="0" borderId="5" xfId="126" applyNumberFormat="1" applyFont="1" applyBorder="1" applyAlignment="1" applyProtection="1">
      <alignment horizontal="right"/>
      <protection hidden="1"/>
    </xf>
    <xf numFmtId="0" fontId="2" fillId="0" borderId="3" xfId="126" applyNumberFormat="1" applyFont="1" applyBorder="1" applyAlignment="1" applyProtection="1">
      <alignment horizontal="left"/>
      <protection hidden="1"/>
    </xf>
    <xf numFmtId="0" fontId="2" fillId="6" borderId="6" xfId="126" applyNumberFormat="1" applyFont="1" applyFill="1" applyBorder="1" applyAlignment="1" applyProtection="1">
      <alignment horizontal="center"/>
      <protection locked="0"/>
    </xf>
    <xf numFmtId="0" fontId="2" fillId="6" borderId="22" xfId="126" applyNumberFormat="1" applyFont="1" applyFill="1" applyBorder="1" applyAlignment="1" applyProtection="1">
      <alignment horizontal="center"/>
      <protection locked="0"/>
    </xf>
    <xf numFmtId="0" fontId="2" fillId="0" borderId="2" xfId="126" applyNumberFormat="1" applyFont="1" applyBorder="1" applyAlignment="1" applyProtection="1">
      <alignment horizontal="left"/>
      <protection hidden="1"/>
    </xf>
    <xf numFmtId="0" fontId="15" fillId="0" borderId="0" xfId="126" applyNumberFormat="1" applyFont="1" applyProtection="1">
      <protection hidden="1"/>
    </xf>
    <xf numFmtId="0" fontId="2" fillId="0" borderId="14" xfId="126" applyNumberFormat="1" applyFont="1" applyBorder="1" applyProtection="1">
      <protection hidden="1"/>
    </xf>
    <xf numFmtId="0" fontId="2" fillId="0" borderId="2" xfId="126" applyNumberFormat="1" applyFont="1" applyBorder="1" applyAlignment="1" applyProtection="1">
      <alignment horizontal="right"/>
      <protection hidden="1"/>
    </xf>
    <xf numFmtId="0" fontId="124" fillId="0" borderId="2" xfId="126" applyNumberFormat="1" applyFont="1" applyBorder="1" applyProtection="1">
      <protection hidden="1"/>
    </xf>
    <xf numFmtId="0" fontId="2" fillId="0" borderId="2" xfId="126" applyNumberFormat="1" applyFont="1" applyBorder="1" applyProtection="1">
      <protection hidden="1"/>
    </xf>
    <xf numFmtId="0" fontId="2" fillId="0" borderId="4" xfId="126" applyNumberFormat="1" applyFont="1" applyBorder="1" applyProtection="1">
      <protection hidden="1"/>
    </xf>
    <xf numFmtId="0" fontId="5" fillId="6" borderId="5" xfId="126" applyNumberFormat="1" applyFont="1" applyFill="1" applyBorder="1" applyAlignment="1" applyProtection="1">
      <alignment horizontal="left"/>
      <protection hidden="1"/>
    </xf>
    <xf numFmtId="0" fontId="2" fillId="0" borderId="10" xfId="126" applyNumberFormat="1" applyFont="1" applyBorder="1" applyProtection="1">
      <protection hidden="1"/>
    </xf>
    <xf numFmtId="0" fontId="2" fillId="0" borderId="3" xfId="126" applyNumberFormat="1" applyFont="1" applyBorder="1" applyAlignment="1" applyProtection="1">
      <alignment horizontal="center"/>
      <protection hidden="1"/>
    </xf>
    <xf numFmtId="0" fontId="124" fillId="0" borderId="3" xfId="126" applyNumberFormat="1" applyFont="1" applyBorder="1" applyProtection="1">
      <protection hidden="1"/>
    </xf>
    <xf numFmtId="0" fontId="2" fillId="0" borderId="3" xfId="126" applyNumberFormat="1" applyFont="1" applyBorder="1" applyProtection="1">
      <protection hidden="1"/>
    </xf>
    <xf numFmtId="0" fontId="2" fillId="0" borderId="6" xfId="126" applyNumberFormat="1" applyFont="1" applyBorder="1" applyProtection="1">
      <protection hidden="1"/>
    </xf>
    <xf numFmtId="0" fontId="2" fillId="6" borderId="30" xfId="126" applyNumberFormat="1" applyFont="1" applyFill="1" applyBorder="1" applyAlignment="1" applyProtection="1">
      <alignment horizontal="center"/>
      <protection locked="0"/>
    </xf>
    <xf numFmtId="0" fontId="2" fillId="6" borderId="3" xfId="126" applyNumberFormat="1" applyFont="1" applyFill="1" applyBorder="1" applyAlignment="1" applyProtection="1">
      <alignment horizontal="center"/>
      <protection locked="0"/>
    </xf>
    <xf numFmtId="0" fontId="15" fillId="0" borderId="14" xfId="126" applyNumberFormat="1" applyFont="1" applyBorder="1" applyProtection="1">
      <protection hidden="1"/>
    </xf>
    <xf numFmtId="0" fontId="15" fillId="0" borderId="2" xfId="126" applyNumberFormat="1" applyFont="1" applyBorder="1" applyProtection="1">
      <protection hidden="1"/>
    </xf>
    <xf numFmtId="0" fontId="15" fillId="0" borderId="4" xfId="126" applyNumberFormat="1" applyFont="1" applyBorder="1" applyProtection="1">
      <protection hidden="1"/>
    </xf>
    <xf numFmtId="0" fontId="84" fillId="0" borderId="0" xfId="126" applyNumberFormat="1" applyFont="1" applyProtection="1">
      <protection hidden="1"/>
    </xf>
    <xf numFmtId="0" fontId="5" fillId="6" borderId="6" xfId="126" applyNumberFormat="1" applyFont="1" applyFill="1" applyBorder="1" applyAlignment="1" applyProtection="1">
      <alignment horizontal="right"/>
      <protection locked="0"/>
    </xf>
    <xf numFmtId="0" fontId="5" fillId="0" borderId="6" xfId="126" applyNumberFormat="1" applyFont="1" applyBorder="1" applyAlignment="1" applyProtection="1">
      <alignment horizontal="right"/>
      <protection hidden="1"/>
    </xf>
    <xf numFmtId="0" fontId="2" fillId="0" borderId="9" xfId="126" applyNumberFormat="1" applyFont="1" applyBorder="1" applyAlignment="1" applyProtection="1">
      <alignment horizontal="left"/>
      <protection hidden="1"/>
    </xf>
    <xf numFmtId="0" fontId="15" fillId="0" borderId="3" xfId="126" applyNumberFormat="1" applyFont="1" applyBorder="1" applyProtection="1">
      <protection hidden="1"/>
    </xf>
    <xf numFmtId="14" fontId="2" fillId="0" borderId="0" xfId="126" applyNumberFormat="1" applyFont="1" applyAlignment="1" applyProtection="1">
      <alignment horizontal="right"/>
      <protection hidden="1"/>
    </xf>
    <xf numFmtId="14" fontId="2" fillId="0" borderId="30" xfId="126" applyNumberFormat="1" applyFont="1" applyBorder="1" applyAlignment="1" applyProtection="1">
      <alignment horizontal="left"/>
      <protection locked="0"/>
    </xf>
    <xf numFmtId="0" fontId="15" fillId="0" borderId="0" xfId="126" applyNumberFormat="1" applyFont="1" applyAlignment="1" applyProtection="1">
      <alignment horizontal="right"/>
      <protection hidden="1"/>
    </xf>
    <xf numFmtId="0" fontId="52" fillId="0" borderId="0" xfId="126" applyNumberFormat="1" applyFont="1" applyAlignment="1" applyProtection="1">
      <alignment horizontal="center"/>
      <protection hidden="1"/>
    </xf>
    <xf numFmtId="0" fontId="52" fillId="0" borderId="3" xfId="126" applyNumberFormat="1" applyFont="1" applyBorder="1" applyAlignment="1" applyProtection="1">
      <alignment horizontal="left"/>
      <protection locked="0"/>
    </xf>
    <xf numFmtId="0" fontId="61" fillId="0" borderId="0" xfId="126" applyNumberFormat="1" applyFont="1" applyAlignment="1" applyProtection="1">
      <alignment horizontal="right"/>
      <protection hidden="1"/>
    </xf>
    <xf numFmtId="0" fontId="60" fillId="0" borderId="0" xfId="126" applyNumberFormat="1" applyFont="1" applyProtection="1">
      <protection hidden="1"/>
    </xf>
    <xf numFmtId="0" fontId="51" fillId="0" borderId="0" xfId="126" applyNumberFormat="1" applyFont="1" applyProtection="1">
      <protection hidden="1"/>
    </xf>
    <xf numFmtId="0" fontId="9" fillId="0" borderId="0" xfId="126" applyNumberFormat="1" applyFont="1" applyAlignment="1" applyProtection="1">
      <alignment horizontal="right"/>
      <protection hidden="1"/>
    </xf>
    <xf numFmtId="0" fontId="43" fillId="0" borderId="3" xfId="126" applyNumberFormat="1" applyBorder="1" applyProtection="1">
      <protection hidden="1"/>
    </xf>
    <xf numFmtId="0" fontId="14" fillId="0" borderId="3" xfId="126" applyNumberFormat="1" applyFont="1" applyBorder="1" applyAlignment="1" applyProtection="1">
      <alignment vertical="center"/>
      <protection hidden="1"/>
    </xf>
    <xf numFmtId="0" fontId="13" fillId="0" borderId="3" xfId="126" applyNumberFormat="1" applyFont="1" applyBorder="1" applyAlignment="1" applyProtection="1">
      <alignment horizontal="left" vertical="center" indent="1"/>
      <protection hidden="1"/>
    </xf>
    <xf numFmtId="0" fontId="18" fillId="0" borderId="0" xfId="126" applyNumberFormat="1" applyFont="1" applyAlignment="1" applyProtection="1">
      <alignment vertical="center"/>
      <protection hidden="1"/>
    </xf>
    <xf numFmtId="0" fontId="16" fillId="0" borderId="0" xfId="126" applyNumberFormat="1" applyFont="1" applyAlignment="1" applyProtection="1">
      <alignment vertical="center"/>
      <protection hidden="1"/>
    </xf>
    <xf numFmtId="0" fontId="79" fillId="0" borderId="0" xfId="0" quotePrefix="1" applyFont="1"/>
    <xf numFmtId="0" fontId="46" fillId="3" borderId="0" xfId="0" applyFont="1" applyFill="1" applyProtection="1">
      <protection locked="0"/>
    </xf>
    <xf numFmtId="0" fontId="44" fillId="3" borderId="11" xfId="0" applyFont="1" applyFill="1" applyBorder="1"/>
    <xf numFmtId="179" fontId="29" fillId="3" borderId="1" xfId="0" applyNumberFormat="1" applyFont="1" applyFill="1" applyBorder="1" applyAlignment="1">
      <alignment horizontal="center" vertical="center"/>
    </xf>
    <xf numFmtId="0" fontId="44" fillId="3" borderId="1" xfId="0" applyFont="1" applyFill="1" applyBorder="1"/>
    <xf numFmtId="166" fontId="60" fillId="0" borderId="17" xfId="58" applyNumberFormat="1" applyFont="1" applyBorder="1" applyAlignment="1" applyProtection="1">
      <alignment horizontal="center" vertical="center"/>
      <protection hidden="1"/>
    </xf>
    <xf numFmtId="0" fontId="60" fillId="0" borderId="23" xfId="0" applyFont="1" applyBorder="1" applyAlignment="1" applyProtection="1">
      <alignment horizontal="center" vertical="center"/>
      <protection hidden="1"/>
    </xf>
    <xf numFmtId="0" fontId="44" fillId="3" borderId="4" xfId="0" applyFont="1" applyFill="1" applyBorder="1"/>
    <xf numFmtId="0" fontId="0" fillId="3" borderId="14" xfId="0" applyFill="1" applyBorder="1"/>
    <xf numFmtId="0" fontId="44" fillId="3" borderId="22" xfId="0" applyFont="1" applyFill="1" applyBorder="1"/>
    <xf numFmtId="0" fontId="44" fillId="0" borderId="0" xfId="0" applyFont="1"/>
    <xf numFmtId="0" fontId="0" fillId="0" borderId="30" xfId="0" applyBorder="1"/>
    <xf numFmtId="0" fontId="60" fillId="0" borderId="1" xfId="0" applyFont="1" applyBorder="1" applyAlignment="1">
      <alignment horizontal="left"/>
    </xf>
    <xf numFmtId="0" fontId="43" fillId="0" borderId="0" xfId="132" applyNumberFormat="1"/>
    <xf numFmtId="0" fontId="46" fillId="3" borderId="0" xfId="132" applyNumberFormat="1" applyFont="1" applyFill="1"/>
    <xf numFmtId="0" fontId="46" fillId="3" borderId="11" xfId="0" applyFont="1" applyFill="1" applyBorder="1" applyAlignment="1">
      <alignment wrapText="1"/>
    </xf>
    <xf numFmtId="43" fontId="49" fillId="2" borderId="43" xfId="3" applyNumberFormat="1" applyFont="1" applyProtection="1">
      <protection locked="0"/>
    </xf>
    <xf numFmtId="0" fontId="43" fillId="0" borderId="11" xfId="134" applyNumberFormat="1" applyBorder="1"/>
    <xf numFmtId="0" fontId="43" fillId="0" borderId="13" xfId="134" applyNumberFormat="1" applyBorder="1"/>
    <xf numFmtId="0" fontId="44" fillId="3" borderId="0" xfId="134" applyNumberFormat="1" applyFont="1" applyFill="1"/>
    <xf numFmtId="0" fontId="44" fillId="3" borderId="11" xfId="136" applyNumberFormat="1" applyFont="1" applyFill="1" applyBorder="1"/>
    <xf numFmtId="0" fontId="43" fillId="0" borderId="12" xfId="136" applyNumberFormat="1" applyBorder="1"/>
    <xf numFmtId="0" fontId="43" fillId="0" borderId="13" xfId="136" applyNumberFormat="1" applyBorder="1"/>
    <xf numFmtId="0" fontId="44" fillId="3" borderId="11" xfId="138" applyNumberFormat="1" applyFont="1" applyFill="1" applyBorder="1"/>
    <xf numFmtId="0" fontId="43" fillId="0" borderId="12" xfId="138" applyNumberFormat="1" applyBorder="1"/>
    <xf numFmtId="0" fontId="43" fillId="0" borderId="13" xfId="138" applyNumberFormat="1" applyBorder="1"/>
    <xf numFmtId="0" fontId="46" fillId="3" borderId="1" xfId="140" applyNumberFormat="1" applyFont="1" applyFill="1" applyBorder="1"/>
    <xf numFmtId="0" fontId="43" fillId="0" borderId="11" xfId="140" applyNumberFormat="1" applyBorder="1"/>
    <xf numFmtId="0" fontId="43" fillId="0" borderId="12" xfId="140" applyNumberFormat="1" applyBorder="1"/>
    <xf numFmtId="0" fontId="43" fillId="0" borderId="13" xfId="140" applyNumberFormat="1" applyBorder="1"/>
    <xf numFmtId="0" fontId="44" fillId="3" borderId="11" xfId="141" applyNumberFormat="1" applyFont="1" applyFill="1" applyBorder="1"/>
    <xf numFmtId="0" fontId="43" fillId="0" borderId="12" xfId="141" applyNumberFormat="1" applyBorder="1"/>
    <xf numFmtId="0" fontId="43" fillId="0" borderId="13" xfId="141" applyNumberFormat="1" applyBorder="1"/>
    <xf numFmtId="179" fontId="43" fillId="0" borderId="0" xfId="142"/>
    <xf numFmtId="0" fontId="43" fillId="0" borderId="0" xfId="142" applyNumberFormat="1"/>
    <xf numFmtId="0" fontId="43" fillId="0" borderId="5" xfId="142" quotePrefix="1" applyNumberFormat="1" applyBorder="1"/>
    <xf numFmtId="0" fontId="43" fillId="0" borderId="6" xfId="142" applyNumberFormat="1" applyBorder="1"/>
    <xf numFmtId="0" fontId="43" fillId="0" borderId="10" xfId="142" applyNumberFormat="1" applyBorder="1"/>
    <xf numFmtId="0" fontId="43" fillId="0" borderId="5" xfId="142" applyNumberFormat="1" applyBorder="1"/>
    <xf numFmtId="0" fontId="43" fillId="0" borderId="9" xfId="142" applyNumberFormat="1" applyBorder="1"/>
    <xf numFmtId="0" fontId="43" fillId="0" borderId="6" xfId="133" applyNumberFormat="1" applyBorder="1"/>
    <xf numFmtId="0" fontId="43" fillId="0" borderId="10" xfId="133" applyNumberFormat="1" applyBorder="1"/>
    <xf numFmtId="0" fontId="44" fillId="3" borderId="4" xfId="133" applyNumberFormat="1" applyFont="1" applyFill="1" applyBorder="1" applyAlignment="1">
      <alignment horizontal="center"/>
    </xf>
    <xf numFmtId="0" fontId="44" fillId="3" borderId="14" xfId="133" applyNumberFormat="1" applyFont="1" applyFill="1" applyBorder="1" applyAlignment="1">
      <alignment horizontal="center"/>
    </xf>
    <xf numFmtId="0" fontId="43" fillId="0" borderId="4" xfId="133" applyNumberFormat="1" applyBorder="1"/>
    <xf numFmtId="0" fontId="43" fillId="0" borderId="14" xfId="133" applyNumberFormat="1" applyBorder="1"/>
    <xf numFmtId="0" fontId="43" fillId="0" borderId="5" xfId="133" applyNumberFormat="1" applyBorder="1"/>
    <xf numFmtId="0" fontId="43" fillId="0" borderId="9" xfId="133" applyNumberFormat="1" applyBorder="1"/>
    <xf numFmtId="0" fontId="43" fillId="0" borderId="6" xfId="143" applyNumberFormat="1" applyBorder="1"/>
    <xf numFmtId="0" fontId="43" fillId="0" borderId="10" xfId="143" applyNumberFormat="1" applyBorder="1"/>
    <xf numFmtId="0" fontId="44" fillId="3" borderId="4" xfId="143" applyNumberFormat="1" applyFont="1" applyFill="1" applyBorder="1" applyAlignment="1">
      <alignment horizontal="center"/>
    </xf>
    <xf numFmtId="0" fontId="44" fillId="3" borderId="14" xfId="143" applyNumberFormat="1" applyFont="1" applyFill="1" applyBorder="1" applyAlignment="1">
      <alignment horizontal="center"/>
    </xf>
    <xf numFmtId="0" fontId="43" fillId="0" borderId="5" xfId="143" applyNumberFormat="1" applyBorder="1"/>
    <xf numFmtId="0" fontId="43" fillId="0" borderId="9" xfId="143" applyNumberFormat="1" applyBorder="1"/>
    <xf numFmtId="0" fontId="46" fillId="3" borderId="12" xfId="0" applyFont="1" applyFill="1" applyBorder="1" applyAlignment="1">
      <alignment wrapText="1"/>
    </xf>
    <xf numFmtId="0" fontId="46" fillId="3" borderId="9" xfId="0" applyFont="1" applyFill="1" applyBorder="1" applyAlignment="1">
      <alignment horizontal="center" wrapText="1"/>
    </xf>
    <xf numFmtId="0" fontId="46" fillId="3" borderId="64" xfId="0" applyFont="1" applyFill="1" applyBorder="1" applyAlignment="1">
      <alignment horizontal="center" wrapText="1"/>
    </xf>
    <xf numFmtId="0" fontId="49" fillId="0" borderId="1" xfId="3" applyFont="1" applyFill="1" applyBorder="1" applyProtection="1">
      <protection locked="0"/>
    </xf>
    <xf numFmtId="0" fontId="49" fillId="0" borderId="1" xfId="3" applyFont="1" applyFill="1" applyBorder="1" applyAlignment="1" applyProtection="1">
      <protection locked="0"/>
    </xf>
    <xf numFmtId="0" fontId="46" fillId="3" borderId="11" xfId="0" applyFont="1" applyFill="1" applyBorder="1" applyAlignment="1">
      <alignment horizontal="center" wrapText="1"/>
    </xf>
    <xf numFmtId="2" fontId="0" fillId="0" borderId="0" xfId="115" applyNumberFormat="1" applyFont="1"/>
    <xf numFmtId="0" fontId="44" fillId="3" borderId="11" xfId="133" applyNumberFormat="1" applyFont="1" applyFill="1" applyBorder="1" applyAlignment="1">
      <alignment horizontal="center"/>
    </xf>
    <xf numFmtId="0" fontId="43" fillId="0" borderId="11" xfId="133" applyNumberFormat="1" applyBorder="1"/>
    <xf numFmtId="0" fontId="43" fillId="0" borderId="12" xfId="133" applyNumberFormat="1" applyBorder="1"/>
    <xf numFmtId="37" fontId="0" fillId="6" borderId="3" xfId="4" applyNumberFormat="1" applyFont="1" applyFill="1" applyBorder="1" applyAlignment="1" applyProtection="1">
      <protection locked="0"/>
    </xf>
    <xf numFmtId="37" fontId="0" fillId="6" borderId="3" xfId="4" applyNumberFormat="1" applyFont="1" applyFill="1" applyBorder="1" applyProtection="1">
      <protection locked="0"/>
    </xf>
    <xf numFmtId="9" fontId="0" fillId="6" borderId="3" xfId="4" applyNumberFormat="1" applyFont="1" applyFill="1" applyBorder="1" applyAlignment="1" applyProtection="1">
      <protection locked="0"/>
    </xf>
    <xf numFmtId="0" fontId="102" fillId="0" borderId="0" xfId="0" applyFont="1" applyAlignment="1" applyProtection="1">
      <alignment horizontal="left"/>
      <protection hidden="1"/>
    </xf>
    <xf numFmtId="0" fontId="71" fillId="0" borderId="0" xfId="0" applyFont="1" applyAlignment="1" applyProtection="1">
      <alignment horizontal="left" vertical="center"/>
      <protection hidden="1"/>
    </xf>
    <xf numFmtId="0" fontId="128" fillId="0" borderId="0" xfId="0" applyFont="1" applyAlignment="1" applyProtection="1">
      <alignment horizontal="left" vertical="center"/>
      <protection hidden="1"/>
    </xf>
    <xf numFmtId="0" fontId="129" fillId="0" borderId="0" xfId="0" applyFont="1" applyAlignment="1" applyProtection="1">
      <alignment vertical="center"/>
      <protection hidden="1"/>
    </xf>
    <xf numFmtId="0" fontId="130" fillId="0" borderId="0" xfId="0" applyFont="1" applyAlignment="1" applyProtection="1">
      <alignment horizontal="left" vertical="center" wrapText="1"/>
      <protection hidden="1"/>
    </xf>
    <xf numFmtId="0" fontId="130" fillId="0" borderId="3" xfId="0" applyFont="1" applyBorder="1" applyAlignment="1" applyProtection="1">
      <alignment horizontal="left" vertical="center" wrapText="1"/>
      <protection hidden="1"/>
    </xf>
    <xf numFmtId="0" fontId="130" fillId="0" borderId="0" xfId="0" applyFont="1" applyAlignment="1" applyProtection="1">
      <alignment vertical="center" wrapText="1"/>
      <protection hidden="1"/>
    </xf>
    <xf numFmtId="0" fontId="130" fillId="0" borderId="0" xfId="0" applyFont="1" applyAlignment="1" applyProtection="1">
      <alignment vertical="center"/>
      <protection hidden="1"/>
    </xf>
    <xf numFmtId="0" fontId="131" fillId="0" borderId="0" xfId="0" applyFont="1"/>
    <xf numFmtId="0" fontId="73" fillId="0" borderId="2" xfId="0" applyFont="1" applyBorder="1" applyAlignment="1" applyProtection="1">
      <alignment horizontal="right"/>
      <protection hidden="1"/>
    </xf>
    <xf numFmtId="0" fontId="73" fillId="0" borderId="2" xfId="0" applyFont="1" applyBorder="1" applyProtection="1">
      <protection hidden="1"/>
    </xf>
    <xf numFmtId="0" fontId="46" fillId="3" borderId="11" xfId="133" applyNumberFormat="1" applyFont="1" applyFill="1" applyBorder="1" applyAlignment="1">
      <alignment horizontal="center"/>
    </xf>
    <xf numFmtId="0" fontId="46" fillId="3" borderId="22" xfId="0" applyFont="1" applyFill="1" applyBorder="1" applyAlignment="1">
      <alignment horizontal="center" wrapText="1"/>
    </xf>
    <xf numFmtId="0" fontId="46" fillId="3" borderId="24" xfId="0" applyFont="1" applyFill="1" applyBorder="1" applyAlignment="1">
      <alignment horizontal="center" wrapText="1"/>
    </xf>
    <xf numFmtId="0" fontId="49" fillId="0" borderId="1" xfId="3" applyFont="1" applyFill="1" applyBorder="1" applyAlignment="1" applyProtection="1">
      <alignment horizontal="center"/>
      <protection locked="0"/>
    </xf>
    <xf numFmtId="0" fontId="0" fillId="16" borderId="1" xfId="0" applyFill="1" applyBorder="1"/>
    <xf numFmtId="0" fontId="0" fillId="0" borderId="12" xfId="133" applyNumberFormat="1" applyFont="1" applyBorder="1"/>
    <xf numFmtId="9" fontId="49" fillId="2" borderId="43" xfId="3" applyNumberFormat="1" applyFont="1" applyProtection="1">
      <protection locked="0"/>
    </xf>
    <xf numFmtId="0" fontId="46" fillId="3" borderId="6" xfId="0" applyFont="1" applyFill="1" applyBorder="1"/>
    <xf numFmtId="0" fontId="46" fillId="3" borderId="22" xfId="0" applyFont="1" applyFill="1" applyBorder="1" applyAlignment="1">
      <alignment wrapText="1"/>
    </xf>
    <xf numFmtId="0" fontId="49" fillId="2" borderId="1" xfId="3" applyFont="1" applyBorder="1" applyAlignment="1" applyProtection="1">
      <protection locked="0"/>
    </xf>
    <xf numFmtId="0" fontId="46" fillId="3" borderId="13" xfId="0" applyFont="1" applyFill="1" applyBorder="1" applyAlignment="1">
      <alignment horizontal="center" wrapText="1"/>
    </xf>
    <xf numFmtId="0" fontId="0" fillId="0" borderId="1" xfId="0" applyBorder="1" applyAlignment="1">
      <alignment horizontal="center"/>
    </xf>
    <xf numFmtId="0" fontId="0" fillId="0" borderId="22" xfId="0" applyBorder="1" applyAlignment="1">
      <alignment horizontal="center"/>
    </xf>
    <xf numFmtId="0" fontId="0" fillId="0" borderId="24" xfId="0" applyBorder="1" applyAlignment="1">
      <alignment horizontal="center"/>
    </xf>
    <xf numFmtId="9" fontId="49" fillId="2" borderId="49" xfId="3" applyNumberFormat="1" applyFont="1" applyBorder="1" applyProtection="1">
      <protection locked="0"/>
    </xf>
    <xf numFmtId="0" fontId="46" fillId="3" borderId="11" xfId="0" applyFont="1" applyFill="1" applyBorder="1" applyAlignment="1">
      <alignment horizontal="center" vertical="center" wrapText="1"/>
    </xf>
    <xf numFmtId="0" fontId="46" fillId="3" borderId="1" xfId="0" applyFont="1" applyFill="1" applyBorder="1" applyAlignment="1">
      <alignment horizontal="center" vertical="center" wrapText="1"/>
    </xf>
    <xf numFmtId="0" fontId="46" fillId="3" borderId="64" xfId="0" applyFont="1" applyFill="1" applyBorder="1" applyAlignment="1">
      <alignment horizontal="center" vertical="center" wrapText="1"/>
    </xf>
    <xf numFmtId="0" fontId="0" fillId="0" borderId="0" xfId="0" applyAlignment="1">
      <alignment horizontal="left"/>
    </xf>
    <xf numFmtId="0" fontId="49" fillId="0" borderId="22" xfId="3" applyFont="1" applyFill="1" applyBorder="1" applyAlignment="1" applyProtection="1">
      <alignment horizontal="center"/>
      <protection locked="0"/>
    </xf>
    <xf numFmtId="0" fontId="49" fillId="0" borderId="24" xfId="3" applyFont="1" applyFill="1" applyBorder="1" applyAlignment="1" applyProtection="1">
      <alignment horizontal="center"/>
      <protection locked="0"/>
    </xf>
    <xf numFmtId="175" fontId="49" fillId="0" borderId="1" xfId="3" applyNumberFormat="1" applyFont="1" applyFill="1" applyBorder="1" applyProtection="1">
      <protection locked="0"/>
    </xf>
    <xf numFmtId="170" fontId="49" fillId="0" borderId="1" xfId="3" applyNumberFormat="1" applyFont="1" applyFill="1" applyBorder="1" applyProtection="1">
      <protection locked="0"/>
    </xf>
    <xf numFmtId="0" fontId="49" fillId="29" borderId="1" xfId="3" applyFont="1" applyFill="1" applyBorder="1" applyProtection="1">
      <protection locked="0"/>
    </xf>
    <xf numFmtId="172" fontId="49" fillId="10" borderId="1" xfId="3" applyNumberFormat="1" applyFont="1" applyFill="1" applyBorder="1" applyProtection="1">
      <protection locked="0"/>
    </xf>
    <xf numFmtId="0" fontId="13" fillId="0" borderId="2" xfId="0" applyFont="1" applyBorder="1" applyAlignment="1" applyProtection="1">
      <alignment horizontal="left" vertical="center"/>
      <protection hidden="1"/>
    </xf>
    <xf numFmtId="182" fontId="0" fillId="6" borderId="3" xfId="0" applyNumberFormat="1" applyFill="1" applyBorder="1" applyAlignment="1" applyProtection="1">
      <alignment horizontal="center"/>
      <protection locked="0"/>
    </xf>
    <xf numFmtId="37" fontId="0" fillId="6" borderId="3" xfId="4" applyNumberFormat="1" applyFont="1" applyFill="1" applyBorder="1" applyAlignment="1" applyProtection="1">
      <alignment horizontal="center"/>
      <protection locked="0"/>
    </xf>
    <xf numFmtId="16" fontId="0" fillId="0" borderId="0" xfId="0" applyNumberFormat="1"/>
    <xf numFmtId="0" fontId="0" fillId="0" borderId="0" xfId="0" applyAlignment="1">
      <alignment wrapText="1"/>
    </xf>
    <xf numFmtId="3" fontId="60" fillId="6" borderId="3" xfId="0" applyNumberFormat="1" applyFont="1" applyFill="1" applyBorder="1" applyAlignment="1" applyProtection="1">
      <alignment horizontal="center"/>
      <protection locked="0"/>
    </xf>
    <xf numFmtId="1" fontId="0" fillId="0" borderId="1" xfId="0" applyNumberFormat="1" applyBorder="1"/>
    <xf numFmtId="1" fontId="0" fillId="0" borderId="22" xfId="0" applyNumberFormat="1" applyBorder="1"/>
    <xf numFmtId="1" fontId="0" fillId="0" borderId="24" xfId="0" applyNumberFormat="1" applyBorder="1"/>
    <xf numFmtId="172" fontId="0" fillId="0" borderId="22" xfId="0" applyNumberFormat="1" applyBorder="1"/>
    <xf numFmtId="0" fontId="0" fillId="30" borderId="1" xfId="0" applyFill="1" applyBorder="1"/>
    <xf numFmtId="2" fontId="49" fillId="10" borderId="1" xfId="3" applyNumberFormat="1" applyFont="1" applyFill="1" applyBorder="1" applyProtection="1">
      <protection locked="0"/>
    </xf>
    <xf numFmtId="0" fontId="46" fillId="3" borderId="9" xfId="0" applyFont="1" applyFill="1" applyBorder="1" applyAlignment="1">
      <alignment horizontal="center" vertical="center" wrapText="1"/>
    </xf>
    <xf numFmtId="0" fontId="46" fillId="3" borderId="12" xfId="0" applyFont="1" applyFill="1" applyBorder="1" applyAlignment="1">
      <alignment horizontal="center" vertical="center" wrapText="1"/>
    </xf>
    <xf numFmtId="0" fontId="0" fillId="10" borderId="0" xfId="0" applyFill="1"/>
    <xf numFmtId="0" fontId="49" fillId="6" borderId="1" xfId="3" applyFont="1" applyFill="1" applyBorder="1" applyAlignment="1" applyProtection="1">
      <protection locked="0"/>
    </xf>
    <xf numFmtId="3" fontId="49" fillId="6" borderId="1" xfId="3" applyNumberFormat="1" applyFont="1" applyFill="1" applyBorder="1" applyAlignment="1" applyProtection="1">
      <protection locked="0"/>
    </xf>
    <xf numFmtId="3" fontId="49" fillId="10" borderId="1" xfId="3" applyNumberFormat="1" applyFont="1" applyFill="1" applyBorder="1" applyAlignment="1" applyProtection="1">
      <protection locked="0"/>
    </xf>
    <xf numFmtId="0" fontId="49" fillId="10" borderId="1" xfId="3" applyFont="1" applyFill="1" applyBorder="1" applyAlignment="1" applyProtection="1">
      <protection locked="0"/>
    </xf>
    <xf numFmtId="0" fontId="0" fillId="11" borderId="1" xfId="0" applyFill="1" applyBorder="1"/>
    <xf numFmtId="0" fontId="49" fillId="0" borderId="0" xfId="3" applyFont="1" applyFill="1" applyBorder="1" applyProtection="1">
      <protection locked="0"/>
    </xf>
    <xf numFmtId="0" fontId="46" fillId="0" borderId="0" xfId="0" applyFont="1" applyAlignment="1">
      <alignment horizontal="center" wrapText="1"/>
    </xf>
    <xf numFmtId="0" fontId="66" fillId="0" borderId="0" xfId="0" applyFont="1" applyProtection="1">
      <protection hidden="1"/>
    </xf>
    <xf numFmtId="0" fontId="49" fillId="6" borderId="1" xfId="3" applyFont="1" applyFill="1" applyBorder="1" applyProtection="1">
      <protection locked="0"/>
    </xf>
    <xf numFmtId="0" fontId="44" fillId="3" borderId="14" xfId="0" applyFont="1" applyFill="1" applyBorder="1"/>
    <xf numFmtId="6" fontId="0" fillId="0" borderId="14" xfId="0" applyNumberFormat="1" applyBorder="1"/>
    <xf numFmtId="6" fontId="0" fillId="0" borderId="9" xfId="0" applyNumberFormat="1" applyBorder="1"/>
    <xf numFmtId="6" fontId="0" fillId="0" borderId="10" xfId="0" applyNumberFormat="1" applyBorder="1"/>
    <xf numFmtId="167" fontId="0" fillId="0" borderId="0" xfId="0" applyNumberFormat="1"/>
    <xf numFmtId="0" fontId="0" fillId="10" borderId="0" xfId="0" applyFill="1" applyAlignment="1" applyProtection="1">
      <alignment horizontal="left"/>
      <protection hidden="1"/>
    </xf>
    <xf numFmtId="0" fontId="59" fillId="3" borderId="28" xfId="0" applyFont="1" applyFill="1" applyBorder="1" applyAlignment="1" applyProtection="1">
      <alignment horizontal="center" vertical="center" wrapText="1"/>
      <protection hidden="1"/>
    </xf>
    <xf numFmtId="0" fontId="59" fillId="3" borderId="11" xfId="0" applyFont="1" applyFill="1" applyBorder="1" applyAlignment="1" applyProtection="1">
      <alignment horizontal="center" vertical="center" wrapText="1"/>
      <protection hidden="1"/>
    </xf>
    <xf numFmtId="0" fontId="59" fillId="3" borderId="26" xfId="0" applyFont="1" applyFill="1" applyBorder="1" applyAlignment="1" applyProtection="1">
      <alignment horizontal="center" vertical="center" wrapText="1"/>
      <protection hidden="1"/>
    </xf>
    <xf numFmtId="0" fontId="60" fillId="0" borderId="21" xfId="0" applyFont="1" applyBorder="1" applyAlignment="1" applyProtection="1">
      <alignment horizontal="center" vertical="center"/>
      <protection hidden="1"/>
    </xf>
    <xf numFmtId="166" fontId="60" fillId="0" borderId="21" xfId="58" applyNumberFormat="1" applyFont="1" applyBorder="1" applyAlignment="1" applyProtection="1">
      <alignment horizontal="center" vertical="center"/>
      <protection hidden="1"/>
    </xf>
    <xf numFmtId="166" fontId="60" fillId="0" borderId="19" xfId="58" applyNumberFormat="1" applyFont="1" applyBorder="1" applyAlignment="1" applyProtection="1">
      <alignment horizontal="center" vertical="center"/>
      <protection hidden="1"/>
    </xf>
    <xf numFmtId="0" fontId="59" fillId="10" borderId="0" xfId="0" applyFont="1" applyFill="1" applyAlignment="1" applyProtection="1">
      <alignment vertical="center" wrapText="1"/>
      <protection hidden="1"/>
    </xf>
    <xf numFmtId="49" fontId="109" fillId="0" borderId="7" xfId="0" applyNumberFormat="1" applyFont="1" applyBorder="1" applyAlignment="1" applyProtection="1">
      <alignment vertical="center"/>
      <protection hidden="1"/>
    </xf>
    <xf numFmtId="49" fontId="109" fillId="0" borderId="0" xfId="0" applyNumberFormat="1" applyFont="1" applyAlignment="1" applyProtection="1">
      <alignment vertical="center"/>
      <protection hidden="1"/>
    </xf>
    <xf numFmtId="49" fontId="109" fillId="0" borderId="8" xfId="0" applyNumberFormat="1" applyFont="1" applyBorder="1" applyAlignment="1" applyProtection="1">
      <alignment vertical="center"/>
      <protection hidden="1"/>
    </xf>
    <xf numFmtId="0" fontId="59" fillId="0" borderId="0" xfId="0" applyFont="1" applyAlignment="1" applyProtection="1">
      <alignment horizontal="center" vertical="center" wrapText="1"/>
      <protection hidden="1"/>
    </xf>
    <xf numFmtId="166" fontId="60" fillId="0" borderId="0" xfId="58" applyNumberFormat="1" applyFont="1" applyFill="1" applyBorder="1" applyAlignment="1" applyProtection="1">
      <alignment horizontal="center" vertical="center"/>
      <protection hidden="1"/>
    </xf>
    <xf numFmtId="0" fontId="44" fillId="3" borderId="2" xfId="0" applyFont="1" applyFill="1" applyBorder="1"/>
    <xf numFmtId="6" fontId="0" fillId="0" borderId="2" xfId="0" applyNumberFormat="1" applyBorder="1"/>
    <xf numFmtId="6" fontId="0" fillId="0" borderId="0" xfId="0" applyNumberFormat="1"/>
    <xf numFmtId="6" fontId="0" fillId="0" borderId="3" xfId="0" applyNumberFormat="1" applyBorder="1"/>
    <xf numFmtId="0" fontId="46" fillId="3" borderId="65" xfId="0" applyFont="1" applyFill="1" applyBorder="1"/>
    <xf numFmtId="0" fontId="46" fillId="3" borderId="66" xfId="0" applyFont="1" applyFill="1" applyBorder="1"/>
    <xf numFmtId="0" fontId="0" fillId="0" borderId="23" xfId="0" applyBorder="1"/>
    <xf numFmtId="0" fontId="0" fillId="0" borderId="17" xfId="0" applyBorder="1"/>
    <xf numFmtId="0" fontId="0" fillId="0" borderId="21" xfId="0" applyBorder="1"/>
    <xf numFmtId="0" fontId="0" fillId="0" borderId="19" xfId="0" applyBorder="1"/>
    <xf numFmtId="0" fontId="46" fillId="3" borderId="9" xfId="0" applyFont="1" applyFill="1" applyBorder="1"/>
    <xf numFmtId="10" fontId="60" fillId="0" borderId="1" xfId="0" applyNumberFormat="1" applyFont="1" applyBorder="1"/>
    <xf numFmtId="0" fontId="134" fillId="0" borderId="0" xfId="0" applyFont="1"/>
    <xf numFmtId="0" fontId="135" fillId="0" borderId="0" xfId="0" applyFont="1" applyAlignment="1">
      <alignment vertical="top" wrapText="1"/>
    </xf>
    <xf numFmtId="0" fontId="136" fillId="0" borderId="0" xfId="0" applyFont="1" applyAlignment="1" applyProtection="1">
      <alignment horizontal="left" vertical="top"/>
      <protection hidden="1"/>
    </xf>
    <xf numFmtId="0" fontId="131" fillId="0" borderId="0" xfId="0" applyFont="1" applyAlignment="1">
      <alignment wrapText="1"/>
    </xf>
    <xf numFmtId="0" fontId="130" fillId="0" borderId="0" xfId="0" applyFont="1" applyAlignment="1" applyProtection="1">
      <alignment horizontal="left"/>
      <protection hidden="1"/>
    </xf>
    <xf numFmtId="0" fontId="138"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5" xfId="0" applyBorder="1" applyAlignment="1" applyProtection="1">
      <alignment horizontal="center" vertical="center"/>
      <protection hidden="1"/>
    </xf>
    <xf numFmtId="3" fontId="0" fillId="6" borderId="3" xfId="0" applyNumberFormat="1" applyFill="1" applyBorder="1" applyAlignment="1" applyProtection="1">
      <alignment horizontal="center"/>
      <protection locked="0"/>
    </xf>
    <xf numFmtId="0" fontId="0" fillId="0" borderId="0" xfId="0" applyAlignment="1">
      <alignment horizontal="center" vertical="center"/>
    </xf>
    <xf numFmtId="3" fontId="0" fillId="6" borderId="3" xfId="0" applyNumberFormat="1" applyFill="1" applyBorder="1" applyProtection="1">
      <protection locked="0"/>
    </xf>
    <xf numFmtId="3" fontId="0" fillId="6" borderId="3" xfId="0" applyNumberFormat="1" applyFill="1" applyBorder="1" applyProtection="1">
      <protection hidden="1"/>
    </xf>
    <xf numFmtId="166" fontId="60" fillId="6" borderId="3" xfId="58" applyNumberFormat="1" applyFont="1" applyFill="1" applyBorder="1" applyAlignment="1" applyProtection="1">
      <alignment horizontal="center"/>
      <protection locked="0"/>
    </xf>
    <xf numFmtId="6" fontId="0" fillId="0" borderId="1" xfId="0" applyNumberFormat="1" applyBorder="1" applyAlignment="1" applyProtection="1">
      <alignment horizontal="center"/>
      <protection hidden="1"/>
    </xf>
    <xf numFmtId="49" fontId="2" fillId="0" borderId="0" xfId="0" applyNumberFormat="1" applyFont="1" applyAlignment="1" applyProtection="1">
      <alignment horizontal="right" vertical="top"/>
      <protection hidden="1"/>
    </xf>
    <xf numFmtId="49" fontId="6" fillId="0" borderId="2" xfId="0" applyNumberFormat="1" applyFont="1" applyBorder="1" applyAlignment="1" applyProtection="1">
      <alignment vertical="center"/>
      <protection hidden="1"/>
    </xf>
    <xf numFmtId="166" fontId="0" fillId="0" borderId="1" xfId="58" applyNumberFormat="1" applyFont="1" applyBorder="1"/>
    <xf numFmtId="49" fontId="6" fillId="0" borderId="0" xfId="0" applyNumberFormat="1" applyFont="1" applyAlignment="1" applyProtection="1">
      <alignment vertical="center"/>
      <protection hidden="1"/>
    </xf>
    <xf numFmtId="49" fontId="6" fillId="10" borderId="2" xfId="0" applyNumberFormat="1" applyFont="1" applyFill="1" applyBorder="1" applyAlignment="1" applyProtection="1">
      <alignment vertical="center"/>
      <protection hidden="1"/>
    </xf>
    <xf numFmtId="0" fontId="0" fillId="11" borderId="0" xfId="0" applyFill="1"/>
    <xf numFmtId="0" fontId="47" fillId="11" borderId="0" xfId="105" applyFill="1"/>
    <xf numFmtId="6" fontId="0" fillId="0" borderId="1" xfId="0" applyNumberFormat="1" applyBorder="1"/>
    <xf numFmtId="49" fontId="122" fillId="0" borderId="0" xfId="126" applyNumberFormat="1" applyFont="1" applyProtection="1">
      <protection hidden="1"/>
    </xf>
    <xf numFmtId="49" fontId="73" fillId="0" borderId="0" xfId="0" applyNumberFormat="1" applyFont="1" applyProtection="1">
      <protection hidden="1"/>
    </xf>
    <xf numFmtId="49" fontId="73" fillId="0" borderId="2" xfId="0" applyNumberFormat="1" applyFont="1" applyBorder="1" applyAlignment="1" applyProtection="1">
      <alignment horizontal="right"/>
      <protection hidden="1"/>
    </xf>
    <xf numFmtId="0" fontId="121" fillId="0" borderId="0" xfId="0" applyFont="1" applyAlignment="1" applyProtection="1">
      <alignment horizontal="center" vertical="center" wrapText="1"/>
      <protection hidden="1"/>
    </xf>
    <xf numFmtId="0" fontId="121" fillId="0" borderId="0" xfId="0" applyFont="1" applyAlignment="1" applyProtection="1">
      <alignment horizontal="center" vertical="center"/>
      <protection hidden="1"/>
    </xf>
    <xf numFmtId="0" fontId="120" fillId="0" borderId="0" xfId="0" applyFont="1" applyProtection="1">
      <protection hidden="1"/>
    </xf>
    <xf numFmtId="0" fontId="113" fillId="0" borderId="0" xfId="0" applyFont="1" applyProtection="1">
      <protection hidden="1"/>
    </xf>
    <xf numFmtId="0" fontId="118" fillId="0" borderId="0" xfId="0" applyFont="1" applyAlignment="1" applyProtection="1">
      <alignment horizontal="center"/>
      <protection hidden="1"/>
    </xf>
    <xf numFmtId="0" fontId="118" fillId="0" borderId="0" xfId="0" applyFont="1" applyProtection="1">
      <protection hidden="1"/>
    </xf>
    <xf numFmtId="0" fontId="60" fillId="0" borderId="0" xfId="0" applyFont="1" applyProtection="1">
      <protection hidden="1"/>
    </xf>
    <xf numFmtId="43" fontId="126" fillId="0" borderId="0" xfId="4" applyFont="1" applyFill="1" applyBorder="1" applyAlignment="1" applyProtection="1">
      <alignment horizontal="left" vertical="center"/>
      <protection hidden="1"/>
    </xf>
    <xf numFmtId="168" fontId="0" fillId="10" borderId="0" xfId="4" applyNumberFormat="1" applyFont="1" applyFill="1" applyBorder="1" applyAlignment="1" applyProtection="1">
      <protection hidden="1"/>
    </xf>
    <xf numFmtId="168" fontId="0" fillId="0" borderId="0" xfId="4" applyNumberFormat="1" applyFont="1" applyFill="1" applyBorder="1" applyAlignment="1" applyProtection="1">
      <protection hidden="1"/>
    </xf>
    <xf numFmtId="0" fontId="127" fillId="0" borderId="0" xfId="0" applyFont="1" applyProtection="1">
      <protection hidden="1"/>
    </xf>
    <xf numFmtId="0" fontId="133" fillId="0" borderId="0" xfId="0" applyFont="1" applyAlignment="1" applyProtection="1">
      <alignment horizontal="right" vertical="top"/>
      <protection hidden="1"/>
    </xf>
    <xf numFmtId="0" fontId="0" fillId="0" borderId="0" xfId="0" applyAlignment="1" applyProtection="1">
      <alignment horizontal="left" wrapText="1"/>
      <protection hidden="1"/>
    </xf>
    <xf numFmtId="169" fontId="0" fillId="0" borderId="0" xfId="4" applyNumberFormat="1" applyFont="1" applyFill="1" applyBorder="1" applyAlignment="1" applyProtection="1">
      <protection hidden="1"/>
    </xf>
    <xf numFmtId="0" fontId="0" fillId="0" borderId="0" xfId="0" quotePrefix="1" applyProtection="1">
      <protection hidden="1"/>
    </xf>
    <xf numFmtId="0" fontId="0" fillId="0" borderId="0" xfId="0" quotePrefix="1" applyAlignment="1" applyProtection="1">
      <alignment vertical="top"/>
      <protection hidden="1"/>
    </xf>
    <xf numFmtId="169" fontId="0" fillId="0" borderId="0" xfId="4" applyNumberFormat="1" applyFont="1" applyFill="1" applyBorder="1" applyAlignment="1" applyProtection="1">
      <alignment horizontal="left"/>
      <protection hidden="1"/>
    </xf>
    <xf numFmtId="169" fontId="0" fillId="0" borderId="0" xfId="4" applyNumberFormat="1" applyFont="1" applyFill="1" applyBorder="1" applyProtection="1">
      <protection hidden="1"/>
    </xf>
    <xf numFmtId="0" fontId="60" fillId="0" borderId="0" xfId="0" applyFont="1" applyAlignment="1" applyProtection="1">
      <alignment horizontal="left"/>
      <protection hidden="1"/>
    </xf>
    <xf numFmtId="0" fontId="84" fillId="0" borderId="0" xfId="0" applyFont="1" applyAlignment="1" applyProtection="1">
      <alignment horizontal="center" vertical="center"/>
      <protection hidden="1"/>
    </xf>
    <xf numFmtId="0" fontId="106" fillId="0" borderId="0" xfId="0" applyFont="1"/>
    <xf numFmtId="49" fontId="0" fillId="0" borderId="0" xfId="0" applyNumberFormat="1" applyAlignment="1">
      <alignment horizontal="right"/>
    </xf>
    <xf numFmtId="0" fontId="62" fillId="0" borderId="0" xfId="0" applyFont="1" applyAlignment="1" applyProtection="1">
      <alignment horizontal="center" vertical="center" wrapText="1"/>
      <protection hidden="1"/>
    </xf>
    <xf numFmtId="0" fontId="67" fillId="0" borderId="0" xfId="0" applyFont="1"/>
    <xf numFmtId="0" fontId="0" fillId="0" borderId="1" xfId="0" applyBorder="1" applyAlignment="1">
      <alignment horizontal="left"/>
    </xf>
    <xf numFmtId="174" fontId="0" fillId="0" borderId="0" xfId="0" applyNumberFormat="1"/>
    <xf numFmtId="183" fontId="0" fillId="0" borderId="0" xfId="0" applyNumberFormat="1"/>
    <xf numFmtId="0" fontId="94" fillId="0" borderId="1" xfId="0" applyFont="1" applyBorder="1" applyProtection="1">
      <protection hidden="1"/>
    </xf>
    <xf numFmtId="0" fontId="148" fillId="0" borderId="12" xfId="0" applyFont="1" applyBorder="1" applyProtection="1">
      <protection hidden="1"/>
    </xf>
    <xf numFmtId="0" fontId="36" fillId="0" borderId="12" xfId="0" applyFont="1" applyBorder="1" applyProtection="1">
      <protection hidden="1"/>
    </xf>
    <xf numFmtId="0" fontId="146" fillId="31" borderId="2" xfId="0" applyFont="1" applyFill="1" applyBorder="1" applyProtection="1">
      <protection hidden="1"/>
    </xf>
    <xf numFmtId="0" fontId="94" fillId="0" borderId="12" xfId="148" applyFont="1" applyBorder="1" applyAlignment="1" applyProtection="1">
      <alignment horizontal="left"/>
      <protection hidden="1"/>
    </xf>
    <xf numFmtId="0" fontId="94" fillId="0" borderId="12" xfId="148" applyFont="1" applyBorder="1" applyProtection="1">
      <protection hidden="1"/>
    </xf>
    <xf numFmtId="2" fontId="94" fillId="0" borderId="0" xfId="0" applyNumberFormat="1" applyFont="1" applyAlignment="1" applyProtection="1">
      <alignment horizontal="center"/>
      <protection hidden="1"/>
    </xf>
    <xf numFmtId="0" fontId="146" fillId="31" borderId="11" xfId="0" applyFont="1" applyFill="1" applyBorder="1" applyProtection="1">
      <protection hidden="1"/>
    </xf>
    <xf numFmtId="0" fontId="94" fillId="0" borderId="22" xfId="0" applyFont="1" applyBorder="1" applyProtection="1">
      <protection hidden="1"/>
    </xf>
    <xf numFmtId="0" fontId="146" fillId="31" borderId="22" xfId="0" applyFont="1" applyFill="1" applyBorder="1" applyProtection="1">
      <protection hidden="1"/>
    </xf>
    <xf numFmtId="0" fontId="146" fillId="31" borderId="24" xfId="0" applyFont="1" applyFill="1" applyBorder="1" applyProtection="1">
      <protection hidden="1"/>
    </xf>
    <xf numFmtId="9" fontId="94" fillId="0" borderId="24" xfId="0" applyNumberFormat="1" applyFont="1" applyBorder="1" applyProtection="1">
      <protection hidden="1"/>
    </xf>
    <xf numFmtId="9" fontId="94" fillId="0" borderId="22" xfId="0" applyNumberFormat="1" applyFont="1" applyBorder="1" applyProtection="1">
      <protection hidden="1"/>
    </xf>
    <xf numFmtId="0" fontId="94" fillId="0" borderId="24" xfId="0" applyFont="1" applyBorder="1" applyProtection="1">
      <protection hidden="1"/>
    </xf>
    <xf numFmtId="174" fontId="94" fillId="0" borderId="24" xfId="0" applyNumberFormat="1" applyFont="1" applyBorder="1" applyProtection="1">
      <protection hidden="1"/>
    </xf>
    <xf numFmtId="2" fontId="94" fillId="0" borderId="12" xfId="0" applyNumberFormat="1" applyFont="1" applyBorder="1" applyAlignment="1" applyProtection="1">
      <alignment horizontal="center"/>
      <protection hidden="1"/>
    </xf>
    <xf numFmtId="0" fontId="94" fillId="11" borderId="0" xfId="0" applyFont="1" applyFill="1" applyProtection="1">
      <protection hidden="1"/>
    </xf>
    <xf numFmtId="0" fontId="94" fillId="11" borderId="9" xfId="0" applyFont="1" applyFill="1" applyBorder="1" applyProtection="1">
      <protection hidden="1"/>
    </xf>
    <xf numFmtId="0" fontId="94" fillId="11" borderId="5" xfId="0" applyFont="1" applyFill="1" applyBorder="1" applyProtection="1">
      <protection hidden="1"/>
    </xf>
    <xf numFmtId="0" fontId="94" fillId="0" borderId="2" xfId="0" applyFont="1" applyBorder="1" applyProtection="1">
      <protection hidden="1"/>
    </xf>
    <xf numFmtId="0" fontId="146" fillId="31" borderId="22" xfId="0" applyFont="1" applyFill="1" applyBorder="1" applyAlignment="1" applyProtection="1">
      <alignment horizontal="left"/>
      <protection hidden="1"/>
    </xf>
    <xf numFmtId="0" fontId="144" fillId="0" borderId="5" xfId="0" applyFont="1" applyBorder="1" applyProtection="1">
      <protection hidden="1"/>
    </xf>
    <xf numFmtId="0" fontId="144" fillId="0" borderId="2" xfId="0" applyFont="1" applyBorder="1" applyProtection="1">
      <protection hidden="1"/>
    </xf>
    <xf numFmtId="0" fontId="144" fillId="0" borderId="11" xfId="0" applyFont="1" applyBorder="1" applyProtection="1">
      <protection hidden="1"/>
    </xf>
    <xf numFmtId="0" fontId="94" fillId="0" borderId="14" xfId="0" applyFont="1" applyBorder="1" applyProtection="1">
      <protection hidden="1"/>
    </xf>
    <xf numFmtId="0" fontId="94" fillId="0" borderId="4" xfId="0" applyFont="1" applyBorder="1" applyProtection="1">
      <protection hidden="1"/>
    </xf>
    <xf numFmtId="0" fontId="94" fillId="0" borderId="5" xfId="0" applyFont="1" applyBorder="1"/>
    <xf numFmtId="0" fontId="94" fillId="0" borderId="0" xfId="0" applyFont="1"/>
    <xf numFmtId="0" fontId="94" fillId="0" borderId="13" xfId="0" applyFont="1" applyBorder="1" applyAlignment="1" applyProtection="1">
      <alignment horizontal="center"/>
      <protection hidden="1"/>
    </xf>
    <xf numFmtId="0" fontId="94" fillId="0" borderId="9" xfId="0" applyFont="1" applyBorder="1"/>
    <xf numFmtId="0" fontId="144" fillId="0" borderId="12" xfId="0" applyFont="1" applyBorder="1" applyAlignment="1" applyProtection="1">
      <alignment horizontal="center"/>
      <protection hidden="1"/>
    </xf>
    <xf numFmtId="0" fontId="94" fillId="0" borderId="12" xfId="0" applyFont="1" applyBorder="1" applyAlignment="1" applyProtection="1">
      <alignment horizontal="center"/>
      <protection hidden="1"/>
    </xf>
    <xf numFmtId="0" fontId="94" fillId="0" borderId="11" xfId="0" applyFont="1" applyBorder="1" applyProtection="1">
      <protection hidden="1"/>
    </xf>
    <xf numFmtId="0" fontId="94" fillId="0" borderId="11" xfId="0" applyFont="1" applyBorder="1" applyAlignment="1" applyProtection="1">
      <alignment horizontal="center"/>
      <protection hidden="1"/>
    </xf>
    <xf numFmtId="0" fontId="146" fillId="31" borderId="1" xfId="0" applyFont="1" applyFill="1" applyBorder="1" applyProtection="1">
      <protection hidden="1"/>
    </xf>
    <xf numFmtId="0" fontId="94" fillId="0" borderId="12" xfId="0" applyFont="1" applyBorder="1"/>
    <xf numFmtId="0" fontId="94" fillId="0" borderId="13" xfId="0" applyFont="1" applyBorder="1"/>
    <xf numFmtId="0" fontId="94" fillId="0" borderId="6" xfId="0" applyFont="1" applyBorder="1"/>
    <xf numFmtId="0" fontId="94" fillId="0" borderId="11" xfId="0" applyFont="1" applyBorder="1"/>
    <xf numFmtId="0" fontId="94" fillId="0" borderId="5" xfId="0" applyFont="1" applyBorder="1" applyAlignment="1">
      <alignment horizontal="center"/>
    </xf>
    <xf numFmtId="0" fontId="62" fillId="0" borderId="0" xfId="0" applyFont="1"/>
    <xf numFmtId="0" fontId="94" fillId="0" borderId="3" xfId="0" applyFont="1" applyBorder="1"/>
    <xf numFmtId="0" fontId="94" fillId="0" borderId="10" xfId="0" applyFont="1" applyBorder="1"/>
    <xf numFmtId="0" fontId="94" fillId="16" borderId="9" xfId="0" applyFont="1" applyFill="1" applyBorder="1"/>
    <xf numFmtId="0" fontId="94" fillId="16" borderId="0" xfId="0" applyFont="1" applyFill="1"/>
    <xf numFmtId="0" fontId="94" fillId="16" borderId="5" xfId="0" applyFont="1" applyFill="1" applyBorder="1"/>
    <xf numFmtId="0" fontId="94" fillId="16" borderId="12" xfId="0" applyFont="1" applyFill="1" applyBorder="1"/>
    <xf numFmtId="0" fontId="94" fillId="16" borderId="9" xfId="0" applyFont="1" applyFill="1" applyBorder="1" applyProtection="1">
      <protection hidden="1"/>
    </xf>
    <xf numFmtId="170" fontId="94" fillId="0" borderId="0" xfId="0" applyNumberFormat="1" applyFont="1" applyAlignment="1">
      <alignment horizontal="center"/>
    </xf>
    <xf numFmtId="0" fontId="94" fillId="16" borderId="0" xfId="0" applyFont="1" applyFill="1" applyAlignment="1">
      <alignment horizontal="center"/>
    </xf>
    <xf numFmtId="0" fontId="94" fillId="16" borderId="5" xfId="0" applyFont="1" applyFill="1" applyBorder="1" applyAlignment="1">
      <alignment horizontal="center"/>
    </xf>
    <xf numFmtId="0" fontId="4" fillId="0" borderId="12" xfId="108" applyFont="1" applyBorder="1" applyAlignment="1">
      <alignment vertical="center" wrapText="1"/>
    </xf>
    <xf numFmtId="0" fontId="145" fillId="31" borderId="24" xfId="0" applyFont="1" applyFill="1" applyBorder="1" applyAlignment="1">
      <alignment horizontal="center"/>
    </xf>
    <xf numFmtId="0" fontId="145" fillId="31" borderId="30" xfId="0" applyFont="1" applyFill="1" applyBorder="1" applyAlignment="1">
      <alignment horizontal="center"/>
    </xf>
    <xf numFmtId="0" fontId="145" fillId="31" borderId="22" xfId="0" applyFont="1" applyFill="1" applyBorder="1" applyAlignment="1">
      <alignment horizontal="center"/>
    </xf>
    <xf numFmtId="0" fontId="146" fillId="31" borderId="10" xfId="0" applyFont="1" applyFill="1" applyBorder="1"/>
    <xf numFmtId="0" fontId="94" fillId="0" borderId="0" xfId="0" applyFont="1" applyProtection="1">
      <protection hidden="1"/>
    </xf>
    <xf numFmtId="0" fontId="94" fillId="0" borderId="6" xfId="0" applyFont="1" applyBorder="1" applyAlignment="1" applyProtection="1">
      <alignment horizontal="center"/>
      <protection hidden="1"/>
    </xf>
    <xf numFmtId="0" fontId="94" fillId="0" borderId="13" xfId="0" applyFont="1" applyBorder="1" applyProtection="1">
      <protection hidden="1"/>
    </xf>
    <xf numFmtId="0" fontId="94" fillId="0" borderId="0" xfId="0" applyFont="1" applyAlignment="1" applyProtection="1">
      <alignment horizontal="center" vertical="center"/>
      <protection hidden="1"/>
    </xf>
    <xf numFmtId="0" fontId="94" fillId="0" borderId="0" xfId="0" applyFont="1" applyAlignment="1" applyProtection="1">
      <alignment horizontal="center"/>
      <protection hidden="1"/>
    </xf>
    <xf numFmtId="0" fontId="94" fillId="0" borderId="10" xfId="0" applyFont="1" applyBorder="1" applyProtection="1">
      <protection hidden="1"/>
    </xf>
    <xf numFmtId="0" fontId="94" fillId="0" borderId="9" xfId="0" applyFont="1" applyBorder="1" applyProtection="1">
      <protection hidden="1"/>
    </xf>
    <xf numFmtId="0" fontId="94" fillId="0" borderId="12" xfId="0" applyFont="1" applyBorder="1" applyProtection="1">
      <protection hidden="1"/>
    </xf>
    <xf numFmtId="0" fontId="94" fillId="0" borderId="0" xfId="0" applyFont="1" applyAlignment="1">
      <alignment horizontal="center"/>
    </xf>
    <xf numFmtId="0" fontId="94" fillId="0" borderId="6" xfId="0" applyFont="1" applyBorder="1" applyProtection="1">
      <protection hidden="1"/>
    </xf>
    <xf numFmtId="0" fontId="94" fillId="0" borderId="5" xfId="0" applyFont="1" applyBorder="1" applyProtection="1">
      <protection hidden="1"/>
    </xf>
    <xf numFmtId="0" fontId="94" fillId="16" borderId="0" xfId="0" applyFont="1" applyFill="1" applyAlignment="1" applyProtection="1">
      <alignment horizontal="center"/>
      <protection hidden="1"/>
    </xf>
    <xf numFmtId="0" fontId="94" fillId="0" borderId="3" xfId="0" applyFont="1" applyBorder="1" applyProtection="1">
      <protection hidden="1"/>
    </xf>
    <xf numFmtId="0" fontId="94" fillId="0" borderId="3" xfId="0" applyFont="1" applyBorder="1" applyAlignment="1" applyProtection="1">
      <alignment horizontal="center"/>
      <protection hidden="1"/>
    </xf>
    <xf numFmtId="0" fontId="145" fillId="31" borderId="24" xfId="0" applyFont="1" applyFill="1" applyBorder="1" applyAlignment="1" applyProtection="1">
      <alignment horizontal="center"/>
      <protection hidden="1"/>
    </xf>
    <xf numFmtId="0" fontId="145" fillId="31" borderId="30" xfId="0" applyFont="1" applyFill="1" applyBorder="1" applyAlignment="1" applyProtection="1">
      <alignment horizontal="center"/>
      <protection hidden="1"/>
    </xf>
    <xf numFmtId="0" fontId="145" fillId="31" borderId="22" xfId="0" applyFont="1" applyFill="1" applyBorder="1" applyAlignment="1" applyProtection="1">
      <alignment horizontal="center"/>
      <protection hidden="1"/>
    </xf>
    <xf numFmtId="0" fontId="146" fillId="31" borderId="0" xfId="0" applyFont="1" applyFill="1" applyProtection="1">
      <protection hidden="1"/>
    </xf>
    <xf numFmtId="0" fontId="145" fillId="31" borderId="2" xfId="0" applyFont="1" applyFill="1" applyBorder="1" applyAlignment="1" applyProtection="1">
      <alignment horizontal="center"/>
      <protection hidden="1"/>
    </xf>
    <xf numFmtId="44" fontId="94" fillId="0" borderId="10" xfId="0" applyNumberFormat="1" applyFont="1" applyBorder="1" applyAlignment="1" applyProtection="1">
      <alignment horizontal="center"/>
      <protection hidden="1"/>
    </xf>
    <xf numFmtId="6" fontId="94" fillId="0" borderId="10" xfId="0" applyNumberFormat="1" applyFont="1" applyBorder="1" applyAlignment="1" applyProtection="1">
      <alignment horizontal="center"/>
      <protection hidden="1"/>
    </xf>
    <xf numFmtId="0" fontId="147" fillId="0" borderId="0" xfId="0" applyFont="1" applyProtection="1">
      <protection hidden="1"/>
    </xf>
    <xf numFmtId="49" fontId="0" fillId="0" borderId="0" xfId="0" applyNumberFormat="1" applyAlignment="1">
      <alignment horizontal="left"/>
    </xf>
    <xf numFmtId="0" fontId="27" fillId="0" borderId="4" xfId="108" applyFont="1" applyBorder="1" applyAlignment="1" applyProtection="1">
      <alignment horizontal="right"/>
      <protection hidden="1"/>
    </xf>
    <xf numFmtId="0" fontId="27" fillId="0" borderId="5" xfId="108" applyFont="1" applyBorder="1" applyAlignment="1" applyProtection="1">
      <alignment horizontal="right"/>
      <protection hidden="1"/>
    </xf>
    <xf numFmtId="0" fontId="95" fillId="0" borderId="5" xfId="0" applyFont="1" applyBorder="1" applyAlignment="1" applyProtection="1">
      <alignment horizontal="right"/>
      <protection hidden="1"/>
    </xf>
    <xf numFmtId="0" fontId="95" fillId="0" borderId="6" xfId="0" applyFont="1" applyBorder="1" applyAlignment="1" applyProtection="1">
      <alignment horizontal="right"/>
      <protection hidden="1"/>
    </xf>
    <xf numFmtId="0" fontId="2" fillId="0" borderId="0" xfId="108" applyFont="1" applyAlignment="1" applyProtection="1">
      <alignment horizontal="right"/>
      <protection hidden="1"/>
    </xf>
    <xf numFmtId="0" fontId="4" fillId="31" borderId="1" xfId="0" applyFont="1" applyFill="1" applyBorder="1" applyProtection="1">
      <protection hidden="1"/>
    </xf>
    <xf numFmtId="184" fontId="4" fillId="31" borderId="12" xfId="0" applyNumberFormat="1" applyFont="1" applyFill="1" applyBorder="1" applyProtection="1">
      <protection hidden="1"/>
    </xf>
    <xf numFmtId="0" fontId="4" fillId="6" borderId="1" xfId="0" applyFont="1" applyFill="1" applyBorder="1" applyProtection="1">
      <protection locked="0"/>
    </xf>
    <xf numFmtId="49" fontId="50" fillId="0" borderId="0" xfId="0" applyNumberFormat="1" applyFont="1" applyAlignment="1">
      <alignment horizontal="left"/>
    </xf>
    <xf numFmtId="0" fontId="36" fillId="0" borderId="0" xfId="0" applyFont="1"/>
    <xf numFmtId="0" fontId="4" fillId="0" borderId="0" xfId="0" applyFont="1"/>
    <xf numFmtId="0" fontId="147" fillId="0" borderId="3" xfId="0" applyFont="1" applyBorder="1"/>
    <xf numFmtId="0" fontId="4" fillId="0" borderId="4" xfId="0" applyFont="1" applyBorder="1"/>
    <xf numFmtId="0" fontId="50" fillId="0" borderId="6" xfId="0" applyFont="1" applyBorder="1"/>
    <xf numFmtId="167" fontId="94" fillId="0" borderId="12" xfId="60" applyNumberFormat="1" applyFont="1" applyBorder="1" applyAlignment="1">
      <alignment horizontal="left" vertical="center"/>
    </xf>
    <xf numFmtId="0" fontId="4" fillId="0" borderId="12" xfId="0" applyFont="1" applyBorder="1"/>
    <xf numFmtId="0" fontId="94" fillId="0" borderId="12" xfId="148" applyFont="1" applyBorder="1"/>
    <xf numFmtId="0" fontId="39" fillId="0" borderId="0" xfId="148" applyFont="1" applyAlignment="1">
      <alignment horizontal="left"/>
    </xf>
    <xf numFmtId="0" fontId="151" fillId="0" borderId="0" xfId="148" applyFont="1" applyAlignment="1">
      <alignment horizontal="left"/>
    </xf>
    <xf numFmtId="0" fontId="152" fillId="0" borderId="0" xfId="148" applyFont="1"/>
    <xf numFmtId="0" fontId="4" fillId="0" borderId="0" xfId="148" applyFont="1"/>
    <xf numFmtId="0" fontId="145" fillId="3" borderId="11" xfId="0" applyFont="1" applyFill="1" applyBorder="1" applyAlignment="1">
      <alignment horizontal="center" vertical="center"/>
    </xf>
    <xf numFmtId="0" fontId="29" fillId="3" borderId="5" xfId="0" applyFont="1" applyFill="1" applyBorder="1" applyAlignment="1">
      <alignment horizontal="center" vertical="center"/>
    </xf>
    <xf numFmtId="0" fontId="29" fillId="3" borderId="12" xfId="0" applyFont="1" applyFill="1" applyBorder="1" applyAlignment="1">
      <alignment horizontal="center" vertical="center"/>
    </xf>
    <xf numFmtId="0" fontId="29" fillId="33" borderId="12" xfId="0" applyFont="1" applyFill="1" applyBorder="1" applyAlignment="1">
      <alignment horizontal="center" vertical="center"/>
    </xf>
    <xf numFmtId="0" fontId="153" fillId="0" borderId="12" xfId="0" applyFont="1" applyBorder="1"/>
    <xf numFmtId="0" fontId="152" fillId="0" borderId="12" xfId="0" applyFont="1" applyBorder="1"/>
    <xf numFmtId="0" fontId="4" fillId="0" borderId="12" xfId="0" applyFont="1" applyBorder="1" applyAlignment="1">
      <alignment horizontal="center" vertical="center" wrapText="1"/>
    </xf>
    <xf numFmtId="0" fontId="94" fillId="0" borderId="5" xfId="148" applyFont="1" applyBorder="1"/>
    <xf numFmtId="0" fontId="154" fillId="0" borderId="12" xfId="0" applyFont="1" applyBorder="1"/>
    <xf numFmtId="0" fontId="154" fillId="0" borderId="13" xfId="0" applyFont="1" applyBorder="1"/>
    <xf numFmtId="0" fontId="29" fillId="10" borderId="0" xfId="0" applyFont="1" applyFill="1" applyAlignment="1">
      <alignment horizontal="center" vertical="center"/>
    </xf>
    <xf numFmtId="0" fontId="29" fillId="3" borderId="22" xfId="109" applyFont="1" applyFill="1" applyBorder="1" applyAlignment="1" applyProtection="1">
      <alignment horizontal="center" vertical="center" wrapText="1"/>
      <protection hidden="1"/>
    </xf>
    <xf numFmtId="0" fontId="0" fillId="10" borderId="11" xfId="0" applyFill="1" applyBorder="1"/>
    <xf numFmtId="0" fontId="0" fillId="10" borderId="12" xfId="0" applyFill="1" applyBorder="1"/>
    <xf numFmtId="0" fontId="0" fillId="10" borderId="13" xfId="0" applyFill="1" applyBorder="1"/>
    <xf numFmtId="0" fontId="29" fillId="3" borderId="1" xfId="109" applyFont="1" applyFill="1" applyBorder="1" applyAlignment="1" applyProtection="1">
      <alignment horizontal="center" vertical="center" wrapText="1"/>
      <protection hidden="1"/>
    </xf>
    <xf numFmtId="0" fontId="94" fillId="0" borderId="0" xfId="148" applyFont="1"/>
    <xf numFmtId="0" fontId="4" fillId="0" borderId="9" xfId="0" applyFont="1" applyBorder="1"/>
    <xf numFmtId="0" fontId="4" fillId="0" borderId="2" xfId="0" applyFont="1" applyBorder="1"/>
    <xf numFmtId="0" fontId="94" fillId="0" borderId="2" xfId="0" applyFont="1" applyBorder="1"/>
    <xf numFmtId="0" fontId="62" fillId="0" borderId="14" xfId="0" applyFont="1" applyBorder="1" applyAlignment="1">
      <alignment horizontal="right"/>
    </xf>
    <xf numFmtId="0" fontId="50" fillId="0" borderId="3" xfId="0" applyFont="1" applyBorder="1"/>
    <xf numFmtId="0" fontId="50" fillId="0" borderId="10" xfId="0" applyFont="1" applyBorder="1"/>
    <xf numFmtId="184" fontId="0" fillId="0" borderId="0" xfId="0" applyNumberFormat="1"/>
    <xf numFmtId="184" fontId="0" fillId="0" borderId="9" xfId="0" applyNumberFormat="1" applyBorder="1"/>
    <xf numFmtId="184" fontId="0" fillId="0" borderId="10" xfId="0" applyNumberFormat="1" applyBorder="1"/>
    <xf numFmtId="184" fontId="0" fillId="0" borderId="12" xfId="0" applyNumberFormat="1" applyBorder="1"/>
    <xf numFmtId="184" fontId="0" fillId="0" borderId="13" xfId="0" applyNumberFormat="1" applyBorder="1"/>
    <xf numFmtId="0" fontId="60" fillId="0" borderId="11" xfId="0" applyFont="1" applyBorder="1"/>
    <xf numFmtId="171" fontId="60" fillId="0" borderId="11" xfId="145" applyNumberFormat="1" applyFont="1" applyBorder="1"/>
    <xf numFmtId="0" fontId="60" fillId="0" borderId="12" xfId="0" applyFont="1" applyBorder="1"/>
    <xf numFmtId="171" fontId="60" fillId="0" borderId="9" xfId="145" applyNumberFormat="1" applyFont="1" applyBorder="1"/>
    <xf numFmtId="171" fontId="0" fillId="0" borderId="9" xfId="0" applyNumberFormat="1" applyBorder="1"/>
    <xf numFmtId="0" fontId="60" fillId="0" borderId="13" xfId="0" applyFont="1" applyBorder="1"/>
    <xf numFmtId="171" fontId="60" fillId="0" borderId="10" xfId="145" applyNumberFormat="1" applyFont="1" applyBorder="1"/>
    <xf numFmtId="0" fontId="82" fillId="0" borderId="0" xfId="0" applyFont="1"/>
    <xf numFmtId="0" fontId="29" fillId="0" borderId="0" xfId="0" applyFont="1" applyAlignment="1">
      <alignment horizontal="center" vertical="center"/>
    </xf>
    <xf numFmtId="186" fontId="43" fillId="0" borderId="0" xfId="145" applyNumberFormat="1" applyFill="1" applyBorder="1" applyAlignment="1">
      <alignment horizontal="center" vertical="center"/>
    </xf>
    <xf numFmtId="171" fontId="60" fillId="0" borderId="0" xfId="145" applyNumberFormat="1" applyFont="1" applyBorder="1"/>
    <xf numFmtId="171" fontId="0" fillId="0" borderId="0" xfId="0" applyNumberFormat="1"/>
    <xf numFmtId="0" fontId="50" fillId="11" borderId="0" xfId="0" applyFont="1" applyFill="1"/>
    <xf numFmtId="0" fontId="0" fillId="0" borderId="1" xfId="0" applyBorder="1" applyProtection="1">
      <protection hidden="1"/>
    </xf>
    <xf numFmtId="0" fontId="0" fillId="0" borderId="0" xfId="0" applyAlignment="1">
      <alignment horizontal="center"/>
    </xf>
    <xf numFmtId="0" fontId="70" fillId="0" borderId="0" xfId="0" applyFont="1" applyAlignment="1" applyProtection="1">
      <alignment horizontal="right" wrapText="1"/>
      <protection hidden="1"/>
    </xf>
    <xf numFmtId="0" fontId="86" fillId="0" borderId="0" xfId="0" applyFont="1" applyAlignment="1" applyProtection="1">
      <alignment vertical="top"/>
      <protection hidden="1"/>
    </xf>
    <xf numFmtId="0" fontId="2" fillId="0" borderId="1" xfId="0" applyFont="1" applyBorder="1" applyAlignment="1" applyProtection="1">
      <alignment horizontal="center"/>
      <protection hidden="1"/>
    </xf>
    <xf numFmtId="0" fontId="94" fillId="6" borderId="1" xfId="0" applyFont="1" applyFill="1" applyBorder="1" applyAlignment="1" applyProtection="1">
      <alignment horizontal="center"/>
      <protection locked="0"/>
    </xf>
    <xf numFmtId="0" fontId="5" fillId="0" borderId="0" xfId="0" applyFont="1" applyAlignment="1">
      <alignment vertical="center" wrapText="1"/>
    </xf>
    <xf numFmtId="0" fontId="86" fillId="0" borderId="30" xfId="0" applyFont="1" applyBorder="1" applyAlignment="1">
      <alignment vertical="center" wrapText="1"/>
    </xf>
    <xf numFmtId="0" fontId="5" fillId="0" borderId="1" xfId="0" applyFont="1" applyBorder="1" applyAlignment="1">
      <alignment horizontal="center" vertical="center" wrapText="1"/>
    </xf>
    <xf numFmtId="0" fontId="5" fillId="0" borderId="1" xfId="0" applyFont="1" applyBorder="1" applyAlignment="1">
      <alignment vertical="center" wrapText="1"/>
    </xf>
    <xf numFmtId="0" fontId="2" fillId="6" borderId="1" xfId="0" applyFont="1" applyFill="1" applyBorder="1" applyAlignment="1" applyProtection="1">
      <alignment horizontal="center" vertical="center" wrapText="1"/>
      <protection locked="0"/>
    </xf>
    <xf numFmtId="3" fontId="2" fillId="6" borderId="1" xfId="4" applyNumberFormat="1" applyFont="1" applyFill="1" applyBorder="1" applyAlignment="1" applyProtection="1">
      <alignment horizontal="center" vertical="center" wrapText="1"/>
      <protection locked="0"/>
    </xf>
    <xf numFmtId="3" fontId="2" fillId="6" borderId="1" xfId="0" applyNumberFormat="1" applyFont="1" applyFill="1" applyBorder="1" applyAlignment="1" applyProtection="1">
      <alignment horizontal="center" vertical="center" wrapText="1"/>
      <protection locked="0"/>
    </xf>
    <xf numFmtId="166" fontId="5" fillId="0" borderId="1" xfId="58" applyNumberFormat="1" applyFont="1" applyBorder="1" applyAlignment="1" applyProtection="1">
      <alignment horizontal="center" vertical="center" wrapText="1"/>
      <protection hidden="1"/>
    </xf>
    <xf numFmtId="0" fontId="60" fillId="32" borderId="20" xfId="0" applyFont="1" applyFill="1" applyBorder="1" applyAlignment="1" applyProtection="1">
      <alignment horizontal="center"/>
      <protection locked="0"/>
    </xf>
    <xf numFmtId="0" fontId="0" fillId="28" borderId="68" xfId="0" applyFill="1" applyBorder="1" applyAlignment="1" applyProtection="1">
      <alignment wrapText="1"/>
      <protection locked="0"/>
    </xf>
    <xf numFmtId="2" fontId="0" fillId="0" borderId="69" xfId="0" applyNumberFormat="1" applyBorder="1" applyProtection="1">
      <protection locked="0"/>
    </xf>
    <xf numFmtId="0" fontId="50" fillId="0" borderId="0" xfId="0" applyFont="1" applyProtection="1">
      <protection locked="0"/>
    </xf>
    <xf numFmtId="0" fontId="50" fillId="32" borderId="31" xfId="0" applyFont="1" applyFill="1" applyBorder="1" applyAlignment="1" applyProtection="1">
      <alignment horizontal="center"/>
      <protection locked="0"/>
    </xf>
    <xf numFmtId="0" fontId="50" fillId="32" borderId="29" xfId="0" applyFont="1" applyFill="1" applyBorder="1" applyAlignment="1" applyProtection="1">
      <alignment wrapText="1"/>
      <protection locked="0"/>
    </xf>
    <xf numFmtId="0" fontId="50" fillId="32" borderId="6" xfId="0" applyFont="1" applyFill="1" applyBorder="1" applyAlignment="1" applyProtection="1">
      <alignment wrapText="1"/>
      <protection locked="0"/>
    </xf>
    <xf numFmtId="0" fontId="50" fillId="32" borderId="10" xfId="0" applyFont="1" applyFill="1" applyBorder="1" applyAlignment="1" applyProtection="1">
      <alignment wrapText="1"/>
      <protection locked="0"/>
    </xf>
    <xf numFmtId="0" fontId="50" fillId="32" borderId="3" xfId="0" applyFont="1" applyFill="1" applyBorder="1" applyProtection="1">
      <protection locked="0"/>
    </xf>
    <xf numFmtId="0" fontId="50" fillId="32" borderId="3" xfId="0" applyFont="1" applyFill="1" applyBorder="1" applyAlignment="1" applyProtection="1">
      <alignment wrapText="1"/>
      <protection locked="0"/>
    </xf>
    <xf numFmtId="0" fontId="50" fillId="32" borderId="37" xfId="0" applyFont="1" applyFill="1" applyBorder="1" applyAlignment="1" applyProtection="1">
      <alignment wrapText="1"/>
      <protection locked="0"/>
    </xf>
    <xf numFmtId="0" fontId="0" fillId="32" borderId="0" xfId="0" applyFill="1"/>
    <xf numFmtId="0" fontId="50" fillId="32" borderId="22" xfId="0" applyFont="1" applyFill="1" applyBorder="1"/>
    <xf numFmtId="0" fontId="0" fillId="32" borderId="24" xfId="0" applyFill="1" applyBorder="1"/>
    <xf numFmtId="0" fontId="0" fillId="32" borderId="22" xfId="0" applyFill="1" applyBorder="1"/>
    <xf numFmtId="0" fontId="0" fillId="32" borderId="30" xfId="0" applyFill="1" applyBorder="1"/>
    <xf numFmtId="0" fontId="0" fillId="34" borderId="1" xfId="0" applyFill="1" applyBorder="1" applyProtection="1">
      <protection locked="0"/>
    </xf>
    <xf numFmtId="9" fontId="0" fillId="0" borderId="1" xfId="0" applyNumberFormat="1" applyBorder="1" applyProtection="1">
      <protection locked="0"/>
    </xf>
    <xf numFmtId="167" fontId="0" fillId="0" borderId="1" xfId="0" applyNumberFormat="1" applyBorder="1" applyProtection="1">
      <protection hidden="1"/>
    </xf>
    <xf numFmtId="0" fontId="5" fillId="0" borderId="1" xfId="0" applyFont="1" applyBorder="1" applyAlignment="1" applyProtection="1">
      <alignment horizontal="center" vertical="center" wrapText="1"/>
      <protection hidden="1"/>
    </xf>
    <xf numFmtId="167" fontId="52" fillId="6" borderId="1" xfId="0" applyNumberFormat="1" applyFont="1" applyFill="1" applyBorder="1" applyAlignment="1" applyProtection="1">
      <alignment horizontal="center" vertical="center"/>
      <protection locked="0"/>
    </xf>
    <xf numFmtId="3" fontId="52" fillId="6" borderId="1" xfId="0" applyNumberFormat="1" applyFont="1" applyFill="1" applyBorder="1" applyAlignment="1" applyProtection="1">
      <alignment horizontal="center" vertical="center"/>
      <protection locked="0"/>
    </xf>
    <xf numFmtId="0" fontId="52" fillId="6" borderId="1" xfId="0" applyFont="1" applyFill="1" applyBorder="1" applyAlignment="1" applyProtection="1">
      <alignment horizontal="center" vertical="center"/>
      <protection locked="0"/>
    </xf>
    <xf numFmtId="167" fontId="52" fillId="6" borderId="1" xfId="58" applyNumberFormat="1" applyFont="1" applyFill="1" applyBorder="1" applyAlignment="1" applyProtection="1">
      <alignment horizontal="center" vertical="center"/>
      <protection locked="0"/>
    </xf>
    <xf numFmtId="49" fontId="0" fillId="30" borderId="0" xfId="0" applyNumberFormat="1" applyFill="1" applyAlignment="1">
      <alignment horizontal="right"/>
    </xf>
    <xf numFmtId="0" fontId="146" fillId="31" borderId="4" xfId="0" applyFont="1" applyFill="1" applyBorder="1" applyAlignment="1" applyProtection="1">
      <alignment horizontal="center"/>
      <protection hidden="1"/>
    </xf>
    <xf numFmtId="0" fontId="145" fillId="31" borderId="5" xfId="0" applyFont="1" applyFill="1" applyBorder="1" applyAlignment="1" applyProtection="1">
      <alignment horizontal="center"/>
      <protection hidden="1"/>
    </xf>
    <xf numFmtId="0" fontId="62" fillId="13" borderId="22" xfId="0" applyFont="1" applyFill="1" applyBorder="1" applyAlignment="1" applyProtection="1">
      <alignment horizontal="center"/>
      <protection hidden="1"/>
    </xf>
    <xf numFmtId="170" fontId="94" fillId="0" borderId="22" xfId="4" applyNumberFormat="1" applyFont="1" applyBorder="1" applyAlignment="1" applyProtection="1">
      <alignment horizontal="center"/>
      <protection hidden="1"/>
    </xf>
    <xf numFmtId="0" fontId="146" fillId="31" borderId="11" xfId="0" applyFont="1" applyFill="1" applyBorder="1" applyAlignment="1" applyProtection="1">
      <alignment horizontal="center"/>
      <protection hidden="1"/>
    </xf>
    <xf numFmtId="0" fontId="145" fillId="31" borderId="12" xfId="0" applyFont="1" applyFill="1" applyBorder="1" applyAlignment="1" applyProtection="1">
      <alignment horizontal="center"/>
      <protection hidden="1"/>
    </xf>
    <xf numFmtId="0" fontId="62" fillId="13" borderId="1" xfId="0" applyFont="1" applyFill="1" applyBorder="1" applyAlignment="1" applyProtection="1">
      <alignment horizontal="center"/>
      <protection hidden="1"/>
    </xf>
    <xf numFmtId="170" fontId="94" fillId="0" borderId="1" xfId="4" applyNumberFormat="1" applyFont="1" applyBorder="1" applyAlignment="1" applyProtection="1">
      <alignment horizontal="center"/>
      <protection hidden="1"/>
    </xf>
    <xf numFmtId="0" fontId="94" fillId="10" borderId="0" xfId="0" applyFont="1" applyFill="1" applyProtection="1">
      <protection hidden="1"/>
    </xf>
    <xf numFmtId="0" fontId="52" fillId="0" borderId="9" xfId="0" applyFont="1" applyBorder="1" applyProtection="1">
      <protection hidden="1"/>
    </xf>
    <xf numFmtId="0" fontId="52" fillId="0" borderId="10" xfId="0" applyFont="1" applyBorder="1" applyProtection="1">
      <protection hidden="1"/>
    </xf>
    <xf numFmtId="0" fontId="155" fillId="0" borderId="0" xfId="108" applyFont="1" applyAlignment="1" applyProtection="1">
      <alignment horizontal="right"/>
      <protection hidden="1"/>
    </xf>
    <xf numFmtId="1" fontId="0" fillId="11" borderId="1" xfId="0" applyNumberFormat="1" applyFill="1" applyBorder="1"/>
    <xf numFmtId="0" fontId="46" fillId="3" borderId="13" xfId="0" applyFont="1" applyFill="1" applyBorder="1" applyAlignment="1">
      <alignment horizontal="center"/>
    </xf>
    <xf numFmtId="0" fontId="150" fillId="8" borderId="14" xfId="109" applyFont="1" applyFill="1" applyBorder="1" applyAlignment="1" applyProtection="1">
      <alignment horizontal="center" vertical="center" wrapText="1"/>
      <protection hidden="1"/>
    </xf>
    <xf numFmtId="0" fontId="124" fillId="0" borderId="0" xfId="0" applyFont="1" applyProtection="1">
      <protection hidden="1"/>
    </xf>
    <xf numFmtId="42" fontId="52" fillId="0" borderId="0" xfId="0" applyNumberFormat="1" applyFont="1" applyProtection="1">
      <protection hidden="1"/>
    </xf>
    <xf numFmtId="42" fontId="4" fillId="0" borderId="1" xfId="4" applyNumberFormat="1" applyFont="1" applyBorder="1" applyProtection="1">
      <protection hidden="1"/>
    </xf>
    <xf numFmtId="0" fontId="4" fillId="0" borderId="1" xfId="0" applyFont="1" applyBorder="1" applyProtection="1">
      <protection hidden="1"/>
    </xf>
    <xf numFmtId="0" fontId="4" fillId="0" borderId="12" xfId="0" applyFont="1" applyBorder="1" applyProtection="1">
      <protection hidden="1"/>
    </xf>
    <xf numFmtId="9" fontId="4" fillId="7" borderId="1" xfId="115" applyFont="1" applyFill="1" applyBorder="1" applyProtection="1">
      <protection locked="0"/>
    </xf>
    <xf numFmtId="0" fontId="4" fillId="7" borderId="1" xfId="0" applyFont="1" applyFill="1" applyBorder="1" applyProtection="1">
      <protection locked="0"/>
    </xf>
    <xf numFmtId="0" fontId="156" fillId="7" borderId="1" xfId="0" applyFont="1" applyFill="1" applyBorder="1" applyProtection="1">
      <protection locked="0"/>
    </xf>
    <xf numFmtId="0" fontId="145" fillId="0" borderId="12" xfId="0" applyFont="1" applyBorder="1" applyAlignment="1" applyProtection="1">
      <alignment horizontal="center" vertical="center" wrapText="1"/>
      <protection hidden="1"/>
    </xf>
    <xf numFmtId="184" fontId="4" fillId="6" borderId="12" xfId="0" applyNumberFormat="1" applyFont="1" applyFill="1" applyBorder="1" applyProtection="1">
      <protection hidden="1"/>
    </xf>
    <xf numFmtId="184" fontId="4" fillId="0" borderId="1" xfId="0" applyNumberFormat="1" applyFont="1" applyBorder="1" applyProtection="1">
      <protection hidden="1"/>
    </xf>
    <xf numFmtId="184" fontId="4" fillId="6" borderId="1" xfId="0" applyNumberFormat="1" applyFont="1" applyFill="1" applyBorder="1" applyProtection="1">
      <protection locked="0"/>
    </xf>
    <xf numFmtId="0" fontId="2" fillId="0" borderId="0" xfId="108" applyFont="1" applyProtection="1">
      <protection hidden="1"/>
    </xf>
    <xf numFmtId="42" fontId="4" fillId="31" borderId="1" xfId="4" applyNumberFormat="1" applyFont="1" applyFill="1" applyBorder="1" applyProtection="1">
      <protection hidden="1"/>
    </xf>
    <xf numFmtId="9" fontId="4" fillId="31" borderId="1" xfId="0" applyNumberFormat="1" applyFont="1" applyFill="1" applyBorder="1" applyProtection="1">
      <protection hidden="1"/>
    </xf>
    <xf numFmtId="170" fontId="4" fillId="31" borderId="1" xfId="0" applyNumberFormat="1" applyFont="1" applyFill="1" applyBorder="1" applyProtection="1">
      <protection hidden="1"/>
    </xf>
    <xf numFmtId="0" fontId="145" fillId="3" borderId="12" xfId="0" applyFont="1" applyFill="1" applyBorder="1" applyAlignment="1" applyProtection="1">
      <alignment horizontal="center" wrapText="1"/>
      <protection hidden="1"/>
    </xf>
    <xf numFmtId="0" fontId="145" fillId="0" borderId="12" xfId="0" applyFont="1" applyBorder="1" applyAlignment="1" applyProtection="1">
      <alignment horizontal="center" wrapText="1"/>
      <protection hidden="1"/>
    </xf>
    <xf numFmtId="0" fontId="145" fillId="0" borderId="12" xfId="0" applyFont="1" applyBorder="1" applyAlignment="1" applyProtection="1">
      <alignment horizontal="center"/>
      <protection hidden="1"/>
    </xf>
    <xf numFmtId="0" fontId="145" fillId="3" borderId="9" xfId="0" applyFont="1" applyFill="1" applyBorder="1" applyAlignment="1" applyProtection="1">
      <alignment horizontal="center"/>
      <protection hidden="1"/>
    </xf>
    <xf numFmtId="0" fontId="145" fillId="0" borderId="9" xfId="0" applyFont="1" applyBorder="1" applyAlignment="1" applyProtection="1">
      <alignment horizontal="center"/>
      <protection hidden="1"/>
    </xf>
    <xf numFmtId="9" fontId="52" fillId="0" borderId="0" xfId="115" applyFont="1" applyProtection="1">
      <protection hidden="1"/>
    </xf>
    <xf numFmtId="167" fontId="95" fillId="0" borderId="10" xfId="0" applyNumberFormat="1" applyFont="1" applyBorder="1" applyProtection="1">
      <protection hidden="1"/>
    </xf>
    <xf numFmtId="167" fontId="95" fillId="0" borderId="9" xfId="0" applyNumberFormat="1" applyFont="1" applyBorder="1" applyProtection="1">
      <protection hidden="1"/>
    </xf>
    <xf numFmtId="187" fontId="27" fillId="0" borderId="9" xfId="8" applyNumberFormat="1" applyFont="1" applyBorder="1" applyAlignment="1" applyProtection="1">
      <alignment vertical="center" wrapText="1"/>
      <protection hidden="1"/>
    </xf>
    <xf numFmtId="0" fontId="150" fillId="8" borderId="9" xfId="109" applyFont="1" applyFill="1" applyBorder="1" applyAlignment="1" applyProtection="1">
      <alignment horizontal="center" vertical="center" wrapText="1"/>
      <protection hidden="1"/>
    </xf>
    <xf numFmtId="0" fontId="4" fillId="0" borderId="0" xfId="108" applyFont="1" applyProtection="1">
      <protection hidden="1"/>
    </xf>
    <xf numFmtId="0" fontId="94" fillId="0" borderId="30" xfId="0" applyFont="1" applyBorder="1" applyAlignment="1" applyProtection="1">
      <alignment horizontal="left"/>
      <protection hidden="1"/>
    </xf>
    <xf numFmtId="44" fontId="94" fillId="0" borderId="24" xfId="58" applyFont="1" applyBorder="1" applyAlignment="1" applyProtection="1">
      <alignment horizontal="center"/>
      <protection hidden="1"/>
    </xf>
    <xf numFmtId="170" fontId="94" fillId="0" borderId="30" xfId="0" applyNumberFormat="1" applyFont="1" applyBorder="1" applyAlignment="1" applyProtection="1">
      <alignment horizontal="center"/>
      <protection hidden="1"/>
    </xf>
    <xf numFmtId="170" fontId="94" fillId="0" borderId="24" xfId="0" applyNumberFormat="1" applyFont="1" applyBorder="1" applyAlignment="1" applyProtection="1">
      <alignment horizontal="center"/>
      <protection hidden="1"/>
    </xf>
    <xf numFmtId="172" fontId="94" fillId="0" borderId="30" xfId="0" applyNumberFormat="1" applyFont="1" applyBorder="1" applyAlignment="1" applyProtection="1">
      <alignment horizontal="center"/>
      <protection hidden="1"/>
    </xf>
    <xf numFmtId="172" fontId="94" fillId="0" borderId="22" xfId="0" applyNumberFormat="1" applyFont="1" applyBorder="1" applyAlignment="1" applyProtection="1">
      <alignment horizontal="center"/>
      <protection hidden="1"/>
    </xf>
    <xf numFmtId="2" fontId="94" fillId="0" borderId="24" xfId="0" applyNumberFormat="1" applyFont="1" applyBorder="1" applyAlignment="1" applyProtection="1">
      <alignment horizontal="center"/>
      <protection hidden="1"/>
    </xf>
    <xf numFmtId="2" fontId="94" fillId="0" borderId="22" xfId="0" applyNumberFormat="1" applyFont="1" applyBorder="1" applyAlignment="1" applyProtection="1">
      <alignment horizontal="center"/>
      <protection hidden="1"/>
    </xf>
    <xf numFmtId="2" fontId="94" fillId="0" borderId="30" xfId="0" applyNumberFormat="1" applyFont="1" applyBorder="1" applyAlignment="1" applyProtection="1">
      <alignment horizontal="center"/>
      <protection hidden="1"/>
    </xf>
    <xf numFmtId="170" fontId="94" fillId="0" borderId="22" xfId="0" applyNumberFormat="1" applyFont="1" applyBorder="1" applyAlignment="1" applyProtection="1">
      <alignment horizontal="center"/>
      <protection hidden="1"/>
    </xf>
    <xf numFmtId="0" fontId="94" fillId="0" borderId="22" xfId="0" applyFont="1" applyBorder="1" applyAlignment="1" applyProtection="1">
      <alignment horizontal="left"/>
      <protection hidden="1"/>
    </xf>
    <xf numFmtId="1" fontId="94" fillId="0" borderId="24" xfId="0" applyNumberFormat="1" applyFont="1" applyBorder="1" applyAlignment="1" applyProtection="1">
      <alignment horizontal="center"/>
      <protection hidden="1"/>
    </xf>
    <xf numFmtId="1" fontId="94" fillId="0" borderId="30" xfId="0" applyNumberFormat="1" applyFont="1" applyBorder="1" applyAlignment="1" applyProtection="1">
      <alignment horizontal="center"/>
      <protection hidden="1"/>
    </xf>
    <xf numFmtId="170" fontId="94" fillId="0" borderId="30" xfId="4" applyNumberFormat="1" applyFont="1" applyBorder="1" applyAlignment="1" applyProtection="1">
      <alignment horizontal="center"/>
      <protection hidden="1"/>
    </xf>
    <xf numFmtId="1" fontId="94" fillId="0" borderId="24" xfId="4" applyNumberFormat="1" applyFont="1" applyBorder="1" applyAlignment="1" applyProtection="1">
      <alignment horizontal="center"/>
      <protection hidden="1"/>
    </xf>
    <xf numFmtId="0" fontId="94" fillId="13" borderId="30" xfId="0" applyFont="1" applyFill="1" applyBorder="1" applyAlignment="1" applyProtection="1">
      <alignment horizontal="center"/>
      <protection hidden="1"/>
    </xf>
    <xf numFmtId="0" fontId="62" fillId="13" borderId="24" xfId="0" applyFont="1" applyFill="1" applyBorder="1" applyAlignment="1" applyProtection="1">
      <alignment horizontal="center"/>
      <protection hidden="1"/>
    </xf>
    <xf numFmtId="0" fontId="62" fillId="13" borderId="30" xfId="0" applyFont="1" applyFill="1" applyBorder="1" applyAlignment="1" applyProtection="1">
      <alignment horizontal="center"/>
      <protection hidden="1"/>
    </xf>
    <xf numFmtId="170" fontId="94" fillId="13" borderId="30" xfId="0" applyNumberFormat="1" applyFont="1" applyFill="1" applyBorder="1" applyAlignment="1" applyProtection="1">
      <alignment horizontal="center"/>
      <protection hidden="1"/>
    </xf>
    <xf numFmtId="170" fontId="94" fillId="13" borderId="24" xfId="0" applyNumberFormat="1" applyFont="1" applyFill="1" applyBorder="1" applyAlignment="1" applyProtection="1">
      <alignment horizontal="center"/>
      <protection hidden="1"/>
    </xf>
    <xf numFmtId="172" fontId="94" fillId="13" borderId="30" xfId="0" applyNumberFormat="1" applyFont="1" applyFill="1" applyBorder="1" applyAlignment="1" applyProtection="1">
      <alignment horizontal="center"/>
      <protection hidden="1"/>
    </xf>
    <xf numFmtId="0" fontId="62" fillId="13" borderId="30" xfId="0" applyFont="1" applyFill="1" applyBorder="1" applyProtection="1">
      <protection hidden="1"/>
    </xf>
    <xf numFmtId="0" fontId="62" fillId="13" borderId="22" xfId="0" applyFont="1" applyFill="1" applyBorder="1" applyProtection="1">
      <protection hidden="1"/>
    </xf>
    <xf numFmtId="0" fontId="4" fillId="0" borderId="0" xfId="108" applyFont="1" applyAlignment="1" applyProtection="1">
      <alignment horizontal="right"/>
      <protection hidden="1"/>
    </xf>
    <xf numFmtId="0" fontId="145" fillId="31" borderId="0" xfId="0" applyFont="1" applyFill="1" applyAlignment="1" applyProtection="1">
      <alignment horizontal="center"/>
      <protection hidden="1"/>
    </xf>
    <xf numFmtId="0" fontId="145" fillId="31" borderId="9" xfId="0" applyFont="1" applyFill="1" applyBorder="1" applyAlignment="1" applyProtection="1">
      <alignment horizontal="center"/>
      <protection hidden="1"/>
    </xf>
    <xf numFmtId="0" fontId="145" fillId="31" borderId="10" xfId="0" applyFont="1" applyFill="1" applyBorder="1" applyAlignment="1" applyProtection="1">
      <alignment horizontal="center"/>
      <protection hidden="1"/>
    </xf>
    <xf numFmtId="0" fontId="145" fillId="31" borderId="3" xfId="0" applyFont="1" applyFill="1" applyBorder="1" applyAlignment="1" applyProtection="1">
      <alignment horizontal="center"/>
      <protection hidden="1"/>
    </xf>
    <xf numFmtId="0" fontId="145" fillId="31" borderId="6" xfId="0" applyFont="1" applyFill="1" applyBorder="1" applyAlignment="1" applyProtection="1">
      <alignment horizontal="center"/>
      <protection hidden="1"/>
    </xf>
    <xf numFmtId="0" fontId="145" fillId="31" borderId="0" xfId="0" applyFont="1" applyFill="1" applyProtection="1">
      <protection hidden="1"/>
    </xf>
    <xf numFmtId="0" fontId="145" fillId="31" borderId="5" xfId="0" applyFont="1" applyFill="1" applyBorder="1" applyProtection="1">
      <protection hidden="1"/>
    </xf>
    <xf numFmtId="0" fontId="158" fillId="31" borderId="2" xfId="0" applyFont="1" applyFill="1" applyBorder="1" applyAlignment="1" applyProtection="1">
      <alignment horizontal="center"/>
      <protection hidden="1"/>
    </xf>
    <xf numFmtId="0" fontId="145" fillId="31" borderId="14" xfId="0" applyFont="1" applyFill="1" applyBorder="1" applyAlignment="1" applyProtection="1">
      <alignment horizontal="center"/>
      <protection hidden="1"/>
    </xf>
    <xf numFmtId="0" fontId="159" fillId="31" borderId="2" xfId="0" applyFont="1" applyFill="1" applyBorder="1" applyAlignment="1" applyProtection="1">
      <alignment horizontal="center"/>
      <protection hidden="1"/>
    </xf>
    <xf numFmtId="0" fontId="145" fillId="31" borderId="2" xfId="0" applyFont="1" applyFill="1" applyBorder="1" applyAlignment="1" applyProtection="1">
      <alignment horizontal="center" wrapText="1"/>
      <protection hidden="1"/>
    </xf>
    <xf numFmtId="0" fontId="145" fillId="31" borderId="4" xfId="0" applyFont="1" applyFill="1" applyBorder="1" applyAlignment="1" applyProtection="1">
      <alignment horizontal="center"/>
      <protection hidden="1"/>
    </xf>
    <xf numFmtId="0" fontId="159" fillId="31" borderId="4" xfId="0" applyFont="1" applyFill="1" applyBorder="1" applyAlignment="1" applyProtection="1">
      <alignment horizontal="center"/>
      <protection hidden="1"/>
    </xf>
    <xf numFmtId="0" fontId="145" fillId="31" borderId="4" xfId="0" applyFont="1" applyFill="1" applyBorder="1" applyProtection="1">
      <protection hidden="1"/>
    </xf>
    <xf numFmtId="0" fontId="159" fillId="31" borderId="11" xfId="0" applyFont="1" applyFill="1" applyBorder="1" applyAlignment="1" applyProtection="1">
      <alignment horizontal="center"/>
      <protection hidden="1"/>
    </xf>
    <xf numFmtId="0" fontId="159" fillId="31" borderId="14" xfId="0" applyFont="1" applyFill="1" applyBorder="1" applyAlignment="1" applyProtection="1">
      <alignment horizontal="center"/>
      <protection hidden="1"/>
    </xf>
    <xf numFmtId="0" fontId="158" fillId="31" borderId="14" xfId="0" applyFont="1" applyFill="1" applyBorder="1" applyAlignment="1" applyProtection="1">
      <alignment horizontal="center"/>
      <protection hidden="1"/>
    </xf>
    <xf numFmtId="0" fontId="146" fillId="31" borderId="2" xfId="0" applyFont="1" applyFill="1" applyBorder="1" applyAlignment="1" applyProtection="1">
      <alignment horizontal="center"/>
      <protection hidden="1"/>
    </xf>
    <xf numFmtId="0" fontId="94" fillId="0" borderId="30" xfId="0" applyFont="1" applyBorder="1" applyAlignment="1" applyProtection="1">
      <alignment horizontal="center"/>
      <protection hidden="1"/>
    </xf>
    <xf numFmtId="0" fontId="94" fillId="0" borderId="22" xfId="0" applyFont="1" applyBorder="1" applyAlignment="1" applyProtection="1">
      <alignment horizontal="center"/>
      <protection hidden="1"/>
    </xf>
    <xf numFmtId="170" fontId="94" fillId="0" borderId="22" xfId="0" applyNumberFormat="1" applyFont="1" applyBorder="1" applyProtection="1">
      <protection hidden="1"/>
    </xf>
    <xf numFmtId="166" fontId="94" fillId="0" borderId="30" xfId="58" applyNumberFormat="1" applyFont="1" applyBorder="1" applyAlignment="1" applyProtection="1">
      <alignment horizontal="center"/>
      <protection hidden="1"/>
    </xf>
    <xf numFmtId="1" fontId="94" fillId="0" borderId="30" xfId="4" applyNumberFormat="1" applyFont="1" applyBorder="1" applyAlignment="1" applyProtection="1">
      <alignment horizontal="center"/>
      <protection hidden="1"/>
    </xf>
    <xf numFmtId="0" fontId="94" fillId="13" borderId="22" xfId="0" applyFont="1" applyFill="1" applyBorder="1" applyAlignment="1" applyProtection="1">
      <alignment horizontal="center"/>
      <protection hidden="1"/>
    </xf>
    <xf numFmtId="0" fontId="94" fillId="13" borderId="22" xfId="0" applyFont="1" applyFill="1" applyBorder="1" applyProtection="1">
      <protection hidden="1"/>
    </xf>
    <xf numFmtId="0" fontId="158" fillId="31" borderId="4" xfId="0" applyFont="1" applyFill="1" applyBorder="1" applyAlignment="1" applyProtection="1">
      <alignment horizontal="center"/>
      <protection hidden="1"/>
    </xf>
    <xf numFmtId="170" fontId="94" fillId="0" borderId="0" xfId="0" applyNumberFormat="1" applyFont="1" applyProtection="1">
      <protection hidden="1"/>
    </xf>
    <xf numFmtId="0" fontId="39" fillId="0" borderId="0" xfId="108" applyFont="1" applyProtection="1">
      <protection hidden="1"/>
    </xf>
    <xf numFmtId="1" fontId="94" fillId="0" borderId="0" xfId="0" applyNumberFormat="1" applyFont="1" applyAlignment="1" applyProtection="1">
      <alignment horizontal="center"/>
      <protection hidden="1"/>
    </xf>
    <xf numFmtId="185" fontId="94" fillId="0" borderId="0" xfId="0" applyNumberFormat="1" applyFont="1" applyAlignment="1" applyProtection="1">
      <alignment horizontal="center"/>
      <protection hidden="1"/>
    </xf>
    <xf numFmtId="170" fontId="94" fillId="0" borderId="0" xfId="0" applyNumberFormat="1" applyFont="1" applyAlignment="1" applyProtection="1">
      <alignment horizontal="center"/>
      <protection hidden="1"/>
    </xf>
    <xf numFmtId="166" fontId="94" fillId="0" borderId="0" xfId="58" applyNumberFormat="1" applyFont="1" applyAlignment="1">
      <alignment horizontal="center"/>
    </xf>
    <xf numFmtId="172" fontId="43" fillId="0" borderId="1" xfId="115" applyNumberFormat="1" applyBorder="1" applyAlignment="1">
      <alignment horizontal="center" vertical="center"/>
    </xf>
    <xf numFmtId="1" fontId="43" fillId="0" borderId="1" xfId="115" applyNumberFormat="1" applyBorder="1" applyAlignment="1">
      <alignment horizontal="center" vertical="center"/>
    </xf>
    <xf numFmtId="2" fontId="43" fillId="0" borderId="1" xfId="115" applyNumberFormat="1" applyBorder="1" applyAlignment="1">
      <alignment horizontal="center" vertical="center"/>
    </xf>
    <xf numFmtId="0" fontId="144" fillId="0" borderId="9" xfId="0" applyFont="1" applyBorder="1" applyProtection="1">
      <protection hidden="1"/>
    </xf>
    <xf numFmtId="0" fontId="144" fillId="0" borderId="0" xfId="0" applyFont="1" applyProtection="1">
      <protection hidden="1"/>
    </xf>
    <xf numFmtId="0" fontId="144" fillId="0" borderId="12" xfId="0" applyFont="1" applyBorder="1" applyProtection="1">
      <protection hidden="1"/>
    </xf>
    <xf numFmtId="0" fontId="144" fillId="11" borderId="5" xfId="0" applyFont="1" applyFill="1" applyBorder="1" applyProtection="1">
      <protection hidden="1"/>
    </xf>
    <xf numFmtId="9" fontId="43" fillId="0" borderId="1" xfId="115" applyBorder="1" applyAlignment="1">
      <alignment horizontal="center" vertical="center"/>
    </xf>
    <xf numFmtId="186" fontId="43" fillId="0" borderId="1" xfId="8" applyNumberFormat="1" applyFont="1" applyBorder="1" applyAlignment="1">
      <alignment vertical="center"/>
    </xf>
    <xf numFmtId="2" fontId="43" fillId="0" borderId="1" xfId="8" applyNumberFormat="1" applyFont="1" applyBorder="1" applyAlignment="1">
      <alignment vertical="center"/>
    </xf>
    <xf numFmtId="44" fontId="94" fillId="0" borderId="14" xfId="58" applyFont="1" applyBorder="1" applyAlignment="1" applyProtection="1">
      <alignment horizontal="center"/>
      <protection hidden="1"/>
    </xf>
    <xf numFmtId="0" fontId="94" fillId="0" borderId="30" xfId="0" applyFont="1" applyBorder="1" applyProtection="1">
      <protection hidden="1"/>
    </xf>
    <xf numFmtId="0" fontId="62" fillId="10" borderId="0" xfId="0" applyFont="1" applyFill="1" applyProtection="1">
      <protection hidden="1"/>
    </xf>
    <xf numFmtId="0" fontId="4" fillId="10" borderId="0" xfId="108" applyFont="1" applyFill="1" applyProtection="1">
      <protection hidden="1"/>
    </xf>
    <xf numFmtId="0" fontId="146" fillId="10" borderId="0" xfId="0" applyFont="1" applyFill="1" applyAlignment="1" applyProtection="1">
      <alignment horizontal="center"/>
      <protection hidden="1"/>
    </xf>
    <xf numFmtId="0" fontId="158" fillId="10" borderId="0" xfId="0" applyFont="1" applyFill="1" applyAlignment="1" applyProtection="1">
      <alignment horizontal="center"/>
      <protection hidden="1"/>
    </xf>
    <xf numFmtId="0" fontId="159" fillId="10" borderId="0" xfId="0" applyFont="1" applyFill="1" applyAlignment="1" applyProtection="1">
      <alignment horizontal="center"/>
      <protection hidden="1"/>
    </xf>
    <xf numFmtId="0" fontId="145" fillId="10" borderId="0" xfId="0" applyFont="1" applyFill="1" applyProtection="1">
      <protection hidden="1"/>
    </xf>
    <xf numFmtId="0" fontId="145" fillId="10" borderId="0" xfId="0" applyFont="1" applyFill="1" applyAlignment="1" applyProtection="1">
      <alignment horizontal="center"/>
      <protection hidden="1"/>
    </xf>
    <xf numFmtId="0" fontId="145" fillId="10" borderId="0" xfId="0" applyFont="1" applyFill="1" applyAlignment="1" applyProtection="1">
      <alignment horizontal="center" wrapText="1"/>
      <protection hidden="1"/>
    </xf>
    <xf numFmtId="0" fontId="62" fillId="10" borderId="0" xfId="0" applyFont="1" applyFill="1" applyAlignment="1" applyProtection="1">
      <alignment horizontal="center"/>
      <protection hidden="1"/>
    </xf>
    <xf numFmtId="0" fontId="94" fillId="10" borderId="0" xfId="0" applyFont="1" applyFill="1" applyAlignment="1" applyProtection="1">
      <alignment horizontal="center"/>
      <protection hidden="1"/>
    </xf>
    <xf numFmtId="0" fontId="4" fillId="10" borderId="0" xfId="108" applyFont="1" applyFill="1" applyAlignment="1" applyProtection="1">
      <alignment horizontal="right"/>
      <protection hidden="1"/>
    </xf>
    <xf numFmtId="172" fontId="94" fillId="10" borderId="0" xfId="0" applyNumberFormat="1" applyFont="1" applyFill="1" applyAlignment="1" applyProtection="1">
      <alignment horizontal="center"/>
      <protection hidden="1"/>
    </xf>
    <xf numFmtId="170" fontId="94" fillId="10" borderId="0" xfId="0" applyNumberFormat="1" applyFont="1" applyFill="1" applyAlignment="1" applyProtection="1">
      <alignment horizontal="center"/>
      <protection hidden="1"/>
    </xf>
    <xf numFmtId="170" fontId="94" fillId="10" borderId="0" xfId="4" applyNumberFormat="1" applyFont="1" applyFill="1" applyBorder="1" applyAlignment="1" applyProtection="1">
      <alignment horizontal="center"/>
      <protection hidden="1"/>
    </xf>
    <xf numFmtId="170" fontId="94" fillId="10" borderId="0" xfId="0" applyNumberFormat="1" applyFont="1" applyFill="1" applyAlignment="1" applyProtection="1">
      <alignment horizontal="left"/>
      <protection hidden="1"/>
    </xf>
    <xf numFmtId="1" fontId="94" fillId="10" borderId="0" xfId="4" applyNumberFormat="1" applyFont="1" applyFill="1" applyBorder="1" applyAlignment="1" applyProtection="1">
      <alignment horizontal="center"/>
      <protection hidden="1"/>
    </xf>
    <xf numFmtId="1" fontId="94" fillId="10" borderId="0" xfId="0" applyNumberFormat="1" applyFont="1" applyFill="1" applyAlignment="1" applyProtection="1">
      <alignment horizontal="center"/>
      <protection hidden="1"/>
    </xf>
    <xf numFmtId="0" fontId="94" fillId="10" borderId="0" xfId="0" applyFont="1" applyFill="1" applyAlignment="1" applyProtection="1">
      <alignment horizontal="left"/>
      <protection hidden="1"/>
    </xf>
    <xf numFmtId="2" fontId="94" fillId="10" borderId="0" xfId="0" applyNumberFormat="1" applyFont="1" applyFill="1" applyAlignment="1" applyProtection="1">
      <alignment horizontal="center"/>
      <protection hidden="1"/>
    </xf>
    <xf numFmtId="44" fontId="94" fillId="10" borderId="0" xfId="58" applyFont="1" applyFill="1" applyBorder="1" applyAlignment="1" applyProtection="1">
      <alignment horizontal="center"/>
      <protection hidden="1"/>
    </xf>
    <xf numFmtId="184" fontId="94" fillId="10" borderId="0" xfId="58" applyNumberFormat="1" applyFont="1" applyFill="1" applyBorder="1" applyAlignment="1" applyProtection="1">
      <alignment horizontal="center"/>
      <protection hidden="1"/>
    </xf>
    <xf numFmtId="0" fontId="76" fillId="10" borderId="0" xfId="0" applyFont="1" applyFill="1" applyAlignment="1" applyProtection="1">
      <alignment horizontal="right"/>
      <protection hidden="1"/>
    </xf>
    <xf numFmtId="0" fontId="155" fillId="10" borderId="0" xfId="108" applyFont="1" applyFill="1" applyAlignment="1" applyProtection="1">
      <alignment horizontal="right"/>
      <protection hidden="1"/>
    </xf>
    <xf numFmtId="173" fontId="157" fillId="0" borderId="0" xfId="0" applyNumberFormat="1" applyFont="1" applyAlignment="1" applyProtection="1">
      <alignment horizontal="left"/>
      <protection hidden="1"/>
    </xf>
    <xf numFmtId="0" fontId="155" fillId="10" borderId="0" xfId="108" applyFont="1" applyFill="1" applyProtection="1">
      <protection hidden="1"/>
    </xf>
    <xf numFmtId="0" fontId="155" fillId="10" borderId="0" xfId="108" applyFont="1" applyFill="1" applyProtection="1">
      <protection locked="0"/>
    </xf>
    <xf numFmtId="0" fontId="6" fillId="0" borderId="0" xfId="0" applyFont="1" applyAlignment="1" applyProtection="1">
      <alignment vertical="center"/>
      <protection hidden="1"/>
    </xf>
    <xf numFmtId="0" fontId="6" fillId="0" borderId="0" xfId="0" applyFont="1" applyProtection="1">
      <protection hidden="1"/>
    </xf>
    <xf numFmtId="0" fontId="6" fillId="0" borderId="0" xfId="0" applyFont="1" applyAlignment="1" applyProtection="1">
      <alignment vertical="center" wrapText="1"/>
      <protection hidden="1"/>
    </xf>
    <xf numFmtId="0" fontId="94" fillId="11" borderId="12" xfId="148" applyFont="1" applyFill="1" applyBorder="1" applyAlignment="1" applyProtection="1">
      <alignment horizontal="left"/>
      <protection hidden="1"/>
    </xf>
    <xf numFmtId="188" fontId="27" fillId="0" borderId="14" xfId="8" applyNumberFormat="1" applyFont="1" applyBorder="1" applyAlignment="1" applyProtection="1">
      <alignment vertical="center"/>
      <protection hidden="1"/>
    </xf>
    <xf numFmtId="172" fontId="94" fillId="0" borderId="0" xfId="0" applyNumberFormat="1" applyFont="1" applyProtection="1">
      <protection hidden="1"/>
    </xf>
    <xf numFmtId="172" fontId="94" fillId="10" borderId="0" xfId="0" applyNumberFormat="1" applyFont="1" applyFill="1" applyProtection="1">
      <protection hidden="1"/>
    </xf>
    <xf numFmtId="178" fontId="27" fillId="0" borderId="9" xfId="8" applyNumberFormat="1" applyFont="1" applyBorder="1" applyAlignment="1" applyProtection="1">
      <alignment vertical="center" wrapText="1"/>
      <protection hidden="1"/>
    </xf>
    <xf numFmtId="0" fontId="155" fillId="0" borderId="0" xfId="108" applyFont="1" applyAlignment="1" applyProtection="1">
      <alignment horizontal="left"/>
      <protection hidden="1"/>
    </xf>
    <xf numFmtId="0" fontId="0" fillId="0" borderId="0" xfId="0" quotePrefix="1"/>
    <xf numFmtId="0" fontId="60" fillId="32" borderId="68" xfId="0" applyFont="1" applyFill="1" applyBorder="1" applyAlignment="1" applyProtection="1">
      <alignment horizontal="center"/>
      <protection locked="0"/>
    </xf>
    <xf numFmtId="0" fontId="0" fillId="11" borderId="1" xfId="0" applyFill="1" applyBorder="1" applyProtection="1">
      <protection locked="0"/>
    </xf>
    <xf numFmtId="0" fontId="0" fillId="29" borderId="0" xfId="0" applyFill="1"/>
    <xf numFmtId="0" fontId="0" fillId="10" borderId="0" xfId="0" applyFill="1" applyAlignment="1" applyProtection="1">
      <alignment wrapText="1"/>
      <protection hidden="1"/>
    </xf>
    <xf numFmtId="0" fontId="0" fillId="6" borderId="22" xfId="0" applyFill="1" applyBorder="1" applyProtection="1">
      <protection locked="0"/>
    </xf>
    <xf numFmtId="0" fontId="0" fillId="33" borderId="0" xfId="0" applyFill="1"/>
    <xf numFmtId="0" fontId="0" fillId="21" borderId="0" xfId="0" applyFill="1"/>
    <xf numFmtId="0" fontId="60" fillId="33" borderId="0" xfId="0" applyFont="1" applyFill="1"/>
    <xf numFmtId="0" fontId="76" fillId="0" borderId="0" xfId="0" applyFont="1" applyAlignment="1">
      <alignment horizontal="left"/>
    </xf>
    <xf numFmtId="0" fontId="2" fillId="0" borderId="0" xfId="0" applyFont="1" applyAlignment="1" applyProtection="1">
      <alignment vertical="top" wrapText="1"/>
      <protection hidden="1"/>
    </xf>
    <xf numFmtId="49" fontId="3" fillId="0" borderId="0" xfId="0" applyNumberFormat="1" applyFont="1" applyAlignment="1" applyProtection="1">
      <alignment horizontal="left" vertical="top"/>
      <protection hidden="1"/>
    </xf>
    <xf numFmtId="0" fontId="2" fillId="6" borderId="1" xfId="0" applyFont="1" applyFill="1" applyBorder="1" applyAlignment="1" applyProtection="1">
      <alignment vertical="top" wrapText="1"/>
      <protection hidden="1"/>
    </xf>
    <xf numFmtId="0" fontId="6" fillId="0" borderId="0" xfId="0" applyFont="1" applyAlignment="1" applyProtection="1">
      <alignment horizontal="left" wrapText="1"/>
      <protection hidden="1"/>
    </xf>
    <xf numFmtId="0" fontId="160" fillId="0" borderId="1" xfId="154" applyFont="1" applyBorder="1" applyAlignment="1" applyProtection="1">
      <alignment vertical="center" wrapText="1"/>
      <protection locked="0"/>
    </xf>
    <xf numFmtId="170" fontId="160" fillId="0" borderId="1" xfId="154" applyNumberFormat="1" applyFont="1" applyBorder="1" applyAlignment="1" applyProtection="1">
      <alignment vertical="center" wrapText="1"/>
      <protection locked="0"/>
    </xf>
    <xf numFmtId="170" fontId="160" fillId="0" borderId="22" xfId="154" applyNumberFormat="1" applyFont="1" applyBorder="1" applyAlignment="1" applyProtection="1">
      <alignment vertical="center" wrapText="1"/>
      <protection locked="0"/>
    </xf>
    <xf numFmtId="189" fontId="0" fillId="0" borderId="1" xfId="0" applyNumberFormat="1" applyBorder="1" applyProtection="1">
      <protection locked="0"/>
    </xf>
    <xf numFmtId="189" fontId="0" fillId="0" borderId="1" xfId="124" applyNumberFormat="1" applyFont="1" applyBorder="1" applyProtection="1">
      <protection locked="0"/>
    </xf>
    <xf numFmtId="0" fontId="0" fillId="0" borderId="30" xfId="0" applyBorder="1" applyProtection="1">
      <protection locked="0"/>
    </xf>
    <xf numFmtId="0" fontId="0" fillId="0" borderId="3" xfId="0" applyBorder="1" applyProtection="1">
      <protection locked="0"/>
    </xf>
    <xf numFmtId="0" fontId="0" fillId="10" borderId="3" xfId="0" applyFill="1" applyBorder="1" applyProtection="1">
      <protection locked="0"/>
    </xf>
    <xf numFmtId="0" fontId="161" fillId="0" borderId="0" xfId="0" applyFont="1" applyAlignment="1" applyProtection="1">
      <alignment vertical="top"/>
      <protection hidden="1"/>
    </xf>
    <xf numFmtId="0" fontId="46" fillId="0" borderId="0" xfId="0" applyFont="1" applyAlignment="1" applyProtection="1">
      <alignment horizontal="center"/>
      <protection hidden="1"/>
    </xf>
    <xf numFmtId="6" fontId="44" fillId="0" borderId="0" xfId="0" applyNumberFormat="1" applyFont="1" applyAlignment="1" applyProtection="1">
      <alignment horizontal="center"/>
      <protection hidden="1"/>
    </xf>
    <xf numFmtId="0" fontId="61" fillId="10" borderId="0" xfId="0" applyFont="1" applyFill="1" applyAlignment="1" applyProtection="1">
      <alignment vertical="center" wrapText="1"/>
      <protection hidden="1"/>
    </xf>
    <xf numFmtId="0" fontId="50" fillId="0" borderId="22" xfId="0" applyFont="1" applyBorder="1" applyAlignment="1">
      <alignment horizontal="center"/>
    </xf>
    <xf numFmtId="4" fontId="0" fillId="0" borderId="1" xfId="0" applyNumberFormat="1" applyBorder="1" applyAlignment="1">
      <alignment horizontal="center"/>
    </xf>
    <xf numFmtId="167" fontId="0" fillId="0" borderId="3" xfId="0" applyNumberFormat="1" applyBorder="1"/>
    <xf numFmtId="182" fontId="52" fillId="6" borderId="1" xfId="0" applyNumberFormat="1" applyFont="1" applyFill="1" applyBorder="1" applyAlignment="1" applyProtection="1">
      <alignment horizontal="center" vertical="center"/>
      <protection locked="0"/>
    </xf>
    <xf numFmtId="0" fontId="62" fillId="0" borderId="0" xfId="0" applyFont="1" applyAlignment="1" applyProtection="1">
      <alignment vertical="center" wrapText="1"/>
      <protection hidden="1"/>
    </xf>
    <xf numFmtId="0" fontId="0" fillId="0" borderId="3" xfId="0" applyBorder="1" applyAlignment="1" applyProtection="1">
      <alignment horizontal="right"/>
      <protection locked="0"/>
    </xf>
    <xf numFmtId="0" fontId="0" fillId="0" borderId="30" xfId="0" applyBorder="1" applyAlignment="1" applyProtection="1">
      <alignment horizontal="right"/>
      <protection locked="0"/>
    </xf>
    <xf numFmtId="187" fontId="0" fillId="0" borderId="0" xfId="0" applyNumberFormat="1"/>
    <xf numFmtId="186" fontId="0" fillId="0" borderId="0" xfId="0" applyNumberFormat="1"/>
    <xf numFmtId="0" fontId="46" fillId="3" borderId="22" xfId="0" applyFont="1" applyFill="1" applyBorder="1" applyAlignment="1">
      <alignment horizontal="center"/>
    </xf>
    <xf numFmtId="0" fontId="46" fillId="3" borderId="30" xfId="0" applyFont="1" applyFill="1" applyBorder="1" applyAlignment="1">
      <alignment horizontal="center"/>
    </xf>
    <xf numFmtId="0" fontId="46" fillId="3" borderId="24" xfId="0" applyFont="1" applyFill="1" applyBorder="1" applyAlignment="1">
      <alignment horizontal="center"/>
    </xf>
    <xf numFmtId="0" fontId="166" fillId="0" borderId="73" xfId="0" applyFont="1" applyBorder="1" applyProtection="1">
      <protection hidden="1"/>
    </xf>
    <xf numFmtId="0" fontId="52" fillId="0" borderId="74" xfId="0" applyFont="1" applyBorder="1" applyProtection="1">
      <protection hidden="1"/>
    </xf>
    <xf numFmtId="0" fontId="162" fillId="36" borderId="0" xfId="0" applyFont="1" applyFill="1" applyAlignment="1" applyProtection="1">
      <alignment vertical="center"/>
      <protection hidden="1"/>
    </xf>
    <xf numFmtId="0" fontId="163" fillId="36" borderId="0" xfId="0" applyFont="1" applyFill="1" applyAlignment="1" applyProtection="1">
      <alignment vertical="center"/>
      <protection hidden="1"/>
    </xf>
    <xf numFmtId="0" fontId="164" fillId="36" borderId="0" xfId="0" applyFont="1" applyFill="1" applyAlignment="1" applyProtection="1">
      <alignment vertical="center"/>
      <protection hidden="1"/>
    </xf>
    <xf numFmtId="0" fontId="52" fillId="0" borderId="73" xfId="0" applyFont="1" applyBorder="1" applyProtection="1">
      <protection hidden="1"/>
    </xf>
    <xf numFmtId="0" fontId="165" fillId="36" borderId="0" xfId="0" applyFont="1" applyFill="1" applyAlignment="1" applyProtection="1">
      <alignment vertical="center"/>
      <protection hidden="1"/>
    </xf>
    <xf numFmtId="0" fontId="60" fillId="35" borderId="1" xfId="0" applyFont="1" applyFill="1" applyBorder="1"/>
    <xf numFmtId="0" fontId="60" fillId="35" borderId="22" xfId="0" applyFont="1" applyFill="1" applyBorder="1"/>
    <xf numFmtId="166" fontId="60" fillId="35" borderId="1" xfId="58" applyNumberFormat="1" applyFont="1" applyFill="1" applyBorder="1"/>
    <xf numFmtId="44" fontId="60" fillId="35" borderId="1" xfId="0" applyNumberFormat="1" applyFont="1" applyFill="1" applyBorder="1"/>
    <xf numFmtId="0" fontId="0" fillId="35" borderId="1" xfId="0" applyFill="1" applyBorder="1"/>
    <xf numFmtId="166" fontId="43" fillId="35" borderId="1" xfId="58" applyNumberFormat="1" applyFill="1" applyBorder="1"/>
    <xf numFmtId="44" fontId="0" fillId="35" borderId="1" xfId="0" applyNumberFormat="1" applyFill="1" applyBorder="1"/>
    <xf numFmtId="0" fontId="60" fillId="0" borderId="1" xfId="0" applyFont="1" applyBorder="1" applyAlignment="1">
      <alignment horizontal="center"/>
    </xf>
    <xf numFmtId="170" fontId="0" fillId="0" borderId="1" xfId="0" applyNumberFormat="1" applyBorder="1" applyAlignment="1">
      <alignment horizontal="center"/>
    </xf>
    <xf numFmtId="3" fontId="0" fillId="6" borderId="1" xfId="0" applyNumberFormat="1" applyFill="1" applyBorder="1" applyAlignment="1" applyProtection="1">
      <alignment horizontal="center"/>
      <protection locked="0"/>
    </xf>
    <xf numFmtId="0" fontId="46" fillId="3" borderId="31" xfId="0" applyFont="1" applyFill="1" applyBorder="1" applyAlignment="1">
      <alignment horizontal="center"/>
    </xf>
    <xf numFmtId="0" fontId="46" fillId="3" borderId="32" xfId="0" applyFont="1" applyFill="1" applyBorder="1" applyAlignment="1">
      <alignment horizontal="center"/>
    </xf>
    <xf numFmtId="0" fontId="46" fillId="3" borderId="3" xfId="0" applyFont="1" applyFill="1" applyBorder="1" applyAlignment="1">
      <alignment horizontal="center"/>
    </xf>
    <xf numFmtId="0" fontId="46" fillId="3" borderId="36" xfId="0" applyFont="1" applyFill="1" applyBorder="1" applyAlignment="1">
      <alignment horizontal="center"/>
    </xf>
    <xf numFmtId="0" fontId="46" fillId="3" borderId="37" xfId="0" applyFont="1" applyFill="1" applyBorder="1" applyAlignment="1">
      <alignment horizontal="center"/>
    </xf>
    <xf numFmtId="0" fontId="46" fillId="3" borderId="5" xfId="0" applyFont="1" applyFill="1" applyBorder="1" applyAlignment="1">
      <alignment horizontal="center"/>
    </xf>
    <xf numFmtId="0" fontId="46" fillId="3" borderId="0" xfId="0" applyFont="1" applyFill="1" applyAlignment="1">
      <alignment horizontal="center"/>
    </xf>
    <xf numFmtId="0" fontId="46" fillId="3" borderId="0" xfId="0" applyFont="1" applyFill="1" applyAlignment="1">
      <alignment horizontal="center" vertical="center"/>
    </xf>
    <xf numFmtId="0" fontId="46" fillId="3" borderId="0" xfId="0" applyFont="1" applyFill="1" applyAlignment="1">
      <alignment horizontal="center" wrapText="1"/>
    </xf>
    <xf numFmtId="0" fontId="46" fillId="3" borderId="3" xfId="0" applyFont="1" applyFill="1" applyBorder="1" applyAlignment="1">
      <alignment horizontal="center" wrapText="1"/>
    </xf>
    <xf numFmtId="0" fontId="46" fillId="3" borderId="0" xfId="0" applyFont="1" applyFill="1" applyAlignment="1">
      <alignment horizontal="center" vertical="center" wrapText="1"/>
    </xf>
    <xf numFmtId="0" fontId="46" fillId="3" borderId="3" xfId="0" applyFont="1" applyFill="1" applyBorder="1" applyAlignment="1">
      <alignment horizontal="center" vertical="center" wrapText="1"/>
    </xf>
    <xf numFmtId="0" fontId="0" fillId="0" borderId="14" xfId="0" applyBorder="1" applyAlignment="1" applyProtection="1">
      <alignment horizontal="center"/>
      <protection hidden="1"/>
    </xf>
    <xf numFmtId="0" fontId="44" fillId="3" borderId="1" xfId="0" applyFont="1" applyFill="1" applyBorder="1" applyAlignment="1">
      <alignment horizontal="center"/>
    </xf>
    <xf numFmtId="0" fontId="59" fillId="0" borderId="0" xfId="0" applyFont="1" applyAlignment="1" applyProtection="1">
      <alignment vertical="center" wrapText="1"/>
      <protection hidden="1"/>
    </xf>
    <xf numFmtId="167" fontId="60" fillId="0" borderId="0" xfId="58" applyNumberFormat="1" applyFont="1" applyFill="1" applyBorder="1" applyAlignment="1" applyProtection="1">
      <alignment horizontal="center" vertical="center"/>
      <protection hidden="1"/>
    </xf>
    <xf numFmtId="0" fontId="0" fillId="0" borderId="11" xfId="0" applyBorder="1" applyAlignment="1" applyProtection="1">
      <alignment horizontal="center"/>
      <protection hidden="1"/>
    </xf>
    <xf numFmtId="167" fontId="60" fillId="0" borderId="11" xfId="58" applyNumberFormat="1" applyFont="1" applyBorder="1" applyAlignment="1" applyProtection="1">
      <alignment horizontal="center" vertical="center"/>
      <protection hidden="1"/>
    </xf>
    <xf numFmtId="166" fontId="43" fillId="0" borderId="0" xfId="58" applyNumberFormat="1" applyBorder="1" applyAlignment="1" applyProtection="1">
      <protection hidden="1"/>
    </xf>
    <xf numFmtId="9" fontId="0" fillId="0" borderId="1" xfId="0" applyNumberFormat="1" applyBorder="1" applyAlignment="1">
      <alignment horizontal="center"/>
    </xf>
    <xf numFmtId="0" fontId="78" fillId="11" borderId="11" xfId="0" applyFont="1" applyFill="1" applyBorder="1"/>
    <xf numFmtId="9" fontId="49" fillId="2" borderId="43" xfId="115" applyFont="1" applyFill="1" applyBorder="1" applyProtection="1">
      <protection locked="0"/>
    </xf>
    <xf numFmtId="3" fontId="0" fillId="6" borderId="1" xfId="0" applyNumberFormat="1" applyFill="1" applyBorder="1"/>
    <xf numFmtId="0" fontId="78" fillId="11" borderId="4" xfId="0" applyFont="1" applyFill="1" applyBorder="1"/>
    <xf numFmtId="0" fontId="78" fillId="11" borderId="2" xfId="0" applyFont="1" applyFill="1" applyBorder="1"/>
    <xf numFmtId="0" fontId="78" fillId="11" borderId="14" xfId="0" applyFont="1" applyFill="1" applyBorder="1"/>
    <xf numFmtId="0" fontId="78" fillId="11" borderId="6" xfId="0" applyFont="1" applyFill="1" applyBorder="1"/>
    <xf numFmtId="0" fontId="78" fillId="11" borderId="3" xfId="0" applyFont="1" applyFill="1" applyBorder="1"/>
    <xf numFmtId="0" fontId="78" fillId="11" borderId="10" xfId="0" applyFont="1" applyFill="1" applyBorder="1"/>
    <xf numFmtId="0" fontId="0" fillId="10" borderId="1" xfId="0" applyFill="1" applyBorder="1" applyAlignment="1">
      <alignment horizontal="center"/>
    </xf>
    <xf numFmtId="2" fontId="0" fillId="0" borderId="1" xfId="0" applyNumberFormat="1" applyBorder="1" applyAlignment="1">
      <alignment horizontal="right"/>
    </xf>
    <xf numFmtId="0" fontId="46" fillId="3" borderId="24" xfId="0" applyFont="1" applyFill="1" applyBorder="1"/>
    <xf numFmtId="0" fontId="2" fillId="0" borderId="9" xfId="0" applyFont="1" applyBorder="1" applyAlignment="1">
      <alignment vertical="center"/>
    </xf>
    <xf numFmtId="0" fontId="2" fillId="0" borderId="1" xfId="0" applyFont="1" applyBorder="1"/>
    <xf numFmtId="178" fontId="60" fillId="0" borderId="18" xfId="4" applyNumberFormat="1" applyFont="1" applyBorder="1"/>
    <xf numFmtId="0" fontId="0" fillId="0" borderId="1" xfId="0" quotePrefix="1" applyBorder="1" applyAlignment="1">
      <alignment horizontal="right" wrapText="1"/>
    </xf>
    <xf numFmtId="0" fontId="44" fillId="3" borderId="6" xfId="0" applyFont="1" applyFill="1" applyBorder="1"/>
    <xf numFmtId="0" fontId="44" fillId="3" borderId="3" xfId="0" applyFont="1" applyFill="1" applyBorder="1"/>
    <xf numFmtId="170" fontId="94" fillId="0" borderId="12" xfId="0" applyNumberFormat="1" applyFont="1" applyBorder="1" applyAlignment="1" applyProtection="1">
      <alignment horizontal="center"/>
      <protection hidden="1"/>
    </xf>
    <xf numFmtId="1" fontId="94" fillId="0" borderId="12" xfId="0" applyNumberFormat="1" applyFont="1" applyBorder="1" applyAlignment="1" applyProtection="1">
      <alignment horizontal="center"/>
      <protection hidden="1"/>
    </xf>
    <xf numFmtId="0" fontId="0" fillId="0" borderId="1" xfId="0" applyBorder="1" applyAlignment="1" applyProtection="1">
      <alignment horizontal="center" wrapText="1"/>
      <protection hidden="1"/>
    </xf>
    <xf numFmtId="49" fontId="168" fillId="0" borderId="0" xfId="0" applyNumberFormat="1" applyFont="1" applyAlignment="1" applyProtection="1">
      <alignment horizontal="right" vertical="top"/>
      <protection hidden="1"/>
    </xf>
    <xf numFmtId="0" fontId="168" fillId="0" borderId="0" xfId="0" applyFont="1" applyProtection="1">
      <protection hidden="1"/>
    </xf>
    <xf numFmtId="0" fontId="168" fillId="0" borderId="9" xfId="0" applyFont="1" applyBorder="1" applyProtection="1">
      <protection hidden="1"/>
    </xf>
    <xf numFmtId="49" fontId="168" fillId="0" borderId="0" xfId="0" applyNumberFormat="1" applyFont="1" applyAlignment="1" applyProtection="1">
      <alignment horizontal="right"/>
      <protection hidden="1"/>
    </xf>
    <xf numFmtId="0" fontId="169" fillId="0" borderId="0" xfId="105" applyFont="1" applyAlignment="1" applyProtection="1">
      <protection hidden="1"/>
    </xf>
    <xf numFmtId="0" fontId="170" fillId="0" borderId="0" xfId="0" quotePrefix="1" applyFont="1" applyProtection="1">
      <protection hidden="1"/>
    </xf>
    <xf numFmtId="0" fontId="171" fillId="0" borderId="0" xfId="0" applyFont="1" applyProtection="1">
      <protection hidden="1"/>
    </xf>
    <xf numFmtId="0" fontId="172" fillId="0" borderId="0" xfId="0" applyFont="1" applyProtection="1">
      <protection hidden="1"/>
    </xf>
    <xf numFmtId="0" fontId="111" fillId="0" borderId="0" xfId="0" applyFont="1" applyProtection="1">
      <protection hidden="1"/>
    </xf>
    <xf numFmtId="0" fontId="58" fillId="36" borderId="0" xfId="0" applyFont="1" applyFill="1" applyAlignment="1" applyProtection="1">
      <alignment vertical="center"/>
      <protection hidden="1"/>
    </xf>
    <xf numFmtId="0" fontId="0" fillId="6" borderId="22" xfId="0" applyFill="1" applyBorder="1" applyAlignment="1" applyProtection="1">
      <alignment horizontal="center"/>
      <protection locked="0"/>
    </xf>
    <xf numFmtId="0" fontId="0" fillId="6" borderId="1" xfId="0" applyFill="1" applyBorder="1" applyProtection="1">
      <protection locked="0"/>
    </xf>
    <xf numFmtId="0" fontId="46" fillId="3" borderId="13" xfId="0" applyFont="1" applyFill="1" applyBorder="1" applyAlignment="1">
      <alignment horizontal="center" vertical="center" wrapText="1"/>
    </xf>
    <xf numFmtId="0" fontId="46" fillId="3" borderId="2" xfId="0" applyFont="1" applyFill="1" applyBorder="1" applyAlignment="1">
      <alignment horizontal="center"/>
    </xf>
    <xf numFmtId="0" fontId="46" fillId="3" borderId="14" xfId="0" applyFont="1" applyFill="1" applyBorder="1" applyAlignment="1">
      <alignment horizontal="center"/>
    </xf>
    <xf numFmtId="0" fontId="0" fillId="0" borderId="1" xfId="0" applyBorder="1" applyAlignment="1" applyProtection="1">
      <alignment horizontal="center" vertical="center"/>
      <protection hidden="1"/>
    </xf>
    <xf numFmtId="9" fontId="0" fillId="0" borderId="9" xfId="0" applyNumberFormat="1" applyBorder="1"/>
    <xf numFmtId="10" fontId="0" fillId="0" borderId="9" xfId="0" applyNumberFormat="1" applyBorder="1"/>
    <xf numFmtId="0" fontId="44" fillId="3" borderId="24" xfId="0" applyFont="1" applyFill="1" applyBorder="1"/>
    <xf numFmtId="0" fontId="44" fillId="3" borderId="30" xfId="0" applyFont="1" applyFill="1" applyBorder="1"/>
    <xf numFmtId="2" fontId="60" fillId="0" borderId="1" xfId="0" applyNumberFormat="1" applyFont="1" applyBorder="1" applyAlignment="1">
      <alignment horizontal="center"/>
    </xf>
    <xf numFmtId="2" fontId="0" fillId="0" borderId="1" xfId="0" applyNumberFormat="1" applyBorder="1" applyAlignment="1">
      <alignment horizontal="center"/>
    </xf>
    <xf numFmtId="2" fontId="43" fillId="0" borderId="1" xfId="115" applyNumberFormat="1" applyBorder="1" applyAlignment="1">
      <alignment horizontal="center"/>
    </xf>
    <xf numFmtId="0" fontId="46" fillId="3" borderId="4" xfId="0" applyFont="1" applyFill="1" applyBorder="1" applyAlignment="1">
      <alignment horizontal="center"/>
    </xf>
    <xf numFmtId="0" fontId="59" fillId="0" borderId="0" xfId="0" applyFont="1" applyAlignment="1">
      <alignment horizontal="center"/>
    </xf>
    <xf numFmtId="170" fontId="0" fillId="0" borderId="0" xfId="0" applyNumberFormat="1" applyAlignment="1">
      <alignment horizontal="center"/>
    </xf>
    <xf numFmtId="0" fontId="50" fillId="0" borderId="1" xfId="0" applyFont="1" applyBorder="1" applyAlignment="1">
      <alignment horizontal="center"/>
    </xf>
    <xf numFmtId="4" fontId="0" fillId="0" borderId="1" xfId="0" applyNumberFormat="1" applyBorder="1"/>
    <xf numFmtId="4" fontId="0" fillId="0" borderId="0" xfId="0" applyNumberFormat="1"/>
    <xf numFmtId="0" fontId="52" fillId="0" borderId="0" xfId="0" applyFont="1" applyAlignment="1">
      <alignment horizontal="left"/>
    </xf>
    <xf numFmtId="0" fontId="2" fillId="0" borderId="0" xfId="0" applyFont="1" applyAlignment="1">
      <alignment horizontal="center"/>
    </xf>
    <xf numFmtId="0" fontId="4" fillId="0" borderId="0" xfId="108" applyFont="1"/>
    <xf numFmtId="0" fontId="174" fillId="0" borderId="0" xfId="105" applyFont="1" applyAlignment="1" applyProtection="1"/>
    <xf numFmtId="166" fontId="43" fillId="0" borderId="1" xfId="58" applyNumberFormat="1" applyFont="1" applyBorder="1"/>
    <xf numFmtId="3" fontId="0" fillId="0" borderId="1" xfId="0" applyNumberFormat="1" applyBorder="1"/>
    <xf numFmtId="0" fontId="46" fillId="3" borderId="12" xfId="0" applyFont="1" applyFill="1" applyBorder="1"/>
    <xf numFmtId="0" fontId="4" fillId="0" borderId="75" xfId="108" applyFont="1" applyBorder="1" applyAlignment="1">
      <alignment horizontal="center" vertical="center"/>
    </xf>
    <xf numFmtId="0" fontId="4" fillId="0" borderId="76" xfId="108" applyFont="1" applyBorder="1" applyAlignment="1">
      <alignment horizontal="center" vertical="center"/>
    </xf>
    <xf numFmtId="0" fontId="4" fillId="0" borderId="77" xfId="108" applyFont="1" applyBorder="1" applyAlignment="1">
      <alignment horizontal="center" vertical="center"/>
    </xf>
    <xf numFmtId="188" fontId="0" fillId="0" borderId="1" xfId="0" applyNumberFormat="1" applyBorder="1"/>
    <xf numFmtId="0" fontId="173" fillId="0" borderId="0" xfId="155"/>
    <xf numFmtId="167" fontId="0" fillId="0" borderId="1" xfId="0" applyNumberFormat="1" applyBorder="1" applyAlignment="1">
      <alignment horizontal="center"/>
    </xf>
    <xf numFmtId="6" fontId="0" fillId="0" borderId="1" xfId="0" applyNumberFormat="1" applyBorder="1" applyAlignment="1">
      <alignment horizontal="center"/>
    </xf>
    <xf numFmtId="0" fontId="59" fillId="3" borderId="1" xfId="0" applyFont="1" applyFill="1" applyBorder="1" applyAlignment="1">
      <alignment horizontal="center" vertical="center" wrapText="1"/>
    </xf>
    <xf numFmtId="6" fontId="0" fillId="0" borderId="0" xfId="0" applyNumberFormat="1" applyAlignment="1">
      <alignment horizontal="center"/>
    </xf>
    <xf numFmtId="172" fontId="43" fillId="0" borderId="1" xfId="4" applyNumberFormat="1" applyBorder="1" applyAlignment="1">
      <alignment vertical="center"/>
    </xf>
    <xf numFmtId="186" fontId="43" fillId="0" borderId="1" xfId="4" applyNumberFormat="1" applyBorder="1" applyAlignment="1">
      <alignment vertical="center"/>
    </xf>
    <xf numFmtId="2" fontId="43" fillId="0" borderId="1" xfId="4" applyNumberFormat="1" applyBorder="1"/>
    <xf numFmtId="0" fontId="46" fillId="3" borderId="6" xfId="0" applyFont="1" applyFill="1" applyBorder="1" applyAlignment="1">
      <alignment horizontal="center" vertical="center" wrapText="1"/>
    </xf>
    <xf numFmtId="0" fontId="79" fillId="0" borderId="0" xfId="0" applyFont="1"/>
    <xf numFmtId="190" fontId="43" fillId="0" borderId="1" xfId="4" applyNumberFormat="1" applyBorder="1" applyAlignment="1">
      <alignment vertical="center"/>
    </xf>
    <xf numFmtId="0" fontId="46" fillId="3" borderId="4" xfId="0" applyFont="1" applyFill="1" applyBorder="1" applyAlignment="1">
      <alignment horizontal="center" vertical="center" wrapText="1"/>
    </xf>
    <xf numFmtId="2" fontId="79" fillId="0" borderId="1" xfId="0" applyNumberFormat="1" applyFont="1" applyBorder="1" applyAlignment="1">
      <alignment horizontal="center"/>
    </xf>
    <xf numFmtId="3" fontId="50" fillId="0" borderId="1" xfId="0" applyNumberFormat="1" applyFont="1" applyBorder="1"/>
    <xf numFmtId="0" fontId="50" fillId="0" borderId="1" xfId="0" applyFont="1" applyBorder="1"/>
    <xf numFmtId="0" fontId="50" fillId="0" borderId="1" xfId="0" applyFont="1" applyBorder="1" applyProtection="1">
      <protection locked="0"/>
    </xf>
    <xf numFmtId="10" fontId="43" fillId="0" borderId="10" xfId="115" applyNumberFormat="1" applyBorder="1"/>
    <xf numFmtId="9" fontId="43" fillId="0" borderId="1" xfId="115" applyBorder="1" applyAlignment="1">
      <alignment horizontal="center"/>
    </xf>
    <xf numFmtId="10" fontId="0" fillId="0" borderId="1" xfId="0" applyNumberFormat="1" applyBorder="1" applyAlignment="1">
      <alignment horizontal="center"/>
    </xf>
    <xf numFmtId="0" fontId="0" fillId="0" borderId="0" xfId="0" applyAlignment="1" applyProtection="1">
      <alignment vertical="center"/>
      <protection locked="0"/>
    </xf>
    <xf numFmtId="0" fontId="46" fillId="3" borderId="0" xfId="0" applyFont="1" applyFill="1" applyAlignment="1">
      <alignment horizontal="left"/>
    </xf>
    <xf numFmtId="0" fontId="0" fillId="0" borderId="11" xfId="0" applyBorder="1" applyProtection="1">
      <protection locked="0"/>
    </xf>
    <xf numFmtId="0" fontId="59" fillId="0" borderId="1" xfId="0" applyFont="1" applyBorder="1" applyAlignment="1">
      <alignment horizontal="center" vertical="center" wrapText="1"/>
    </xf>
    <xf numFmtId="0" fontId="2" fillId="0" borderId="1" xfId="0" applyFont="1" applyBorder="1" applyAlignment="1">
      <alignment horizontal="center" vertical="center" wrapText="1"/>
    </xf>
    <xf numFmtId="10" fontId="43" fillId="0" borderId="0" xfId="115" applyNumberFormat="1"/>
    <xf numFmtId="10" fontId="43" fillId="0" borderId="9" xfId="115" applyNumberFormat="1" applyBorder="1"/>
    <xf numFmtId="0" fontId="0" fillId="11" borderId="24" xfId="0" applyFill="1" applyBorder="1" applyProtection="1">
      <protection locked="0"/>
    </xf>
    <xf numFmtId="0" fontId="0" fillId="11" borderId="1" xfId="0" applyFill="1" applyBorder="1" applyAlignment="1" applyProtection="1">
      <alignment horizontal="center" vertical="center"/>
      <protection locked="0"/>
    </xf>
    <xf numFmtId="0" fontId="59" fillId="0" borderId="1" xfId="0" applyFont="1" applyBorder="1" applyAlignment="1">
      <alignment horizontal="center"/>
    </xf>
    <xf numFmtId="0" fontId="2" fillId="0" borderId="1" xfId="0" applyFont="1" applyBorder="1" applyAlignment="1">
      <alignment horizontal="center"/>
    </xf>
    <xf numFmtId="0" fontId="52" fillId="0" borderId="1" xfId="0" applyFont="1" applyBorder="1" applyAlignment="1">
      <alignment vertical="center"/>
    </xf>
    <xf numFmtId="166" fontId="43" fillId="0" borderId="0" xfId="58" applyNumberFormat="1"/>
    <xf numFmtId="0" fontId="0" fillId="37" borderId="0" xfId="0" applyFill="1"/>
    <xf numFmtId="0" fontId="60" fillId="37" borderId="0" xfId="0" applyFont="1" applyFill="1" applyAlignment="1">
      <alignment wrapText="1"/>
    </xf>
    <xf numFmtId="0" fontId="0" fillId="0" borderId="72" xfId="0" applyBorder="1"/>
    <xf numFmtId="0" fontId="0" fillId="0" borderId="71" xfId="0" applyBorder="1"/>
    <xf numFmtId="0" fontId="0" fillId="0" borderId="70" xfId="0" applyBorder="1"/>
    <xf numFmtId="0" fontId="0" fillId="0" borderId="8" xfId="0" applyBorder="1"/>
    <xf numFmtId="0" fontId="0" fillId="0" borderId="7" xfId="0" applyBorder="1"/>
    <xf numFmtId="3" fontId="0" fillId="0" borderId="1" xfId="0" applyNumberFormat="1" applyBorder="1" applyAlignment="1">
      <alignment horizontal="right"/>
    </xf>
    <xf numFmtId="3" fontId="43" fillId="0" borderId="1" xfId="4" applyNumberFormat="1" applyBorder="1"/>
    <xf numFmtId="10" fontId="0" fillId="0" borderId="0" xfId="0" applyNumberFormat="1"/>
    <xf numFmtId="178" fontId="0" fillId="0" borderId="10" xfId="0" applyNumberFormat="1" applyBorder="1"/>
    <xf numFmtId="3" fontId="0" fillId="0" borderId="13" xfId="0" applyNumberFormat="1" applyBorder="1"/>
    <xf numFmtId="4" fontId="0" fillId="0" borderId="10" xfId="0" applyNumberFormat="1" applyBorder="1"/>
    <xf numFmtId="187" fontId="0" fillId="0" borderId="6" xfId="0" applyNumberFormat="1" applyBorder="1"/>
    <xf numFmtId="182" fontId="0" fillId="0" borderId="10" xfId="0" applyNumberFormat="1" applyBorder="1"/>
    <xf numFmtId="178" fontId="0" fillId="0" borderId="3" xfId="0" applyNumberFormat="1" applyBorder="1"/>
    <xf numFmtId="3" fontId="0" fillId="0" borderId="10" xfId="0" applyNumberFormat="1" applyBorder="1"/>
    <xf numFmtId="3" fontId="0" fillId="0" borderId="6" xfId="0" applyNumberFormat="1" applyBorder="1"/>
    <xf numFmtId="4" fontId="43" fillId="0" borderId="3" xfId="4" applyNumberFormat="1" applyBorder="1"/>
    <xf numFmtId="4" fontId="43" fillId="0" borderId="6" xfId="4" applyNumberFormat="1" applyBorder="1"/>
    <xf numFmtId="9" fontId="0" fillId="0" borderId="10" xfId="0" applyNumberFormat="1" applyBorder="1"/>
    <xf numFmtId="191" fontId="0" fillId="0" borderId="10" xfId="0" applyNumberFormat="1" applyBorder="1"/>
    <xf numFmtId="192" fontId="0" fillId="0" borderId="3" xfId="0" applyNumberFormat="1" applyBorder="1"/>
    <xf numFmtId="192" fontId="0" fillId="0" borderId="6" xfId="0" applyNumberFormat="1" applyBorder="1"/>
    <xf numFmtId="178" fontId="0" fillId="0" borderId="9" xfId="0" applyNumberFormat="1" applyBorder="1"/>
    <xf numFmtId="3" fontId="0" fillId="0" borderId="12" xfId="0" applyNumberFormat="1" applyBorder="1"/>
    <xf numFmtId="4" fontId="0" fillId="0" borderId="9" xfId="0" applyNumberFormat="1" applyBorder="1"/>
    <xf numFmtId="187" fontId="0" fillId="0" borderId="5" xfId="0" applyNumberFormat="1" applyBorder="1"/>
    <xf numFmtId="182" fontId="0" fillId="0" borderId="9" xfId="0" applyNumberFormat="1" applyBorder="1"/>
    <xf numFmtId="3" fontId="0" fillId="0" borderId="9" xfId="0" applyNumberFormat="1" applyBorder="1"/>
    <xf numFmtId="3" fontId="0" fillId="0" borderId="5" xfId="0" applyNumberFormat="1" applyBorder="1"/>
    <xf numFmtId="4" fontId="43" fillId="0" borderId="0" xfId="4" applyNumberFormat="1" applyBorder="1"/>
    <xf numFmtId="4" fontId="43" fillId="0" borderId="5" xfId="4" applyNumberFormat="1" applyBorder="1"/>
    <xf numFmtId="191" fontId="0" fillId="0" borderId="9" xfId="0" applyNumberFormat="1" applyBorder="1"/>
    <xf numFmtId="192" fontId="0" fillId="0" borderId="0" xfId="0" applyNumberFormat="1"/>
    <xf numFmtId="192" fontId="0" fillId="0" borderId="5" xfId="0" applyNumberFormat="1" applyBorder="1"/>
    <xf numFmtId="4" fontId="0" fillId="0" borderId="14" xfId="0" applyNumberFormat="1" applyBorder="1"/>
    <xf numFmtId="3" fontId="0" fillId="0" borderId="14" xfId="0" applyNumberFormat="1" applyBorder="1"/>
    <xf numFmtId="3" fontId="0" fillId="0" borderId="4" xfId="0" applyNumberFormat="1" applyBorder="1"/>
    <xf numFmtId="191" fontId="0" fillId="0" borderId="14" xfId="0" applyNumberFormat="1" applyBorder="1"/>
    <xf numFmtId="192" fontId="0" fillId="0" borderId="2" xfId="0" applyNumberFormat="1" applyBorder="1"/>
    <xf numFmtId="0" fontId="50" fillId="0" borderId="24" xfId="0" applyFont="1" applyBorder="1" applyAlignment="1">
      <alignment horizontal="center" vertical="center" wrapText="1"/>
    </xf>
    <xf numFmtId="0" fontId="50" fillId="0" borderId="1" xfId="0" applyFont="1" applyBorder="1" applyAlignment="1">
      <alignment horizontal="center" vertical="center" wrapText="1"/>
    </xf>
    <xf numFmtId="0" fontId="50" fillId="0" borderId="22" xfId="0" applyFont="1" applyBorder="1" applyAlignment="1">
      <alignment horizontal="center" vertical="center" wrapText="1"/>
    </xf>
    <xf numFmtId="0" fontId="50" fillId="0" borderId="14" xfId="0" applyFont="1" applyBorder="1" applyAlignment="1">
      <alignment horizontal="center" vertical="center" wrapText="1"/>
    </xf>
    <xf numFmtId="0" fontId="50" fillId="0" borderId="4" xfId="0" applyFont="1" applyBorder="1" applyAlignment="1">
      <alignment horizontal="center" vertical="center" wrapText="1"/>
    </xf>
    <xf numFmtId="0" fontId="50" fillId="0" borderId="30" xfId="0" applyFont="1" applyBorder="1" applyAlignment="1">
      <alignment horizontal="center" vertical="center" wrapText="1"/>
    </xf>
    <xf numFmtId="43" fontId="0" fillId="0" borderId="0" xfId="0" applyNumberFormat="1"/>
    <xf numFmtId="193" fontId="43" fillId="0" borderId="0" xfId="4" applyNumberFormat="1"/>
    <xf numFmtId="0" fontId="50" fillId="0" borderId="0" xfId="0" applyFont="1" applyAlignment="1">
      <alignment horizontal="center" vertical="center" wrapText="1"/>
    </xf>
    <xf numFmtId="4" fontId="43" fillId="0" borderId="10" xfId="4" applyNumberFormat="1" applyBorder="1"/>
    <xf numFmtId="3" fontId="0" fillId="0" borderId="3" xfId="0" applyNumberFormat="1" applyBorder="1"/>
    <xf numFmtId="3" fontId="0" fillId="0" borderId="6" xfId="0" applyNumberFormat="1" applyBorder="1" applyAlignment="1">
      <alignment horizontal="center"/>
    </xf>
    <xf numFmtId="4" fontId="0" fillId="0" borderId="6" xfId="0" applyNumberFormat="1" applyBorder="1"/>
    <xf numFmtId="4" fontId="0" fillId="0" borderId="3" xfId="0" applyNumberFormat="1" applyBorder="1"/>
    <xf numFmtId="3" fontId="43" fillId="0" borderId="13" xfId="4" applyNumberFormat="1" applyBorder="1"/>
    <xf numFmtId="3" fontId="43" fillId="0" borderId="13" xfId="4" applyNumberFormat="1" applyFont="1" applyBorder="1"/>
    <xf numFmtId="3" fontId="50" fillId="0" borderId="10" xfId="4" applyNumberFormat="1" applyFont="1" applyBorder="1"/>
    <xf numFmtId="3" fontId="43" fillId="0" borderId="3" xfId="4" applyNumberFormat="1" applyBorder="1"/>
    <xf numFmtId="3" fontId="43" fillId="0" borderId="6" xfId="4" applyNumberFormat="1" applyBorder="1"/>
    <xf numFmtId="4" fontId="43" fillId="0" borderId="13" xfId="4" applyNumberFormat="1" applyFont="1" applyBorder="1"/>
    <xf numFmtId="192" fontId="0" fillId="0" borderId="10" xfId="0" applyNumberFormat="1" applyBorder="1"/>
    <xf numFmtId="4" fontId="43" fillId="0" borderId="9" xfId="4" applyNumberFormat="1" applyBorder="1"/>
    <xf numFmtId="3" fontId="0" fillId="0" borderId="5" xfId="0" applyNumberFormat="1" applyBorder="1" applyAlignment="1">
      <alignment horizontal="center"/>
    </xf>
    <xf numFmtId="4" fontId="0" fillId="0" borderId="5" xfId="0" applyNumberFormat="1" applyBorder="1"/>
    <xf numFmtId="3" fontId="43" fillId="0" borderId="12" xfId="4" applyNumberFormat="1" applyFont="1" applyBorder="1"/>
    <xf numFmtId="3" fontId="50" fillId="0" borderId="9" xfId="4" applyNumberFormat="1" applyFont="1" applyBorder="1"/>
    <xf numFmtId="3" fontId="43" fillId="0" borderId="0" xfId="4" applyNumberFormat="1"/>
    <xf numFmtId="3" fontId="43" fillId="0" borderId="5" xfId="4" applyNumberFormat="1" applyBorder="1"/>
    <xf numFmtId="3" fontId="43" fillId="0" borderId="0" xfId="4" applyNumberFormat="1" applyBorder="1"/>
    <xf numFmtId="4" fontId="43" fillId="0" borderId="12" xfId="4" applyNumberFormat="1" applyFont="1" applyBorder="1"/>
    <xf numFmtId="192" fontId="0" fillId="0" borderId="9" xfId="0" applyNumberFormat="1" applyBorder="1"/>
    <xf numFmtId="187" fontId="0" fillId="0" borderId="9" xfId="0" applyNumberFormat="1" applyBorder="1"/>
    <xf numFmtId="188" fontId="0" fillId="0" borderId="9" xfId="0" applyNumberFormat="1" applyBorder="1"/>
    <xf numFmtId="188" fontId="0" fillId="0" borderId="0" xfId="0" applyNumberFormat="1"/>
    <xf numFmtId="188" fontId="0" fillId="0" borderId="5" xfId="0" applyNumberFormat="1" applyBorder="1"/>
    <xf numFmtId="178" fontId="50" fillId="0" borderId="9" xfId="4" applyNumberFormat="1" applyFont="1" applyBorder="1"/>
    <xf numFmtId="178" fontId="43" fillId="0" borderId="0" xfId="4" applyNumberFormat="1"/>
    <xf numFmtId="178" fontId="43" fillId="0" borderId="5" xfId="4" applyNumberFormat="1" applyBorder="1"/>
    <xf numFmtId="4" fontId="50" fillId="0" borderId="9" xfId="4" applyNumberFormat="1" applyFont="1" applyBorder="1"/>
    <xf numFmtId="4" fontId="43" fillId="0" borderId="0" xfId="4" applyNumberFormat="1"/>
    <xf numFmtId="188" fontId="0" fillId="0" borderId="4" xfId="0" applyNumberFormat="1" applyBorder="1"/>
    <xf numFmtId="3" fontId="0" fillId="0" borderId="11" xfId="0" applyNumberFormat="1" applyBorder="1"/>
    <xf numFmtId="3" fontId="43" fillId="0" borderId="11" xfId="4" applyNumberFormat="1" applyFont="1" applyBorder="1"/>
    <xf numFmtId="4" fontId="43" fillId="0" borderId="14" xfId="4" applyNumberFormat="1" applyBorder="1"/>
    <xf numFmtId="3" fontId="43" fillId="0" borderId="2" xfId="4" applyNumberFormat="1" applyBorder="1"/>
    <xf numFmtId="3" fontId="43" fillId="0" borderId="4" xfId="4" applyNumberFormat="1" applyBorder="1"/>
    <xf numFmtId="4" fontId="0" fillId="0" borderId="2" xfId="0" applyNumberFormat="1" applyBorder="1"/>
    <xf numFmtId="0" fontId="50" fillId="0" borderId="13" xfId="0" applyFont="1" applyBorder="1" applyAlignment="1">
      <alignment horizontal="center" vertical="center" wrapText="1"/>
    </xf>
    <xf numFmtId="194" fontId="0" fillId="6" borderId="1" xfId="0" applyNumberFormat="1" applyFill="1" applyBorder="1" applyAlignment="1" applyProtection="1">
      <alignment horizontal="center"/>
      <protection locked="0"/>
    </xf>
    <xf numFmtId="3" fontId="0" fillId="6" borderId="22" xfId="0" applyNumberFormat="1" applyFill="1" applyBorder="1" applyProtection="1">
      <protection locked="0"/>
    </xf>
    <xf numFmtId="1" fontId="0" fillId="6" borderId="1" xfId="0" applyNumberFormat="1" applyFill="1" applyBorder="1" applyAlignment="1" applyProtection="1">
      <alignment horizontal="center"/>
      <protection locked="0"/>
    </xf>
    <xf numFmtId="3" fontId="0" fillId="6" borderId="22" xfId="0" applyNumberFormat="1" applyFill="1" applyBorder="1" applyAlignment="1" applyProtection="1">
      <alignment horizontal="center"/>
      <protection locked="0"/>
    </xf>
    <xf numFmtId="0" fontId="0" fillId="10" borderId="1" xfId="0" applyFill="1" applyBorder="1" applyAlignment="1" applyProtection="1">
      <alignment horizontal="center"/>
      <protection hidden="1"/>
    </xf>
    <xf numFmtId="169" fontId="43" fillId="6" borderId="1" xfId="4" applyNumberFormat="1" applyFont="1" applyFill="1" applyBorder="1" applyAlignment="1" applyProtection="1">
      <alignment horizontal="center"/>
      <protection locked="0"/>
    </xf>
    <xf numFmtId="0" fontId="79" fillId="0" borderId="0" xfId="0" applyFont="1" applyAlignment="1" applyProtection="1">
      <alignment horizontal="left"/>
      <protection hidden="1"/>
    </xf>
    <xf numFmtId="6" fontId="43" fillId="0" borderId="1" xfId="58" applyNumberFormat="1" applyBorder="1" applyAlignment="1" applyProtection="1">
      <alignment horizontal="center"/>
      <protection hidden="1"/>
    </xf>
    <xf numFmtId="0" fontId="177" fillId="0" borderId="0" xfId="0" applyFont="1" applyAlignment="1" applyProtection="1">
      <alignment horizontal="center"/>
      <protection hidden="1"/>
    </xf>
    <xf numFmtId="0" fontId="177" fillId="0" borderId="0" xfId="0" applyFont="1" applyProtection="1">
      <protection hidden="1"/>
    </xf>
    <xf numFmtId="0" fontId="79" fillId="0" borderId="0" xfId="0" applyFont="1" applyAlignment="1" applyProtection="1">
      <alignment horizontal="right"/>
      <protection hidden="1"/>
    </xf>
    <xf numFmtId="0" fontId="78" fillId="0" borderId="0" xfId="0" applyFont="1" applyAlignment="1" applyProtection="1">
      <alignment horizontal="left"/>
      <protection hidden="1"/>
    </xf>
    <xf numFmtId="0" fontId="178" fillId="0" borderId="0" xfId="0" applyFont="1" applyAlignment="1" applyProtection="1">
      <alignment horizontal="left"/>
      <protection hidden="1"/>
    </xf>
    <xf numFmtId="0" fontId="60" fillId="0" borderId="0" xfId="0" applyFont="1" applyAlignment="1" applyProtection="1">
      <alignment horizontal="right"/>
      <protection hidden="1"/>
    </xf>
    <xf numFmtId="6" fontId="0" fillId="0" borderId="1" xfId="0" applyNumberFormat="1" applyBorder="1" applyAlignment="1" applyProtection="1">
      <alignment horizontal="center" vertical="center"/>
      <protection hidden="1"/>
    </xf>
    <xf numFmtId="6" fontId="0" fillId="0" borderId="1" xfId="0" quotePrefix="1" applyNumberFormat="1" applyBorder="1" applyAlignment="1" applyProtection="1">
      <alignment horizontal="center" vertical="center"/>
      <protection hidden="1"/>
    </xf>
    <xf numFmtId="0" fontId="0" fillId="10" borderId="1" xfId="0" applyFill="1" applyBorder="1" applyAlignment="1" applyProtection="1">
      <alignment vertical="center"/>
      <protection hidden="1"/>
    </xf>
    <xf numFmtId="2" fontId="0" fillId="6" borderId="1" xfId="0" applyNumberFormat="1" applyFill="1" applyBorder="1" applyAlignment="1" applyProtection="1">
      <alignment vertical="center"/>
      <protection locked="0"/>
    </xf>
    <xf numFmtId="0" fontId="0" fillId="6" borderId="22" xfId="0" applyFill="1" applyBorder="1" applyAlignment="1" applyProtection="1">
      <alignment vertical="center"/>
      <protection locked="0"/>
    </xf>
    <xf numFmtId="2" fontId="0" fillId="6" borderId="13" xfId="0" applyNumberFormat="1" applyFill="1" applyBorder="1" applyAlignment="1" applyProtection="1">
      <alignment vertical="center"/>
      <protection locked="0"/>
    </xf>
    <xf numFmtId="0" fontId="0" fillId="6" borderId="13" xfId="0" applyFill="1" applyBorder="1" applyAlignment="1" applyProtection="1">
      <alignment vertical="center"/>
      <protection locked="0"/>
    </xf>
    <xf numFmtId="169" fontId="43" fillId="6" borderId="1" xfId="4" applyNumberFormat="1" applyFill="1" applyBorder="1" applyProtection="1">
      <protection locked="0"/>
    </xf>
    <xf numFmtId="169" fontId="43" fillId="6" borderId="1" xfId="4" applyNumberFormat="1" applyFill="1" applyBorder="1" applyAlignment="1" applyProtection="1">
      <alignment vertical="center"/>
      <protection locked="0"/>
    </xf>
    <xf numFmtId="0" fontId="0" fillId="0" borderId="1" xfId="0" applyBorder="1" applyAlignment="1" applyProtection="1">
      <alignment horizontal="left" vertical="center"/>
      <protection hidden="1"/>
    </xf>
    <xf numFmtId="0" fontId="0" fillId="6" borderId="1" xfId="0" applyFill="1" applyBorder="1" applyAlignment="1" applyProtection="1">
      <alignment horizontal="left" vertical="center"/>
      <protection locked="0"/>
    </xf>
    <xf numFmtId="169" fontId="43" fillId="6" borderId="13" xfId="4" applyNumberFormat="1" applyFill="1" applyBorder="1" applyAlignment="1" applyProtection="1">
      <alignment vertical="center"/>
      <protection locked="0"/>
    </xf>
    <xf numFmtId="0" fontId="0" fillId="0" borderId="13" xfId="0" applyBorder="1" applyAlignment="1" applyProtection="1">
      <alignment horizontal="center" vertical="center"/>
      <protection hidden="1"/>
    </xf>
    <xf numFmtId="0" fontId="15" fillId="10" borderId="1" xfId="0" applyFont="1" applyFill="1" applyBorder="1" applyAlignment="1" applyProtection="1">
      <alignment horizontal="center" vertical="center" wrapText="1"/>
      <protection hidden="1"/>
    </xf>
    <xf numFmtId="0" fontId="181" fillId="0" borderId="0" xfId="0" applyFont="1" applyAlignment="1" applyProtection="1">
      <alignment horizontal="left" vertical="center"/>
      <protection hidden="1"/>
    </xf>
    <xf numFmtId="0" fontId="53" fillId="0" borderId="0" xfId="0" applyFont="1" applyAlignment="1" applyProtection="1">
      <alignment horizontal="left" vertical="top"/>
      <protection hidden="1"/>
    </xf>
    <xf numFmtId="0" fontId="53" fillId="0" borderId="0" xfId="0" applyFont="1" applyAlignment="1" applyProtection="1">
      <alignment vertical="top"/>
      <protection hidden="1"/>
    </xf>
    <xf numFmtId="0" fontId="8" fillId="0" borderId="0" xfId="0" applyFont="1" applyAlignment="1" applyProtection="1">
      <alignment vertical="top"/>
      <protection hidden="1"/>
    </xf>
    <xf numFmtId="49" fontId="4" fillId="0" borderId="0" xfId="0" applyNumberFormat="1" applyFont="1" applyAlignment="1" applyProtection="1">
      <alignment horizontal="right" vertical="top"/>
      <protection hidden="1"/>
    </xf>
    <xf numFmtId="0" fontId="6" fillId="0" borderId="0" xfId="0" applyFont="1" applyAlignment="1" applyProtection="1">
      <alignment vertical="top" wrapText="1"/>
      <protection hidden="1"/>
    </xf>
    <xf numFmtId="0" fontId="6" fillId="0" borderId="0" xfId="0" applyFont="1" applyAlignment="1" applyProtection="1">
      <alignment horizontal="left" vertical="top" wrapText="1"/>
      <protection hidden="1"/>
    </xf>
    <xf numFmtId="49" fontId="4" fillId="0" borderId="6" xfId="0" applyNumberFormat="1" applyFont="1" applyBorder="1" applyAlignment="1" applyProtection="1">
      <alignment horizontal="right" vertical="top"/>
      <protection hidden="1"/>
    </xf>
    <xf numFmtId="49" fontId="4" fillId="0" borderId="5" xfId="0" applyNumberFormat="1" applyFont="1" applyBorder="1" applyAlignment="1" applyProtection="1">
      <alignment horizontal="right" vertical="top"/>
      <protection hidden="1"/>
    </xf>
    <xf numFmtId="49" fontId="4" fillId="0" borderId="4" xfId="0" applyNumberFormat="1" applyFont="1" applyBorder="1" applyAlignment="1" applyProtection="1">
      <alignment horizontal="right" vertical="top"/>
      <protection hidden="1"/>
    </xf>
    <xf numFmtId="0" fontId="8" fillId="0" borderId="0" xfId="0" applyFont="1" applyAlignment="1" applyProtection="1">
      <alignment horizontal="left" vertical="center"/>
      <protection hidden="1"/>
    </xf>
    <xf numFmtId="0" fontId="40" fillId="0" borderId="0" xfId="0" applyFont="1" applyAlignment="1" applyProtection="1">
      <alignment horizontal="left" vertical="center" wrapText="1"/>
      <protection hidden="1"/>
    </xf>
    <xf numFmtId="0" fontId="40" fillId="0" borderId="0" xfId="0" applyFont="1" applyAlignment="1" applyProtection="1">
      <alignment vertical="center"/>
      <protection hidden="1"/>
    </xf>
    <xf numFmtId="0" fontId="0" fillId="3" borderId="78" xfId="0" applyFill="1" applyBorder="1" applyProtection="1">
      <protection hidden="1"/>
    </xf>
    <xf numFmtId="0" fontId="55" fillId="3" borderId="78" xfId="0" applyFont="1" applyFill="1" applyBorder="1" applyAlignment="1" applyProtection="1">
      <alignment vertical="center"/>
      <protection hidden="1"/>
    </xf>
    <xf numFmtId="0" fontId="13" fillId="3" borderId="78" xfId="0" applyFont="1" applyFill="1" applyBorder="1" applyAlignment="1" applyProtection="1">
      <alignment vertical="center"/>
      <protection hidden="1"/>
    </xf>
    <xf numFmtId="0" fontId="0" fillId="36" borderId="0" xfId="0" applyFill="1" applyProtection="1">
      <protection hidden="1"/>
    </xf>
    <xf numFmtId="0" fontId="55" fillId="36" borderId="0" xfId="0" applyFont="1" applyFill="1" applyAlignment="1" applyProtection="1">
      <alignment vertical="center"/>
      <protection hidden="1"/>
    </xf>
    <xf numFmtId="0" fontId="0" fillId="6" borderId="6" xfId="0" applyFill="1" applyBorder="1" applyAlignment="1" applyProtection="1">
      <alignment horizontal="center"/>
      <protection locked="0" hidden="1"/>
    </xf>
    <xf numFmtId="0" fontId="46" fillId="10" borderId="0" xfId="0" applyFont="1" applyFill="1" applyAlignment="1" applyProtection="1">
      <alignment horizontal="center" vertical="center"/>
      <protection hidden="1"/>
    </xf>
    <xf numFmtId="0" fontId="46" fillId="10" borderId="0" xfId="0" applyFont="1" applyFill="1" applyProtection="1">
      <protection hidden="1"/>
    </xf>
    <xf numFmtId="1" fontId="0" fillId="6" borderId="1" xfId="0" applyNumberFormat="1" applyFill="1" applyBorder="1" applyAlignment="1" applyProtection="1">
      <alignment vertical="center"/>
      <protection locked="0"/>
    </xf>
    <xf numFmtId="0" fontId="0" fillId="6" borderId="24" xfId="0" applyFill="1" applyBorder="1" applyAlignment="1" applyProtection="1">
      <alignment vertical="center"/>
      <protection locked="0"/>
    </xf>
    <xf numFmtId="0" fontId="0" fillId="6" borderId="10" xfId="0" applyFill="1" applyBorder="1" applyAlignment="1" applyProtection="1">
      <alignment vertical="center"/>
      <protection locked="0"/>
    </xf>
    <xf numFmtId="0" fontId="59" fillId="10" borderId="24" xfId="0" applyFont="1" applyFill="1" applyBorder="1" applyAlignment="1" applyProtection="1">
      <alignment vertical="center"/>
      <protection hidden="1"/>
    </xf>
    <xf numFmtId="0" fontId="59" fillId="10" borderId="30" xfId="0" applyFont="1" applyFill="1" applyBorder="1" applyAlignment="1" applyProtection="1">
      <alignment vertical="center"/>
      <protection hidden="1"/>
    </xf>
    <xf numFmtId="0" fontId="183" fillId="10" borderId="0" xfId="0" applyFont="1" applyFill="1" applyProtection="1">
      <protection hidden="1"/>
    </xf>
    <xf numFmtId="0" fontId="52" fillId="0" borderId="0" xfId="0" applyFont="1" applyAlignment="1">
      <alignment vertical="center"/>
    </xf>
    <xf numFmtId="0" fontId="6" fillId="0" borderId="2" xfId="0" applyFont="1" applyBorder="1" applyAlignment="1">
      <alignment horizontal="right"/>
    </xf>
    <xf numFmtId="0" fontId="3" fillId="0" borderId="2" xfId="0" applyFont="1" applyBorder="1"/>
    <xf numFmtId="0" fontId="2" fillId="0" borderId="2" xfId="0" applyFont="1" applyBorder="1"/>
    <xf numFmtId="49" fontId="95" fillId="10" borderId="0" xfId="0" applyNumberFormat="1" applyFont="1" applyFill="1" applyAlignment="1">
      <alignment horizontal="right" vertical="center"/>
    </xf>
    <xf numFmtId="49" fontId="95" fillId="10" borderId="0" xfId="0" applyNumberFormat="1" applyFont="1" applyFill="1" applyAlignment="1">
      <alignment vertical="center"/>
    </xf>
    <xf numFmtId="0" fontId="52" fillId="10" borderId="0" xfId="0" applyFont="1" applyFill="1" applyAlignment="1">
      <alignment vertical="center"/>
    </xf>
    <xf numFmtId="49" fontId="52" fillId="10" borderId="0" xfId="0" applyNumberFormat="1" applyFont="1" applyFill="1" applyAlignment="1">
      <alignment vertical="center"/>
    </xf>
    <xf numFmtId="49" fontId="52" fillId="6" borderId="3" xfId="0" applyNumberFormat="1" applyFont="1" applyFill="1" applyBorder="1" applyAlignment="1">
      <alignment vertical="center"/>
    </xf>
    <xf numFmtId="0" fontId="94" fillId="10" borderId="0" xfId="0" applyFont="1" applyFill="1" applyAlignment="1">
      <alignment horizontal="center" vertical="center" wrapText="1"/>
    </xf>
    <xf numFmtId="0" fontId="94" fillId="10" borderId="0" xfId="0" applyFont="1" applyFill="1" applyAlignment="1">
      <alignment horizontal="center" vertical="center"/>
    </xf>
    <xf numFmtId="0" fontId="61" fillId="0" borderId="0" xfId="0" applyFont="1" applyAlignment="1">
      <alignment vertical="center" wrapText="1"/>
    </xf>
    <xf numFmtId="0" fontId="62" fillId="10" borderId="0" xfId="0" applyFont="1" applyFill="1" applyAlignment="1">
      <alignment horizontal="center" vertical="center"/>
    </xf>
    <xf numFmtId="9" fontId="52" fillId="10" borderId="1" xfId="0" applyNumberFormat="1" applyFont="1" applyFill="1" applyBorder="1" applyAlignment="1">
      <alignment horizontal="center" vertical="center"/>
    </xf>
    <xf numFmtId="182" fontId="52" fillId="10" borderId="1" xfId="0" applyNumberFormat="1" applyFont="1" applyFill="1" applyBorder="1" applyAlignment="1">
      <alignment horizontal="center" vertical="center"/>
    </xf>
    <xf numFmtId="0" fontId="52" fillId="0" borderId="1" xfId="0" applyFont="1" applyBorder="1" applyAlignment="1">
      <alignment horizontal="left" vertical="center" wrapText="1"/>
    </xf>
    <xf numFmtId="3" fontId="52" fillId="10" borderId="1" xfId="0" applyNumberFormat="1" applyFont="1" applyFill="1" applyBorder="1" applyAlignment="1">
      <alignment horizontal="center" vertical="center"/>
    </xf>
    <xf numFmtId="0" fontId="52" fillId="0" borderId="0" xfId="0" applyFont="1" applyAlignment="1">
      <alignment vertical="center" wrapText="1"/>
    </xf>
    <xf numFmtId="0" fontId="52" fillId="10" borderId="0" xfId="0" applyFont="1" applyFill="1" applyAlignment="1">
      <alignment vertical="center" wrapText="1"/>
    </xf>
    <xf numFmtId="49" fontId="52" fillId="10" borderId="0" xfId="0" applyNumberFormat="1" applyFont="1" applyFill="1" applyAlignment="1">
      <alignment vertical="center" wrapText="1"/>
    </xf>
    <xf numFmtId="0" fontId="61" fillId="0" borderId="1" xfId="0" applyFont="1" applyBorder="1" applyAlignment="1">
      <alignment horizontal="center" vertical="center" wrapText="1"/>
    </xf>
    <xf numFmtId="0" fontId="96" fillId="0" borderId="0" xfId="0" applyFont="1" applyAlignment="1">
      <alignment vertical="center"/>
    </xf>
    <xf numFmtId="0" fontId="52" fillId="10" borderId="0" xfId="0" applyFont="1" applyFill="1" applyAlignment="1">
      <alignment horizontal="left" vertical="center"/>
    </xf>
    <xf numFmtId="182" fontId="61" fillId="10" borderId="3" xfId="4" applyNumberFormat="1" applyFont="1" applyFill="1" applyBorder="1" applyAlignment="1" applyProtection="1">
      <alignment horizontal="center" vertical="center"/>
    </xf>
    <xf numFmtId="3" fontId="61" fillId="10" borderId="3" xfId="4" applyNumberFormat="1" applyFont="1" applyFill="1" applyBorder="1" applyAlignment="1" applyProtection="1">
      <alignment horizontal="center" vertical="center"/>
    </xf>
    <xf numFmtId="0" fontId="52" fillId="6" borderId="30" xfId="0" applyFont="1" applyFill="1" applyBorder="1" applyAlignment="1" applyProtection="1">
      <alignment horizontal="center" vertical="center"/>
      <protection locked="0"/>
    </xf>
    <xf numFmtId="0" fontId="52" fillId="0" borderId="0" xfId="0" applyFont="1" applyAlignment="1">
      <alignment horizontal="left" vertical="center" wrapText="1"/>
    </xf>
    <xf numFmtId="3" fontId="61" fillId="10" borderId="3" xfId="0" applyNumberFormat="1" applyFont="1" applyFill="1" applyBorder="1" applyAlignment="1">
      <alignment horizontal="center" vertical="center"/>
    </xf>
    <xf numFmtId="3" fontId="52" fillId="6" borderId="3" xfId="0" applyNumberFormat="1" applyFont="1" applyFill="1" applyBorder="1" applyAlignment="1" applyProtection="1">
      <alignment horizontal="center" vertical="center"/>
      <protection locked="0"/>
    </xf>
    <xf numFmtId="9" fontId="52" fillId="6" borderId="30" xfId="0" applyNumberFormat="1" applyFont="1" applyFill="1" applyBorder="1" applyAlignment="1" applyProtection="1">
      <alignment horizontal="center" vertical="center"/>
      <protection locked="0"/>
    </xf>
    <xf numFmtId="3" fontId="52" fillId="6" borderId="30" xfId="0" applyNumberFormat="1" applyFont="1" applyFill="1" applyBorder="1" applyAlignment="1" applyProtection="1">
      <alignment horizontal="center" vertical="center"/>
      <protection locked="0"/>
    </xf>
    <xf numFmtId="0" fontId="61" fillId="6" borderId="3" xfId="0" applyFont="1" applyFill="1" applyBorder="1" applyAlignment="1" applyProtection="1">
      <alignment vertical="center"/>
      <protection locked="0"/>
    </xf>
    <xf numFmtId="0" fontId="61" fillId="10" borderId="3" xfId="0" applyFont="1" applyFill="1" applyBorder="1" applyAlignment="1">
      <alignment vertical="center"/>
    </xf>
    <xf numFmtId="0" fontId="52" fillId="6" borderId="3" xfId="0" applyFont="1" applyFill="1" applyBorder="1" applyAlignment="1" applyProtection="1">
      <alignment vertical="center"/>
      <protection locked="0"/>
    </xf>
    <xf numFmtId="0" fontId="62" fillId="10" borderId="0" xfId="0" applyFont="1" applyFill="1" applyAlignment="1">
      <alignment vertical="center"/>
    </xf>
    <xf numFmtId="0" fontId="94" fillId="10" borderId="0" xfId="0" applyFont="1" applyFill="1" applyAlignment="1">
      <alignment vertical="center"/>
    </xf>
    <xf numFmtId="0" fontId="186" fillId="0" borderId="0" xfId="0" applyFont="1" applyAlignment="1">
      <alignment vertical="center"/>
    </xf>
    <xf numFmtId="0" fontId="187" fillId="0" borderId="0" xfId="0" applyFont="1" applyAlignment="1">
      <alignment vertical="center"/>
    </xf>
    <xf numFmtId="0" fontId="105" fillId="0" borderId="0" xfId="0" applyFont="1" applyAlignment="1">
      <alignment vertical="center"/>
    </xf>
    <xf numFmtId="0" fontId="105" fillId="0" borderId="0" xfId="0" applyFont="1"/>
    <xf numFmtId="0" fontId="52" fillId="3" borderId="0" xfId="0" applyFont="1" applyFill="1" applyAlignment="1">
      <alignment vertical="center"/>
    </xf>
    <xf numFmtId="0" fontId="105" fillId="3" borderId="0" xfId="0" applyFont="1" applyFill="1" applyAlignment="1">
      <alignment vertical="center"/>
    </xf>
    <xf numFmtId="0" fontId="74" fillId="36" borderId="0" xfId="0" applyFont="1" applyFill="1" applyAlignment="1">
      <alignment vertical="center"/>
    </xf>
    <xf numFmtId="0" fontId="58" fillId="36" borderId="0" xfId="0" applyFont="1" applyFill="1" applyAlignment="1">
      <alignment vertical="center"/>
    </xf>
    <xf numFmtId="0" fontId="46" fillId="3" borderId="11" xfId="0" applyFont="1" applyFill="1" applyBorder="1" applyAlignment="1">
      <alignment vertical="center" wrapText="1"/>
    </xf>
    <xf numFmtId="0" fontId="46" fillId="3" borderId="13" xfId="0" applyFont="1" applyFill="1" applyBorder="1" applyAlignment="1">
      <alignment vertical="center" wrapText="1"/>
    </xf>
    <xf numFmtId="170" fontId="0" fillId="0" borderId="1" xfId="0" applyNumberFormat="1" applyBorder="1"/>
    <xf numFmtId="0" fontId="46" fillId="3" borderId="1" xfId="0" applyFont="1" applyFill="1" applyBorder="1" applyAlignment="1">
      <alignment horizontal="center" wrapText="1"/>
    </xf>
    <xf numFmtId="6" fontId="0" fillId="10" borderId="1" xfId="0" applyNumberFormat="1" applyFill="1" applyBorder="1"/>
    <xf numFmtId="0" fontId="0" fillId="10" borderId="1" xfId="0" applyFill="1" applyBorder="1" applyAlignment="1">
      <alignment horizontal="right"/>
    </xf>
    <xf numFmtId="0" fontId="0" fillId="10" borderId="1" xfId="0" applyFill="1" applyBorder="1"/>
    <xf numFmtId="0" fontId="50" fillId="0" borderId="1" xfId="0" applyFont="1" applyBorder="1" applyAlignment="1">
      <alignment horizontal="center" vertical="center"/>
    </xf>
    <xf numFmtId="3" fontId="0" fillId="0" borderId="2" xfId="0" applyNumberFormat="1" applyBorder="1"/>
    <xf numFmtId="3" fontId="43" fillId="0" borderId="11" xfId="4" applyNumberFormat="1" applyFill="1" applyBorder="1"/>
    <xf numFmtId="3" fontId="43" fillId="0" borderId="12" xfId="4" applyNumberFormat="1" applyFill="1" applyBorder="1"/>
    <xf numFmtId="3" fontId="43" fillId="0" borderId="13" xfId="4" applyNumberFormat="1" applyFill="1" applyBorder="1"/>
    <xf numFmtId="0" fontId="44" fillId="0" borderId="0" xfId="134" applyNumberFormat="1" applyFont="1"/>
    <xf numFmtId="14" fontId="52" fillId="6" borderId="3" xfId="0" applyNumberFormat="1" applyFont="1" applyFill="1" applyBorder="1" applyProtection="1">
      <protection locked="0"/>
    </xf>
    <xf numFmtId="44" fontId="52" fillId="6" borderId="3" xfId="58" applyFont="1" applyFill="1" applyBorder="1" applyAlignment="1" applyProtection="1">
      <alignment horizontal="left"/>
      <protection locked="0"/>
    </xf>
    <xf numFmtId="165" fontId="70" fillId="0" borderId="30" xfId="0" applyNumberFormat="1" applyFont="1" applyBorder="1" applyProtection="1">
      <protection hidden="1"/>
    </xf>
    <xf numFmtId="165" fontId="70" fillId="0" borderId="3" xfId="0" applyNumberFormat="1" applyFont="1" applyBorder="1" applyProtection="1">
      <protection hidden="1"/>
    </xf>
    <xf numFmtId="0" fontId="58" fillId="10" borderId="0" xfId="0" applyFont="1" applyFill="1" applyAlignment="1" applyProtection="1">
      <alignment vertical="center"/>
      <protection hidden="1"/>
    </xf>
    <xf numFmtId="0" fontId="58" fillId="10" borderId="0" xfId="0" applyFont="1" applyFill="1" applyProtection="1">
      <protection hidden="1"/>
    </xf>
    <xf numFmtId="0" fontId="190" fillId="10" borderId="0" xfId="0" applyFont="1" applyFill="1" applyProtection="1">
      <protection hidden="1"/>
    </xf>
    <xf numFmtId="0" fontId="106" fillId="10" borderId="3" xfId="0" applyFont="1" applyFill="1" applyBorder="1" applyProtection="1">
      <protection hidden="1"/>
    </xf>
    <xf numFmtId="0" fontId="0" fillId="10" borderId="3" xfId="0" applyFill="1" applyBorder="1" applyProtection="1">
      <protection hidden="1"/>
    </xf>
    <xf numFmtId="0" fontId="55" fillId="10" borderId="3" xfId="0" applyFont="1" applyFill="1" applyBorder="1" applyAlignment="1" applyProtection="1">
      <alignment vertical="center"/>
      <protection hidden="1"/>
    </xf>
    <xf numFmtId="0" fontId="71" fillId="0" borderId="3" xfId="0" applyFont="1" applyBorder="1" applyAlignment="1" applyProtection="1">
      <alignment vertical="center"/>
      <protection hidden="1"/>
    </xf>
    <xf numFmtId="0" fontId="0" fillId="14" borderId="13" xfId="0" applyFill="1" applyBorder="1"/>
    <xf numFmtId="0" fontId="2" fillId="30" borderId="3" xfId="0" applyFont="1" applyFill="1" applyBorder="1" applyProtection="1">
      <protection locked="0"/>
    </xf>
    <xf numFmtId="0" fontId="2" fillId="10" borderId="0" xfId="0" applyFont="1" applyFill="1" applyProtection="1">
      <protection locked="0"/>
    </xf>
    <xf numFmtId="0" fontId="82" fillId="0" borderId="1" xfId="0" applyFont="1" applyBorder="1"/>
    <xf numFmtId="184" fontId="82" fillId="0" borderId="1" xfId="0" applyNumberFormat="1" applyFont="1" applyBorder="1" applyAlignment="1" applyProtection="1">
      <alignment horizontal="center"/>
      <protection hidden="1"/>
    </xf>
    <xf numFmtId="166" fontId="60" fillId="0" borderId="83" xfId="58" applyNumberFormat="1" applyFont="1" applyBorder="1" applyAlignment="1" applyProtection="1">
      <alignment horizontal="center" vertical="center"/>
      <protection hidden="1"/>
    </xf>
    <xf numFmtId="167" fontId="60" fillId="0" borderId="83" xfId="58" applyNumberFormat="1" applyFont="1" applyBorder="1" applyAlignment="1" applyProtection="1">
      <alignment horizontal="center" vertical="center"/>
      <protection hidden="1"/>
    </xf>
    <xf numFmtId="167" fontId="60" fillId="0" borderId="69" xfId="58" applyNumberFormat="1" applyFont="1" applyBorder="1" applyAlignment="1" applyProtection="1">
      <alignment horizontal="center" vertical="center"/>
      <protection hidden="1"/>
    </xf>
    <xf numFmtId="0" fontId="60" fillId="0" borderId="83" xfId="0" applyFont="1" applyBorder="1" applyAlignment="1" applyProtection="1">
      <alignment horizontal="center" vertical="center"/>
      <protection hidden="1"/>
    </xf>
    <xf numFmtId="0" fontId="60" fillId="0" borderId="69" xfId="0" applyFont="1" applyBorder="1" applyAlignment="1" applyProtection="1">
      <alignment horizontal="center" vertical="center"/>
      <protection hidden="1"/>
    </xf>
    <xf numFmtId="0" fontId="0" fillId="0" borderId="83" xfId="0" applyBorder="1" applyAlignment="1" applyProtection="1">
      <alignment horizontal="center"/>
      <protection hidden="1"/>
    </xf>
    <xf numFmtId="0" fontId="0" fillId="0" borderId="69" xfId="0" applyBorder="1" applyAlignment="1" applyProtection="1">
      <alignment horizontal="center"/>
      <protection hidden="1"/>
    </xf>
    <xf numFmtId="0" fontId="0" fillId="39" borderId="0" xfId="0" applyFill="1"/>
    <xf numFmtId="0" fontId="0" fillId="6" borderId="6" xfId="0" applyFill="1"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0" fontId="52" fillId="0" borderId="0" xfId="0" applyFont="1" applyAlignment="1" applyProtection="1">
      <alignment horizontal="center" vertical="center"/>
      <protection hidden="1"/>
    </xf>
    <xf numFmtId="0" fontId="59" fillId="3" borderId="22" xfId="0" applyFont="1" applyFill="1" applyBorder="1" applyAlignment="1" applyProtection="1">
      <alignment horizontal="center" vertical="center" wrapText="1"/>
      <protection hidden="1"/>
    </xf>
    <xf numFmtId="0" fontId="90" fillId="0" borderId="0" xfId="0" applyFont="1" applyProtection="1">
      <protection hidden="1"/>
    </xf>
    <xf numFmtId="0" fontId="96" fillId="0" borderId="0" xfId="0" applyFont="1" applyAlignment="1" applyProtection="1">
      <alignment horizontal="right"/>
      <protection hidden="1"/>
    </xf>
    <xf numFmtId="166" fontId="61" fillId="0" borderId="0" xfId="58" applyNumberFormat="1" applyFont="1" applyFill="1" applyBorder="1" applyAlignment="1" applyProtection="1">
      <alignment horizontal="center" vertical="center" wrapText="1"/>
      <protection hidden="1"/>
    </xf>
    <xf numFmtId="6" fontId="52" fillId="0" borderId="1" xfId="0" applyNumberFormat="1" applyFont="1" applyBorder="1" applyAlignment="1" applyProtection="1">
      <alignment horizontal="center" vertical="center"/>
      <protection hidden="1"/>
    </xf>
    <xf numFmtId="0" fontId="2" fillId="0" borderId="0" xfId="0" applyFont="1" applyAlignment="1" applyProtection="1">
      <alignment horizontal="center" vertical="center"/>
      <protection hidden="1"/>
    </xf>
    <xf numFmtId="6" fontId="52" fillId="0" borderId="0" xfId="0" applyNumberFormat="1" applyFont="1" applyAlignment="1" applyProtection="1">
      <alignment horizontal="center" vertical="center"/>
      <protection hidden="1"/>
    </xf>
    <xf numFmtId="0" fontId="191" fillId="0" borderId="0" xfId="0" applyFont="1" applyAlignment="1" applyProtection="1">
      <alignment vertical="center"/>
      <protection hidden="1"/>
    </xf>
    <xf numFmtId="0" fontId="1" fillId="0" borderId="0" xfId="0" applyFont="1"/>
    <xf numFmtId="0" fontId="194" fillId="0" borderId="0" xfId="0" applyFont="1" applyAlignment="1" applyProtection="1">
      <alignment vertical="center"/>
      <protection hidden="1"/>
    </xf>
    <xf numFmtId="0" fontId="90" fillId="0" borderId="0" xfId="0" applyFont="1" applyAlignment="1" applyProtection="1">
      <alignment vertical="center"/>
      <protection hidden="1"/>
    </xf>
    <xf numFmtId="0" fontId="183" fillId="0" borderId="0" xfId="0" applyFont="1" applyProtection="1">
      <protection hidden="1"/>
    </xf>
    <xf numFmtId="0" fontId="183" fillId="0" borderId="0" xfId="0" applyFont="1" applyAlignment="1" applyProtection="1">
      <alignment vertical="center"/>
      <protection hidden="1"/>
    </xf>
    <xf numFmtId="0" fontId="94" fillId="0" borderId="0" xfId="0" applyFont="1" applyAlignment="1" applyProtection="1">
      <alignment vertical="center"/>
      <protection hidden="1"/>
    </xf>
    <xf numFmtId="167" fontId="0" fillId="0" borderId="1" xfId="0" applyNumberFormat="1" applyBorder="1"/>
    <xf numFmtId="167" fontId="52" fillId="10" borderId="1" xfId="58" applyNumberFormat="1" applyFont="1" applyFill="1" applyBorder="1" applyAlignment="1" applyProtection="1">
      <alignment horizontal="center"/>
      <protection hidden="1"/>
    </xf>
    <xf numFmtId="0" fontId="43" fillId="0" borderId="22" xfId="0" applyFont="1" applyBorder="1" applyAlignment="1">
      <alignment vertical="center" wrapText="1"/>
    </xf>
    <xf numFmtId="0" fontId="43" fillId="0" borderId="24" xfId="0" applyFont="1" applyBorder="1" applyAlignment="1">
      <alignment vertical="center" wrapText="1"/>
    </xf>
    <xf numFmtId="0" fontId="60" fillId="0" borderId="0" xfId="0" applyFont="1" applyAlignment="1" applyProtection="1">
      <alignment vertical="center"/>
      <protection hidden="1"/>
    </xf>
    <xf numFmtId="167" fontId="60" fillId="0" borderId="0" xfId="58" applyNumberFormat="1" applyFont="1" applyBorder="1" applyAlignment="1" applyProtection="1">
      <alignment vertical="center"/>
      <protection hidden="1"/>
    </xf>
    <xf numFmtId="49" fontId="76" fillId="0" borderId="0" xfId="0" applyNumberFormat="1" applyFont="1" applyAlignment="1">
      <alignment horizontal="left"/>
    </xf>
    <xf numFmtId="10" fontId="43" fillId="0" borderId="0" xfId="115" applyNumberFormat="1" applyFill="1" applyBorder="1"/>
    <xf numFmtId="170" fontId="0" fillId="0" borderId="9" xfId="0" applyNumberFormat="1" applyBorder="1"/>
    <xf numFmtId="0" fontId="0" fillId="11" borderId="5" xfId="0" applyFill="1" applyBorder="1"/>
    <xf numFmtId="0" fontId="0" fillId="11" borderId="9" xfId="0" applyFill="1" applyBorder="1"/>
    <xf numFmtId="0" fontId="0" fillId="11" borderId="6" xfId="0" applyFill="1" applyBorder="1"/>
    <xf numFmtId="0" fontId="0" fillId="11" borderId="10" xfId="0" applyFill="1" applyBorder="1"/>
    <xf numFmtId="0" fontId="0" fillId="11" borderId="12" xfId="0" applyFill="1" applyBorder="1"/>
    <xf numFmtId="0" fontId="0" fillId="11" borderId="13" xfId="0" applyFill="1" applyBorder="1"/>
    <xf numFmtId="185" fontId="0" fillId="0" borderId="1" xfId="0" applyNumberFormat="1" applyBorder="1"/>
    <xf numFmtId="170" fontId="0" fillId="0" borderId="1" xfId="0" applyNumberFormat="1" applyBorder="1" applyAlignment="1">
      <alignment horizontal="right"/>
    </xf>
    <xf numFmtId="0" fontId="2" fillId="0" borderId="0" xfId="0" applyFont="1" applyAlignment="1" applyProtection="1">
      <alignment horizontal="center"/>
      <protection hidden="1"/>
    </xf>
    <xf numFmtId="187" fontId="0" fillId="0" borderId="10" xfId="0" applyNumberFormat="1" applyBorder="1"/>
    <xf numFmtId="166" fontId="61" fillId="0" borderId="0" xfId="147" applyNumberFormat="1" applyFont="1" applyFill="1" applyBorder="1" applyAlignment="1" applyProtection="1">
      <alignment horizontal="center" vertical="center" wrapText="1"/>
      <protection hidden="1"/>
    </xf>
    <xf numFmtId="0" fontId="52" fillId="6" borderId="1" xfId="0" applyFont="1" applyFill="1" applyBorder="1" applyProtection="1">
      <protection locked="0"/>
    </xf>
    <xf numFmtId="166" fontId="61" fillId="0" borderId="1" xfId="147" applyNumberFormat="1" applyFont="1" applyFill="1" applyBorder="1" applyAlignment="1" applyProtection="1">
      <alignment vertical="center" wrapText="1"/>
      <protection hidden="1"/>
    </xf>
    <xf numFmtId="167" fontId="96" fillId="0" borderId="1" xfId="0" applyNumberFormat="1" applyFont="1" applyBorder="1" applyAlignment="1" applyProtection="1">
      <alignment horizontal="right"/>
      <protection hidden="1"/>
    </xf>
    <xf numFmtId="0" fontId="0" fillId="0" borderId="5" xfId="0" applyBorder="1" applyProtection="1">
      <protection locked="0"/>
    </xf>
    <xf numFmtId="0" fontId="0" fillId="0" borderId="9" xfId="0" applyBorder="1" applyProtection="1">
      <protection locked="0"/>
    </xf>
    <xf numFmtId="189" fontId="195" fillId="0" borderId="5" xfId="0" applyNumberFormat="1" applyFont="1" applyBorder="1" applyProtection="1">
      <protection locked="0"/>
    </xf>
    <xf numFmtId="189" fontId="195" fillId="0" borderId="0" xfId="0" applyNumberFormat="1" applyFont="1" applyProtection="1">
      <protection locked="0"/>
    </xf>
    <xf numFmtId="189" fontId="195" fillId="0" borderId="9" xfId="0" applyNumberFormat="1" applyFont="1" applyBorder="1" applyProtection="1">
      <protection locked="0"/>
    </xf>
    <xf numFmtId="189" fontId="195" fillId="0" borderId="8" xfId="0" applyNumberFormat="1" applyFont="1" applyBorder="1" applyProtection="1">
      <protection locked="0"/>
    </xf>
    <xf numFmtId="0" fontId="0" fillId="0" borderId="84" xfId="0" applyBorder="1" applyProtection="1">
      <protection locked="0"/>
    </xf>
    <xf numFmtId="0" fontId="0" fillId="0" borderId="85" xfId="0" applyBorder="1" applyProtection="1">
      <protection locked="0"/>
    </xf>
    <xf numFmtId="189" fontId="195" fillId="0" borderId="84" xfId="0" applyNumberFormat="1" applyFont="1" applyBorder="1" applyProtection="1">
      <protection locked="0"/>
    </xf>
    <xf numFmtId="189" fontId="195" fillId="0" borderId="71" xfId="0" applyNumberFormat="1" applyFont="1" applyBorder="1" applyProtection="1">
      <protection locked="0"/>
    </xf>
    <xf numFmtId="189" fontId="195" fillId="0" borderId="85" xfId="0" applyNumberFormat="1" applyFont="1" applyBorder="1" applyProtection="1">
      <protection locked="0"/>
    </xf>
    <xf numFmtId="0" fontId="0" fillId="0" borderId="71" xfId="0" applyBorder="1" applyProtection="1">
      <protection locked="0"/>
    </xf>
    <xf numFmtId="189" fontId="195" fillId="0" borderId="72" xfId="0" applyNumberFormat="1" applyFont="1" applyBorder="1" applyProtection="1">
      <protection locked="0"/>
    </xf>
    <xf numFmtId="0" fontId="2" fillId="0" borderId="4" xfId="0" applyFont="1" applyBorder="1" applyAlignment="1" applyProtection="1">
      <alignment vertical="center"/>
      <protection hidden="1"/>
    </xf>
    <xf numFmtId="0" fontId="2" fillId="0" borderId="6" xfId="0" applyFont="1" applyBorder="1" applyAlignment="1" applyProtection="1">
      <alignment vertical="center"/>
      <protection hidden="1"/>
    </xf>
    <xf numFmtId="0" fontId="196" fillId="41" borderId="1" xfId="0" applyFont="1" applyFill="1" applyBorder="1" applyAlignment="1">
      <alignment horizontal="center" vertical="center" wrapText="1"/>
    </xf>
    <xf numFmtId="0" fontId="198" fillId="0" borderId="1" xfId="156" applyFont="1" applyBorder="1" applyAlignment="1">
      <alignment vertical="center" wrapText="1"/>
    </xf>
    <xf numFmtId="170" fontId="198" fillId="0" borderId="1" xfId="156" applyNumberFormat="1" applyFont="1" applyBorder="1" applyAlignment="1">
      <alignment horizontal="right" vertical="center" wrapText="1"/>
    </xf>
    <xf numFmtId="0" fontId="198" fillId="0" borderId="1" xfId="156" applyFont="1" applyBorder="1" applyAlignment="1">
      <alignment vertical="center"/>
    </xf>
    <xf numFmtId="172" fontId="198" fillId="0" borderId="1" xfId="156" applyNumberFormat="1" applyFont="1" applyBorder="1" applyAlignment="1">
      <alignment horizontal="right" vertical="center" wrapText="1"/>
    </xf>
    <xf numFmtId="0" fontId="198" fillId="0" borderId="12" xfId="156" applyFont="1" applyBorder="1" applyAlignment="1">
      <alignment vertical="center" wrapText="1"/>
    </xf>
    <xf numFmtId="172" fontId="198" fillId="0" borderId="11" xfId="156" applyNumberFormat="1" applyFont="1" applyBorder="1" applyAlignment="1">
      <alignment horizontal="right" vertical="center" wrapText="1"/>
    </xf>
    <xf numFmtId="0" fontId="198" fillId="0" borderId="12" xfId="156" applyFont="1" applyBorder="1" applyAlignment="1">
      <alignment vertical="center"/>
    </xf>
    <xf numFmtId="0" fontId="198" fillId="0" borderId="11" xfId="156" applyFont="1" applyBorder="1" applyAlignment="1">
      <alignment vertical="center" wrapText="1"/>
    </xf>
    <xf numFmtId="0" fontId="200" fillId="0" borderId="1" xfId="156" applyFont="1" applyBorder="1" applyAlignment="1">
      <alignment wrapText="1"/>
    </xf>
    <xf numFmtId="0" fontId="198" fillId="0" borderId="1" xfId="156" applyFont="1" applyBorder="1"/>
    <xf numFmtId="3" fontId="198" fillId="0" borderId="1" xfId="156" applyNumberFormat="1" applyFont="1" applyBorder="1"/>
    <xf numFmtId="0" fontId="52" fillId="0" borderId="86" xfId="0" applyFont="1" applyBorder="1" applyProtection="1">
      <protection hidden="1"/>
    </xf>
    <xf numFmtId="9" fontId="94" fillId="6" borderId="1" xfId="124" applyFont="1" applyFill="1" applyBorder="1" applyAlignment="1" applyProtection="1">
      <alignment horizontal="center"/>
      <protection locked="0"/>
    </xf>
    <xf numFmtId="4" fontId="94" fillId="6" borderId="1" xfId="0" applyNumberFormat="1" applyFont="1" applyFill="1" applyBorder="1" applyAlignment="1" applyProtection="1">
      <alignment horizontal="center"/>
      <protection locked="0"/>
    </xf>
    <xf numFmtId="0" fontId="29" fillId="3" borderId="87" xfId="0" applyFont="1" applyFill="1" applyBorder="1" applyAlignment="1" applyProtection="1">
      <alignment horizontal="center" vertical="center" wrapText="1"/>
      <protection hidden="1"/>
    </xf>
    <xf numFmtId="44" fontId="0" fillId="0" borderId="87" xfId="146" applyFont="1" applyBorder="1"/>
    <xf numFmtId="0" fontId="0" fillId="0" borderId="7" xfId="0" applyBorder="1" applyProtection="1">
      <protection locked="0"/>
    </xf>
    <xf numFmtId="0" fontId="0" fillId="0" borderId="8" xfId="0" applyBorder="1" applyProtection="1">
      <protection locked="0"/>
    </xf>
    <xf numFmtId="0" fontId="0" fillId="0" borderId="70" xfId="0" applyBorder="1" applyProtection="1">
      <protection locked="0"/>
    </xf>
    <xf numFmtId="0" fontId="0" fillId="0" borderId="72" xfId="0" applyBorder="1" applyProtection="1">
      <protection locked="0"/>
    </xf>
    <xf numFmtId="182" fontId="198" fillId="0" borderId="1" xfId="156" quotePrefix="1" applyNumberFormat="1" applyFont="1" applyBorder="1" applyAlignment="1">
      <alignment horizontal="right" vertical="center" wrapText="1"/>
    </xf>
    <xf numFmtId="0" fontId="198" fillId="0" borderId="1" xfId="156" applyFont="1" applyBorder="1" applyAlignment="1">
      <alignment horizontal="right" vertical="center" wrapText="1"/>
    </xf>
    <xf numFmtId="0" fontId="198" fillId="0" borderId="1" xfId="156" applyFont="1" applyBorder="1" applyAlignment="1">
      <alignment wrapText="1"/>
    </xf>
    <xf numFmtId="0" fontId="198" fillId="0" borderId="1" xfId="156" applyFont="1" applyBorder="1" applyAlignment="1">
      <alignment horizontal="right" wrapText="1"/>
    </xf>
    <xf numFmtId="0" fontId="204" fillId="0" borderId="0" xfId="0" applyFont="1" applyAlignment="1" applyProtection="1">
      <alignment horizontal="left"/>
      <protection hidden="1"/>
    </xf>
    <xf numFmtId="0" fontId="36" fillId="0" borderId="0" xfId="0" applyFont="1" applyProtection="1">
      <protection hidden="1"/>
    </xf>
    <xf numFmtId="0" fontId="36" fillId="0" borderId="0" xfId="0" applyFont="1" applyAlignment="1" applyProtection="1">
      <alignment horizontal="right"/>
      <protection hidden="1"/>
    </xf>
    <xf numFmtId="0" fontId="29" fillId="40" borderId="1" xfId="0" applyFont="1" applyFill="1" applyBorder="1" applyAlignment="1" applyProtection="1">
      <alignment horizontal="center" vertical="center" wrapText="1"/>
      <protection hidden="1"/>
    </xf>
    <xf numFmtId="0" fontId="36" fillId="0" borderId="1" xfId="0" applyFont="1" applyBorder="1" applyProtection="1">
      <protection hidden="1"/>
    </xf>
    <xf numFmtId="185" fontId="36" fillId="0" borderId="1" xfId="0" applyNumberFormat="1" applyFont="1" applyBorder="1" applyProtection="1">
      <protection hidden="1"/>
    </xf>
    <xf numFmtId="195" fontId="36" fillId="0" borderId="1" xfId="8" applyNumberFormat="1" applyFont="1" applyBorder="1" applyProtection="1">
      <protection hidden="1"/>
    </xf>
    <xf numFmtId="43" fontId="36" fillId="0" borderId="1" xfId="0" applyNumberFormat="1" applyFont="1" applyBorder="1" applyProtection="1">
      <protection hidden="1"/>
    </xf>
    <xf numFmtId="43" fontId="36" fillId="0" borderId="22" xfId="0" applyNumberFormat="1" applyFont="1" applyBorder="1" applyProtection="1">
      <protection hidden="1"/>
    </xf>
    <xf numFmtId="0" fontId="44" fillId="3" borderId="33" xfId="0" applyFont="1" applyFill="1" applyBorder="1"/>
    <xf numFmtId="0" fontId="44" fillId="3" borderId="35" xfId="0" applyFont="1" applyFill="1" applyBorder="1"/>
    <xf numFmtId="0" fontId="0" fillId="0" borderId="22" xfId="0" applyBorder="1" applyAlignment="1" applyProtection="1">
      <alignment horizontal="center"/>
      <protection hidden="1"/>
    </xf>
    <xf numFmtId="0" fontId="111" fillId="10" borderId="0" xfId="0" applyFont="1" applyFill="1" applyProtection="1">
      <protection hidden="1"/>
    </xf>
    <xf numFmtId="6" fontId="0" fillId="10" borderId="0" xfId="0" applyNumberFormat="1" applyFill="1" applyProtection="1">
      <protection hidden="1"/>
    </xf>
    <xf numFmtId="0" fontId="0" fillId="21" borderId="5" xfId="0" applyFill="1" applyBorder="1"/>
    <xf numFmtId="0" fontId="0" fillId="21" borderId="9" xfId="0" applyFill="1" applyBorder="1"/>
    <xf numFmtId="0" fontId="94" fillId="21" borderId="0" xfId="0" applyFont="1" applyFill="1"/>
    <xf numFmtId="184" fontId="0" fillId="21" borderId="0" xfId="0" applyNumberFormat="1" applyFill="1"/>
    <xf numFmtId="184" fontId="0" fillId="21" borderId="9" xfId="0" applyNumberFormat="1" applyFill="1" applyBorder="1"/>
    <xf numFmtId="0" fontId="4" fillId="21" borderId="9" xfId="0" applyFont="1" applyFill="1" applyBorder="1"/>
    <xf numFmtId="0" fontId="4" fillId="21" borderId="0" xfId="0" applyFont="1" applyFill="1"/>
    <xf numFmtId="184" fontId="0" fillId="21" borderId="10" xfId="0" applyNumberFormat="1" applyFill="1" applyBorder="1"/>
    <xf numFmtId="0" fontId="0" fillId="28" borderId="0" xfId="0" applyFill="1"/>
    <xf numFmtId="0" fontId="0" fillId="28" borderId="5" xfId="0" applyFill="1" applyBorder="1"/>
    <xf numFmtId="0" fontId="0" fillId="28" borderId="9" xfId="0" applyFill="1" applyBorder="1"/>
    <xf numFmtId="0" fontId="94" fillId="28" borderId="0" xfId="0" applyFont="1" applyFill="1"/>
    <xf numFmtId="184" fontId="0" fillId="28" borderId="0" xfId="0" applyNumberFormat="1" applyFill="1"/>
    <xf numFmtId="0" fontId="94" fillId="28" borderId="9" xfId="0" applyFont="1" applyFill="1" applyBorder="1"/>
    <xf numFmtId="0" fontId="39" fillId="0" borderId="0" xfId="0" applyFont="1" applyAlignment="1">
      <alignment horizontal="left" vertical="center"/>
    </xf>
    <xf numFmtId="0" fontId="78" fillId="0" borderId="0" xfId="0" applyFont="1" applyAlignment="1">
      <alignment horizontal="left"/>
    </xf>
    <xf numFmtId="0" fontId="4" fillId="0" borderId="0" xfId="0" applyFont="1" applyAlignment="1">
      <alignment horizontal="center" vertical="center"/>
    </xf>
    <xf numFmtId="0" fontId="60" fillId="0" borderId="0" xfId="0" applyFont="1" applyAlignment="1">
      <alignment horizontal="center"/>
    </xf>
    <xf numFmtId="0" fontId="50" fillId="0" borderId="0" xfId="0" applyFont="1" applyAlignment="1" applyProtection="1">
      <alignment horizontal="right" wrapText="1"/>
      <protection hidden="1"/>
    </xf>
    <xf numFmtId="0" fontId="66" fillId="0" borderId="0" xfId="0" applyFont="1" applyAlignment="1" applyProtection="1">
      <alignment horizontal="right"/>
      <protection hidden="1"/>
    </xf>
    <xf numFmtId="0" fontId="94" fillId="0" borderId="73" xfId="0" applyFont="1" applyBorder="1" applyProtection="1">
      <protection hidden="1"/>
    </xf>
    <xf numFmtId="0" fontId="82" fillId="0" borderId="0" xfId="0" applyFont="1" applyAlignment="1" applyProtection="1">
      <alignment horizontal="right"/>
      <protection hidden="1"/>
    </xf>
    <xf numFmtId="167" fontId="82" fillId="0" borderId="0" xfId="0" applyNumberFormat="1" applyFont="1" applyAlignment="1" applyProtection="1">
      <alignment horizontal="right"/>
      <protection hidden="1"/>
    </xf>
    <xf numFmtId="0" fontId="2" fillId="0" borderId="0" xfId="0" applyFont="1" applyAlignment="1" applyProtection="1">
      <alignment horizontal="left" vertical="top" wrapText="1"/>
      <protection hidden="1"/>
    </xf>
    <xf numFmtId="0" fontId="2" fillId="0" borderId="0" xfId="0" applyFont="1" applyAlignment="1" applyProtection="1">
      <alignment horizontal="left" vertical="top"/>
      <protection hidden="1"/>
    </xf>
    <xf numFmtId="0" fontId="2" fillId="0" borderId="0" xfId="0" applyFont="1" applyAlignment="1" applyProtection="1">
      <alignment vertical="top"/>
      <protection hidden="1"/>
    </xf>
    <xf numFmtId="0" fontId="85" fillId="0" borderId="0" xfId="0" applyFont="1" applyAlignment="1" applyProtection="1">
      <alignment horizontal="left" vertical="center"/>
      <protection hidden="1"/>
    </xf>
    <xf numFmtId="0" fontId="85" fillId="0" borderId="44" xfId="0" applyFont="1" applyBorder="1" applyAlignment="1" applyProtection="1">
      <alignment horizontal="left" vertical="center"/>
      <protection hidden="1"/>
    </xf>
    <xf numFmtId="0" fontId="208" fillId="0" borderId="0" xfId="0" applyFont="1" applyAlignment="1" applyProtection="1">
      <alignment horizontal="left" vertical="top"/>
      <protection hidden="1"/>
    </xf>
    <xf numFmtId="0" fontId="209" fillId="0" borderId="0" xfId="0" applyFont="1" applyAlignment="1" applyProtection="1">
      <alignment horizontal="left" vertical="top"/>
      <protection hidden="1"/>
    </xf>
    <xf numFmtId="0" fontId="210" fillId="0" borderId="0" xfId="0" applyFont="1" applyProtection="1">
      <protection hidden="1"/>
    </xf>
    <xf numFmtId="0" fontId="93" fillId="0" borderId="0" xfId="0" applyFont="1" applyProtection="1">
      <protection hidden="1"/>
    </xf>
    <xf numFmtId="0" fontId="211" fillId="0" borderId="0" xfId="0" applyFont="1" applyAlignment="1" applyProtection="1">
      <alignment horizontal="right" vertical="top"/>
      <protection hidden="1"/>
    </xf>
    <xf numFmtId="0" fontId="211" fillId="0" borderId="0" xfId="0" applyFont="1" applyAlignment="1" applyProtection="1">
      <alignment horizontal="left" vertical="top"/>
      <protection hidden="1"/>
    </xf>
    <xf numFmtId="0" fontId="212" fillId="0" borderId="0" xfId="0" applyFont="1" applyProtection="1">
      <protection hidden="1"/>
    </xf>
    <xf numFmtId="0" fontId="211" fillId="0" borderId="0" xfId="0" applyFont="1" applyAlignment="1" applyProtection="1">
      <alignment horizontal="left" vertical="top" wrapText="1"/>
      <protection hidden="1"/>
    </xf>
    <xf numFmtId="0" fontId="21" fillId="0" borderId="0" xfId="0" applyFont="1" applyAlignment="1" applyProtection="1">
      <alignment vertical="center"/>
      <protection hidden="1"/>
    </xf>
    <xf numFmtId="0" fontId="52" fillId="6" borderId="1" xfId="0" applyFont="1" applyFill="1" applyBorder="1" applyAlignment="1" applyProtection="1">
      <alignment horizontal="center" vertical="center" wrapText="1"/>
      <protection locked="0"/>
    </xf>
    <xf numFmtId="0" fontId="213" fillId="0" borderId="0" xfId="0" applyFont="1" applyAlignment="1" applyProtection="1">
      <alignment horizontal="left" vertical="center" wrapText="1"/>
      <protection hidden="1"/>
    </xf>
    <xf numFmtId="0" fontId="214" fillId="0" borderId="73" xfId="0" applyFont="1" applyBorder="1" applyProtection="1">
      <protection hidden="1"/>
    </xf>
    <xf numFmtId="0" fontId="88" fillId="0" borderId="44" xfId="0" applyFont="1" applyBorder="1" applyAlignment="1" applyProtection="1">
      <alignment vertical="center"/>
      <protection hidden="1"/>
    </xf>
    <xf numFmtId="0" fontId="52" fillId="0" borderId="44" xfId="0" applyFont="1" applyBorder="1" applyProtection="1">
      <protection hidden="1"/>
    </xf>
    <xf numFmtId="0" fontId="52" fillId="0" borderId="0" xfId="0" applyFont="1" applyAlignment="1" applyProtection="1">
      <alignment horizontal="left" vertical="center" indent="8"/>
      <protection hidden="1"/>
    </xf>
    <xf numFmtId="0" fontId="212" fillId="0" borderId="44" xfId="0" applyFont="1" applyBorder="1" applyProtection="1">
      <protection hidden="1"/>
    </xf>
    <xf numFmtId="0" fontId="88" fillId="0" borderId="0" xfId="0" applyFont="1" applyAlignment="1" applyProtection="1">
      <alignment vertical="center"/>
      <protection hidden="1"/>
    </xf>
    <xf numFmtId="0" fontId="6" fillId="0" borderId="0" xfId="0" applyFont="1" applyAlignment="1" applyProtection="1">
      <alignment horizontal="right" vertical="center"/>
      <protection hidden="1"/>
    </xf>
    <xf numFmtId="0" fontId="6" fillId="0" borderId="0" xfId="0" applyFont="1" applyAlignment="1" applyProtection="1">
      <alignment horizontal="left" vertical="center" wrapText="1"/>
      <protection hidden="1"/>
    </xf>
    <xf numFmtId="0" fontId="55" fillId="0" borderId="0" xfId="0" applyFont="1" applyAlignment="1" applyProtection="1">
      <alignment vertical="center"/>
      <protection hidden="1"/>
    </xf>
    <xf numFmtId="0" fontId="8" fillId="0" borderId="0" xfId="0" applyFont="1" applyAlignment="1" applyProtection="1">
      <alignment vertical="center"/>
      <protection hidden="1"/>
    </xf>
    <xf numFmtId="0" fontId="0" fillId="0" borderId="88" xfId="0" applyBorder="1" applyProtection="1">
      <protection hidden="1"/>
    </xf>
    <xf numFmtId="0" fontId="52" fillId="0" borderId="88" xfId="0" applyFont="1" applyBorder="1" applyAlignment="1" applyProtection="1">
      <alignment vertical="center"/>
      <protection hidden="1"/>
    </xf>
    <xf numFmtId="0" fontId="4" fillId="0" borderId="0" xfId="0" applyFont="1" applyAlignment="1" applyProtection="1">
      <alignment horizontal="center" vertical="center"/>
      <protection hidden="1"/>
    </xf>
    <xf numFmtId="0" fontId="94" fillId="0" borderId="0" xfId="0" applyFont="1" applyAlignment="1" applyProtection="1">
      <alignment horizontal="center" vertical="top"/>
      <protection hidden="1"/>
    </xf>
    <xf numFmtId="0" fontId="2" fillId="0" borderId="0" xfId="0" applyFont="1" applyAlignment="1">
      <alignment horizontal="left" vertical="top"/>
    </xf>
    <xf numFmtId="0" fontId="4" fillId="0" borderId="0" xfId="0" applyFont="1" applyAlignment="1" applyProtection="1">
      <alignment horizontal="center" vertical="top"/>
      <protection hidden="1"/>
    </xf>
    <xf numFmtId="0" fontId="52" fillId="0" borderId="0" xfId="0" applyFont="1" applyAlignment="1" applyProtection="1">
      <alignment vertical="top"/>
      <protection hidden="1"/>
    </xf>
    <xf numFmtId="0" fontId="52" fillId="0" borderId="0" xfId="0" applyFont="1" applyAlignment="1" applyProtection="1">
      <alignment horizontal="left" vertical="top"/>
      <protection hidden="1"/>
    </xf>
    <xf numFmtId="0" fontId="2" fillId="0" borderId="0" xfId="0" applyFont="1" applyAlignment="1" applyProtection="1">
      <alignment horizontal="center" vertical="top" wrapText="1"/>
      <protection hidden="1"/>
    </xf>
    <xf numFmtId="0" fontId="4" fillId="0" borderId="0" xfId="0" applyFont="1" applyAlignment="1" applyProtection="1">
      <alignment horizontal="center" vertical="top" wrapText="1"/>
      <protection hidden="1"/>
    </xf>
    <xf numFmtId="0" fontId="60" fillId="0" borderId="0" xfId="0" applyFont="1" applyAlignment="1" applyProtection="1">
      <alignment wrapText="1"/>
      <protection hidden="1"/>
    </xf>
    <xf numFmtId="0" fontId="52" fillId="0" borderId="0" xfId="0" quotePrefix="1" applyFont="1" applyAlignment="1" applyProtection="1">
      <alignment horizontal="left" vertical="top"/>
      <protection hidden="1"/>
    </xf>
    <xf numFmtId="0" fontId="2" fillId="0" borderId="0" xfId="0" applyFont="1" applyAlignment="1">
      <alignment horizontal="left" vertical="center"/>
    </xf>
    <xf numFmtId="0" fontId="15" fillId="0" borderId="0" xfId="0" applyFont="1" applyAlignment="1">
      <alignment horizontal="left" vertical="center"/>
    </xf>
    <xf numFmtId="0" fontId="216" fillId="0" borderId="0" xfId="0" applyFont="1" applyAlignment="1">
      <alignment horizontal="left" vertical="center"/>
    </xf>
    <xf numFmtId="0" fontId="52" fillId="0" borderId="0" xfId="0" applyFont="1" applyAlignment="1" applyProtection="1">
      <alignment horizontal="left" wrapText="1"/>
      <protection hidden="1"/>
    </xf>
    <xf numFmtId="0" fontId="217" fillId="0" borderId="88" xfId="0" applyFont="1" applyBorder="1" applyProtection="1">
      <protection hidden="1"/>
    </xf>
    <xf numFmtId="0" fontId="218" fillId="0" borderId="88" xfId="0" applyFont="1" applyBorder="1" applyAlignment="1" applyProtection="1">
      <alignment vertical="center"/>
      <protection hidden="1"/>
    </xf>
    <xf numFmtId="0" fontId="219" fillId="0" borderId="0" xfId="0" applyFont="1" applyAlignment="1" applyProtection="1">
      <alignment horizontal="left" vertical="center"/>
      <protection hidden="1"/>
    </xf>
    <xf numFmtId="0" fontId="220" fillId="0" borderId="0" xfId="0" applyFont="1" applyProtection="1">
      <protection hidden="1"/>
    </xf>
    <xf numFmtId="0" fontId="121" fillId="0" borderId="0" xfId="0" applyFont="1" applyAlignment="1" applyProtection="1">
      <alignment vertical="center"/>
      <protection hidden="1"/>
    </xf>
    <xf numFmtId="0" fontId="216" fillId="0" borderId="0" xfId="0" applyFont="1" applyAlignment="1" applyProtection="1">
      <alignment horizontal="left" vertical="top"/>
      <protection hidden="1"/>
    </xf>
    <xf numFmtId="0" fontId="216" fillId="0" borderId="0" xfId="0" applyFont="1" applyAlignment="1" applyProtection="1">
      <alignment horizontal="left" vertical="center"/>
      <protection hidden="1"/>
    </xf>
    <xf numFmtId="0" fontId="76" fillId="0" borderId="0" xfId="0" applyFont="1" applyAlignment="1" applyProtection="1">
      <alignment horizontal="center" vertical="center"/>
      <protection hidden="1"/>
    </xf>
    <xf numFmtId="0" fontId="219" fillId="0" borderId="0" xfId="0" applyFont="1" applyAlignment="1" applyProtection="1">
      <alignment vertical="top"/>
      <protection hidden="1"/>
    </xf>
    <xf numFmtId="0" fontId="221" fillId="0" borderId="0" xfId="0" applyFont="1" applyAlignment="1" applyProtection="1">
      <alignment vertical="top"/>
      <protection hidden="1"/>
    </xf>
    <xf numFmtId="0" fontId="221" fillId="0" borderId="0" xfId="0" applyFont="1" applyAlignment="1" applyProtection="1">
      <alignment vertical="center"/>
      <protection hidden="1"/>
    </xf>
    <xf numFmtId="0" fontId="222" fillId="0" borderId="0" xfId="0" applyFont="1" applyProtection="1">
      <protection hidden="1"/>
    </xf>
    <xf numFmtId="0" fontId="76" fillId="0" borderId="0" xfId="0" applyFont="1" applyProtection="1">
      <protection hidden="1"/>
    </xf>
    <xf numFmtId="0" fontId="224" fillId="0" borderId="0" xfId="0" applyFont="1" applyAlignment="1" applyProtection="1">
      <alignment vertical="center"/>
      <protection hidden="1"/>
    </xf>
    <xf numFmtId="0" fontId="223" fillId="0" borderId="0" xfId="0" applyFont="1" applyAlignment="1" applyProtection="1">
      <alignment horizontal="left" vertical="top"/>
      <protection hidden="1"/>
    </xf>
    <xf numFmtId="0" fontId="224" fillId="0" borderId="0" xfId="0" applyFont="1" applyAlignment="1" applyProtection="1">
      <alignment vertical="top"/>
      <protection hidden="1"/>
    </xf>
    <xf numFmtId="0" fontId="9" fillId="0" borderId="0" xfId="0" applyFont="1" applyAlignment="1" applyProtection="1">
      <alignment vertical="center"/>
      <protection hidden="1"/>
    </xf>
    <xf numFmtId="0" fontId="47" fillId="0" borderId="0" xfId="105" applyFill="1" applyAlignment="1" applyProtection="1">
      <alignment horizontal="left" vertical="top"/>
      <protection hidden="1"/>
    </xf>
    <xf numFmtId="0" fontId="15" fillId="0" borderId="0" xfId="106" applyFont="1" applyFill="1" applyAlignment="1" applyProtection="1">
      <alignment vertical="top"/>
      <protection hidden="1"/>
    </xf>
    <xf numFmtId="0" fontId="76" fillId="0" borderId="0" xfId="0" applyFont="1" applyAlignment="1" applyProtection="1">
      <alignment vertical="center"/>
      <protection hidden="1"/>
    </xf>
    <xf numFmtId="0" fontId="47" fillId="0" borderId="0" xfId="105" applyFill="1" applyAlignment="1" applyProtection="1">
      <alignment horizontal="center" vertical="top"/>
      <protection hidden="1"/>
    </xf>
    <xf numFmtId="0" fontId="47" fillId="0" borderId="0" xfId="105" applyAlignment="1" applyProtection="1">
      <alignment vertical="center"/>
      <protection hidden="1"/>
    </xf>
    <xf numFmtId="0" fontId="52" fillId="10" borderId="0" xfId="0" applyFont="1" applyFill="1" applyAlignment="1" applyProtection="1">
      <alignment vertical="center"/>
      <protection hidden="1"/>
    </xf>
    <xf numFmtId="0" fontId="46" fillId="3" borderId="68" xfId="0" applyFont="1" applyFill="1" applyBorder="1" applyAlignment="1">
      <alignment horizontal="center"/>
    </xf>
    <xf numFmtId="0" fontId="0" fillId="0" borderId="83" xfId="0" applyBorder="1"/>
    <xf numFmtId="0" fontId="0" fillId="0" borderId="69" xfId="0" applyBorder="1"/>
    <xf numFmtId="0" fontId="141" fillId="0" borderId="0" xfId="0" applyFont="1" applyAlignment="1" applyProtection="1">
      <alignment horizontal="left" vertical="center"/>
      <protection hidden="1"/>
    </xf>
    <xf numFmtId="0" fontId="62" fillId="10" borderId="0" xfId="0" applyFont="1" applyFill="1" applyAlignment="1" applyProtection="1">
      <alignment horizontal="center" wrapText="1"/>
      <protection hidden="1"/>
    </xf>
    <xf numFmtId="0" fontId="62" fillId="10" borderId="0" xfId="0" applyFont="1" applyFill="1" applyAlignment="1" applyProtection="1">
      <alignment horizontal="center" vertical="center"/>
      <protection hidden="1"/>
    </xf>
    <xf numFmtId="0" fontId="82" fillId="10" borderId="0" xfId="0" applyFont="1" applyFill="1" applyProtection="1">
      <protection hidden="1"/>
    </xf>
    <xf numFmtId="0" fontId="227" fillId="0" borderId="0" xfId="105" applyFont="1" applyProtection="1">
      <protection hidden="1"/>
    </xf>
    <xf numFmtId="0" fontId="94" fillId="0" borderId="3" xfId="0" applyFont="1" applyBorder="1" applyProtection="1">
      <protection locked="0"/>
    </xf>
    <xf numFmtId="0" fontId="4" fillId="0" borderId="0" xfId="0" applyFont="1" applyAlignment="1" applyProtection="1">
      <alignment vertical="center" wrapText="1"/>
      <protection hidden="1"/>
    </xf>
    <xf numFmtId="0" fontId="94" fillId="0" borderId="3" xfId="0" applyFont="1" applyBorder="1" applyAlignment="1" applyProtection="1">
      <alignment horizontal="left"/>
      <protection locked="0"/>
    </xf>
    <xf numFmtId="0" fontId="76" fillId="0" borderId="0" xfId="0" quotePrefix="1" applyFont="1" applyAlignment="1" applyProtection="1">
      <alignment horizontal="right"/>
      <protection hidden="1"/>
    </xf>
    <xf numFmtId="5" fontId="76" fillId="0" borderId="0" xfId="58" applyNumberFormat="1" applyFont="1" applyProtection="1">
      <protection hidden="1"/>
    </xf>
    <xf numFmtId="0" fontId="62" fillId="10" borderId="0" xfId="0" applyFont="1" applyFill="1" applyAlignment="1" applyProtection="1">
      <alignment horizontal="center" vertical="center" wrapText="1"/>
      <protection hidden="1"/>
    </xf>
    <xf numFmtId="0" fontId="94" fillId="10" borderId="0" xfId="0" applyFont="1" applyFill="1" applyAlignment="1" applyProtection="1">
      <alignment horizontal="center" vertical="center"/>
      <protection hidden="1"/>
    </xf>
    <xf numFmtId="0" fontId="82" fillId="10" borderId="0" xfId="0" applyFont="1" applyFill="1" applyAlignment="1" applyProtection="1">
      <alignment horizontal="center" vertical="center"/>
      <protection hidden="1"/>
    </xf>
    <xf numFmtId="0" fontId="94" fillId="0" borderId="3" xfId="0" quotePrefix="1" applyFont="1" applyBorder="1" applyAlignment="1" applyProtection="1">
      <alignment horizontal="left"/>
      <protection locked="0"/>
    </xf>
    <xf numFmtId="0" fontId="61" fillId="0" borderId="0" xfId="0" applyFont="1" applyAlignment="1" applyProtection="1">
      <alignment vertical="center"/>
      <protection hidden="1"/>
    </xf>
    <xf numFmtId="0" fontId="228" fillId="0" borderId="0" xfId="0" applyFont="1" applyProtection="1">
      <protection hidden="1"/>
    </xf>
    <xf numFmtId="0" fontId="62" fillId="0" borderId="0" xfId="0" applyFont="1" applyAlignment="1" applyProtection="1">
      <alignment horizontal="center" vertical="center"/>
      <protection hidden="1"/>
    </xf>
    <xf numFmtId="0" fontId="82" fillId="0" borderId="0" xfId="0" applyFont="1" applyAlignment="1" applyProtection="1">
      <alignment horizontal="center" vertical="center"/>
      <protection hidden="1"/>
    </xf>
    <xf numFmtId="0" fontId="73" fillId="0" borderId="0" xfId="0" applyFont="1" applyAlignment="1" applyProtection="1">
      <alignment horizontal="center"/>
      <protection hidden="1"/>
    </xf>
    <xf numFmtId="167" fontId="53" fillId="0" borderId="0" xfId="58" applyNumberFormat="1" applyFont="1" applyBorder="1" applyAlignment="1" applyProtection="1">
      <alignment horizontal="center"/>
      <protection hidden="1"/>
    </xf>
    <xf numFmtId="0" fontId="94" fillId="0" borderId="0" xfId="0" applyFont="1" applyAlignment="1" applyProtection="1">
      <alignment horizontal="left"/>
      <protection hidden="1"/>
    </xf>
    <xf numFmtId="0" fontId="94" fillId="0" borderId="0" xfId="0" quotePrefix="1" applyFont="1" applyAlignment="1" applyProtection="1">
      <alignment horizontal="left"/>
      <protection hidden="1"/>
    </xf>
    <xf numFmtId="5" fontId="94" fillId="0" borderId="0" xfId="58" applyNumberFormat="1" applyFont="1" applyFill="1" applyBorder="1" applyAlignment="1" applyProtection="1">
      <protection hidden="1"/>
    </xf>
    <xf numFmtId="182" fontId="0" fillId="0" borderId="0" xfId="0" applyNumberFormat="1"/>
    <xf numFmtId="0" fontId="59" fillId="8" borderId="5" xfId="0" applyFont="1" applyFill="1" applyBorder="1" applyAlignment="1" applyProtection="1">
      <alignment horizontal="center" vertical="center" wrapText="1"/>
      <protection hidden="1"/>
    </xf>
    <xf numFmtId="9" fontId="94" fillId="11" borderId="22" xfId="0" applyNumberFormat="1" applyFont="1" applyFill="1" applyBorder="1" applyProtection="1">
      <protection hidden="1"/>
    </xf>
    <xf numFmtId="0" fontId="94" fillId="11" borderId="22" xfId="0" applyFont="1" applyFill="1" applyBorder="1" applyProtection="1">
      <protection hidden="1"/>
    </xf>
    <xf numFmtId="0" fontId="59" fillId="8" borderId="11" xfId="0" applyFont="1" applyFill="1" applyBorder="1" applyAlignment="1" applyProtection="1">
      <alignment vertical="center" wrapText="1"/>
      <protection hidden="1"/>
    </xf>
    <xf numFmtId="0" fontId="46" fillId="3" borderId="30" xfId="0" applyFont="1" applyFill="1" applyBorder="1"/>
    <xf numFmtId="0" fontId="0" fillId="0" borderId="82" xfId="0" applyBorder="1"/>
    <xf numFmtId="0" fontId="46" fillId="3" borderId="87" xfId="0" applyFont="1" applyFill="1" applyBorder="1" applyAlignment="1">
      <alignment horizontal="center"/>
    </xf>
    <xf numFmtId="9" fontId="0" fillId="0" borderId="18" xfId="0" applyNumberFormat="1" applyBorder="1" applyAlignment="1">
      <alignment horizontal="center"/>
    </xf>
    <xf numFmtId="9" fontId="0" fillId="0" borderId="18" xfId="0" applyNumberFormat="1" applyBorder="1"/>
    <xf numFmtId="9" fontId="0" fillId="0" borderId="18" xfId="115" applyFont="1" applyBorder="1"/>
    <xf numFmtId="0" fontId="46" fillId="3" borderId="12" xfId="0" applyFont="1" applyFill="1" applyBorder="1" applyAlignment="1">
      <alignment horizontal="center"/>
    </xf>
    <xf numFmtId="0" fontId="60" fillId="0" borderId="12" xfId="0" applyFont="1" applyBorder="1" applyAlignment="1">
      <alignment horizontal="center"/>
    </xf>
    <xf numFmtId="170" fontId="94" fillId="11" borderId="30" xfId="0" applyNumberFormat="1" applyFont="1" applyFill="1" applyBorder="1" applyAlignment="1" applyProtection="1">
      <alignment horizontal="center"/>
      <protection hidden="1"/>
    </xf>
    <xf numFmtId="2" fontId="94" fillId="11" borderId="30" xfId="0" applyNumberFormat="1" applyFont="1" applyFill="1" applyBorder="1" applyAlignment="1" applyProtection="1">
      <alignment horizontal="center"/>
      <protection hidden="1"/>
    </xf>
    <xf numFmtId="0" fontId="62" fillId="0" borderId="30" xfId="0" applyFont="1" applyBorder="1" applyAlignment="1" applyProtection="1">
      <alignment horizontal="center"/>
      <protection hidden="1"/>
    </xf>
    <xf numFmtId="0" fontId="0" fillId="6" borderId="1" xfId="0" applyFill="1" applyBorder="1" applyAlignment="1" applyProtection="1">
      <alignment vertical="center"/>
      <protection locked="0"/>
    </xf>
    <xf numFmtId="0" fontId="105" fillId="0" borderId="0" xfId="0" applyFont="1" applyProtection="1">
      <protection hidden="1"/>
    </xf>
    <xf numFmtId="0" fontId="101" fillId="0" borderId="0" xfId="0" applyFont="1" applyAlignment="1" applyProtection="1">
      <alignment vertical="center" wrapText="1"/>
      <protection hidden="1"/>
    </xf>
    <xf numFmtId="0" fontId="101" fillId="0" borderId="0" xfId="0" applyFont="1" applyAlignment="1" applyProtection="1">
      <alignment horizontal="center" vertical="center" wrapText="1"/>
      <protection hidden="1"/>
    </xf>
    <xf numFmtId="0" fontId="232" fillId="0" borderId="56" xfId="0" applyFont="1" applyBorder="1" applyProtection="1">
      <protection hidden="1"/>
    </xf>
    <xf numFmtId="0" fontId="232" fillId="0" borderId="57" xfId="0" applyFont="1" applyBorder="1" applyProtection="1">
      <protection hidden="1"/>
    </xf>
    <xf numFmtId="0" fontId="232" fillId="0" borderId="58" xfId="0" applyFont="1" applyBorder="1" applyProtection="1">
      <protection hidden="1"/>
    </xf>
    <xf numFmtId="0" fontId="52" fillId="0" borderId="7" xfId="0" applyFont="1" applyBorder="1" applyProtection="1">
      <protection hidden="1"/>
    </xf>
    <xf numFmtId="0" fontId="52" fillId="0" borderId="8" xfId="0" applyFont="1" applyBorder="1" applyAlignment="1" applyProtection="1">
      <alignment vertical="center"/>
      <protection hidden="1"/>
    </xf>
    <xf numFmtId="0" fontId="61" fillId="0" borderId="70" xfId="0" applyFont="1" applyBorder="1" applyProtection="1">
      <protection hidden="1"/>
    </xf>
    <xf numFmtId="0" fontId="61" fillId="0" borderId="71" xfId="0" applyFont="1" applyBorder="1" applyProtection="1">
      <protection hidden="1"/>
    </xf>
    <xf numFmtId="0" fontId="61" fillId="0" borderId="72" xfId="0" applyFont="1" applyBorder="1" applyProtection="1">
      <protection hidden="1"/>
    </xf>
    <xf numFmtId="0" fontId="70" fillId="10" borderId="3" xfId="0" applyFont="1" applyFill="1" applyBorder="1" applyAlignment="1" applyProtection="1">
      <alignment horizontal="left" vertical="center"/>
      <protection hidden="1"/>
    </xf>
    <xf numFmtId="0" fontId="52" fillId="10" borderId="3" xfId="0" applyFont="1" applyFill="1" applyBorder="1" applyAlignment="1" applyProtection="1">
      <alignment horizontal="left" vertical="center"/>
      <protection hidden="1"/>
    </xf>
    <xf numFmtId="0" fontId="52" fillId="10" borderId="0" xfId="0" applyFont="1" applyFill="1" applyAlignment="1" applyProtection="1">
      <alignment horizontal="left" vertical="center"/>
      <protection hidden="1"/>
    </xf>
    <xf numFmtId="0" fontId="94" fillId="10" borderId="30" xfId="0" applyFont="1" applyFill="1" applyBorder="1" applyProtection="1">
      <protection hidden="1"/>
    </xf>
    <xf numFmtId="0" fontId="62" fillId="10" borderId="0" xfId="0" applyFont="1" applyFill="1" applyAlignment="1" applyProtection="1">
      <alignment vertical="top"/>
      <protection hidden="1"/>
    </xf>
    <xf numFmtId="0" fontId="62" fillId="0" borderId="0" xfId="0" applyFont="1" applyAlignment="1" applyProtection="1">
      <alignment vertical="top"/>
      <protection hidden="1"/>
    </xf>
    <xf numFmtId="0" fontId="94" fillId="10" borderId="3" xfId="0" applyFont="1" applyFill="1" applyBorder="1" applyProtection="1">
      <protection hidden="1"/>
    </xf>
    <xf numFmtId="0" fontId="62" fillId="10" borderId="0" xfId="0" applyFont="1" applyFill="1" applyAlignment="1" applyProtection="1">
      <alignment horizontal="left"/>
      <protection hidden="1"/>
    </xf>
    <xf numFmtId="0" fontId="95" fillId="10" borderId="3" xfId="0" applyFont="1" applyFill="1" applyBorder="1" applyProtection="1">
      <protection hidden="1"/>
    </xf>
    <xf numFmtId="0" fontId="95" fillId="10" borderId="0" xfId="0" applyFont="1" applyFill="1" applyProtection="1">
      <protection hidden="1"/>
    </xf>
    <xf numFmtId="0" fontId="94" fillId="10" borderId="30" xfId="0" applyFont="1" applyFill="1" applyBorder="1" applyAlignment="1" applyProtection="1">
      <alignment horizontal="left"/>
      <protection hidden="1"/>
    </xf>
    <xf numFmtId="0" fontId="94" fillId="10" borderId="0" xfId="0" applyFont="1" applyFill="1" applyAlignment="1" applyProtection="1">
      <alignment horizontal="right"/>
      <protection hidden="1"/>
    </xf>
    <xf numFmtId="0" fontId="94" fillId="10" borderId="2" xfId="0" applyFont="1" applyFill="1" applyBorder="1" applyProtection="1">
      <protection hidden="1"/>
    </xf>
    <xf numFmtId="0" fontId="233" fillId="10" borderId="0" xfId="0" applyFont="1" applyFill="1" applyAlignment="1" applyProtection="1">
      <alignment horizontal="left" vertical="center"/>
      <protection hidden="1"/>
    </xf>
    <xf numFmtId="0" fontId="95" fillId="10" borderId="2" xfId="0" applyFont="1" applyFill="1" applyBorder="1" applyProtection="1">
      <protection hidden="1"/>
    </xf>
    <xf numFmtId="0" fontId="76" fillId="10" borderId="0" xfId="0" applyFont="1" applyFill="1" applyAlignment="1" applyProtection="1">
      <alignment horizontal="center"/>
      <protection hidden="1"/>
    </xf>
    <xf numFmtId="0" fontId="89" fillId="10" borderId="0" xfId="0" applyFont="1" applyFill="1" applyProtection="1">
      <protection hidden="1"/>
    </xf>
    <xf numFmtId="9" fontId="52" fillId="10" borderId="1" xfId="0" applyNumberFormat="1" applyFont="1" applyFill="1" applyBorder="1" applyAlignment="1" applyProtection="1">
      <alignment horizontal="center"/>
      <protection locked="0" hidden="1"/>
    </xf>
    <xf numFmtId="0" fontId="96" fillId="10" borderId="0" xfId="0" applyFont="1" applyFill="1" applyAlignment="1" applyProtection="1">
      <alignment horizontal="left" vertical="center"/>
      <protection hidden="1"/>
    </xf>
    <xf numFmtId="0" fontId="95" fillId="10" borderId="0" xfId="0" applyFont="1" applyFill="1" applyAlignment="1" applyProtection="1">
      <alignment horizontal="right"/>
      <protection hidden="1"/>
    </xf>
    <xf numFmtId="0" fontId="95" fillId="10" borderId="0" xfId="0" applyFont="1" applyFill="1" applyAlignment="1">
      <alignment horizontal="center"/>
    </xf>
    <xf numFmtId="0" fontId="234" fillId="10" borderId="0" xfId="0" applyFont="1" applyFill="1" applyProtection="1">
      <protection hidden="1"/>
    </xf>
    <xf numFmtId="0" fontId="94" fillId="10" borderId="3" xfId="0" applyFont="1" applyFill="1" applyBorder="1" applyAlignment="1" applyProtection="1">
      <alignment horizontal="center" vertical="center"/>
      <protection hidden="1"/>
    </xf>
    <xf numFmtId="0" fontId="94" fillId="10" borderId="0" xfId="0" applyFont="1" applyFill="1" applyAlignment="1" applyProtection="1">
      <alignment horizontal="center" vertical="center" wrapText="1"/>
      <protection hidden="1"/>
    </xf>
    <xf numFmtId="0" fontId="62" fillId="10" borderId="0" xfId="0" applyFont="1" applyFill="1" applyAlignment="1" applyProtection="1">
      <alignment vertical="top" wrapText="1"/>
      <protection hidden="1"/>
    </xf>
    <xf numFmtId="0" fontId="94" fillId="6" borderId="22" xfId="0" applyFont="1" applyFill="1" applyBorder="1" applyAlignment="1" applyProtection="1">
      <alignment vertical="center" wrapText="1"/>
      <protection locked="0" hidden="1"/>
    </xf>
    <xf numFmtId="0" fontId="94" fillId="6" borderId="1" xfId="0" applyFont="1" applyFill="1" applyBorder="1" applyAlignment="1" applyProtection="1">
      <alignment vertical="center" wrapText="1"/>
      <protection locked="0" hidden="1"/>
    </xf>
    <xf numFmtId="0" fontId="94" fillId="6" borderId="1" xfId="0" applyFont="1" applyFill="1" applyBorder="1" applyAlignment="1" applyProtection="1">
      <alignment horizontal="center" vertical="center"/>
      <protection locked="0" hidden="1"/>
    </xf>
    <xf numFmtId="0" fontId="61" fillId="10" borderId="0" xfId="0" applyFont="1" applyFill="1" applyAlignment="1" applyProtection="1">
      <alignment horizontal="right" vertical="center"/>
      <protection hidden="1"/>
    </xf>
    <xf numFmtId="0" fontId="94" fillId="10" borderId="0" xfId="0" applyFont="1" applyFill="1" applyAlignment="1" applyProtection="1">
      <alignment vertical="center"/>
      <protection hidden="1"/>
    </xf>
    <xf numFmtId="0" fontId="95" fillId="10" borderId="0" xfId="0" applyFont="1" applyFill="1" applyAlignment="1" applyProtection="1">
      <alignment vertical="center"/>
      <protection hidden="1"/>
    </xf>
    <xf numFmtId="0" fontId="61" fillId="10" borderId="0" xfId="0" applyFont="1" applyFill="1" applyAlignment="1" applyProtection="1">
      <alignment horizontal="left" vertical="center"/>
      <protection hidden="1"/>
    </xf>
    <xf numFmtId="0" fontId="61" fillId="10" borderId="0" xfId="0" applyFont="1" applyFill="1" applyAlignment="1" applyProtection="1">
      <alignment vertical="center"/>
      <protection hidden="1"/>
    </xf>
    <xf numFmtId="0" fontId="52" fillId="10" borderId="0" xfId="0" applyFont="1" applyFill="1" applyAlignment="1" applyProtection="1">
      <alignment horizontal="right"/>
      <protection hidden="1"/>
    </xf>
    <xf numFmtId="0" fontId="52" fillId="10" borderId="2" xfId="0" applyFont="1" applyFill="1" applyBorder="1" applyAlignment="1" applyProtection="1">
      <alignment vertical="center"/>
      <protection hidden="1"/>
    </xf>
    <xf numFmtId="0" fontId="52" fillId="10" borderId="2" xfId="0" applyFont="1" applyFill="1" applyBorder="1" applyProtection="1">
      <protection hidden="1"/>
    </xf>
    <xf numFmtId="2" fontId="52" fillId="0" borderId="0" xfId="0" applyNumberFormat="1" applyFont="1" applyProtection="1">
      <protection hidden="1"/>
    </xf>
    <xf numFmtId="2" fontId="52" fillId="0" borderId="3" xfId="0" applyNumberFormat="1" applyFont="1" applyBorder="1" applyAlignment="1" applyProtection="1">
      <alignment horizontal="center"/>
      <protection hidden="1"/>
    </xf>
    <xf numFmtId="2" fontId="52" fillId="0" borderId="2" xfId="0" applyNumberFormat="1" applyFont="1" applyBorder="1" applyProtection="1">
      <protection hidden="1"/>
    </xf>
    <xf numFmtId="0" fontId="52" fillId="10" borderId="0" xfId="0" applyFont="1" applyFill="1" applyAlignment="1" applyProtection="1">
      <alignment horizontal="center"/>
      <protection hidden="1"/>
    </xf>
    <xf numFmtId="0" fontId="52" fillId="10" borderId="0" xfId="0" applyFont="1" applyFill="1" applyAlignment="1" applyProtection="1">
      <alignment horizontal="center" vertical="center"/>
      <protection hidden="1"/>
    </xf>
    <xf numFmtId="0" fontId="52" fillId="10" borderId="0" xfId="0" applyFont="1" applyFill="1" applyAlignment="1" applyProtection="1">
      <alignment horizontal="center" vertical="center" wrapText="1"/>
      <protection hidden="1"/>
    </xf>
    <xf numFmtId="0" fontId="52" fillId="10" borderId="9" xfId="0" applyFont="1" applyFill="1" applyBorder="1" applyAlignment="1" applyProtection="1">
      <alignment horizontal="center" vertical="center"/>
      <protection hidden="1"/>
    </xf>
    <xf numFmtId="0" fontId="52" fillId="10" borderId="5" xfId="0" applyFont="1" applyFill="1" applyBorder="1" applyAlignment="1" applyProtection="1">
      <alignment horizontal="center" vertical="center"/>
      <protection hidden="1"/>
    </xf>
    <xf numFmtId="0" fontId="74" fillId="10" borderId="0" xfId="0" applyFont="1" applyFill="1" applyAlignment="1" applyProtection="1">
      <alignment horizontal="center" vertical="center"/>
      <protection hidden="1"/>
    </xf>
    <xf numFmtId="0" fontId="52" fillId="10" borderId="9" xfId="0" applyFont="1" applyFill="1" applyBorder="1" applyAlignment="1" applyProtection="1">
      <alignment horizontal="center" vertical="center" wrapText="1"/>
      <protection hidden="1"/>
    </xf>
    <xf numFmtId="0" fontId="52" fillId="0" borderId="5" xfId="0" applyFont="1" applyBorder="1" applyProtection="1">
      <protection hidden="1"/>
    </xf>
    <xf numFmtId="49" fontId="52" fillId="10" borderId="0" xfId="0" applyNumberFormat="1" applyFont="1" applyFill="1" applyProtection="1">
      <protection hidden="1"/>
    </xf>
    <xf numFmtId="49" fontId="52" fillId="6" borderId="3" xfId="0" applyNumberFormat="1" applyFont="1" applyFill="1" applyBorder="1" applyProtection="1">
      <protection locked="0" hidden="1"/>
    </xf>
    <xf numFmtId="49" fontId="95" fillId="10" borderId="0" xfId="0" applyNumberFormat="1" applyFont="1" applyFill="1" applyProtection="1">
      <protection hidden="1"/>
    </xf>
    <xf numFmtId="49" fontId="95" fillId="10" borderId="0" xfId="0" applyNumberFormat="1" applyFont="1" applyFill="1" applyAlignment="1" applyProtection="1">
      <alignment horizontal="right"/>
      <protection hidden="1"/>
    </xf>
    <xf numFmtId="49" fontId="52" fillId="6" borderId="3" xfId="0" applyNumberFormat="1" applyFont="1" applyFill="1" applyBorder="1" applyProtection="1">
      <protection hidden="1"/>
    </xf>
    <xf numFmtId="0" fontId="94" fillId="0" borderId="1" xfId="0" applyFont="1" applyBorder="1" applyAlignment="1" applyProtection="1">
      <alignment horizontal="center" vertical="center"/>
      <protection hidden="1"/>
    </xf>
    <xf numFmtId="0" fontId="96" fillId="10" borderId="0" xfId="0" applyFont="1" applyFill="1" applyAlignment="1" applyProtection="1">
      <alignment horizontal="right" vertical="center"/>
      <protection hidden="1"/>
    </xf>
    <xf numFmtId="0" fontId="96" fillId="10" borderId="0" xfId="0" applyFont="1" applyFill="1" applyAlignment="1" applyProtection="1">
      <alignment horizontal="center" vertical="center"/>
      <protection hidden="1"/>
    </xf>
    <xf numFmtId="0" fontId="70" fillId="10" borderId="0" xfId="0" applyFont="1" applyFill="1" applyAlignment="1" applyProtection="1">
      <alignment horizontal="left" vertical="center"/>
      <protection hidden="1"/>
    </xf>
    <xf numFmtId="0" fontId="106" fillId="0" borderId="0" xfId="0" applyFont="1" applyProtection="1">
      <protection hidden="1"/>
    </xf>
    <xf numFmtId="0" fontId="76" fillId="0" borderId="0" xfId="0" applyFont="1" applyAlignment="1" applyProtection="1">
      <alignment horizontal="right"/>
      <protection hidden="1"/>
    </xf>
    <xf numFmtId="0" fontId="76" fillId="0" borderId="3" xfId="0" applyFont="1" applyBorder="1" applyAlignment="1" applyProtection="1">
      <alignment horizontal="left"/>
      <protection hidden="1"/>
    </xf>
    <xf numFmtId="0" fontId="76" fillId="0" borderId="3" xfId="0" applyFont="1" applyBorder="1" applyProtection="1">
      <protection hidden="1"/>
    </xf>
    <xf numFmtId="0" fontId="95" fillId="0" borderId="0" xfId="0" applyFont="1" applyProtection="1">
      <protection hidden="1"/>
    </xf>
    <xf numFmtId="0" fontId="76" fillId="0" borderId="4" xfId="0" applyFont="1" applyBorder="1" applyProtection="1">
      <protection hidden="1"/>
    </xf>
    <xf numFmtId="0" fontId="76" fillId="0" borderId="2" xfId="0" applyFont="1" applyBorder="1" applyProtection="1">
      <protection hidden="1"/>
    </xf>
    <xf numFmtId="0" fontId="52" fillId="0" borderId="14" xfId="0" applyFont="1" applyBorder="1" applyProtection="1">
      <protection hidden="1"/>
    </xf>
    <xf numFmtId="0" fontId="76" fillId="0" borderId="5" xfId="0" applyFont="1" applyBorder="1" applyProtection="1">
      <protection hidden="1"/>
    </xf>
    <xf numFmtId="0" fontId="76" fillId="6" borderId="3" xfId="0" applyFont="1" applyFill="1" applyBorder="1" applyProtection="1">
      <protection locked="0"/>
    </xf>
    <xf numFmtId="0" fontId="76" fillId="0" borderId="9" xfId="0" applyFont="1" applyBorder="1" applyProtection="1">
      <protection hidden="1"/>
    </xf>
    <xf numFmtId="165" fontId="76" fillId="0" borderId="3" xfId="0" applyNumberFormat="1" applyFont="1" applyBorder="1" applyAlignment="1" applyProtection="1">
      <alignment horizontal="left"/>
      <protection hidden="1"/>
    </xf>
    <xf numFmtId="0" fontId="76" fillId="0" borderId="0" xfId="0" applyFont="1" applyAlignment="1" applyProtection="1">
      <alignment horizontal="right"/>
      <protection locked="0"/>
    </xf>
    <xf numFmtId="0" fontId="155" fillId="6" borderId="30" xfId="0" applyFont="1" applyFill="1" applyBorder="1" applyAlignment="1" applyProtection="1">
      <alignment horizontal="left"/>
      <protection locked="0"/>
    </xf>
    <xf numFmtId="0" fontId="60" fillId="6" borderId="30" xfId="0" applyFont="1" applyFill="1" applyBorder="1" applyProtection="1">
      <protection locked="0"/>
    </xf>
    <xf numFmtId="0" fontId="155" fillId="10" borderId="0" xfId="0" applyFont="1" applyFill="1" applyAlignment="1">
      <alignment horizontal="left"/>
    </xf>
    <xf numFmtId="0" fontId="60" fillId="10" borderId="0" xfId="0" applyFont="1" applyFill="1"/>
    <xf numFmtId="0" fontId="95" fillId="0" borderId="6" xfId="0" applyFont="1" applyBorder="1" applyAlignment="1" applyProtection="1">
      <alignment vertical="center"/>
      <protection hidden="1"/>
    </xf>
    <xf numFmtId="0" fontId="235" fillId="0" borderId="0" xfId="0" applyFont="1" applyAlignment="1" applyProtection="1">
      <alignment vertical="center"/>
      <protection hidden="1"/>
    </xf>
    <xf numFmtId="0" fontId="29" fillId="3" borderId="1" xfId="0" applyFont="1" applyFill="1" applyBorder="1" applyAlignment="1" applyProtection="1">
      <alignment horizontal="center" vertical="center" wrapText="1"/>
      <protection hidden="1"/>
    </xf>
    <xf numFmtId="0" fontId="76" fillId="0" borderId="1" xfId="0" applyFont="1" applyBorder="1" applyProtection="1">
      <protection hidden="1"/>
    </xf>
    <xf numFmtId="0" fontId="76" fillId="6" borderId="1" xfId="0" applyFont="1" applyFill="1" applyBorder="1" applyProtection="1">
      <protection hidden="1"/>
    </xf>
    <xf numFmtId="0" fontId="76" fillId="6" borderId="1" xfId="0" applyFont="1" applyFill="1" applyBorder="1" applyProtection="1">
      <protection locked="0"/>
    </xf>
    <xf numFmtId="0" fontId="76" fillId="10" borderId="1" xfId="0" applyFont="1" applyFill="1" applyBorder="1"/>
    <xf numFmtId="0" fontId="76" fillId="6" borderId="22" xfId="0" applyFont="1" applyFill="1" applyBorder="1" applyAlignment="1" applyProtection="1">
      <alignment horizontal="center"/>
      <protection locked="0"/>
    </xf>
    <xf numFmtId="0" fontId="76" fillId="6" borderId="30" xfId="0" applyFont="1" applyFill="1" applyBorder="1" applyAlignment="1" applyProtection="1">
      <alignment horizontal="center"/>
      <protection locked="0"/>
    </xf>
    <xf numFmtId="0" fontId="76" fillId="6" borderId="24" xfId="0" applyFont="1" applyFill="1" applyBorder="1" applyAlignment="1" applyProtection="1">
      <alignment horizontal="center"/>
      <protection locked="0"/>
    </xf>
    <xf numFmtId="0" fontId="76" fillId="6" borderId="22" xfId="0" applyFont="1" applyFill="1" applyBorder="1" applyProtection="1">
      <protection locked="0"/>
    </xf>
    <xf numFmtId="0" fontId="76" fillId="6" borderId="30" xfId="0" applyFont="1" applyFill="1" applyBorder="1" applyProtection="1">
      <protection locked="0"/>
    </xf>
    <xf numFmtId="0" fontId="76" fillId="6" borderId="24" xfId="0" applyFont="1" applyFill="1" applyBorder="1" applyProtection="1">
      <protection locked="0"/>
    </xf>
    <xf numFmtId="0" fontId="25" fillId="0" borderId="0" xfId="108" applyFont="1" applyAlignment="1" applyProtection="1">
      <alignment horizontal="right"/>
      <protection hidden="1"/>
    </xf>
    <xf numFmtId="0" fontId="155" fillId="0" borderId="3" xfId="108" applyFont="1" applyBorder="1" applyProtection="1">
      <protection hidden="1"/>
    </xf>
    <xf numFmtId="0" fontId="52" fillId="0" borderId="33" xfId="0" applyFont="1" applyBorder="1" applyProtection="1">
      <protection hidden="1"/>
    </xf>
    <xf numFmtId="0" fontId="52" fillId="0" borderId="34" xfId="0" applyFont="1" applyBorder="1" applyProtection="1">
      <protection hidden="1"/>
    </xf>
    <xf numFmtId="0" fontId="0" fillId="0" borderId="34" xfId="0" applyBorder="1" applyProtection="1">
      <protection hidden="1"/>
    </xf>
    <xf numFmtId="0" fontId="0" fillId="0" borderId="35" xfId="0" applyBorder="1" applyProtection="1">
      <protection hidden="1"/>
    </xf>
    <xf numFmtId="0" fontId="155" fillId="0" borderId="7" xfId="108" applyFont="1" applyBorder="1" applyProtection="1">
      <protection hidden="1"/>
    </xf>
    <xf numFmtId="0" fontId="27" fillId="0" borderId="0" xfId="108" applyFont="1" applyAlignment="1" applyProtection="1">
      <alignment horizontal="right"/>
      <protection hidden="1"/>
    </xf>
    <xf numFmtId="44" fontId="27" fillId="0" borderId="0" xfId="58" applyFont="1" applyBorder="1" applyProtection="1">
      <protection hidden="1"/>
    </xf>
    <xf numFmtId="0" fontId="52" fillId="10" borderId="0" xfId="0" applyFont="1" applyFill="1" applyProtection="1">
      <protection locked="0" hidden="1"/>
    </xf>
    <xf numFmtId="0" fontId="61" fillId="0" borderId="7" xfId="0" applyFont="1" applyBorder="1" applyProtection="1">
      <protection hidden="1"/>
    </xf>
    <xf numFmtId="0" fontId="52" fillId="0" borderId="71" xfId="0" applyFont="1" applyBorder="1" applyProtection="1">
      <protection hidden="1"/>
    </xf>
    <xf numFmtId="0" fontId="27" fillId="0" borderId="71" xfId="108" applyFont="1" applyBorder="1" applyAlignment="1" applyProtection="1">
      <alignment horizontal="right"/>
      <protection hidden="1"/>
    </xf>
    <xf numFmtId="44" fontId="27" fillId="0" borderId="71" xfId="58" applyFont="1" applyBorder="1" applyProtection="1">
      <protection hidden="1"/>
    </xf>
    <xf numFmtId="0" fontId="0" fillId="0" borderId="71" xfId="0" applyBorder="1" applyProtection="1">
      <protection hidden="1"/>
    </xf>
    <xf numFmtId="0" fontId="0" fillId="0" borderId="72" xfId="0" applyBorder="1" applyProtection="1">
      <protection hidden="1"/>
    </xf>
    <xf numFmtId="0" fontId="236" fillId="0" borderId="0" xfId="0" applyFont="1"/>
    <xf numFmtId="0" fontId="237" fillId="3" borderId="1" xfId="0" applyFont="1" applyFill="1" applyBorder="1"/>
    <xf numFmtId="0" fontId="155" fillId="0" borderId="0" xfId="108" applyFont="1" applyProtection="1">
      <protection hidden="1"/>
    </xf>
    <xf numFmtId="14" fontId="25" fillId="0" borderId="0" xfId="108" applyNumberFormat="1" applyFont="1" applyProtection="1">
      <protection hidden="1"/>
    </xf>
    <xf numFmtId="0" fontId="27" fillId="0" borderId="0" xfId="108" applyFont="1" applyAlignment="1" applyProtection="1">
      <alignment wrapText="1"/>
      <protection hidden="1"/>
    </xf>
    <xf numFmtId="0" fontId="155" fillId="0" borderId="3" xfId="108" applyFont="1" applyBorder="1" applyAlignment="1" applyProtection="1">
      <alignment wrapText="1"/>
      <protection hidden="1"/>
    </xf>
    <xf numFmtId="0" fontId="155" fillId="0" borderId="0" xfId="108" applyFont="1" applyAlignment="1" applyProtection="1">
      <alignment wrapText="1"/>
      <protection hidden="1"/>
    </xf>
    <xf numFmtId="0" fontId="155" fillId="0" borderId="0" xfId="108" applyFont="1" applyAlignment="1" applyProtection="1">
      <alignment horizontal="left" wrapText="1"/>
      <protection hidden="1"/>
    </xf>
    <xf numFmtId="0" fontId="155" fillId="0" borderId="30" xfId="108" applyFont="1" applyBorder="1" applyAlignment="1" applyProtection="1">
      <alignment wrapText="1"/>
      <protection hidden="1"/>
    </xf>
    <xf numFmtId="165" fontId="155" fillId="0" borderId="30" xfId="108" applyNumberFormat="1" applyFont="1" applyBorder="1" applyAlignment="1" applyProtection="1">
      <alignment horizontal="left" wrapText="1"/>
      <protection hidden="1"/>
    </xf>
    <xf numFmtId="0" fontId="25" fillId="0" borderId="30" xfId="108" applyFont="1" applyBorder="1" applyAlignment="1" applyProtection="1">
      <alignment wrapText="1"/>
      <protection hidden="1"/>
    </xf>
    <xf numFmtId="0" fontId="25" fillId="0" borderId="0" xfId="108" applyFont="1" applyAlignment="1" applyProtection="1">
      <alignment wrapText="1"/>
      <protection hidden="1"/>
    </xf>
    <xf numFmtId="0" fontId="25" fillId="0" borderId="0" xfId="108" applyFont="1" applyAlignment="1" applyProtection="1">
      <alignment horizontal="left"/>
      <protection hidden="1"/>
    </xf>
    <xf numFmtId="0" fontId="25" fillId="0" borderId="0" xfId="108" applyFont="1" applyAlignment="1" applyProtection="1">
      <alignment horizontal="left" wrapText="1"/>
      <protection hidden="1"/>
    </xf>
    <xf numFmtId="0" fontId="29" fillId="3" borderId="1" xfId="109" applyFont="1" applyFill="1" applyBorder="1" applyAlignment="1" applyProtection="1">
      <alignment horizontal="center" vertical="center"/>
      <protection hidden="1"/>
    </xf>
    <xf numFmtId="0" fontId="29" fillId="0" borderId="0" xfId="109" applyFont="1" applyAlignment="1" applyProtection="1">
      <alignment vertical="center" wrapText="1"/>
      <protection hidden="1"/>
    </xf>
    <xf numFmtId="0" fontId="0" fillId="6" borderId="22" xfId="0" applyFill="1" applyBorder="1" applyAlignment="1" applyProtection="1">
      <alignment horizontal="left"/>
      <protection hidden="1"/>
    </xf>
    <xf numFmtId="0" fontId="0" fillId="6" borderId="30" xfId="0" applyFill="1" applyBorder="1" applyAlignment="1" applyProtection="1">
      <alignment horizontal="left"/>
      <protection hidden="1"/>
    </xf>
    <xf numFmtId="0" fontId="0" fillId="6" borderId="24" xfId="0" applyFill="1" applyBorder="1" applyAlignment="1" applyProtection="1">
      <alignment horizontal="left"/>
      <protection hidden="1"/>
    </xf>
    <xf numFmtId="0" fontId="76" fillId="0" borderId="5" xfId="0" applyFont="1" applyBorder="1" applyAlignment="1" applyProtection="1">
      <alignment horizontal="right"/>
      <protection hidden="1"/>
    </xf>
    <xf numFmtId="0" fontId="76" fillId="0" borderId="14" xfId="0" applyFont="1" applyBorder="1" applyProtection="1">
      <protection hidden="1"/>
    </xf>
    <xf numFmtId="0" fontId="0" fillId="0" borderId="6" xfId="0" applyBorder="1" applyProtection="1">
      <protection hidden="1"/>
    </xf>
    <xf numFmtId="0" fontId="238" fillId="0" borderId="0" xfId="0" applyFont="1" applyAlignment="1" applyProtection="1">
      <alignment vertical="center" wrapText="1"/>
      <protection hidden="1"/>
    </xf>
    <xf numFmtId="0" fontId="239" fillId="0" borderId="0" xfId="0" applyFont="1" applyAlignment="1" applyProtection="1">
      <alignment vertical="center"/>
      <protection hidden="1"/>
    </xf>
    <xf numFmtId="0" fontId="29" fillId="0" borderId="0" xfId="0" applyFont="1" applyAlignment="1" applyProtection="1">
      <alignment vertical="center"/>
      <protection hidden="1"/>
    </xf>
    <xf numFmtId="0" fontId="29" fillId="0" borderId="0" xfId="0" applyFont="1" applyAlignment="1" applyProtection="1">
      <alignment horizontal="center" vertical="center" wrapText="1"/>
      <protection hidden="1"/>
    </xf>
    <xf numFmtId="0" fontId="94" fillId="6" borderId="1" xfId="0" applyFont="1" applyFill="1" applyBorder="1" applyAlignment="1" applyProtection="1">
      <alignment vertical="center" wrapText="1"/>
      <protection locked="0"/>
    </xf>
    <xf numFmtId="0" fontId="94" fillId="0" borderId="1" xfId="0" applyFont="1" applyBorder="1" applyAlignment="1" applyProtection="1">
      <alignment vertical="center" wrapText="1"/>
      <protection hidden="1"/>
    </xf>
    <xf numFmtId="0" fontId="241" fillId="6" borderId="1" xfId="0" applyFont="1" applyFill="1" applyBorder="1" applyAlignment="1" applyProtection="1">
      <alignment vertical="center" wrapText="1"/>
      <protection locked="0"/>
    </xf>
    <xf numFmtId="166" fontId="242" fillId="6" borderId="1" xfId="58" applyNumberFormat="1" applyFont="1" applyFill="1" applyBorder="1" applyAlignment="1" applyProtection="1">
      <alignment vertical="center" wrapText="1"/>
      <protection locked="0"/>
    </xf>
    <xf numFmtId="0" fontId="241" fillId="0" borderId="0" xfId="0" applyFont="1" applyAlignment="1" applyProtection="1">
      <alignment vertical="center" wrapText="1"/>
      <protection hidden="1"/>
    </xf>
    <xf numFmtId="166" fontId="241" fillId="0" borderId="0" xfId="58" applyNumberFormat="1" applyFont="1" applyFill="1" applyBorder="1" applyAlignment="1" applyProtection="1">
      <alignment vertical="center" wrapText="1"/>
      <protection hidden="1"/>
    </xf>
    <xf numFmtId="0" fontId="76" fillId="0" borderId="0" xfId="0" applyFont="1" applyAlignment="1" applyProtection="1">
      <alignment horizontal="left"/>
      <protection hidden="1"/>
    </xf>
    <xf numFmtId="0" fontId="76" fillId="0" borderId="6" xfId="0" applyFont="1" applyBorder="1" applyProtection="1">
      <protection hidden="1"/>
    </xf>
    <xf numFmtId="0" fontId="76" fillId="0" borderId="10" xfId="0" applyFont="1" applyBorder="1" applyProtection="1">
      <protection hidden="1"/>
    </xf>
    <xf numFmtId="0" fontId="94" fillId="0" borderId="1" xfId="0" applyFont="1" applyBorder="1" applyAlignment="1" applyProtection="1">
      <alignment horizontal="center" vertical="center" wrapText="1"/>
      <protection hidden="1"/>
    </xf>
    <xf numFmtId="3" fontId="94" fillId="0" borderId="1" xfId="0" applyNumberFormat="1" applyFont="1" applyBorder="1" applyAlignment="1" applyProtection="1">
      <alignment horizontal="center" vertical="center" wrapText="1"/>
      <protection hidden="1"/>
    </xf>
    <xf numFmtId="0" fontId="0" fillId="6" borderId="1" xfId="0" applyFill="1" applyBorder="1" applyAlignment="1" applyProtection="1">
      <alignment vertical="center"/>
      <protection locked="0" hidden="1"/>
    </xf>
    <xf numFmtId="0" fontId="29" fillId="6" borderId="1" xfId="0" applyFont="1" applyFill="1" applyBorder="1" applyAlignment="1" applyProtection="1">
      <alignment horizontal="center" vertical="center" wrapText="1"/>
      <protection locked="0" hidden="1"/>
    </xf>
    <xf numFmtId="6" fontId="94" fillId="6" borderId="1" xfId="0" applyNumberFormat="1" applyFont="1" applyFill="1" applyBorder="1" applyAlignment="1" applyProtection="1">
      <alignment vertical="center" wrapText="1"/>
      <protection locked="0" hidden="1"/>
    </xf>
    <xf numFmtId="166" fontId="52" fillId="6" borderId="1" xfId="58" applyNumberFormat="1" applyFont="1" applyFill="1" applyBorder="1" applyAlignment="1" applyProtection="1">
      <alignment vertical="center" wrapText="1"/>
      <protection locked="0" hidden="1"/>
    </xf>
    <xf numFmtId="6" fontId="94" fillId="6" borderId="1" xfId="0" applyNumberFormat="1" applyFont="1" applyFill="1" applyBorder="1" applyAlignment="1" applyProtection="1">
      <alignment horizontal="center" vertical="center" wrapText="1"/>
      <protection locked="0" hidden="1"/>
    </xf>
    <xf numFmtId="0" fontId="95" fillId="0" borderId="5" xfId="0" applyFont="1" applyBorder="1" applyProtection="1">
      <protection hidden="1"/>
    </xf>
    <xf numFmtId="0" fontId="76" fillId="6" borderId="3" xfId="0" applyFont="1" applyFill="1" applyBorder="1" applyAlignment="1" applyProtection="1">
      <alignment horizontal="left"/>
      <protection locked="0"/>
    </xf>
    <xf numFmtId="0" fontId="155" fillId="0" borderId="0" xfId="0" applyFont="1" applyAlignment="1" applyProtection="1">
      <alignment vertical="center"/>
      <protection hidden="1"/>
    </xf>
    <xf numFmtId="0" fontId="29" fillId="3" borderId="77" xfId="0" applyFont="1" applyFill="1" applyBorder="1" applyAlignment="1" applyProtection="1">
      <alignment horizontal="center" vertical="center" wrapText="1"/>
      <protection hidden="1"/>
    </xf>
    <xf numFmtId="0" fontId="29" fillId="3" borderId="76" xfId="0" applyFont="1" applyFill="1" applyBorder="1" applyAlignment="1" applyProtection="1">
      <alignment horizontal="center" vertical="center" wrapText="1"/>
      <protection hidden="1"/>
    </xf>
    <xf numFmtId="0" fontId="29" fillId="3" borderId="75" xfId="0" applyFont="1" applyFill="1" applyBorder="1" applyAlignment="1" applyProtection="1">
      <alignment horizontal="center" vertical="center" wrapText="1"/>
      <protection hidden="1"/>
    </xf>
    <xf numFmtId="0" fontId="76" fillId="0" borderId="13" xfId="0" applyFont="1" applyBorder="1" applyAlignment="1" applyProtection="1">
      <alignment horizontal="center"/>
      <protection hidden="1"/>
    </xf>
    <xf numFmtId="0" fontId="76" fillId="6" borderId="13" xfId="0" applyFont="1" applyFill="1" applyBorder="1" applyAlignment="1" applyProtection="1">
      <alignment horizontal="left"/>
      <protection locked="0"/>
    </xf>
    <xf numFmtId="0" fontId="76" fillId="6" borderId="1" xfId="0" applyFont="1" applyFill="1" applyBorder="1" applyAlignment="1" applyProtection="1">
      <alignment horizontal="left"/>
      <protection locked="0"/>
    </xf>
    <xf numFmtId="0" fontId="0" fillId="6" borderId="1" xfId="0" applyFill="1" applyBorder="1" applyAlignment="1" applyProtection="1">
      <alignment horizontal="left"/>
      <protection locked="0"/>
    </xf>
    <xf numFmtId="0" fontId="29" fillId="3" borderId="56" xfId="0" applyFont="1" applyFill="1" applyBorder="1" applyAlignment="1" applyProtection="1">
      <alignment horizontal="center" vertical="center" wrapText="1"/>
      <protection hidden="1"/>
    </xf>
    <xf numFmtId="0" fontId="74" fillId="36" borderId="0" xfId="0" applyFont="1" applyFill="1"/>
    <xf numFmtId="0" fontId="44" fillId="36" borderId="0" xfId="0" applyFont="1" applyFill="1"/>
    <xf numFmtId="0" fontId="52" fillId="3" borderId="0" xfId="0" applyFont="1" applyFill="1"/>
    <xf numFmtId="0" fontId="0" fillId="3" borderId="0" xfId="0" applyFill="1"/>
    <xf numFmtId="0" fontId="105" fillId="10" borderId="0" xfId="0" applyFont="1" applyFill="1" applyAlignment="1">
      <alignment vertical="center"/>
    </xf>
    <xf numFmtId="0" fontId="187" fillId="10" borderId="0" xfId="0" applyFont="1" applyFill="1" applyAlignment="1">
      <alignment vertical="center"/>
    </xf>
    <xf numFmtId="0" fontId="52" fillId="10" borderId="0" xfId="0" applyFont="1" applyFill="1"/>
    <xf numFmtId="0" fontId="94" fillId="10" borderId="0" xfId="0" applyFont="1" applyFill="1"/>
    <xf numFmtId="0" fontId="94" fillId="10" borderId="0" xfId="0" applyFont="1" applyFill="1" applyAlignment="1">
      <alignment horizontal="left"/>
    </xf>
    <xf numFmtId="0" fontId="62" fillId="10" borderId="0" xfId="0" applyFont="1" applyFill="1" applyAlignment="1">
      <alignment vertical="top"/>
    </xf>
    <xf numFmtId="0" fontId="94" fillId="10" borderId="0" xfId="0" applyFont="1" applyFill="1" applyProtection="1">
      <protection locked="0"/>
    </xf>
    <xf numFmtId="0" fontId="232" fillId="10" borderId="56" xfId="0" applyFont="1" applyFill="1" applyBorder="1" applyProtection="1">
      <protection hidden="1"/>
    </xf>
    <xf numFmtId="0" fontId="232" fillId="10" borderId="57" xfId="0" applyFont="1" applyFill="1" applyBorder="1" applyProtection="1">
      <protection hidden="1"/>
    </xf>
    <xf numFmtId="0" fontId="232" fillId="10" borderId="58" xfId="0" applyFont="1" applyFill="1" applyBorder="1" applyProtection="1">
      <protection hidden="1"/>
    </xf>
    <xf numFmtId="0" fontId="52" fillId="10" borderId="7" xfId="0" applyFont="1" applyFill="1" applyBorder="1" applyProtection="1">
      <protection hidden="1"/>
    </xf>
    <xf numFmtId="0" fontId="52" fillId="10" borderId="8" xfId="0" applyFont="1" applyFill="1" applyBorder="1" applyAlignment="1" applyProtection="1">
      <alignment vertical="center"/>
      <protection hidden="1"/>
    </xf>
    <xf numFmtId="0" fontId="61" fillId="10" borderId="70" xfId="0" applyFont="1" applyFill="1" applyBorder="1" applyProtection="1">
      <protection hidden="1"/>
    </xf>
    <xf numFmtId="0" fontId="61" fillId="10" borderId="71" xfId="0" applyFont="1" applyFill="1" applyBorder="1" applyProtection="1">
      <protection hidden="1"/>
    </xf>
    <xf numFmtId="0" fontId="61" fillId="10" borderId="72" xfId="0" applyFont="1" applyFill="1" applyBorder="1" applyProtection="1">
      <protection hidden="1"/>
    </xf>
    <xf numFmtId="0" fontId="95" fillId="10" borderId="0" xfId="0" applyFont="1" applyFill="1"/>
    <xf numFmtId="0" fontId="62" fillId="10" borderId="0" xfId="0" applyFont="1" applyFill="1"/>
    <xf numFmtId="0" fontId="62" fillId="10" borderId="0" xfId="0" applyFont="1" applyFill="1" applyAlignment="1">
      <alignment horizontal="left"/>
    </xf>
    <xf numFmtId="0" fontId="94" fillId="10" borderId="3" xfId="0" applyFont="1" applyFill="1" applyBorder="1" applyAlignment="1">
      <alignment horizontal="center" vertical="center"/>
    </xf>
    <xf numFmtId="0" fontId="94" fillId="10" borderId="3" xfId="0" applyFont="1" applyFill="1" applyBorder="1" applyAlignment="1">
      <alignment horizontal="center" vertical="center" wrapText="1"/>
    </xf>
    <xf numFmtId="0" fontId="62" fillId="10" borderId="0" xfId="0" applyFont="1" applyFill="1" applyAlignment="1">
      <alignment vertical="top" wrapText="1"/>
    </xf>
    <xf numFmtId="0" fontId="94" fillId="0" borderId="1" xfId="0" applyFont="1" applyBorder="1" applyAlignment="1">
      <alignment horizontal="center" vertical="center"/>
    </xf>
    <xf numFmtId="0" fontId="94" fillId="10" borderId="24" xfId="0" applyFont="1" applyFill="1" applyBorder="1" applyAlignment="1">
      <alignment horizontal="center" vertical="center" wrapText="1"/>
    </xf>
    <xf numFmtId="0" fontId="94" fillId="10" borderId="1" xfId="0" applyFont="1" applyFill="1" applyBorder="1" applyAlignment="1">
      <alignment horizontal="center" vertical="center" wrapText="1"/>
    </xf>
    <xf numFmtId="0" fontId="61" fillId="10" borderId="0" xfId="0" applyFont="1" applyFill="1" applyAlignment="1">
      <alignment horizontal="right" vertical="center"/>
    </xf>
    <xf numFmtId="0" fontId="95" fillId="10" borderId="0" xfId="0" applyFont="1" applyFill="1" applyAlignment="1">
      <alignment vertical="center"/>
    </xf>
    <xf numFmtId="0" fontId="61" fillId="10" borderId="0" xfId="0" applyFont="1" applyFill="1" applyAlignment="1">
      <alignment horizontal="left" vertical="center"/>
    </xf>
    <xf numFmtId="0" fontId="61" fillId="10" borderId="0" xfId="0" applyFont="1" applyFill="1" applyAlignment="1">
      <alignment vertical="center"/>
    </xf>
    <xf numFmtId="0" fontId="52" fillId="10" borderId="0" xfId="0" applyFont="1" applyFill="1" applyAlignment="1">
      <alignment horizontal="right"/>
    </xf>
    <xf numFmtId="2" fontId="52" fillId="10" borderId="0" xfId="0" applyNumberFormat="1" applyFont="1" applyFill="1"/>
    <xf numFmtId="2" fontId="52" fillId="10" borderId="3" xfId="0" applyNumberFormat="1" applyFont="1" applyFill="1" applyBorder="1" applyAlignment="1">
      <alignment horizontal="center"/>
    </xf>
    <xf numFmtId="2" fontId="52" fillId="10" borderId="2" xfId="0" applyNumberFormat="1" applyFont="1" applyFill="1" applyBorder="1"/>
    <xf numFmtId="0" fontId="52" fillId="10" borderId="9" xfId="0" applyFont="1" applyFill="1" applyBorder="1" applyAlignment="1">
      <alignment horizontal="center" vertical="center"/>
    </xf>
    <xf numFmtId="0" fontId="2" fillId="10" borderId="0" xfId="0" applyFont="1" applyFill="1"/>
    <xf numFmtId="0" fontId="52" fillId="10" borderId="9" xfId="0" applyFont="1" applyFill="1" applyBorder="1" applyAlignment="1">
      <alignment horizontal="center" vertical="center" wrapText="1"/>
    </xf>
    <xf numFmtId="0" fontId="52" fillId="10" borderId="0" xfId="0" applyFont="1" applyFill="1" applyAlignment="1">
      <alignment horizontal="center" vertical="center" wrapText="1"/>
    </xf>
    <xf numFmtId="37" fontId="52" fillId="10" borderId="0" xfId="4" applyNumberFormat="1" applyFont="1" applyFill="1" applyBorder="1" applyAlignment="1">
      <alignment horizontal="center" vertical="center"/>
    </xf>
    <xf numFmtId="0" fontId="52" fillId="10" borderId="0" xfId="0" applyFont="1" applyFill="1" applyAlignment="1">
      <alignment horizontal="center" vertical="center"/>
    </xf>
    <xf numFmtId="37" fontId="52" fillId="0" borderId="0" xfId="4" applyNumberFormat="1" applyFont="1" applyBorder="1" applyAlignment="1">
      <alignment horizontal="center" vertical="center"/>
    </xf>
    <xf numFmtId="0" fontId="52" fillId="0" borderId="0" xfId="0" applyFont="1" applyAlignment="1">
      <alignment horizontal="center" vertical="center"/>
    </xf>
    <xf numFmtId="49" fontId="52" fillId="10" borderId="0" xfId="0" applyNumberFormat="1" applyFont="1" applyFill="1"/>
    <xf numFmtId="0" fontId="62" fillId="10" borderId="0" xfId="0" applyFont="1" applyFill="1" applyAlignment="1">
      <alignment horizontal="center" vertical="center" wrapText="1"/>
    </xf>
    <xf numFmtId="49" fontId="52" fillId="6" borderId="3" xfId="0" applyNumberFormat="1" applyFont="1" applyFill="1" applyBorder="1"/>
    <xf numFmtId="49" fontId="95" fillId="10" borderId="0" xfId="0" applyNumberFormat="1" applyFont="1" applyFill="1"/>
    <xf numFmtId="49" fontId="95" fillId="10" borderId="0" xfId="0" applyNumberFormat="1" applyFont="1" applyFill="1" applyAlignment="1">
      <alignment horizontal="right"/>
    </xf>
    <xf numFmtId="0" fontId="6" fillId="10" borderId="2" xfId="0" applyFont="1" applyFill="1" applyBorder="1" applyAlignment="1">
      <alignment horizontal="left" vertical="center"/>
    </xf>
    <xf numFmtId="0" fontId="3" fillId="10" borderId="2" xfId="0" applyFont="1" applyFill="1" applyBorder="1"/>
    <xf numFmtId="0" fontId="2" fillId="10" borderId="2" xfId="0" applyFont="1" applyFill="1" applyBorder="1" applyProtection="1">
      <protection locked="0"/>
    </xf>
    <xf numFmtId="0" fontId="52" fillId="10" borderId="2" xfId="0" applyFont="1" applyFill="1" applyBorder="1"/>
    <xf numFmtId="0" fontId="6" fillId="10" borderId="2" xfId="0" applyFont="1" applyFill="1" applyBorder="1" applyAlignment="1" applyProtection="1">
      <alignment horizontal="right"/>
      <protection locked="0"/>
    </xf>
    <xf numFmtId="0" fontId="6" fillId="10" borderId="2" xfId="0" applyFont="1" applyFill="1" applyBorder="1" applyAlignment="1">
      <alignment horizontal="right" vertical="center" wrapText="1"/>
    </xf>
    <xf numFmtId="0" fontId="2" fillId="0" borderId="2" xfId="0" applyFont="1" applyBorder="1" applyProtection="1">
      <protection locked="0"/>
    </xf>
    <xf numFmtId="49" fontId="2" fillId="10" borderId="0" xfId="0" applyNumberFormat="1" applyFont="1" applyFill="1"/>
    <xf numFmtId="2" fontId="52" fillId="0" borderId="2" xfId="0" applyNumberFormat="1" applyFont="1" applyBorder="1"/>
    <xf numFmtId="2" fontId="52" fillId="0" borderId="3" xfId="0" applyNumberFormat="1" applyFont="1" applyBorder="1" applyAlignment="1">
      <alignment horizontal="center"/>
    </xf>
    <xf numFmtId="2" fontId="52" fillId="0" borderId="0" xfId="0" applyNumberFormat="1" applyFont="1"/>
    <xf numFmtId="0" fontId="94" fillId="10" borderId="3" xfId="0" applyFont="1" applyFill="1" applyBorder="1"/>
    <xf numFmtId="0" fontId="94" fillId="10" borderId="30" xfId="0" applyFont="1" applyFill="1" applyBorder="1"/>
    <xf numFmtId="165" fontId="76" fillId="0" borderId="3" xfId="0" applyNumberFormat="1" applyFont="1" applyBorder="1" applyProtection="1">
      <protection hidden="1"/>
    </xf>
    <xf numFmtId="196" fontId="94" fillId="10" borderId="30" xfId="0" applyNumberFormat="1" applyFont="1" applyFill="1" applyBorder="1"/>
    <xf numFmtId="0" fontId="94" fillId="0" borderId="1" xfId="0" applyFont="1" applyBorder="1" applyAlignment="1" applyProtection="1">
      <alignment vertical="center" wrapText="1"/>
      <protection locked="0" hidden="1"/>
    </xf>
    <xf numFmtId="0" fontId="94" fillId="10" borderId="3" xfId="0" applyFont="1" applyFill="1" applyBorder="1" applyAlignment="1">
      <alignment horizontal="left"/>
    </xf>
    <xf numFmtId="165" fontId="94" fillId="10" borderId="30" xfId="0" applyNumberFormat="1" applyFont="1" applyFill="1" applyBorder="1" applyAlignment="1">
      <alignment horizontal="left"/>
    </xf>
    <xf numFmtId="0" fontId="0" fillId="0" borderId="1" xfId="0" applyBorder="1" applyAlignment="1" applyProtection="1">
      <alignment vertical="center"/>
      <protection hidden="1"/>
    </xf>
    <xf numFmtId="167" fontId="0" fillId="0" borderId="3" xfId="0" applyNumberFormat="1" applyBorder="1" applyAlignment="1" applyProtection="1">
      <alignment horizontal="right"/>
      <protection hidden="1"/>
    </xf>
    <xf numFmtId="0" fontId="0" fillId="0" borderId="3" xfId="0" applyBorder="1" applyAlignment="1" applyProtection="1">
      <alignment horizontal="center"/>
      <protection locked="0"/>
    </xf>
    <xf numFmtId="0" fontId="46" fillId="3" borderId="22" xfId="0" applyFont="1" applyFill="1" applyBorder="1" applyAlignment="1" applyProtection="1">
      <alignment horizontal="center"/>
      <protection locked="0"/>
    </xf>
    <xf numFmtId="0" fontId="129" fillId="3" borderId="11" xfId="0" applyFont="1" applyFill="1" applyBorder="1" applyAlignment="1">
      <alignment horizontal="center" vertical="center"/>
    </xf>
    <xf numFmtId="169" fontId="0" fillId="0" borderId="3" xfId="4" applyNumberFormat="1" applyFont="1" applyBorder="1" applyAlignment="1" applyProtection="1">
      <alignment horizontal="right"/>
      <protection hidden="1"/>
    </xf>
    <xf numFmtId="1" fontId="0" fillId="0" borderId="3" xfId="0" applyNumberFormat="1" applyBorder="1" applyAlignment="1" applyProtection="1">
      <alignment horizontal="right"/>
      <protection hidden="1"/>
    </xf>
    <xf numFmtId="0" fontId="0" fillId="6" borderId="3" xfId="0" applyFill="1" applyBorder="1" applyAlignment="1" applyProtection="1">
      <alignment horizontal="center"/>
      <protection hidden="1"/>
    </xf>
    <xf numFmtId="0" fontId="0" fillId="42" borderId="1" xfId="0" applyFill="1" applyBorder="1" applyProtection="1">
      <protection locked="0"/>
    </xf>
    <xf numFmtId="0" fontId="246" fillId="0" borderId="0" xfId="0" applyFont="1" applyProtection="1">
      <protection hidden="1"/>
    </xf>
    <xf numFmtId="0" fontId="163" fillId="43" borderId="0" xfId="0" applyFont="1" applyFill="1" applyAlignment="1" applyProtection="1">
      <alignment vertical="center"/>
      <protection hidden="1"/>
    </xf>
    <xf numFmtId="0" fontId="162" fillId="43" borderId="0" xfId="0" applyFont="1" applyFill="1" applyAlignment="1" applyProtection="1">
      <alignment vertical="center"/>
      <protection hidden="1"/>
    </xf>
    <xf numFmtId="0" fontId="164" fillId="43" borderId="0" xfId="0" applyFont="1" applyFill="1" applyAlignment="1" applyProtection="1">
      <alignment vertical="center"/>
      <protection hidden="1"/>
    </xf>
    <xf numFmtId="0" fontId="165" fillId="43" borderId="0" xfId="0" applyFont="1" applyFill="1" applyAlignment="1" applyProtection="1">
      <alignment vertical="center"/>
      <protection hidden="1"/>
    </xf>
    <xf numFmtId="0" fontId="162" fillId="0" borderId="0" xfId="0" applyFont="1" applyAlignment="1" applyProtection="1">
      <alignment vertical="center"/>
      <protection hidden="1"/>
    </xf>
    <xf numFmtId="0" fontId="207" fillId="43" borderId="0" xfId="0" applyFont="1" applyFill="1" applyAlignment="1" applyProtection="1">
      <alignment vertical="center"/>
      <protection hidden="1"/>
    </xf>
    <xf numFmtId="0" fontId="163" fillId="0" borderId="0" xfId="0" applyFont="1" applyAlignment="1" applyProtection="1">
      <alignment vertical="center"/>
      <protection hidden="1"/>
    </xf>
    <xf numFmtId="0" fontId="164" fillId="0" borderId="0" xfId="0" applyFont="1" applyAlignment="1" applyProtection="1">
      <alignment vertical="center"/>
      <protection hidden="1"/>
    </xf>
    <xf numFmtId="0" fontId="59" fillId="43" borderId="1" xfId="0" applyFont="1" applyFill="1" applyBorder="1" applyAlignment="1" applyProtection="1">
      <alignment horizontal="center" vertical="center" wrapText="1"/>
      <protection hidden="1"/>
    </xf>
    <xf numFmtId="0" fontId="59" fillId="43" borderId="22" xfId="0" applyFont="1" applyFill="1" applyBorder="1" applyAlignment="1" applyProtection="1">
      <alignment horizontal="center" vertical="center" wrapText="1"/>
      <protection hidden="1"/>
    </xf>
    <xf numFmtId="0" fontId="59" fillId="43" borderId="1" xfId="0" applyFont="1" applyFill="1" applyBorder="1" applyAlignment="1" applyProtection="1">
      <alignment horizontal="center" vertical="center"/>
      <protection hidden="1"/>
    </xf>
    <xf numFmtId="0" fontId="59" fillId="43" borderId="4" xfId="0" applyFont="1" applyFill="1" applyBorder="1" applyAlignment="1" applyProtection="1">
      <alignment horizontal="center" vertical="center" wrapText="1"/>
      <protection hidden="1"/>
    </xf>
    <xf numFmtId="0" fontId="54" fillId="0" borderId="71" xfId="0" applyFont="1" applyBorder="1" applyAlignment="1" applyProtection="1">
      <alignment horizontal="left"/>
      <protection hidden="1"/>
    </xf>
    <xf numFmtId="0" fontId="50" fillId="0" borderId="0" xfId="0" applyFont="1" applyAlignment="1" applyProtection="1">
      <alignment horizontal="right"/>
      <protection hidden="1"/>
    </xf>
    <xf numFmtId="0" fontId="46" fillId="43" borderId="1" xfId="0" applyFont="1" applyFill="1" applyBorder="1" applyAlignment="1" applyProtection="1">
      <alignment horizontal="center"/>
      <protection hidden="1"/>
    </xf>
    <xf numFmtId="0" fontId="0" fillId="43" borderId="0" xfId="0" applyFill="1" applyProtection="1">
      <protection hidden="1"/>
    </xf>
    <xf numFmtId="0" fontId="110" fillId="43" borderId="1" xfId="0" applyFont="1" applyFill="1" applyBorder="1" applyAlignment="1" applyProtection="1">
      <alignment horizontal="center"/>
      <protection hidden="1"/>
    </xf>
    <xf numFmtId="0" fontId="59" fillId="43" borderId="12" xfId="0" applyFont="1" applyFill="1" applyBorder="1" applyAlignment="1" applyProtection="1">
      <alignment horizontal="center" vertical="center" wrapText="1"/>
      <protection hidden="1"/>
    </xf>
    <xf numFmtId="0" fontId="165" fillId="0" borderId="0" xfId="0" applyFont="1" applyAlignment="1" applyProtection="1">
      <alignment vertical="center"/>
      <protection hidden="1"/>
    </xf>
    <xf numFmtId="0" fontId="55" fillId="43" borderId="0" xfId="0" applyFont="1" applyFill="1" applyAlignment="1" applyProtection="1">
      <alignment vertical="center"/>
      <protection hidden="1"/>
    </xf>
    <xf numFmtId="0" fontId="188" fillId="43" borderId="0" xfId="0" applyFont="1" applyFill="1" applyAlignment="1" applyProtection="1">
      <alignment vertical="center"/>
      <protection hidden="1"/>
    </xf>
    <xf numFmtId="0" fontId="145" fillId="43" borderId="1" xfId="0" applyFont="1" applyFill="1" applyBorder="1" applyAlignment="1" applyProtection="1">
      <alignment horizontal="center" wrapText="1"/>
      <protection hidden="1"/>
    </xf>
    <xf numFmtId="0" fontId="181" fillId="43" borderId="1" xfId="0" applyFont="1" applyFill="1" applyBorder="1" applyAlignment="1" applyProtection="1">
      <alignment horizontal="center" vertical="center"/>
      <protection hidden="1"/>
    </xf>
    <xf numFmtId="0" fontId="251" fillId="43" borderId="1" xfId="0" applyFont="1" applyFill="1" applyBorder="1" applyAlignment="1" applyProtection="1">
      <alignment horizontal="center" vertical="center"/>
      <protection hidden="1"/>
    </xf>
    <xf numFmtId="170" fontId="40" fillId="0" borderId="1" xfId="4" applyNumberFormat="1" applyFont="1" applyFill="1" applyBorder="1" applyAlignment="1" applyProtection="1">
      <alignment horizontal="center" vertical="center"/>
      <protection hidden="1"/>
    </xf>
    <xf numFmtId="0" fontId="251" fillId="43" borderId="1" xfId="0" applyFont="1" applyFill="1" applyBorder="1" applyAlignment="1" applyProtection="1">
      <alignment horizontal="center" vertical="center" wrapText="1"/>
      <protection hidden="1"/>
    </xf>
    <xf numFmtId="0" fontId="181" fillId="43" borderId="1" xfId="0" applyFont="1" applyFill="1" applyBorder="1" applyAlignment="1" applyProtection="1">
      <alignment horizontal="center" vertical="center" wrapText="1"/>
      <protection hidden="1"/>
    </xf>
    <xf numFmtId="167" fontId="33" fillId="0" borderId="1" xfId="58" applyNumberFormat="1" applyFont="1" applyBorder="1" applyAlignment="1" applyProtection="1">
      <alignment horizontal="center" vertical="center"/>
      <protection hidden="1"/>
    </xf>
    <xf numFmtId="0" fontId="33" fillId="0" borderId="1" xfId="0" applyFont="1" applyBorder="1" applyAlignment="1" applyProtection="1">
      <alignment horizontal="left" vertical="center"/>
      <protection hidden="1"/>
    </xf>
    <xf numFmtId="0" fontId="254" fillId="0" borderId="0" xfId="0" applyFont="1" applyAlignment="1" applyProtection="1">
      <alignment horizontal="left" vertical="center"/>
      <protection hidden="1"/>
    </xf>
    <xf numFmtId="0" fontId="58" fillId="43" borderId="0" xfId="0" applyFont="1" applyFill="1" applyAlignment="1" applyProtection="1">
      <alignment vertical="center"/>
      <protection hidden="1"/>
    </xf>
    <xf numFmtId="0" fontId="16" fillId="43" borderId="0" xfId="0" applyFont="1" applyFill="1" applyAlignment="1" applyProtection="1">
      <alignment vertical="center"/>
      <protection hidden="1"/>
    </xf>
    <xf numFmtId="0" fontId="55" fillId="43" borderId="0" xfId="0" applyFont="1" applyFill="1" applyProtection="1">
      <protection hidden="1"/>
    </xf>
    <xf numFmtId="0" fontId="13" fillId="43" borderId="0" xfId="0" applyFont="1" applyFill="1" applyAlignment="1" applyProtection="1">
      <alignment vertical="center"/>
      <protection hidden="1"/>
    </xf>
    <xf numFmtId="0" fontId="46" fillId="43" borderId="30" xfId="0" applyFont="1" applyFill="1" applyBorder="1" applyAlignment="1" applyProtection="1">
      <alignment horizontal="center"/>
      <protection hidden="1"/>
    </xf>
    <xf numFmtId="0" fontId="46" fillId="43" borderId="1" xfId="0" applyFont="1" applyFill="1" applyBorder="1" applyProtection="1">
      <protection hidden="1"/>
    </xf>
    <xf numFmtId="0" fontId="46" fillId="43" borderId="1" xfId="0" applyFont="1" applyFill="1" applyBorder="1" applyAlignment="1" applyProtection="1">
      <alignment horizontal="center" vertical="center" wrapText="1"/>
      <protection hidden="1"/>
    </xf>
    <xf numFmtId="0" fontId="46" fillId="43" borderId="22" xfId="0" applyFont="1" applyFill="1" applyBorder="1" applyAlignment="1" applyProtection="1">
      <alignment horizontal="center" vertical="center"/>
      <protection hidden="1"/>
    </xf>
    <xf numFmtId="0" fontId="46" fillId="43" borderId="1" xfId="0" applyFont="1" applyFill="1" applyBorder="1" applyAlignment="1" applyProtection="1">
      <alignment vertical="center"/>
      <protection hidden="1"/>
    </xf>
    <xf numFmtId="0" fontId="46" fillId="43" borderId="1" xfId="0" applyFont="1" applyFill="1" applyBorder="1" applyAlignment="1" applyProtection="1">
      <alignment horizontal="center" vertical="center"/>
      <protection hidden="1"/>
    </xf>
    <xf numFmtId="0" fontId="15" fillId="43" borderId="1" xfId="0" applyFont="1" applyFill="1" applyBorder="1" applyAlignment="1" applyProtection="1">
      <alignment horizontal="center" vertical="center" wrapText="1"/>
      <protection hidden="1"/>
    </xf>
    <xf numFmtId="0" fontId="46" fillId="43" borderId="22" xfId="0" applyFont="1" applyFill="1" applyBorder="1" applyAlignment="1" applyProtection="1">
      <alignment horizontal="center" vertical="center" wrapText="1"/>
      <protection hidden="1"/>
    </xf>
    <xf numFmtId="0" fontId="188" fillId="43" borderId="0" xfId="0" quotePrefix="1" applyFont="1" applyFill="1" applyAlignment="1" applyProtection="1">
      <alignment horizontal="left" vertical="center" indent="5"/>
      <protection hidden="1"/>
    </xf>
    <xf numFmtId="0" fontId="58" fillId="43" borderId="0" xfId="0" applyFont="1" applyFill="1" applyAlignment="1" applyProtection="1">
      <alignment horizontal="center" vertical="center"/>
      <protection hidden="1"/>
    </xf>
    <xf numFmtId="0" fontId="55" fillId="43" borderId="0" xfId="0" quotePrefix="1" applyFont="1" applyFill="1" applyAlignment="1" applyProtection="1">
      <alignment horizontal="left" vertical="center" indent="5"/>
      <protection hidden="1"/>
    </xf>
    <xf numFmtId="0" fontId="74" fillId="43" borderId="0" xfId="0" applyFont="1" applyFill="1" applyProtection="1">
      <protection hidden="1"/>
    </xf>
    <xf numFmtId="0" fontId="55" fillId="43" borderId="0" xfId="0" applyFont="1" applyFill="1" applyAlignment="1" applyProtection="1">
      <alignment horizontal="left" vertical="center"/>
      <protection hidden="1"/>
    </xf>
    <xf numFmtId="0" fontId="29" fillId="43" borderId="87" xfId="0" applyFont="1" applyFill="1" applyBorder="1" applyAlignment="1" applyProtection="1">
      <alignment horizontal="center" vertical="center" wrapText="1"/>
      <protection hidden="1"/>
    </xf>
    <xf numFmtId="0" fontId="250" fillId="43" borderId="1" xfId="0" applyFont="1" applyFill="1" applyBorder="1" applyAlignment="1" applyProtection="1">
      <alignment vertical="center"/>
      <protection hidden="1"/>
    </xf>
    <xf numFmtId="0" fontId="40" fillId="0" borderId="1" xfId="0" applyFont="1" applyBorder="1" applyAlignment="1" applyProtection="1">
      <alignment horizontal="center" vertical="center"/>
      <protection hidden="1"/>
    </xf>
    <xf numFmtId="167" fontId="40" fillId="0" borderId="1" xfId="0" applyNumberFormat="1" applyFont="1" applyBorder="1" applyAlignment="1" applyProtection="1">
      <alignment horizontal="center" vertical="center"/>
      <protection hidden="1"/>
    </xf>
    <xf numFmtId="0" fontId="74" fillId="43" borderId="0" xfId="0" applyFont="1" applyFill="1" applyAlignment="1">
      <alignment vertical="center"/>
    </xf>
    <xf numFmtId="0" fontId="188" fillId="43" borderId="0" xfId="0" applyFont="1" applyFill="1" applyAlignment="1">
      <alignment vertical="center"/>
    </xf>
    <xf numFmtId="0" fontId="58" fillId="43" borderId="0" xfId="0" applyFont="1" applyFill="1" applyAlignment="1">
      <alignment vertical="center"/>
    </xf>
    <xf numFmtId="0" fontId="58" fillId="0" borderId="0" xfId="0" applyFont="1" applyAlignment="1">
      <alignment vertical="center"/>
    </xf>
    <xf numFmtId="0" fontId="74" fillId="0" borderId="0" xfId="0" applyFont="1" applyAlignment="1">
      <alignment vertical="center"/>
    </xf>
    <xf numFmtId="0" fontId="146" fillId="0" borderId="0" xfId="0" applyFont="1" applyAlignment="1" applyProtection="1">
      <alignment vertical="center"/>
      <protection hidden="1"/>
    </xf>
    <xf numFmtId="167" fontId="98" fillId="43" borderId="1" xfId="60" applyNumberFormat="1" applyFont="1" applyFill="1" applyBorder="1" applyAlignment="1">
      <alignment horizontal="center" vertical="center" wrapText="1"/>
    </xf>
    <xf numFmtId="167" fontId="98" fillId="43" borderId="24" xfId="60" applyNumberFormat="1" applyFont="1" applyFill="1" applyBorder="1" applyAlignment="1">
      <alignment horizontal="center" vertical="center" wrapText="1"/>
    </xf>
    <xf numFmtId="167" fontId="95" fillId="43" borderId="1" xfId="60" applyNumberFormat="1" applyFont="1" applyFill="1" applyBorder="1" applyAlignment="1">
      <alignment vertical="center" wrapText="1"/>
    </xf>
    <xf numFmtId="0" fontId="98" fillId="43" borderId="1" xfId="0" applyFont="1" applyFill="1" applyBorder="1" applyAlignment="1">
      <alignment horizontal="center" vertical="center" wrapText="1"/>
    </xf>
    <xf numFmtId="167" fontId="95" fillId="43" borderId="1" xfId="60" applyNumberFormat="1" applyFont="1" applyFill="1" applyBorder="1" applyAlignment="1">
      <alignment horizontal="center" vertical="center" wrapText="1"/>
    </xf>
    <xf numFmtId="0" fontId="95" fillId="0" borderId="0" xfId="0" applyFont="1" applyAlignment="1">
      <alignment horizontal="left"/>
    </xf>
    <xf numFmtId="0" fontId="94" fillId="45" borderId="11" xfId="0" applyFont="1" applyFill="1" applyBorder="1" applyProtection="1">
      <protection hidden="1"/>
    </xf>
    <xf numFmtId="0" fontId="94" fillId="45" borderId="4" xfId="0" applyFont="1" applyFill="1" applyBorder="1" applyAlignment="1" applyProtection="1">
      <alignment horizontal="center"/>
      <protection hidden="1"/>
    </xf>
    <xf numFmtId="0" fontId="94" fillId="45" borderId="2" xfId="0" applyFont="1" applyFill="1" applyBorder="1" applyAlignment="1" applyProtection="1">
      <alignment horizontal="center"/>
      <protection hidden="1"/>
    </xf>
    <xf numFmtId="44" fontId="94" fillId="45" borderId="14" xfId="58" applyFont="1" applyFill="1" applyBorder="1" applyAlignment="1" applyProtection="1">
      <alignment horizontal="center"/>
      <protection hidden="1"/>
    </xf>
    <xf numFmtId="166" fontId="94" fillId="45" borderId="14" xfId="58" applyNumberFormat="1" applyFont="1" applyFill="1" applyBorder="1" applyAlignment="1" applyProtection="1">
      <alignment horizontal="center"/>
      <protection hidden="1"/>
    </xf>
    <xf numFmtId="166" fontId="94" fillId="45" borderId="2" xfId="58" applyNumberFormat="1" applyFont="1" applyFill="1" applyBorder="1" applyAlignment="1" applyProtection="1">
      <alignment horizontal="center"/>
      <protection hidden="1"/>
    </xf>
    <xf numFmtId="0" fontId="94" fillId="45" borderId="14" xfId="0" applyFont="1" applyFill="1" applyBorder="1" applyAlignment="1" applyProtection="1">
      <alignment horizontal="center"/>
      <protection hidden="1"/>
    </xf>
    <xf numFmtId="0" fontId="94" fillId="46" borderId="12" xfId="0" applyFont="1" applyFill="1" applyBorder="1" applyProtection="1">
      <protection hidden="1"/>
    </xf>
    <xf numFmtId="0" fontId="94" fillId="46" borderId="5" xfId="0" applyFont="1" applyFill="1" applyBorder="1" applyAlignment="1" applyProtection="1">
      <alignment horizontal="center"/>
      <protection hidden="1"/>
    </xf>
    <xf numFmtId="0" fontId="94" fillId="46" borderId="0" xfId="0" applyFont="1" applyFill="1" applyAlignment="1" applyProtection="1">
      <alignment horizontal="center"/>
      <protection hidden="1"/>
    </xf>
    <xf numFmtId="44" fontId="94" fillId="46" borderId="9" xfId="58" applyFont="1" applyFill="1" applyBorder="1" applyAlignment="1" applyProtection="1">
      <alignment horizontal="center"/>
      <protection hidden="1"/>
    </xf>
    <xf numFmtId="166" fontId="94" fillId="46" borderId="9" xfId="58" applyNumberFormat="1" applyFont="1" applyFill="1" applyBorder="1" applyAlignment="1" applyProtection="1">
      <alignment horizontal="center"/>
      <protection hidden="1"/>
    </xf>
    <xf numFmtId="166" fontId="94" fillId="46" borderId="0" xfId="58" applyNumberFormat="1" applyFont="1" applyFill="1" applyAlignment="1" applyProtection="1">
      <alignment horizontal="center"/>
      <protection hidden="1"/>
    </xf>
    <xf numFmtId="0" fontId="94" fillId="46" borderId="9" xfId="0" applyFont="1" applyFill="1" applyBorder="1" applyAlignment="1" applyProtection="1">
      <alignment horizontal="center"/>
      <protection hidden="1"/>
    </xf>
    <xf numFmtId="166" fontId="94" fillId="46" borderId="5" xfId="58" applyNumberFormat="1" applyFont="1" applyFill="1" applyBorder="1" applyAlignment="1" applyProtection="1">
      <alignment horizontal="center"/>
      <protection hidden="1"/>
    </xf>
    <xf numFmtId="0" fontId="94" fillId="47" borderId="12" xfId="0" applyFont="1" applyFill="1" applyBorder="1" applyProtection="1">
      <protection hidden="1"/>
    </xf>
    <xf numFmtId="0" fontId="94" fillId="47" borderId="5" xfId="0" applyFont="1" applyFill="1" applyBorder="1" applyAlignment="1" applyProtection="1">
      <alignment horizontal="center"/>
      <protection hidden="1"/>
    </xf>
    <xf numFmtId="0" fontId="94" fillId="47" borderId="0" xfId="0" applyFont="1" applyFill="1" applyAlignment="1" applyProtection="1">
      <alignment horizontal="center"/>
      <protection hidden="1"/>
    </xf>
    <xf numFmtId="44" fontId="94" fillId="47" borderId="9" xfId="58" applyFont="1" applyFill="1" applyBorder="1" applyAlignment="1" applyProtection="1">
      <alignment horizontal="center"/>
      <protection hidden="1"/>
    </xf>
    <xf numFmtId="166" fontId="94" fillId="47" borderId="9" xfId="58" applyNumberFormat="1" applyFont="1" applyFill="1" applyBorder="1" applyAlignment="1" applyProtection="1">
      <alignment horizontal="center"/>
      <protection hidden="1"/>
    </xf>
    <xf numFmtId="166" fontId="94" fillId="47" borderId="5" xfId="58" applyNumberFormat="1" applyFont="1" applyFill="1" applyBorder="1" applyAlignment="1" applyProtection="1">
      <alignment horizontal="center"/>
      <protection hidden="1"/>
    </xf>
    <xf numFmtId="166" fontId="94" fillId="47" borderId="0" xfId="58" applyNumberFormat="1" applyFont="1" applyFill="1" applyAlignment="1" applyProtection="1">
      <alignment horizontal="center"/>
      <protection hidden="1"/>
    </xf>
    <xf numFmtId="0" fontId="94" fillId="45" borderId="12" xfId="0" applyFont="1" applyFill="1" applyBorder="1" applyProtection="1">
      <protection hidden="1"/>
    </xf>
    <xf numFmtId="0" fontId="94" fillId="45" borderId="5" xfId="0" applyFont="1" applyFill="1" applyBorder="1" applyAlignment="1" applyProtection="1">
      <alignment horizontal="center"/>
      <protection hidden="1"/>
    </xf>
    <xf numFmtId="0" fontId="94" fillId="45" borderId="0" xfId="0" applyFont="1" applyFill="1" applyAlignment="1" applyProtection="1">
      <alignment horizontal="center"/>
      <protection hidden="1"/>
    </xf>
    <xf numFmtId="44" fontId="94" fillId="45" borderId="9" xfId="58" applyFont="1" applyFill="1" applyBorder="1" applyAlignment="1" applyProtection="1">
      <alignment horizontal="center"/>
      <protection hidden="1"/>
    </xf>
    <xf numFmtId="166" fontId="94" fillId="45" borderId="9" xfId="58" applyNumberFormat="1" applyFont="1" applyFill="1" applyBorder="1" applyAlignment="1" applyProtection="1">
      <alignment horizontal="center"/>
      <protection hidden="1"/>
    </xf>
    <xf numFmtId="166" fontId="94" fillId="45" borderId="0" xfId="58" applyNumberFormat="1" applyFont="1" applyFill="1" applyAlignment="1" applyProtection="1">
      <alignment horizontal="center"/>
      <protection hidden="1"/>
    </xf>
    <xf numFmtId="0" fontId="94" fillId="45" borderId="9" xfId="0" applyFont="1" applyFill="1" applyBorder="1" applyAlignment="1" applyProtection="1">
      <alignment horizontal="center"/>
      <protection hidden="1"/>
    </xf>
    <xf numFmtId="0" fontId="94" fillId="45" borderId="0" xfId="0" applyFont="1" applyFill="1" applyAlignment="1" applyProtection="1">
      <alignment horizontal="left"/>
      <protection hidden="1"/>
    </xf>
    <xf numFmtId="44" fontId="94" fillId="45" borderId="0" xfId="58" applyFont="1" applyFill="1" applyAlignment="1" applyProtection="1">
      <alignment horizontal="center"/>
      <protection hidden="1"/>
    </xf>
    <xf numFmtId="2" fontId="94" fillId="45" borderId="0" xfId="0" applyNumberFormat="1" applyFont="1" applyFill="1" applyAlignment="1" applyProtection="1">
      <alignment horizontal="center"/>
      <protection hidden="1"/>
    </xf>
    <xf numFmtId="0" fontId="4" fillId="46" borderId="12" xfId="0" applyFont="1" applyFill="1" applyBorder="1" applyProtection="1">
      <protection hidden="1"/>
    </xf>
    <xf numFmtId="0" fontId="4" fillId="46" borderId="5" xfId="0" applyFont="1" applyFill="1" applyBorder="1" applyAlignment="1" applyProtection="1">
      <alignment horizontal="center"/>
      <protection hidden="1"/>
    </xf>
    <xf numFmtId="0" fontId="4" fillId="46" borderId="0" xfId="0" applyFont="1" applyFill="1" applyAlignment="1" applyProtection="1">
      <alignment horizontal="center"/>
      <protection hidden="1"/>
    </xf>
    <xf numFmtId="44" fontId="4" fillId="46" borderId="9" xfId="58" applyFont="1" applyFill="1" applyBorder="1" applyAlignment="1" applyProtection="1">
      <alignment horizontal="center"/>
      <protection hidden="1"/>
    </xf>
    <xf numFmtId="166" fontId="4" fillId="46" borderId="9" xfId="58" applyNumberFormat="1" applyFont="1" applyFill="1" applyBorder="1" applyAlignment="1" applyProtection="1">
      <alignment horizontal="center"/>
      <protection hidden="1"/>
    </xf>
    <xf numFmtId="166" fontId="4" fillId="46" borderId="0" xfId="58" applyNumberFormat="1" applyFont="1" applyFill="1" applyAlignment="1" applyProtection="1">
      <alignment horizontal="center"/>
      <protection hidden="1"/>
    </xf>
    <xf numFmtId="0" fontId="4" fillId="46" borderId="9" xfId="0" applyFont="1" applyFill="1" applyBorder="1" applyAlignment="1" applyProtection="1">
      <alignment horizontal="center"/>
      <protection hidden="1"/>
    </xf>
    <xf numFmtId="0" fontId="94" fillId="45" borderId="0" xfId="0" applyFont="1" applyFill="1" applyAlignment="1">
      <alignment horizontal="center"/>
    </xf>
    <xf numFmtId="0" fontId="94" fillId="45" borderId="0" xfId="0" applyFont="1" applyFill="1" applyProtection="1">
      <protection hidden="1"/>
    </xf>
    <xf numFmtId="0" fontId="94" fillId="46" borderId="5" xfId="0" applyFont="1" applyFill="1" applyBorder="1" applyAlignment="1" applyProtection="1">
      <alignment horizontal="left" vertical="center"/>
      <protection hidden="1"/>
    </xf>
    <xf numFmtId="0" fontId="94" fillId="46" borderId="5" xfId="0" applyFont="1" applyFill="1" applyBorder="1" applyAlignment="1" applyProtection="1">
      <alignment horizontal="center" vertical="center"/>
      <protection hidden="1"/>
    </xf>
    <xf numFmtId="0" fontId="94" fillId="46" borderId="0" xfId="0" applyFont="1" applyFill="1" applyAlignment="1" applyProtection="1">
      <alignment horizontal="center" vertical="center"/>
      <protection hidden="1"/>
    </xf>
    <xf numFmtId="44" fontId="94" fillId="46" borderId="9" xfId="0" applyNumberFormat="1" applyFont="1" applyFill="1" applyBorder="1" applyAlignment="1" applyProtection="1">
      <alignment horizontal="center" vertical="center"/>
      <protection hidden="1"/>
    </xf>
    <xf numFmtId="0" fontId="94" fillId="46" borderId="12" xfId="0" applyFont="1" applyFill="1" applyBorder="1" applyAlignment="1" applyProtection="1">
      <alignment horizontal="center"/>
      <protection hidden="1"/>
    </xf>
    <xf numFmtId="0" fontId="94" fillId="46" borderId="9" xfId="0" applyFont="1" applyFill="1" applyBorder="1" applyAlignment="1" applyProtection="1">
      <alignment horizontal="center" vertical="center"/>
      <protection hidden="1"/>
    </xf>
    <xf numFmtId="0" fontId="94" fillId="46" borderId="5" xfId="0" applyFont="1" applyFill="1" applyBorder="1" applyAlignment="1" applyProtection="1">
      <alignment horizontal="left"/>
      <protection hidden="1"/>
    </xf>
    <xf numFmtId="0" fontId="94" fillId="45" borderId="12" xfId="0" applyFont="1" applyFill="1" applyBorder="1" applyAlignment="1" applyProtection="1">
      <alignment horizontal="left"/>
      <protection hidden="1"/>
    </xf>
    <xf numFmtId="44" fontId="94" fillId="45" borderId="9" xfId="0" applyNumberFormat="1" applyFont="1" applyFill="1" applyBorder="1" applyAlignment="1" applyProtection="1">
      <alignment horizontal="center" vertical="center"/>
      <protection hidden="1"/>
    </xf>
    <xf numFmtId="0" fontId="94" fillId="45" borderId="12" xfId="0" applyFont="1" applyFill="1" applyBorder="1" applyAlignment="1" applyProtection="1">
      <alignment horizontal="center"/>
      <protection hidden="1"/>
    </xf>
    <xf numFmtId="0" fontId="4" fillId="45" borderId="0" xfId="0" applyFont="1" applyFill="1" applyAlignment="1" applyProtection="1">
      <alignment horizontal="center"/>
      <protection hidden="1"/>
    </xf>
    <xf numFmtId="0" fontId="4" fillId="45" borderId="9" xfId="0" applyFont="1" applyFill="1" applyBorder="1" applyAlignment="1" applyProtection="1">
      <alignment horizontal="center"/>
      <protection hidden="1"/>
    </xf>
    <xf numFmtId="0" fontId="94" fillId="46" borderId="5" xfId="0" applyFont="1" applyFill="1" applyBorder="1" applyProtection="1">
      <protection hidden="1"/>
    </xf>
    <xf numFmtId="0" fontId="94" fillId="46" borderId="0" xfId="0" applyFont="1" applyFill="1" applyProtection="1">
      <protection hidden="1"/>
    </xf>
    <xf numFmtId="0" fontId="94" fillId="46" borderId="9" xfId="0" applyFont="1" applyFill="1" applyBorder="1" applyProtection="1">
      <protection hidden="1"/>
    </xf>
    <xf numFmtId="0" fontId="94" fillId="42" borderId="2" xfId="0" applyFont="1" applyFill="1" applyBorder="1" applyAlignment="1" applyProtection="1">
      <alignment horizontal="center"/>
      <protection hidden="1"/>
    </xf>
    <xf numFmtId="0" fontId="94" fillId="48" borderId="5" xfId="0" applyFont="1" applyFill="1" applyBorder="1" applyAlignment="1" applyProtection="1">
      <alignment horizontal="center"/>
      <protection hidden="1"/>
    </xf>
    <xf numFmtId="0" fontId="94" fillId="48" borderId="0" xfId="0" applyFont="1" applyFill="1" applyAlignment="1" applyProtection="1">
      <alignment horizontal="center"/>
      <protection hidden="1"/>
    </xf>
    <xf numFmtId="2" fontId="94" fillId="42" borderId="5" xfId="0" applyNumberFormat="1" applyFont="1" applyFill="1" applyBorder="1" applyAlignment="1" applyProtection="1">
      <alignment horizontal="center"/>
      <protection hidden="1"/>
    </xf>
    <xf numFmtId="0" fontId="94" fillId="42" borderId="0" xfId="0" applyFont="1" applyFill="1" applyAlignment="1" applyProtection="1">
      <alignment horizontal="center"/>
      <protection hidden="1"/>
    </xf>
    <xf numFmtId="0" fontId="94" fillId="42" borderId="8" xfId="0" applyFont="1" applyFill="1" applyBorder="1" applyAlignment="1" applyProtection="1">
      <alignment horizontal="center"/>
      <protection hidden="1"/>
    </xf>
    <xf numFmtId="0" fontId="94" fillId="46" borderId="8" xfId="0" applyFont="1" applyFill="1" applyBorder="1" applyAlignment="1" applyProtection="1">
      <alignment horizontal="center"/>
      <protection hidden="1"/>
    </xf>
    <xf numFmtId="2" fontId="94" fillId="42" borderId="84" xfId="0" applyNumberFormat="1" applyFont="1" applyFill="1" applyBorder="1" applyAlignment="1" applyProtection="1">
      <alignment horizontal="center"/>
      <protection hidden="1"/>
    </xf>
    <xf numFmtId="0" fontId="94" fillId="42" borderId="71" xfId="0" applyFont="1" applyFill="1" applyBorder="1" applyAlignment="1" applyProtection="1">
      <alignment horizontal="center"/>
      <protection hidden="1"/>
    </xf>
    <xf numFmtId="0" fontId="94" fillId="46" borderId="71" xfId="0" applyFont="1" applyFill="1" applyBorder="1" applyAlignment="1" applyProtection="1">
      <alignment horizontal="center"/>
      <protection hidden="1"/>
    </xf>
    <xf numFmtId="0" fontId="94" fillId="46" borderId="72" xfId="0" applyFont="1" applyFill="1" applyBorder="1" applyAlignment="1" applyProtection="1">
      <alignment horizontal="center"/>
      <protection hidden="1"/>
    </xf>
    <xf numFmtId="0" fontId="94" fillId="42" borderId="34" xfId="0" applyFont="1" applyFill="1" applyBorder="1" applyAlignment="1" applyProtection="1">
      <alignment horizontal="center"/>
      <protection hidden="1"/>
    </xf>
    <xf numFmtId="0" fontId="4" fillId="42" borderId="0" xfId="0" applyFont="1" applyFill="1" applyAlignment="1" applyProtection="1">
      <alignment horizontal="center"/>
      <protection hidden="1"/>
    </xf>
    <xf numFmtId="184" fontId="52" fillId="0" borderId="0" xfId="0" applyNumberFormat="1" applyFont="1" applyProtection="1">
      <protection hidden="1"/>
    </xf>
    <xf numFmtId="0" fontId="69" fillId="10" borderId="0" xfId="0" applyFont="1" applyFill="1" applyAlignment="1" applyProtection="1">
      <alignment horizontal="center" vertical="center"/>
      <protection hidden="1"/>
    </xf>
    <xf numFmtId="0" fontId="222" fillId="0" borderId="0" xfId="0" applyFont="1"/>
    <xf numFmtId="197" fontId="52" fillId="0" borderId="0" xfId="0" applyNumberFormat="1" applyFont="1" applyProtection="1">
      <protection hidden="1"/>
    </xf>
    <xf numFmtId="184" fontId="69" fillId="10" borderId="0" xfId="0" applyNumberFormat="1" applyFont="1" applyFill="1" applyAlignment="1" applyProtection="1">
      <alignment horizontal="center" vertical="center"/>
      <protection hidden="1"/>
    </xf>
    <xf numFmtId="0" fontId="255" fillId="43" borderId="1" xfId="0" applyFont="1" applyFill="1" applyBorder="1" applyAlignment="1" applyProtection="1">
      <alignment horizontal="center" vertical="center"/>
      <protection hidden="1"/>
    </xf>
    <xf numFmtId="0" fontId="260" fillId="0" borderId="0" xfId="0" applyFont="1" applyAlignment="1" applyProtection="1">
      <alignment vertical="top"/>
      <protection hidden="1"/>
    </xf>
    <xf numFmtId="0" fontId="62" fillId="0" borderId="0" xfId="0" applyFont="1" applyAlignment="1" applyProtection="1">
      <alignment horizontal="center" vertical="top"/>
      <protection hidden="1"/>
    </xf>
    <xf numFmtId="0" fontId="52" fillId="0" borderId="7" xfId="0" applyFont="1" applyBorder="1" applyAlignment="1" applyProtection="1">
      <alignment horizontal="center" vertical="top"/>
      <protection hidden="1"/>
    </xf>
    <xf numFmtId="0" fontId="52" fillId="0" borderId="8" xfId="0" applyFont="1" applyBorder="1" applyAlignment="1" applyProtection="1">
      <alignment horizontal="left" vertical="top"/>
      <protection hidden="1"/>
    </xf>
    <xf numFmtId="0" fontId="2" fillId="0" borderId="7" xfId="0" applyFont="1" applyBorder="1" applyAlignment="1" applyProtection="1">
      <alignment horizontal="center" vertical="top"/>
      <protection hidden="1"/>
    </xf>
    <xf numFmtId="0" fontId="2" fillId="0" borderId="8" xfId="0" applyFont="1" applyBorder="1" applyAlignment="1" applyProtection="1">
      <alignment horizontal="left" vertical="top"/>
      <protection hidden="1"/>
    </xf>
    <xf numFmtId="0" fontId="124" fillId="0" borderId="0" xfId="0" applyFont="1" applyAlignment="1" applyProtection="1">
      <alignment horizontal="left" vertical="top"/>
      <protection hidden="1"/>
    </xf>
    <xf numFmtId="0" fontId="124" fillId="0" borderId="8" xfId="0" applyFont="1" applyBorder="1" applyAlignment="1" applyProtection="1">
      <alignment horizontal="left" vertical="top"/>
      <protection hidden="1"/>
    </xf>
    <xf numFmtId="0" fontId="52" fillId="0" borderId="0" xfId="0" quotePrefix="1" applyFont="1" applyAlignment="1" applyProtection="1">
      <alignment vertical="top"/>
      <protection hidden="1"/>
    </xf>
    <xf numFmtId="0" fontId="52" fillId="0" borderId="0" xfId="0" quotePrefix="1" applyFont="1" applyProtection="1">
      <protection hidden="1"/>
    </xf>
    <xf numFmtId="0" fontId="52" fillId="0" borderId="7" xfId="0" applyFont="1" applyBorder="1" applyAlignment="1" applyProtection="1">
      <alignment horizontal="right" vertical="top"/>
      <protection hidden="1"/>
    </xf>
    <xf numFmtId="0" fontId="52" fillId="0" borderId="8" xfId="0" applyFont="1" applyBorder="1" applyAlignment="1" applyProtection="1">
      <alignment vertical="top"/>
      <protection hidden="1"/>
    </xf>
    <xf numFmtId="0" fontId="52" fillId="0" borderId="0" xfId="0" applyFont="1" applyAlignment="1" applyProtection="1">
      <alignment horizontal="right" vertical="top"/>
      <protection hidden="1"/>
    </xf>
    <xf numFmtId="0" fontId="47" fillId="0" borderId="0" xfId="106" applyFill="1" applyBorder="1" applyAlignment="1" applyProtection="1">
      <alignment horizontal="left" vertical="center"/>
      <protection hidden="1"/>
    </xf>
    <xf numFmtId="0" fontId="52" fillId="0" borderId="0" xfId="0" applyFont="1" applyAlignment="1" applyProtection="1">
      <alignment horizontal="center" vertical="top"/>
      <protection hidden="1"/>
    </xf>
    <xf numFmtId="0" fontId="52" fillId="0" borderId="8" xfId="0" applyFont="1" applyBorder="1" applyAlignment="1" applyProtection="1">
      <alignment horizontal="center" vertical="top"/>
      <protection hidden="1"/>
    </xf>
    <xf numFmtId="0" fontId="261" fillId="0" borderId="0" xfId="106" applyFont="1" applyFill="1" applyBorder="1" applyAlignment="1" applyProtection="1">
      <alignment vertical="top"/>
      <protection hidden="1"/>
    </xf>
    <xf numFmtId="0" fontId="94" fillId="0" borderId="0" xfId="0" applyFont="1" applyAlignment="1" applyProtection="1">
      <alignment vertical="top"/>
      <protection hidden="1"/>
    </xf>
    <xf numFmtId="0" fontId="94" fillId="0" borderId="8" xfId="0" applyFont="1" applyBorder="1" applyAlignment="1" applyProtection="1">
      <alignment vertical="top"/>
      <protection hidden="1"/>
    </xf>
    <xf numFmtId="0" fontId="94" fillId="0" borderId="7" xfId="0" applyFont="1" applyBorder="1" applyAlignment="1" applyProtection="1">
      <alignment horizontal="right" vertical="top"/>
      <protection hidden="1"/>
    </xf>
    <xf numFmtId="0" fontId="4" fillId="0" borderId="0" xfId="0" applyFont="1" applyAlignment="1" applyProtection="1">
      <alignment vertical="top"/>
      <protection hidden="1"/>
    </xf>
    <xf numFmtId="0" fontId="155" fillId="0" borderId="0" xfId="0" applyFont="1" applyAlignment="1" applyProtection="1">
      <alignment vertical="top"/>
      <protection hidden="1"/>
    </xf>
    <xf numFmtId="0" fontId="76" fillId="0" borderId="0" xfId="0" applyFont="1" applyAlignment="1" applyProtection="1">
      <alignment vertical="top"/>
      <protection hidden="1"/>
    </xf>
    <xf numFmtId="0" fontId="76" fillId="0" borderId="8" xfId="0" applyFont="1" applyBorder="1" applyAlignment="1" applyProtection="1">
      <alignment vertical="top"/>
      <protection hidden="1"/>
    </xf>
    <xf numFmtId="0" fontId="94" fillId="0" borderId="0" xfId="0" applyFont="1" applyAlignment="1" applyProtection="1">
      <alignment horizontal="right" vertical="top"/>
      <protection hidden="1"/>
    </xf>
    <xf numFmtId="0" fontId="61" fillId="0" borderId="7" xfId="0" applyFont="1" applyBorder="1" applyAlignment="1" applyProtection="1">
      <alignment horizontal="right" vertical="top"/>
      <protection hidden="1"/>
    </xf>
    <xf numFmtId="0" fontId="223" fillId="0" borderId="0" xfId="0" applyFont="1" applyAlignment="1" applyProtection="1">
      <alignment vertical="top"/>
      <protection hidden="1"/>
    </xf>
    <xf numFmtId="0" fontId="15" fillId="0" borderId="0" xfId="0" applyFont="1" applyAlignment="1" applyProtection="1">
      <alignment vertical="top"/>
      <protection hidden="1"/>
    </xf>
    <xf numFmtId="0" fontId="2" fillId="0" borderId="8" xfId="0" applyFont="1" applyBorder="1" applyAlignment="1" applyProtection="1">
      <alignment vertical="top"/>
      <protection hidden="1"/>
    </xf>
    <xf numFmtId="0" fontId="2" fillId="0" borderId="7" xfId="0" applyFont="1" applyBorder="1" applyAlignment="1" applyProtection="1">
      <alignment horizontal="right" vertical="top"/>
      <protection hidden="1"/>
    </xf>
    <xf numFmtId="0" fontId="52" fillId="0" borderId="7" xfId="0" applyFont="1" applyBorder="1" applyAlignment="1" applyProtection="1">
      <alignment vertical="top"/>
      <protection hidden="1"/>
    </xf>
    <xf numFmtId="0" fontId="94" fillId="0" borderId="0" xfId="0" applyFont="1" applyAlignment="1" applyProtection="1">
      <alignment horizontal="left" vertical="center" indent="5"/>
      <protection hidden="1"/>
    </xf>
    <xf numFmtId="0" fontId="52" fillId="0" borderId="8" xfId="0" applyFont="1" applyBorder="1" applyProtection="1">
      <protection hidden="1"/>
    </xf>
    <xf numFmtId="0" fontId="0" fillId="0" borderId="7" xfId="0" applyBorder="1" applyAlignment="1" applyProtection="1">
      <alignment vertical="top"/>
      <protection hidden="1"/>
    </xf>
    <xf numFmtId="0" fontId="47" fillId="0" borderId="0" xfId="105" applyFill="1" applyBorder="1" applyAlignment="1" applyProtection="1">
      <alignment horizontal="left" vertical="top"/>
      <protection hidden="1"/>
    </xf>
    <xf numFmtId="0" fontId="2" fillId="0" borderId="0" xfId="0" applyFont="1" applyAlignment="1" applyProtection="1">
      <alignment horizontal="center" vertical="top"/>
      <protection hidden="1"/>
    </xf>
    <xf numFmtId="0" fontId="61" fillId="0" borderId="0" xfId="0" applyFont="1" applyAlignment="1" applyProtection="1">
      <alignment horizontal="center" vertical="center"/>
      <protection hidden="1"/>
    </xf>
    <xf numFmtId="0" fontId="61" fillId="0" borderId="0" xfId="0" applyFont="1" applyAlignment="1" applyProtection="1">
      <alignment horizontal="center" vertical="top"/>
      <protection hidden="1"/>
    </xf>
    <xf numFmtId="0" fontId="60" fillId="11" borderId="0" xfId="0" applyFont="1" applyFill="1" applyProtection="1">
      <protection hidden="1"/>
    </xf>
    <xf numFmtId="0" fontId="2" fillId="11" borderId="0" xfId="0" applyFont="1" applyFill="1" applyAlignment="1" applyProtection="1">
      <alignment vertical="top"/>
      <protection hidden="1"/>
    </xf>
    <xf numFmtId="0" fontId="79" fillId="0" borderId="0" xfId="0" applyFont="1" applyAlignment="1">
      <alignment horizontal="left" vertical="top" wrapText="1"/>
    </xf>
    <xf numFmtId="0" fontId="255" fillId="43" borderId="1" xfId="0" applyFont="1" applyFill="1" applyBorder="1" applyAlignment="1" applyProtection="1">
      <alignment horizontal="center" vertical="center" wrapText="1"/>
      <protection hidden="1"/>
    </xf>
    <xf numFmtId="0" fontId="2" fillId="0" borderId="0" xfId="0" quotePrefix="1" applyFont="1" applyAlignment="1" applyProtection="1">
      <alignment horizontal="left" vertical="top"/>
      <protection hidden="1"/>
    </xf>
    <xf numFmtId="0" fontId="2" fillId="0" borderId="2" xfId="0" applyFont="1" applyBorder="1" applyProtection="1">
      <protection hidden="1"/>
    </xf>
    <xf numFmtId="0" fontId="6" fillId="0" borderId="2" xfId="0" applyFont="1" applyBorder="1" applyAlignment="1" applyProtection="1">
      <alignment horizontal="left" vertical="center" wrapText="1"/>
      <protection hidden="1"/>
    </xf>
    <xf numFmtId="0" fontId="82" fillId="0" borderId="2" xfId="0" applyFont="1" applyBorder="1" applyProtection="1">
      <protection hidden="1"/>
    </xf>
    <xf numFmtId="0" fontId="256" fillId="0" borderId="0" xfId="0" applyFont="1" applyAlignment="1">
      <alignment horizontal="center" vertical="center"/>
    </xf>
    <xf numFmtId="167" fontId="256" fillId="0" borderId="0" xfId="58" applyNumberFormat="1" applyFont="1" applyBorder="1" applyAlignment="1" applyProtection="1">
      <alignment horizontal="center" vertical="center"/>
      <protection hidden="1"/>
    </xf>
    <xf numFmtId="184" fontId="0" fillId="0" borderId="0" xfId="0" applyNumberFormat="1" applyAlignment="1" applyProtection="1">
      <alignment horizontal="right"/>
      <protection hidden="1"/>
    </xf>
    <xf numFmtId="167" fontId="0" fillId="0" borderId="0" xfId="0" applyNumberFormat="1" applyAlignment="1" applyProtection="1">
      <alignment horizontal="right"/>
      <protection hidden="1"/>
    </xf>
    <xf numFmtId="167" fontId="0" fillId="0" borderId="0" xfId="0" applyNumberFormat="1" applyAlignment="1" applyProtection="1">
      <alignment horizontal="center"/>
      <protection hidden="1"/>
    </xf>
    <xf numFmtId="0" fontId="79" fillId="0" borderId="0" xfId="0" applyFont="1" applyAlignment="1">
      <alignment vertical="top" wrapText="1"/>
    </xf>
    <xf numFmtId="0" fontId="255" fillId="43" borderId="22" xfId="0" applyFont="1" applyFill="1" applyBorder="1" applyAlignment="1" applyProtection="1">
      <alignment horizontal="center" vertical="center"/>
      <protection hidden="1"/>
    </xf>
    <xf numFmtId="0" fontId="0" fillId="0" borderId="1" xfId="0" applyBorder="1" applyAlignment="1">
      <alignment wrapText="1"/>
    </xf>
    <xf numFmtId="0" fontId="0" fillId="0" borderId="33" xfId="0" applyBorder="1"/>
    <xf numFmtId="0" fontId="46" fillId="3" borderId="16" xfId="0" applyFont="1" applyFill="1" applyBorder="1" applyAlignment="1" applyProtection="1">
      <alignment horizontal="center"/>
      <protection locked="0"/>
    </xf>
    <xf numFmtId="0" fontId="69" fillId="6" borderId="3" xfId="0" applyFont="1" applyFill="1" applyBorder="1" applyProtection="1">
      <protection locked="0"/>
    </xf>
    <xf numFmtId="0" fontId="69" fillId="0" borderId="0" xfId="0" applyFont="1"/>
    <xf numFmtId="0" fontId="52" fillId="0" borderId="0" xfId="0" quotePrefix="1" applyFont="1"/>
    <xf numFmtId="0" fontId="47" fillId="0" borderId="0" xfId="105" applyAlignment="1">
      <alignment horizontal="left"/>
    </xf>
    <xf numFmtId="0" fontId="15" fillId="0" borderId="0" xfId="0" quotePrefix="1" applyFont="1" applyAlignment="1" applyProtection="1">
      <alignment horizontal="left" vertical="center" wrapText="1"/>
      <protection hidden="1"/>
    </xf>
    <xf numFmtId="0" fontId="255" fillId="43" borderId="22" xfId="0" applyFont="1" applyFill="1" applyBorder="1" applyAlignment="1" applyProtection="1">
      <alignment vertical="center"/>
      <protection hidden="1"/>
    </xf>
    <xf numFmtId="0" fontId="70" fillId="10" borderId="1" xfId="0" applyFont="1" applyFill="1" applyBorder="1" applyAlignment="1" applyProtection="1">
      <alignment vertical="center"/>
      <protection hidden="1"/>
    </xf>
    <xf numFmtId="0" fontId="70" fillId="10" borderId="18" xfId="0" applyFont="1" applyFill="1" applyBorder="1" applyAlignment="1" applyProtection="1">
      <alignment vertical="center"/>
      <protection hidden="1"/>
    </xf>
    <xf numFmtId="0" fontId="96" fillId="0" borderId="0" xfId="0" quotePrefix="1" applyFont="1"/>
    <xf numFmtId="0" fontId="96" fillId="0" borderId="0" xfId="0" applyFont="1"/>
    <xf numFmtId="3" fontId="257" fillId="6" borderId="24" xfId="0" applyNumberFormat="1" applyFont="1" applyFill="1" applyBorder="1" applyAlignment="1" applyProtection="1">
      <alignment horizontal="center" vertical="center" wrapText="1"/>
      <protection locked="0"/>
    </xf>
    <xf numFmtId="0" fontId="50" fillId="0" borderId="0" xfId="0" applyFont="1" applyAlignment="1">
      <alignment horizontal="right"/>
    </xf>
    <xf numFmtId="0" fontId="97" fillId="3" borderId="22" xfId="0" applyFont="1" applyFill="1" applyBorder="1"/>
    <xf numFmtId="0" fontId="97" fillId="3" borderId="30" xfId="0" applyFont="1" applyFill="1" applyBorder="1"/>
    <xf numFmtId="0" fontId="97" fillId="3" borderId="24" xfId="0" applyFont="1" applyFill="1" applyBorder="1"/>
    <xf numFmtId="0" fontId="16" fillId="0" borderId="0" xfId="0" applyFont="1" applyAlignment="1" applyProtection="1">
      <alignment vertical="center" wrapText="1"/>
      <protection hidden="1"/>
    </xf>
    <xf numFmtId="0" fontId="75" fillId="0" borderId="0" xfId="0" applyFont="1" applyAlignment="1">
      <alignment vertical="center" wrapText="1"/>
    </xf>
    <xf numFmtId="0" fontId="76" fillId="0" borderId="0" xfId="0" applyFont="1" applyAlignment="1">
      <alignment wrapText="1"/>
    </xf>
    <xf numFmtId="0" fontId="76" fillId="0" borderId="0" xfId="0" applyFont="1" applyAlignment="1">
      <alignment vertical="top" wrapText="1"/>
    </xf>
    <xf numFmtId="0" fontId="52" fillId="0" borderId="2" xfId="0" applyFont="1" applyBorder="1" applyAlignment="1">
      <alignment horizontal="center"/>
    </xf>
    <xf numFmtId="0" fontId="98" fillId="8" borderId="22" xfId="0" applyFont="1" applyFill="1" applyBorder="1" applyAlignment="1" applyProtection="1">
      <alignment vertical="center"/>
      <protection locked="0"/>
    </xf>
    <xf numFmtId="0" fontId="98" fillId="8" borderId="30" xfId="0" applyFont="1" applyFill="1" applyBorder="1" applyAlignment="1" applyProtection="1">
      <alignment vertical="center"/>
      <protection locked="0"/>
    </xf>
    <xf numFmtId="0" fontId="98" fillId="8" borderId="24" xfId="0" applyFont="1" applyFill="1" applyBorder="1" applyAlignment="1" applyProtection="1">
      <alignment vertical="center"/>
      <protection locked="0"/>
    </xf>
    <xf numFmtId="0" fontId="52" fillId="6" borderId="3" xfId="0" applyFont="1" applyFill="1" applyBorder="1" applyAlignment="1" applyProtection="1">
      <alignment horizontal="center"/>
      <protection locked="0"/>
    </xf>
    <xf numFmtId="0" fontId="52" fillId="6" borderId="3" xfId="0" applyFont="1" applyFill="1" applyBorder="1" applyAlignment="1">
      <alignment horizontal="center"/>
    </xf>
    <xf numFmtId="0" fontId="52" fillId="0" borderId="1" xfId="0" applyFont="1" applyBorder="1"/>
    <xf numFmtId="0" fontId="2" fillId="6" borderId="1" xfId="0" applyFont="1" applyFill="1" applyBorder="1" applyProtection="1">
      <protection locked="0"/>
    </xf>
    <xf numFmtId="0" fontId="70" fillId="0" borderId="0" xfId="0" applyFont="1" applyAlignment="1">
      <alignment wrapText="1"/>
    </xf>
    <xf numFmtId="0" fontId="52" fillId="0" borderId="4" xfId="0" applyFont="1" applyBorder="1" applyAlignment="1">
      <alignment wrapText="1"/>
    </xf>
    <xf numFmtId="0" fontId="52" fillId="0" borderId="2" xfId="0" applyFont="1" applyBorder="1" applyAlignment="1">
      <alignment wrapText="1"/>
    </xf>
    <xf numFmtId="0" fontId="52" fillId="0" borderId="14" xfId="0" applyFont="1" applyBorder="1" applyAlignment="1">
      <alignment wrapText="1"/>
    </xf>
    <xf numFmtId="0" fontId="52" fillId="6" borderId="3" xfId="0" applyFont="1" applyFill="1" applyBorder="1" applyProtection="1">
      <protection locked="0"/>
    </xf>
    <xf numFmtId="0" fontId="52" fillId="0" borderId="0" xfId="0" applyFont="1" applyAlignment="1">
      <alignment horizontal="center"/>
    </xf>
    <xf numFmtId="0" fontId="61" fillId="0" borderId="0" xfId="0" applyFont="1" applyAlignment="1" applyProtection="1">
      <alignment horizontal="left" vertical="center" wrapText="1"/>
      <protection hidden="1"/>
    </xf>
    <xf numFmtId="0" fontId="0" fillId="6" borderId="3" xfId="0" applyFill="1" applyBorder="1" applyAlignment="1" applyProtection="1">
      <alignment horizontal="center"/>
      <protection locked="0" hidden="1"/>
    </xf>
    <xf numFmtId="0" fontId="70" fillId="6" borderId="3" xfId="0" applyFont="1" applyFill="1" applyBorder="1" applyAlignment="1" applyProtection="1">
      <alignment horizontal="left"/>
      <protection locked="0"/>
    </xf>
    <xf numFmtId="0" fontId="85" fillId="0" borderId="61" xfId="0" applyFont="1" applyBorder="1" applyAlignment="1" applyProtection="1">
      <alignment horizontal="left"/>
      <protection hidden="1"/>
    </xf>
    <xf numFmtId="0" fontId="61" fillId="0" borderId="0" xfId="0" applyFont="1" applyAlignment="1" applyProtection="1">
      <alignment horizontal="left"/>
      <protection hidden="1"/>
    </xf>
    <xf numFmtId="0" fontId="70" fillId="6" borderId="30" xfId="0" applyFont="1" applyFill="1" applyBorder="1" applyAlignment="1" applyProtection="1">
      <alignment horizontal="left"/>
      <protection locked="0"/>
    </xf>
    <xf numFmtId="1" fontId="70" fillId="6" borderId="3" xfId="0" applyNumberFormat="1" applyFont="1" applyFill="1" applyBorder="1" applyAlignment="1" applyProtection="1">
      <alignment horizontal="left"/>
      <protection locked="0"/>
    </xf>
    <xf numFmtId="0" fontId="61" fillId="0" borderId="0" xfId="0" applyFont="1" applyAlignment="1" applyProtection="1">
      <alignment horizontal="left" vertical="center"/>
      <protection hidden="1"/>
    </xf>
    <xf numFmtId="165" fontId="70" fillId="6" borderId="3" xfId="0" applyNumberFormat="1" applyFont="1" applyFill="1" applyBorder="1" applyAlignment="1" applyProtection="1">
      <alignment horizontal="left"/>
      <protection locked="0"/>
    </xf>
    <xf numFmtId="0" fontId="70" fillId="0" borderId="2" xfId="0" applyFont="1" applyBorder="1" applyAlignment="1" applyProtection="1">
      <alignment horizontal="left"/>
      <protection hidden="1"/>
    </xf>
    <xf numFmtId="0" fontId="61" fillId="0" borderId="2" xfId="0" applyFont="1" applyBorder="1" applyAlignment="1" applyProtection="1">
      <alignment horizontal="right"/>
      <protection hidden="1"/>
    </xf>
    <xf numFmtId="0" fontId="85" fillId="0" borderId="44" xfId="0" applyFont="1" applyBorder="1" applyAlignment="1" applyProtection="1">
      <alignment horizontal="left"/>
      <protection hidden="1"/>
    </xf>
    <xf numFmtId="165" fontId="70" fillId="6" borderId="3" xfId="0" applyNumberFormat="1" applyFont="1" applyFill="1" applyBorder="1" applyProtection="1">
      <protection locked="0"/>
    </xf>
    <xf numFmtId="0" fontId="61" fillId="0" borderId="0" xfId="0" applyFont="1" applyAlignment="1" applyProtection="1">
      <alignment horizontal="right"/>
      <protection hidden="1"/>
    </xf>
    <xf numFmtId="165" fontId="70" fillId="6" borderId="30" xfId="0" applyNumberFormat="1" applyFont="1" applyFill="1" applyBorder="1" applyAlignment="1" applyProtection="1">
      <alignment horizontal="left"/>
      <protection locked="0"/>
    </xf>
    <xf numFmtId="0" fontId="47" fillId="6" borderId="30" xfId="105" applyFill="1" applyBorder="1" applyAlignment="1" applyProtection="1">
      <alignment horizontal="left"/>
      <protection locked="0"/>
    </xf>
    <xf numFmtId="0" fontId="61" fillId="10" borderId="0" xfId="0" applyFont="1" applyFill="1" applyAlignment="1" applyProtection="1">
      <alignment horizontal="right"/>
      <protection hidden="1"/>
    </xf>
    <xf numFmtId="3" fontId="70" fillId="6" borderId="30" xfId="0" applyNumberFormat="1" applyFont="1" applyFill="1" applyBorder="1" applyAlignment="1" applyProtection="1">
      <alignment horizontal="left"/>
      <protection locked="0"/>
    </xf>
    <xf numFmtId="0" fontId="2" fillId="0" borderId="2" xfId="0" applyFont="1" applyBorder="1" applyAlignment="1" applyProtection="1">
      <alignment horizontal="center"/>
      <protection hidden="1"/>
    </xf>
    <xf numFmtId="0" fontId="3" fillId="0" borderId="2" xfId="0" applyFont="1" applyBorder="1" applyAlignment="1" applyProtection="1">
      <alignment horizontal="right"/>
      <protection hidden="1"/>
    </xf>
    <xf numFmtId="0" fontId="63" fillId="0" borderId="0" xfId="0" applyFont="1" applyAlignment="1" applyProtection="1">
      <alignment horizontal="center" vertical="center" wrapText="1"/>
      <protection hidden="1"/>
    </xf>
    <xf numFmtId="0" fontId="3" fillId="0" borderId="0" xfId="0" applyFont="1" applyAlignment="1" applyProtection="1">
      <alignment horizontal="left" vertical="top" wrapText="1"/>
      <protection hidden="1"/>
    </xf>
    <xf numFmtId="0" fontId="3" fillId="0" borderId="0" xfId="0" applyFont="1" applyAlignment="1" applyProtection="1">
      <alignment horizontal="left" vertical="top"/>
      <protection hidden="1"/>
    </xf>
    <xf numFmtId="0" fontId="61" fillId="0" borderId="0" xfId="0" applyFont="1" applyAlignment="1" applyProtection="1">
      <alignment horizontal="center" wrapText="1"/>
      <protection hidden="1"/>
    </xf>
    <xf numFmtId="0" fontId="61" fillId="0" borderId="0" xfId="0" applyFont="1" applyAlignment="1" applyProtection="1">
      <alignment horizontal="center"/>
      <protection hidden="1"/>
    </xf>
    <xf numFmtId="44" fontId="70" fillId="6" borderId="3" xfId="0" applyNumberFormat="1" applyFont="1" applyFill="1" applyBorder="1" applyProtection="1">
      <protection locked="0"/>
    </xf>
    <xf numFmtId="14" fontId="70" fillId="6" borderId="3" xfId="0" applyNumberFormat="1" applyFont="1" applyFill="1" applyBorder="1" applyProtection="1">
      <protection locked="0"/>
    </xf>
    <xf numFmtId="0" fontId="70" fillId="6" borderId="3" xfId="0" applyFont="1" applyFill="1" applyBorder="1" applyProtection="1">
      <protection locked="0"/>
    </xf>
    <xf numFmtId="0" fontId="86" fillId="0" borderId="73" xfId="0" applyFont="1" applyBorder="1" applyAlignment="1" applyProtection="1">
      <alignment horizontal="center" vertical="center" wrapText="1"/>
      <protection hidden="1"/>
    </xf>
    <xf numFmtId="167" fontId="70" fillId="0" borderId="3" xfId="58" applyNumberFormat="1" applyFont="1" applyBorder="1" applyProtection="1">
      <protection hidden="1"/>
    </xf>
    <xf numFmtId="166" fontId="70" fillId="0" borderId="3" xfId="58" applyNumberFormat="1" applyFont="1" applyBorder="1" applyProtection="1">
      <protection hidden="1"/>
    </xf>
    <xf numFmtId="165" fontId="70" fillId="6" borderId="30" xfId="0" applyNumberFormat="1" applyFont="1" applyFill="1" applyBorder="1" applyProtection="1">
      <protection locked="0"/>
    </xf>
    <xf numFmtId="0" fontId="62" fillId="0" borderId="0" xfId="0" applyFont="1" applyAlignment="1" applyProtection="1">
      <alignment vertical="center" wrapText="1"/>
      <protection hidden="1"/>
    </xf>
    <xf numFmtId="0" fontId="52" fillId="10" borderId="3" xfId="0" applyFont="1" applyFill="1" applyBorder="1" applyAlignment="1" applyProtection="1">
      <alignment horizontal="left"/>
      <protection hidden="1"/>
    </xf>
    <xf numFmtId="0" fontId="52" fillId="6" borderId="3" xfId="0" applyFont="1" applyFill="1" applyBorder="1" applyAlignment="1" applyProtection="1">
      <alignment horizontal="left"/>
      <protection locked="0"/>
    </xf>
    <xf numFmtId="0" fontId="84" fillId="0" borderId="0" xfId="0" applyFont="1" applyAlignment="1" applyProtection="1">
      <alignment horizontal="center" vertical="center"/>
      <protection hidden="1"/>
    </xf>
    <xf numFmtId="0" fontId="52" fillId="6" borderId="3" xfId="0" applyFont="1" applyFill="1" applyBorder="1" applyAlignment="1" applyProtection="1">
      <alignment horizontal="center"/>
      <protection locked="0" hidden="1"/>
    </xf>
    <xf numFmtId="0" fontId="16" fillId="0" borderId="0" xfId="0" applyFont="1" applyAlignment="1" applyProtection="1">
      <alignment horizontal="left" vertical="center"/>
      <protection hidden="1"/>
    </xf>
    <xf numFmtId="0" fontId="2" fillId="0" borderId="0" xfId="0" applyFont="1" applyAlignment="1" applyProtection="1">
      <alignment vertical="top" wrapText="1"/>
      <protection hidden="1"/>
    </xf>
    <xf numFmtId="0" fontId="2" fillId="0" borderId="0" xfId="0" applyFont="1" applyAlignment="1" applyProtection="1">
      <alignment horizontal="left" vertical="top"/>
      <protection hidden="1"/>
    </xf>
    <xf numFmtId="0" fontId="31" fillId="0" borderId="0" xfId="0" applyFont="1" applyAlignment="1" applyProtection="1">
      <alignment horizontal="left" vertical="center"/>
      <protection hidden="1"/>
    </xf>
    <xf numFmtId="0" fontId="2" fillId="0" borderId="0" xfId="0" applyFont="1" applyAlignment="1" applyProtection="1">
      <alignment vertical="top"/>
      <protection hidden="1"/>
    </xf>
    <xf numFmtId="0" fontId="13" fillId="0" borderId="3" xfId="0" applyFont="1" applyBorder="1" applyAlignment="1" applyProtection="1">
      <alignment vertical="center"/>
      <protection hidden="1"/>
    </xf>
    <xf numFmtId="0" fontId="2" fillId="0" borderId="0" xfId="0" applyFont="1" applyAlignment="1" applyProtection="1">
      <alignment horizontal="left" vertical="top" wrapText="1"/>
      <protection hidden="1"/>
    </xf>
    <xf numFmtId="0" fontId="21" fillId="0" borderId="0" xfId="0" applyFont="1" applyAlignment="1" applyProtection="1">
      <alignment horizontal="left" vertical="top" wrapText="1"/>
      <protection hidden="1"/>
    </xf>
    <xf numFmtId="0" fontId="21" fillId="0" borderId="0" xfId="0" applyFont="1" applyAlignment="1" applyProtection="1">
      <alignment horizontal="left" vertical="top"/>
      <protection hidden="1"/>
    </xf>
    <xf numFmtId="165" fontId="70" fillId="0" borderId="3" xfId="0" applyNumberFormat="1" applyFont="1" applyBorder="1" applyAlignment="1" applyProtection="1">
      <alignment horizontal="left"/>
      <protection hidden="1"/>
    </xf>
    <xf numFmtId="166" fontId="70" fillId="0" borderId="48" xfId="58" applyNumberFormat="1" applyFont="1" applyBorder="1" applyProtection="1">
      <protection hidden="1"/>
    </xf>
    <xf numFmtId="0" fontId="3" fillId="0" borderId="0" xfId="0" applyFont="1" applyAlignment="1" applyProtection="1">
      <alignment horizontal="right"/>
      <protection hidden="1"/>
    </xf>
    <xf numFmtId="0" fontId="2" fillId="0" borderId="0" xfId="0" applyFont="1" applyAlignment="1" applyProtection="1">
      <alignment horizontal="center"/>
      <protection hidden="1"/>
    </xf>
    <xf numFmtId="0" fontId="70" fillId="10" borderId="3" xfId="0" applyFont="1" applyFill="1" applyBorder="1" applyAlignment="1" applyProtection="1">
      <alignment horizontal="left"/>
      <protection hidden="1"/>
    </xf>
    <xf numFmtId="14" fontId="33" fillId="6" borderId="3" xfId="0" applyNumberFormat="1" applyFont="1" applyFill="1" applyBorder="1" applyProtection="1">
      <protection locked="0"/>
    </xf>
    <xf numFmtId="0" fontId="33" fillId="6" borderId="3" xfId="0" applyFont="1" applyFill="1" applyBorder="1" applyProtection="1">
      <protection locked="0"/>
    </xf>
    <xf numFmtId="0" fontId="85" fillId="0" borderId="47" xfId="0" applyFont="1" applyBorder="1" applyAlignment="1" applyProtection="1">
      <alignment horizontal="left"/>
      <protection hidden="1"/>
    </xf>
    <xf numFmtId="0" fontId="52" fillId="0" borderId="0" xfId="0" applyFont="1" applyAlignment="1" applyProtection="1">
      <alignment horizontal="left" vertical="top" wrapText="1"/>
      <protection hidden="1"/>
    </xf>
    <xf numFmtId="0" fontId="70" fillId="0" borderId="3" xfId="0" applyFont="1" applyBorder="1" applyAlignment="1" applyProtection="1">
      <alignment horizontal="left"/>
      <protection hidden="1"/>
    </xf>
    <xf numFmtId="165" fontId="70" fillId="0" borderId="0" xfId="0" applyNumberFormat="1" applyFont="1" applyAlignment="1" applyProtection="1">
      <alignment horizontal="left"/>
      <protection hidden="1"/>
    </xf>
    <xf numFmtId="0" fontId="99" fillId="0" borderId="0" xfId="0" applyFont="1" applyAlignment="1" applyProtection="1">
      <alignment horizontal="center" vertical="center"/>
      <protection hidden="1"/>
    </xf>
    <xf numFmtId="0" fontId="70" fillId="0" borderId="30" xfId="0" applyFont="1" applyBorder="1" applyAlignment="1" applyProtection="1">
      <alignment horizontal="left"/>
      <protection hidden="1"/>
    </xf>
    <xf numFmtId="0" fontId="16" fillId="0" borderId="0" xfId="0" applyFont="1" applyAlignment="1" applyProtection="1">
      <alignment horizontal="left" vertical="center" wrapText="1"/>
      <protection hidden="1"/>
    </xf>
    <xf numFmtId="0" fontId="31" fillId="0" borderId="3" xfId="0" applyFont="1" applyBorder="1" applyAlignment="1" applyProtection="1">
      <alignment horizontal="left" vertical="top"/>
      <protection hidden="1"/>
    </xf>
    <xf numFmtId="0" fontId="86" fillId="0" borderId="3" xfId="0" applyFont="1" applyBorder="1" applyAlignment="1" applyProtection="1">
      <alignment horizontal="center" vertical="center" wrapText="1"/>
      <protection hidden="1"/>
    </xf>
    <xf numFmtId="0" fontId="70" fillId="0" borderId="0" xfId="0" applyFont="1" applyAlignment="1" applyProtection="1">
      <alignment horizontal="left"/>
      <protection hidden="1"/>
    </xf>
    <xf numFmtId="0" fontId="211" fillId="0" borderId="0" xfId="0" applyFont="1" applyAlignment="1" applyProtection="1">
      <alignment horizontal="left" vertical="top" wrapText="1"/>
      <protection hidden="1"/>
    </xf>
    <xf numFmtId="0" fontId="5" fillId="0" borderId="0" xfId="0" applyFont="1" applyAlignment="1" applyProtection="1">
      <alignment horizontal="center" vertical="center"/>
      <protection hidden="1"/>
    </xf>
    <xf numFmtId="0" fontId="52" fillId="0" borderId="0" xfId="0" applyFont="1" applyAlignment="1" applyProtection="1">
      <alignment horizontal="center" vertical="center"/>
      <protection hidden="1"/>
    </xf>
    <xf numFmtId="0" fontId="0" fillId="0" borderId="0" xfId="0" applyAlignment="1" applyProtection="1">
      <alignment horizontal="right"/>
      <protection hidden="1"/>
    </xf>
    <xf numFmtId="0" fontId="15" fillId="0" borderId="0" xfId="0" applyFont="1" applyAlignment="1" applyProtection="1">
      <alignment horizontal="center"/>
      <protection hidden="1"/>
    </xf>
    <xf numFmtId="0" fontId="52" fillId="0" borderId="0" xfId="0" applyFont="1" applyAlignment="1" applyProtection="1">
      <alignment horizontal="left" vertical="center"/>
      <protection hidden="1"/>
    </xf>
    <xf numFmtId="0" fontId="215" fillId="0" borderId="0" xfId="0" applyFont="1" applyAlignment="1" applyProtection="1">
      <alignment horizontal="left"/>
      <protection hidden="1"/>
    </xf>
    <xf numFmtId="0" fontId="8" fillId="0" borderId="0" xfId="0" applyFont="1" applyAlignment="1" applyProtection="1">
      <alignment horizontal="left" vertical="center"/>
      <protection hidden="1"/>
    </xf>
    <xf numFmtId="0" fontId="85" fillId="0" borderId="44" xfId="0" applyFont="1" applyBorder="1" applyAlignment="1" applyProtection="1">
      <alignment vertical="center"/>
      <protection hidden="1"/>
    </xf>
    <xf numFmtId="0" fontId="52" fillId="0" borderId="0" xfId="0" applyFont="1" applyAlignment="1" applyProtection="1">
      <alignment horizontal="left" vertical="top"/>
      <protection hidden="1"/>
    </xf>
    <xf numFmtId="0" fontId="259" fillId="0" borderId="0" xfId="0" applyFont="1" applyAlignment="1" applyProtection="1">
      <alignment horizontal="left" vertical="top" wrapText="1"/>
      <protection hidden="1"/>
    </xf>
    <xf numFmtId="0" fontId="2" fillId="0" borderId="0" xfId="0" applyFont="1" applyAlignment="1">
      <alignment horizontal="left" vertical="top" wrapText="1"/>
    </xf>
    <xf numFmtId="0" fontId="2" fillId="0" borderId="0" xfId="0" applyFont="1" applyAlignment="1">
      <alignment horizontal="left" vertical="top"/>
    </xf>
    <xf numFmtId="0" fontId="47" fillId="0" borderId="0" xfId="105" applyFill="1" applyAlignment="1" applyProtection="1">
      <alignment horizontal="center" vertical="top" wrapText="1"/>
      <protection hidden="1"/>
    </xf>
    <xf numFmtId="0" fontId="2" fillId="0" borderId="0" xfId="0" applyFont="1" applyAlignment="1" applyProtection="1">
      <alignment horizontal="center" vertical="top" wrapText="1"/>
      <protection hidden="1"/>
    </xf>
    <xf numFmtId="0" fontId="85" fillId="0" borderId="44" xfId="0" applyFont="1" applyBorder="1" applyAlignment="1" applyProtection="1">
      <alignment horizontal="left" vertical="center"/>
      <protection hidden="1"/>
    </xf>
    <xf numFmtId="0" fontId="223" fillId="0" borderId="0" xfId="0" applyFont="1" applyAlignment="1" applyProtection="1">
      <alignment horizontal="left" vertical="top" wrapText="1"/>
      <protection hidden="1"/>
    </xf>
    <xf numFmtId="0" fontId="2" fillId="0" borderId="8" xfId="0" applyFont="1" applyBorder="1" applyAlignment="1" applyProtection="1">
      <alignment horizontal="left" vertical="top"/>
      <protection hidden="1"/>
    </xf>
    <xf numFmtId="0" fontId="52" fillId="10" borderId="45" xfId="0" quotePrefix="1" applyFont="1" applyFill="1" applyBorder="1" applyAlignment="1" applyProtection="1">
      <alignment horizontal="left" vertical="top"/>
      <protection hidden="1"/>
    </xf>
    <xf numFmtId="0" fontId="52" fillId="10" borderId="0" xfId="0" quotePrefix="1" applyFont="1" applyFill="1" applyAlignment="1" applyProtection="1">
      <alignment horizontal="left" vertical="top"/>
      <protection hidden="1"/>
    </xf>
    <xf numFmtId="0" fontId="52" fillId="0" borderId="8" xfId="0" applyFont="1" applyBorder="1" applyAlignment="1" applyProtection="1">
      <alignment horizontal="left" vertical="top"/>
      <protection hidden="1"/>
    </xf>
    <xf numFmtId="0" fontId="2" fillId="0" borderId="8" xfId="0" applyFont="1" applyBorder="1" applyAlignment="1" applyProtection="1">
      <alignment horizontal="left" vertical="top" wrapText="1"/>
      <protection hidden="1"/>
    </xf>
    <xf numFmtId="0" fontId="52" fillId="10" borderId="0" xfId="0" quotePrefix="1" applyFont="1" applyFill="1" applyAlignment="1" applyProtection="1">
      <alignment horizontal="left" vertical="top" wrapText="1"/>
      <protection hidden="1"/>
    </xf>
    <xf numFmtId="0" fontId="52" fillId="0" borderId="8" xfId="0" applyFont="1" applyBorder="1" applyAlignment="1" applyProtection="1">
      <alignment horizontal="left" vertical="top" wrapText="1"/>
      <protection hidden="1"/>
    </xf>
    <xf numFmtId="0" fontId="264" fillId="43" borderId="56" xfId="0" applyFont="1" applyFill="1" applyBorder="1" applyAlignment="1" applyProtection="1">
      <alignment horizontal="center" vertical="center"/>
      <protection hidden="1"/>
    </xf>
    <xf numFmtId="0" fontId="264" fillId="43" borderId="57" xfId="0" applyFont="1" applyFill="1" applyBorder="1" applyAlignment="1" applyProtection="1">
      <alignment horizontal="center" vertical="center"/>
      <protection hidden="1"/>
    </xf>
    <xf numFmtId="0" fontId="264" fillId="43" borderId="58" xfId="0" applyFont="1" applyFill="1" applyBorder="1" applyAlignment="1" applyProtection="1">
      <alignment horizontal="center" vertical="center"/>
      <protection hidden="1"/>
    </xf>
    <xf numFmtId="0" fontId="6" fillId="0" borderId="2" xfId="0" applyFont="1" applyBorder="1" applyAlignment="1" applyProtection="1">
      <alignment horizontal="right" vertical="center"/>
      <protection hidden="1"/>
    </xf>
    <xf numFmtId="0" fontId="255" fillId="43" borderId="1" xfId="0" applyFont="1" applyFill="1" applyBorder="1" applyAlignment="1" applyProtection="1">
      <alignment horizontal="center" vertical="center" wrapText="1"/>
      <protection hidden="1"/>
    </xf>
    <xf numFmtId="0" fontId="258" fillId="6" borderId="1" xfId="0" applyFont="1" applyFill="1" applyBorder="1" applyAlignment="1" applyProtection="1">
      <alignment horizontal="center" vertical="center"/>
      <protection locked="0"/>
    </xf>
    <xf numFmtId="0" fontId="264" fillId="43" borderId="20" xfId="0" applyFont="1" applyFill="1" applyBorder="1" applyAlignment="1" applyProtection="1">
      <alignment horizontal="center" vertical="center"/>
      <protection hidden="1"/>
    </xf>
    <xf numFmtId="0" fontId="264" fillId="43" borderId="15" xfId="0" applyFont="1" applyFill="1" applyBorder="1" applyAlignment="1" applyProtection="1">
      <alignment horizontal="center" vertical="center"/>
      <protection hidden="1"/>
    </xf>
    <xf numFmtId="0" fontId="264" fillId="43" borderId="16" xfId="0" applyFont="1" applyFill="1" applyBorder="1" applyAlignment="1" applyProtection="1">
      <alignment horizontal="center" vertical="center"/>
      <protection hidden="1"/>
    </xf>
    <xf numFmtId="0" fontId="255" fillId="43" borderId="23" xfId="0" applyFont="1" applyFill="1" applyBorder="1" applyAlignment="1" applyProtection="1">
      <alignment horizontal="center" vertical="center"/>
      <protection hidden="1"/>
    </xf>
    <xf numFmtId="0" fontId="255" fillId="43" borderId="1" xfId="0" applyFont="1" applyFill="1" applyBorder="1" applyAlignment="1" applyProtection="1">
      <alignment horizontal="center" vertical="center"/>
      <protection hidden="1"/>
    </xf>
    <xf numFmtId="0" fontId="255" fillId="43" borderId="17" xfId="0" applyFont="1" applyFill="1" applyBorder="1" applyAlignment="1" applyProtection="1">
      <alignment horizontal="center" vertical="center"/>
      <protection hidden="1"/>
    </xf>
    <xf numFmtId="0" fontId="70" fillId="10" borderId="23" xfId="0" applyFont="1" applyFill="1" applyBorder="1" applyAlignment="1" applyProtection="1">
      <alignment horizontal="center" vertical="center"/>
      <protection hidden="1"/>
    </xf>
    <xf numFmtId="0" fontId="70" fillId="10" borderId="1" xfId="0" applyFont="1" applyFill="1" applyBorder="1" applyAlignment="1" applyProtection="1">
      <alignment horizontal="center" vertical="center"/>
      <protection hidden="1"/>
    </xf>
    <xf numFmtId="0" fontId="70" fillId="10" borderId="21" xfId="0" applyFont="1" applyFill="1" applyBorder="1" applyAlignment="1" applyProtection="1">
      <alignment horizontal="center" vertical="center"/>
      <protection hidden="1"/>
    </xf>
    <xf numFmtId="0" fontId="70" fillId="10" borderId="18" xfId="0" applyFont="1" applyFill="1" applyBorder="1" applyAlignment="1" applyProtection="1">
      <alignment horizontal="center" vertical="center"/>
      <protection hidden="1"/>
    </xf>
    <xf numFmtId="0" fontId="70" fillId="10" borderId="17" xfId="0" applyFont="1" applyFill="1" applyBorder="1" applyAlignment="1" applyProtection="1">
      <alignment horizontal="center" vertical="center"/>
      <protection hidden="1"/>
    </xf>
    <xf numFmtId="0" fontId="70" fillId="10" borderId="19" xfId="0" applyFont="1" applyFill="1" applyBorder="1" applyAlignment="1" applyProtection="1">
      <alignment horizontal="center" vertical="center"/>
      <protection hidden="1"/>
    </xf>
    <xf numFmtId="0" fontId="257" fillId="6" borderId="1" xfId="0" applyFont="1" applyFill="1" applyBorder="1" applyAlignment="1" applyProtection="1">
      <alignment horizontal="center" vertical="center" wrapText="1"/>
      <protection locked="0"/>
    </xf>
    <xf numFmtId="0" fontId="0" fillId="0" borderId="3" xfId="0" applyBorder="1" applyAlignment="1" applyProtection="1">
      <alignment horizontal="center"/>
      <protection locked="0"/>
    </xf>
    <xf numFmtId="167" fontId="256" fillId="6" borderId="22" xfId="0" applyNumberFormat="1" applyFont="1" applyFill="1" applyBorder="1" applyAlignment="1" applyProtection="1">
      <alignment horizontal="center" vertical="center"/>
      <protection locked="0"/>
    </xf>
    <xf numFmtId="167" fontId="256" fillId="6" borderId="30" xfId="0" applyNumberFormat="1" applyFont="1" applyFill="1" applyBorder="1" applyAlignment="1" applyProtection="1">
      <alignment horizontal="center" vertical="center"/>
      <protection locked="0"/>
    </xf>
    <xf numFmtId="167" fontId="256" fillId="6" borderId="24" xfId="0" applyNumberFormat="1" applyFont="1" applyFill="1" applyBorder="1" applyAlignment="1" applyProtection="1">
      <alignment horizontal="center" vertical="center"/>
      <protection locked="0"/>
    </xf>
    <xf numFmtId="0" fontId="141" fillId="49" borderId="0" xfId="0" applyFont="1" applyFill="1" applyAlignment="1" applyProtection="1">
      <alignment horizontal="left" vertical="center"/>
      <protection hidden="1"/>
    </xf>
    <xf numFmtId="0" fontId="0" fillId="0" borderId="30" xfId="0" applyBorder="1" applyProtection="1">
      <protection locked="0"/>
    </xf>
    <xf numFmtId="0" fontId="0" fillId="0" borderId="3" xfId="0" applyBorder="1" applyProtection="1">
      <protection locked="0"/>
    </xf>
    <xf numFmtId="167" fontId="0" fillId="0" borderId="3" xfId="0" applyNumberFormat="1" applyBorder="1" applyAlignment="1" applyProtection="1">
      <alignment horizontal="right"/>
      <protection hidden="1"/>
    </xf>
    <xf numFmtId="0" fontId="62" fillId="0" borderId="0" xfId="0" applyFont="1" applyAlignment="1" applyProtection="1">
      <alignment horizontal="center" vertical="center" wrapText="1"/>
      <protection hidden="1"/>
    </xf>
    <xf numFmtId="167" fontId="206" fillId="0" borderId="0" xfId="0" applyNumberFormat="1" applyFont="1" applyAlignment="1" applyProtection="1">
      <alignment horizontal="left" wrapText="1"/>
      <protection hidden="1"/>
    </xf>
    <xf numFmtId="167" fontId="70" fillId="10" borderId="1" xfId="0" applyNumberFormat="1" applyFont="1" applyFill="1" applyBorder="1" applyAlignment="1" applyProtection="1">
      <alignment horizontal="center" vertical="center"/>
      <protection hidden="1"/>
    </xf>
    <xf numFmtId="167" fontId="70" fillId="10" borderId="17" xfId="0" applyNumberFormat="1" applyFont="1" applyFill="1" applyBorder="1" applyAlignment="1" applyProtection="1">
      <alignment horizontal="center" vertical="center"/>
      <protection hidden="1"/>
    </xf>
    <xf numFmtId="167" fontId="82" fillId="0" borderId="0" xfId="0" applyNumberFormat="1" applyFont="1" applyAlignment="1" applyProtection="1">
      <alignment horizontal="right"/>
      <protection hidden="1"/>
    </xf>
    <xf numFmtId="0" fontId="141" fillId="4" borderId="0" xfId="0" applyFont="1" applyFill="1" applyAlignment="1" applyProtection="1">
      <alignment horizontal="left" vertical="center"/>
      <protection hidden="1"/>
    </xf>
    <xf numFmtId="167" fontId="69" fillId="0" borderId="3" xfId="0" applyNumberFormat="1" applyFont="1" applyBorder="1" applyAlignment="1" applyProtection="1">
      <alignment horizontal="right"/>
      <protection hidden="1"/>
    </xf>
    <xf numFmtId="0" fontId="69" fillId="6" borderId="3" xfId="0" applyFont="1" applyFill="1" applyBorder="1" applyProtection="1">
      <protection locked="0"/>
    </xf>
    <xf numFmtId="167" fontId="69" fillId="6" borderId="3" xfId="0" applyNumberFormat="1" applyFont="1" applyFill="1" applyBorder="1" applyProtection="1">
      <protection locked="0"/>
    </xf>
    <xf numFmtId="167" fontId="0" fillId="0" borderId="3" xfId="0" applyNumberFormat="1" applyBorder="1" applyAlignment="1" applyProtection="1">
      <alignment horizontal="center"/>
      <protection hidden="1"/>
    </xf>
    <xf numFmtId="0" fontId="0" fillId="0" borderId="3" xfId="0" applyBorder="1" applyAlignment="1" applyProtection="1">
      <alignment horizontal="left"/>
      <protection locked="0"/>
    </xf>
    <xf numFmtId="0" fontId="0" fillId="10" borderId="3" xfId="0" applyFill="1" applyBorder="1" applyAlignment="1" applyProtection="1">
      <alignment horizontal="center"/>
      <protection locked="0"/>
    </xf>
    <xf numFmtId="184" fontId="0" fillId="0" borderId="3" xfId="0" applyNumberFormat="1" applyBorder="1" applyAlignment="1" applyProtection="1">
      <alignment horizontal="right"/>
      <protection hidden="1"/>
    </xf>
    <xf numFmtId="0" fontId="255" fillId="43" borderId="90" xfId="0" applyFont="1" applyFill="1" applyBorder="1" applyAlignment="1" applyProtection="1">
      <alignment horizontal="center" vertical="center"/>
      <protection hidden="1"/>
    </xf>
    <xf numFmtId="49" fontId="222" fillId="0" borderId="0" xfId="0" applyNumberFormat="1" applyFont="1" applyAlignment="1" applyProtection="1">
      <alignment horizontal="left"/>
      <protection hidden="1"/>
    </xf>
    <xf numFmtId="0" fontId="0" fillId="0" borderId="2" xfId="0" applyBorder="1" applyProtection="1">
      <protection locked="0"/>
    </xf>
    <xf numFmtId="0" fontId="0" fillId="0" borderId="0" xfId="0" applyProtection="1">
      <protection locked="0"/>
    </xf>
    <xf numFmtId="0" fontId="205" fillId="0" borderId="0" xfId="0" applyFont="1" applyAlignment="1" applyProtection="1">
      <alignment horizontal="left" wrapText="1"/>
      <protection hidden="1"/>
    </xf>
    <xf numFmtId="0" fontId="205" fillId="0" borderId="0" xfId="0" applyFont="1" applyAlignment="1" applyProtection="1">
      <alignment horizontal="left"/>
      <protection hidden="1"/>
    </xf>
    <xf numFmtId="0" fontId="0" fillId="0" borderId="3" xfId="0" applyBorder="1" applyAlignment="1" applyProtection="1">
      <alignment horizontal="right"/>
      <protection locked="0"/>
    </xf>
    <xf numFmtId="0" fontId="255" fillId="43" borderId="89" xfId="0" applyFont="1" applyFill="1" applyBorder="1" applyAlignment="1" applyProtection="1">
      <alignment horizontal="center" vertical="center"/>
      <protection hidden="1"/>
    </xf>
    <xf numFmtId="0" fontId="70" fillId="10" borderId="7" xfId="0" applyFont="1" applyFill="1" applyBorder="1" applyAlignment="1" applyProtection="1">
      <alignment horizontal="center" vertical="center"/>
      <protection hidden="1"/>
    </xf>
    <xf numFmtId="0" fontId="70" fillId="10" borderId="0" xfId="0" applyFont="1" applyFill="1" applyAlignment="1" applyProtection="1">
      <alignment horizontal="center" vertical="center"/>
      <protection hidden="1"/>
    </xf>
    <xf numFmtId="0" fontId="255" fillId="43" borderId="91" xfId="0" applyFont="1" applyFill="1" applyBorder="1" applyAlignment="1" applyProtection="1">
      <alignment horizontal="center" vertical="center"/>
      <protection hidden="1"/>
    </xf>
    <xf numFmtId="167" fontId="70" fillId="10" borderId="0" xfId="0" applyNumberFormat="1" applyFont="1" applyFill="1" applyAlignment="1" applyProtection="1">
      <alignment horizontal="center" vertical="center"/>
      <protection hidden="1"/>
    </xf>
    <xf numFmtId="0" fontId="82" fillId="10" borderId="0" xfId="0" applyFont="1" applyFill="1" applyAlignment="1" applyProtection="1">
      <alignment horizontal="left" vertical="top"/>
      <protection hidden="1"/>
    </xf>
    <xf numFmtId="0" fontId="96" fillId="10" borderId="34" xfId="0" applyFont="1" applyFill="1" applyBorder="1" applyAlignment="1" applyProtection="1">
      <alignment horizontal="left" vertical="center"/>
      <protection hidden="1"/>
    </xf>
    <xf numFmtId="167" fontId="70" fillId="10" borderId="8" xfId="0" applyNumberFormat="1" applyFont="1" applyFill="1" applyBorder="1" applyAlignment="1" applyProtection="1">
      <alignment horizontal="center" vertical="center"/>
      <protection hidden="1"/>
    </xf>
    <xf numFmtId="167" fontId="262" fillId="6" borderId="1" xfId="0" applyNumberFormat="1" applyFont="1" applyFill="1" applyBorder="1" applyAlignment="1" applyProtection="1">
      <alignment horizontal="center" vertical="center" wrapText="1"/>
      <protection locked="0"/>
    </xf>
    <xf numFmtId="167" fontId="262" fillId="0" borderId="22" xfId="0" applyNumberFormat="1" applyFont="1" applyBorder="1" applyAlignment="1" applyProtection="1">
      <alignment horizontal="center" vertical="center" wrapText="1"/>
      <protection hidden="1"/>
    </xf>
    <xf numFmtId="167" fontId="262" fillId="0" borderId="24" xfId="0" applyNumberFormat="1" applyFont="1" applyBorder="1" applyAlignment="1" applyProtection="1">
      <alignment horizontal="center" vertical="center" wrapText="1"/>
      <protection hidden="1"/>
    </xf>
    <xf numFmtId="0" fontId="0" fillId="0" borderId="30" xfId="0" applyBorder="1" applyAlignment="1" applyProtection="1">
      <alignment horizontal="left"/>
      <protection locked="0"/>
    </xf>
    <xf numFmtId="0" fontId="263" fillId="0" borderId="1" xfId="0" applyFont="1" applyBorder="1" applyAlignment="1" applyProtection="1">
      <alignment horizontal="center" vertical="center"/>
      <protection hidden="1"/>
    </xf>
    <xf numFmtId="167" fontId="258" fillId="0" borderId="1" xfId="58" applyNumberFormat="1" applyFont="1" applyFill="1" applyBorder="1" applyAlignment="1" applyProtection="1">
      <alignment horizontal="center" vertical="center"/>
      <protection hidden="1"/>
    </xf>
    <xf numFmtId="0" fontId="70" fillId="10" borderId="70" xfId="0" applyFont="1" applyFill="1" applyBorder="1" applyAlignment="1" applyProtection="1">
      <alignment horizontal="center" vertical="center"/>
      <protection hidden="1"/>
    </xf>
    <xf numFmtId="0" fontId="70" fillId="10" borderId="71" xfId="0" applyFont="1" applyFill="1" applyBorder="1" applyAlignment="1" applyProtection="1">
      <alignment horizontal="center" vertical="center"/>
      <protection hidden="1"/>
    </xf>
    <xf numFmtId="167" fontId="70" fillId="10" borderId="71" xfId="0" applyNumberFormat="1" applyFont="1" applyFill="1" applyBorder="1" applyAlignment="1" applyProtection="1">
      <alignment horizontal="center" vertical="center"/>
      <protection hidden="1"/>
    </xf>
    <xf numFmtId="167" fontId="70" fillId="10" borderId="72" xfId="0" applyNumberFormat="1" applyFont="1" applyFill="1" applyBorder="1" applyAlignment="1" applyProtection="1">
      <alignment horizontal="center" vertical="center"/>
      <protection hidden="1"/>
    </xf>
    <xf numFmtId="0" fontId="264" fillId="43" borderId="31" xfId="0" applyFont="1" applyFill="1" applyBorder="1" applyAlignment="1" applyProtection="1">
      <alignment horizontal="center" vertical="center"/>
      <protection hidden="1"/>
    </xf>
    <xf numFmtId="0" fontId="264" fillId="43" borderId="40" xfId="0" applyFont="1" applyFill="1" applyBorder="1" applyAlignment="1" applyProtection="1">
      <alignment horizontal="center" vertical="center"/>
      <protection hidden="1"/>
    </xf>
    <xf numFmtId="0" fontId="264" fillId="43" borderId="32" xfId="0" applyFont="1" applyFill="1" applyBorder="1" applyAlignment="1" applyProtection="1">
      <alignment horizontal="center" vertical="center"/>
      <protection hidden="1"/>
    </xf>
    <xf numFmtId="0" fontId="255" fillId="43" borderId="30" xfId="0" applyFont="1" applyFill="1" applyBorder="1" applyAlignment="1" applyProtection="1">
      <alignment horizontal="center" vertical="center"/>
      <protection hidden="1"/>
    </xf>
    <xf numFmtId="0" fontId="255" fillId="43" borderId="24" xfId="0" applyFont="1" applyFill="1" applyBorder="1" applyAlignment="1" applyProtection="1">
      <alignment horizontal="center" vertical="center"/>
      <protection hidden="1"/>
    </xf>
    <xf numFmtId="0" fontId="70" fillId="10" borderId="30" xfId="0" applyFont="1" applyFill="1" applyBorder="1" applyAlignment="1" applyProtection="1">
      <alignment horizontal="center" vertical="center"/>
      <protection hidden="1"/>
    </xf>
    <xf numFmtId="0" fontId="70" fillId="10" borderId="24" xfId="0" applyFont="1" applyFill="1" applyBorder="1" applyAlignment="1" applyProtection="1">
      <alignment horizontal="center" vertical="center"/>
      <protection hidden="1"/>
    </xf>
    <xf numFmtId="0" fontId="70" fillId="10" borderId="25" xfId="0" applyFont="1" applyFill="1" applyBorder="1" applyAlignment="1" applyProtection="1">
      <alignment horizontal="center" vertical="center"/>
      <protection hidden="1"/>
    </xf>
    <xf numFmtId="0" fontId="70" fillId="10" borderId="62" xfId="0" applyFont="1" applyFill="1" applyBorder="1" applyAlignment="1" applyProtection="1">
      <alignment horizontal="center" vertical="center"/>
      <protection hidden="1"/>
    </xf>
    <xf numFmtId="167" fontId="70" fillId="10" borderId="18" xfId="0" applyNumberFormat="1" applyFont="1" applyFill="1" applyBorder="1" applyAlignment="1" applyProtection="1">
      <alignment horizontal="center" vertical="center"/>
      <protection hidden="1"/>
    </xf>
    <xf numFmtId="167" fontId="70" fillId="10" borderId="19" xfId="0" applyNumberFormat="1" applyFont="1" applyFill="1" applyBorder="1" applyAlignment="1" applyProtection="1">
      <alignment horizontal="center" vertical="center"/>
      <protection hidden="1"/>
    </xf>
    <xf numFmtId="0" fontId="33" fillId="10" borderId="1" xfId="0" applyFont="1" applyFill="1" applyBorder="1" applyAlignment="1" applyProtection="1">
      <alignment horizontal="center" vertical="center" wrapText="1"/>
      <protection hidden="1"/>
    </xf>
    <xf numFmtId="0" fontId="255" fillId="43" borderId="22" xfId="0" applyFont="1" applyFill="1" applyBorder="1" applyAlignment="1" applyProtection="1">
      <alignment horizontal="center" vertical="center"/>
      <protection hidden="1"/>
    </xf>
    <xf numFmtId="0" fontId="70" fillId="10" borderId="22" xfId="0" applyFont="1" applyFill="1" applyBorder="1" applyAlignment="1" applyProtection="1">
      <alignment horizontal="center" vertical="center"/>
      <protection hidden="1"/>
    </xf>
    <xf numFmtId="0" fontId="70" fillId="10" borderId="55" xfId="0" applyFont="1" applyFill="1" applyBorder="1" applyAlignment="1" applyProtection="1">
      <alignment horizontal="center" vertical="center"/>
      <protection hidden="1"/>
    </xf>
    <xf numFmtId="167" fontId="258" fillId="0" borderId="1" xfId="58" applyNumberFormat="1" applyFont="1" applyBorder="1" applyAlignment="1" applyProtection="1">
      <alignment horizontal="center" vertical="center"/>
      <protection hidden="1"/>
    </xf>
    <xf numFmtId="0" fontId="256" fillId="0" borderId="4" xfId="0" applyFont="1" applyBorder="1" applyAlignment="1">
      <alignment horizontal="center" vertical="top" wrapText="1"/>
    </xf>
    <xf numFmtId="0" fontId="256" fillId="0" borderId="2" xfId="0" applyFont="1" applyBorder="1" applyAlignment="1">
      <alignment horizontal="center" vertical="top" wrapText="1"/>
    </xf>
    <xf numFmtId="0" fontId="256" fillId="0" borderId="14" xfId="0" applyFont="1" applyBorder="1" applyAlignment="1">
      <alignment horizontal="center" vertical="top" wrapText="1"/>
    </xf>
    <xf numFmtId="167" fontId="256" fillId="0" borderId="22" xfId="58" applyNumberFormat="1" applyFont="1" applyBorder="1" applyAlignment="1" applyProtection="1">
      <alignment horizontal="center" vertical="center"/>
      <protection hidden="1"/>
    </xf>
    <xf numFmtId="167" fontId="256" fillId="0" borderId="30" xfId="58" applyNumberFormat="1" applyFont="1" applyBorder="1" applyAlignment="1" applyProtection="1">
      <alignment horizontal="center" vertical="center"/>
      <protection hidden="1"/>
    </xf>
    <xf numFmtId="167" fontId="256" fillId="0" borderId="24" xfId="58" applyNumberFormat="1" applyFont="1" applyBorder="1" applyAlignment="1" applyProtection="1">
      <alignment horizontal="center" vertical="center"/>
      <protection hidden="1"/>
    </xf>
    <xf numFmtId="0" fontId="33" fillId="6" borderId="11" xfId="0" applyFont="1" applyFill="1" applyBorder="1" applyAlignment="1" applyProtection="1">
      <alignment horizontal="center" vertical="center" wrapText="1"/>
      <protection locked="0"/>
    </xf>
    <xf numFmtId="0" fontId="33" fillId="6" borderId="12" xfId="0" applyFont="1" applyFill="1" applyBorder="1" applyAlignment="1" applyProtection="1">
      <alignment horizontal="center" vertical="center" wrapText="1"/>
      <protection locked="0"/>
    </xf>
    <xf numFmtId="0" fontId="33" fillId="6" borderId="13" xfId="0" applyFont="1" applyFill="1" applyBorder="1" applyAlignment="1" applyProtection="1">
      <alignment horizontal="center" vertical="center" wrapText="1"/>
      <protection locked="0"/>
    </xf>
    <xf numFmtId="169" fontId="257" fillId="6" borderId="22" xfId="4" applyNumberFormat="1" applyFont="1" applyFill="1" applyBorder="1" applyAlignment="1" applyProtection="1">
      <alignment horizontal="center" vertical="center" wrapText="1"/>
      <protection locked="0"/>
    </xf>
    <xf numFmtId="169" fontId="257" fillId="6" borderId="24" xfId="4" applyNumberFormat="1" applyFont="1" applyFill="1" applyBorder="1" applyAlignment="1" applyProtection="1">
      <alignment horizontal="center" vertical="center" wrapText="1"/>
      <protection locked="0"/>
    </xf>
    <xf numFmtId="167" fontId="257" fillId="0" borderId="1" xfId="0" applyNumberFormat="1" applyFont="1" applyBorder="1" applyAlignment="1" applyProtection="1">
      <alignment horizontal="center" vertical="center" wrapText="1"/>
      <protection hidden="1"/>
    </xf>
    <xf numFmtId="0" fontId="79" fillId="0" borderId="2" xfId="0" applyFont="1" applyBorder="1" applyAlignment="1">
      <alignment horizontal="left" vertical="top" wrapText="1"/>
    </xf>
    <xf numFmtId="0" fontId="79" fillId="0" borderId="0" xfId="0" applyFont="1" applyAlignment="1">
      <alignment horizontal="left" vertical="top" wrapText="1"/>
    </xf>
    <xf numFmtId="0" fontId="256" fillId="0" borderId="22" xfId="0" applyFont="1" applyBorder="1" applyAlignment="1">
      <alignment horizontal="center" vertical="top" wrapText="1"/>
    </xf>
    <xf numFmtId="0" fontId="256" fillId="0" borderId="30" xfId="0" applyFont="1" applyBorder="1" applyAlignment="1">
      <alignment horizontal="center" vertical="top" wrapText="1"/>
    </xf>
    <xf numFmtId="0" fontId="256" fillId="0" borderId="24" xfId="0" applyFont="1" applyBorder="1" applyAlignment="1">
      <alignment horizontal="center" vertical="top" wrapText="1"/>
    </xf>
    <xf numFmtId="0" fontId="33" fillId="6" borderId="4" xfId="0" applyFont="1" applyFill="1" applyBorder="1" applyAlignment="1" applyProtection="1">
      <alignment horizontal="center" vertical="center" wrapText="1"/>
      <protection locked="0"/>
    </xf>
    <xf numFmtId="0" fontId="33" fillId="6" borderId="5" xfId="0" applyFont="1" applyFill="1" applyBorder="1" applyAlignment="1" applyProtection="1">
      <alignment horizontal="center" vertical="center" wrapText="1"/>
      <protection locked="0"/>
    </xf>
    <xf numFmtId="0" fontId="33" fillId="6" borderId="6" xfId="0" applyFont="1" applyFill="1" applyBorder="1" applyAlignment="1" applyProtection="1">
      <alignment horizontal="center" vertical="center" wrapText="1"/>
      <protection locked="0"/>
    </xf>
    <xf numFmtId="0" fontId="96" fillId="10" borderId="0" xfId="0" applyFont="1" applyFill="1" applyAlignment="1" applyProtection="1">
      <alignment horizontal="left" vertical="center"/>
      <protection hidden="1"/>
    </xf>
    <xf numFmtId="0" fontId="255" fillId="43" borderId="22" xfId="0" applyFont="1" applyFill="1" applyBorder="1" applyAlignment="1" applyProtection="1">
      <alignment horizontal="center" vertical="center" wrapText="1"/>
      <protection hidden="1"/>
    </xf>
    <xf numFmtId="0" fontId="255" fillId="43" borderId="24" xfId="0" applyFont="1" applyFill="1" applyBorder="1" applyAlignment="1" applyProtection="1">
      <alignment horizontal="center" vertical="center" wrapText="1"/>
      <protection hidden="1"/>
    </xf>
    <xf numFmtId="0" fontId="101" fillId="0" borderId="73" xfId="0" applyFont="1" applyBorder="1" applyAlignment="1" applyProtection="1">
      <alignment horizontal="center"/>
      <protection hidden="1"/>
    </xf>
    <xf numFmtId="0" fontId="0" fillId="6" borderId="22" xfId="0" applyFill="1" applyBorder="1" applyAlignment="1" applyProtection="1">
      <alignment horizontal="center"/>
      <protection locked="0"/>
    </xf>
    <xf numFmtId="0" fontId="0" fillId="6" borderId="30" xfId="0" applyFill="1" applyBorder="1" applyAlignment="1" applyProtection="1">
      <alignment horizontal="center"/>
      <protection locked="0"/>
    </xf>
    <xf numFmtId="0" fontId="0" fillId="6" borderId="24" xfId="0" applyFill="1" applyBorder="1" applyAlignment="1" applyProtection="1">
      <alignment horizontal="center"/>
      <protection locked="0"/>
    </xf>
    <xf numFmtId="0" fontId="59" fillId="43" borderId="4" xfId="0" applyFont="1" applyFill="1" applyBorder="1" applyAlignment="1" applyProtection="1">
      <alignment horizontal="center" vertical="center" wrapText="1"/>
      <protection hidden="1"/>
    </xf>
    <xf numFmtId="0" fontId="59" fillId="43" borderId="14" xfId="0" applyFont="1" applyFill="1" applyBorder="1" applyAlignment="1" applyProtection="1">
      <alignment horizontal="center" vertical="center" wrapText="1"/>
      <protection hidden="1"/>
    </xf>
    <xf numFmtId="0" fontId="0" fillId="6" borderId="1" xfId="0" applyFill="1" applyBorder="1" applyAlignment="1" applyProtection="1">
      <alignment horizontal="center"/>
      <protection locked="0"/>
    </xf>
    <xf numFmtId="0" fontId="59" fillId="10" borderId="0" xfId="0" applyFont="1" applyFill="1" applyAlignment="1" applyProtection="1">
      <alignment horizontal="center" vertical="center" wrapText="1"/>
      <protection hidden="1"/>
    </xf>
    <xf numFmtId="0" fontId="40" fillId="0" borderId="3" xfId="0" applyFont="1" applyBorder="1" applyAlignment="1" applyProtection="1">
      <alignment horizontal="center" vertical="center" wrapText="1"/>
      <protection hidden="1"/>
    </xf>
    <xf numFmtId="0" fontId="0" fillId="0" borderId="0" xfId="0" applyAlignment="1" applyProtection="1">
      <alignment wrapText="1"/>
      <protection hidden="1"/>
    </xf>
    <xf numFmtId="0" fontId="59" fillId="43" borderId="22" xfId="0" applyFont="1" applyFill="1" applyBorder="1" applyAlignment="1" applyProtection="1">
      <alignment horizontal="center" vertical="center" wrapText="1"/>
      <protection hidden="1"/>
    </xf>
    <xf numFmtId="0" fontId="59" fillId="43" borderId="30" xfId="0" applyFont="1" applyFill="1" applyBorder="1" applyAlignment="1" applyProtection="1">
      <alignment horizontal="center" vertical="center" wrapText="1"/>
      <protection hidden="1"/>
    </xf>
    <xf numFmtId="0" fontId="59" fillId="43" borderId="24" xfId="0" applyFont="1" applyFill="1" applyBorder="1" applyAlignment="1" applyProtection="1">
      <alignment horizontal="center" vertical="center" wrapText="1"/>
      <protection hidden="1"/>
    </xf>
    <xf numFmtId="0" fontId="0" fillId="6" borderId="1" xfId="0" applyFill="1" applyBorder="1" applyProtection="1">
      <protection locked="0"/>
    </xf>
    <xf numFmtId="167" fontId="60" fillId="10" borderId="0" xfId="58" applyNumberFormat="1" applyFont="1" applyFill="1" applyBorder="1" applyAlignment="1" applyProtection="1">
      <alignment horizontal="center" vertical="center"/>
      <protection hidden="1"/>
    </xf>
    <xf numFmtId="0" fontId="0" fillId="10" borderId="0" xfId="0" applyFill="1" applyAlignment="1" applyProtection="1">
      <alignment wrapText="1"/>
      <protection hidden="1"/>
    </xf>
    <xf numFmtId="0" fontId="59" fillId="43" borderId="1" xfId="0" applyFont="1" applyFill="1" applyBorder="1" applyAlignment="1" applyProtection="1">
      <alignment horizontal="center" vertical="center" wrapText="1"/>
      <protection hidden="1"/>
    </xf>
    <xf numFmtId="0" fontId="59" fillId="43" borderId="9" xfId="0" applyFont="1" applyFill="1" applyBorder="1" applyAlignment="1" applyProtection="1">
      <alignment horizontal="center" vertical="center" wrapText="1"/>
      <protection hidden="1"/>
    </xf>
    <xf numFmtId="0" fontId="0" fillId="10" borderId="0" xfId="0" applyFill="1" applyProtection="1">
      <protection hidden="1"/>
    </xf>
    <xf numFmtId="0" fontId="0" fillId="10" borderId="0" xfId="0" applyFill="1" applyAlignment="1" applyProtection="1">
      <alignment horizontal="left"/>
      <protection hidden="1"/>
    </xf>
    <xf numFmtId="0" fontId="59" fillId="43" borderId="11" xfId="0" applyFont="1" applyFill="1" applyBorder="1" applyAlignment="1" applyProtection="1">
      <alignment horizontal="center" vertical="center" wrapText="1"/>
      <protection hidden="1"/>
    </xf>
    <xf numFmtId="0" fontId="59" fillId="43" borderId="13" xfId="0" applyFont="1" applyFill="1" applyBorder="1" applyAlignment="1" applyProtection="1">
      <alignment horizontal="center" vertical="center" wrapText="1"/>
      <protection hidden="1"/>
    </xf>
    <xf numFmtId="3" fontId="0" fillId="6" borderId="1" xfId="0" applyNumberFormat="1" applyFill="1" applyBorder="1" applyAlignment="1" applyProtection="1">
      <alignment horizontal="center"/>
      <protection locked="0"/>
    </xf>
    <xf numFmtId="3" fontId="0" fillId="6" borderId="22" xfId="0" applyNumberFormat="1" applyFill="1" applyBorder="1" applyAlignment="1" applyProtection="1">
      <alignment horizontal="center"/>
      <protection locked="0"/>
    </xf>
    <xf numFmtId="3" fontId="0" fillId="6" borderId="30" xfId="0" applyNumberFormat="1" applyFill="1" applyBorder="1" applyAlignment="1" applyProtection="1">
      <alignment horizontal="center"/>
      <protection locked="0"/>
    </xf>
    <xf numFmtId="3" fontId="0" fillId="6" borderId="24" xfId="0" applyNumberFormat="1" applyFill="1" applyBorder="1" applyAlignment="1" applyProtection="1">
      <alignment horizontal="center"/>
      <protection locked="0"/>
    </xf>
    <xf numFmtId="0" fontId="0" fillId="0" borderId="22" xfId="0" applyBorder="1" applyAlignment="1" applyProtection="1">
      <alignment horizontal="center"/>
      <protection hidden="1"/>
    </xf>
    <xf numFmtId="0" fontId="0" fillId="0" borderId="24" xfId="0" applyBorder="1" applyAlignment="1" applyProtection="1">
      <alignment horizontal="center"/>
      <protection hidden="1"/>
    </xf>
    <xf numFmtId="167" fontId="0" fillId="0" borderId="22" xfId="0" applyNumberFormat="1" applyBorder="1" applyAlignment="1" applyProtection="1">
      <alignment horizontal="center"/>
      <protection hidden="1"/>
    </xf>
    <xf numFmtId="167" fontId="0" fillId="0" borderId="30" xfId="0" applyNumberFormat="1" applyBorder="1" applyAlignment="1" applyProtection="1">
      <alignment horizontal="center"/>
      <protection hidden="1"/>
    </xf>
    <xf numFmtId="167" fontId="0" fillId="0" borderId="24" xfId="0" applyNumberFormat="1" applyBorder="1" applyAlignment="1" applyProtection="1">
      <alignment horizontal="center"/>
      <protection hidden="1"/>
    </xf>
    <xf numFmtId="166" fontId="50" fillId="0" borderId="22" xfId="58" applyNumberFormat="1" applyFont="1" applyBorder="1" applyAlignment="1" applyProtection="1">
      <alignment horizontal="center"/>
      <protection hidden="1"/>
    </xf>
    <xf numFmtId="166" fontId="50" fillId="0" borderId="24" xfId="58" applyNumberFormat="1" applyFont="1" applyBorder="1" applyAlignment="1" applyProtection="1">
      <alignment horizontal="center"/>
      <protection hidden="1"/>
    </xf>
    <xf numFmtId="0" fontId="59" fillId="43" borderId="6" xfId="0" applyFont="1" applyFill="1" applyBorder="1" applyAlignment="1" applyProtection="1">
      <alignment horizontal="center" vertical="center" wrapText="1"/>
      <protection hidden="1"/>
    </xf>
    <xf numFmtId="0" fontId="59" fillId="43" borderId="3" xfId="0" applyFont="1" applyFill="1" applyBorder="1" applyAlignment="1" applyProtection="1">
      <alignment horizontal="center" vertical="center" wrapText="1"/>
      <protection hidden="1"/>
    </xf>
    <xf numFmtId="0" fontId="59" fillId="43" borderId="10" xfId="0" applyFont="1" applyFill="1" applyBorder="1" applyAlignment="1" applyProtection="1">
      <alignment horizontal="center" vertical="center" wrapText="1"/>
      <protection hidden="1"/>
    </xf>
    <xf numFmtId="0" fontId="55" fillId="44" borderId="71" xfId="0" applyFont="1" applyFill="1" applyBorder="1" applyAlignment="1" applyProtection="1">
      <alignment horizontal="left"/>
      <protection hidden="1"/>
    </xf>
    <xf numFmtId="0" fontId="247" fillId="43" borderId="23" xfId="0" applyFont="1" applyFill="1" applyBorder="1" applyAlignment="1" applyProtection="1">
      <alignment horizontal="center" vertical="center"/>
      <protection hidden="1"/>
    </xf>
    <xf numFmtId="0" fontId="247" fillId="43" borderId="1" xfId="0" applyFont="1" applyFill="1" applyBorder="1" applyAlignment="1" applyProtection="1">
      <alignment horizontal="center" vertical="center"/>
      <protection hidden="1"/>
    </xf>
    <xf numFmtId="0" fontId="247" fillId="43" borderId="17" xfId="0" applyFont="1" applyFill="1" applyBorder="1" applyAlignment="1" applyProtection="1">
      <alignment horizontal="center" vertical="center"/>
      <protection hidden="1"/>
    </xf>
    <xf numFmtId="0" fontId="109" fillId="43" borderId="20" xfId="0" applyFont="1" applyFill="1" applyBorder="1" applyAlignment="1" applyProtection="1">
      <alignment horizontal="center" vertical="center"/>
      <protection hidden="1"/>
    </xf>
    <xf numFmtId="0" fontId="109" fillId="43" borderId="15" xfId="0" applyFont="1" applyFill="1" applyBorder="1" applyAlignment="1" applyProtection="1">
      <alignment horizontal="center" vertical="center"/>
      <protection hidden="1"/>
    </xf>
    <xf numFmtId="0" fontId="109" fillId="43" borderId="16" xfId="0" applyFont="1" applyFill="1" applyBorder="1" applyAlignment="1" applyProtection="1">
      <alignment horizontal="center" vertical="center"/>
      <protection hidden="1"/>
    </xf>
    <xf numFmtId="0" fontId="222" fillId="10" borderId="21" xfId="0" applyFont="1" applyFill="1" applyBorder="1" applyAlignment="1" applyProtection="1">
      <alignment horizontal="center" vertical="center"/>
      <protection hidden="1"/>
    </xf>
    <xf numFmtId="0" fontId="222" fillId="10" borderId="18" xfId="0" applyFont="1" applyFill="1" applyBorder="1" applyAlignment="1" applyProtection="1">
      <alignment horizontal="center" vertical="center"/>
      <protection hidden="1"/>
    </xf>
    <xf numFmtId="0" fontId="222" fillId="10" borderId="19" xfId="0" applyFont="1" applyFill="1" applyBorder="1" applyAlignment="1" applyProtection="1">
      <alignment horizontal="center" vertical="center"/>
      <protection hidden="1"/>
    </xf>
    <xf numFmtId="0" fontId="59" fillId="43" borderId="22" xfId="0" applyFont="1" applyFill="1" applyBorder="1" applyAlignment="1" applyProtection="1">
      <alignment horizontal="center" vertical="center"/>
      <protection hidden="1"/>
    </xf>
    <xf numFmtId="0" fontId="59" fillId="43" borderId="30" xfId="0" applyFont="1" applyFill="1" applyBorder="1" applyAlignment="1" applyProtection="1">
      <alignment horizontal="center" vertical="center"/>
      <protection hidden="1"/>
    </xf>
    <xf numFmtId="0" fontId="59" fillId="43" borderId="24" xfId="0" applyFont="1" applyFill="1" applyBorder="1" applyAlignment="1" applyProtection="1">
      <alignment horizontal="center" vertical="center"/>
      <protection hidden="1"/>
    </xf>
    <xf numFmtId="0" fontId="0" fillId="6" borderId="22" xfId="0" applyFill="1" applyBorder="1" applyAlignment="1" applyProtection="1">
      <alignment horizontal="center" wrapText="1"/>
      <protection locked="0"/>
    </xf>
    <xf numFmtId="0" fontId="0" fillId="6" borderId="24" xfId="0" applyFill="1" applyBorder="1" applyAlignment="1" applyProtection="1">
      <alignment horizontal="center" wrapText="1"/>
      <protection locked="0"/>
    </xf>
    <xf numFmtId="0" fontId="76" fillId="0" borderId="73" xfId="0" applyFont="1" applyBorder="1" applyAlignment="1" applyProtection="1">
      <alignment horizontal="center" vertical="center" wrapText="1"/>
      <protection hidden="1"/>
    </xf>
    <xf numFmtId="0" fontId="168" fillId="0" borderId="0" xfId="0" applyFont="1" applyAlignment="1" applyProtection="1">
      <alignment horizontal="left"/>
      <protection hidden="1"/>
    </xf>
    <xf numFmtId="0" fontId="168" fillId="0" borderId="0" xfId="0" quotePrefix="1" applyFont="1" applyAlignment="1" applyProtection="1">
      <alignment horizontal="left" vertical="top" wrapText="1"/>
      <protection hidden="1"/>
    </xf>
    <xf numFmtId="0" fontId="168" fillId="0" borderId="0" xfId="0" applyFont="1" applyAlignment="1" applyProtection="1">
      <alignment horizontal="left" vertical="top" wrapText="1"/>
      <protection hidden="1"/>
    </xf>
    <xf numFmtId="0" fontId="168" fillId="0" borderId="9" xfId="0" applyFont="1" applyBorder="1" applyAlignment="1" applyProtection="1">
      <alignment horizontal="left" vertical="top" wrapText="1"/>
      <protection hidden="1"/>
    </xf>
    <xf numFmtId="14" fontId="52" fillId="6" borderId="3" xfId="0" applyNumberFormat="1" applyFont="1" applyFill="1" applyBorder="1" applyAlignment="1" applyProtection="1">
      <alignment horizontal="center"/>
      <protection locked="0"/>
    </xf>
    <xf numFmtId="0" fontId="106" fillId="0" borderId="0" xfId="0" applyFont="1" applyAlignment="1" applyProtection="1">
      <alignment horizontal="left" vertical="center" wrapText="1"/>
      <protection hidden="1"/>
    </xf>
    <xf numFmtId="0" fontId="62" fillId="10" borderId="0" xfId="0" applyFont="1" applyFill="1" applyAlignment="1" applyProtection="1">
      <alignment horizontal="center" vertical="center"/>
      <protection hidden="1"/>
    </xf>
    <xf numFmtId="49" fontId="52" fillId="6" borderId="3" xfId="0" applyNumberFormat="1" applyFont="1" applyFill="1" applyBorder="1" applyAlignment="1" applyProtection="1">
      <alignment horizontal="center"/>
      <protection locked="0"/>
    </xf>
    <xf numFmtId="49" fontId="52" fillId="6" borderId="30" xfId="0" applyNumberFormat="1" applyFont="1" applyFill="1" applyBorder="1" applyAlignment="1" applyProtection="1">
      <alignment horizontal="center"/>
      <protection locked="0"/>
    </xf>
    <xf numFmtId="37" fontId="52" fillId="0" borderId="22" xfId="4" applyNumberFormat="1" applyFont="1" applyBorder="1" applyAlignment="1" applyProtection="1">
      <alignment horizontal="center" vertical="center"/>
      <protection hidden="1"/>
    </xf>
    <xf numFmtId="37" fontId="52" fillId="0" borderId="14" xfId="4" applyNumberFormat="1" applyFont="1" applyBorder="1" applyAlignment="1" applyProtection="1">
      <alignment horizontal="center" vertical="center"/>
      <protection hidden="1"/>
    </xf>
    <xf numFmtId="0" fontId="52" fillId="0" borderId="4" xfId="0" applyFont="1" applyBorder="1" applyAlignment="1" applyProtection="1">
      <alignment horizontal="center" vertical="center"/>
      <protection hidden="1"/>
    </xf>
    <xf numFmtId="0" fontId="52" fillId="0" borderId="14" xfId="0" applyFont="1" applyBorder="1" applyAlignment="1" applyProtection="1">
      <alignment horizontal="center" vertical="center"/>
      <protection hidden="1"/>
    </xf>
    <xf numFmtId="37" fontId="52" fillId="0" borderId="24" xfId="4" applyNumberFormat="1" applyFont="1" applyBorder="1" applyAlignment="1" applyProtection="1">
      <alignment horizontal="center" vertical="center"/>
      <protection hidden="1"/>
    </xf>
    <xf numFmtId="0" fontId="52" fillId="0" borderId="22" xfId="0" applyFont="1" applyBorder="1" applyAlignment="1" applyProtection="1">
      <alignment horizontal="center" vertical="center"/>
      <protection hidden="1"/>
    </xf>
    <xf numFmtId="0" fontId="52" fillId="0" borderId="24" xfId="0" applyFont="1" applyBorder="1" applyAlignment="1" applyProtection="1">
      <alignment horizontal="center" vertical="center"/>
      <protection hidden="1"/>
    </xf>
    <xf numFmtId="0" fontId="52" fillId="10" borderId="0" xfId="0" applyFont="1" applyFill="1" applyAlignment="1" applyProtection="1">
      <alignment horizontal="center"/>
      <protection hidden="1"/>
    </xf>
    <xf numFmtId="49" fontId="52" fillId="10" borderId="0" xfId="0" applyNumberFormat="1" applyFont="1" applyFill="1" applyAlignment="1" applyProtection="1">
      <alignment horizontal="center"/>
      <protection hidden="1"/>
    </xf>
    <xf numFmtId="0" fontId="52" fillId="10" borderId="22" xfId="0" applyFont="1" applyFill="1" applyBorder="1" applyAlignment="1" applyProtection="1">
      <alignment horizontal="center"/>
      <protection locked="0" hidden="1"/>
    </xf>
    <xf numFmtId="0" fontId="52" fillId="10" borderId="30" xfId="0" applyFont="1" applyFill="1" applyBorder="1" applyAlignment="1" applyProtection="1">
      <alignment horizontal="center"/>
      <protection locked="0" hidden="1"/>
    </xf>
    <xf numFmtId="0" fontId="52" fillId="10" borderId="24" xfId="0" applyFont="1" applyFill="1" applyBorder="1" applyAlignment="1" applyProtection="1">
      <alignment horizontal="center"/>
      <protection locked="0" hidden="1"/>
    </xf>
    <xf numFmtId="1" fontId="52" fillId="6" borderId="22" xfId="0" applyNumberFormat="1" applyFont="1" applyFill="1" applyBorder="1" applyAlignment="1" applyProtection="1">
      <alignment horizontal="center"/>
      <protection locked="0" hidden="1"/>
    </xf>
    <xf numFmtId="1" fontId="52" fillId="6" borderId="30" xfId="0" applyNumberFormat="1" applyFont="1" applyFill="1" applyBorder="1" applyAlignment="1" applyProtection="1">
      <alignment horizontal="center"/>
      <protection locked="0" hidden="1"/>
    </xf>
    <xf numFmtId="1" fontId="52" fillId="6" borderId="24" xfId="0" applyNumberFormat="1" applyFont="1" applyFill="1" applyBorder="1" applyAlignment="1" applyProtection="1">
      <alignment horizontal="center"/>
      <protection locked="0" hidden="1"/>
    </xf>
    <xf numFmtId="0" fontId="94" fillId="10" borderId="0" xfId="0" applyFont="1" applyFill="1" applyAlignment="1" applyProtection="1">
      <alignment horizontal="center" vertical="center" wrapText="1"/>
      <protection hidden="1"/>
    </xf>
    <xf numFmtId="0" fontId="94" fillId="10" borderId="0" xfId="0" applyFont="1" applyFill="1" applyAlignment="1" applyProtection="1">
      <alignment horizontal="center" vertical="center"/>
      <protection hidden="1"/>
    </xf>
    <xf numFmtId="0" fontId="52" fillId="6" borderId="30" xfId="0" applyFont="1" applyFill="1" applyBorder="1" applyAlignment="1">
      <alignment vertical="center"/>
    </xf>
    <xf numFmtId="0" fontId="52" fillId="10" borderId="3" xfId="0" applyFont="1" applyFill="1" applyBorder="1" applyAlignment="1" applyProtection="1">
      <alignment horizontal="center"/>
      <protection hidden="1"/>
    </xf>
    <xf numFmtId="0" fontId="52" fillId="0" borderId="3" xfId="0" applyFont="1" applyBorder="1" applyAlignment="1" applyProtection="1">
      <alignment horizontal="center"/>
      <protection hidden="1"/>
    </xf>
    <xf numFmtId="0" fontId="52" fillId="10" borderId="1" xfId="0" applyFont="1" applyFill="1" applyBorder="1" applyAlignment="1" applyProtection="1">
      <alignment horizontal="center"/>
      <protection locked="0" hidden="1"/>
    </xf>
    <xf numFmtId="0" fontId="94" fillId="6" borderId="22" xfId="0" applyFont="1" applyFill="1" applyBorder="1" applyAlignment="1" applyProtection="1">
      <alignment horizontal="center" vertical="center" wrapText="1"/>
      <protection locked="0" hidden="1"/>
    </xf>
    <xf numFmtId="0" fontId="94" fillId="6" borderId="24" xfId="0" applyFont="1" applyFill="1" applyBorder="1" applyAlignment="1" applyProtection="1">
      <alignment horizontal="center" vertical="center" wrapText="1"/>
      <protection locked="0" hidden="1"/>
    </xf>
    <xf numFmtId="0" fontId="94" fillId="0" borderId="22" xfId="0" applyFont="1" applyBorder="1" applyAlignment="1" applyProtection="1">
      <alignment horizontal="center" vertical="center"/>
      <protection locked="0" hidden="1"/>
    </xf>
    <xf numFmtId="0" fontId="94" fillId="0" borderId="24" xfId="0" applyFont="1" applyBorder="1" applyAlignment="1" applyProtection="1">
      <alignment horizontal="center" vertical="center"/>
      <protection locked="0" hidden="1"/>
    </xf>
    <xf numFmtId="0" fontId="94" fillId="0" borderId="22" xfId="0" applyFont="1" applyBorder="1" applyAlignment="1" applyProtection="1">
      <alignment horizontal="center" vertical="center" wrapText="1"/>
      <protection locked="0" hidden="1"/>
    </xf>
    <xf numFmtId="0" fontId="94" fillId="0" borderId="24" xfId="0" applyFont="1" applyBorder="1" applyAlignment="1" applyProtection="1">
      <alignment horizontal="center" vertical="center" wrapText="1"/>
      <protection locked="0" hidden="1"/>
    </xf>
    <xf numFmtId="0" fontId="94" fillId="10" borderId="3" xfId="0" applyFont="1" applyFill="1" applyBorder="1" applyAlignment="1" applyProtection="1">
      <alignment horizontal="center" vertical="center" wrapText="1"/>
      <protection hidden="1"/>
    </xf>
    <xf numFmtId="1" fontId="52" fillId="10" borderId="22" xfId="0" applyNumberFormat="1" applyFont="1" applyFill="1" applyBorder="1" applyAlignment="1" applyProtection="1">
      <alignment horizontal="center"/>
      <protection locked="0" hidden="1"/>
    </xf>
    <xf numFmtId="1" fontId="52" fillId="10" borderId="24" xfId="0" applyNumberFormat="1" applyFont="1" applyFill="1" applyBorder="1" applyAlignment="1" applyProtection="1">
      <alignment horizontal="center"/>
      <protection locked="0" hidden="1"/>
    </xf>
    <xf numFmtId="0" fontId="95" fillId="6" borderId="1" xfId="0" applyFont="1" applyFill="1" applyBorder="1" applyAlignment="1" applyProtection="1">
      <alignment horizontal="center"/>
      <protection locked="0" hidden="1"/>
    </xf>
    <xf numFmtId="0" fontId="94" fillId="10" borderId="3" xfId="0" applyFont="1" applyFill="1" applyBorder="1" applyAlignment="1" applyProtection="1">
      <alignment horizontal="center" vertical="center"/>
      <protection hidden="1"/>
    </xf>
    <xf numFmtId="0" fontId="94" fillId="10" borderId="3" xfId="0" applyFont="1" applyFill="1" applyBorder="1" applyAlignment="1" applyProtection="1">
      <alignment horizontal="left"/>
      <protection hidden="1"/>
    </xf>
    <xf numFmtId="0" fontId="94" fillId="10" borderId="30" xfId="0" applyFont="1" applyFill="1" applyBorder="1" applyProtection="1">
      <protection hidden="1"/>
    </xf>
    <xf numFmtId="0" fontId="94" fillId="10" borderId="3" xfId="0" applyFont="1" applyFill="1" applyBorder="1" applyProtection="1">
      <protection hidden="1"/>
    </xf>
    <xf numFmtId="165" fontId="94" fillId="10" borderId="3" xfId="0" applyNumberFormat="1" applyFont="1" applyFill="1" applyBorder="1" applyAlignment="1" applyProtection="1">
      <alignment horizontal="left"/>
      <protection hidden="1"/>
    </xf>
    <xf numFmtId="0" fontId="94" fillId="6" borderId="3" xfId="0" applyFont="1" applyFill="1" applyBorder="1" applyProtection="1">
      <protection locked="0"/>
    </xf>
    <xf numFmtId="0" fontId="94" fillId="6" borderId="3" xfId="0" applyFont="1" applyFill="1" applyBorder="1" applyAlignment="1" applyProtection="1">
      <alignment horizontal="center"/>
      <protection locked="0"/>
    </xf>
    <xf numFmtId="0" fontId="94" fillId="10" borderId="30" xfId="0" applyFont="1" applyFill="1" applyBorder="1" applyAlignment="1" applyProtection="1">
      <alignment horizontal="left"/>
      <protection hidden="1"/>
    </xf>
    <xf numFmtId="0" fontId="94" fillId="6" borderId="22" xfId="0" applyFont="1" applyFill="1" applyBorder="1" applyAlignment="1" applyProtection="1">
      <alignment horizontal="center" vertical="center" wrapText="1"/>
      <protection hidden="1"/>
    </xf>
    <xf numFmtId="0" fontId="94" fillId="6" borderId="24" xfId="0" applyFont="1" applyFill="1" applyBorder="1" applyAlignment="1" applyProtection="1">
      <alignment horizontal="center" vertical="center" wrapText="1"/>
      <protection hidden="1"/>
    </xf>
    <xf numFmtId="0" fontId="94" fillId="6" borderId="22" xfId="0" applyFont="1" applyFill="1" applyBorder="1" applyAlignment="1" applyProtection="1">
      <alignment horizontal="center" vertical="center"/>
      <protection hidden="1"/>
    </xf>
    <xf numFmtId="0" fontId="94" fillId="6" borderId="24" xfId="0" applyFont="1" applyFill="1" applyBorder="1" applyAlignment="1" applyProtection="1">
      <alignment horizontal="center" vertical="center"/>
      <protection hidden="1"/>
    </xf>
    <xf numFmtId="0" fontId="94" fillId="6" borderId="22" xfId="0" applyFont="1" applyFill="1" applyBorder="1" applyAlignment="1" applyProtection="1">
      <alignment horizontal="left" vertical="center" wrapText="1"/>
      <protection hidden="1"/>
    </xf>
    <xf numFmtId="0" fontId="94" fillId="6" borderId="24" xfId="0" applyFont="1" applyFill="1" applyBorder="1" applyAlignment="1" applyProtection="1">
      <alignment horizontal="left" vertical="center" wrapText="1"/>
      <protection hidden="1"/>
    </xf>
    <xf numFmtId="0" fontId="94" fillId="6" borderId="22" xfId="0" applyFont="1" applyFill="1" applyBorder="1" applyAlignment="1" applyProtection="1">
      <alignment horizontal="center" vertical="center" wrapText="1"/>
      <protection locked="0"/>
    </xf>
    <xf numFmtId="0" fontId="94" fillId="6" borderId="24" xfId="0" applyFont="1" applyFill="1" applyBorder="1" applyAlignment="1" applyProtection="1">
      <alignment horizontal="center" vertical="center" wrapText="1"/>
      <protection locked="0"/>
    </xf>
    <xf numFmtId="0" fontId="94" fillId="6" borderId="22" xfId="0" applyFont="1" applyFill="1" applyBorder="1" applyAlignment="1" applyProtection="1">
      <alignment horizontal="left" vertical="center" wrapText="1"/>
      <protection locked="0"/>
    </xf>
    <xf numFmtId="0" fontId="94" fillId="6" borderId="24" xfId="0" applyFont="1" applyFill="1" applyBorder="1" applyAlignment="1" applyProtection="1">
      <alignment horizontal="left" vertical="center" wrapText="1"/>
      <protection locked="0"/>
    </xf>
    <xf numFmtId="0" fontId="94" fillId="6" borderId="22" xfId="0" applyFont="1" applyFill="1" applyBorder="1" applyAlignment="1" applyProtection="1">
      <alignment horizontal="center" vertical="center"/>
      <protection locked="0"/>
    </xf>
    <xf numFmtId="0" fontId="94" fillId="6" borderId="24" xfId="0" applyFont="1" applyFill="1" applyBorder="1" applyAlignment="1" applyProtection="1">
      <alignment horizontal="center" vertical="center"/>
      <protection locked="0"/>
    </xf>
    <xf numFmtId="0" fontId="96" fillId="10" borderId="0" xfId="0" applyFont="1" applyFill="1" applyAlignment="1" applyProtection="1">
      <alignment horizontal="center" vertical="center"/>
      <protection hidden="1"/>
    </xf>
    <xf numFmtId="0" fontId="96" fillId="10" borderId="0" xfId="0" applyFont="1" applyFill="1" applyAlignment="1" applyProtection="1">
      <alignment horizontal="right" vertical="center"/>
      <protection hidden="1"/>
    </xf>
    <xf numFmtId="0" fontId="62" fillId="10" borderId="2" xfId="0" applyFont="1" applyFill="1" applyBorder="1" applyAlignment="1" applyProtection="1">
      <alignment horizontal="center" vertical="center"/>
      <protection hidden="1"/>
    </xf>
    <xf numFmtId="0" fontId="52" fillId="6" borderId="30" xfId="0" applyFont="1" applyFill="1" applyBorder="1" applyAlignment="1" applyProtection="1">
      <alignment vertical="center"/>
      <protection locked="0"/>
    </xf>
    <xf numFmtId="0" fontId="94" fillId="6" borderId="30" xfId="0" applyFont="1" applyFill="1" applyBorder="1" applyAlignment="1" applyProtection="1">
      <alignment horizontal="center" vertical="center" wrapText="1"/>
      <protection hidden="1"/>
    </xf>
    <xf numFmtId="49" fontId="52" fillId="6" borderId="30" xfId="0" applyNumberFormat="1" applyFont="1" applyFill="1" applyBorder="1" applyProtection="1">
      <protection locked="0"/>
    </xf>
    <xf numFmtId="0" fontId="52" fillId="6" borderId="30" xfId="0" applyFont="1" applyFill="1" applyBorder="1" applyProtection="1">
      <protection locked="0"/>
    </xf>
    <xf numFmtId="49" fontId="52" fillId="6" borderId="3" xfId="0" applyNumberFormat="1" applyFont="1" applyFill="1" applyBorder="1" applyProtection="1">
      <protection locked="0"/>
    </xf>
    <xf numFmtId="14" fontId="52" fillId="6" borderId="3" xfId="0" applyNumberFormat="1" applyFont="1" applyFill="1" applyBorder="1" applyProtection="1">
      <protection locked="0"/>
    </xf>
    <xf numFmtId="0" fontId="86" fillId="0" borderId="73" xfId="0" applyFont="1" applyBorder="1" applyAlignment="1" applyProtection="1">
      <alignment horizontal="center" vertical="center"/>
      <protection hidden="1"/>
    </xf>
    <xf numFmtId="0" fontId="150" fillId="43" borderId="4" xfId="109" applyFont="1" applyFill="1" applyBorder="1" applyAlignment="1" applyProtection="1">
      <alignment horizontal="center" vertical="center" wrapText="1"/>
      <protection hidden="1"/>
    </xf>
    <xf numFmtId="0" fontId="150" fillId="43" borderId="14" xfId="109" applyFont="1" applyFill="1" applyBorder="1" applyAlignment="1" applyProtection="1">
      <alignment horizontal="center" vertical="center" wrapText="1"/>
      <protection hidden="1"/>
    </xf>
    <xf numFmtId="0" fontId="150" fillId="43" borderId="6" xfId="109" applyFont="1" applyFill="1" applyBorder="1" applyAlignment="1" applyProtection="1">
      <alignment horizontal="center" vertical="center" wrapText="1"/>
      <protection hidden="1"/>
    </xf>
    <xf numFmtId="0" fontId="150" fillId="43" borderId="10" xfId="109" applyFont="1" applyFill="1" applyBorder="1" applyAlignment="1" applyProtection="1">
      <alignment horizontal="center" vertical="center" wrapText="1"/>
      <protection hidden="1"/>
    </xf>
    <xf numFmtId="0" fontId="145" fillId="43" borderId="22" xfId="0" applyFont="1" applyFill="1" applyBorder="1" applyAlignment="1" applyProtection="1">
      <alignment horizontal="center"/>
      <protection hidden="1"/>
    </xf>
    <xf numFmtId="0" fontId="145" fillId="43" borderId="30" xfId="0" applyFont="1" applyFill="1" applyBorder="1" applyAlignment="1" applyProtection="1">
      <alignment horizontal="center"/>
      <protection hidden="1"/>
    </xf>
    <xf numFmtId="0" fontId="145" fillId="43" borderId="24" xfId="0" applyFont="1" applyFill="1" applyBorder="1" applyAlignment="1" applyProtection="1">
      <alignment horizontal="center"/>
      <protection hidden="1"/>
    </xf>
    <xf numFmtId="165" fontId="155" fillId="10" borderId="0" xfId="108" applyNumberFormat="1" applyFont="1" applyFill="1" applyAlignment="1" applyProtection="1">
      <alignment horizontal="left"/>
      <protection hidden="1"/>
    </xf>
    <xf numFmtId="0" fontId="76" fillId="0" borderId="22" xfId="0" applyFont="1" applyBorder="1" applyProtection="1">
      <protection hidden="1"/>
    </xf>
    <xf numFmtId="0" fontId="76" fillId="0" borderId="24" xfId="0" applyFont="1" applyBorder="1" applyProtection="1">
      <protection hidden="1"/>
    </xf>
    <xf numFmtId="0" fontId="76" fillId="6" borderId="22" xfId="0" applyFont="1" applyFill="1" applyBorder="1" applyProtection="1">
      <protection locked="0"/>
    </xf>
    <xf numFmtId="0" fontId="76" fillId="6" borderId="30" xfId="0" applyFont="1" applyFill="1" applyBorder="1" applyProtection="1">
      <protection locked="0"/>
    </xf>
    <xf numFmtId="0" fontId="76" fillId="6" borderId="24" xfId="0" applyFont="1" applyFill="1" applyBorder="1" applyProtection="1">
      <protection locked="0"/>
    </xf>
    <xf numFmtId="0" fontId="29" fillId="3" borderId="22" xfId="0" applyFont="1" applyFill="1" applyBorder="1" applyAlignment="1" applyProtection="1">
      <alignment horizontal="center" vertical="center" wrapText="1"/>
      <protection hidden="1"/>
    </xf>
    <xf numFmtId="0" fontId="29" fillId="3" borderId="24" xfId="0" applyFont="1" applyFill="1" applyBorder="1" applyAlignment="1" applyProtection="1">
      <alignment horizontal="center" vertical="center" wrapText="1"/>
      <protection hidden="1"/>
    </xf>
    <xf numFmtId="0" fontId="29" fillId="3" borderId="30" xfId="0" applyFont="1" applyFill="1" applyBorder="1" applyAlignment="1" applyProtection="1">
      <alignment horizontal="center" vertical="center" wrapText="1"/>
      <protection hidden="1"/>
    </xf>
    <xf numFmtId="0" fontId="76" fillId="6" borderId="22" xfId="0" applyFont="1" applyFill="1" applyBorder="1" applyAlignment="1" applyProtection="1">
      <alignment horizontal="center"/>
      <protection locked="0"/>
    </xf>
    <xf numFmtId="0" fontId="76" fillId="6" borderId="30" xfId="0" applyFont="1" applyFill="1" applyBorder="1" applyAlignment="1" applyProtection="1">
      <alignment horizontal="center"/>
      <protection locked="0"/>
    </xf>
    <xf numFmtId="0" fontId="76" fillId="6" borderId="24" xfId="0" applyFont="1" applyFill="1" applyBorder="1" applyAlignment="1" applyProtection="1">
      <alignment horizontal="center"/>
      <protection locked="0"/>
    </xf>
    <xf numFmtId="0" fontId="76" fillId="0" borderId="3" xfId="0" applyFont="1" applyBorder="1" applyAlignment="1" applyProtection="1">
      <alignment horizontal="left"/>
      <protection hidden="1"/>
    </xf>
    <xf numFmtId="0" fontId="76" fillId="6" borderId="3" xfId="0" applyFont="1" applyFill="1" applyBorder="1" applyAlignment="1" applyProtection="1">
      <alignment horizontal="center"/>
      <protection locked="0"/>
    </xf>
    <xf numFmtId="0" fontId="76" fillId="6" borderId="3" xfId="0" applyFont="1" applyFill="1" applyBorder="1" applyProtection="1">
      <protection locked="0"/>
    </xf>
    <xf numFmtId="0" fontId="95" fillId="0" borderId="22" xfId="0" applyFont="1" applyBorder="1" applyAlignment="1" applyProtection="1">
      <alignment horizontal="center"/>
      <protection hidden="1"/>
    </xf>
    <xf numFmtId="0" fontId="95" fillId="0" borderId="30" xfId="0" applyFont="1" applyBorder="1" applyAlignment="1" applyProtection="1">
      <alignment horizontal="center"/>
      <protection hidden="1"/>
    </xf>
    <xf numFmtId="0" fontId="95" fillId="0" borderId="24" xfId="0" applyFont="1" applyBorder="1" applyAlignment="1" applyProtection="1">
      <alignment horizontal="center"/>
      <protection hidden="1"/>
    </xf>
    <xf numFmtId="0" fontId="62" fillId="0" borderId="0" xfId="0" applyFont="1" applyAlignment="1" applyProtection="1">
      <alignment horizontal="center" vertical="center"/>
      <protection hidden="1"/>
    </xf>
    <xf numFmtId="167" fontId="98" fillId="43" borderId="1" xfId="60" applyNumberFormat="1" applyFont="1" applyFill="1" applyBorder="1" applyAlignment="1">
      <alignment horizontal="center" vertical="center" wrapText="1"/>
    </xf>
    <xf numFmtId="166" fontId="0" fillId="0" borderId="22" xfId="0" applyNumberFormat="1" applyBorder="1" applyAlignment="1" applyProtection="1">
      <alignment horizontal="center"/>
      <protection hidden="1"/>
    </xf>
    <xf numFmtId="0" fontId="62" fillId="10" borderId="0" xfId="0" applyFont="1" applyFill="1" applyAlignment="1" applyProtection="1">
      <alignment horizontal="center"/>
      <protection hidden="1"/>
    </xf>
    <xf numFmtId="0" fontId="94" fillId="0" borderId="3" xfId="0" applyFont="1" applyBorder="1" applyProtection="1">
      <protection locked="0"/>
    </xf>
    <xf numFmtId="0" fontId="94" fillId="0" borderId="30" xfId="0" applyFont="1" applyBorder="1" applyProtection="1">
      <protection locked="0"/>
    </xf>
    <xf numFmtId="0" fontId="0" fillId="0" borderId="0" xfId="0" applyAlignment="1">
      <alignment horizontal="left"/>
    </xf>
    <xf numFmtId="4" fontId="94" fillId="6" borderId="1" xfId="0" applyNumberFormat="1" applyFont="1" applyFill="1" applyBorder="1" applyAlignment="1" applyProtection="1">
      <alignment horizontal="center" wrapText="1"/>
      <protection locked="0"/>
    </xf>
    <xf numFmtId="0" fontId="79" fillId="0" borderId="0" xfId="0" applyFont="1" applyAlignment="1">
      <alignment horizontal="center" vertical="center" wrapText="1"/>
    </xf>
    <xf numFmtId="0" fontId="79" fillId="0" borderId="3" xfId="0" applyFont="1" applyBorder="1" applyAlignment="1">
      <alignment horizontal="center" vertical="center" wrapText="1"/>
    </xf>
    <xf numFmtId="0" fontId="192" fillId="0" borderId="0" xfId="0" applyFont="1" applyAlignment="1" applyProtection="1">
      <alignment horizontal="left" vertical="center" wrapText="1"/>
      <protection hidden="1"/>
    </xf>
    <xf numFmtId="0" fontId="201" fillId="0" borderId="0" xfId="0" applyFont="1" applyAlignment="1" applyProtection="1">
      <alignment horizontal="left" vertical="center" wrapText="1"/>
      <protection hidden="1"/>
    </xf>
    <xf numFmtId="0" fontId="0" fillId="0" borderId="0" xfId="0" applyProtection="1">
      <protection hidden="1"/>
    </xf>
    <xf numFmtId="0" fontId="29" fillId="0" borderId="0" xfId="0" applyFont="1" applyAlignment="1" applyProtection="1">
      <alignment horizontal="center" vertical="center" wrapText="1"/>
      <protection hidden="1"/>
    </xf>
    <xf numFmtId="0" fontId="16" fillId="0" borderId="0" xfId="0" applyFont="1" applyAlignment="1" applyProtection="1">
      <alignment vertical="center"/>
      <protection hidden="1"/>
    </xf>
    <xf numFmtId="0" fontId="76" fillId="6" borderId="10" xfId="0" applyFont="1" applyFill="1" applyBorder="1" applyProtection="1">
      <protection locked="0"/>
    </xf>
    <xf numFmtId="169" fontId="2" fillId="6" borderId="22" xfId="4" applyNumberFormat="1" applyFont="1" applyFill="1" applyBorder="1" applyAlignment="1" applyProtection="1">
      <alignment horizontal="center" vertical="center" wrapText="1"/>
      <protection locked="0"/>
    </xf>
    <xf numFmtId="169" fontId="2" fillId="6" borderId="24" xfId="4" applyNumberFormat="1" applyFont="1" applyFill="1" applyBorder="1" applyAlignment="1" applyProtection="1">
      <alignment horizontal="center" vertical="center" wrapText="1"/>
      <protection locked="0"/>
    </xf>
    <xf numFmtId="0" fontId="5" fillId="0" borderId="0" xfId="0" applyFont="1" applyAlignment="1">
      <alignment horizontal="left" vertical="center" wrapText="1"/>
    </xf>
    <xf numFmtId="167" fontId="98" fillId="43" borderId="22" xfId="60" applyNumberFormat="1" applyFont="1" applyFill="1" applyBorder="1" applyAlignment="1">
      <alignment horizontal="center" vertical="center" wrapText="1"/>
    </xf>
    <xf numFmtId="167" fontId="98" fillId="43" borderId="24" xfId="60" applyNumberFormat="1" applyFont="1" applyFill="1" applyBorder="1" applyAlignment="1">
      <alignment horizontal="center" vertical="center" wrapText="1"/>
    </xf>
    <xf numFmtId="0" fontId="86" fillId="0" borderId="74" xfId="0" applyFont="1" applyBorder="1" applyAlignment="1" applyProtection="1">
      <alignment horizontal="center" wrapText="1"/>
      <protection hidden="1"/>
    </xf>
    <xf numFmtId="0" fontId="90" fillId="0" borderId="0" xfId="0" applyFont="1" applyAlignment="1" applyProtection="1">
      <alignment horizontal="left" vertical="center"/>
      <protection hidden="1"/>
    </xf>
    <xf numFmtId="0" fontId="96" fillId="0" borderId="1" xfId="0" applyFont="1" applyBorder="1" applyAlignment="1">
      <alignment horizontal="right"/>
    </xf>
    <xf numFmtId="0" fontId="15" fillId="0" borderId="22" xfId="0" applyFont="1" applyBorder="1" applyAlignment="1" applyProtection="1">
      <alignment horizontal="right" wrapText="1"/>
      <protection hidden="1"/>
    </xf>
    <xf numFmtId="0" fontId="15" fillId="0" borderId="30" xfId="0" applyFont="1" applyBorder="1" applyAlignment="1" applyProtection="1">
      <alignment horizontal="right" wrapText="1"/>
      <protection hidden="1"/>
    </xf>
    <xf numFmtId="0" fontId="15" fillId="0" borderId="24" xfId="0" applyFont="1" applyBorder="1" applyAlignment="1" applyProtection="1">
      <alignment horizontal="right" wrapText="1"/>
      <protection hidden="1"/>
    </xf>
    <xf numFmtId="0" fontId="52" fillId="6" borderId="1" xfId="0" applyFont="1" applyFill="1" applyBorder="1" applyAlignment="1" applyProtection="1">
      <alignment horizontal="center"/>
      <protection locked="0"/>
    </xf>
    <xf numFmtId="0" fontId="2" fillId="0" borderId="4" xfId="0" applyFont="1" applyBorder="1" applyAlignment="1" applyProtection="1">
      <alignment horizontal="center" vertical="center"/>
      <protection hidden="1"/>
    </xf>
    <xf numFmtId="0" fontId="2" fillId="0" borderId="14" xfId="0" applyFont="1" applyBorder="1" applyAlignment="1" applyProtection="1">
      <alignment horizontal="center" vertical="center"/>
      <protection hidden="1"/>
    </xf>
    <xf numFmtId="0" fontId="2" fillId="0" borderId="6" xfId="0" applyFont="1" applyBorder="1" applyAlignment="1" applyProtection="1">
      <alignment horizontal="center" vertical="center"/>
      <protection hidden="1"/>
    </xf>
    <xf numFmtId="0" fontId="2" fillId="0" borderId="10" xfId="0" applyFont="1" applyBorder="1" applyAlignment="1" applyProtection="1">
      <alignment horizontal="center" vertical="center"/>
      <protection hidden="1"/>
    </xf>
    <xf numFmtId="166" fontId="2" fillId="0" borderId="22" xfId="147" applyNumberFormat="1" applyFont="1" applyBorder="1" applyAlignment="1" applyProtection="1">
      <alignment horizontal="center" vertical="center"/>
      <protection hidden="1"/>
    </xf>
    <xf numFmtId="166" fontId="2" fillId="0" borderId="24" xfId="147" applyNumberFormat="1" applyFont="1" applyBorder="1" applyAlignment="1" applyProtection="1">
      <alignment horizontal="center" vertical="center"/>
      <protection hidden="1"/>
    </xf>
    <xf numFmtId="0" fontId="52" fillId="0" borderId="1" xfId="0" applyFont="1" applyBorder="1" applyAlignment="1" applyProtection="1">
      <alignment horizontal="center" vertical="center"/>
      <protection hidden="1"/>
    </xf>
    <xf numFmtId="166" fontId="2" fillId="0" borderId="1" xfId="147" applyNumberFormat="1" applyFont="1" applyBorder="1" applyAlignment="1" applyProtection="1">
      <alignment horizontal="center" vertical="center"/>
      <protection hidden="1"/>
    </xf>
    <xf numFmtId="0" fontId="52" fillId="6" borderId="1" xfId="0" applyFont="1" applyFill="1" applyBorder="1" applyAlignment="1" applyProtection="1">
      <alignment horizontal="center" vertical="center"/>
      <protection locked="0"/>
    </xf>
    <xf numFmtId="0" fontId="52" fillId="6" borderId="22" xfId="0" applyFont="1" applyFill="1" applyBorder="1" applyAlignment="1" applyProtection="1">
      <alignment horizontal="center"/>
      <protection locked="0"/>
    </xf>
    <xf numFmtId="0" fontId="52" fillId="6" borderId="24" xfId="0" applyFont="1" applyFill="1" applyBorder="1" applyAlignment="1" applyProtection="1">
      <alignment horizontal="center"/>
      <protection locked="0"/>
    </xf>
    <xf numFmtId="0" fontId="2" fillId="0" borderId="5" xfId="0" applyFont="1" applyBorder="1" applyAlignment="1" applyProtection="1">
      <alignment horizontal="center" vertical="center"/>
      <protection hidden="1"/>
    </xf>
    <xf numFmtId="0" fontId="2" fillId="0" borderId="9" xfId="0" applyFont="1" applyBorder="1" applyAlignment="1" applyProtection="1">
      <alignment horizontal="center" vertical="center"/>
      <protection hidden="1"/>
    </xf>
    <xf numFmtId="0" fontId="2" fillId="0" borderId="22" xfId="0" applyFont="1" applyBorder="1" applyAlignment="1" applyProtection="1">
      <alignment horizontal="center"/>
      <protection hidden="1"/>
    </xf>
    <xf numFmtId="0" fontId="2" fillId="0" borderId="24" xfId="0" applyFont="1" applyBorder="1" applyAlignment="1" applyProtection="1">
      <alignment horizontal="center"/>
      <protection hidden="1"/>
    </xf>
    <xf numFmtId="0" fontId="94" fillId="6" borderId="22" xfId="0" applyFont="1" applyFill="1" applyBorder="1" applyAlignment="1" applyProtection="1">
      <alignment horizontal="center"/>
      <protection locked="0"/>
    </xf>
    <xf numFmtId="0" fontId="94" fillId="6" borderId="24" xfId="0" applyFont="1" applyFill="1" applyBorder="1" applyAlignment="1" applyProtection="1">
      <alignment horizontal="center"/>
      <protection locked="0"/>
    </xf>
    <xf numFmtId="0" fontId="94" fillId="6" borderId="1" xfId="0" applyFont="1" applyFill="1" applyBorder="1" applyAlignment="1" applyProtection="1">
      <alignment horizontal="center" wrapText="1"/>
      <protection locked="0"/>
    </xf>
    <xf numFmtId="0" fontId="59" fillId="43" borderId="1" xfId="0" applyFont="1" applyFill="1" applyBorder="1" applyAlignment="1" applyProtection="1">
      <alignment horizontal="center" vertical="center"/>
      <protection hidden="1"/>
    </xf>
    <xf numFmtId="0" fontId="94" fillId="0" borderId="1" xfId="0" applyFont="1" applyBorder="1" applyAlignment="1" applyProtection="1">
      <alignment horizontal="center" wrapText="1"/>
      <protection hidden="1"/>
    </xf>
    <xf numFmtId="0" fontId="82" fillId="0" borderId="1" xfId="0" applyFont="1" applyBorder="1" applyAlignment="1" applyProtection="1">
      <alignment horizontal="center"/>
      <protection hidden="1"/>
    </xf>
    <xf numFmtId="0" fontId="253" fillId="6" borderId="0" xfId="0" applyFont="1" applyFill="1" applyAlignment="1" applyProtection="1">
      <alignment horizontal="center" vertical="center"/>
      <protection hidden="1"/>
    </xf>
    <xf numFmtId="0" fontId="96" fillId="0" borderId="30" xfId="0" applyFont="1" applyBorder="1" applyAlignment="1">
      <alignment horizontal="right"/>
    </xf>
    <xf numFmtId="0" fontId="76" fillId="6" borderId="22" xfId="0" applyFont="1" applyFill="1" applyBorder="1" applyAlignment="1" applyProtection="1">
      <alignment horizontal="left"/>
      <protection locked="0"/>
    </xf>
    <xf numFmtId="0" fontId="76" fillId="6" borderId="30" xfId="0" applyFont="1" applyFill="1" applyBorder="1" applyAlignment="1" applyProtection="1">
      <alignment horizontal="left"/>
      <protection locked="0"/>
    </xf>
    <xf numFmtId="0" fontId="76" fillId="6" borderId="24" xfId="0" applyFont="1" applyFill="1" applyBorder="1" applyAlignment="1" applyProtection="1">
      <alignment horizontal="left"/>
      <protection locked="0"/>
    </xf>
    <xf numFmtId="0" fontId="29" fillId="3" borderId="76" xfId="0" applyFont="1" applyFill="1" applyBorder="1" applyAlignment="1" applyProtection="1">
      <alignment horizontal="center" vertical="center" wrapText="1"/>
      <protection hidden="1"/>
    </xf>
    <xf numFmtId="0" fontId="29" fillId="3" borderId="75" xfId="0" applyFont="1" applyFill="1" applyBorder="1" applyAlignment="1" applyProtection="1">
      <alignment horizontal="center" vertical="center" wrapText="1"/>
      <protection hidden="1"/>
    </xf>
    <xf numFmtId="0" fontId="76" fillId="6" borderId="6" xfId="0" applyFont="1" applyFill="1" applyBorder="1" applyAlignment="1" applyProtection="1">
      <alignment horizontal="left"/>
      <protection locked="0"/>
    </xf>
    <xf numFmtId="0" fontId="76" fillId="6" borderId="3" xfId="0" applyFont="1" applyFill="1" applyBorder="1" applyAlignment="1" applyProtection="1">
      <alignment horizontal="left"/>
      <protection locked="0"/>
    </xf>
    <xf numFmtId="0" fontId="76" fillId="6" borderId="10" xfId="0" applyFont="1" applyFill="1" applyBorder="1" applyAlignment="1" applyProtection="1">
      <alignment horizontal="left"/>
      <protection locked="0"/>
    </xf>
    <xf numFmtId="0" fontId="76" fillId="6" borderId="30" xfId="0" applyFont="1" applyFill="1" applyBorder="1" applyAlignment="1" applyProtection="1">
      <alignment horizontal="center"/>
      <protection locked="0" hidden="1"/>
    </xf>
    <xf numFmtId="0" fontId="40" fillId="0" borderId="80" xfId="0" applyFont="1" applyBorder="1" applyAlignment="1" applyProtection="1">
      <alignment horizontal="center" vertical="center"/>
      <protection hidden="1"/>
    </xf>
    <xf numFmtId="0" fontId="40" fillId="0" borderId="0" xfId="0" applyFont="1" applyAlignment="1" applyProtection="1">
      <alignment horizontal="center" vertical="center"/>
      <protection hidden="1"/>
    </xf>
    <xf numFmtId="0" fontId="0" fillId="6" borderId="1" xfId="0" applyFill="1" applyBorder="1" applyAlignment="1" applyProtection="1">
      <alignment vertical="center"/>
      <protection locked="0"/>
    </xf>
    <xf numFmtId="0" fontId="0" fillId="6" borderId="22" xfId="0" applyFill="1" applyBorder="1" applyAlignment="1" applyProtection="1">
      <alignment vertical="center"/>
      <protection locked="0"/>
    </xf>
    <xf numFmtId="0" fontId="0" fillId="6" borderId="24" xfId="0" applyFill="1" applyBorder="1" applyAlignment="1" applyProtection="1">
      <alignment vertical="center"/>
      <protection locked="0"/>
    </xf>
    <xf numFmtId="0" fontId="6" fillId="0" borderId="2" xfId="0" applyFont="1" applyBorder="1" applyAlignment="1" applyProtection="1">
      <alignment horizontal="left" vertical="top" wrapText="1"/>
      <protection hidden="1"/>
    </xf>
    <xf numFmtId="0" fontId="6" fillId="0" borderId="14" xfId="0" applyFont="1" applyBorder="1" applyAlignment="1" applyProtection="1">
      <alignment horizontal="left" vertical="top" wrapText="1"/>
      <protection hidden="1"/>
    </xf>
    <xf numFmtId="0" fontId="6" fillId="0" borderId="0" xfId="0" applyFont="1" applyAlignment="1" applyProtection="1">
      <alignment horizontal="left" vertical="top" wrapText="1"/>
      <protection hidden="1"/>
    </xf>
    <xf numFmtId="0" fontId="6" fillId="0" borderId="9" xfId="0" applyFont="1" applyBorder="1" applyAlignment="1" applyProtection="1">
      <alignment horizontal="left" vertical="top" wrapText="1"/>
      <protection hidden="1"/>
    </xf>
    <xf numFmtId="0" fontId="6" fillId="0" borderId="3" xfId="0" applyFont="1" applyBorder="1" applyAlignment="1" applyProtection="1">
      <alignment horizontal="left" vertical="top" wrapText="1"/>
      <protection hidden="1"/>
    </xf>
    <xf numFmtId="0" fontId="6" fillId="0" borderId="10" xfId="0" applyFont="1" applyBorder="1" applyAlignment="1" applyProtection="1">
      <alignment horizontal="left" vertical="top" wrapText="1"/>
      <protection hidden="1"/>
    </xf>
    <xf numFmtId="0" fontId="0" fillId="6" borderId="30" xfId="0" applyFill="1" applyBorder="1" applyAlignment="1" applyProtection="1">
      <alignment vertical="center"/>
      <protection locked="0"/>
    </xf>
    <xf numFmtId="0" fontId="59" fillId="0" borderId="0" xfId="0" applyFont="1" applyAlignment="1" applyProtection="1">
      <alignment horizontal="center" vertical="center" wrapText="1"/>
      <protection hidden="1"/>
    </xf>
    <xf numFmtId="0" fontId="46" fillId="43" borderId="22" xfId="0" applyFont="1" applyFill="1" applyBorder="1" applyAlignment="1" applyProtection="1">
      <alignment horizontal="center" vertical="center"/>
      <protection hidden="1"/>
    </xf>
    <xf numFmtId="0" fontId="46" fillId="43" borderId="30" xfId="0" applyFont="1" applyFill="1" applyBorder="1" applyAlignment="1" applyProtection="1">
      <alignment horizontal="center" vertical="center"/>
      <protection hidden="1"/>
    </xf>
    <xf numFmtId="0" fontId="46" fillId="43" borderId="24" xfId="0" applyFont="1" applyFill="1" applyBorder="1" applyAlignment="1" applyProtection="1">
      <alignment horizontal="center" vertical="center"/>
      <protection hidden="1"/>
    </xf>
    <xf numFmtId="0" fontId="46" fillId="43" borderId="22" xfId="0" applyFont="1" applyFill="1" applyBorder="1" applyAlignment="1" applyProtection="1">
      <alignment horizontal="center"/>
      <protection hidden="1"/>
    </xf>
    <xf numFmtId="0" fontId="46" fillId="43" borderId="30" xfId="0" applyFont="1" applyFill="1" applyBorder="1" applyAlignment="1" applyProtection="1">
      <alignment horizontal="center"/>
      <protection hidden="1"/>
    </xf>
    <xf numFmtId="0" fontId="46" fillId="43" borderId="24" xfId="0" applyFont="1" applyFill="1" applyBorder="1" applyAlignment="1" applyProtection="1">
      <alignment horizontal="center"/>
      <protection hidden="1"/>
    </xf>
    <xf numFmtId="0" fontId="46" fillId="43" borderId="4" xfId="0" applyFont="1" applyFill="1" applyBorder="1" applyAlignment="1" applyProtection="1">
      <alignment horizontal="center" vertical="center"/>
      <protection hidden="1"/>
    </xf>
    <xf numFmtId="0" fontId="46" fillId="43" borderId="2" xfId="0" applyFont="1" applyFill="1" applyBorder="1" applyAlignment="1" applyProtection="1">
      <alignment horizontal="center" vertical="center"/>
      <protection hidden="1"/>
    </xf>
    <xf numFmtId="0" fontId="46" fillId="43" borderId="14" xfId="0" applyFont="1" applyFill="1" applyBorder="1" applyAlignment="1" applyProtection="1">
      <alignment horizontal="center" vertical="center"/>
      <protection hidden="1"/>
    </xf>
    <xf numFmtId="0" fontId="0" fillId="6" borderId="22" xfId="0" applyFill="1" applyBorder="1" applyAlignment="1" applyProtection="1">
      <alignment horizontal="center" vertical="center"/>
      <protection locked="0"/>
    </xf>
    <xf numFmtId="0" fontId="0" fillId="6" borderId="24" xfId="0" applyFill="1" applyBorder="1" applyAlignment="1" applyProtection="1">
      <alignment horizontal="center" vertical="center"/>
      <protection locked="0"/>
    </xf>
    <xf numFmtId="0" fontId="46" fillId="43" borderId="1" xfId="0" applyFont="1" applyFill="1" applyBorder="1" applyAlignment="1" applyProtection="1">
      <alignment horizontal="center" vertical="center" wrapText="1"/>
      <protection hidden="1"/>
    </xf>
    <xf numFmtId="0" fontId="46" fillId="43" borderId="1" xfId="0" applyFont="1" applyFill="1" applyBorder="1" applyAlignment="1" applyProtection="1">
      <alignment horizontal="center"/>
      <protection hidden="1"/>
    </xf>
    <xf numFmtId="0" fontId="46" fillId="43" borderId="22" xfId="0" applyFont="1" applyFill="1" applyBorder="1" applyAlignment="1" applyProtection="1">
      <alignment horizontal="center" vertical="center" wrapText="1"/>
      <protection hidden="1"/>
    </xf>
    <xf numFmtId="0" fontId="46" fillId="43" borderId="24" xfId="0" applyFont="1" applyFill="1" applyBorder="1" applyAlignment="1" applyProtection="1">
      <alignment horizontal="center" vertical="center" wrapText="1"/>
      <protection hidden="1"/>
    </xf>
    <xf numFmtId="0" fontId="179" fillId="0" borderId="5" xfId="0" applyFont="1" applyBorder="1" applyAlignment="1" applyProtection="1">
      <alignment horizontal="left" vertical="top" wrapText="1"/>
      <protection hidden="1"/>
    </xf>
    <xf numFmtId="0" fontId="179" fillId="0" borderId="0" xfId="0" applyFont="1" applyAlignment="1" applyProtection="1">
      <alignment horizontal="left" vertical="top" wrapText="1"/>
      <protection hidden="1"/>
    </xf>
    <xf numFmtId="6" fontId="0" fillId="0" borderId="22" xfId="0" quotePrefix="1" applyNumberFormat="1" applyBorder="1" applyAlignment="1" applyProtection="1">
      <alignment horizontal="center" vertical="center"/>
      <protection hidden="1"/>
    </xf>
    <xf numFmtId="6" fontId="0" fillId="0" borderId="24" xfId="0" quotePrefix="1" applyNumberFormat="1" applyBorder="1" applyAlignment="1" applyProtection="1">
      <alignment horizontal="center" vertical="center"/>
      <protection hidden="1"/>
    </xf>
    <xf numFmtId="0" fontId="46" fillId="43" borderId="30" xfId="0" applyFont="1" applyFill="1" applyBorder="1" applyAlignment="1" applyProtection="1">
      <alignment horizontal="center" vertical="center" wrapText="1"/>
      <protection hidden="1"/>
    </xf>
    <xf numFmtId="0" fontId="46" fillId="43" borderId="4" xfId="0" applyFont="1" applyFill="1" applyBorder="1" applyAlignment="1" applyProtection="1">
      <alignment horizontal="center" vertical="center" wrapText="1"/>
      <protection hidden="1"/>
    </xf>
    <xf numFmtId="0" fontId="46" fillId="43" borderId="14" xfId="0" applyFont="1" applyFill="1" applyBorder="1" applyAlignment="1" applyProtection="1">
      <alignment horizontal="center" vertical="center" wrapText="1"/>
      <protection hidden="1"/>
    </xf>
    <xf numFmtId="0" fontId="46" fillId="43" borderId="6" xfId="0" applyFont="1" applyFill="1" applyBorder="1" applyAlignment="1" applyProtection="1">
      <alignment horizontal="center" vertical="center" wrapText="1"/>
      <protection hidden="1"/>
    </xf>
    <xf numFmtId="0" fontId="46" fillId="43" borderId="10" xfId="0" applyFont="1" applyFill="1" applyBorder="1" applyAlignment="1" applyProtection="1">
      <alignment horizontal="center" vertical="center" wrapText="1"/>
      <protection hidden="1"/>
    </xf>
    <xf numFmtId="0" fontId="46" fillId="43" borderId="1" xfId="0" applyFont="1" applyFill="1" applyBorder="1" applyAlignment="1" applyProtection="1">
      <alignment horizontal="center" vertical="center"/>
      <protection hidden="1"/>
    </xf>
    <xf numFmtId="0" fontId="181" fillId="43" borderId="22" xfId="0" applyFont="1" applyFill="1" applyBorder="1" applyAlignment="1" applyProtection="1">
      <alignment horizontal="center" vertical="center"/>
      <protection hidden="1"/>
    </xf>
    <xf numFmtId="0" fontId="181" fillId="43" borderId="30" xfId="0" applyFont="1" applyFill="1" applyBorder="1" applyAlignment="1" applyProtection="1">
      <alignment horizontal="center" vertical="center"/>
      <protection hidden="1"/>
    </xf>
    <xf numFmtId="0" fontId="181" fillId="43" borderId="24" xfId="0" applyFont="1" applyFill="1" applyBorder="1" applyAlignment="1" applyProtection="1">
      <alignment horizontal="center" vertical="center"/>
      <protection hidden="1"/>
    </xf>
    <xf numFmtId="0" fontId="55" fillId="44" borderId="0" xfId="0" applyFont="1" applyFill="1" applyAlignment="1" applyProtection="1">
      <alignment horizontal="left"/>
      <protection hidden="1"/>
    </xf>
    <xf numFmtId="0" fontId="181" fillId="43" borderId="1" xfId="0" applyFont="1" applyFill="1" applyBorder="1" applyAlignment="1" applyProtection="1">
      <alignment horizontal="center" vertical="center"/>
      <protection hidden="1"/>
    </xf>
    <xf numFmtId="0" fontId="250" fillId="43" borderId="1" xfId="0" applyFont="1" applyFill="1" applyBorder="1" applyAlignment="1" applyProtection="1">
      <alignment horizontal="center" vertical="center"/>
      <protection hidden="1"/>
    </xf>
    <xf numFmtId="0" fontId="121" fillId="0" borderId="1" xfId="0" applyFont="1" applyBorder="1" applyAlignment="1" applyProtection="1">
      <alignment horizontal="left" vertical="center"/>
      <protection hidden="1"/>
    </xf>
    <xf numFmtId="0" fontId="121" fillId="0" borderId="0" xfId="0" applyFont="1" applyAlignment="1" applyProtection="1">
      <alignment horizontal="left" vertical="center"/>
      <protection hidden="1"/>
    </xf>
    <xf numFmtId="0" fontId="40" fillId="0" borderId="1" xfId="0" applyFont="1" applyBorder="1" applyAlignment="1" applyProtection="1">
      <alignment horizontal="left" vertical="center"/>
      <protection hidden="1"/>
    </xf>
    <xf numFmtId="0" fontId="59" fillId="43" borderId="13" xfId="0" applyFont="1" applyFill="1" applyBorder="1" applyAlignment="1" applyProtection="1">
      <alignment horizontal="center" vertical="center"/>
      <protection hidden="1"/>
    </xf>
    <xf numFmtId="0" fontId="52" fillId="6" borderId="3" xfId="0" applyFont="1" applyFill="1" applyBorder="1" applyAlignment="1" applyProtection="1">
      <alignment vertical="center"/>
      <protection locked="0"/>
    </xf>
    <xf numFmtId="0" fontId="184" fillId="10" borderId="79" xfId="0" applyFont="1" applyFill="1" applyBorder="1" applyAlignment="1">
      <alignment horizontal="left" vertical="center"/>
    </xf>
    <xf numFmtId="14" fontId="52" fillId="6" borderId="3" xfId="0" applyNumberFormat="1" applyFont="1" applyFill="1" applyBorder="1" applyAlignment="1" applyProtection="1">
      <alignment vertical="center"/>
      <protection locked="0"/>
    </xf>
    <xf numFmtId="49" fontId="95" fillId="10" borderId="0" xfId="0" applyNumberFormat="1" applyFont="1" applyFill="1" applyAlignment="1">
      <alignment horizontal="left" vertical="center" wrapText="1"/>
    </xf>
    <xf numFmtId="0" fontId="185" fillId="10" borderId="0" xfId="0" applyFont="1" applyFill="1" applyAlignment="1">
      <alignment horizontal="center" vertical="center"/>
    </xf>
    <xf numFmtId="0" fontId="94" fillId="10" borderId="0" xfId="0" applyFont="1" applyFill="1" applyAlignment="1">
      <alignment horizontal="center" vertical="center"/>
    </xf>
    <xf numFmtId="49" fontId="52" fillId="6" borderId="3" xfId="0" applyNumberFormat="1" applyFont="1" applyFill="1" applyBorder="1" applyAlignment="1" applyProtection="1">
      <alignment vertical="center"/>
      <protection locked="0"/>
    </xf>
    <xf numFmtId="49" fontId="52" fillId="6" borderId="30" xfId="0" applyNumberFormat="1" applyFont="1" applyFill="1" applyBorder="1" applyAlignment="1" applyProtection="1">
      <alignment vertical="center"/>
      <protection locked="0"/>
    </xf>
    <xf numFmtId="0" fontId="52" fillId="6" borderId="3" xfId="0" applyFont="1" applyFill="1" applyBorder="1" applyAlignment="1" applyProtection="1">
      <alignment horizontal="center" vertical="center"/>
      <protection locked="0"/>
    </xf>
    <xf numFmtId="0" fontId="46" fillId="3" borderId="11" xfId="0" applyFont="1" applyFill="1" applyBorder="1" applyAlignment="1">
      <alignment horizontal="center" wrapText="1"/>
    </xf>
    <xf numFmtId="0" fontId="46" fillId="3" borderId="12" xfId="0" applyFont="1" applyFill="1" applyBorder="1" applyAlignment="1">
      <alignment horizontal="center" wrapText="1"/>
    </xf>
    <xf numFmtId="0" fontId="78" fillId="11" borderId="3" xfId="0" applyFont="1" applyFill="1" applyBorder="1" applyAlignment="1">
      <alignment horizontal="center"/>
    </xf>
    <xf numFmtId="0" fontId="78" fillId="11" borderId="10" xfId="0" applyFont="1" applyFill="1" applyBorder="1" applyAlignment="1">
      <alignment horizontal="center"/>
    </xf>
    <xf numFmtId="0" fontId="0" fillId="11" borderId="1" xfId="0" applyFill="1" applyBorder="1" applyAlignment="1">
      <alignment horizontal="center" wrapText="1"/>
    </xf>
    <xf numFmtId="0" fontId="46" fillId="3" borderId="4" xfId="0" applyFont="1" applyFill="1" applyBorder="1" applyAlignment="1">
      <alignment horizontal="center" wrapText="1"/>
    </xf>
    <xf numFmtId="0" fontId="46" fillId="3" borderId="6" xfId="0" applyFont="1" applyFill="1" applyBorder="1" applyAlignment="1">
      <alignment horizontal="center" wrapText="1"/>
    </xf>
    <xf numFmtId="0" fontId="46" fillId="3" borderId="1" xfId="0" applyFont="1" applyFill="1" applyBorder="1" applyAlignment="1">
      <alignment horizontal="center"/>
    </xf>
    <xf numFmtId="0" fontId="46" fillId="3" borderId="13" xfId="0" applyFont="1" applyFill="1" applyBorder="1" applyAlignment="1">
      <alignment horizontal="center" wrapText="1"/>
    </xf>
    <xf numFmtId="0" fontId="49" fillId="10" borderId="59" xfId="3" applyFont="1" applyFill="1" applyBorder="1" applyAlignment="1" applyProtection="1">
      <alignment horizontal="center"/>
      <protection locked="0"/>
    </xf>
    <xf numFmtId="0" fontId="49" fillId="10" borderId="60" xfId="3" applyFont="1" applyFill="1" applyBorder="1" applyAlignment="1" applyProtection="1">
      <alignment horizontal="center"/>
      <protection locked="0"/>
    </xf>
    <xf numFmtId="0" fontId="49" fillId="2" borderId="1" xfId="3" applyFont="1" applyBorder="1" applyAlignment="1" applyProtection="1">
      <alignment horizontal="center"/>
      <protection locked="0"/>
    </xf>
    <xf numFmtId="0" fontId="46" fillId="3" borderId="14" xfId="0" applyFont="1" applyFill="1" applyBorder="1" applyAlignment="1">
      <alignment horizontal="center" wrapText="1"/>
    </xf>
    <xf numFmtId="0" fontId="46" fillId="3" borderId="2" xfId="0" applyFont="1" applyFill="1" applyBorder="1" applyAlignment="1">
      <alignment horizontal="center"/>
    </xf>
    <xf numFmtId="0" fontId="46" fillId="3" borderId="11" xfId="0" applyFont="1" applyFill="1" applyBorder="1" applyAlignment="1">
      <alignment horizontal="center" vertical="center" wrapText="1"/>
    </xf>
    <xf numFmtId="0" fontId="46" fillId="3" borderId="13" xfId="0" applyFont="1" applyFill="1" applyBorder="1" applyAlignment="1">
      <alignment horizontal="center" vertical="center" wrapText="1"/>
    </xf>
    <xf numFmtId="0" fontId="46" fillId="3" borderId="22" xfId="0" applyFont="1" applyFill="1" applyBorder="1" applyAlignment="1">
      <alignment horizontal="center"/>
    </xf>
    <xf numFmtId="0" fontId="46" fillId="3" borderId="30" xfId="0" applyFont="1" applyFill="1" applyBorder="1" applyAlignment="1">
      <alignment horizontal="center"/>
    </xf>
    <xf numFmtId="0" fontId="46" fillId="3" borderId="24" xfId="0" applyFont="1" applyFill="1" applyBorder="1" applyAlignment="1">
      <alignment horizontal="center"/>
    </xf>
    <xf numFmtId="0" fontId="46" fillId="3" borderId="11" xfId="0" applyFont="1" applyFill="1" applyBorder="1" applyAlignment="1">
      <alignment horizontal="center"/>
    </xf>
    <xf numFmtId="0" fontId="46" fillId="3" borderId="13" xfId="0" applyFont="1" applyFill="1" applyBorder="1" applyAlignment="1">
      <alignment horizontal="center"/>
    </xf>
    <xf numFmtId="0" fontId="46" fillId="3" borderId="6" xfId="0" applyFont="1" applyFill="1" applyBorder="1" applyAlignment="1">
      <alignment horizontal="center"/>
    </xf>
    <xf numFmtId="0" fontId="46" fillId="3" borderId="3" xfId="0" applyFont="1" applyFill="1" applyBorder="1" applyAlignment="1">
      <alignment horizontal="center"/>
    </xf>
    <xf numFmtId="0" fontId="46" fillId="3" borderId="10" xfId="0" applyFont="1" applyFill="1" applyBorder="1" applyAlignment="1">
      <alignment horizontal="center"/>
    </xf>
    <xf numFmtId="0" fontId="46" fillId="3" borderId="56" xfId="0" applyFont="1" applyFill="1" applyBorder="1" applyAlignment="1">
      <alignment horizontal="center"/>
    </xf>
    <xf numFmtId="0" fontId="46" fillId="3" borderId="57" xfId="0" applyFont="1" applyFill="1" applyBorder="1" applyAlignment="1">
      <alignment horizontal="center"/>
    </xf>
    <xf numFmtId="0" fontId="46" fillId="3" borderId="58" xfId="0" applyFont="1" applyFill="1" applyBorder="1" applyAlignment="1">
      <alignment horizontal="center"/>
    </xf>
    <xf numFmtId="0" fontId="0" fillId="0" borderId="22" xfId="0" applyBorder="1" applyAlignment="1">
      <alignment horizontal="center"/>
    </xf>
    <xf numFmtId="0" fontId="0" fillId="0" borderId="30" xfId="0" applyBorder="1" applyAlignment="1">
      <alignment horizontal="center"/>
    </xf>
    <xf numFmtId="0" fontId="0" fillId="0" borderId="24" xfId="0" applyBorder="1" applyAlignment="1">
      <alignment horizontal="center"/>
    </xf>
    <xf numFmtId="0" fontId="46" fillId="3" borderId="31" xfId="0" applyFont="1" applyFill="1" applyBorder="1" applyAlignment="1">
      <alignment horizontal="center"/>
    </xf>
    <xf numFmtId="0" fontId="46" fillId="3" borderId="40" xfId="0" applyFont="1" applyFill="1" applyBorder="1" applyAlignment="1">
      <alignment horizontal="center"/>
    </xf>
    <xf numFmtId="0" fontId="46" fillId="3" borderId="32" xfId="0" applyFont="1" applyFill="1" applyBorder="1" applyAlignment="1">
      <alignment horizontal="center"/>
    </xf>
    <xf numFmtId="0" fontId="44" fillId="3" borderId="4" xfId="0" applyFont="1" applyFill="1" applyBorder="1" applyAlignment="1">
      <alignment horizontal="center"/>
    </xf>
    <xf numFmtId="0" fontId="44" fillId="3" borderId="2" xfId="0" applyFont="1" applyFill="1" applyBorder="1" applyAlignment="1">
      <alignment horizontal="center"/>
    </xf>
    <xf numFmtId="0" fontId="46" fillId="3" borderId="14" xfId="0" applyFont="1" applyFill="1" applyBorder="1" applyAlignment="1">
      <alignment horizontal="center"/>
    </xf>
    <xf numFmtId="0" fontId="46" fillId="3" borderId="1" xfId="0" applyFont="1" applyFill="1" applyBorder="1" applyAlignment="1">
      <alignment horizontal="center" vertical="center" wrapText="1"/>
    </xf>
    <xf numFmtId="0" fontId="46" fillId="3" borderId="4" xfId="0" applyFont="1" applyFill="1" applyBorder="1" applyAlignment="1">
      <alignment horizontal="center" vertical="center" wrapText="1"/>
    </xf>
    <xf numFmtId="0" fontId="46" fillId="3" borderId="14" xfId="0" applyFont="1" applyFill="1" applyBorder="1" applyAlignment="1">
      <alignment horizontal="center" vertical="center" wrapText="1"/>
    </xf>
    <xf numFmtId="0" fontId="46" fillId="3" borderId="6" xfId="0" applyFont="1" applyFill="1" applyBorder="1" applyAlignment="1">
      <alignment horizontal="center" vertical="center" wrapText="1"/>
    </xf>
    <xf numFmtId="0" fontId="46" fillId="3" borderId="10" xfId="0" applyFont="1" applyFill="1" applyBorder="1" applyAlignment="1">
      <alignment horizontal="center" vertical="center" wrapText="1"/>
    </xf>
    <xf numFmtId="0" fontId="46" fillId="3" borderId="22" xfId="0" applyFont="1" applyFill="1" applyBorder="1" applyAlignment="1">
      <alignment horizontal="center" vertical="center" wrapText="1"/>
    </xf>
    <xf numFmtId="0" fontId="46" fillId="3" borderId="24" xfId="0" applyFont="1" applyFill="1" applyBorder="1" applyAlignment="1">
      <alignment horizontal="center" vertical="center" wrapText="1"/>
    </xf>
    <xf numFmtId="0" fontId="46" fillId="3" borderId="30" xfId="0" applyFont="1" applyFill="1" applyBorder="1" applyAlignment="1">
      <alignment horizontal="center" vertical="center" wrapText="1"/>
    </xf>
    <xf numFmtId="0" fontId="50" fillId="0" borderId="22" xfId="0" applyFont="1" applyBorder="1" applyAlignment="1">
      <alignment horizontal="center" vertical="center" wrapText="1"/>
    </xf>
    <xf numFmtId="0" fontId="50" fillId="0" borderId="30" xfId="0" applyFont="1" applyBorder="1" applyAlignment="1">
      <alignment horizontal="center" vertical="center" wrapText="1"/>
    </xf>
    <xf numFmtId="0" fontId="50" fillId="0" borderId="24" xfId="0" applyFont="1" applyBorder="1" applyAlignment="1">
      <alignment horizontal="center" vertical="center" wrapText="1"/>
    </xf>
    <xf numFmtId="43" fontId="0" fillId="0" borderId="11" xfId="0" applyNumberFormat="1" applyBorder="1" applyAlignment="1">
      <alignment horizontal="center" vertical="center"/>
    </xf>
    <xf numFmtId="43" fontId="0" fillId="0" borderId="12" xfId="0" applyNumberFormat="1" applyBorder="1" applyAlignment="1">
      <alignment horizontal="center" vertical="center"/>
    </xf>
    <xf numFmtId="43" fontId="0" fillId="0" borderId="13" xfId="0" applyNumberFormat="1" applyBorder="1" applyAlignment="1">
      <alignment horizontal="center" vertical="center"/>
    </xf>
    <xf numFmtId="0" fontId="140" fillId="0" borderId="0" xfId="0" applyFont="1" applyAlignment="1" applyProtection="1">
      <alignment horizontal="left" vertical="center" wrapText="1"/>
      <protection hidden="1"/>
    </xf>
    <xf numFmtId="0" fontId="0" fillId="0" borderId="0" xfId="0" applyAlignment="1" applyProtection="1">
      <alignment horizontal="left" wrapText="1"/>
      <protection hidden="1"/>
    </xf>
    <xf numFmtId="0" fontId="121" fillId="0" borderId="30" xfId="0" applyFont="1" applyBorder="1" applyAlignment="1" applyProtection="1">
      <alignment horizontal="center" vertical="center" wrapText="1"/>
      <protection hidden="1"/>
    </xf>
    <xf numFmtId="0" fontId="90" fillId="0" borderId="2" xfId="0" applyFont="1" applyBorder="1" applyAlignment="1" applyProtection="1">
      <alignment horizontal="left"/>
      <protection hidden="1"/>
    </xf>
    <xf numFmtId="43" fontId="119" fillId="6" borderId="3" xfId="4" applyFont="1" applyFill="1" applyBorder="1" applyAlignment="1" applyProtection="1">
      <alignment horizontal="center"/>
      <protection locked="0"/>
    </xf>
    <xf numFmtId="0" fontId="13" fillId="0" borderId="0" xfId="0" applyFont="1" applyAlignment="1" applyProtection="1">
      <alignment horizontal="center" vertical="center"/>
      <protection hidden="1"/>
    </xf>
    <xf numFmtId="0" fontId="2" fillId="6" borderId="22" xfId="126" applyNumberFormat="1" applyFont="1" applyFill="1" applyBorder="1" applyAlignment="1" applyProtection="1">
      <alignment horizontal="center"/>
      <protection locked="0"/>
    </xf>
    <xf numFmtId="0" fontId="2" fillId="6" borderId="30" xfId="126" applyNumberFormat="1" applyFont="1" applyFill="1" applyBorder="1" applyAlignment="1" applyProtection="1">
      <alignment horizontal="center"/>
      <protection locked="0"/>
    </xf>
    <xf numFmtId="0" fontId="2" fillId="6" borderId="24" xfId="126" applyNumberFormat="1" applyFont="1" applyFill="1" applyBorder="1" applyAlignment="1" applyProtection="1">
      <alignment horizontal="center"/>
      <protection locked="0"/>
    </xf>
    <xf numFmtId="0" fontId="2" fillId="6" borderId="2" xfId="126" applyNumberFormat="1" applyFont="1" applyFill="1" applyBorder="1" applyAlignment="1" applyProtection="1">
      <alignment horizontal="left" vertical="top" wrapText="1"/>
      <protection locked="0"/>
    </xf>
    <xf numFmtId="0" fontId="2" fillId="6" borderId="14" xfId="126" applyNumberFormat="1" applyFont="1" applyFill="1" applyBorder="1" applyAlignment="1" applyProtection="1">
      <alignment horizontal="left" vertical="top" wrapText="1"/>
      <protection locked="0"/>
    </xf>
    <xf numFmtId="0" fontId="2" fillId="6" borderId="3" xfId="126" applyNumberFormat="1" applyFont="1" applyFill="1" applyBorder="1" applyAlignment="1" applyProtection="1">
      <alignment horizontal="left" vertical="top" wrapText="1"/>
      <protection locked="0"/>
    </xf>
    <xf numFmtId="0" fontId="2" fillId="6" borderId="10" xfId="126" applyNumberFormat="1" applyFont="1" applyFill="1" applyBorder="1" applyAlignment="1" applyProtection="1">
      <alignment horizontal="left" vertical="top" wrapText="1"/>
      <protection locked="0"/>
    </xf>
    <xf numFmtId="0" fontId="124" fillId="0" borderId="0" xfId="126" applyNumberFormat="1" applyFont="1" applyProtection="1">
      <protection hidden="1"/>
    </xf>
    <xf numFmtId="0" fontId="2" fillId="0" borderId="0" xfId="126" applyNumberFormat="1" applyFont="1" applyAlignment="1" applyProtection="1">
      <alignment horizontal="center"/>
      <protection hidden="1"/>
    </xf>
    <xf numFmtId="0" fontId="2" fillId="6" borderId="30" xfId="126" applyNumberFormat="1" applyFont="1" applyFill="1" applyBorder="1" applyAlignment="1" applyProtection="1">
      <alignment horizontal="left"/>
      <protection locked="0"/>
    </xf>
    <xf numFmtId="0" fontId="15" fillId="0" borderId="0" xfId="126" applyNumberFormat="1" applyFont="1" applyAlignment="1" applyProtection="1">
      <alignment horizontal="center"/>
      <protection hidden="1"/>
    </xf>
    <xf numFmtId="0" fontId="2" fillId="6" borderId="2" xfId="126" applyNumberFormat="1" applyFont="1" applyFill="1" applyBorder="1" applyAlignment="1" applyProtection="1">
      <alignment horizontal="left" vertical="top"/>
      <protection locked="0"/>
    </xf>
    <xf numFmtId="0" fontId="2" fillId="6" borderId="14" xfId="126" applyNumberFormat="1" applyFont="1" applyFill="1" applyBorder="1" applyAlignment="1" applyProtection="1">
      <alignment horizontal="left" vertical="top"/>
      <protection locked="0"/>
    </xf>
    <xf numFmtId="0" fontId="2" fillId="6" borderId="3" xfId="126" applyNumberFormat="1" applyFont="1" applyFill="1" applyBorder="1" applyAlignment="1" applyProtection="1">
      <alignment horizontal="left" vertical="top"/>
      <protection locked="0"/>
    </xf>
    <xf numFmtId="0" fontId="2" fillId="6" borderId="10" xfId="126" applyNumberFormat="1" applyFont="1" applyFill="1" applyBorder="1" applyAlignment="1" applyProtection="1">
      <alignment horizontal="left" vertical="top"/>
      <protection locked="0"/>
    </xf>
    <xf numFmtId="0" fontId="15" fillId="0" borderId="0" xfId="126" applyNumberFormat="1" applyFont="1" applyProtection="1">
      <protection hidden="1"/>
    </xf>
    <xf numFmtId="0" fontId="2" fillId="0" borderId="5" xfId="126" applyNumberFormat="1" applyFont="1" applyBorder="1" applyProtection="1">
      <protection hidden="1"/>
    </xf>
    <xf numFmtId="0" fontId="2" fillId="0" borderId="0" xfId="126" applyNumberFormat="1" applyFont="1" applyProtection="1">
      <protection hidden="1"/>
    </xf>
    <xf numFmtId="0" fontId="2" fillId="0" borderId="3" xfId="126" applyNumberFormat="1" applyFont="1" applyBorder="1" applyProtection="1">
      <protection hidden="1"/>
    </xf>
    <xf numFmtId="0" fontId="0" fillId="0" borderId="0" xfId="0" applyAlignment="1">
      <alignment horizontal="center"/>
    </xf>
    <xf numFmtId="0" fontId="0" fillId="0" borderId="23" xfId="0" applyBorder="1" applyProtection="1">
      <protection hidden="1"/>
    </xf>
    <xf numFmtId="0" fontId="0" fillId="0" borderId="1" xfId="0" applyBorder="1" applyProtection="1">
      <protection hidden="1"/>
    </xf>
    <xf numFmtId="0" fontId="0" fillId="0" borderId="22" xfId="0" applyBorder="1" applyProtection="1">
      <protection hidden="1"/>
    </xf>
    <xf numFmtId="0" fontId="0" fillId="0" borderId="23" xfId="0" applyBorder="1" applyAlignment="1" applyProtection="1">
      <alignment horizontal="left"/>
      <protection hidden="1"/>
    </xf>
    <xf numFmtId="0" fontId="0" fillId="0" borderId="1" xfId="0" applyBorder="1" applyAlignment="1" applyProtection="1">
      <alignment horizontal="left"/>
      <protection hidden="1"/>
    </xf>
    <xf numFmtId="0" fontId="0" fillId="0" borderId="22" xfId="0" applyBorder="1" applyAlignment="1" applyProtection="1">
      <alignment horizontal="left"/>
      <protection hidden="1"/>
    </xf>
    <xf numFmtId="0" fontId="0" fillId="0" borderId="21" xfId="0" applyBorder="1" applyAlignment="1" applyProtection="1">
      <alignment horizontal="left"/>
      <protection hidden="1"/>
    </xf>
    <xf numFmtId="0" fontId="0" fillId="0" borderId="18" xfId="0" applyBorder="1" applyAlignment="1" applyProtection="1">
      <alignment horizontal="left"/>
      <protection hidden="1"/>
    </xf>
    <xf numFmtId="0" fontId="0" fillId="0" borderId="55" xfId="0" applyBorder="1" applyAlignment="1" applyProtection="1">
      <alignment horizontal="left"/>
      <protection hidden="1"/>
    </xf>
    <xf numFmtId="49" fontId="109" fillId="3" borderId="56" xfId="0" applyNumberFormat="1" applyFont="1" applyFill="1" applyBorder="1" applyAlignment="1" applyProtection="1">
      <alignment horizontal="center" vertical="center"/>
      <protection hidden="1"/>
    </xf>
    <xf numFmtId="49" fontId="109" fillId="3" borderId="57" xfId="0" applyNumberFormat="1" applyFont="1" applyFill="1" applyBorder="1" applyAlignment="1" applyProtection="1">
      <alignment horizontal="center" vertical="center"/>
      <protection hidden="1"/>
    </xf>
    <xf numFmtId="49" fontId="109" fillId="3" borderId="58" xfId="0" applyNumberFormat="1" applyFont="1" applyFill="1" applyBorder="1" applyAlignment="1" applyProtection="1">
      <alignment horizontal="center" vertical="center"/>
      <protection hidden="1"/>
    </xf>
    <xf numFmtId="0" fontId="59" fillId="3" borderId="33" xfId="0" applyFont="1" applyFill="1" applyBorder="1" applyAlignment="1" applyProtection="1">
      <alignment horizontal="center" vertical="center" wrapText="1"/>
      <protection hidden="1"/>
    </xf>
    <xf numFmtId="0" fontId="59" fillId="3" borderId="34" xfId="0" applyFont="1" applyFill="1" applyBorder="1" applyAlignment="1" applyProtection="1">
      <alignment horizontal="center" vertical="center" wrapText="1"/>
      <protection hidden="1"/>
    </xf>
    <xf numFmtId="0" fontId="59" fillId="3" borderId="35" xfId="0" applyFont="1" applyFill="1" applyBorder="1" applyAlignment="1" applyProtection="1">
      <alignment horizontal="center" vertical="center" wrapText="1"/>
      <protection hidden="1"/>
    </xf>
    <xf numFmtId="0" fontId="59" fillId="3" borderId="36" xfId="0" applyFont="1" applyFill="1" applyBorder="1" applyAlignment="1" applyProtection="1">
      <alignment horizontal="center" vertical="center" wrapText="1"/>
      <protection hidden="1"/>
    </xf>
    <xf numFmtId="0" fontId="59" fillId="3" borderId="3" xfId="0" applyFont="1" applyFill="1" applyBorder="1" applyAlignment="1" applyProtection="1">
      <alignment horizontal="center" vertical="center" wrapText="1"/>
      <protection hidden="1"/>
    </xf>
    <xf numFmtId="0" fontId="59" fillId="3" borderId="37" xfId="0" applyFont="1" applyFill="1" applyBorder="1" applyAlignment="1" applyProtection="1">
      <alignment horizontal="center" vertical="center" wrapText="1"/>
      <protection hidden="1"/>
    </xf>
    <xf numFmtId="0" fontId="59" fillId="3" borderId="31" xfId="0" applyFont="1" applyFill="1" applyBorder="1" applyAlignment="1" applyProtection="1">
      <alignment horizontal="center" vertical="center" wrapText="1"/>
      <protection hidden="1"/>
    </xf>
    <xf numFmtId="0" fontId="59" fillId="3" borderId="40" xfId="0" applyFont="1" applyFill="1" applyBorder="1" applyAlignment="1" applyProtection="1">
      <alignment horizontal="center" vertical="center" wrapText="1"/>
      <protection hidden="1"/>
    </xf>
    <xf numFmtId="0" fontId="59" fillId="3" borderId="32" xfId="0" applyFont="1" applyFill="1" applyBorder="1" applyAlignment="1" applyProtection="1">
      <alignment horizontal="center" vertical="center" wrapText="1"/>
      <protection hidden="1"/>
    </xf>
    <xf numFmtId="0" fontId="0" fillId="0" borderId="38" xfId="0" applyBorder="1" applyAlignment="1" applyProtection="1">
      <alignment horizontal="left" wrapText="1"/>
      <protection hidden="1"/>
    </xf>
    <xf numFmtId="0" fontId="0" fillId="0" borderId="30" xfId="0" applyBorder="1" applyAlignment="1" applyProtection="1">
      <alignment horizontal="left" wrapText="1"/>
      <protection hidden="1"/>
    </xf>
    <xf numFmtId="0" fontId="0" fillId="0" borderId="39" xfId="0" applyBorder="1" applyAlignment="1" applyProtection="1">
      <alignment horizontal="left" wrapText="1"/>
      <protection hidden="1"/>
    </xf>
    <xf numFmtId="0" fontId="0" fillId="0" borderId="41" xfId="0" applyBorder="1" applyAlignment="1" applyProtection="1">
      <alignment horizontal="left" wrapText="1"/>
      <protection hidden="1"/>
    </xf>
    <xf numFmtId="0" fontId="0" fillId="0" borderId="25" xfId="0" applyBorder="1" applyAlignment="1" applyProtection="1">
      <alignment horizontal="left" wrapText="1"/>
      <protection hidden="1"/>
    </xf>
    <xf numFmtId="0" fontId="0" fillId="0" borderId="42" xfId="0" applyBorder="1" applyAlignment="1" applyProtection="1">
      <alignment horizontal="left" wrapText="1"/>
      <protection hidden="1"/>
    </xf>
    <xf numFmtId="0" fontId="59" fillId="3" borderId="20" xfId="0" applyFont="1" applyFill="1" applyBorder="1" applyAlignment="1" applyProtection="1">
      <alignment horizontal="center" vertical="center" wrapText="1"/>
      <protection hidden="1"/>
    </xf>
    <xf numFmtId="0" fontId="59" fillId="3" borderId="15" xfId="0" applyFont="1" applyFill="1" applyBorder="1" applyAlignment="1" applyProtection="1">
      <alignment horizontal="center" vertical="center" wrapText="1"/>
      <protection hidden="1"/>
    </xf>
    <xf numFmtId="0" fontId="59" fillId="3" borderId="16" xfId="0" applyFont="1" applyFill="1" applyBorder="1" applyAlignment="1" applyProtection="1">
      <alignment horizontal="center" vertical="center" wrapText="1"/>
      <protection hidden="1"/>
    </xf>
    <xf numFmtId="0" fontId="59" fillId="3" borderId="23" xfId="0" applyFont="1" applyFill="1" applyBorder="1" applyAlignment="1" applyProtection="1">
      <alignment horizontal="center" vertical="center" wrapText="1"/>
      <protection hidden="1"/>
    </xf>
    <xf numFmtId="0" fontId="59" fillId="3" borderId="1" xfId="0" applyFont="1" applyFill="1" applyBorder="1" applyAlignment="1" applyProtection="1">
      <alignment horizontal="center" vertical="center" wrapText="1"/>
      <protection hidden="1"/>
    </xf>
    <xf numFmtId="0" fontId="59" fillId="3" borderId="22" xfId="0" applyFont="1" applyFill="1" applyBorder="1" applyAlignment="1" applyProtection="1">
      <alignment horizontal="center" vertical="center" wrapText="1"/>
      <protection hidden="1"/>
    </xf>
    <xf numFmtId="0" fontId="59" fillId="3" borderId="77" xfId="0" applyFont="1" applyFill="1" applyBorder="1" applyAlignment="1" applyProtection="1">
      <alignment horizontal="center" vertical="center" wrapText="1"/>
      <protection hidden="1"/>
    </xf>
    <xf numFmtId="0" fontId="59" fillId="3" borderId="76" xfId="0" applyFont="1" applyFill="1" applyBorder="1" applyAlignment="1" applyProtection="1">
      <alignment horizontal="center" vertical="center" wrapText="1"/>
      <protection hidden="1"/>
    </xf>
    <xf numFmtId="0" fontId="59" fillId="3" borderId="75" xfId="0" applyFont="1" applyFill="1" applyBorder="1" applyAlignment="1" applyProtection="1">
      <alignment horizontal="center" vertical="center" wrapText="1"/>
      <protection hidden="1"/>
    </xf>
    <xf numFmtId="0" fontId="59" fillId="3" borderId="56" xfId="0" applyFont="1" applyFill="1" applyBorder="1" applyAlignment="1" applyProtection="1">
      <alignment horizontal="center" vertical="center" wrapText="1"/>
      <protection hidden="1"/>
    </xf>
    <xf numFmtId="0" fontId="59" fillId="3" borderId="57" xfId="0" applyFont="1" applyFill="1" applyBorder="1" applyAlignment="1" applyProtection="1">
      <alignment horizontal="center" vertical="center" wrapText="1"/>
      <protection hidden="1"/>
    </xf>
    <xf numFmtId="0" fontId="59" fillId="3" borderId="58" xfId="0" applyFont="1" applyFill="1" applyBorder="1" applyAlignment="1" applyProtection="1">
      <alignment horizontal="center" vertical="center" wrapText="1"/>
      <protection hidden="1"/>
    </xf>
    <xf numFmtId="0" fontId="59" fillId="3" borderId="68" xfId="0" applyFont="1" applyFill="1" applyBorder="1" applyAlignment="1" applyProtection="1">
      <alignment horizontal="center" vertical="center" wrapText="1"/>
      <protection hidden="1"/>
    </xf>
    <xf numFmtId="0" fontId="59" fillId="3" borderId="83" xfId="0" applyFont="1" applyFill="1" applyBorder="1" applyAlignment="1" applyProtection="1">
      <alignment horizontal="center" vertical="center" wrapText="1"/>
      <protection hidden="1"/>
    </xf>
    <xf numFmtId="0" fontId="59" fillId="3" borderId="81" xfId="0" applyFont="1" applyFill="1" applyBorder="1" applyAlignment="1" applyProtection="1">
      <alignment horizontal="center" vertical="center" wrapText="1"/>
      <protection hidden="1"/>
    </xf>
    <xf numFmtId="0" fontId="59" fillId="3" borderId="82" xfId="0" applyFont="1" applyFill="1" applyBorder="1" applyAlignment="1" applyProtection="1">
      <alignment horizontal="center" vertical="center" wrapText="1"/>
      <protection hidden="1"/>
    </xf>
    <xf numFmtId="0" fontId="59" fillId="3" borderId="7" xfId="0" applyFont="1" applyFill="1" applyBorder="1" applyAlignment="1" applyProtection="1">
      <alignment horizontal="center" vertical="center" wrapText="1"/>
      <protection hidden="1"/>
    </xf>
    <xf numFmtId="0" fontId="59" fillId="3" borderId="0" xfId="0" applyFont="1" applyFill="1" applyAlignment="1" applyProtection="1">
      <alignment horizontal="center" vertical="center" wrapText="1"/>
      <protection hidden="1"/>
    </xf>
    <xf numFmtId="0" fontId="59" fillId="3" borderId="8" xfId="0" applyFont="1" applyFill="1" applyBorder="1" applyAlignment="1" applyProtection="1">
      <alignment horizontal="center" vertical="center" wrapText="1"/>
      <protection hidden="1"/>
    </xf>
    <xf numFmtId="0" fontId="59" fillId="3" borderId="28" xfId="0" applyFont="1" applyFill="1" applyBorder="1" applyAlignment="1" applyProtection="1">
      <alignment horizontal="center" vertical="center" wrapText="1"/>
      <protection hidden="1"/>
    </xf>
    <xf numFmtId="0" fontId="59" fillId="3" borderId="29" xfId="0" applyFont="1" applyFill="1" applyBorder="1" applyAlignment="1" applyProtection="1">
      <alignment horizontal="center" vertical="center" wrapText="1"/>
      <protection hidden="1"/>
    </xf>
    <xf numFmtId="0" fontId="59" fillId="3" borderId="11" xfId="0" applyFont="1" applyFill="1" applyBorder="1" applyAlignment="1" applyProtection="1">
      <alignment horizontal="center" vertical="center" wrapText="1"/>
      <protection hidden="1"/>
    </xf>
    <xf numFmtId="0" fontId="59" fillId="3" borderId="13" xfId="0" applyFont="1" applyFill="1" applyBorder="1" applyAlignment="1" applyProtection="1">
      <alignment horizontal="center" vertical="center" wrapText="1"/>
      <protection hidden="1"/>
    </xf>
    <xf numFmtId="0" fontId="59" fillId="3" borderId="26" xfId="0" applyFont="1" applyFill="1" applyBorder="1" applyAlignment="1" applyProtection="1">
      <alignment horizontal="center" vertical="center" wrapText="1"/>
      <protection hidden="1"/>
    </xf>
    <xf numFmtId="0" fontId="59" fillId="3" borderId="27" xfId="0" applyFont="1" applyFill="1" applyBorder="1" applyAlignment="1" applyProtection="1">
      <alignment horizontal="center" vertical="center" wrapText="1"/>
      <protection hidden="1"/>
    </xf>
    <xf numFmtId="0" fontId="0" fillId="0" borderId="38" xfId="0" applyBorder="1" applyAlignment="1" applyProtection="1">
      <alignment horizontal="left"/>
      <protection hidden="1"/>
    </xf>
    <xf numFmtId="0" fontId="0" fillId="0" borderId="30" xfId="0" applyBorder="1" applyAlignment="1" applyProtection="1">
      <alignment horizontal="left"/>
      <protection hidden="1"/>
    </xf>
    <xf numFmtId="0" fontId="0" fillId="0" borderId="39" xfId="0" applyBorder="1" applyAlignment="1" applyProtection="1">
      <alignment horizontal="left"/>
      <protection hidden="1"/>
    </xf>
    <xf numFmtId="0" fontId="0" fillId="0" borderId="41" xfId="0" applyBorder="1" applyAlignment="1" applyProtection="1">
      <alignment wrapText="1"/>
      <protection hidden="1"/>
    </xf>
    <xf numFmtId="0" fontId="0" fillId="0" borderId="25" xfId="0" applyBorder="1" applyAlignment="1" applyProtection="1">
      <alignment wrapText="1"/>
      <protection hidden="1"/>
    </xf>
    <xf numFmtId="0" fontId="0" fillId="0" borderId="42" xfId="0" applyBorder="1" applyAlignment="1" applyProtection="1">
      <alignment wrapText="1"/>
      <protection hidden="1"/>
    </xf>
    <xf numFmtId="0" fontId="0" fillId="0" borderId="17" xfId="0" applyBorder="1" applyProtection="1">
      <protection hidden="1"/>
    </xf>
    <xf numFmtId="0" fontId="0" fillId="0" borderId="19" xfId="0" applyBorder="1" applyAlignment="1" applyProtection="1">
      <alignment horizontal="left"/>
      <protection hidden="1"/>
    </xf>
    <xf numFmtId="0" fontId="0" fillId="0" borderId="53" xfId="0" applyBorder="1" applyProtection="1">
      <protection hidden="1"/>
    </xf>
    <xf numFmtId="0" fontId="0" fillId="0" borderId="2" xfId="0" applyBorder="1" applyProtection="1">
      <protection hidden="1"/>
    </xf>
    <xf numFmtId="0" fontId="0" fillId="0" borderId="54" xfId="0" applyBorder="1" applyProtection="1">
      <protection hidden="1"/>
    </xf>
    <xf numFmtId="0" fontId="59" fillId="3" borderId="17" xfId="0" applyFont="1" applyFill="1" applyBorder="1" applyAlignment="1" applyProtection="1">
      <alignment horizontal="center" vertical="center" wrapText="1"/>
      <protection hidden="1"/>
    </xf>
    <xf numFmtId="0" fontId="59" fillId="3" borderId="63" xfId="0" applyFont="1" applyFill="1" applyBorder="1" applyAlignment="1" applyProtection="1">
      <alignment horizontal="center" vertical="center" wrapText="1"/>
      <protection hidden="1"/>
    </xf>
    <xf numFmtId="0" fontId="59" fillId="3" borderId="24" xfId="0" applyFont="1" applyFill="1" applyBorder="1" applyAlignment="1" applyProtection="1">
      <alignment horizontal="center" vertical="center" wrapText="1"/>
      <protection hidden="1"/>
    </xf>
    <xf numFmtId="0" fontId="0" fillId="0" borderId="38" xfId="0" applyBorder="1" applyProtection="1">
      <protection hidden="1"/>
    </xf>
    <xf numFmtId="0" fontId="0" fillId="0" borderId="30" xfId="0" applyBorder="1" applyProtection="1">
      <protection hidden="1"/>
    </xf>
    <xf numFmtId="0" fontId="0" fillId="0" borderId="39" xfId="0" applyBorder="1" applyProtection="1">
      <protection hidden="1"/>
    </xf>
    <xf numFmtId="0" fontId="59" fillId="3" borderId="53" xfId="0" applyFont="1" applyFill="1" applyBorder="1" applyAlignment="1" applyProtection="1">
      <alignment horizontal="center" vertical="center" wrapText="1"/>
      <protection hidden="1"/>
    </xf>
    <xf numFmtId="167" fontId="60" fillId="0" borderId="0" xfId="58" applyNumberFormat="1" applyFont="1" applyBorder="1" applyAlignment="1" applyProtection="1">
      <alignment horizontal="center" vertical="center"/>
      <protection hidden="1"/>
    </xf>
    <xf numFmtId="0" fontId="0" fillId="0" borderId="28" xfId="0" applyBorder="1" applyAlignment="1" applyProtection="1">
      <alignment horizontal="left"/>
      <protection hidden="1"/>
    </xf>
    <xf numFmtId="0" fontId="0" fillId="0" borderId="11" xfId="0" applyBorder="1" applyAlignment="1" applyProtection="1">
      <alignment horizontal="left"/>
      <protection hidden="1"/>
    </xf>
    <xf numFmtId="0" fontId="0" fillId="0" borderId="26" xfId="0" applyBorder="1" applyAlignment="1" applyProtection="1">
      <alignment horizontal="left"/>
      <protection hidden="1"/>
    </xf>
    <xf numFmtId="0" fontId="59" fillId="3" borderId="1" xfId="0" applyFont="1" applyFill="1" applyBorder="1" applyAlignment="1">
      <alignment horizontal="center" vertical="center"/>
    </xf>
    <xf numFmtId="0" fontId="59" fillId="3" borderId="22" xfId="0" applyFont="1" applyFill="1" applyBorder="1" applyAlignment="1">
      <alignment horizontal="center"/>
    </xf>
    <xf numFmtId="0" fontId="59" fillId="3" borderId="30" xfId="0" applyFont="1" applyFill="1" applyBorder="1" applyAlignment="1">
      <alignment horizontal="center"/>
    </xf>
    <xf numFmtId="0" fontId="59" fillId="3" borderId="24" xfId="0" applyFont="1" applyFill="1" applyBorder="1" applyAlignment="1">
      <alignment horizontal="center"/>
    </xf>
    <xf numFmtId="0" fontId="59" fillId="3" borderId="1" xfId="0" applyFont="1" applyFill="1" applyBorder="1" applyAlignment="1">
      <alignment horizontal="center" vertical="center" wrapText="1"/>
    </xf>
    <xf numFmtId="0" fontId="52" fillId="0" borderId="67" xfId="126" applyNumberFormat="1" applyFont="1" applyBorder="1" applyAlignment="1" applyProtection="1">
      <alignment horizontal="center"/>
      <protection locked="0"/>
    </xf>
    <xf numFmtId="0" fontId="44" fillId="0" borderId="67" xfId="0" applyFont="1" applyBorder="1" applyAlignment="1" applyProtection="1">
      <alignment horizontal="center"/>
      <protection hidden="1"/>
    </xf>
    <xf numFmtId="166" fontId="44" fillId="0" borderId="67" xfId="58" applyNumberFormat="1" applyFont="1" applyBorder="1" applyAlignment="1" applyProtection="1">
      <alignment horizontal="center"/>
      <protection hidden="1"/>
    </xf>
    <xf numFmtId="3" fontId="0" fillId="6" borderId="3" xfId="0" applyNumberFormat="1" applyFill="1" applyBorder="1" applyAlignment="1" applyProtection="1">
      <alignment horizontal="center"/>
      <protection locked="0"/>
    </xf>
    <xf numFmtId="0" fontId="2" fillId="10" borderId="3" xfId="0" applyFont="1" applyFill="1" applyBorder="1" applyProtection="1">
      <protection hidden="1"/>
    </xf>
    <xf numFmtId="0" fontId="0" fillId="6" borderId="3" xfId="0" applyFill="1" applyBorder="1" applyProtection="1">
      <protection locked="0"/>
    </xf>
    <xf numFmtId="0" fontId="0" fillId="6" borderId="3" xfId="0" applyFill="1" applyBorder="1" applyAlignment="1" applyProtection="1">
      <alignment horizontal="center"/>
      <protection locked="0"/>
    </xf>
    <xf numFmtId="0" fontId="13" fillId="0" borderId="0" xfId="0" applyFont="1" applyProtection="1">
      <protection hidden="1"/>
    </xf>
    <xf numFmtId="0" fontId="0" fillId="6" borderId="3" xfId="0" applyFill="1" applyBorder="1" applyAlignment="1" applyProtection="1">
      <alignment horizontal="center" wrapText="1"/>
      <protection locked="0"/>
    </xf>
    <xf numFmtId="0" fontId="108" fillId="0" borderId="0" xfId="0" applyFont="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horizontal="left"/>
      <protection hidden="1"/>
    </xf>
    <xf numFmtId="0" fontId="0" fillId="10" borderId="0" xfId="0" applyFill="1" applyAlignment="1" applyProtection="1">
      <alignment horizontal="center"/>
      <protection hidden="1"/>
    </xf>
    <xf numFmtId="0" fontId="60" fillId="10" borderId="0" xfId="0" applyFont="1" applyFill="1" applyAlignment="1" applyProtection="1">
      <alignment horizontal="center"/>
      <protection hidden="1"/>
    </xf>
    <xf numFmtId="0" fontId="0" fillId="0" borderId="5" xfId="0" applyBorder="1" applyAlignment="1" applyProtection="1">
      <alignment horizontal="left" wrapText="1"/>
      <protection hidden="1"/>
    </xf>
    <xf numFmtId="0" fontId="0" fillId="0" borderId="1" xfId="0" applyBorder="1" applyAlignment="1" applyProtection="1">
      <alignment horizontal="center" vertical="center"/>
      <protection hidden="1"/>
    </xf>
    <xf numFmtId="0" fontId="0" fillId="0" borderId="3" xfId="0" applyBorder="1" applyAlignment="1" applyProtection="1">
      <alignment horizontal="center" vertical="center"/>
      <protection hidden="1"/>
    </xf>
    <xf numFmtId="0" fontId="0" fillId="0" borderId="5"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0" fontId="0" fillId="10" borderId="0" xfId="0" applyFill="1" applyAlignment="1" applyProtection="1">
      <alignment horizontal="center"/>
      <protection locked="0"/>
    </xf>
    <xf numFmtId="3" fontId="0" fillId="0" borderId="0" xfId="0" applyNumberFormat="1" applyAlignment="1" applyProtection="1">
      <alignment horizontal="center"/>
      <protection locked="0"/>
    </xf>
    <xf numFmtId="0" fontId="60" fillId="10" borderId="0" xfId="0" applyFont="1" applyFill="1" applyAlignment="1" applyProtection="1">
      <alignment horizontal="center"/>
      <protection locked="0"/>
    </xf>
    <xf numFmtId="0" fontId="13" fillId="0" borderId="0" xfId="0" applyFont="1" applyAlignment="1" applyProtection="1">
      <alignment vertical="center"/>
      <protection hidden="1"/>
    </xf>
    <xf numFmtId="0" fontId="2" fillId="10" borderId="3" xfId="0" applyFont="1" applyFill="1" applyBorder="1" applyAlignment="1" applyProtection="1">
      <alignment vertical="center"/>
      <protection hidden="1"/>
    </xf>
    <xf numFmtId="0" fontId="2" fillId="6" borderId="0" xfId="0" applyFont="1" applyFill="1" applyAlignment="1" applyProtection="1">
      <alignment horizontal="left" vertical="center" wrapText="1"/>
      <protection hidden="1"/>
    </xf>
    <xf numFmtId="0" fontId="57" fillId="6" borderId="3" xfId="0" applyFont="1" applyFill="1" applyBorder="1" applyAlignment="1" applyProtection="1">
      <alignment horizontal="center" vertical="center"/>
      <protection hidden="1"/>
    </xf>
    <xf numFmtId="0" fontId="0" fillId="0" borderId="0" xfId="0" applyAlignment="1">
      <alignment horizontal="center" vertical="center"/>
    </xf>
    <xf numFmtId="0" fontId="0" fillId="0" borderId="3" xfId="0" applyBorder="1" applyAlignment="1">
      <alignment horizontal="center" vertical="center"/>
    </xf>
    <xf numFmtId="0" fontId="2" fillId="0" borderId="2" xfId="0" applyFont="1" applyBorder="1" applyAlignment="1" applyProtection="1">
      <alignment horizontal="center"/>
      <protection locked="0"/>
    </xf>
    <xf numFmtId="0" fontId="3" fillId="0" borderId="2" xfId="0" applyFont="1" applyBorder="1" applyAlignment="1">
      <alignment horizontal="right"/>
    </xf>
    <xf numFmtId="0" fontId="0" fillId="6" borderId="3" xfId="0" applyFill="1" applyBorder="1" applyAlignment="1" applyProtection="1">
      <alignment horizontal="center"/>
      <protection hidden="1"/>
    </xf>
    <xf numFmtId="0" fontId="0" fillId="0" borderId="0" xfId="0" applyAlignment="1" applyProtection="1">
      <alignment horizontal="center"/>
      <protection hidden="1"/>
    </xf>
    <xf numFmtId="0" fontId="0" fillId="0" borderId="4" xfId="0" applyBorder="1" applyAlignment="1" applyProtection="1">
      <alignment horizontal="center"/>
      <protection hidden="1"/>
    </xf>
    <xf numFmtId="0" fontId="0" fillId="0" borderId="2" xfId="0" applyBorder="1" applyAlignment="1" applyProtection="1">
      <alignment horizontal="center"/>
      <protection hidden="1"/>
    </xf>
    <xf numFmtId="0" fontId="0" fillId="0" borderId="14" xfId="0" applyBorder="1" applyAlignment="1" applyProtection="1">
      <alignment horizontal="center"/>
      <protection hidden="1"/>
    </xf>
    <xf numFmtId="0" fontId="0" fillId="0" borderId="6" xfId="0" applyBorder="1" applyAlignment="1" applyProtection="1">
      <alignment horizontal="center"/>
      <protection hidden="1"/>
    </xf>
    <xf numFmtId="0" fontId="0" fillId="0" borderId="3" xfId="0" applyBorder="1" applyAlignment="1" applyProtection="1">
      <alignment horizontal="center"/>
      <protection hidden="1"/>
    </xf>
    <xf numFmtId="0" fontId="0" fillId="0" borderId="10" xfId="0" applyBorder="1" applyAlignment="1" applyProtection="1">
      <alignment horizontal="center"/>
      <protection hidden="1"/>
    </xf>
    <xf numFmtId="0" fontId="2" fillId="6" borderId="3" xfId="0" applyFont="1" applyFill="1" applyBorder="1" applyAlignment="1" applyProtection="1">
      <alignment vertical="center"/>
      <protection locked="0"/>
    </xf>
    <xf numFmtId="0" fontId="2" fillId="10" borderId="0" xfId="0" applyFont="1" applyFill="1" applyAlignment="1" applyProtection="1">
      <alignment vertical="center"/>
      <protection hidden="1"/>
    </xf>
    <xf numFmtId="3" fontId="0" fillId="6" borderId="3" xfId="0" applyNumberFormat="1" applyFill="1" applyBorder="1" applyAlignment="1" applyProtection="1">
      <alignment horizontal="center" wrapText="1"/>
      <protection locked="0"/>
    </xf>
    <xf numFmtId="0" fontId="102" fillId="0" borderId="0" xfId="0" applyFont="1" applyAlignment="1" applyProtection="1">
      <alignment horizontal="left"/>
      <protection hidden="1"/>
    </xf>
    <xf numFmtId="0" fontId="71" fillId="0" borderId="3" xfId="0" applyFont="1" applyBorder="1" applyAlignment="1" applyProtection="1">
      <alignment horizontal="left" vertical="center"/>
      <protection hidden="1"/>
    </xf>
    <xf numFmtId="0" fontId="86" fillId="0" borderId="2" xfId="0" applyFont="1" applyBorder="1" applyAlignment="1" applyProtection="1">
      <alignment horizontal="center" vertical="center" wrapText="1"/>
      <protection hidden="1"/>
    </xf>
    <xf numFmtId="0" fontId="27" fillId="0" borderId="0" xfId="0" applyFont="1" applyAlignment="1" applyProtection="1">
      <alignment horizontal="left" vertical="center"/>
      <protection hidden="1"/>
    </xf>
    <xf numFmtId="0" fontId="61" fillId="0" borderId="0" xfId="0" applyFont="1" applyAlignment="1" applyProtection="1">
      <alignment horizontal="right" wrapText="1"/>
      <protection hidden="1"/>
    </xf>
    <xf numFmtId="0" fontId="61" fillId="0" borderId="0" xfId="0" applyFont="1" applyAlignment="1" applyProtection="1">
      <alignment horizontal="left" wrapText="1"/>
      <protection hidden="1"/>
    </xf>
    <xf numFmtId="0" fontId="28" fillId="0" borderId="0" xfId="0" applyFont="1" applyAlignment="1" applyProtection="1">
      <alignment horizontal="left" vertical="top" wrapText="1"/>
      <protection hidden="1"/>
    </xf>
    <xf numFmtId="0" fontId="85" fillId="0" borderId="0" xfId="0" applyFont="1" applyAlignment="1" applyProtection="1">
      <alignment horizontal="left" vertical="center"/>
      <protection hidden="1"/>
    </xf>
    <xf numFmtId="44" fontId="52" fillId="6" borderId="3" xfId="0" applyNumberFormat="1" applyFont="1" applyFill="1" applyBorder="1" applyProtection="1">
      <protection locked="0"/>
    </xf>
    <xf numFmtId="0" fontId="85" fillId="0" borderId="45" xfId="0" applyFont="1" applyBorder="1" applyAlignment="1" applyProtection="1">
      <alignment horizontal="left" vertical="center"/>
      <protection hidden="1"/>
    </xf>
    <xf numFmtId="0" fontId="25" fillId="0" borderId="0" xfId="0" applyFont="1" applyAlignment="1" applyProtection="1">
      <alignment horizontal="left" vertical="top" wrapText="1"/>
      <protection hidden="1"/>
    </xf>
    <xf numFmtId="0" fontId="26" fillId="0" borderId="0" xfId="0" applyFont="1" applyAlignment="1" applyProtection="1">
      <alignment horizontal="left" vertical="top" wrapText="1"/>
      <protection hidden="1"/>
    </xf>
    <xf numFmtId="0" fontId="88" fillId="0" borderId="0" xfId="0" applyFont="1" applyAlignment="1" applyProtection="1">
      <alignment horizontal="left"/>
      <protection hidden="1"/>
    </xf>
    <xf numFmtId="0" fontId="130" fillId="0" borderId="3" xfId="0" applyFont="1" applyBorder="1" applyAlignment="1" applyProtection="1">
      <alignment horizontal="center" vertical="center"/>
      <protection hidden="1"/>
    </xf>
    <xf numFmtId="0" fontId="0" fillId="0" borderId="3" xfId="0" applyBorder="1" applyAlignment="1">
      <alignment horizontal="center"/>
    </xf>
    <xf numFmtId="0" fontId="130" fillId="0" borderId="3" xfId="0" applyFont="1" applyBorder="1" applyAlignment="1" applyProtection="1">
      <alignment horizontal="center" vertical="center"/>
      <protection locked="0" hidden="1"/>
    </xf>
    <xf numFmtId="0" fontId="132" fillId="0" borderId="0" xfId="0" applyFont="1" applyAlignment="1" applyProtection="1">
      <alignment horizontal="left" vertical="center"/>
      <protection hidden="1"/>
    </xf>
    <xf numFmtId="0" fontId="130" fillId="0" borderId="0" xfId="0" applyFont="1" applyAlignment="1" applyProtection="1">
      <alignment horizontal="left" vertical="center" wrapText="1"/>
      <protection hidden="1"/>
    </xf>
    <xf numFmtId="0" fontId="130" fillId="0" borderId="3" xfId="0" applyFont="1" applyBorder="1" applyAlignment="1" applyProtection="1">
      <alignment horizontal="left"/>
      <protection hidden="1"/>
    </xf>
    <xf numFmtId="0" fontId="137" fillId="0" borderId="0" xfId="0" applyFont="1" applyAlignment="1">
      <alignment horizontal="left" wrapText="1"/>
    </xf>
    <xf numFmtId="0" fontId="71" fillId="0" borderId="0" xfId="0" applyFont="1" applyAlignment="1" applyProtection="1">
      <alignment horizontal="left" vertical="center"/>
      <protection hidden="1"/>
    </xf>
    <xf numFmtId="0" fontId="86" fillId="0" borderId="0" xfId="0" applyFont="1" applyAlignment="1" applyProtection="1">
      <alignment horizontal="center" vertical="center" wrapText="1"/>
      <protection hidden="1"/>
    </xf>
    <xf numFmtId="0" fontId="131" fillId="0" borderId="3" xfId="0" applyFont="1" applyBorder="1" applyAlignment="1">
      <alignment horizontal="left" vertical="center" wrapText="1"/>
    </xf>
    <xf numFmtId="0" fontId="131" fillId="0" borderId="30" xfId="0" applyFont="1" applyBorder="1" applyAlignment="1">
      <alignment horizontal="left" vertical="center" wrapText="1"/>
    </xf>
    <xf numFmtId="0" fontId="29" fillId="3" borderId="5" xfId="109" applyFont="1" applyFill="1" applyBorder="1" applyAlignment="1" applyProtection="1">
      <alignment horizontal="center" vertical="center" wrapText="1"/>
      <protection hidden="1"/>
    </xf>
    <xf numFmtId="0" fontId="29" fillId="3" borderId="0" xfId="109" applyFont="1" applyFill="1" applyAlignment="1" applyProtection="1">
      <alignment horizontal="center" vertical="center" wrapText="1"/>
      <protection hidden="1"/>
    </xf>
    <xf numFmtId="0" fontId="29" fillId="3" borderId="9" xfId="109" applyFont="1" applyFill="1" applyBorder="1" applyAlignment="1" applyProtection="1">
      <alignment horizontal="center" vertical="center" wrapText="1"/>
      <protection hidden="1"/>
    </xf>
    <xf numFmtId="0" fontId="159" fillId="10" borderId="0" xfId="0" applyFont="1" applyFill="1" applyAlignment="1" applyProtection="1">
      <alignment horizontal="center"/>
      <protection hidden="1"/>
    </xf>
    <xf numFmtId="0" fontId="158" fillId="10" borderId="0" xfId="0" applyFont="1" applyFill="1" applyAlignment="1" applyProtection="1">
      <alignment horizontal="center" wrapText="1"/>
      <protection hidden="1"/>
    </xf>
    <xf numFmtId="0" fontId="158" fillId="31" borderId="2" xfId="0" applyFont="1" applyFill="1" applyBorder="1" applyAlignment="1" applyProtection="1">
      <alignment horizontal="center" wrapText="1"/>
      <protection hidden="1"/>
    </xf>
    <xf numFmtId="0" fontId="158" fillId="31" borderId="3" xfId="0" applyFont="1" applyFill="1" applyBorder="1" applyAlignment="1" applyProtection="1">
      <alignment horizontal="center" wrapText="1"/>
      <protection hidden="1"/>
    </xf>
    <xf numFmtId="0" fontId="145" fillId="10" borderId="0" xfId="0" applyFont="1" applyFill="1" applyAlignment="1" applyProtection="1">
      <alignment horizontal="center"/>
      <protection hidden="1"/>
    </xf>
    <xf numFmtId="0" fontId="50" fillId="11" borderId="0" xfId="0" applyFont="1" applyFill="1" applyAlignment="1">
      <alignment horizontal="center"/>
    </xf>
    <xf numFmtId="0" fontId="229" fillId="21" borderId="0" xfId="0" applyFont="1" applyFill="1" applyAlignment="1">
      <alignment horizontal="center" vertical="top"/>
    </xf>
    <xf numFmtId="0" fontId="62" fillId="10" borderId="0" xfId="0" applyFont="1" applyFill="1" applyAlignment="1">
      <alignment horizontal="center" vertical="center"/>
    </xf>
    <xf numFmtId="0" fontId="94" fillId="10" borderId="22" xfId="0" applyFont="1" applyFill="1" applyBorder="1" applyAlignment="1">
      <alignment horizontal="center" vertical="center" wrapText="1"/>
    </xf>
    <xf numFmtId="0" fontId="94" fillId="10" borderId="24" xfId="0" applyFont="1" applyFill="1" applyBorder="1" applyAlignment="1">
      <alignment horizontal="center" vertical="center" wrapText="1"/>
    </xf>
    <xf numFmtId="37" fontId="52" fillId="0" borderId="22" xfId="4" applyNumberFormat="1" applyFont="1" applyBorder="1" applyAlignment="1">
      <alignment horizontal="center" vertical="center"/>
    </xf>
    <xf numFmtId="37" fontId="52" fillId="0" borderId="14" xfId="4" applyNumberFormat="1" applyFont="1" applyBorder="1" applyAlignment="1">
      <alignment horizontal="center" vertical="center"/>
    </xf>
    <xf numFmtId="37" fontId="52" fillId="0" borderId="4" xfId="4" applyNumberFormat="1" applyFont="1" applyBorder="1" applyAlignment="1">
      <alignment horizontal="center" vertical="center"/>
    </xf>
    <xf numFmtId="0" fontId="52" fillId="0" borderId="4" xfId="0" applyFont="1" applyBorder="1" applyAlignment="1">
      <alignment horizontal="center" vertical="center"/>
    </xf>
    <xf numFmtId="0" fontId="52" fillId="0" borderId="14" xfId="0" applyFont="1" applyBorder="1" applyAlignment="1">
      <alignment horizontal="center" vertical="center"/>
    </xf>
    <xf numFmtId="0" fontId="52" fillId="0" borderId="24" xfId="0" applyFont="1" applyBorder="1" applyAlignment="1">
      <alignment horizontal="center" vertical="center"/>
    </xf>
    <xf numFmtId="0" fontId="94" fillId="10" borderId="3" xfId="0" applyFont="1" applyFill="1" applyBorder="1" applyAlignment="1">
      <alignment horizontal="center" vertical="center"/>
    </xf>
    <xf numFmtId="0" fontId="94" fillId="10" borderId="3" xfId="0" applyFont="1" applyFill="1" applyBorder="1" applyAlignment="1">
      <alignment horizontal="center" vertical="center" wrapText="1"/>
    </xf>
    <xf numFmtId="37" fontId="52" fillId="0" borderId="24" xfId="4" applyNumberFormat="1" applyFont="1" applyBorder="1" applyAlignment="1">
      <alignment horizontal="center" vertical="center"/>
    </xf>
    <xf numFmtId="0" fontId="52" fillId="0" borderId="22" xfId="0" applyFont="1" applyBorder="1" applyAlignment="1">
      <alignment horizontal="center" vertical="center"/>
    </xf>
    <xf numFmtId="0" fontId="52" fillId="10" borderId="0" xfId="0" applyFont="1" applyFill="1" applyAlignment="1">
      <alignment horizontal="center" wrapText="1"/>
    </xf>
    <xf numFmtId="0" fontId="52" fillId="10" borderId="0" xfId="0" applyFont="1" applyFill="1" applyAlignment="1">
      <alignment horizontal="center"/>
    </xf>
    <xf numFmtId="49" fontId="52" fillId="10" borderId="0" xfId="0" applyNumberFormat="1" applyFont="1" applyFill="1" applyAlignment="1">
      <alignment horizontal="center"/>
    </xf>
    <xf numFmtId="0" fontId="94" fillId="6" borderId="30" xfId="0" applyFont="1" applyFill="1" applyBorder="1" applyProtection="1">
      <protection locked="0"/>
    </xf>
    <xf numFmtId="0" fontId="94" fillId="10" borderId="3" xfId="0" applyFont="1" applyFill="1" applyBorder="1"/>
    <xf numFmtId="0" fontId="243" fillId="10" borderId="79" xfId="0" applyFont="1" applyFill="1" applyBorder="1" applyAlignment="1">
      <alignment horizontal="left" vertical="center"/>
    </xf>
    <xf numFmtId="165" fontId="94" fillId="10" borderId="30" xfId="0" applyNumberFormat="1" applyFont="1" applyFill="1" applyBorder="1" applyAlignment="1">
      <alignment horizontal="left"/>
    </xf>
    <xf numFmtId="0" fontId="94" fillId="10" borderId="30" xfId="0" applyFont="1" applyFill="1" applyBorder="1"/>
    <xf numFmtId="0" fontId="94" fillId="6" borderId="22" xfId="0" applyFont="1" applyFill="1" applyBorder="1" applyAlignment="1">
      <alignment horizontal="center" vertical="center"/>
    </xf>
    <xf numFmtId="0" fontId="94" fillId="6" borderId="24" xfId="0" applyFont="1" applyFill="1" applyBorder="1" applyAlignment="1">
      <alignment horizontal="center" vertical="center"/>
    </xf>
    <xf numFmtId="0" fontId="62" fillId="10" borderId="2" xfId="0" applyFont="1" applyFill="1" applyBorder="1" applyAlignment="1">
      <alignment horizontal="center" vertical="center"/>
    </xf>
    <xf numFmtId="0" fontId="0" fillId="0" borderId="30" xfId="0" applyBorder="1" applyAlignment="1" applyProtection="1">
      <alignment horizontal="center"/>
      <protection hidden="1"/>
    </xf>
    <xf numFmtId="0" fontId="0" fillId="6" borderId="22" xfId="0" applyFill="1" applyBorder="1" applyAlignment="1" applyProtection="1">
      <alignment horizontal="left"/>
      <protection hidden="1"/>
    </xf>
    <xf numFmtId="0" fontId="0" fillId="6" borderId="30" xfId="0" applyFill="1" applyBorder="1" applyAlignment="1" applyProtection="1">
      <alignment horizontal="left"/>
      <protection hidden="1"/>
    </xf>
    <xf numFmtId="0" fontId="0" fillId="6" borderId="24" xfId="0" applyFill="1" applyBorder="1" applyAlignment="1" applyProtection="1">
      <alignment horizontal="left"/>
      <protection hidden="1"/>
    </xf>
    <xf numFmtId="0" fontId="29" fillId="3" borderId="22" xfId="109" applyFont="1" applyFill="1" applyBorder="1" applyAlignment="1" applyProtection="1">
      <alignment horizontal="center" vertical="center"/>
      <protection hidden="1"/>
    </xf>
    <xf numFmtId="0" fontId="29" fillId="3" borderId="30" xfId="109" applyFont="1" applyFill="1" applyBorder="1" applyAlignment="1" applyProtection="1">
      <alignment horizontal="center" vertical="center"/>
      <protection hidden="1"/>
    </xf>
    <xf numFmtId="0" fontId="29" fillId="3" borderId="24" xfId="109" applyFont="1" applyFill="1" applyBorder="1" applyAlignment="1" applyProtection="1">
      <alignment horizontal="center" vertical="center"/>
      <protection hidden="1"/>
    </xf>
    <xf numFmtId="0" fontId="29" fillId="3" borderId="22" xfId="109" applyFont="1" applyFill="1" applyBorder="1" applyAlignment="1" applyProtection="1">
      <alignment horizontal="center" vertical="center" wrapText="1"/>
      <protection hidden="1"/>
    </xf>
    <xf numFmtId="0" fontId="29" fillId="3" borderId="30" xfId="109" applyFont="1" applyFill="1" applyBorder="1" applyAlignment="1" applyProtection="1">
      <alignment horizontal="center" vertical="center" wrapText="1"/>
      <protection hidden="1"/>
    </xf>
    <xf numFmtId="0" fontId="29" fillId="3" borderId="24" xfId="109" applyFont="1" applyFill="1" applyBorder="1" applyAlignment="1" applyProtection="1">
      <alignment horizontal="center" vertical="center" wrapText="1"/>
      <protection hidden="1"/>
    </xf>
    <xf numFmtId="0" fontId="95" fillId="0" borderId="56" xfId="0" applyFont="1" applyBorder="1" applyAlignment="1" applyProtection="1">
      <alignment horizontal="center"/>
      <protection hidden="1"/>
    </xf>
    <xf numFmtId="0" fontId="95" fillId="0" borderId="57" xfId="0" applyFont="1" applyBorder="1" applyAlignment="1" applyProtection="1">
      <alignment horizontal="center"/>
      <protection hidden="1"/>
    </xf>
    <xf numFmtId="0" fontId="95" fillId="0" borderId="58" xfId="0" applyFont="1" applyBorder="1" applyAlignment="1" applyProtection="1">
      <alignment horizontal="center"/>
      <protection hidden="1"/>
    </xf>
    <xf numFmtId="14" fontId="52" fillId="6" borderId="3" xfId="0" applyNumberFormat="1" applyFont="1" applyFill="1" applyBorder="1" applyAlignment="1" applyProtection="1">
      <alignment horizontal="left"/>
      <protection locked="0"/>
    </xf>
    <xf numFmtId="0" fontId="0" fillId="0" borderId="2" xfId="0" applyBorder="1" applyAlignment="1">
      <alignment horizontal="center"/>
    </xf>
    <xf numFmtId="0" fontId="52" fillId="6" borderId="1" xfId="0" applyFont="1" applyFill="1" applyBorder="1" applyAlignment="1" applyProtection="1">
      <alignment horizontal="left"/>
      <protection locked="0"/>
    </xf>
    <xf numFmtId="0" fontId="69" fillId="0" borderId="1" xfId="0" applyFont="1" applyBorder="1" applyAlignment="1">
      <alignment horizontal="center"/>
    </xf>
    <xf numFmtId="0" fontId="69" fillId="0" borderId="22" xfId="0" applyFont="1" applyBorder="1" applyAlignment="1">
      <alignment horizontal="center"/>
    </xf>
    <xf numFmtId="0" fontId="69" fillId="0" borderId="24" xfId="0" applyFont="1" applyBorder="1" applyAlignment="1">
      <alignment horizontal="center"/>
    </xf>
    <xf numFmtId="0" fontId="69" fillId="0" borderId="30" xfId="0" applyFont="1" applyBorder="1" applyAlignment="1">
      <alignment horizontal="center"/>
    </xf>
    <xf numFmtId="0" fontId="207" fillId="3" borderId="22" xfId="0" applyFont="1" applyFill="1" applyBorder="1" applyAlignment="1">
      <alignment horizontal="center"/>
    </xf>
    <xf numFmtId="0" fontId="207" fillId="3" borderId="30" xfId="0" applyFont="1" applyFill="1" applyBorder="1" applyAlignment="1">
      <alignment horizontal="center"/>
    </xf>
    <xf numFmtId="0" fontId="207" fillId="3" borderId="24" xfId="0" applyFont="1" applyFill="1" applyBorder="1" applyAlignment="1">
      <alignment horizontal="center"/>
    </xf>
    <xf numFmtId="0" fontId="207" fillId="3" borderId="1" xfId="0" applyFont="1" applyFill="1" applyBorder="1" applyAlignment="1">
      <alignment horizontal="center" vertical="center"/>
    </xf>
    <xf numFmtId="0" fontId="129" fillId="3" borderId="1" xfId="0" applyFont="1" applyFill="1" applyBorder="1" applyAlignment="1">
      <alignment horizontal="center" vertical="center"/>
    </xf>
    <xf numFmtId="0" fontId="129" fillId="3" borderId="11" xfId="0" applyFont="1" applyFill="1" applyBorder="1" applyAlignment="1">
      <alignment horizontal="center" vertical="center"/>
    </xf>
    <xf numFmtId="0" fontId="129" fillId="3" borderId="4" xfId="0" applyFont="1" applyFill="1" applyBorder="1" applyAlignment="1">
      <alignment horizontal="center" vertical="center"/>
    </xf>
    <xf numFmtId="0" fontId="129" fillId="3" borderId="14" xfId="0" applyFont="1" applyFill="1" applyBorder="1" applyAlignment="1">
      <alignment horizontal="center" vertical="center"/>
    </xf>
    <xf numFmtId="0" fontId="129" fillId="3" borderId="11" xfId="0" applyFont="1" applyFill="1" applyBorder="1" applyAlignment="1">
      <alignment horizontal="center" vertical="center" wrapText="1"/>
    </xf>
    <xf numFmtId="0" fontId="129" fillId="3" borderId="2" xfId="0" applyFont="1" applyFill="1" applyBorder="1" applyAlignment="1">
      <alignment horizontal="center" vertical="center"/>
    </xf>
    <xf numFmtId="0" fontId="207" fillId="3" borderId="1" xfId="0" applyFont="1" applyFill="1" applyBorder="1" applyAlignment="1">
      <alignment horizontal="center"/>
    </xf>
    <xf numFmtId="0" fontId="146" fillId="31" borderId="22" xfId="0" applyFont="1" applyFill="1" applyBorder="1" applyAlignment="1" applyProtection="1">
      <alignment horizontal="left"/>
      <protection hidden="1"/>
    </xf>
    <xf numFmtId="0" fontId="146" fillId="31" borderId="30" xfId="0" applyFont="1" applyFill="1" applyBorder="1" applyAlignment="1" applyProtection="1">
      <alignment horizontal="left"/>
      <protection hidden="1"/>
    </xf>
    <xf numFmtId="0" fontId="146" fillId="31" borderId="24" xfId="0" applyFont="1" applyFill="1" applyBorder="1" applyAlignment="1" applyProtection="1">
      <alignment horizontal="left"/>
      <protection hidden="1"/>
    </xf>
    <xf numFmtId="0" fontId="62" fillId="0" borderId="22" xfId="0" applyFont="1" applyBorder="1" applyAlignment="1" applyProtection="1">
      <alignment horizontal="center"/>
      <protection hidden="1"/>
    </xf>
    <xf numFmtId="0" fontId="62" fillId="0" borderId="30" xfId="0" applyFont="1" applyBorder="1" applyAlignment="1" applyProtection="1">
      <alignment horizontal="center"/>
      <protection hidden="1"/>
    </xf>
    <xf numFmtId="0" fontId="62" fillId="0" borderId="24" xfId="0" applyFont="1" applyBorder="1" applyAlignment="1" applyProtection="1">
      <alignment horizontal="center"/>
      <protection hidden="1"/>
    </xf>
    <xf numFmtId="0" fontId="62" fillId="0" borderId="22" xfId="0" applyFont="1" applyBorder="1" applyAlignment="1">
      <alignment horizontal="center"/>
    </xf>
    <xf numFmtId="0" fontId="62" fillId="0" borderId="30" xfId="0" applyFont="1" applyBorder="1" applyAlignment="1">
      <alignment horizontal="center"/>
    </xf>
    <xf numFmtId="0" fontId="62" fillId="0" borderId="24" xfId="0" applyFont="1" applyBorder="1" applyAlignment="1">
      <alignment horizontal="center"/>
    </xf>
    <xf numFmtId="0" fontId="44" fillId="3" borderId="33" xfId="0" applyFont="1" applyFill="1" applyBorder="1" applyAlignment="1">
      <alignment horizontal="center"/>
    </xf>
    <xf numFmtId="0" fontId="44" fillId="3" borderId="35" xfId="0" applyFont="1" applyFill="1" applyBorder="1" applyAlignment="1">
      <alignment horizontal="center"/>
    </xf>
    <xf numFmtId="0" fontId="44" fillId="3" borderId="1" xfId="0" applyFont="1" applyFill="1" applyBorder="1" applyAlignment="1">
      <alignment horizontal="center"/>
    </xf>
    <xf numFmtId="0" fontId="202" fillId="34" borderId="22" xfId="156" applyFont="1" applyFill="1" applyBorder="1" applyAlignment="1">
      <alignment horizontal="center" vertical="center" wrapText="1"/>
    </xf>
    <xf numFmtId="0" fontId="202" fillId="34" borderId="30" xfId="156" applyFont="1" applyFill="1" applyBorder="1" applyAlignment="1">
      <alignment horizontal="center" vertical="center" wrapText="1"/>
    </xf>
    <xf numFmtId="0" fontId="202" fillId="34" borderId="24" xfId="156" applyFont="1" applyFill="1" applyBorder="1" applyAlignment="1">
      <alignment horizontal="center" vertical="center" wrapText="1"/>
    </xf>
    <xf numFmtId="0" fontId="203" fillId="34" borderId="11" xfId="156" applyFont="1" applyFill="1" applyBorder="1" applyAlignment="1">
      <alignment horizontal="center" vertical="center" wrapText="1"/>
    </xf>
    <xf numFmtId="0" fontId="203" fillId="34" borderId="13" xfId="156" applyFont="1" applyFill="1" applyBorder="1" applyAlignment="1">
      <alignment horizontal="center" vertical="center" wrapText="1"/>
    </xf>
    <xf numFmtId="0" fontId="50" fillId="32" borderId="31" xfId="0" applyFont="1" applyFill="1" applyBorder="1" applyAlignment="1" applyProtection="1">
      <alignment horizontal="left"/>
      <protection locked="0"/>
    </xf>
    <xf numFmtId="0" fontId="50" fillId="32" borderId="40" xfId="0" applyFont="1" applyFill="1" applyBorder="1" applyAlignment="1" applyProtection="1">
      <alignment horizontal="left"/>
      <protection locked="0"/>
    </xf>
    <xf numFmtId="0" fontId="0" fillId="0" borderId="1" xfId="0" applyBorder="1" applyAlignment="1">
      <alignment horizontal="center"/>
    </xf>
    <xf numFmtId="0" fontId="44" fillId="3" borderId="14" xfId="0" applyFont="1" applyFill="1" applyBorder="1" applyAlignment="1">
      <alignment horizontal="center"/>
    </xf>
    <xf numFmtId="0" fontId="44" fillId="3" borderId="4" xfId="142" applyNumberFormat="1" applyFont="1" applyFill="1" applyBorder="1" applyAlignment="1">
      <alignment horizontal="center"/>
    </xf>
    <xf numFmtId="0" fontId="44" fillId="3" borderId="2" xfId="142" applyNumberFormat="1" applyFont="1" applyFill="1" applyBorder="1" applyAlignment="1">
      <alignment horizontal="center"/>
    </xf>
    <xf numFmtId="0" fontId="44" fillId="3" borderId="0" xfId="0" applyFont="1" applyFill="1" applyAlignment="1">
      <alignment horizontal="center"/>
    </xf>
    <xf numFmtId="0" fontId="2" fillId="0" borderId="9" xfId="0" applyFont="1" applyBorder="1" applyAlignment="1">
      <alignment horizontal="center" vertical="center"/>
    </xf>
    <xf numFmtId="0" fontId="29" fillId="3" borderId="22" xfId="0" applyFont="1" applyFill="1" applyBorder="1" applyAlignment="1">
      <alignment horizontal="center" vertical="center"/>
    </xf>
    <xf numFmtId="0" fontId="29" fillId="3" borderId="24" xfId="0" applyFont="1" applyFill="1" applyBorder="1" applyAlignment="1">
      <alignment horizontal="center" vertical="center"/>
    </xf>
    <xf numFmtId="0" fontId="0" fillId="0" borderId="33" xfId="0" applyBorder="1" applyAlignment="1">
      <alignment horizontal="center"/>
    </xf>
    <xf numFmtId="0" fontId="0" fillId="0" borderId="34" xfId="0" applyBorder="1" applyAlignment="1">
      <alignment horizontal="center"/>
    </xf>
    <xf numFmtId="0" fontId="0" fillId="0" borderId="35" xfId="0" applyBorder="1" applyAlignment="1">
      <alignment horizontal="center"/>
    </xf>
    <xf numFmtId="0" fontId="46" fillId="3" borderId="0" xfId="0" applyFont="1" applyFill="1" applyAlignment="1">
      <alignment horizontal="center"/>
    </xf>
    <xf numFmtId="0" fontId="50" fillId="38" borderId="22" xfId="0" applyFont="1" applyFill="1" applyBorder="1" applyAlignment="1">
      <alignment horizontal="center"/>
    </xf>
    <xf numFmtId="0" fontId="50" fillId="38" borderId="30" xfId="0" applyFont="1" applyFill="1" applyBorder="1" applyAlignment="1">
      <alignment horizontal="center"/>
    </xf>
    <xf numFmtId="0" fontId="50" fillId="38" borderId="24" xfId="0" applyFont="1" applyFill="1" applyBorder="1" applyAlignment="1">
      <alignment horizontal="center"/>
    </xf>
    <xf numFmtId="0" fontId="46" fillId="3" borderId="22" xfId="0" applyFont="1" applyFill="1" applyBorder="1" applyAlignment="1">
      <alignment horizontal="center" vertical="center"/>
    </xf>
    <xf numFmtId="0" fontId="46" fillId="3" borderId="30" xfId="0" applyFont="1" applyFill="1" applyBorder="1" applyAlignment="1">
      <alignment horizontal="center" vertical="center"/>
    </xf>
    <xf numFmtId="0" fontId="46" fillId="3" borderId="24" xfId="0" applyFont="1" applyFill="1" applyBorder="1" applyAlignment="1">
      <alignment horizontal="center" vertical="center"/>
    </xf>
    <xf numFmtId="0" fontId="50" fillId="28" borderId="22" xfId="0" applyFont="1" applyFill="1" applyBorder="1" applyAlignment="1">
      <alignment horizontal="center"/>
    </xf>
    <xf numFmtId="0" fontId="50" fillId="28" borderId="30" xfId="0" applyFont="1" applyFill="1" applyBorder="1" applyAlignment="1">
      <alignment horizontal="center"/>
    </xf>
    <xf numFmtId="0" fontId="50" fillId="28" borderId="24" xfId="0" applyFont="1" applyFill="1" applyBorder="1" applyAlignment="1">
      <alignment horizontal="center"/>
    </xf>
    <xf numFmtId="0" fontId="44" fillId="3" borderId="22" xfId="0" applyFont="1" applyFill="1" applyBorder="1" applyAlignment="1">
      <alignment horizontal="center"/>
    </xf>
    <xf numFmtId="0" fontId="44" fillId="3" borderId="24" xfId="0" applyFont="1" applyFill="1" applyBorder="1" applyAlignment="1">
      <alignment horizontal="center"/>
    </xf>
    <xf numFmtId="0" fontId="46" fillId="3" borderId="1" xfId="0" applyFont="1" applyFill="1" applyBorder="1" applyAlignment="1">
      <alignment horizontal="center" vertical="center"/>
    </xf>
    <xf numFmtId="0" fontId="0" fillId="0" borderId="1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50" fillId="32" borderId="31" xfId="0" applyFont="1" applyFill="1" applyBorder="1" applyAlignment="1" applyProtection="1">
      <alignment horizontal="center"/>
      <protection locked="0"/>
    </xf>
    <xf numFmtId="0" fontId="50" fillId="32" borderId="41" xfId="0" applyFont="1" applyFill="1" applyBorder="1" applyAlignment="1" applyProtection="1">
      <alignment horizontal="center"/>
      <protection locked="0"/>
    </xf>
    <xf numFmtId="0" fontId="196" fillId="41" borderId="11" xfId="0" applyFont="1" applyFill="1" applyBorder="1" applyAlignment="1">
      <alignment horizontal="center" vertical="center" wrapText="1"/>
    </xf>
    <xf numFmtId="0" fontId="196" fillId="41" borderId="13" xfId="0" applyFont="1" applyFill="1" applyBorder="1" applyAlignment="1">
      <alignment horizontal="center" vertical="center" wrapText="1"/>
    </xf>
  </cellXfs>
  <cellStyles count="159">
    <cellStyle name="0,0_x000d__x000a_NA_x000d__x000a_" xfId="1" xr:uid="{00000000-0005-0000-0000-000000000000}"/>
    <cellStyle name="0,0_x000d__x000a_NA_x000d__x000a_ 2" xfId="2" xr:uid="{00000000-0005-0000-0000-000001000000}"/>
    <cellStyle name="Calculation" xfId="3" builtinId="22"/>
    <cellStyle name="Comma" xfId="4" builtinId="3"/>
    <cellStyle name="Comma 10" xfId="5" xr:uid="{00000000-0005-0000-0000-000004000000}"/>
    <cellStyle name="Comma 10 2" xfId="6" xr:uid="{00000000-0005-0000-0000-000005000000}"/>
    <cellStyle name="Comma 10 2 2" xfId="7" xr:uid="{00000000-0005-0000-0000-000006000000}"/>
    <cellStyle name="Comma 10 2 2 2" xfId="8" xr:uid="{00000000-0005-0000-0000-000007000000}"/>
    <cellStyle name="Comma 10 2 3" xfId="9" xr:uid="{00000000-0005-0000-0000-000008000000}"/>
    <cellStyle name="Comma 10 2 3 2" xfId="10" xr:uid="{00000000-0005-0000-0000-000009000000}"/>
    <cellStyle name="Comma 10 2 4" xfId="11" xr:uid="{00000000-0005-0000-0000-00000A000000}"/>
    <cellStyle name="Comma 10 3" xfId="12" xr:uid="{00000000-0005-0000-0000-00000B000000}"/>
    <cellStyle name="Comma 10 3 2" xfId="13" xr:uid="{00000000-0005-0000-0000-00000C000000}"/>
    <cellStyle name="Comma 10 4" xfId="14" xr:uid="{00000000-0005-0000-0000-00000D000000}"/>
    <cellStyle name="Comma 10 4 2" xfId="15" xr:uid="{00000000-0005-0000-0000-00000E000000}"/>
    <cellStyle name="Comma 10 5" xfId="16" xr:uid="{00000000-0005-0000-0000-00000F000000}"/>
    <cellStyle name="Comma 10 5 2" xfId="17" xr:uid="{00000000-0005-0000-0000-000010000000}"/>
    <cellStyle name="Comma 10 6" xfId="18" xr:uid="{00000000-0005-0000-0000-000011000000}"/>
    <cellStyle name="Comma 10 7" xfId="128" xr:uid="{179CD10F-858E-4B06-9EAA-958CBEB1C6D7}"/>
    <cellStyle name="Comma 11" xfId="19" xr:uid="{00000000-0005-0000-0000-000012000000}"/>
    <cellStyle name="Comma 11 2" xfId="20" xr:uid="{00000000-0005-0000-0000-000013000000}"/>
    <cellStyle name="Comma 11 2 2" xfId="21" xr:uid="{00000000-0005-0000-0000-000014000000}"/>
    <cellStyle name="Comma 11 2 2 2" xfId="22" xr:uid="{00000000-0005-0000-0000-000015000000}"/>
    <cellStyle name="Comma 11 2 3" xfId="23" xr:uid="{00000000-0005-0000-0000-000016000000}"/>
    <cellStyle name="Comma 11 2 3 2" xfId="24" xr:uid="{00000000-0005-0000-0000-000017000000}"/>
    <cellStyle name="Comma 11 2 4" xfId="25" xr:uid="{00000000-0005-0000-0000-000018000000}"/>
    <cellStyle name="Comma 11 3" xfId="26" xr:uid="{00000000-0005-0000-0000-000019000000}"/>
    <cellStyle name="Comma 11 3 2" xfId="27" xr:uid="{00000000-0005-0000-0000-00001A000000}"/>
    <cellStyle name="Comma 11 4" xfId="28" xr:uid="{00000000-0005-0000-0000-00001B000000}"/>
    <cellStyle name="Comma 11 4 2" xfId="29" xr:uid="{00000000-0005-0000-0000-00001C000000}"/>
    <cellStyle name="Comma 11 5" xfId="30" xr:uid="{00000000-0005-0000-0000-00001D000000}"/>
    <cellStyle name="Comma 11 5 2" xfId="31" xr:uid="{00000000-0005-0000-0000-00001E000000}"/>
    <cellStyle name="Comma 11 6" xfId="32" xr:uid="{00000000-0005-0000-0000-00001F000000}"/>
    <cellStyle name="Comma 12" xfId="33" xr:uid="{00000000-0005-0000-0000-000020000000}"/>
    <cellStyle name="Comma 12 2" xfId="34" xr:uid="{00000000-0005-0000-0000-000021000000}"/>
    <cellStyle name="Comma 12 2 2" xfId="35" xr:uid="{00000000-0005-0000-0000-000022000000}"/>
    <cellStyle name="Comma 12 2 2 2" xfId="36" xr:uid="{00000000-0005-0000-0000-000023000000}"/>
    <cellStyle name="Comma 12 2 3" xfId="37" xr:uid="{00000000-0005-0000-0000-000024000000}"/>
    <cellStyle name="Comma 12 2 3 2" xfId="38" xr:uid="{00000000-0005-0000-0000-000025000000}"/>
    <cellStyle name="Comma 12 2 4" xfId="39" xr:uid="{00000000-0005-0000-0000-000026000000}"/>
    <cellStyle name="Comma 12 3" xfId="40" xr:uid="{00000000-0005-0000-0000-000027000000}"/>
    <cellStyle name="Comma 12 3 2" xfId="41" xr:uid="{00000000-0005-0000-0000-000028000000}"/>
    <cellStyle name="Comma 12 4" xfId="42" xr:uid="{00000000-0005-0000-0000-000029000000}"/>
    <cellStyle name="Comma 12 4 2" xfId="43" xr:uid="{00000000-0005-0000-0000-00002A000000}"/>
    <cellStyle name="Comma 12 5" xfId="44" xr:uid="{00000000-0005-0000-0000-00002B000000}"/>
    <cellStyle name="Comma 12 5 2" xfId="45" xr:uid="{00000000-0005-0000-0000-00002C000000}"/>
    <cellStyle name="Comma 12 6" xfId="46" xr:uid="{00000000-0005-0000-0000-00002D000000}"/>
    <cellStyle name="Comma 13" xfId="47" xr:uid="{00000000-0005-0000-0000-00002E000000}"/>
    <cellStyle name="Comma 13 2" xfId="48" xr:uid="{00000000-0005-0000-0000-00002F000000}"/>
    <cellStyle name="Comma 2" xfId="49" xr:uid="{00000000-0005-0000-0000-000030000000}"/>
    <cellStyle name="Comma 2 2" xfId="144" xr:uid="{F60EC47C-44A3-4CEA-A3E6-01092D1672C2}"/>
    <cellStyle name="Comma 2 4" xfId="158" xr:uid="{88473797-64D9-4278-8523-1FD87D91C13D}"/>
    <cellStyle name="Comma 3" xfId="50" xr:uid="{00000000-0005-0000-0000-000031000000}"/>
    <cellStyle name="Comma 3 2" xfId="151" xr:uid="{8B0F9553-A1AB-4C06-9E83-064ABED0594F}"/>
    <cellStyle name="Comma 3 3" xfId="145" xr:uid="{98B1E665-888D-42C8-B700-A88E225231E8}"/>
    <cellStyle name="Comma 4" xfId="51" xr:uid="{00000000-0005-0000-0000-000032000000}"/>
    <cellStyle name="Comma 5" xfId="52" xr:uid="{00000000-0005-0000-0000-000033000000}"/>
    <cellStyle name="Comma 6" xfId="53" xr:uid="{00000000-0005-0000-0000-000034000000}"/>
    <cellStyle name="Comma 7" xfId="54" xr:uid="{00000000-0005-0000-0000-000035000000}"/>
    <cellStyle name="Comma 8" xfId="55" xr:uid="{00000000-0005-0000-0000-000036000000}"/>
    <cellStyle name="Comma 9" xfId="56" xr:uid="{00000000-0005-0000-0000-000037000000}"/>
    <cellStyle name="Comma 9 2" xfId="57" xr:uid="{00000000-0005-0000-0000-000038000000}"/>
    <cellStyle name="Currency" xfId="58" builtinId="4"/>
    <cellStyle name="Currency 2" xfId="59" xr:uid="{00000000-0005-0000-0000-00003A000000}"/>
    <cellStyle name="Currency 2 2" xfId="60" xr:uid="{00000000-0005-0000-0000-00003B000000}"/>
    <cellStyle name="Currency 2 3" xfId="146" xr:uid="{D411C2B9-6836-4242-80B4-CA94B7D01B21}"/>
    <cellStyle name="Currency 3" xfId="61" xr:uid="{00000000-0005-0000-0000-00003C000000}"/>
    <cellStyle name="Currency 3 2" xfId="62" xr:uid="{00000000-0005-0000-0000-00003D000000}"/>
    <cellStyle name="Currency 3 2 2" xfId="63" xr:uid="{00000000-0005-0000-0000-00003E000000}"/>
    <cellStyle name="Currency 3 2 2 2" xfId="64" xr:uid="{00000000-0005-0000-0000-00003F000000}"/>
    <cellStyle name="Currency 3 2 3" xfId="65" xr:uid="{00000000-0005-0000-0000-000040000000}"/>
    <cellStyle name="Currency 3 2 3 2" xfId="66" xr:uid="{00000000-0005-0000-0000-000041000000}"/>
    <cellStyle name="Currency 3 2 4" xfId="67" xr:uid="{00000000-0005-0000-0000-000042000000}"/>
    <cellStyle name="Currency 3 3" xfId="68" xr:uid="{00000000-0005-0000-0000-000043000000}"/>
    <cellStyle name="Currency 3 3 2" xfId="69" xr:uid="{00000000-0005-0000-0000-000044000000}"/>
    <cellStyle name="Currency 3 4" xfId="70" xr:uid="{00000000-0005-0000-0000-000045000000}"/>
    <cellStyle name="Currency 3 4 2" xfId="71" xr:uid="{00000000-0005-0000-0000-000046000000}"/>
    <cellStyle name="Currency 3 5" xfId="72" xr:uid="{00000000-0005-0000-0000-000047000000}"/>
    <cellStyle name="Currency 3 5 2" xfId="73" xr:uid="{00000000-0005-0000-0000-000048000000}"/>
    <cellStyle name="Currency 3 6" xfId="74" xr:uid="{00000000-0005-0000-0000-000049000000}"/>
    <cellStyle name="Currency 4" xfId="75" xr:uid="{00000000-0005-0000-0000-00004A000000}"/>
    <cellStyle name="Currency 4 2" xfId="76" xr:uid="{00000000-0005-0000-0000-00004B000000}"/>
    <cellStyle name="Currency 4 2 2" xfId="77" xr:uid="{00000000-0005-0000-0000-00004C000000}"/>
    <cellStyle name="Currency 4 2 2 2" xfId="78" xr:uid="{00000000-0005-0000-0000-00004D000000}"/>
    <cellStyle name="Currency 4 2 3" xfId="79" xr:uid="{00000000-0005-0000-0000-00004E000000}"/>
    <cellStyle name="Currency 4 2 3 2" xfId="80" xr:uid="{00000000-0005-0000-0000-00004F000000}"/>
    <cellStyle name="Currency 4 2 4" xfId="81" xr:uid="{00000000-0005-0000-0000-000050000000}"/>
    <cellStyle name="Currency 4 3" xfId="82" xr:uid="{00000000-0005-0000-0000-000051000000}"/>
    <cellStyle name="Currency 4 3 2" xfId="83" xr:uid="{00000000-0005-0000-0000-000052000000}"/>
    <cellStyle name="Currency 4 4" xfId="84" xr:uid="{00000000-0005-0000-0000-000053000000}"/>
    <cellStyle name="Currency 4 4 2" xfId="85" xr:uid="{00000000-0005-0000-0000-000054000000}"/>
    <cellStyle name="Currency 4 5" xfId="86" xr:uid="{00000000-0005-0000-0000-000055000000}"/>
    <cellStyle name="Currency 4 5 2" xfId="87" xr:uid="{00000000-0005-0000-0000-000056000000}"/>
    <cellStyle name="Currency 4 6" xfId="88" xr:uid="{00000000-0005-0000-0000-000057000000}"/>
    <cellStyle name="Currency 5" xfId="89" xr:uid="{00000000-0005-0000-0000-000058000000}"/>
    <cellStyle name="Currency 5 2" xfId="90" xr:uid="{00000000-0005-0000-0000-000059000000}"/>
    <cellStyle name="Currency 5 2 2" xfId="91" xr:uid="{00000000-0005-0000-0000-00005A000000}"/>
    <cellStyle name="Currency 5 2 2 2" xfId="92" xr:uid="{00000000-0005-0000-0000-00005B000000}"/>
    <cellStyle name="Currency 5 2 3" xfId="93" xr:uid="{00000000-0005-0000-0000-00005C000000}"/>
    <cellStyle name="Currency 5 2 3 2" xfId="94" xr:uid="{00000000-0005-0000-0000-00005D000000}"/>
    <cellStyle name="Currency 5 2 4" xfId="95" xr:uid="{00000000-0005-0000-0000-00005E000000}"/>
    <cellStyle name="Currency 5 2 5" xfId="152" xr:uid="{CBDA3B9F-8407-4ECB-B03A-17C069F11CF2}"/>
    <cellStyle name="Currency 5 3" xfId="96" xr:uid="{00000000-0005-0000-0000-00005F000000}"/>
    <cellStyle name="Currency 5 3 2" xfId="97" xr:uid="{00000000-0005-0000-0000-000060000000}"/>
    <cellStyle name="Currency 5 4" xfId="98" xr:uid="{00000000-0005-0000-0000-000061000000}"/>
    <cellStyle name="Currency 5 4 2" xfId="99" xr:uid="{00000000-0005-0000-0000-000062000000}"/>
    <cellStyle name="Currency 5 5" xfId="100" xr:uid="{00000000-0005-0000-0000-000063000000}"/>
    <cellStyle name="Currency 5 5 2" xfId="101" xr:uid="{00000000-0005-0000-0000-000064000000}"/>
    <cellStyle name="Currency 5 6" xfId="102" xr:uid="{00000000-0005-0000-0000-000065000000}"/>
    <cellStyle name="Currency 6" xfId="103" xr:uid="{00000000-0005-0000-0000-000066000000}"/>
    <cellStyle name="Currency 6 2" xfId="104" xr:uid="{00000000-0005-0000-0000-000067000000}"/>
    <cellStyle name="Currency 7" xfId="147" xr:uid="{A4E77B85-1A96-43E6-ACED-7E443A087F18}"/>
    <cellStyle name="Explanatory Text" xfId="155" builtinId="53"/>
    <cellStyle name="Hyperlink" xfId="105" builtinId="8"/>
    <cellStyle name="Hyperlink 2" xfId="106" xr:uid="{00000000-0005-0000-0000-000069000000}"/>
    <cellStyle name="Hyperlink 3" xfId="107" xr:uid="{00000000-0005-0000-0000-00006A000000}"/>
    <cellStyle name="Hyperlink 4" xfId="153" xr:uid="{62E23925-3DC8-40D4-9033-9E334964DE68}"/>
    <cellStyle name="Normal" xfId="0" builtinId="0"/>
    <cellStyle name="Normal 10" xfId="136" xr:uid="{CAC7640A-4049-45F4-85D7-431CFDA3E0D8}"/>
    <cellStyle name="Normal 10 5" xfId="156" xr:uid="{470F90D4-31E5-4A55-859B-F8351B795AE1}"/>
    <cellStyle name="Normal 11" xfId="137" xr:uid="{38A8DCC6-2435-4E57-91F2-7CE1B9D0FC0F}"/>
    <cellStyle name="Normal 12" xfId="138" xr:uid="{717214B7-8237-49A3-966D-906B6E652723}"/>
    <cellStyle name="Normal 13" xfId="139" xr:uid="{9B379075-F661-4DFF-BC70-73FF5B1CFF6A}"/>
    <cellStyle name="Normal 14" xfId="140" xr:uid="{5EC37892-6FE7-4931-B34C-61871BEED71C}"/>
    <cellStyle name="Normal 15" xfId="141" xr:uid="{D2562970-EBAE-4D86-9570-08B9B9C9CC51}"/>
    <cellStyle name="Normal 16" xfId="142" xr:uid="{32CCF340-5B2F-4078-AE98-8F7C1AE15B6B}"/>
    <cellStyle name="Normal 17" xfId="133" xr:uid="{B4E6533A-203C-47E1-BE03-E876A158417B}"/>
    <cellStyle name="Normal 18" xfId="143" xr:uid="{B5DFD65C-AF8F-4CAD-BB9D-5C4750FA4D21}"/>
    <cellStyle name="Normal 2" xfId="108" xr:uid="{00000000-0005-0000-0000-00006C000000}"/>
    <cellStyle name="Normal 2 2" xfId="109" xr:uid="{00000000-0005-0000-0000-00006D000000}"/>
    <cellStyle name="Normal 2 2 3" xfId="129" xr:uid="{A23F3FCA-BB52-48A5-93B9-BE15902A04D2}"/>
    <cellStyle name="Normal 2 3" xfId="110" xr:uid="{00000000-0005-0000-0000-00006E000000}"/>
    <cellStyle name="Normal 2 3 3" xfId="130" xr:uid="{29907AF3-D220-4AB9-BC73-DFF1820332F6}"/>
    <cellStyle name="Normal 2 5 3 2" xfId="111" xr:uid="{00000000-0005-0000-0000-00006F000000}"/>
    <cellStyle name="Normal 2 7" xfId="157" xr:uid="{71345C04-EAF1-4ED5-A5F5-25A92252E0C0}"/>
    <cellStyle name="Normal 2_Wattage Table" xfId="112" xr:uid="{00000000-0005-0000-0000-000070000000}"/>
    <cellStyle name="Normal 3" xfId="113" xr:uid="{00000000-0005-0000-0000-000071000000}"/>
    <cellStyle name="Normal 4" xfId="126" xr:uid="{927C085A-EFDB-42E6-8001-52D0AB61A98C}"/>
    <cellStyle name="Normal 5" xfId="127" xr:uid="{F7BDE7F9-7BBA-41C4-9E7F-D439154DBCED}"/>
    <cellStyle name="Normal 6" xfId="132" xr:uid="{13C8DFA2-E5F6-415B-9988-613461BD0016}"/>
    <cellStyle name="Normal 7" xfId="131" xr:uid="{2EBCDABA-EB6C-4C66-BD43-25D4DE2BFE43}"/>
    <cellStyle name="Normal 8" xfId="134" xr:uid="{358B1D53-CF8E-4E11-917A-4D6DF39B9F13}"/>
    <cellStyle name="Normal 9" xfId="135" xr:uid="{46CDEB1B-7FB3-45D5-A6B4-274F22009579}"/>
    <cellStyle name="Normal_Fin03-ExclProds" xfId="125" xr:uid="{AAC3244E-B80C-4850-A3FE-719984007601}"/>
    <cellStyle name="Normal_Lookup" xfId="148" xr:uid="{FBBE7400-8B15-43A2-A731-94B682CDA6B9}"/>
    <cellStyle name="Normal_QA Sample NTG for Year Testing_Ivy 02222011 (2)" xfId="154" xr:uid="{2710E24E-D569-48C6-AEFB-4D050B49A513}"/>
    <cellStyle name="Normal_Sel03-Exclude_Other" xfId="114" xr:uid="{00000000-0005-0000-0000-000072000000}"/>
    <cellStyle name="Percent" xfId="115" builtinId="5"/>
    <cellStyle name="Percent 2" xfId="116" xr:uid="{00000000-0005-0000-0000-000074000000}"/>
    <cellStyle name="Percent 2 2" xfId="150" xr:uid="{2CE883D2-C9BA-4324-9FB2-0E6B6D765C6A}"/>
    <cellStyle name="Percent 2 3" xfId="149" xr:uid="{936B51BD-715B-4640-8C5C-2731894B5176}"/>
    <cellStyle name="Percent 3" xfId="117" xr:uid="{00000000-0005-0000-0000-000075000000}"/>
    <cellStyle name="Percent 4" xfId="118" xr:uid="{00000000-0005-0000-0000-000076000000}"/>
    <cellStyle name="Percent 5" xfId="119" xr:uid="{00000000-0005-0000-0000-000077000000}"/>
    <cellStyle name="Percent 6" xfId="120" xr:uid="{00000000-0005-0000-0000-000078000000}"/>
    <cellStyle name="Percent 7" xfId="121" xr:uid="{00000000-0005-0000-0000-000079000000}"/>
    <cellStyle name="Percent 8" xfId="122" xr:uid="{00000000-0005-0000-0000-00007A000000}"/>
    <cellStyle name="Percent 9" xfId="123" xr:uid="{00000000-0005-0000-0000-00007B000000}"/>
    <cellStyle name="Percent 9 2" xfId="124" xr:uid="{00000000-0005-0000-0000-00007C000000}"/>
  </cellStyles>
  <dxfs count="101">
    <dxf>
      <font>
        <color auto="1"/>
      </font>
      <fill>
        <patternFill>
          <bgColor theme="0" tint="-0.14996795556505021"/>
        </patternFill>
      </fill>
      <border>
        <left style="thin">
          <color auto="1"/>
        </left>
        <right style="thin">
          <color auto="1"/>
        </right>
        <top style="thin">
          <color auto="1"/>
        </top>
        <bottom style="thin">
          <color auto="1"/>
        </bottom>
        <vertical/>
        <horizontal/>
      </border>
    </dxf>
    <dxf>
      <font>
        <b/>
        <i val="0"/>
        <color theme="1"/>
      </font>
      <border>
        <left style="thin">
          <color auto="1"/>
        </left>
        <right style="thin">
          <color auto="1"/>
        </right>
        <top style="thin">
          <color auto="1"/>
        </top>
        <bottom style="thin">
          <color auto="1"/>
        </bottom>
        <vertical/>
        <horizontal/>
      </border>
    </dxf>
    <dxf>
      <font>
        <color auto="1"/>
      </font>
      <border>
        <left style="thin">
          <color indexed="64"/>
        </left>
        <right style="thin">
          <color indexed="64"/>
        </right>
        <top style="thin">
          <color indexed="64"/>
        </top>
        <bottom style="thin">
          <color indexed="64"/>
        </bottom>
      </border>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ont>
        <color rgb="FF9C0006"/>
      </font>
    </dxf>
    <dxf>
      <font>
        <color theme="6" tint="-0.24994659260841701"/>
      </font>
    </dxf>
    <dxf>
      <font>
        <color rgb="FF9C0006"/>
      </font>
    </dxf>
    <dxf>
      <font>
        <color rgb="FF9C0006"/>
      </font>
    </dxf>
    <dxf>
      <font>
        <color theme="6" tint="-0.24994659260841701"/>
      </font>
    </dxf>
    <dxf>
      <font>
        <color rgb="FF9C0006"/>
      </font>
    </dxf>
    <dxf>
      <font>
        <color rgb="FF9C0006"/>
      </font>
    </dxf>
    <dxf>
      <font>
        <color rgb="FF9C0006"/>
      </font>
    </dxf>
    <dxf>
      <font>
        <color rgb="FF9C0006"/>
      </font>
    </dxf>
    <dxf>
      <font>
        <color theme="6" tint="-0.24994659260841701"/>
      </font>
    </dxf>
    <dxf>
      <font>
        <color rgb="FF9C0006"/>
      </font>
    </dxf>
    <dxf>
      <font>
        <color theme="6" tint="-0.24994659260841701"/>
      </font>
    </dxf>
    <dxf>
      <font>
        <color rgb="FF9C0006"/>
      </font>
    </dxf>
    <dxf>
      <font>
        <color theme="6" tint="-0.24994659260841701"/>
      </font>
    </dxf>
    <dxf>
      <font>
        <color rgb="FF9C0006"/>
      </font>
    </dxf>
    <dxf>
      <font>
        <color rgb="FF9C0006"/>
      </font>
    </dxf>
    <dxf>
      <font>
        <color theme="6" tint="-0.24994659260841701"/>
      </font>
    </dxf>
    <dxf>
      <font>
        <color rgb="FF9C0006"/>
      </font>
    </dxf>
    <dxf>
      <font>
        <color rgb="FF9C0006"/>
      </font>
    </dxf>
    <dxf>
      <fill>
        <patternFill patternType="solid">
          <fgColor theme="0"/>
          <bgColor theme="0" tint="-0.14996795556505021"/>
        </patternFill>
      </fill>
      <border>
        <bottom style="thin">
          <color auto="1"/>
        </bottom>
        <vertical/>
        <horizontal/>
      </border>
    </dxf>
    <dxf>
      <fill>
        <patternFill patternType="solid">
          <fgColor theme="0"/>
          <bgColor theme="0" tint="-0.14996795556505021"/>
        </patternFill>
      </fill>
      <border>
        <bottom style="thin">
          <color auto="1"/>
        </bottom>
        <vertical/>
        <horizontal/>
      </border>
    </dxf>
    <dxf>
      <font>
        <u val="none"/>
        <color auto="1"/>
      </font>
      <border>
        <bottom style="thin">
          <color auto="1"/>
        </bottom>
      </border>
    </dxf>
    <dxf>
      <font>
        <b/>
        <i val="0"/>
        <strike val="0"/>
        <u val="none"/>
        <color auto="1"/>
      </font>
      <border>
        <left/>
        <right/>
        <top/>
        <bottom/>
      </border>
    </dxf>
    <dxf>
      <font>
        <b/>
        <i val="0"/>
        <color auto="1"/>
      </font>
    </dxf>
    <dxf>
      <font>
        <b/>
        <i val="0"/>
        <color auto="1"/>
      </font>
    </dxf>
    <dxf>
      <fill>
        <patternFill>
          <bgColor theme="0" tint="-0.14996795556505021"/>
        </patternFill>
      </fill>
    </dxf>
    <dxf>
      <fill>
        <patternFill>
          <bgColor theme="0" tint="-0.14996795556505021"/>
        </patternFill>
      </fill>
      <border>
        <bottom style="thin">
          <color auto="1"/>
        </bottom>
        <vertical/>
        <horizontal/>
      </border>
    </dxf>
    <dxf>
      <fill>
        <patternFill>
          <bgColor theme="0" tint="-0.14996795556505021"/>
        </patternFill>
      </fill>
      <border>
        <bottom style="thin">
          <color auto="1"/>
        </bottom>
        <vertical/>
        <horizontal/>
      </border>
    </dxf>
    <dxf>
      <fill>
        <patternFill>
          <bgColor theme="0" tint="-0.14996795556505021"/>
        </patternFill>
      </fill>
      <border>
        <bottom style="thin">
          <color auto="1"/>
        </bottom>
        <vertical/>
        <horizontal/>
      </border>
    </dxf>
    <dxf>
      <fill>
        <patternFill>
          <bgColor theme="0" tint="-0.14996795556505021"/>
        </patternFill>
      </fill>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u val="none"/>
        <color theme="0"/>
      </font>
      <fill>
        <patternFill patternType="solid">
          <fgColor auto="1"/>
          <bgColor auto="1"/>
        </patternFill>
      </fill>
      <border>
        <left/>
        <right/>
        <top/>
        <bottom/>
      </border>
    </dxf>
    <dxf>
      <font>
        <b val="0"/>
        <i/>
        <color theme="0" tint="-0.24994659260841701"/>
      </font>
      <fill>
        <patternFill patternType="none">
          <bgColor auto="1"/>
        </patternFill>
      </fill>
      <border>
        <left/>
        <right/>
        <top/>
        <bottom/>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1"/>
      </font>
      <fill>
        <patternFill>
          <bgColor theme="0" tint="-0.14996795556505021"/>
        </patternFill>
      </fill>
      <border>
        <bottom style="thin">
          <color auto="1"/>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strike val="0"/>
        <u val="none"/>
        <color theme="0"/>
      </font>
      <fill>
        <patternFill patternType="none">
          <fgColor indexed="64"/>
          <bgColor auto="1"/>
        </patternFill>
      </fill>
      <border>
        <left/>
        <right/>
        <top/>
        <bottom/>
        <vertical/>
        <horizontal/>
      </border>
    </dxf>
    <dxf>
      <font>
        <u val="none"/>
        <color theme="0"/>
      </font>
      <fill>
        <patternFill patternType="solid">
          <fgColor theme="0"/>
          <bgColor auto="1"/>
        </patternFill>
      </fill>
      <border>
        <left/>
        <right/>
        <top/>
        <bottom/>
        <vertical/>
        <horizontal/>
      </border>
    </dxf>
    <dxf>
      <font>
        <b val="0"/>
        <i/>
        <color theme="0"/>
      </font>
      <fill>
        <patternFill patternType="none">
          <bgColor auto="1"/>
        </patternFill>
      </fill>
      <border>
        <left/>
        <right/>
        <top/>
        <bottom/>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theme="0"/>
        </patternFill>
      </fill>
    </dxf>
    <dxf>
      <font>
        <color rgb="FFFF0000"/>
      </font>
      <fill>
        <patternFill>
          <bgColor theme="0" tint="-0.34998626667073579"/>
        </patternFill>
      </fill>
    </dxf>
    <dxf>
      <font>
        <color rgb="FF9C0006"/>
      </font>
    </dxf>
    <dxf>
      <font>
        <color rgb="FFFF0000"/>
      </font>
    </dxf>
    <dxf>
      <font>
        <color rgb="FFFF0000"/>
      </font>
      <fill>
        <patternFill>
          <bgColor rgb="FFFFFF00"/>
        </patternFill>
      </fill>
    </dxf>
    <dxf>
      <font>
        <color rgb="FFFF0000"/>
        <name val="Cambria"/>
        <scheme val="none"/>
      </font>
      <fill>
        <patternFill>
          <bgColor rgb="FFFFFF0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auto="1"/>
      </font>
      <fill>
        <patternFill>
          <bgColor theme="0" tint="-0.14996795556505021"/>
        </patternFill>
      </fill>
    </dxf>
    <dxf>
      <font>
        <color theme="1" tint="0.499984740745262"/>
      </font>
      <fill>
        <patternFill>
          <bgColor theme="1" tint="0.499984740745262"/>
        </patternFill>
      </fill>
    </dxf>
    <dxf>
      <font>
        <color theme="1" tint="0.499984740745262"/>
      </font>
      <fill>
        <patternFill>
          <bgColor theme="1" tint="0.499984740745262"/>
        </patternFill>
      </fill>
    </dxf>
    <dxf>
      <font>
        <color rgb="FF9C0006"/>
      </font>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patternType="none">
          <bgColor indexed="65"/>
        </patternFill>
      </fill>
    </dxf>
    <dxf>
      <fill>
        <patternFill>
          <bgColor theme="0"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1" tint="0.14996795556505021"/>
        </patternFill>
      </fill>
    </dxf>
    <dxf>
      <fill>
        <patternFill>
          <bgColor theme="0" tint="-0.14996795556505021"/>
        </patternFill>
      </fill>
      <border>
        <left style="thin">
          <color indexed="64"/>
        </left>
        <right style="thin">
          <color indexed="64"/>
        </right>
        <top style="thin">
          <color indexed="64"/>
        </top>
        <bottom style="thin">
          <color indexed="64"/>
        </bottom>
      </border>
    </dxf>
    <dxf>
      <fill>
        <patternFill>
          <bgColor theme="0" tint="-0.14996795556505021"/>
        </patternFill>
      </fill>
      <border>
        <left style="thin">
          <color indexed="64"/>
        </left>
        <right style="thin">
          <color indexed="64"/>
        </right>
        <top style="thin">
          <color indexed="64"/>
        </top>
        <bottom style="thin">
          <color indexed="64"/>
        </bottom>
      </border>
    </dxf>
    <dxf>
      <font>
        <color rgb="FF9C0006"/>
      </font>
    </dxf>
    <dxf>
      <font>
        <b/>
        <i val="0"/>
        <color theme="0"/>
      </font>
    </dxf>
    <dxf>
      <font>
        <color theme="0"/>
      </font>
      <border>
        <left/>
        <right/>
        <top/>
        <bottom/>
        <vertical/>
        <horizontal/>
      </border>
    </dxf>
    <dxf>
      <font>
        <color theme="0"/>
      </font>
    </dxf>
    <dxf>
      <font>
        <color theme="0"/>
      </font>
    </dxf>
    <dxf>
      <font>
        <color rgb="FF9C0006"/>
      </font>
    </dxf>
    <dxf>
      <font>
        <color rgb="FF9C0006"/>
      </font>
    </dxf>
    <dxf>
      <font>
        <color rgb="FF9C0006"/>
      </font>
    </dxf>
    <dxf>
      <font>
        <color rgb="FF9C0006"/>
      </font>
    </dxf>
    <dxf>
      <font>
        <color rgb="FF9C0006"/>
      </font>
    </dxf>
    <dxf>
      <fill>
        <patternFill>
          <bgColor theme="0" tint="-0.14996795556505021"/>
        </patternFill>
      </fill>
    </dxf>
    <dxf>
      <font>
        <color rgb="FF9C0006"/>
      </font>
    </dxf>
    <dxf>
      <font>
        <color rgb="FF9C0006"/>
      </font>
    </dxf>
    <dxf>
      <font>
        <color rgb="FF9C0006"/>
      </font>
    </dxf>
  </dxfs>
  <tableStyles count="0" defaultTableStyle="TableStyleMedium2" defaultPivotStyle="PivotStyleLight16"/>
  <colors>
    <mruColors>
      <color rgb="FF142C41"/>
      <color rgb="FFF85208"/>
      <color rgb="FFD9D9D9"/>
      <color rgb="FF063F6E"/>
      <color rgb="FF655B4E"/>
      <color rgb="FFCC0000"/>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externalLink" Target="externalLinks/externalLink5.xml"/><Relationship Id="rId68" Type="http://schemas.openxmlformats.org/officeDocument/2006/relationships/externalLink" Target="externalLinks/externalLink10.xml"/><Relationship Id="rId84" Type="http://schemas.openxmlformats.org/officeDocument/2006/relationships/customXml" Target="../customXml/item2.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externalLink" Target="externalLinks/externalLink16.xml"/><Relationship Id="rId79" Type="http://schemas.openxmlformats.org/officeDocument/2006/relationships/styles" Target="styles.xml"/><Relationship Id="rId5" Type="http://schemas.openxmlformats.org/officeDocument/2006/relationships/worksheet" Target="worksheets/sheet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externalLink" Target="externalLinks/externalLink6.xml"/><Relationship Id="rId69" Type="http://schemas.openxmlformats.org/officeDocument/2006/relationships/externalLink" Target="externalLinks/externalLink11.xml"/><Relationship Id="rId77" Type="http://schemas.openxmlformats.org/officeDocument/2006/relationships/externalLink" Target="externalLinks/externalLink1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14.xml"/><Relationship Id="rId80" Type="http://schemas.openxmlformats.org/officeDocument/2006/relationships/sharedStrings" Target="sharedStrings.xml"/><Relationship Id="rId85" Type="http://schemas.openxmlformats.org/officeDocument/2006/relationships/customXml" Target="../customXml/item3.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externalLink" Target="externalLinks/externalLink1.xml"/><Relationship Id="rId67"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4.xml"/><Relationship Id="rId70" Type="http://schemas.openxmlformats.org/officeDocument/2006/relationships/externalLink" Target="externalLinks/externalLink12.xml"/><Relationship Id="rId75" Type="http://schemas.openxmlformats.org/officeDocument/2006/relationships/externalLink" Target="externalLinks/externalLink17.xml"/><Relationship Id="rId83"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externalLink" Target="externalLinks/externalLink2.xml"/><Relationship Id="rId65" Type="http://schemas.openxmlformats.org/officeDocument/2006/relationships/externalLink" Target="externalLinks/externalLink7.xml"/><Relationship Id="rId73" Type="http://schemas.openxmlformats.org/officeDocument/2006/relationships/externalLink" Target="externalLinks/externalLink15.xml"/><Relationship Id="rId78" Type="http://schemas.openxmlformats.org/officeDocument/2006/relationships/theme" Target="theme/theme1.xml"/><Relationship Id="rId81" Type="http://schemas.microsoft.com/office/2017/10/relationships/person" Target="persons/perso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externalLink" Target="externalLinks/externalLink18.xml"/><Relationship Id="rId7" Type="http://schemas.openxmlformats.org/officeDocument/2006/relationships/worksheet" Target="worksheets/sheet7.xml"/><Relationship Id="rId71" Type="http://schemas.openxmlformats.org/officeDocument/2006/relationships/externalLink" Target="externalLinks/externalLink13.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externalLink" Target="externalLinks/externalLink8.xml"/><Relationship Id="rId61" Type="http://schemas.openxmlformats.org/officeDocument/2006/relationships/externalLink" Target="externalLinks/externalLink3.xml"/><Relationship Id="rId82" Type="http://schemas.openxmlformats.org/officeDocument/2006/relationships/calcChain" Target="calcChain.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_rels/activeX10.xml.rels><?xml version="1.0" encoding="UTF-8" standalone="yes"?>
<Relationships xmlns="http://schemas.openxmlformats.org/package/2006/relationships"><Relationship Id="rId1" Type="http://schemas.microsoft.com/office/2006/relationships/activeXControlBinary" Target="activeX10.bin"/></Relationships>
</file>

<file path=xl/activeX/_rels/activeX11.xml.rels><?xml version="1.0" encoding="UTF-8" standalone="yes"?>
<Relationships xmlns="http://schemas.openxmlformats.org/package/2006/relationships"><Relationship Id="rId1" Type="http://schemas.microsoft.com/office/2006/relationships/activeXControlBinary" Target="activeX11.bin"/></Relationships>
</file>

<file path=xl/activeX/_rels/activeX12.xml.rels><?xml version="1.0" encoding="UTF-8" standalone="yes"?>
<Relationships xmlns="http://schemas.openxmlformats.org/package/2006/relationships"><Relationship Id="rId1" Type="http://schemas.microsoft.com/office/2006/relationships/activeXControlBinary" Target="activeX12.bin"/></Relationships>
</file>

<file path=xl/activeX/_rels/activeX13.xml.rels><?xml version="1.0" encoding="UTF-8" standalone="yes"?>
<Relationships xmlns="http://schemas.openxmlformats.org/package/2006/relationships"><Relationship Id="rId1" Type="http://schemas.microsoft.com/office/2006/relationships/activeXControlBinary" Target="activeX13.bin"/></Relationships>
</file>

<file path=xl/activeX/_rels/activeX14.xml.rels><?xml version="1.0" encoding="UTF-8" standalone="yes"?>
<Relationships xmlns="http://schemas.openxmlformats.org/package/2006/relationships"><Relationship Id="rId1" Type="http://schemas.microsoft.com/office/2006/relationships/activeXControlBinary" Target="activeX14.bin"/></Relationships>
</file>

<file path=xl/activeX/_rels/activeX15.xml.rels><?xml version="1.0" encoding="UTF-8" standalone="yes"?>
<Relationships xmlns="http://schemas.openxmlformats.org/package/2006/relationships"><Relationship Id="rId1" Type="http://schemas.microsoft.com/office/2006/relationships/activeXControlBinary" Target="activeX15.bin"/></Relationships>
</file>

<file path=xl/activeX/_rels/activeX16.xml.rels><?xml version="1.0" encoding="UTF-8" standalone="yes"?>
<Relationships xmlns="http://schemas.openxmlformats.org/package/2006/relationships"><Relationship Id="rId1" Type="http://schemas.microsoft.com/office/2006/relationships/activeXControlBinary" Target="activeX16.bin"/></Relationships>
</file>

<file path=xl/activeX/_rels/activeX17.xml.rels><?xml version="1.0" encoding="UTF-8" standalone="yes"?>
<Relationships xmlns="http://schemas.openxmlformats.org/package/2006/relationships"><Relationship Id="rId1" Type="http://schemas.microsoft.com/office/2006/relationships/activeXControlBinary" Target="activeX17.bin"/></Relationships>
</file>

<file path=xl/activeX/_rels/activeX18.xml.rels><?xml version="1.0" encoding="UTF-8" standalone="yes"?>
<Relationships xmlns="http://schemas.openxmlformats.org/package/2006/relationships"><Relationship Id="rId1" Type="http://schemas.microsoft.com/office/2006/relationships/activeXControlBinary" Target="activeX18.bin"/></Relationships>
</file>

<file path=xl/activeX/_rels/activeX19.xml.rels><?xml version="1.0" encoding="UTF-8" standalone="yes"?>
<Relationships xmlns="http://schemas.openxmlformats.org/package/2006/relationships"><Relationship Id="rId1" Type="http://schemas.microsoft.com/office/2006/relationships/activeXControlBinary" Target="activeX19.bin"/></Relationships>
</file>

<file path=xl/activeX/_rels/activeX2.xml.rels><?xml version="1.0" encoding="UTF-8" standalone="yes"?>
<Relationships xmlns="http://schemas.openxmlformats.org/package/2006/relationships"><Relationship Id="rId1" Type="http://schemas.microsoft.com/office/2006/relationships/activeXControlBinary" Target="activeX2.bin"/></Relationships>
</file>

<file path=xl/activeX/_rels/activeX20.xml.rels><?xml version="1.0" encoding="UTF-8" standalone="yes"?>
<Relationships xmlns="http://schemas.openxmlformats.org/package/2006/relationships"><Relationship Id="rId1" Type="http://schemas.microsoft.com/office/2006/relationships/activeXControlBinary" Target="activeX20.bin"/></Relationships>
</file>

<file path=xl/activeX/_rels/activeX21.xml.rels><?xml version="1.0" encoding="UTF-8" standalone="yes"?>
<Relationships xmlns="http://schemas.openxmlformats.org/package/2006/relationships"><Relationship Id="rId1" Type="http://schemas.microsoft.com/office/2006/relationships/activeXControlBinary" Target="activeX21.bin"/></Relationships>
</file>

<file path=xl/activeX/_rels/activeX22.xml.rels><?xml version="1.0" encoding="UTF-8" standalone="yes"?>
<Relationships xmlns="http://schemas.openxmlformats.org/package/2006/relationships"><Relationship Id="rId1" Type="http://schemas.microsoft.com/office/2006/relationships/activeXControlBinary" Target="activeX22.bin"/></Relationships>
</file>

<file path=xl/activeX/_rels/activeX23.xml.rels><?xml version="1.0" encoding="UTF-8" standalone="yes"?>
<Relationships xmlns="http://schemas.openxmlformats.org/package/2006/relationships"><Relationship Id="rId1" Type="http://schemas.microsoft.com/office/2006/relationships/activeXControlBinary" Target="activeX23.bin"/></Relationships>
</file>

<file path=xl/activeX/_rels/activeX24.xml.rels><?xml version="1.0" encoding="UTF-8" standalone="yes"?>
<Relationships xmlns="http://schemas.openxmlformats.org/package/2006/relationships"><Relationship Id="rId1" Type="http://schemas.microsoft.com/office/2006/relationships/activeXControlBinary" Target="activeX24.bin"/></Relationships>
</file>

<file path=xl/activeX/_rels/activeX25.xml.rels><?xml version="1.0" encoding="UTF-8" standalone="yes"?>
<Relationships xmlns="http://schemas.openxmlformats.org/package/2006/relationships"><Relationship Id="rId1" Type="http://schemas.microsoft.com/office/2006/relationships/activeXControlBinary" Target="activeX25.bin"/></Relationships>
</file>

<file path=xl/activeX/_rels/activeX26.xml.rels><?xml version="1.0" encoding="UTF-8" standalone="yes"?>
<Relationships xmlns="http://schemas.openxmlformats.org/package/2006/relationships"><Relationship Id="rId1" Type="http://schemas.microsoft.com/office/2006/relationships/activeXControlBinary" Target="activeX26.bin"/></Relationships>
</file>

<file path=xl/activeX/_rels/activeX27.xml.rels><?xml version="1.0" encoding="UTF-8" standalone="yes"?>
<Relationships xmlns="http://schemas.openxmlformats.org/package/2006/relationships"><Relationship Id="rId1" Type="http://schemas.microsoft.com/office/2006/relationships/activeXControlBinary" Target="activeX27.bin"/></Relationships>
</file>

<file path=xl/activeX/_rels/activeX28.xml.rels><?xml version="1.0" encoding="UTF-8" standalone="yes"?>
<Relationships xmlns="http://schemas.openxmlformats.org/package/2006/relationships"><Relationship Id="rId1" Type="http://schemas.microsoft.com/office/2006/relationships/activeXControlBinary" Target="activeX28.bin"/></Relationships>
</file>

<file path=xl/activeX/_rels/activeX29.xml.rels><?xml version="1.0" encoding="UTF-8" standalone="yes"?>
<Relationships xmlns="http://schemas.openxmlformats.org/package/2006/relationships"><Relationship Id="rId1" Type="http://schemas.microsoft.com/office/2006/relationships/activeXControlBinary" Target="activeX29.bin"/></Relationships>
</file>

<file path=xl/activeX/_rels/activeX3.xml.rels><?xml version="1.0" encoding="UTF-8" standalone="yes"?>
<Relationships xmlns="http://schemas.openxmlformats.org/package/2006/relationships"><Relationship Id="rId1" Type="http://schemas.microsoft.com/office/2006/relationships/activeXControlBinary" Target="activeX3.bin"/></Relationships>
</file>

<file path=xl/activeX/_rels/activeX30.xml.rels><?xml version="1.0" encoding="UTF-8" standalone="yes"?>
<Relationships xmlns="http://schemas.openxmlformats.org/package/2006/relationships"><Relationship Id="rId1" Type="http://schemas.microsoft.com/office/2006/relationships/activeXControlBinary" Target="activeX30.bin"/></Relationships>
</file>

<file path=xl/activeX/_rels/activeX31.xml.rels><?xml version="1.0" encoding="UTF-8" standalone="yes"?>
<Relationships xmlns="http://schemas.openxmlformats.org/package/2006/relationships"><Relationship Id="rId1" Type="http://schemas.microsoft.com/office/2006/relationships/activeXControlBinary" Target="activeX31.bin"/></Relationships>
</file>

<file path=xl/activeX/_rels/activeX32.xml.rels><?xml version="1.0" encoding="UTF-8" standalone="yes"?>
<Relationships xmlns="http://schemas.openxmlformats.org/package/2006/relationships"><Relationship Id="rId1" Type="http://schemas.microsoft.com/office/2006/relationships/activeXControlBinary" Target="activeX32.bin"/></Relationships>
</file>

<file path=xl/activeX/_rels/activeX33.xml.rels><?xml version="1.0" encoding="UTF-8" standalone="yes"?>
<Relationships xmlns="http://schemas.openxmlformats.org/package/2006/relationships"><Relationship Id="rId1" Type="http://schemas.microsoft.com/office/2006/relationships/activeXControlBinary" Target="activeX33.bin"/></Relationships>
</file>

<file path=xl/activeX/_rels/activeX34.xml.rels><?xml version="1.0" encoding="UTF-8" standalone="yes"?>
<Relationships xmlns="http://schemas.openxmlformats.org/package/2006/relationships"><Relationship Id="rId1" Type="http://schemas.microsoft.com/office/2006/relationships/activeXControlBinary" Target="activeX34.bin"/></Relationships>
</file>

<file path=xl/activeX/_rels/activeX35.xml.rels><?xml version="1.0" encoding="UTF-8" standalone="yes"?>
<Relationships xmlns="http://schemas.openxmlformats.org/package/2006/relationships"><Relationship Id="rId1" Type="http://schemas.microsoft.com/office/2006/relationships/activeXControlBinary" Target="activeX35.bin"/></Relationships>
</file>

<file path=xl/activeX/_rels/activeX36.xml.rels><?xml version="1.0" encoding="UTF-8" standalone="yes"?>
<Relationships xmlns="http://schemas.openxmlformats.org/package/2006/relationships"><Relationship Id="rId1" Type="http://schemas.microsoft.com/office/2006/relationships/activeXControlBinary" Target="activeX36.bin"/></Relationships>
</file>

<file path=xl/activeX/_rels/activeX37.xml.rels><?xml version="1.0" encoding="UTF-8" standalone="yes"?>
<Relationships xmlns="http://schemas.openxmlformats.org/package/2006/relationships"><Relationship Id="rId1" Type="http://schemas.microsoft.com/office/2006/relationships/activeXControlBinary" Target="activeX37.bin"/></Relationships>
</file>

<file path=xl/activeX/_rels/activeX38.xml.rels><?xml version="1.0" encoding="UTF-8" standalone="yes"?>
<Relationships xmlns="http://schemas.openxmlformats.org/package/2006/relationships"><Relationship Id="rId1" Type="http://schemas.microsoft.com/office/2006/relationships/activeXControlBinary" Target="activeX38.bin"/></Relationships>
</file>

<file path=xl/activeX/_rels/activeX39.xml.rels><?xml version="1.0" encoding="UTF-8" standalone="yes"?>
<Relationships xmlns="http://schemas.openxmlformats.org/package/2006/relationships"><Relationship Id="rId1" Type="http://schemas.microsoft.com/office/2006/relationships/activeXControlBinary" Target="activeX39.bin"/></Relationships>
</file>

<file path=xl/activeX/_rels/activeX4.xml.rels><?xml version="1.0" encoding="UTF-8" standalone="yes"?>
<Relationships xmlns="http://schemas.openxmlformats.org/package/2006/relationships"><Relationship Id="rId1" Type="http://schemas.microsoft.com/office/2006/relationships/activeXControlBinary" Target="activeX4.bin"/></Relationships>
</file>

<file path=xl/activeX/_rels/activeX40.xml.rels><?xml version="1.0" encoding="UTF-8" standalone="yes"?>
<Relationships xmlns="http://schemas.openxmlformats.org/package/2006/relationships"><Relationship Id="rId1" Type="http://schemas.microsoft.com/office/2006/relationships/activeXControlBinary" Target="activeX40.bin"/></Relationships>
</file>

<file path=xl/activeX/_rels/activeX41.xml.rels><?xml version="1.0" encoding="UTF-8" standalone="yes"?>
<Relationships xmlns="http://schemas.openxmlformats.org/package/2006/relationships"><Relationship Id="rId1" Type="http://schemas.microsoft.com/office/2006/relationships/activeXControlBinary" Target="activeX41.bin"/></Relationships>
</file>

<file path=xl/activeX/_rels/activeX42.xml.rels><?xml version="1.0" encoding="UTF-8" standalone="yes"?>
<Relationships xmlns="http://schemas.openxmlformats.org/package/2006/relationships"><Relationship Id="rId1" Type="http://schemas.microsoft.com/office/2006/relationships/activeXControlBinary" Target="activeX42.bin"/></Relationships>
</file>

<file path=xl/activeX/_rels/activeX43.xml.rels><?xml version="1.0" encoding="UTF-8" standalone="yes"?>
<Relationships xmlns="http://schemas.openxmlformats.org/package/2006/relationships"><Relationship Id="rId1" Type="http://schemas.microsoft.com/office/2006/relationships/activeXControlBinary" Target="activeX43.bin"/></Relationships>
</file>

<file path=xl/activeX/_rels/activeX44.xml.rels><?xml version="1.0" encoding="UTF-8" standalone="yes"?>
<Relationships xmlns="http://schemas.openxmlformats.org/package/2006/relationships"><Relationship Id="rId1" Type="http://schemas.microsoft.com/office/2006/relationships/activeXControlBinary" Target="activeX44.bin"/></Relationships>
</file>

<file path=xl/activeX/_rels/activeX45.xml.rels><?xml version="1.0" encoding="UTF-8" standalone="yes"?>
<Relationships xmlns="http://schemas.openxmlformats.org/package/2006/relationships"><Relationship Id="rId1" Type="http://schemas.microsoft.com/office/2006/relationships/activeXControlBinary" Target="activeX45.bin"/></Relationships>
</file>

<file path=xl/activeX/_rels/activeX46.xml.rels><?xml version="1.0" encoding="UTF-8" standalone="yes"?>
<Relationships xmlns="http://schemas.openxmlformats.org/package/2006/relationships"><Relationship Id="rId1" Type="http://schemas.microsoft.com/office/2006/relationships/activeXControlBinary" Target="activeX46.bin"/></Relationships>
</file>

<file path=xl/activeX/_rels/activeX47.xml.rels><?xml version="1.0" encoding="UTF-8" standalone="yes"?>
<Relationships xmlns="http://schemas.openxmlformats.org/package/2006/relationships"><Relationship Id="rId1" Type="http://schemas.microsoft.com/office/2006/relationships/activeXControlBinary" Target="activeX47.bin"/></Relationships>
</file>

<file path=xl/activeX/_rels/activeX48.xml.rels><?xml version="1.0" encoding="UTF-8" standalone="yes"?>
<Relationships xmlns="http://schemas.openxmlformats.org/package/2006/relationships"><Relationship Id="rId1" Type="http://schemas.microsoft.com/office/2006/relationships/activeXControlBinary" Target="activeX48.bin"/></Relationships>
</file>

<file path=xl/activeX/_rels/activeX49.xml.rels><?xml version="1.0" encoding="UTF-8" standalone="yes"?>
<Relationships xmlns="http://schemas.openxmlformats.org/package/2006/relationships"><Relationship Id="rId1" Type="http://schemas.microsoft.com/office/2006/relationships/activeXControlBinary" Target="activeX49.bin"/></Relationships>
</file>

<file path=xl/activeX/_rels/activeX5.xml.rels><?xml version="1.0" encoding="UTF-8" standalone="yes"?>
<Relationships xmlns="http://schemas.openxmlformats.org/package/2006/relationships"><Relationship Id="rId1" Type="http://schemas.microsoft.com/office/2006/relationships/activeXControlBinary" Target="activeX5.bin"/></Relationships>
</file>

<file path=xl/activeX/_rels/activeX50.xml.rels><?xml version="1.0" encoding="UTF-8" standalone="yes"?>
<Relationships xmlns="http://schemas.openxmlformats.org/package/2006/relationships"><Relationship Id="rId1" Type="http://schemas.microsoft.com/office/2006/relationships/activeXControlBinary" Target="activeX50.bin"/></Relationships>
</file>

<file path=xl/activeX/_rels/activeX51.xml.rels><?xml version="1.0" encoding="UTF-8" standalone="yes"?>
<Relationships xmlns="http://schemas.openxmlformats.org/package/2006/relationships"><Relationship Id="rId1" Type="http://schemas.microsoft.com/office/2006/relationships/activeXControlBinary" Target="activeX51.bin"/></Relationships>
</file>

<file path=xl/activeX/_rels/activeX52.xml.rels><?xml version="1.0" encoding="UTF-8" standalone="yes"?>
<Relationships xmlns="http://schemas.openxmlformats.org/package/2006/relationships"><Relationship Id="rId1" Type="http://schemas.microsoft.com/office/2006/relationships/activeXControlBinary" Target="activeX52.bin"/></Relationships>
</file>

<file path=xl/activeX/_rels/activeX53.xml.rels><?xml version="1.0" encoding="UTF-8" standalone="yes"?>
<Relationships xmlns="http://schemas.openxmlformats.org/package/2006/relationships"><Relationship Id="rId1" Type="http://schemas.microsoft.com/office/2006/relationships/activeXControlBinary" Target="activeX53.bin"/></Relationships>
</file>

<file path=xl/activeX/_rels/activeX54.xml.rels><?xml version="1.0" encoding="UTF-8" standalone="yes"?>
<Relationships xmlns="http://schemas.openxmlformats.org/package/2006/relationships"><Relationship Id="rId1" Type="http://schemas.microsoft.com/office/2006/relationships/activeXControlBinary" Target="activeX54.bin"/></Relationships>
</file>

<file path=xl/activeX/_rels/activeX55.xml.rels><?xml version="1.0" encoding="UTF-8" standalone="yes"?>
<Relationships xmlns="http://schemas.openxmlformats.org/package/2006/relationships"><Relationship Id="rId1" Type="http://schemas.microsoft.com/office/2006/relationships/activeXControlBinary" Target="activeX55.bin"/></Relationships>
</file>

<file path=xl/activeX/_rels/activeX56.xml.rels><?xml version="1.0" encoding="UTF-8" standalone="yes"?>
<Relationships xmlns="http://schemas.openxmlformats.org/package/2006/relationships"><Relationship Id="rId1" Type="http://schemas.microsoft.com/office/2006/relationships/activeXControlBinary" Target="activeX56.bin"/></Relationships>
</file>

<file path=xl/activeX/_rels/activeX57.xml.rels><?xml version="1.0" encoding="UTF-8" standalone="yes"?>
<Relationships xmlns="http://schemas.openxmlformats.org/package/2006/relationships"><Relationship Id="rId1" Type="http://schemas.microsoft.com/office/2006/relationships/activeXControlBinary" Target="activeX57.bin"/></Relationships>
</file>

<file path=xl/activeX/_rels/activeX58.xml.rels><?xml version="1.0" encoding="UTF-8" standalone="yes"?>
<Relationships xmlns="http://schemas.openxmlformats.org/package/2006/relationships"><Relationship Id="rId1" Type="http://schemas.microsoft.com/office/2006/relationships/activeXControlBinary" Target="activeX58.bin"/></Relationships>
</file>

<file path=xl/activeX/_rels/activeX59.xml.rels><?xml version="1.0" encoding="UTF-8" standalone="yes"?>
<Relationships xmlns="http://schemas.openxmlformats.org/package/2006/relationships"><Relationship Id="rId1" Type="http://schemas.microsoft.com/office/2006/relationships/activeXControlBinary" Target="activeX59.bin"/></Relationships>
</file>

<file path=xl/activeX/_rels/activeX6.xml.rels><?xml version="1.0" encoding="UTF-8" standalone="yes"?>
<Relationships xmlns="http://schemas.openxmlformats.org/package/2006/relationships"><Relationship Id="rId1" Type="http://schemas.microsoft.com/office/2006/relationships/activeXControlBinary" Target="activeX6.bin"/></Relationships>
</file>

<file path=xl/activeX/_rels/activeX60.xml.rels><?xml version="1.0" encoding="UTF-8" standalone="yes"?>
<Relationships xmlns="http://schemas.openxmlformats.org/package/2006/relationships"><Relationship Id="rId1" Type="http://schemas.microsoft.com/office/2006/relationships/activeXControlBinary" Target="activeX60.bin"/></Relationships>
</file>

<file path=xl/activeX/_rels/activeX61.xml.rels><?xml version="1.0" encoding="UTF-8" standalone="yes"?>
<Relationships xmlns="http://schemas.openxmlformats.org/package/2006/relationships"><Relationship Id="rId1" Type="http://schemas.microsoft.com/office/2006/relationships/activeXControlBinary" Target="activeX61.bin"/></Relationships>
</file>

<file path=xl/activeX/_rels/activeX7.xml.rels><?xml version="1.0" encoding="UTF-8" standalone="yes"?>
<Relationships xmlns="http://schemas.openxmlformats.org/package/2006/relationships"><Relationship Id="rId1" Type="http://schemas.microsoft.com/office/2006/relationships/activeXControlBinary" Target="activeX7.bin"/></Relationships>
</file>

<file path=xl/activeX/_rels/activeX8.xml.rels><?xml version="1.0" encoding="UTF-8" standalone="yes"?>
<Relationships xmlns="http://schemas.openxmlformats.org/package/2006/relationships"><Relationship Id="rId1" Type="http://schemas.microsoft.com/office/2006/relationships/activeXControlBinary" Target="activeX8.bin"/></Relationships>
</file>

<file path=xl/activeX/_rels/activeX9.xml.rels><?xml version="1.0" encoding="UTF-8" standalone="yes"?>
<Relationships xmlns="http://schemas.openxmlformats.org/package/2006/relationships"><Relationship Id="rId1" Type="http://schemas.microsoft.com/office/2006/relationships/activeXControlBinary" Target="activeX9.bin"/></Relationships>
</file>

<file path=xl/activeX/activeX1.xml><?xml version="1.0" encoding="utf-8"?>
<ax:ocx xmlns:ax="http://schemas.microsoft.com/office/2006/activeX" xmlns:r="http://schemas.openxmlformats.org/officeDocument/2006/relationships" ax:classid="{8BD21D40-EC42-11CE-9E0D-00AA006002F3}" ax:persistence="persistStreamInit" r:id="rId1"/>
</file>

<file path=xl/activeX/activeX10.xml><?xml version="1.0" encoding="utf-8"?>
<ax:ocx xmlns:ax="http://schemas.microsoft.com/office/2006/activeX" xmlns:r="http://schemas.openxmlformats.org/officeDocument/2006/relationships" ax:classid="{8BD21D40-EC42-11CE-9E0D-00AA006002F3}" ax:persistence="persistStreamInit" r:id="rId1"/>
</file>

<file path=xl/activeX/activeX11.xml><?xml version="1.0" encoding="utf-8"?>
<ax:ocx xmlns:ax="http://schemas.microsoft.com/office/2006/activeX" xmlns:r="http://schemas.openxmlformats.org/officeDocument/2006/relationships" ax:classid="{8BD21D40-EC42-11CE-9E0D-00AA006002F3}" ax:persistence="persistStreamInit" r:id="rId1"/>
</file>

<file path=xl/activeX/activeX12.xml><?xml version="1.0" encoding="utf-8"?>
<ax:ocx xmlns:ax="http://schemas.microsoft.com/office/2006/activeX" xmlns:r="http://schemas.openxmlformats.org/officeDocument/2006/relationships" ax:classid="{8BD21D40-EC42-11CE-9E0D-00AA006002F3}" ax:persistence="persistStreamInit" r:id="rId1"/>
</file>

<file path=xl/activeX/activeX13.xml><?xml version="1.0" encoding="utf-8"?>
<ax:ocx xmlns:ax="http://schemas.microsoft.com/office/2006/activeX" xmlns:r="http://schemas.openxmlformats.org/officeDocument/2006/relationships" ax:classid="{8BD21D40-EC42-11CE-9E0D-00AA006002F3}" ax:persistence="persistStreamInit" r:id="rId1"/>
</file>

<file path=xl/activeX/activeX14.xml><?xml version="1.0" encoding="utf-8"?>
<ax:ocx xmlns:ax="http://schemas.microsoft.com/office/2006/activeX" xmlns:r="http://schemas.openxmlformats.org/officeDocument/2006/relationships" ax:classid="{8BD21D40-EC42-11CE-9E0D-00AA006002F3}" ax:persistence="persistStreamInit" r:id="rId1"/>
</file>

<file path=xl/activeX/activeX15.xml><?xml version="1.0" encoding="utf-8"?>
<ax:ocx xmlns:ax="http://schemas.microsoft.com/office/2006/activeX" xmlns:r="http://schemas.openxmlformats.org/officeDocument/2006/relationships" ax:classid="{D7053240-CE69-11CD-A777-00DD01143C57}" ax:persistence="persistStreamInit" r:id="rId1"/>
</file>

<file path=xl/activeX/activeX16.xml><?xml version="1.0" encoding="utf-8"?>
<ax:ocx xmlns:ax="http://schemas.microsoft.com/office/2006/activeX" xmlns:r="http://schemas.openxmlformats.org/officeDocument/2006/relationships" ax:classid="{D7053240-CE69-11CD-A777-00DD01143C57}" ax:persistence="persistStreamInit" r:id="rId1"/>
</file>

<file path=xl/activeX/activeX17.xml><?xml version="1.0" encoding="utf-8"?>
<ax:ocx xmlns:ax="http://schemas.microsoft.com/office/2006/activeX" xmlns:r="http://schemas.openxmlformats.org/officeDocument/2006/relationships" ax:classid="{D7053240-CE69-11CD-A777-00DD01143C57}" ax:persistence="persistStreamInit" r:id="rId1"/>
</file>

<file path=xl/activeX/activeX18.xml><?xml version="1.0" encoding="utf-8"?>
<ax:ocx xmlns:ax="http://schemas.microsoft.com/office/2006/activeX" xmlns:r="http://schemas.openxmlformats.org/officeDocument/2006/relationships" ax:classid="{8BD21D50-EC42-11CE-9E0D-00AA006002F3}" ax:persistence="persistStreamInit" r:id="rId1"/>
</file>

<file path=xl/activeX/activeX19.xml><?xml version="1.0" encoding="utf-8"?>
<ax:ocx xmlns:ax="http://schemas.microsoft.com/office/2006/activeX" xmlns:r="http://schemas.openxmlformats.org/officeDocument/2006/relationships" ax:classid="{8BD21D50-EC42-11CE-9E0D-00AA006002F3}" ax:persistence="persistStreamInit" r:id="rId1"/>
</file>

<file path=xl/activeX/activeX2.xml><?xml version="1.0" encoding="utf-8"?>
<ax:ocx xmlns:ax="http://schemas.microsoft.com/office/2006/activeX" xmlns:r="http://schemas.openxmlformats.org/officeDocument/2006/relationships" ax:classid="{8BD21D40-EC42-11CE-9E0D-00AA006002F3}" ax:persistence="persistStreamInit" r:id="rId1"/>
</file>

<file path=xl/activeX/activeX20.xml><?xml version="1.0" encoding="utf-8"?>
<ax:ocx xmlns:ax="http://schemas.microsoft.com/office/2006/activeX" xmlns:r="http://schemas.openxmlformats.org/officeDocument/2006/relationships" ax:classid="{8BD21D50-EC42-11CE-9E0D-00AA006002F3}" ax:persistence="persistStreamInit" r:id="rId1"/>
</file>

<file path=xl/activeX/activeX21.xml><?xml version="1.0" encoding="utf-8"?>
<ax:ocx xmlns:ax="http://schemas.microsoft.com/office/2006/activeX" xmlns:r="http://schemas.openxmlformats.org/officeDocument/2006/relationships" ax:classid="{8BD21D50-EC42-11CE-9E0D-00AA006002F3}" ax:persistence="persistStreamInit" r:id="rId1"/>
</file>

<file path=xl/activeX/activeX22.xml><?xml version="1.0" encoding="utf-8"?>
<ax:ocx xmlns:ax="http://schemas.microsoft.com/office/2006/activeX" xmlns:r="http://schemas.openxmlformats.org/officeDocument/2006/relationships" ax:classid="{D7053240-CE69-11CD-A777-00DD01143C57}" ax:persistence="persistStreamInit" r:id="rId1"/>
</file>

<file path=xl/activeX/activeX23.xml><?xml version="1.0" encoding="utf-8"?>
<ax:ocx xmlns:ax="http://schemas.microsoft.com/office/2006/activeX" xmlns:r="http://schemas.openxmlformats.org/officeDocument/2006/relationships" ax:classid="{8BD21D50-EC42-11CE-9E0D-00AA006002F3}" ax:persistence="persistStreamInit" r:id="rId1"/>
</file>

<file path=xl/activeX/activeX24.xml><?xml version="1.0" encoding="utf-8"?>
<ax:ocx xmlns:ax="http://schemas.microsoft.com/office/2006/activeX" xmlns:r="http://schemas.openxmlformats.org/officeDocument/2006/relationships" ax:classid="{8BD21D50-EC42-11CE-9E0D-00AA006002F3}" ax:persistence="persistStreamInit" r:id="rId1"/>
</file>

<file path=xl/activeX/activeX25.xml><?xml version="1.0" encoding="utf-8"?>
<ax:ocx xmlns:ax="http://schemas.microsoft.com/office/2006/activeX" xmlns:r="http://schemas.openxmlformats.org/officeDocument/2006/relationships" ax:classid="{8BD21D50-EC42-11CE-9E0D-00AA006002F3}" ax:persistence="persistStreamInit" r:id="rId1"/>
</file>

<file path=xl/activeX/activeX26.xml><?xml version="1.0" encoding="utf-8"?>
<ax:ocx xmlns:ax="http://schemas.microsoft.com/office/2006/activeX" xmlns:r="http://schemas.openxmlformats.org/officeDocument/2006/relationships" ax:classid="{8BD21D50-EC42-11CE-9E0D-00AA006002F3}" ax:persistence="persistStreamInit" r:id="rId1"/>
</file>

<file path=xl/activeX/activeX27.xml><?xml version="1.0" encoding="utf-8"?>
<ax:ocx xmlns:ax="http://schemas.microsoft.com/office/2006/activeX" xmlns:r="http://schemas.openxmlformats.org/officeDocument/2006/relationships" ax:classid="{D7053240-CE69-11CD-A777-00DD01143C57}" ax:persistence="persistStreamInit" r:id="rId1"/>
</file>

<file path=xl/activeX/activeX28.xml><?xml version="1.0" encoding="utf-8"?>
<ax:ocx xmlns:ax="http://schemas.microsoft.com/office/2006/activeX" xmlns:r="http://schemas.openxmlformats.org/officeDocument/2006/relationships" ax:classid="{8BD21D50-EC42-11CE-9E0D-00AA006002F3}" ax:persistence="persistStreamInit" r:id="rId1"/>
</file>

<file path=xl/activeX/activeX29.xml><?xml version="1.0" encoding="utf-8"?>
<ax:ocx xmlns:ax="http://schemas.microsoft.com/office/2006/activeX" xmlns:r="http://schemas.openxmlformats.org/officeDocument/2006/relationships" ax:classid="{8BD21D50-EC42-11CE-9E0D-00AA006002F3}" ax:persistence="persistStreamInit" r:id="rId1"/>
</file>

<file path=xl/activeX/activeX3.xml><?xml version="1.0" encoding="utf-8"?>
<ax:ocx xmlns:ax="http://schemas.microsoft.com/office/2006/activeX" xmlns:r="http://schemas.openxmlformats.org/officeDocument/2006/relationships" ax:classid="{8BD21D40-EC42-11CE-9E0D-00AA006002F3}" ax:persistence="persistStreamInit" r:id="rId1"/>
</file>

<file path=xl/activeX/activeX30.xml><?xml version="1.0" encoding="utf-8"?>
<ax:ocx xmlns:ax="http://schemas.microsoft.com/office/2006/activeX" xmlns:r="http://schemas.openxmlformats.org/officeDocument/2006/relationships" ax:classid="{8BD21D50-EC42-11CE-9E0D-00AA006002F3}" ax:persistence="persistStreamInit" r:id="rId1"/>
</file>

<file path=xl/activeX/activeX31.xml><?xml version="1.0" encoding="utf-8"?>
<ax:ocx xmlns:ax="http://schemas.microsoft.com/office/2006/activeX" xmlns:r="http://schemas.openxmlformats.org/officeDocument/2006/relationships" ax:classid="{8BD21D50-EC42-11CE-9E0D-00AA006002F3}" ax:persistence="persistStreamInit" r:id="rId1"/>
</file>

<file path=xl/activeX/activeX32.xml><?xml version="1.0" encoding="utf-8"?>
<ax:ocx xmlns:ax="http://schemas.microsoft.com/office/2006/activeX" xmlns:r="http://schemas.openxmlformats.org/officeDocument/2006/relationships" ax:classid="{D7053240-CE69-11CD-A777-00DD01143C57}" ax:persistence="persistStreamInit" r:id="rId1"/>
</file>

<file path=xl/activeX/activeX33.xml><?xml version="1.0" encoding="utf-8"?>
<ax:ocx xmlns:ax="http://schemas.microsoft.com/office/2006/activeX" xmlns:r="http://schemas.openxmlformats.org/officeDocument/2006/relationships" ax:classid="{8BD21D50-EC42-11CE-9E0D-00AA006002F3}" ax:persistence="persistStreamInit" r:id="rId1"/>
</file>

<file path=xl/activeX/activeX34.xml><?xml version="1.0" encoding="utf-8"?>
<ax:ocx xmlns:ax="http://schemas.microsoft.com/office/2006/activeX" xmlns:r="http://schemas.openxmlformats.org/officeDocument/2006/relationships" ax:classid="{8BD21D50-EC42-11CE-9E0D-00AA006002F3}" ax:persistence="persistStreamInit" r:id="rId1"/>
</file>

<file path=xl/activeX/activeX35.xml><?xml version="1.0" encoding="utf-8"?>
<ax:ocx xmlns:ax="http://schemas.microsoft.com/office/2006/activeX" xmlns:r="http://schemas.openxmlformats.org/officeDocument/2006/relationships" ax:classid="{8BD21D50-EC42-11CE-9E0D-00AA006002F3}" ax:persistence="persistStreamInit" r:id="rId1"/>
</file>

<file path=xl/activeX/activeX36.xml><?xml version="1.0" encoding="utf-8"?>
<ax:ocx xmlns:ax="http://schemas.microsoft.com/office/2006/activeX" xmlns:r="http://schemas.openxmlformats.org/officeDocument/2006/relationships" ax:classid="{8BD21D50-EC42-11CE-9E0D-00AA006002F3}" ax:persistence="persistStreamInit" r:id="rId1"/>
</file>

<file path=xl/activeX/activeX37.xml><?xml version="1.0" encoding="utf-8"?>
<ax:ocx xmlns:ax="http://schemas.microsoft.com/office/2006/activeX" xmlns:r="http://schemas.openxmlformats.org/officeDocument/2006/relationships" ax:classid="{D7053240-CE69-11CD-A777-00DD01143C57}" ax:persistence="persistStreamInit" r:id="rId1"/>
</file>

<file path=xl/activeX/activeX38.xml><?xml version="1.0" encoding="utf-8"?>
<ax:ocx xmlns:ax="http://schemas.microsoft.com/office/2006/activeX" xmlns:r="http://schemas.openxmlformats.org/officeDocument/2006/relationships" ax:classid="{8BD21D50-EC42-11CE-9E0D-00AA006002F3}" ax:persistence="persistStreamInit" r:id="rId1"/>
</file>

<file path=xl/activeX/activeX39.xml><?xml version="1.0" encoding="utf-8"?>
<ax:ocx xmlns:ax="http://schemas.microsoft.com/office/2006/activeX" xmlns:r="http://schemas.openxmlformats.org/officeDocument/2006/relationships" ax:classid="{8BD21D50-EC42-11CE-9E0D-00AA006002F3}" ax:persistence="persistStreamInit" r:id="rId1"/>
</file>

<file path=xl/activeX/activeX4.xml><?xml version="1.0" encoding="utf-8"?>
<ax:ocx xmlns:ax="http://schemas.microsoft.com/office/2006/activeX" xmlns:r="http://schemas.openxmlformats.org/officeDocument/2006/relationships" ax:classid="{8BD21D40-EC42-11CE-9E0D-00AA006002F3}" ax:persistence="persistStreamInit" r:id="rId1"/>
</file>

<file path=xl/activeX/activeX40.xml><?xml version="1.0" encoding="utf-8"?>
<ax:ocx xmlns:ax="http://schemas.microsoft.com/office/2006/activeX" xmlns:r="http://schemas.openxmlformats.org/officeDocument/2006/relationships" ax:classid="{8BD21D50-EC42-11CE-9E0D-00AA006002F3}" ax:persistence="persistStreamInit" r:id="rId1"/>
</file>

<file path=xl/activeX/activeX41.xml><?xml version="1.0" encoding="utf-8"?>
<ax:ocx xmlns:ax="http://schemas.microsoft.com/office/2006/activeX" xmlns:r="http://schemas.openxmlformats.org/officeDocument/2006/relationships" ax:classid="{8BD21D50-EC42-11CE-9E0D-00AA006002F3}" ax:persistence="persistStreamInit" r:id="rId1"/>
</file>

<file path=xl/activeX/activeX42.xml><?xml version="1.0" encoding="utf-8"?>
<ax:ocx xmlns:ax="http://schemas.microsoft.com/office/2006/activeX" xmlns:r="http://schemas.openxmlformats.org/officeDocument/2006/relationships" ax:classid="{D7053240-CE69-11CD-A777-00DD01143C57}" ax:persistence="persistStreamInit" r:id="rId1"/>
</file>

<file path=xl/activeX/activeX43.xml><?xml version="1.0" encoding="utf-8"?>
<ax:ocx xmlns:ax="http://schemas.microsoft.com/office/2006/activeX" xmlns:r="http://schemas.openxmlformats.org/officeDocument/2006/relationships" ax:classid="{8BD21D50-EC42-11CE-9E0D-00AA006002F3}" ax:persistence="persistStreamInit" r:id="rId1"/>
</file>

<file path=xl/activeX/activeX44.xml><?xml version="1.0" encoding="utf-8"?>
<ax:ocx xmlns:ax="http://schemas.microsoft.com/office/2006/activeX" xmlns:r="http://schemas.openxmlformats.org/officeDocument/2006/relationships" ax:classid="{8BD21D50-EC42-11CE-9E0D-00AA006002F3}" ax:persistence="persistStreamInit" r:id="rId1"/>
</file>

<file path=xl/activeX/activeX45.xml><?xml version="1.0" encoding="utf-8"?>
<ax:ocx xmlns:ax="http://schemas.microsoft.com/office/2006/activeX" xmlns:r="http://schemas.openxmlformats.org/officeDocument/2006/relationships" ax:classid="{8BD21D50-EC42-11CE-9E0D-00AA006002F3}" ax:persistence="persistStreamInit" r:id="rId1"/>
</file>

<file path=xl/activeX/activeX46.xml><?xml version="1.0" encoding="utf-8"?>
<ax:ocx xmlns:ax="http://schemas.microsoft.com/office/2006/activeX" xmlns:r="http://schemas.openxmlformats.org/officeDocument/2006/relationships" ax:classid="{8BD21D50-EC42-11CE-9E0D-00AA006002F3}" ax:persistence="persistStreamInit" r:id="rId1"/>
</file>

<file path=xl/activeX/activeX47.xml><?xml version="1.0" encoding="utf-8"?>
<ax:ocx xmlns:ax="http://schemas.microsoft.com/office/2006/activeX" xmlns:r="http://schemas.openxmlformats.org/officeDocument/2006/relationships" ax:classid="{D7053240-CE69-11CD-A777-00DD01143C57}" ax:persistence="persistStreamInit" r:id="rId1"/>
</file>

<file path=xl/activeX/activeX48.xml><?xml version="1.0" encoding="utf-8"?>
<ax:ocx xmlns:ax="http://schemas.microsoft.com/office/2006/activeX" xmlns:r="http://schemas.openxmlformats.org/officeDocument/2006/relationships" ax:classid="{8BD21D50-EC42-11CE-9E0D-00AA006002F3}" ax:persistence="persistStreamInit" r:id="rId1"/>
</file>

<file path=xl/activeX/activeX49.xml><?xml version="1.0" encoding="utf-8"?>
<ax:ocx xmlns:ax="http://schemas.microsoft.com/office/2006/activeX" xmlns:r="http://schemas.openxmlformats.org/officeDocument/2006/relationships" ax:classid="{8BD21D50-EC42-11CE-9E0D-00AA006002F3}" ax:persistence="persistStreamInit" r:id="rId1"/>
</file>

<file path=xl/activeX/activeX5.xml><?xml version="1.0" encoding="utf-8"?>
<ax:ocx xmlns:ax="http://schemas.microsoft.com/office/2006/activeX" xmlns:r="http://schemas.openxmlformats.org/officeDocument/2006/relationships" ax:classid="{8BD21D40-EC42-11CE-9E0D-00AA006002F3}" ax:persistence="persistStreamInit" r:id="rId1"/>
</file>

<file path=xl/activeX/activeX50.xml><?xml version="1.0" encoding="utf-8"?>
<ax:ocx xmlns:ax="http://schemas.microsoft.com/office/2006/activeX" xmlns:r="http://schemas.openxmlformats.org/officeDocument/2006/relationships" ax:classid="{8BD21D50-EC42-11CE-9E0D-00AA006002F3}" ax:persistence="persistStreamInit" r:id="rId1"/>
</file>

<file path=xl/activeX/activeX51.xml><?xml version="1.0" encoding="utf-8"?>
<ax:ocx xmlns:ax="http://schemas.microsoft.com/office/2006/activeX" xmlns:r="http://schemas.openxmlformats.org/officeDocument/2006/relationships" ax:classid="{8BD21D50-EC42-11CE-9E0D-00AA006002F3}" ax:persistence="persistStreamInit" r:id="rId1"/>
</file>

<file path=xl/activeX/activeX52.xml><?xml version="1.0" encoding="utf-8"?>
<ax:ocx xmlns:ax="http://schemas.microsoft.com/office/2006/activeX" xmlns:r="http://schemas.openxmlformats.org/officeDocument/2006/relationships" ax:classid="{D7053240-CE69-11CD-A777-00DD01143C57}" ax:persistence="persistStreamInit" r:id="rId1"/>
</file>

<file path=xl/activeX/activeX53.xml><?xml version="1.0" encoding="utf-8"?>
<ax:ocx xmlns:ax="http://schemas.microsoft.com/office/2006/activeX" xmlns:r="http://schemas.openxmlformats.org/officeDocument/2006/relationships" ax:classid="{8BD21D50-EC42-11CE-9E0D-00AA006002F3}" ax:persistence="persistStreamInit" r:id="rId1"/>
</file>

<file path=xl/activeX/activeX54.xml><?xml version="1.0" encoding="utf-8"?>
<ax:ocx xmlns:ax="http://schemas.microsoft.com/office/2006/activeX" xmlns:r="http://schemas.openxmlformats.org/officeDocument/2006/relationships" ax:classid="{8BD21D50-EC42-11CE-9E0D-00AA006002F3}" ax:persistence="persistStreamInit" r:id="rId1"/>
</file>

<file path=xl/activeX/activeX55.xml><?xml version="1.0" encoding="utf-8"?>
<ax:ocx xmlns:ax="http://schemas.microsoft.com/office/2006/activeX" xmlns:r="http://schemas.openxmlformats.org/officeDocument/2006/relationships" ax:classid="{8BD21D50-EC42-11CE-9E0D-00AA006002F3}" ax:persistence="persistStreamInit" r:id="rId1"/>
</file>

<file path=xl/activeX/activeX56.xml><?xml version="1.0" encoding="utf-8"?>
<ax:ocx xmlns:ax="http://schemas.microsoft.com/office/2006/activeX" xmlns:r="http://schemas.openxmlformats.org/officeDocument/2006/relationships" ax:classid="{8BD21D50-EC42-11CE-9E0D-00AA006002F3}" ax:persistence="persistStreamInit" r:id="rId1"/>
</file>

<file path=xl/activeX/activeX57.xml><?xml version="1.0" encoding="utf-8"?>
<ax:ocx xmlns:ax="http://schemas.microsoft.com/office/2006/activeX" xmlns:r="http://schemas.openxmlformats.org/officeDocument/2006/relationships" ax:classid="{D7053240-CE69-11CD-A777-00DD01143C57}" ax:persistence="persistStreamInit" r:id="rId1"/>
</file>

<file path=xl/activeX/activeX58.xml><?xml version="1.0" encoding="utf-8"?>
<ax:ocx xmlns:ax="http://schemas.microsoft.com/office/2006/activeX" xmlns:r="http://schemas.openxmlformats.org/officeDocument/2006/relationships" ax:classid="{8BD21D50-EC42-11CE-9E0D-00AA006002F3}" ax:persistence="persistStreamInit" r:id="rId1"/>
</file>

<file path=xl/activeX/activeX59.xml><?xml version="1.0" encoding="utf-8"?>
<ax:ocx xmlns:ax="http://schemas.microsoft.com/office/2006/activeX" xmlns:r="http://schemas.openxmlformats.org/officeDocument/2006/relationships" ax:classid="{8BD21D50-EC42-11CE-9E0D-00AA006002F3}" ax:persistence="persistStreamInit" r:id="rId1"/>
</file>

<file path=xl/activeX/activeX6.xml><?xml version="1.0" encoding="utf-8"?>
<ax:ocx xmlns:ax="http://schemas.microsoft.com/office/2006/activeX" xmlns:r="http://schemas.openxmlformats.org/officeDocument/2006/relationships" ax:classid="{8BD21D40-EC42-11CE-9E0D-00AA006002F3}" ax:persistence="persistStreamInit" r:id="rId1"/>
</file>

<file path=xl/activeX/activeX60.xml><?xml version="1.0" encoding="utf-8"?>
<ax:ocx xmlns:ax="http://schemas.microsoft.com/office/2006/activeX" xmlns:r="http://schemas.openxmlformats.org/officeDocument/2006/relationships" ax:classid="{8BD21D50-EC42-11CE-9E0D-00AA006002F3}" ax:persistence="persistStreamInit" r:id="rId1"/>
</file>

<file path=xl/activeX/activeX61.xml><?xml version="1.0" encoding="utf-8"?>
<ax:ocx xmlns:ax="http://schemas.microsoft.com/office/2006/activeX" xmlns:r="http://schemas.openxmlformats.org/officeDocument/2006/relationships" ax:classid="{8BD21D50-EC42-11CE-9E0D-00AA006002F3}" ax:persistence="persistStreamInit" r:id="rId1"/>
</file>

<file path=xl/activeX/activeX7.xml><?xml version="1.0" encoding="utf-8"?>
<ax:ocx xmlns:ax="http://schemas.microsoft.com/office/2006/activeX" xmlns:r="http://schemas.openxmlformats.org/officeDocument/2006/relationships" ax:classid="{8BD21D40-EC42-11CE-9E0D-00AA006002F3}" ax:persistence="persistStreamInit" r:id="rId1"/>
</file>

<file path=xl/activeX/activeX8.xml><?xml version="1.0" encoding="utf-8"?>
<ax:ocx xmlns:ax="http://schemas.microsoft.com/office/2006/activeX" xmlns:r="http://schemas.openxmlformats.org/officeDocument/2006/relationships" ax:classid="{8BD21D40-EC42-11CE-9E0D-00AA006002F3}" ax:persistence="persistStreamInit" r:id="rId1"/>
</file>

<file path=xl/activeX/activeX9.xml><?xml version="1.0" encoding="utf-8"?>
<ax:ocx xmlns:ax="http://schemas.microsoft.com/office/2006/activeX" xmlns:r="http://schemas.openxmlformats.org/officeDocument/2006/relationships" ax:classid="{8BD21D40-EC42-11CE-9E0D-00AA006002F3}" ax:persistence="persistStreamInit" r:id="rId1"/>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checked="Checked"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Radio" firstButton="1" lockText="1" noThreeD="1"/>
</file>

<file path=xl/ctrlProps/ctrlProp126.xml><?xml version="1.0" encoding="utf-8"?>
<formControlPr xmlns="http://schemas.microsoft.com/office/spreadsheetml/2009/9/main" objectType="Radio" lockText="1" noThreeD="1"/>
</file>

<file path=xl/ctrlProps/ctrlProp127.xml><?xml version="1.0" encoding="utf-8"?>
<formControlPr xmlns="http://schemas.microsoft.com/office/spreadsheetml/2009/9/main" objectType="Radio" checked="Checked" firstButton="1" lockText="1" noThreeD="1"/>
</file>

<file path=xl/ctrlProps/ctrlProp128.xml><?xml version="1.0" encoding="utf-8"?>
<formControlPr xmlns="http://schemas.microsoft.com/office/spreadsheetml/2009/9/main" objectType="Radio" lockText="1" noThreeD="1"/>
</file>

<file path=xl/ctrlProps/ctrlProp129.xml><?xml version="1.0" encoding="utf-8"?>
<formControlPr xmlns="http://schemas.microsoft.com/office/spreadsheetml/2009/9/main" objectType="GBox"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GBox" noThreeD="1"/>
</file>

<file path=xl/ctrlProps/ctrlProp131.xml><?xml version="1.0" encoding="utf-8"?>
<formControlPr xmlns="http://schemas.microsoft.com/office/spreadsheetml/2009/9/main" objectType="GBox" noThreeD="1"/>
</file>

<file path=xl/ctrlProps/ctrlProp132.xml><?xml version="1.0" encoding="utf-8"?>
<formControlPr xmlns="http://schemas.microsoft.com/office/spreadsheetml/2009/9/main" objectType="GBox" noThreeD="1"/>
</file>

<file path=xl/ctrlProps/ctrlProp133.xml><?xml version="1.0" encoding="utf-8"?>
<formControlPr xmlns="http://schemas.microsoft.com/office/spreadsheetml/2009/9/main" objectType="GBox" noThreeD="1"/>
</file>

<file path=xl/ctrlProps/ctrlProp134.xml><?xml version="1.0" encoding="utf-8"?>
<formControlPr xmlns="http://schemas.microsoft.com/office/spreadsheetml/2009/9/main" objectType="GBox" noThreeD="1"/>
</file>

<file path=xl/ctrlProps/ctrlProp135.xml><?xml version="1.0" encoding="utf-8"?>
<formControlPr xmlns="http://schemas.microsoft.com/office/spreadsheetml/2009/9/main" objectType="GBox" noThreeD="1"/>
</file>

<file path=xl/ctrlProps/ctrlProp136.xml><?xml version="1.0" encoding="utf-8"?>
<formControlPr xmlns="http://schemas.microsoft.com/office/spreadsheetml/2009/9/main" objectType="GBox" noThreeD="1"/>
</file>

<file path=xl/ctrlProps/ctrlProp137.xml><?xml version="1.0" encoding="utf-8"?>
<formControlPr xmlns="http://schemas.microsoft.com/office/spreadsheetml/2009/9/main" objectType="GBox" noThreeD="1"/>
</file>

<file path=xl/ctrlProps/ctrlProp138.xml><?xml version="1.0" encoding="utf-8"?>
<formControlPr xmlns="http://schemas.microsoft.com/office/spreadsheetml/2009/9/main" objectType="GBox" noThreeD="1"/>
</file>

<file path=xl/ctrlProps/ctrlProp139.xml><?xml version="1.0" encoding="utf-8"?>
<formControlPr xmlns="http://schemas.microsoft.com/office/spreadsheetml/2009/9/main" objectType="Radio" firstButton="1" lockText="1" noThreeD="1"/>
</file>

<file path=xl/ctrlProps/ctrlProp14.xml><?xml version="1.0" encoding="utf-8"?>
<formControlPr xmlns="http://schemas.microsoft.com/office/spreadsheetml/2009/9/main" objectType="CheckBox" checked="Checked" lockText="1" noThreeD="1"/>
</file>

<file path=xl/ctrlProps/ctrlProp140.xml><?xml version="1.0" encoding="utf-8"?>
<formControlPr xmlns="http://schemas.microsoft.com/office/spreadsheetml/2009/9/main" objectType="Radio" lockText="1" noThreeD="1"/>
</file>

<file path=xl/ctrlProps/ctrlProp141.xml><?xml version="1.0" encoding="utf-8"?>
<formControlPr xmlns="http://schemas.microsoft.com/office/spreadsheetml/2009/9/main" objectType="GBox" noThreeD="1"/>
</file>

<file path=xl/ctrlProps/ctrlProp142.xml><?xml version="1.0" encoding="utf-8"?>
<formControlPr xmlns="http://schemas.microsoft.com/office/spreadsheetml/2009/9/main" objectType="GBox" noThreeD="1"/>
</file>

<file path=xl/ctrlProps/ctrlProp143.xml><?xml version="1.0" encoding="utf-8"?>
<formControlPr xmlns="http://schemas.microsoft.com/office/spreadsheetml/2009/9/main" objectType="GBox" noThreeD="1"/>
</file>

<file path=xl/ctrlProps/ctrlProp144.xml><?xml version="1.0" encoding="utf-8"?>
<formControlPr xmlns="http://schemas.microsoft.com/office/spreadsheetml/2009/9/main" objectType="GBox" noThreeD="1"/>
</file>

<file path=xl/ctrlProps/ctrlProp145.xml><?xml version="1.0" encoding="utf-8"?>
<formControlPr xmlns="http://schemas.microsoft.com/office/spreadsheetml/2009/9/main" objectType="GBox" noThreeD="1"/>
</file>

<file path=xl/ctrlProps/ctrlProp146.xml><?xml version="1.0" encoding="utf-8"?>
<formControlPr xmlns="http://schemas.microsoft.com/office/spreadsheetml/2009/9/main" objectType="GBox" noThreeD="1"/>
</file>

<file path=xl/ctrlProps/ctrlProp147.xml><?xml version="1.0" encoding="utf-8"?>
<formControlPr xmlns="http://schemas.microsoft.com/office/spreadsheetml/2009/9/main" objectType="GBox" noThreeD="1"/>
</file>

<file path=xl/ctrlProps/ctrlProp148.xml><?xml version="1.0" encoding="utf-8"?>
<formControlPr xmlns="http://schemas.microsoft.com/office/spreadsheetml/2009/9/main" objectType="GBox" noThreeD="1"/>
</file>

<file path=xl/ctrlProps/ctrlProp149.xml><?xml version="1.0" encoding="utf-8"?>
<formControlPr xmlns="http://schemas.microsoft.com/office/spreadsheetml/2009/9/main" objectType="GBox"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GBox" noThreeD="1"/>
</file>

<file path=xl/ctrlProps/ctrlProp151.xml><?xml version="1.0" encoding="utf-8"?>
<formControlPr xmlns="http://schemas.microsoft.com/office/spreadsheetml/2009/9/main" objectType="GBox" noThreeD="1"/>
</file>

<file path=xl/ctrlProps/ctrlProp152.xml><?xml version="1.0" encoding="utf-8"?>
<formControlPr xmlns="http://schemas.microsoft.com/office/spreadsheetml/2009/9/main" objectType="GBox" noThreeD="1"/>
</file>

<file path=xl/ctrlProps/ctrlProp153.xml><?xml version="1.0" encoding="utf-8"?>
<formControlPr xmlns="http://schemas.microsoft.com/office/spreadsheetml/2009/9/main" objectType="GBox" noThreeD="1"/>
</file>

<file path=xl/ctrlProps/ctrlProp154.xml><?xml version="1.0" encoding="utf-8"?>
<formControlPr xmlns="http://schemas.microsoft.com/office/spreadsheetml/2009/9/main" objectType="GBox" noThreeD="1"/>
</file>

<file path=xl/ctrlProps/ctrlProp155.xml><?xml version="1.0" encoding="utf-8"?>
<formControlPr xmlns="http://schemas.microsoft.com/office/spreadsheetml/2009/9/main" objectType="GBox" noThreeD="1"/>
</file>

<file path=xl/ctrlProps/ctrlProp156.xml><?xml version="1.0" encoding="utf-8"?>
<formControlPr xmlns="http://schemas.microsoft.com/office/spreadsheetml/2009/9/main" objectType="GBox" noThreeD="1"/>
</file>

<file path=xl/ctrlProps/ctrlProp157.xml><?xml version="1.0" encoding="utf-8"?>
<formControlPr xmlns="http://schemas.microsoft.com/office/spreadsheetml/2009/9/main" objectType="GBox" noThreeD="1"/>
</file>

<file path=xl/ctrlProps/ctrlProp158.xml><?xml version="1.0" encoding="utf-8"?>
<formControlPr xmlns="http://schemas.microsoft.com/office/spreadsheetml/2009/9/main" objectType="GBox" noThreeD="1"/>
</file>

<file path=xl/ctrlProps/ctrlProp159.xml><?xml version="1.0" encoding="utf-8"?>
<formControlPr xmlns="http://schemas.microsoft.com/office/spreadsheetml/2009/9/main" objectType="GBox"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GBox" noThreeD="1"/>
</file>

<file path=xl/ctrlProps/ctrlProp161.xml><?xml version="1.0" encoding="utf-8"?>
<formControlPr xmlns="http://schemas.microsoft.com/office/spreadsheetml/2009/9/main" objectType="GBox" noThreeD="1"/>
</file>

<file path=xl/ctrlProps/ctrlProp162.xml><?xml version="1.0" encoding="utf-8"?>
<formControlPr xmlns="http://schemas.microsoft.com/office/spreadsheetml/2009/9/main" objectType="GBox" noThreeD="1"/>
</file>

<file path=xl/ctrlProps/ctrlProp163.xml><?xml version="1.0" encoding="utf-8"?>
<formControlPr xmlns="http://schemas.microsoft.com/office/spreadsheetml/2009/9/main" objectType="GBox" noThreeD="1"/>
</file>

<file path=xl/ctrlProps/ctrlProp164.xml><?xml version="1.0" encoding="utf-8"?>
<formControlPr xmlns="http://schemas.microsoft.com/office/spreadsheetml/2009/9/main" objectType="GBox" noThreeD="1"/>
</file>

<file path=xl/ctrlProps/ctrlProp165.xml><?xml version="1.0" encoding="utf-8"?>
<formControlPr xmlns="http://schemas.microsoft.com/office/spreadsheetml/2009/9/main" objectType="GBox" noThreeD="1"/>
</file>

<file path=xl/ctrlProps/ctrlProp166.xml><?xml version="1.0" encoding="utf-8"?>
<formControlPr xmlns="http://schemas.microsoft.com/office/spreadsheetml/2009/9/main" objectType="GBox" noThreeD="1"/>
</file>

<file path=xl/ctrlProps/ctrlProp167.xml><?xml version="1.0" encoding="utf-8"?>
<formControlPr xmlns="http://schemas.microsoft.com/office/spreadsheetml/2009/9/main" objectType="GBox" noThreeD="1"/>
</file>

<file path=xl/ctrlProps/ctrlProp168.xml><?xml version="1.0" encoding="utf-8"?>
<formControlPr xmlns="http://schemas.microsoft.com/office/spreadsheetml/2009/9/main" objectType="GBox" noThreeD="1"/>
</file>

<file path=xl/ctrlProps/ctrlProp169.xml><?xml version="1.0" encoding="utf-8"?>
<formControlPr xmlns="http://schemas.microsoft.com/office/spreadsheetml/2009/9/main" objectType="GBox"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GBox" noThreeD="1"/>
</file>

<file path=xl/ctrlProps/ctrlProp171.xml><?xml version="1.0" encoding="utf-8"?>
<formControlPr xmlns="http://schemas.microsoft.com/office/spreadsheetml/2009/9/main" objectType="GBox" noThreeD="1"/>
</file>

<file path=xl/ctrlProps/ctrlProp172.xml><?xml version="1.0" encoding="utf-8"?>
<formControlPr xmlns="http://schemas.microsoft.com/office/spreadsheetml/2009/9/main" objectType="GBox" noThreeD="1"/>
</file>

<file path=xl/ctrlProps/ctrlProp173.xml><?xml version="1.0" encoding="utf-8"?>
<formControlPr xmlns="http://schemas.microsoft.com/office/spreadsheetml/2009/9/main" objectType="GBox" noThreeD="1"/>
</file>

<file path=xl/ctrlProps/ctrlProp174.xml><?xml version="1.0" encoding="utf-8"?>
<formControlPr xmlns="http://schemas.microsoft.com/office/spreadsheetml/2009/9/main" objectType="GBox" noThreeD="1"/>
</file>

<file path=xl/ctrlProps/ctrlProp175.xml><?xml version="1.0" encoding="utf-8"?>
<formControlPr xmlns="http://schemas.microsoft.com/office/spreadsheetml/2009/9/main" objectType="GBox" noThreeD="1"/>
</file>

<file path=xl/ctrlProps/ctrlProp176.xml><?xml version="1.0" encoding="utf-8"?>
<formControlPr xmlns="http://schemas.microsoft.com/office/spreadsheetml/2009/9/main" objectType="GBox" noThreeD="1"/>
</file>

<file path=xl/ctrlProps/ctrlProp177.xml><?xml version="1.0" encoding="utf-8"?>
<formControlPr xmlns="http://schemas.microsoft.com/office/spreadsheetml/2009/9/main" objectType="GBox" noThreeD="1"/>
</file>

<file path=xl/ctrlProps/ctrlProp178.xml><?xml version="1.0" encoding="utf-8"?>
<formControlPr xmlns="http://schemas.microsoft.com/office/spreadsheetml/2009/9/main" objectType="GBox" noThreeD="1"/>
</file>

<file path=xl/ctrlProps/ctrlProp179.xml><?xml version="1.0" encoding="utf-8"?>
<formControlPr xmlns="http://schemas.microsoft.com/office/spreadsheetml/2009/9/main" objectType="GBox"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GBox" noThreeD="1"/>
</file>

<file path=xl/ctrlProps/ctrlProp181.xml><?xml version="1.0" encoding="utf-8"?>
<formControlPr xmlns="http://schemas.microsoft.com/office/spreadsheetml/2009/9/main" objectType="Radio" firstButton="1" lockText="1" noThreeD="1"/>
</file>

<file path=xl/ctrlProps/ctrlProp182.xml><?xml version="1.0" encoding="utf-8"?>
<formControlPr xmlns="http://schemas.microsoft.com/office/spreadsheetml/2009/9/main" objectType="GBox" noThreeD="1"/>
</file>

<file path=xl/ctrlProps/ctrlProp183.xml><?xml version="1.0" encoding="utf-8"?>
<formControlPr xmlns="http://schemas.microsoft.com/office/spreadsheetml/2009/9/main" objectType="Radio" lockText="1" noThreeD="1"/>
</file>

<file path=xl/ctrlProps/ctrlProp184.xml><?xml version="1.0" encoding="utf-8"?>
<formControlPr xmlns="http://schemas.microsoft.com/office/spreadsheetml/2009/9/main" objectType="Radio" lockText="1" noThreeD="1"/>
</file>

<file path=xl/ctrlProps/ctrlProp185.xml><?xml version="1.0" encoding="utf-8"?>
<formControlPr xmlns="http://schemas.microsoft.com/office/spreadsheetml/2009/9/main" objectType="Radio" firstButton="1" lockText="1" noThreeD="1"/>
</file>

<file path=xl/ctrlProps/ctrlProp186.xml><?xml version="1.0" encoding="utf-8"?>
<formControlPr xmlns="http://schemas.microsoft.com/office/spreadsheetml/2009/9/main" objectType="Radio" lockText="1" noThreeD="1"/>
</file>

<file path=xl/ctrlProps/ctrlProp187.xml><?xml version="1.0" encoding="utf-8"?>
<formControlPr xmlns="http://schemas.microsoft.com/office/spreadsheetml/2009/9/main" objectType="Radio" firstButton="1" lockText="1" noThreeD="1"/>
</file>

<file path=xl/ctrlProps/ctrlProp188.xml><?xml version="1.0" encoding="utf-8"?>
<formControlPr xmlns="http://schemas.microsoft.com/office/spreadsheetml/2009/9/main" objectType="GBox" noThreeD="1"/>
</file>

<file path=xl/ctrlProps/ctrlProp189.xml><?xml version="1.0" encoding="utf-8"?>
<formControlPr xmlns="http://schemas.microsoft.com/office/spreadsheetml/2009/9/main" objectType="GBox"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Radio" lockText="1" noThreeD="1"/>
</file>

<file path=xl/ctrlProps/ctrlProp191.xml><?xml version="1.0" encoding="utf-8"?>
<formControlPr xmlns="http://schemas.microsoft.com/office/spreadsheetml/2009/9/main" objectType="Radio" lockText="1" noThreeD="1"/>
</file>

<file path=xl/ctrlProps/ctrlProp192.xml><?xml version="1.0" encoding="utf-8"?>
<formControlPr xmlns="http://schemas.microsoft.com/office/spreadsheetml/2009/9/main" objectType="Radio" firstButton="1" lockText="1" noThreeD="1"/>
</file>

<file path=xl/ctrlProps/ctrlProp193.xml><?xml version="1.0" encoding="utf-8"?>
<formControlPr xmlns="http://schemas.microsoft.com/office/spreadsheetml/2009/9/main" objectType="Radio" lockText="1" noThreeD="1"/>
</file>

<file path=xl/ctrlProps/ctrlProp194.xml><?xml version="1.0" encoding="utf-8"?>
<formControlPr xmlns="http://schemas.microsoft.com/office/spreadsheetml/2009/9/main" objectType="Radio" lockText="1" noThreeD="1"/>
</file>

<file path=xl/ctrlProps/ctrlProp195.xml><?xml version="1.0" encoding="utf-8"?>
<formControlPr xmlns="http://schemas.microsoft.com/office/spreadsheetml/2009/9/main" objectType="GBox" noThreeD="1"/>
</file>

<file path=xl/ctrlProps/ctrlProp196.xml><?xml version="1.0" encoding="utf-8"?>
<formControlPr xmlns="http://schemas.microsoft.com/office/spreadsheetml/2009/9/main" objectType="GBox" noThreeD="1"/>
</file>

<file path=xl/ctrlProps/ctrlProp197.xml><?xml version="1.0" encoding="utf-8"?>
<formControlPr xmlns="http://schemas.microsoft.com/office/spreadsheetml/2009/9/main" objectType="GBox" noThreeD="1"/>
</file>

<file path=xl/ctrlProps/ctrlProp198.xml><?xml version="1.0" encoding="utf-8"?>
<formControlPr xmlns="http://schemas.microsoft.com/office/spreadsheetml/2009/9/main" objectType="Radio" firstButton="1" lockText="1" noThreeD="1"/>
</file>

<file path=xl/ctrlProps/ctrlProp199.xml><?xml version="1.0" encoding="utf-8"?>
<formControlPr xmlns="http://schemas.microsoft.com/office/spreadsheetml/2009/9/main" objectType="GBox"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checked="Checked" lockText="1" noThreeD="1"/>
</file>

<file path=xl/ctrlProps/ctrlProp200.xml><?xml version="1.0" encoding="utf-8"?>
<formControlPr xmlns="http://schemas.microsoft.com/office/spreadsheetml/2009/9/main" objectType="Radio" lockText="1" noThreeD="1"/>
</file>

<file path=xl/ctrlProps/ctrlProp201.xml><?xml version="1.0" encoding="utf-8"?>
<formControlPr xmlns="http://schemas.microsoft.com/office/spreadsheetml/2009/9/main" objectType="GBox"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GBox"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GBox" noThreeD="1"/>
</file>

<file path=xl/ctrlProps/ctrlProp212.xml><?xml version="1.0" encoding="utf-8"?>
<formControlPr xmlns="http://schemas.microsoft.com/office/spreadsheetml/2009/9/main" objectType="Radio" firstButton="1" lockText="1" noThreeD="1"/>
</file>

<file path=xl/ctrlProps/ctrlProp213.xml><?xml version="1.0" encoding="utf-8"?>
<formControlPr xmlns="http://schemas.microsoft.com/office/spreadsheetml/2009/9/main" objectType="Radio" lockText="1" noThreeD="1"/>
</file>

<file path=xl/ctrlProps/ctrlProp214.xml><?xml version="1.0" encoding="utf-8"?>
<formControlPr xmlns="http://schemas.microsoft.com/office/spreadsheetml/2009/9/main" objectType="GBox" noThreeD="1"/>
</file>

<file path=xl/ctrlProps/ctrlProp215.xml><?xml version="1.0" encoding="utf-8"?>
<formControlPr xmlns="http://schemas.microsoft.com/office/spreadsheetml/2009/9/main" objectType="GBox" noThreeD="1"/>
</file>

<file path=xl/ctrlProps/ctrlProp216.xml><?xml version="1.0" encoding="utf-8"?>
<formControlPr xmlns="http://schemas.microsoft.com/office/spreadsheetml/2009/9/main" objectType="Radio" lockText="1" noThreeD="1"/>
</file>

<file path=xl/ctrlProps/ctrlProp217.xml><?xml version="1.0" encoding="utf-8"?>
<formControlPr xmlns="http://schemas.microsoft.com/office/spreadsheetml/2009/9/main" objectType="Radio" lockText="1" noThreeD="1"/>
</file>

<file path=xl/ctrlProps/ctrlProp218.xml><?xml version="1.0" encoding="utf-8"?>
<formControlPr xmlns="http://schemas.microsoft.com/office/spreadsheetml/2009/9/main" objectType="GBox" noThreeD="1"/>
</file>

<file path=xl/ctrlProps/ctrlProp219.xml><?xml version="1.0" encoding="utf-8"?>
<formControlPr xmlns="http://schemas.microsoft.com/office/spreadsheetml/2009/9/main" objectType="GBox"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Radio" firstButton="1" lockText="1" noThreeD="1"/>
</file>

<file path=xl/ctrlProps/ctrlProp221.xml><?xml version="1.0" encoding="utf-8"?>
<formControlPr xmlns="http://schemas.microsoft.com/office/spreadsheetml/2009/9/main" objectType="Radio" lockText="1" noThreeD="1"/>
</file>

<file path=xl/ctrlProps/ctrlProp222.xml><?xml version="1.0" encoding="utf-8"?>
<formControlPr xmlns="http://schemas.microsoft.com/office/spreadsheetml/2009/9/main" objectType="Radio" lockText="1" noThreeD="1"/>
</file>

<file path=xl/ctrlProps/ctrlProp223.xml><?xml version="1.0" encoding="utf-8"?>
<formControlPr xmlns="http://schemas.microsoft.com/office/spreadsheetml/2009/9/main" objectType="GBox" noThreeD="1"/>
</file>

<file path=xl/ctrlProps/ctrlProp224.xml><?xml version="1.0" encoding="utf-8"?>
<formControlPr xmlns="http://schemas.microsoft.com/office/spreadsheetml/2009/9/main" objectType="GBox" noThreeD="1"/>
</file>

<file path=xl/ctrlProps/ctrlProp225.xml><?xml version="1.0" encoding="utf-8"?>
<formControlPr xmlns="http://schemas.microsoft.com/office/spreadsheetml/2009/9/main" objectType="Radio" firstButton="1" lockText="1" noThreeD="1"/>
</file>

<file path=xl/ctrlProps/ctrlProp226.xml><?xml version="1.0" encoding="utf-8"?>
<formControlPr xmlns="http://schemas.microsoft.com/office/spreadsheetml/2009/9/main" objectType="Radio" lockText="1" noThreeD="1"/>
</file>

<file path=xl/ctrlProps/ctrlProp227.xml><?xml version="1.0" encoding="utf-8"?>
<formControlPr xmlns="http://schemas.microsoft.com/office/spreadsheetml/2009/9/main" objectType="Radio"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GBox" noThreeD="1"/>
</file>

<file path=xl/ctrlProps/ctrlProp233.xml><?xml version="1.0" encoding="utf-8"?>
<formControlPr xmlns="http://schemas.microsoft.com/office/spreadsheetml/2009/9/main" objectType="Radio" firstButton="1" lockText="1" noThreeD="1"/>
</file>

<file path=xl/ctrlProps/ctrlProp234.xml><?xml version="1.0" encoding="utf-8"?>
<formControlPr xmlns="http://schemas.microsoft.com/office/spreadsheetml/2009/9/main" objectType="Radio" lockText="1" noThreeD="1"/>
</file>

<file path=xl/ctrlProps/ctrlProp235.xml><?xml version="1.0" encoding="utf-8"?>
<formControlPr xmlns="http://schemas.microsoft.com/office/spreadsheetml/2009/9/main" objectType="GBox" noThreeD="1"/>
</file>

<file path=xl/ctrlProps/ctrlProp236.xml><?xml version="1.0" encoding="utf-8"?>
<formControlPr xmlns="http://schemas.microsoft.com/office/spreadsheetml/2009/9/main" objectType="GBox" noThreeD="1"/>
</file>

<file path=xl/ctrlProps/ctrlProp237.xml><?xml version="1.0" encoding="utf-8"?>
<formControlPr xmlns="http://schemas.microsoft.com/office/spreadsheetml/2009/9/main" objectType="Radio" firstButton="1" lockText="1" noThreeD="1"/>
</file>

<file path=xl/ctrlProps/ctrlProp238.xml><?xml version="1.0" encoding="utf-8"?>
<formControlPr xmlns="http://schemas.microsoft.com/office/spreadsheetml/2009/9/main" objectType="Radio" lockText="1" noThreeD="1"/>
</file>

<file path=xl/ctrlProps/ctrlProp239.xml><?xml version="1.0" encoding="utf-8"?>
<formControlPr xmlns="http://schemas.microsoft.com/office/spreadsheetml/2009/9/main" objectType="GBox"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Radio" firstButton="1" lockText="1" noThreeD="1"/>
</file>

<file path=xl/ctrlProps/ctrlProp241.xml><?xml version="1.0" encoding="utf-8"?>
<formControlPr xmlns="http://schemas.microsoft.com/office/spreadsheetml/2009/9/main" objectType="Radio" lockText="1" noThreeD="1"/>
</file>

<file path=xl/ctrlProps/ctrlProp242.xml><?xml version="1.0" encoding="utf-8"?>
<formControlPr xmlns="http://schemas.microsoft.com/office/spreadsheetml/2009/9/main" objectType="Radio" lockText="1" noThreeD="1"/>
</file>

<file path=xl/ctrlProps/ctrlProp243.xml><?xml version="1.0" encoding="utf-8"?>
<formControlPr xmlns="http://schemas.microsoft.com/office/spreadsheetml/2009/9/main" objectType="GBox"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GBox" noThreeD="1"/>
</file>

<file path=xl/ctrlProps/ctrlProp247.xml><?xml version="1.0" encoding="utf-8"?>
<formControlPr xmlns="http://schemas.microsoft.com/office/spreadsheetml/2009/9/main" objectType="Radio" firstButton="1" lockText="1" noThreeD="1"/>
</file>

<file path=xl/ctrlProps/ctrlProp248.xml><?xml version="1.0" encoding="utf-8"?>
<formControlPr xmlns="http://schemas.microsoft.com/office/spreadsheetml/2009/9/main" objectType="Radio" lockText="1" noThreeD="1"/>
</file>

<file path=xl/ctrlProps/ctrlProp249.xml><?xml version="1.0" encoding="utf-8"?>
<formControlPr xmlns="http://schemas.microsoft.com/office/spreadsheetml/2009/9/main" objectType="GBox"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GBox" noThreeD="1"/>
</file>

<file path=xl/ctrlProps/ctrlProp251.xml><?xml version="1.0" encoding="utf-8"?>
<formControlPr xmlns="http://schemas.microsoft.com/office/spreadsheetml/2009/9/main" objectType="Radio" lockText="1" noThreeD="1"/>
</file>

<file path=xl/ctrlProps/ctrlProp252.xml><?xml version="1.0" encoding="utf-8"?>
<formControlPr xmlns="http://schemas.microsoft.com/office/spreadsheetml/2009/9/main" objectType="Radio" lockText="1" noThreeD="1"/>
</file>

<file path=xl/ctrlProps/ctrlProp253.xml><?xml version="1.0" encoding="utf-8"?>
<formControlPr xmlns="http://schemas.microsoft.com/office/spreadsheetml/2009/9/main" objectType="GBox" noThreeD="1"/>
</file>

<file path=xl/ctrlProps/ctrlProp254.xml><?xml version="1.0" encoding="utf-8"?>
<formControlPr xmlns="http://schemas.microsoft.com/office/spreadsheetml/2009/9/main" objectType="GBox" noThreeD="1"/>
</file>

<file path=xl/ctrlProps/ctrlProp255.xml><?xml version="1.0" encoding="utf-8"?>
<formControlPr xmlns="http://schemas.microsoft.com/office/spreadsheetml/2009/9/main" objectType="Radio" firstButton="1" lockText="1" noThreeD="1"/>
</file>

<file path=xl/ctrlProps/ctrlProp256.xml><?xml version="1.0" encoding="utf-8"?>
<formControlPr xmlns="http://schemas.microsoft.com/office/spreadsheetml/2009/9/main" objectType="Radio" lockText="1" noThreeD="1"/>
</file>

<file path=xl/ctrlProps/ctrlProp257.xml><?xml version="1.0" encoding="utf-8"?>
<formControlPr xmlns="http://schemas.microsoft.com/office/spreadsheetml/2009/9/main" objectType="Radio" lockText="1" noThreeD="1"/>
</file>

<file path=xl/ctrlProps/ctrlProp258.xml><?xml version="1.0" encoding="utf-8"?>
<formControlPr xmlns="http://schemas.microsoft.com/office/spreadsheetml/2009/9/main" objectType="GBox" noThreeD="1"/>
</file>

<file path=xl/ctrlProps/ctrlProp259.xml><?xml version="1.0" encoding="utf-8"?>
<formControlPr xmlns="http://schemas.microsoft.com/office/spreadsheetml/2009/9/main" objectType="GBox"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GBox" noThreeD="1"/>
</file>

<file path=xl/ctrlProps/ctrlProp265.xml><?xml version="1.0" encoding="utf-8"?>
<formControlPr xmlns="http://schemas.microsoft.com/office/spreadsheetml/2009/9/main" objectType="CheckBox"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GBox" noThreeD="1"/>
</file>

<file path=xl/ctrlProps/ctrlProp268.xml><?xml version="1.0" encoding="utf-8"?>
<formControlPr xmlns="http://schemas.microsoft.com/office/spreadsheetml/2009/9/main" objectType="Radio" firstButton="1" lockText="1" noThreeD="1"/>
</file>

<file path=xl/ctrlProps/ctrlProp269.xml><?xml version="1.0" encoding="utf-8"?>
<formControlPr xmlns="http://schemas.microsoft.com/office/spreadsheetml/2009/9/main" objectType="Radio"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GBox" noThreeD="1"/>
</file>

<file path=xl/ctrlProps/ctrlProp271.xml><?xml version="1.0" encoding="utf-8"?>
<formControlPr xmlns="http://schemas.microsoft.com/office/spreadsheetml/2009/9/main" objectType="GBox" noThreeD="1"/>
</file>

<file path=xl/ctrlProps/ctrlProp272.xml><?xml version="1.0" encoding="utf-8"?>
<formControlPr xmlns="http://schemas.microsoft.com/office/spreadsheetml/2009/9/main" objectType="Radio" firstButton="1" lockText="1" noThreeD="1"/>
</file>

<file path=xl/ctrlProps/ctrlProp273.xml><?xml version="1.0" encoding="utf-8"?>
<formControlPr xmlns="http://schemas.microsoft.com/office/spreadsheetml/2009/9/main" objectType="Radio" lockText="1" noThreeD="1"/>
</file>

<file path=xl/ctrlProps/ctrlProp274.xml><?xml version="1.0" encoding="utf-8"?>
<formControlPr xmlns="http://schemas.microsoft.com/office/spreadsheetml/2009/9/main" objectType="GBox" noThreeD="1"/>
</file>

<file path=xl/ctrlProps/ctrlProp275.xml><?xml version="1.0" encoding="utf-8"?>
<formControlPr xmlns="http://schemas.microsoft.com/office/spreadsheetml/2009/9/main" objectType="GBox" noThreeD="1"/>
</file>

<file path=xl/ctrlProps/ctrlProp276.xml><?xml version="1.0" encoding="utf-8"?>
<formControlPr xmlns="http://schemas.microsoft.com/office/spreadsheetml/2009/9/main" objectType="Radio" firstButton="1" lockText="1" noThreeD="1"/>
</file>

<file path=xl/ctrlProps/ctrlProp277.xml><?xml version="1.0" encoding="utf-8"?>
<formControlPr xmlns="http://schemas.microsoft.com/office/spreadsheetml/2009/9/main" objectType="Radio" lockText="1" noThreeD="1"/>
</file>

<file path=xl/ctrlProps/ctrlProp278.xml><?xml version="1.0" encoding="utf-8"?>
<formControlPr xmlns="http://schemas.microsoft.com/office/spreadsheetml/2009/9/main" objectType="Radio" lockText="1" noThreeD="1"/>
</file>

<file path=xl/ctrlProps/ctrlProp279.xml><?xml version="1.0" encoding="utf-8"?>
<formControlPr xmlns="http://schemas.microsoft.com/office/spreadsheetml/2009/9/main" objectType="GBox" noThreeD="1"/>
</file>

<file path=xl/ctrlProps/ctrlProp28.xml><?xml version="1.0" encoding="utf-8"?>
<formControlPr xmlns="http://schemas.microsoft.com/office/spreadsheetml/2009/9/main" objectType="CheckBox" checked="Checked" lockText="1" noThreeD="1"/>
</file>

<file path=xl/ctrlProps/ctrlProp280.xml><?xml version="1.0" encoding="utf-8"?>
<formControlPr xmlns="http://schemas.microsoft.com/office/spreadsheetml/2009/9/main" objectType="GBox"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GBox" noThreeD="1"/>
</file>

<file path=xl/ctrlProps/ctrlProp286.xml><?xml version="1.0" encoding="utf-8"?>
<formControlPr xmlns="http://schemas.microsoft.com/office/spreadsheetml/2009/9/main" objectType="Radio" firstButton="1" lockText="1" noThreeD="1"/>
</file>

<file path=xl/ctrlProps/ctrlProp287.xml><?xml version="1.0" encoding="utf-8"?>
<formControlPr xmlns="http://schemas.microsoft.com/office/spreadsheetml/2009/9/main" objectType="Radio" lockText="1" noThreeD="1"/>
</file>

<file path=xl/ctrlProps/ctrlProp288.xml><?xml version="1.0" encoding="utf-8"?>
<formControlPr xmlns="http://schemas.microsoft.com/office/spreadsheetml/2009/9/main" objectType="GBox" noThreeD="1"/>
</file>

<file path=xl/ctrlProps/ctrlProp289.xml><?xml version="1.0" encoding="utf-8"?>
<formControlPr xmlns="http://schemas.microsoft.com/office/spreadsheetml/2009/9/main" objectType="GBox"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Radio" firstButton="1" lockText="1" noThreeD="1"/>
</file>

<file path=xl/ctrlProps/ctrlProp291.xml><?xml version="1.0" encoding="utf-8"?>
<formControlPr xmlns="http://schemas.microsoft.com/office/spreadsheetml/2009/9/main" objectType="Radio" lockText="1" noThreeD="1"/>
</file>

<file path=xl/ctrlProps/ctrlProp292.xml><?xml version="1.0" encoding="utf-8"?>
<formControlPr xmlns="http://schemas.microsoft.com/office/spreadsheetml/2009/9/main" objectType="GBox" noThreeD="1"/>
</file>

<file path=xl/ctrlProps/ctrlProp293.xml><?xml version="1.0" encoding="utf-8"?>
<formControlPr xmlns="http://schemas.microsoft.com/office/spreadsheetml/2009/9/main" objectType="GBox"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GBox" noThreeD="1"/>
</file>

<file path=xl/ctrlProps/ctrlProp297.xml><?xml version="1.0" encoding="utf-8"?>
<formControlPr xmlns="http://schemas.microsoft.com/office/spreadsheetml/2009/9/main" objectType="Radio" firstButton="1" lockText="1" noThreeD="1"/>
</file>

<file path=xl/ctrlProps/ctrlProp298.xml><?xml version="1.0" encoding="utf-8"?>
<formControlPr xmlns="http://schemas.microsoft.com/office/spreadsheetml/2009/9/main" objectType="Radio" lockText="1" noThreeD="1"/>
</file>

<file path=xl/ctrlProps/ctrlProp299.xml><?xml version="1.0" encoding="utf-8"?>
<formControlPr xmlns="http://schemas.microsoft.com/office/spreadsheetml/2009/9/main" objectType="GBox"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GBox" noThreeD="1"/>
</file>

<file path=xl/ctrlProps/ctrlProp301.xml><?xml version="1.0" encoding="utf-8"?>
<formControlPr xmlns="http://schemas.microsoft.com/office/spreadsheetml/2009/9/main" objectType="Radio" lockText="1" noThreeD="1"/>
</file>

<file path=xl/ctrlProps/ctrlProp302.xml><?xml version="1.0" encoding="utf-8"?>
<formControlPr xmlns="http://schemas.microsoft.com/office/spreadsheetml/2009/9/main" objectType="Radio" lockText="1" noThreeD="1"/>
</file>

<file path=xl/ctrlProps/ctrlProp303.xml><?xml version="1.0" encoding="utf-8"?>
<formControlPr xmlns="http://schemas.microsoft.com/office/spreadsheetml/2009/9/main" objectType="GBox" noThreeD="1"/>
</file>

<file path=xl/ctrlProps/ctrlProp304.xml><?xml version="1.0" encoding="utf-8"?>
<formControlPr xmlns="http://schemas.microsoft.com/office/spreadsheetml/2009/9/main" objectType="GBox" noThreeD="1"/>
</file>

<file path=xl/ctrlProps/ctrlProp305.xml><?xml version="1.0" encoding="utf-8"?>
<formControlPr xmlns="http://schemas.microsoft.com/office/spreadsheetml/2009/9/main" objectType="Radio" firstButton="1" lockText="1" noThreeD="1"/>
</file>

<file path=xl/ctrlProps/ctrlProp306.xml><?xml version="1.0" encoding="utf-8"?>
<formControlPr xmlns="http://schemas.microsoft.com/office/spreadsheetml/2009/9/main" objectType="Radio" lockText="1" noThreeD="1"/>
</file>

<file path=xl/ctrlProps/ctrlProp307.xml><?xml version="1.0" encoding="utf-8"?>
<formControlPr xmlns="http://schemas.microsoft.com/office/spreadsheetml/2009/9/main" objectType="Radio" lockText="1" noThreeD="1"/>
</file>

<file path=xl/ctrlProps/ctrlProp308.xml><?xml version="1.0" encoding="utf-8"?>
<formControlPr xmlns="http://schemas.microsoft.com/office/spreadsheetml/2009/9/main" objectType="GBox" noThreeD="1"/>
</file>

<file path=xl/ctrlProps/ctrlProp309.xml><?xml version="1.0" encoding="utf-8"?>
<formControlPr xmlns="http://schemas.microsoft.com/office/spreadsheetml/2009/9/main" objectType="GBox"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GBox" noThreeD="1"/>
</file>

<file path=xl/ctrlProps/ctrlProp315.xml><?xml version="1.0" encoding="utf-8"?>
<formControlPr xmlns="http://schemas.microsoft.com/office/spreadsheetml/2009/9/main" objectType="Radio" firstButton="1" lockText="1" noThreeD="1"/>
</file>

<file path=xl/ctrlProps/ctrlProp316.xml><?xml version="1.0" encoding="utf-8"?>
<formControlPr xmlns="http://schemas.microsoft.com/office/spreadsheetml/2009/9/main" objectType="Radio" lockText="1" noThreeD="1"/>
</file>

<file path=xl/ctrlProps/ctrlProp317.xml><?xml version="1.0" encoding="utf-8"?>
<formControlPr xmlns="http://schemas.microsoft.com/office/spreadsheetml/2009/9/main" objectType="GBox" noThreeD="1"/>
</file>

<file path=xl/ctrlProps/ctrlProp318.xml><?xml version="1.0" encoding="utf-8"?>
<formControlPr xmlns="http://schemas.microsoft.com/office/spreadsheetml/2009/9/main" objectType="GBox" noThreeD="1"/>
</file>

<file path=xl/ctrlProps/ctrlProp319.xml><?xml version="1.0" encoding="utf-8"?>
<formControlPr xmlns="http://schemas.microsoft.com/office/spreadsheetml/2009/9/main" objectType="Radio" firstButton="1"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Radio" lockText="1" noThreeD="1"/>
</file>

<file path=xl/ctrlProps/ctrlProp321.xml><?xml version="1.0" encoding="utf-8"?>
<formControlPr xmlns="http://schemas.microsoft.com/office/spreadsheetml/2009/9/main" objectType="GBox" noThreeD="1"/>
</file>

<file path=xl/ctrlProps/ctrlProp322.xml><?xml version="1.0" encoding="utf-8"?>
<formControlPr xmlns="http://schemas.microsoft.com/office/spreadsheetml/2009/9/main" objectType="GBox"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GBox" noThreeD="1"/>
</file>

<file path=xl/ctrlProps/ctrlProp326.xml><?xml version="1.0" encoding="utf-8"?>
<formControlPr xmlns="http://schemas.microsoft.com/office/spreadsheetml/2009/9/main" objectType="Radio" firstButton="1" lockText="1" noThreeD="1"/>
</file>

<file path=xl/ctrlProps/ctrlProp327.xml><?xml version="1.0" encoding="utf-8"?>
<formControlPr xmlns="http://schemas.microsoft.com/office/spreadsheetml/2009/9/main" objectType="Radio" lockText="1" noThreeD="1"/>
</file>

<file path=xl/ctrlProps/ctrlProp328.xml><?xml version="1.0" encoding="utf-8"?>
<formControlPr xmlns="http://schemas.microsoft.com/office/spreadsheetml/2009/9/main" objectType="GBox" noThreeD="1"/>
</file>

<file path=xl/ctrlProps/ctrlProp329.xml><?xml version="1.0" encoding="utf-8"?>
<formControlPr xmlns="http://schemas.microsoft.com/office/spreadsheetml/2009/9/main" objectType="GBox"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Radio" lockText="1" noThreeD="1"/>
</file>

<file path=xl/ctrlProps/ctrlProp331.xml><?xml version="1.0" encoding="utf-8"?>
<formControlPr xmlns="http://schemas.microsoft.com/office/spreadsheetml/2009/9/main" objectType="Radio" lockText="1" noThreeD="1"/>
</file>

<file path=xl/ctrlProps/ctrlProp332.xml><?xml version="1.0" encoding="utf-8"?>
<formControlPr xmlns="http://schemas.microsoft.com/office/spreadsheetml/2009/9/main" objectType="GBox" noThreeD="1"/>
</file>

<file path=xl/ctrlProps/ctrlProp333.xml><?xml version="1.0" encoding="utf-8"?>
<formControlPr xmlns="http://schemas.microsoft.com/office/spreadsheetml/2009/9/main" objectType="GBox" noThreeD="1"/>
</file>

<file path=xl/ctrlProps/ctrlProp334.xml><?xml version="1.0" encoding="utf-8"?>
<formControlPr xmlns="http://schemas.microsoft.com/office/spreadsheetml/2009/9/main" objectType="Radio" firstButton="1" lockText="1" noThreeD="1"/>
</file>

<file path=xl/ctrlProps/ctrlProp335.xml><?xml version="1.0" encoding="utf-8"?>
<formControlPr xmlns="http://schemas.microsoft.com/office/spreadsheetml/2009/9/main" objectType="Radio" lockText="1" noThreeD="1"/>
</file>

<file path=xl/ctrlProps/ctrlProp336.xml><?xml version="1.0" encoding="utf-8"?>
<formControlPr xmlns="http://schemas.microsoft.com/office/spreadsheetml/2009/9/main" objectType="Radio" lockText="1" noThreeD="1"/>
</file>

<file path=xl/ctrlProps/ctrlProp337.xml><?xml version="1.0" encoding="utf-8"?>
<formControlPr xmlns="http://schemas.microsoft.com/office/spreadsheetml/2009/9/main" objectType="GBox" noThreeD="1"/>
</file>

<file path=xl/ctrlProps/ctrlProp338.xml><?xml version="1.0" encoding="utf-8"?>
<formControlPr xmlns="http://schemas.microsoft.com/office/spreadsheetml/2009/9/main" objectType="GBox" noThreeD="1"/>
</file>

<file path=xl/ctrlProps/ctrlProp339.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40.xml><?xml version="1.0" encoding="utf-8"?>
<formControlPr xmlns="http://schemas.microsoft.com/office/spreadsheetml/2009/9/main" objectType="CheckBox" lockText="1" noThreeD="1"/>
</file>

<file path=xl/ctrlProps/ctrlProp341.xml><?xml version="1.0" encoding="utf-8"?>
<formControlPr xmlns="http://schemas.microsoft.com/office/spreadsheetml/2009/9/main" objectType="CheckBox" lockText="1" noThreeD="1"/>
</file>

<file path=xl/ctrlProps/ctrlProp342.xml><?xml version="1.0" encoding="utf-8"?>
<formControlPr xmlns="http://schemas.microsoft.com/office/spreadsheetml/2009/9/main" objectType="CheckBox" lockText="1" noThreeD="1"/>
</file>

<file path=xl/ctrlProps/ctrlProp343.xml><?xml version="1.0" encoding="utf-8"?>
<formControlPr xmlns="http://schemas.microsoft.com/office/spreadsheetml/2009/9/main" objectType="GBox" noThreeD="1"/>
</file>

<file path=xl/ctrlProps/ctrlProp344.xml><?xml version="1.0" encoding="utf-8"?>
<formControlPr xmlns="http://schemas.microsoft.com/office/spreadsheetml/2009/9/main" objectType="Radio" firstButton="1" lockText="1" noThreeD="1"/>
</file>

<file path=xl/ctrlProps/ctrlProp345.xml><?xml version="1.0" encoding="utf-8"?>
<formControlPr xmlns="http://schemas.microsoft.com/office/spreadsheetml/2009/9/main" objectType="Radio" lockText="1" noThreeD="1"/>
</file>

<file path=xl/ctrlProps/ctrlProp346.xml><?xml version="1.0" encoding="utf-8"?>
<formControlPr xmlns="http://schemas.microsoft.com/office/spreadsheetml/2009/9/main" objectType="GBox" noThreeD="1"/>
</file>

<file path=xl/ctrlProps/ctrlProp347.xml><?xml version="1.0" encoding="utf-8"?>
<formControlPr xmlns="http://schemas.microsoft.com/office/spreadsheetml/2009/9/main" objectType="GBox" noThreeD="1"/>
</file>

<file path=xl/ctrlProps/ctrlProp348.xml><?xml version="1.0" encoding="utf-8"?>
<formControlPr xmlns="http://schemas.microsoft.com/office/spreadsheetml/2009/9/main" objectType="Radio" firstButton="1" lockText="1" noThreeD="1"/>
</file>

<file path=xl/ctrlProps/ctrlProp349.xml><?xml version="1.0" encoding="utf-8"?>
<formControlPr xmlns="http://schemas.microsoft.com/office/spreadsheetml/2009/9/main" objectType="Radio" lockText="1" noThreeD="1"/>
</file>

<file path=xl/ctrlProps/ctrlProp35.xml><?xml version="1.0" encoding="utf-8"?>
<formControlPr xmlns="http://schemas.microsoft.com/office/spreadsheetml/2009/9/main" objectType="CheckBox" lockText="1" noThreeD="1"/>
</file>

<file path=xl/ctrlProps/ctrlProp350.xml><?xml version="1.0" encoding="utf-8"?>
<formControlPr xmlns="http://schemas.microsoft.com/office/spreadsheetml/2009/9/main" objectType="GBox" noThreeD="1"/>
</file>

<file path=xl/ctrlProps/ctrlProp351.xml><?xml version="1.0" encoding="utf-8"?>
<formControlPr xmlns="http://schemas.microsoft.com/office/spreadsheetml/2009/9/main" objectType="GBox" noThreeD="1"/>
</file>

<file path=xl/ctrlProps/ctrlProp352.xml><?xml version="1.0" encoding="utf-8"?>
<formControlPr xmlns="http://schemas.microsoft.com/office/spreadsheetml/2009/9/main" objectType="CheckBox"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GBox" noThreeD="1"/>
</file>

<file path=xl/ctrlProps/ctrlProp355.xml><?xml version="1.0" encoding="utf-8"?>
<formControlPr xmlns="http://schemas.microsoft.com/office/spreadsheetml/2009/9/main" objectType="Radio" firstButton="1" lockText="1" noThreeD="1"/>
</file>

<file path=xl/ctrlProps/ctrlProp356.xml><?xml version="1.0" encoding="utf-8"?>
<formControlPr xmlns="http://schemas.microsoft.com/office/spreadsheetml/2009/9/main" objectType="Radio" lockText="1" noThreeD="1"/>
</file>

<file path=xl/ctrlProps/ctrlProp357.xml><?xml version="1.0" encoding="utf-8"?>
<formControlPr xmlns="http://schemas.microsoft.com/office/spreadsheetml/2009/9/main" objectType="GBox" noThreeD="1"/>
</file>

<file path=xl/ctrlProps/ctrlProp358.xml><?xml version="1.0" encoding="utf-8"?>
<formControlPr xmlns="http://schemas.microsoft.com/office/spreadsheetml/2009/9/main" objectType="GBox" noThreeD="1"/>
</file>

<file path=xl/ctrlProps/ctrlProp359.xml><?xml version="1.0" encoding="utf-8"?>
<formControlPr xmlns="http://schemas.microsoft.com/office/spreadsheetml/2009/9/main" objectType="Radio" lockText="1" noThreeD="1"/>
</file>

<file path=xl/ctrlProps/ctrlProp36.xml><?xml version="1.0" encoding="utf-8"?>
<formControlPr xmlns="http://schemas.microsoft.com/office/spreadsheetml/2009/9/main" objectType="CheckBox" lockText="1" noThreeD="1"/>
</file>

<file path=xl/ctrlProps/ctrlProp360.xml><?xml version="1.0" encoding="utf-8"?>
<formControlPr xmlns="http://schemas.microsoft.com/office/spreadsheetml/2009/9/main" objectType="Radio" lockText="1" noThreeD="1"/>
</file>

<file path=xl/ctrlProps/ctrlProp361.xml><?xml version="1.0" encoding="utf-8"?>
<formControlPr xmlns="http://schemas.microsoft.com/office/spreadsheetml/2009/9/main" objectType="GBox" noThreeD="1"/>
</file>

<file path=xl/ctrlProps/ctrlProp362.xml><?xml version="1.0" encoding="utf-8"?>
<formControlPr xmlns="http://schemas.microsoft.com/office/spreadsheetml/2009/9/main" objectType="GBox" noThreeD="1"/>
</file>

<file path=xl/ctrlProps/ctrlProp363.xml><?xml version="1.0" encoding="utf-8"?>
<formControlPr xmlns="http://schemas.microsoft.com/office/spreadsheetml/2009/9/main" objectType="Radio" firstButton="1" lockText="1" noThreeD="1"/>
</file>

<file path=xl/ctrlProps/ctrlProp364.xml><?xml version="1.0" encoding="utf-8"?>
<formControlPr xmlns="http://schemas.microsoft.com/office/spreadsheetml/2009/9/main" objectType="Radio" lockText="1" noThreeD="1"/>
</file>

<file path=xl/ctrlProps/ctrlProp365.xml><?xml version="1.0" encoding="utf-8"?>
<formControlPr xmlns="http://schemas.microsoft.com/office/spreadsheetml/2009/9/main" objectType="Radio" lockText="1" noThreeD="1"/>
</file>

<file path=xl/ctrlProps/ctrlProp366.xml><?xml version="1.0" encoding="utf-8"?>
<formControlPr xmlns="http://schemas.microsoft.com/office/spreadsheetml/2009/9/main" objectType="GBox" noThreeD="1"/>
</file>

<file path=xl/ctrlProps/ctrlProp367.xml><?xml version="1.0" encoding="utf-8"?>
<formControlPr xmlns="http://schemas.microsoft.com/office/spreadsheetml/2009/9/main" objectType="GBox" noThreeD="1"/>
</file>

<file path=xl/ctrlProps/ctrlProp368.xml><?xml version="1.0" encoding="utf-8"?>
<formControlPr xmlns="http://schemas.microsoft.com/office/spreadsheetml/2009/9/main" objectType="CheckBox" lockText="1" noThreeD="1"/>
</file>

<file path=xl/ctrlProps/ctrlProp369.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70.xml><?xml version="1.0" encoding="utf-8"?>
<formControlPr xmlns="http://schemas.microsoft.com/office/spreadsheetml/2009/9/main" objectType="CheckBox" lockText="1" noThreeD="1"/>
</file>

<file path=xl/ctrlProps/ctrlProp371.xml><?xml version="1.0" encoding="utf-8"?>
<formControlPr xmlns="http://schemas.microsoft.com/office/spreadsheetml/2009/9/main" objectType="CheckBox" lockText="1" noThreeD="1"/>
</file>

<file path=xl/ctrlProps/ctrlProp372.xml><?xml version="1.0" encoding="utf-8"?>
<formControlPr xmlns="http://schemas.microsoft.com/office/spreadsheetml/2009/9/main" objectType="GBox" noThreeD="1"/>
</file>

<file path=xl/ctrlProps/ctrlProp373.xml><?xml version="1.0" encoding="utf-8"?>
<formControlPr xmlns="http://schemas.microsoft.com/office/spreadsheetml/2009/9/main" objectType="Radio" firstButton="1" lockText="1" noThreeD="1"/>
</file>

<file path=xl/ctrlProps/ctrlProp374.xml><?xml version="1.0" encoding="utf-8"?>
<formControlPr xmlns="http://schemas.microsoft.com/office/spreadsheetml/2009/9/main" objectType="Radio" lockText="1" noThreeD="1"/>
</file>

<file path=xl/ctrlProps/ctrlProp375.xml><?xml version="1.0" encoding="utf-8"?>
<formControlPr xmlns="http://schemas.microsoft.com/office/spreadsheetml/2009/9/main" objectType="GBox" noThreeD="1"/>
</file>

<file path=xl/ctrlProps/ctrlProp376.xml><?xml version="1.0" encoding="utf-8"?>
<formControlPr xmlns="http://schemas.microsoft.com/office/spreadsheetml/2009/9/main" objectType="GBox" noThreeD="1"/>
</file>

<file path=xl/ctrlProps/ctrlProp377.xml><?xml version="1.0" encoding="utf-8"?>
<formControlPr xmlns="http://schemas.microsoft.com/office/spreadsheetml/2009/9/main" objectType="Radio" firstButton="1" lockText="1" noThreeD="1"/>
</file>

<file path=xl/ctrlProps/ctrlProp378.xml><?xml version="1.0" encoding="utf-8"?>
<formControlPr xmlns="http://schemas.microsoft.com/office/spreadsheetml/2009/9/main" objectType="Radio" lockText="1" noThreeD="1"/>
</file>

<file path=xl/ctrlProps/ctrlProp379.xml><?xml version="1.0" encoding="utf-8"?>
<formControlPr xmlns="http://schemas.microsoft.com/office/spreadsheetml/2009/9/main" objectType="GBox" noThreeD="1"/>
</file>

<file path=xl/ctrlProps/ctrlProp38.xml><?xml version="1.0" encoding="utf-8"?>
<formControlPr xmlns="http://schemas.microsoft.com/office/spreadsheetml/2009/9/main" objectType="CheckBox" lockText="1" noThreeD="1"/>
</file>

<file path=xl/ctrlProps/ctrlProp380.xml><?xml version="1.0" encoding="utf-8"?>
<formControlPr xmlns="http://schemas.microsoft.com/office/spreadsheetml/2009/9/main" objectType="GBox" noThreeD="1"/>
</file>

<file path=xl/ctrlProps/ctrlProp381.xml><?xml version="1.0" encoding="utf-8"?>
<formControlPr xmlns="http://schemas.microsoft.com/office/spreadsheetml/2009/9/main" objectType="CheckBox" lockText="1" noThreeD="1"/>
</file>

<file path=xl/ctrlProps/ctrlProp382.xml><?xml version="1.0" encoding="utf-8"?>
<formControlPr xmlns="http://schemas.microsoft.com/office/spreadsheetml/2009/9/main" objectType="CheckBox" lockText="1" noThreeD="1"/>
</file>

<file path=xl/ctrlProps/ctrlProp383.xml><?xml version="1.0" encoding="utf-8"?>
<formControlPr xmlns="http://schemas.microsoft.com/office/spreadsheetml/2009/9/main" objectType="GBox" noThreeD="1"/>
</file>

<file path=xl/ctrlProps/ctrlProp384.xml><?xml version="1.0" encoding="utf-8"?>
<formControlPr xmlns="http://schemas.microsoft.com/office/spreadsheetml/2009/9/main" objectType="Radio" firstButton="1" lockText="1" noThreeD="1"/>
</file>

<file path=xl/ctrlProps/ctrlProp385.xml><?xml version="1.0" encoding="utf-8"?>
<formControlPr xmlns="http://schemas.microsoft.com/office/spreadsheetml/2009/9/main" objectType="Radio" lockText="1" noThreeD="1"/>
</file>

<file path=xl/ctrlProps/ctrlProp386.xml><?xml version="1.0" encoding="utf-8"?>
<formControlPr xmlns="http://schemas.microsoft.com/office/spreadsheetml/2009/9/main" objectType="GBox" noThreeD="1"/>
</file>

<file path=xl/ctrlProps/ctrlProp387.xml><?xml version="1.0" encoding="utf-8"?>
<formControlPr xmlns="http://schemas.microsoft.com/office/spreadsheetml/2009/9/main" objectType="GBox" noThreeD="1"/>
</file>

<file path=xl/ctrlProps/ctrlProp388.xml><?xml version="1.0" encoding="utf-8"?>
<formControlPr xmlns="http://schemas.microsoft.com/office/spreadsheetml/2009/9/main" objectType="Radio" lockText="1" noThreeD="1"/>
</file>

<file path=xl/ctrlProps/ctrlProp389.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CheckBox" lockText="1" noThreeD="1"/>
</file>

<file path=xl/ctrlProps/ctrlProp390.xml><?xml version="1.0" encoding="utf-8"?>
<formControlPr xmlns="http://schemas.microsoft.com/office/spreadsheetml/2009/9/main" objectType="GBox" noThreeD="1"/>
</file>

<file path=xl/ctrlProps/ctrlProp391.xml><?xml version="1.0" encoding="utf-8"?>
<formControlPr xmlns="http://schemas.microsoft.com/office/spreadsheetml/2009/9/main" objectType="GBox" noThreeD="1"/>
</file>

<file path=xl/ctrlProps/ctrlProp392.xml><?xml version="1.0" encoding="utf-8"?>
<formControlPr xmlns="http://schemas.microsoft.com/office/spreadsheetml/2009/9/main" objectType="Radio" firstButton="1" lockText="1" noThreeD="1"/>
</file>

<file path=xl/ctrlProps/ctrlProp393.xml><?xml version="1.0" encoding="utf-8"?>
<formControlPr xmlns="http://schemas.microsoft.com/office/spreadsheetml/2009/9/main" objectType="Radio"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GBox" noThreeD="1"/>
</file>

<file path=xl/ctrlProps/ctrlProp396.xml><?xml version="1.0" encoding="utf-8"?>
<formControlPr xmlns="http://schemas.microsoft.com/office/spreadsheetml/2009/9/main" objectType="GBox" noThreeD="1"/>
</file>

<file path=xl/ctrlProps/ctrlProp397.xml><?xml version="1.0" encoding="utf-8"?>
<formControlPr xmlns="http://schemas.microsoft.com/office/spreadsheetml/2009/9/main" objectType="CheckBox" lockText="1" noThreeD="1"/>
</file>

<file path=xl/ctrlProps/ctrlProp398.xml><?xml version="1.0" encoding="utf-8"?>
<formControlPr xmlns="http://schemas.microsoft.com/office/spreadsheetml/2009/9/main" objectType="CheckBox" lockText="1" noThreeD="1"/>
</file>

<file path=xl/ctrlProps/ctrlProp39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00.xml><?xml version="1.0" encoding="utf-8"?>
<formControlPr xmlns="http://schemas.microsoft.com/office/spreadsheetml/2009/9/main" objectType="CheckBox" lockText="1" noThreeD="1"/>
</file>

<file path=xl/ctrlProps/ctrlProp401.xml><?xml version="1.0" encoding="utf-8"?>
<formControlPr xmlns="http://schemas.microsoft.com/office/spreadsheetml/2009/9/main" objectType="GBox" noThreeD="1"/>
</file>

<file path=xl/ctrlProps/ctrlProp402.xml><?xml version="1.0" encoding="utf-8"?>
<formControlPr xmlns="http://schemas.microsoft.com/office/spreadsheetml/2009/9/main" objectType="Radio" firstButton="1"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GBox" noThreeD="1"/>
</file>

<file path=xl/ctrlProps/ctrlProp405.xml><?xml version="1.0" encoding="utf-8"?>
<formControlPr xmlns="http://schemas.microsoft.com/office/spreadsheetml/2009/9/main" objectType="GBox" noThreeD="1"/>
</file>

<file path=xl/ctrlProps/ctrlProp406.xml><?xml version="1.0" encoding="utf-8"?>
<formControlPr xmlns="http://schemas.microsoft.com/office/spreadsheetml/2009/9/main" objectType="Radio" firstButton="1"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GBox" noThreeD="1"/>
</file>

<file path=xl/ctrlProps/ctrlProp409.xml><?xml version="1.0" encoding="utf-8"?>
<formControlPr xmlns="http://schemas.microsoft.com/office/spreadsheetml/2009/9/main" objectType="GBox" noThreeD="1"/>
</file>

<file path=xl/ctrlProps/ctrlProp41.xml><?xml version="1.0" encoding="utf-8"?>
<formControlPr xmlns="http://schemas.microsoft.com/office/spreadsheetml/2009/9/main" objectType="CheckBox" lockText="1" noThreeD="1"/>
</file>

<file path=xl/ctrlProps/ctrlProp410.xml><?xml version="1.0" encoding="utf-8"?>
<formControlPr xmlns="http://schemas.microsoft.com/office/spreadsheetml/2009/9/main" objectType="CheckBox" lockText="1" noThreeD="1"/>
</file>

<file path=xl/ctrlProps/ctrlProp411.xml><?xml version="1.0" encoding="utf-8"?>
<formControlPr xmlns="http://schemas.microsoft.com/office/spreadsheetml/2009/9/main" objectType="CheckBox" lockText="1" noThreeD="1"/>
</file>

<file path=xl/ctrlProps/ctrlProp412.xml><?xml version="1.0" encoding="utf-8"?>
<formControlPr xmlns="http://schemas.microsoft.com/office/spreadsheetml/2009/9/main" objectType="GBox" noThreeD="1"/>
</file>

<file path=xl/ctrlProps/ctrlProp413.xml><?xml version="1.0" encoding="utf-8"?>
<formControlPr xmlns="http://schemas.microsoft.com/office/spreadsheetml/2009/9/main" objectType="Radio" firstButton="1"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GBox" noThreeD="1"/>
</file>

<file path=xl/ctrlProps/ctrlProp416.xml><?xml version="1.0" encoding="utf-8"?>
<formControlPr xmlns="http://schemas.microsoft.com/office/spreadsheetml/2009/9/main" objectType="GBox"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GBox" noThreeD="1"/>
</file>

<file path=xl/ctrlProps/ctrlProp42.xml><?xml version="1.0" encoding="utf-8"?>
<formControlPr xmlns="http://schemas.microsoft.com/office/spreadsheetml/2009/9/main" objectType="CheckBox" lockText="1"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Radio" firstButton="1" lockText="1" noThreeD="1"/>
</file>

<file path=xl/ctrlProps/ctrlProp422.xml><?xml version="1.0" encoding="utf-8"?>
<formControlPr xmlns="http://schemas.microsoft.com/office/spreadsheetml/2009/9/main" objectType="Radio" lockText="1" noThreeD="1"/>
</file>

<file path=xl/ctrlProps/ctrlProp423.xml><?xml version="1.0" encoding="utf-8"?>
<formControlPr xmlns="http://schemas.microsoft.com/office/spreadsheetml/2009/9/main" objectType="Radio" lockText="1"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CheckBox"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30.xml><?xml version="1.0" encoding="utf-8"?>
<formControlPr xmlns="http://schemas.microsoft.com/office/spreadsheetml/2009/9/main" objectType="GBox" noThreeD="1"/>
</file>

<file path=xl/ctrlProps/ctrlProp431.xml><?xml version="1.0" encoding="utf-8"?>
<formControlPr xmlns="http://schemas.microsoft.com/office/spreadsheetml/2009/9/main" objectType="Radio" firstButton="1" lockText="1" noThreeD="1"/>
</file>

<file path=xl/ctrlProps/ctrlProp432.xml><?xml version="1.0" encoding="utf-8"?>
<formControlPr xmlns="http://schemas.microsoft.com/office/spreadsheetml/2009/9/main" objectType="Radio" lockText="1" noThreeD="1"/>
</file>

<file path=xl/ctrlProps/ctrlProp433.xml><?xml version="1.0" encoding="utf-8"?>
<formControlPr xmlns="http://schemas.microsoft.com/office/spreadsheetml/2009/9/main" objectType="GBox" noThreeD="1"/>
</file>

<file path=xl/ctrlProps/ctrlProp434.xml><?xml version="1.0" encoding="utf-8"?>
<formControlPr xmlns="http://schemas.microsoft.com/office/spreadsheetml/2009/9/main" objectType="GBox" noThreeD="1"/>
</file>

<file path=xl/ctrlProps/ctrlProp435.xml><?xml version="1.0" encoding="utf-8"?>
<formControlPr xmlns="http://schemas.microsoft.com/office/spreadsheetml/2009/9/main" objectType="Radio" firstButton="1" lockText="1" noThreeD="1"/>
</file>

<file path=xl/ctrlProps/ctrlProp436.xml><?xml version="1.0" encoding="utf-8"?>
<formControlPr xmlns="http://schemas.microsoft.com/office/spreadsheetml/2009/9/main" objectType="Radio" lockText="1" noThreeD="1"/>
</file>

<file path=xl/ctrlProps/ctrlProp437.xml><?xml version="1.0" encoding="utf-8"?>
<formControlPr xmlns="http://schemas.microsoft.com/office/spreadsheetml/2009/9/main" objectType="GBox" noThreeD="1"/>
</file>

<file path=xl/ctrlProps/ctrlProp438.xml><?xml version="1.0" encoding="utf-8"?>
<formControlPr xmlns="http://schemas.microsoft.com/office/spreadsheetml/2009/9/main" objectType="GBox" noThreeD="1"/>
</file>

<file path=xl/ctrlProps/ctrlProp439.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40.xml><?xml version="1.0" encoding="utf-8"?>
<formControlPr xmlns="http://schemas.microsoft.com/office/spreadsheetml/2009/9/main" objectType="CheckBox" lockText="1" noThreeD="1"/>
</file>

<file path=xl/ctrlProps/ctrlProp441.xml><?xml version="1.0" encoding="utf-8"?>
<formControlPr xmlns="http://schemas.microsoft.com/office/spreadsheetml/2009/9/main" objectType="GBox" noThreeD="1"/>
</file>

<file path=xl/ctrlProps/ctrlProp442.xml><?xml version="1.0" encoding="utf-8"?>
<formControlPr xmlns="http://schemas.microsoft.com/office/spreadsheetml/2009/9/main" objectType="Radio" firstButton="1" lockText="1" noThreeD="1"/>
</file>

<file path=xl/ctrlProps/ctrlProp443.xml><?xml version="1.0" encoding="utf-8"?>
<formControlPr xmlns="http://schemas.microsoft.com/office/spreadsheetml/2009/9/main" objectType="Radio" lockText="1" noThreeD="1"/>
</file>

<file path=xl/ctrlProps/ctrlProp444.xml><?xml version="1.0" encoding="utf-8"?>
<formControlPr xmlns="http://schemas.microsoft.com/office/spreadsheetml/2009/9/main" objectType="GBox" noThreeD="1"/>
</file>

<file path=xl/ctrlProps/ctrlProp445.xml><?xml version="1.0" encoding="utf-8"?>
<formControlPr xmlns="http://schemas.microsoft.com/office/spreadsheetml/2009/9/main" objectType="GBox" noThreeD="1"/>
</file>

<file path=xl/ctrlProps/ctrlProp446.xml><?xml version="1.0" encoding="utf-8"?>
<formControlPr xmlns="http://schemas.microsoft.com/office/spreadsheetml/2009/9/main" objectType="Radio" lockText="1" noThreeD="1"/>
</file>

<file path=xl/ctrlProps/ctrlProp447.xml><?xml version="1.0" encoding="utf-8"?>
<formControlPr xmlns="http://schemas.microsoft.com/office/spreadsheetml/2009/9/main" objectType="Radio" lockText="1" noThreeD="1"/>
</file>

<file path=xl/ctrlProps/ctrlProp448.xml><?xml version="1.0" encoding="utf-8"?>
<formControlPr xmlns="http://schemas.microsoft.com/office/spreadsheetml/2009/9/main" objectType="GBox" noThreeD="1"/>
</file>

<file path=xl/ctrlProps/ctrlProp449.xml><?xml version="1.0" encoding="utf-8"?>
<formControlPr xmlns="http://schemas.microsoft.com/office/spreadsheetml/2009/9/main" objectType="GBox" noThreeD="1"/>
</file>

<file path=xl/ctrlProps/ctrlProp45.xml><?xml version="1.0" encoding="utf-8"?>
<formControlPr xmlns="http://schemas.microsoft.com/office/spreadsheetml/2009/9/main" objectType="CheckBox" lockText="1" noThreeD="1"/>
</file>

<file path=xl/ctrlProps/ctrlProp450.xml><?xml version="1.0" encoding="utf-8"?>
<formControlPr xmlns="http://schemas.microsoft.com/office/spreadsheetml/2009/9/main" objectType="Radio" firstButton="1" lockText="1" noThreeD="1"/>
</file>

<file path=xl/ctrlProps/ctrlProp451.xml><?xml version="1.0" encoding="utf-8"?>
<formControlPr xmlns="http://schemas.microsoft.com/office/spreadsheetml/2009/9/main" objectType="Radio" lockText="1" noThreeD="1"/>
</file>

<file path=xl/ctrlProps/ctrlProp452.xml><?xml version="1.0" encoding="utf-8"?>
<formControlPr xmlns="http://schemas.microsoft.com/office/spreadsheetml/2009/9/main" objectType="Radio" lockText="1" noThreeD="1"/>
</file>

<file path=xl/ctrlProps/ctrlProp453.xml><?xml version="1.0" encoding="utf-8"?>
<formControlPr xmlns="http://schemas.microsoft.com/office/spreadsheetml/2009/9/main" objectType="GBox" noThreeD="1"/>
</file>

<file path=xl/ctrlProps/ctrlProp454.xml><?xml version="1.0" encoding="utf-8"?>
<formControlPr xmlns="http://schemas.microsoft.com/office/spreadsheetml/2009/9/main" objectType="GBox" noThreeD="1"/>
</file>

<file path=xl/ctrlProps/ctrlProp455.xml><?xml version="1.0" encoding="utf-8"?>
<formControlPr xmlns="http://schemas.microsoft.com/office/spreadsheetml/2009/9/main" objectType="CheckBox" lockText="1" noThreeD="1"/>
</file>

<file path=xl/ctrlProps/ctrlProp456.xml><?xml version="1.0" encoding="utf-8"?>
<formControlPr xmlns="http://schemas.microsoft.com/office/spreadsheetml/2009/9/main" objectType="CheckBox" lockText="1" noThreeD="1"/>
</file>

<file path=xl/ctrlProps/ctrlProp457.xml><?xml version="1.0" encoding="utf-8"?>
<formControlPr xmlns="http://schemas.microsoft.com/office/spreadsheetml/2009/9/main" objectType="CheckBox" lockText="1" noThreeD="1"/>
</file>

<file path=xl/ctrlProps/ctrlProp458.xml><?xml version="1.0" encoding="utf-8"?>
<formControlPr xmlns="http://schemas.microsoft.com/office/spreadsheetml/2009/9/main" objectType="CheckBox" lockText="1" noThreeD="1"/>
</file>

<file path=xl/ctrlProps/ctrlProp459.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60.xml><?xml version="1.0" encoding="utf-8"?>
<formControlPr xmlns="http://schemas.microsoft.com/office/spreadsheetml/2009/9/main" objectType="GBox" noThreeD="1"/>
</file>

<file path=xl/ctrlProps/ctrlProp461.xml><?xml version="1.0" encoding="utf-8"?>
<formControlPr xmlns="http://schemas.microsoft.com/office/spreadsheetml/2009/9/main" objectType="Radio" firstButton="1" lockText="1" noThreeD="1"/>
</file>

<file path=xl/ctrlProps/ctrlProp462.xml><?xml version="1.0" encoding="utf-8"?>
<formControlPr xmlns="http://schemas.microsoft.com/office/spreadsheetml/2009/9/main" objectType="Radio" lockText="1" noThreeD="1"/>
</file>

<file path=xl/ctrlProps/ctrlProp463.xml><?xml version="1.0" encoding="utf-8"?>
<formControlPr xmlns="http://schemas.microsoft.com/office/spreadsheetml/2009/9/main" objectType="GBox" noThreeD="1"/>
</file>

<file path=xl/ctrlProps/ctrlProp464.xml><?xml version="1.0" encoding="utf-8"?>
<formControlPr xmlns="http://schemas.microsoft.com/office/spreadsheetml/2009/9/main" objectType="GBox" noThreeD="1"/>
</file>

<file path=xl/ctrlProps/ctrlProp465.xml><?xml version="1.0" encoding="utf-8"?>
<formControlPr xmlns="http://schemas.microsoft.com/office/spreadsheetml/2009/9/main" objectType="Radio" firstButton="1" lockText="1" noThreeD="1"/>
</file>

<file path=xl/ctrlProps/ctrlProp466.xml><?xml version="1.0" encoding="utf-8"?>
<formControlPr xmlns="http://schemas.microsoft.com/office/spreadsheetml/2009/9/main" objectType="Radio" lockText="1" noThreeD="1"/>
</file>

<file path=xl/ctrlProps/ctrlProp467.xml><?xml version="1.0" encoding="utf-8"?>
<formControlPr xmlns="http://schemas.microsoft.com/office/spreadsheetml/2009/9/main" objectType="GBox" noThreeD="1"/>
</file>

<file path=xl/ctrlProps/ctrlProp468.xml><?xml version="1.0" encoding="utf-8"?>
<formControlPr xmlns="http://schemas.microsoft.com/office/spreadsheetml/2009/9/main" objectType="CheckBox" lockText="1" noThreeD="1"/>
</file>

<file path=xl/ctrlProps/ctrlProp469.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70.xml><?xml version="1.0" encoding="utf-8"?>
<formControlPr xmlns="http://schemas.microsoft.com/office/spreadsheetml/2009/9/main" objectType="Radio" firstButton="1" lockText="1" noThreeD="1"/>
</file>

<file path=xl/ctrlProps/ctrlProp471.xml><?xml version="1.0" encoding="utf-8"?>
<formControlPr xmlns="http://schemas.microsoft.com/office/spreadsheetml/2009/9/main" objectType="Radio" lockText="1" noThreeD="1"/>
</file>

<file path=xl/ctrlProps/ctrlProp472.xml><?xml version="1.0" encoding="utf-8"?>
<formControlPr xmlns="http://schemas.microsoft.com/office/spreadsheetml/2009/9/main" objectType="Radio" lockText="1" noThreeD="1"/>
</file>

<file path=xl/ctrlProps/ctrlProp473.xml><?xml version="1.0" encoding="utf-8"?>
<formControlPr xmlns="http://schemas.microsoft.com/office/spreadsheetml/2009/9/main" objectType="CheckBox" lockText="1" noThreeD="1"/>
</file>

<file path=xl/ctrlProps/ctrlProp474.xml><?xml version="1.0" encoding="utf-8"?>
<formControlPr xmlns="http://schemas.microsoft.com/office/spreadsheetml/2009/9/main" objectType="Radio" firstButton="1" lockText="1" noThreeD="1"/>
</file>

<file path=xl/ctrlProps/ctrlProp475.xml><?xml version="1.0" encoding="utf-8"?>
<formControlPr xmlns="http://schemas.microsoft.com/office/spreadsheetml/2009/9/main" objectType="Radio" lockText="1" noThreeD="1"/>
</file>

<file path=xl/ctrlProps/ctrlProp476.xml><?xml version="1.0" encoding="utf-8"?>
<formControlPr xmlns="http://schemas.microsoft.com/office/spreadsheetml/2009/9/main" objectType="Radio" lockText="1" noThreeD="1"/>
</file>

<file path=xl/ctrlProps/ctrlProp477.xml><?xml version="1.0" encoding="utf-8"?>
<formControlPr xmlns="http://schemas.microsoft.com/office/spreadsheetml/2009/9/main" objectType="CheckBox" lockText="1" noThreeD="1"/>
</file>

<file path=xl/ctrlProps/ctrlProp478.xml><?xml version="1.0" encoding="utf-8"?>
<formControlPr xmlns="http://schemas.microsoft.com/office/spreadsheetml/2009/9/main" objectType="CheckBox" lockText="1" noThreeD="1"/>
</file>

<file path=xl/ctrlProps/ctrlProp479.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80.xml><?xml version="1.0" encoding="utf-8"?>
<formControlPr xmlns="http://schemas.microsoft.com/office/spreadsheetml/2009/9/main" objectType="CheckBox" lockText="1" noThreeD="1"/>
</file>

<file path=xl/ctrlProps/ctrlProp481.xml><?xml version="1.0" encoding="utf-8"?>
<formControlPr xmlns="http://schemas.microsoft.com/office/spreadsheetml/2009/9/main" objectType="CheckBox" lockText="1" noThreeD="1"/>
</file>

<file path=xl/ctrlProps/ctrlProp482.xml><?xml version="1.0" encoding="utf-8"?>
<formControlPr xmlns="http://schemas.microsoft.com/office/spreadsheetml/2009/9/main" objectType="CheckBox" lockText="1" noThreeD="1"/>
</file>

<file path=xl/ctrlProps/ctrlProp483.xml><?xml version="1.0" encoding="utf-8"?>
<formControlPr xmlns="http://schemas.microsoft.com/office/spreadsheetml/2009/9/main" objectType="Radio" firstButton="1" lockText="1" noThreeD="1"/>
</file>

<file path=xl/ctrlProps/ctrlProp484.xml><?xml version="1.0" encoding="utf-8"?>
<formControlPr xmlns="http://schemas.microsoft.com/office/spreadsheetml/2009/9/main" objectType="Radio" lockText="1" noThreeD="1"/>
</file>

<file path=xl/ctrlProps/ctrlProp485.xml><?xml version="1.0" encoding="utf-8"?>
<formControlPr xmlns="http://schemas.microsoft.com/office/spreadsheetml/2009/9/main" objectType="GBox" noThreeD="1"/>
</file>

<file path=xl/ctrlProps/ctrlProp486.xml><?xml version="1.0" encoding="utf-8"?>
<formControlPr xmlns="http://schemas.microsoft.com/office/spreadsheetml/2009/9/main" objectType="Radio" firstButton="1" lockText="1" noThreeD="1"/>
</file>

<file path=xl/ctrlProps/ctrlProp487.xml><?xml version="1.0" encoding="utf-8"?>
<formControlPr xmlns="http://schemas.microsoft.com/office/spreadsheetml/2009/9/main" objectType="Radio" lockText="1" noThreeD="1"/>
</file>

<file path=xl/ctrlProps/ctrlProp488.xml><?xml version="1.0" encoding="utf-8"?>
<formControlPr xmlns="http://schemas.microsoft.com/office/spreadsheetml/2009/9/main" objectType="GBox" noThreeD="1"/>
</file>

<file path=xl/ctrlProps/ctrlProp489.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490.xml><?xml version="1.0" encoding="utf-8"?>
<formControlPr xmlns="http://schemas.microsoft.com/office/spreadsheetml/2009/9/main" objectType="CheckBox" lockText="1" noThreeD="1"/>
</file>

<file path=xl/ctrlProps/ctrlProp491.xml><?xml version="1.0" encoding="utf-8"?>
<formControlPr xmlns="http://schemas.microsoft.com/office/spreadsheetml/2009/9/main" objectType="CheckBox" lockText="1" noThreeD="1"/>
</file>

<file path=xl/ctrlProps/ctrlProp492.xml><?xml version="1.0" encoding="utf-8"?>
<formControlPr xmlns="http://schemas.microsoft.com/office/spreadsheetml/2009/9/main" objectType="CheckBox" lockText="1" noThreeD="1"/>
</file>

<file path=xl/ctrlProps/ctrlProp493.xml><?xml version="1.0" encoding="utf-8"?>
<formControlPr xmlns="http://schemas.microsoft.com/office/spreadsheetml/2009/9/main" objectType="CheckBox" lockText="1" noThreeD="1"/>
</file>

<file path=xl/ctrlProps/ctrlProp494.xml><?xml version="1.0" encoding="utf-8"?>
<formControlPr xmlns="http://schemas.microsoft.com/office/spreadsheetml/2009/9/main" objectType="CheckBox" lockText="1" noThreeD="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CheckBox" lockText="1" noThreeD="1"/>
</file>

<file path=xl/ctrlProps/ctrlProp497.xml><?xml version="1.0" encoding="utf-8"?>
<formControlPr xmlns="http://schemas.microsoft.com/office/spreadsheetml/2009/9/main" objectType="CheckBox" lockText="1" noThreeD="1"/>
</file>

<file path=xl/ctrlProps/ctrlProp498.xml><?xml version="1.0" encoding="utf-8"?>
<formControlPr xmlns="http://schemas.microsoft.com/office/spreadsheetml/2009/9/main" objectType="CheckBox" lockText="1" noThreeD="1"/>
</file>

<file path=xl/ctrlProps/ctrlProp49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00.xml><?xml version="1.0" encoding="utf-8"?>
<formControlPr xmlns="http://schemas.microsoft.com/office/spreadsheetml/2009/9/main" objectType="CheckBox" lockText="1" noThreeD="1"/>
</file>

<file path=xl/ctrlProps/ctrlProp501.xml><?xml version="1.0" encoding="utf-8"?>
<formControlPr xmlns="http://schemas.microsoft.com/office/spreadsheetml/2009/9/main" objectType="CheckBox" lockText="1" noThreeD="1"/>
</file>

<file path=xl/ctrlProps/ctrlProp502.xml><?xml version="1.0" encoding="utf-8"?>
<formControlPr xmlns="http://schemas.microsoft.com/office/spreadsheetml/2009/9/main" objectType="CheckBox" lockText="1" noThreeD="1"/>
</file>

<file path=xl/ctrlProps/ctrlProp503.xml><?xml version="1.0" encoding="utf-8"?>
<formControlPr xmlns="http://schemas.microsoft.com/office/spreadsheetml/2009/9/main" objectType="CheckBox" lockText="1" noThreeD="1"/>
</file>

<file path=xl/ctrlProps/ctrlProp504.xml><?xml version="1.0" encoding="utf-8"?>
<formControlPr xmlns="http://schemas.microsoft.com/office/spreadsheetml/2009/9/main" objectType="CheckBox" lockText="1" noThreeD="1"/>
</file>

<file path=xl/ctrlProps/ctrlProp505.xml><?xml version="1.0" encoding="utf-8"?>
<formControlPr xmlns="http://schemas.microsoft.com/office/spreadsheetml/2009/9/main" objectType="CheckBox" lockText="1" noThreeD="1"/>
</file>

<file path=xl/ctrlProps/ctrlProp506.xml><?xml version="1.0" encoding="utf-8"?>
<formControlPr xmlns="http://schemas.microsoft.com/office/spreadsheetml/2009/9/main" objectType="CheckBox" lockText="1" noThreeD="1"/>
</file>

<file path=xl/ctrlProps/ctrlProp507.xml><?xml version="1.0" encoding="utf-8"?>
<formControlPr xmlns="http://schemas.microsoft.com/office/spreadsheetml/2009/9/main" objectType="CheckBox" lockText="1" noThreeD="1"/>
</file>

<file path=xl/ctrlProps/ctrlProp508.xml><?xml version="1.0" encoding="utf-8"?>
<formControlPr xmlns="http://schemas.microsoft.com/office/spreadsheetml/2009/9/main" objectType="CheckBox" lockText="1" noThreeD="1"/>
</file>

<file path=xl/ctrlProps/ctrlProp509.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10.xml><?xml version="1.0" encoding="utf-8"?>
<formControlPr xmlns="http://schemas.microsoft.com/office/spreadsheetml/2009/9/main" objectType="CheckBox" lockText="1" noThreeD="1"/>
</file>

<file path=xl/ctrlProps/ctrlProp511.xml><?xml version="1.0" encoding="utf-8"?>
<formControlPr xmlns="http://schemas.microsoft.com/office/spreadsheetml/2009/9/main" objectType="CheckBox" lockText="1" noThreeD="1"/>
</file>

<file path=xl/ctrlProps/ctrlProp512.xml><?xml version="1.0" encoding="utf-8"?>
<formControlPr xmlns="http://schemas.microsoft.com/office/spreadsheetml/2009/9/main" objectType="Button" lockText="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Radio" checked="Checked" firstButton="1" lockText="1" noThreeD="1"/>
</file>

<file path=xl/ctrlProps/ctrlProp55.xml><?xml version="1.0" encoding="utf-8"?>
<formControlPr xmlns="http://schemas.microsoft.com/office/spreadsheetml/2009/9/main" objectType="Radio" lockText="1" noThreeD="1"/>
</file>

<file path=xl/ctrlProps/ctrlProp56.xml><?xml version="1.0" encoding="utf-8"?>
<formControlPr xmlns="http://schemas.microsoft.com/office/spreadsheetml/2009/9/main" objectType="GBox" noThreeD="1"/>
</file>

<file path=xl/ctrlProps/ctrlProp57.xml><?xml version="1.0" encoding="utf-8"?>
<formControlPr xmlns="http://schemas.microsoft.com/office/spreadsheetml/2009/9/main" objectType="GBox"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Radio" checked="Checked" firstButton="1" lockText="1" noThreeD="1"/>
</file>

<file path=xl/ctrlProps/ctrlProp65.xml><?xml version="1.0" encoding="utf-8"?>
<formControlPr xmlns="http://schemas.microsoft.com/office/spreadsheetml/2009/9/main" objectType="Radio" lockText="1" noThreeD="1"/>
</file>

<file path=xl/ctrlProps/ctrlProp66.xml><?xml version="1.0" encoding="utf-8"?>
<formControlPr xmlns="http://schemas.microsoft.com/office/spreadsheetml/2009/9/main" objectType="GBox" noThreeD="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GBox"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GBox"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0.emf"/></Relationships>
</file>

<file path=xl/drawings/_rels/drawing1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jpeg"/><Relationship Id="rId18" Type="http://schemas.openxmlformats.org/officeDocument/2006/relationships/image" Target="../media/image13.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17" Type="http://schemas.openxmlformats.org/officeDocument/2006/relationships/image" Target="../media/image33.jpeg"/><Relationship Id="rId2" Type="http://schemas.openxmlformats.org/officeDocument/2006/relationships/image" Target="../media/image18.png"/><Relationship Id="rId16" Type="http://schemas.openxmlformats.org/officeDocument/2006/relationships/image" Target="../media/image32.jpe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jpe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9.png"/></Relationships>
</file>

<file path=xl/drawings/_rels/drawing19.xml.rels><?xml version="1.0" encoding="UTF-8" standalone="yes"?>
<Relationships xmlns="http://schemas.openxmlformats.org/package/2006/relationships"><Relationship Id="rId13" Type="http://schemas.openxmlformats.org/officeDocument/2006/relationships/image" Target="../media/image52.png"/><Relationship Id="rId18" Type="http://schemas.openxmlformats.org/officeDocument/2006/relationships/image" Target="../media/image57.png"/><Relationship Id="rId26" Type="http://schemas.openxmlformats.org/officeDocument/2006/relationships/image" Target="../media/image65.png"/><Relationship Id="rId39" Type="http://schemas.openxmlformats.org/officeDocument/2006/relationships/image" Target="../media/image76.png"/><Relationship Id="rId21" Type="http://schemas.openxmlformats.org/officeDocument/2006/relationships/image" Target="../media/image60.jpeg"/><Relationship Id="rId34" Type="http://schemas.openxmlformats.org/officeDocument/2006/relationships/image" Target="../media/image29.jpeg"/><Relationship Id="rId7" Type="http://schemas.openxmlformats.org/officeDocument/2006/relationships/image" Target="../media/image46.png"/><Relationship Id="rId12" Type="http://schemas.openxmlformats.org/officeDocument/2006/relationships/image" Target="../media/image51.jpeg"/><Relationship Id="rId17" Type="http://schemas.openxmlformats.org/officeDocument/2006/relationships/image" Target="../media/image56.png"/><Relationship Id="rId25" Type="http://schemas.openxmlformats.org/officeDocument/2006/relationships/image" Target="../media/image64.png"/><Relationship Id="rId33" Type="http://schemas.openxmlformats.org/officeDocument/2006/relationships/image" Target="../media/image72.jpeg"/><Relationship Id="rId38" Type="http://schemas.openxmlformats.org/officeDocument/2006/relationships/image" Target="../media/image75.png"/><Relationship Id="rId2" Type="http://schemas.openxmlformats.org/officeDocument/2006/relationships/image" Target="../media/image41.png"/><Relationship Id="rId16" Type="http://schemas.openxmlformats.org/officeDocument/2006/relationships/image" Target="../media/image55.png"/><Relationship Id="rId20" Type="http://schemas.openxmlformats.org/officeDocument/2006/relationships/image" Target="../media/image59.png"/><Relationship Id="rId29" Type="http://schemas.openxmlformats.org/officeDocument/2006/relationships/image" Target="../media/image68.png"/><Relationship Id="rId1" Type="http://schemas.openxmlformats.org/officeDocument/2006/relationships/image" Target="../media/image40.png"/><Relationship Id="rId6" Type="http://schemas.openxmlformats.org/officeDocument/2006/relationships/image" Target="../media/image45.png"/><Relationship Id="rId11" Type="http://schemas.openxmlformats.org/officeDocument/2006/relationships/image" Target="../media/image50.png"/><Relationship Id="rId24" Type="http://schemas.openxmlformats.org/officeDocument/2006/relationships/image" Target="../media/image63.png"/><Relationship Id="rId32" Type="http://schemas.openxmlformats.org/officeDocument/2006/relationships/image" Target="../media/image71.png"/><Relationship Id="rId37" Type="http://schemas.openxmlformats.org/officeDocument/2006/relationships/image" Target="../media/image74.png"/><Relationship Id="rId40" Type="http://schemas.openxmlformats.org/officeDocument/2006/relationships/image" Target="../media/image13.png"/><Relationship Id="rId5" Type="http://schemas.openxmlformats.org/officeDocument/2006/relationships/image" Target="../media/image44.png"/><Relationship Id="rId15" Type="http://schemas.openxmlformats.org/officeDocument/2006/relationships/image" Target="../media/image54.png"/><Relationship Id="rId23" Type="http://schemas.openxmlformats.org/officeDocument/2006/relationships/image" Target="../media/image62.png"/><Relationship Id="rId28" Type="http://schemas.openxmlformats.org/officeDocument/2006/relationships/image" Target="../media/image67.png"/><Relationship Id="rId36" Type="http://schemas.openxmlformats.org/officeDocument/2006/relationships/image" Target="../media/image73.png"/><Relationship Id="rId10" Type="http://schemas.openxmlformats.org/officeDocument/2006/relationships/image" Target="../media/image49.jpeg"/><Relationship Id="rId19" Type="http://schemas.openxmlformats.org/officeDocument/2006/relationships/image" Target="../media/image58.png"/><Relationship Id="rId31" Type="http://schemas.openxmlformats.org/officeDocument/2006/relationships/image" Target="../media/image70.png"/><Relationship Id="rId4" Type="http://schemas.openxmlformats.org/officeDocument/2006/relationships/image" Target="../media/image43.png"/><Relationship Id="rId9" Type="http://schemas.openxmlformats.org/officeDocument/2006/relationships/image" Target="../media/image48.png"/><Relationship Id="rId14" Type="http://schemas.openxmlformats.org/officeDocument/2006/relationships/image" Target="../media/image53.png"/><Relationship Id="rId22" Type="http://schemas.openxmlformats.org/officeDocument/2006/relationships/image" Target="../media/image61.png"/><Relationship Id="rId27" Type="http://schemas.openxmlformats.org/officeDocument/2006/relationships/image" Target="../media/image66.png"/><Relationship Id="rId30" Type="http://schemas.openxmlformats.org/officeDocument/2006/relationships/image" Target="../media/image69.png"/><Relationship Id="rId35" Type="http://schemas.openxmlformats.org/officeDocument/2006/relationships/image" Target="../media/image30.png"/><Relationship Id="rId8" Type="http://schemas.openxmlformats.org/officeDocument/2006/relationships/image" Target="../media/image47.png"/><Relationship Id="rId3" Type="http://schemas.openxmlformats.org/officeDocument/2006/relationships/image" Target="../media/image42.png"/></Relationships>
</file>

<file path=xl/drawings/_rels/drawing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26.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78.png"/></Relationships>
</file>

<file path=xl/drawings/_rels/drawing27.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image" Target="../media/image78.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2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3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1.xml.rels><?xml version="1.0" encoding="UTF-8" standalone="yes"?>
<Relationships xmlns="http://schemas.openxmlformats.org/package/2006/relationships"><Relationship Id="rId8" Type="http://schemas.openxmlformats.org/officeDocument/2006/relationships/image" Target="../media/image87.emf"/><Relationship Id="rId13" Type="http://schemas.openxmlformats.org/officeDocument/2006/relationships/image" Target="../media/image92.emf"/><Relationship Id="rId3" Type="http://schemas.openxmlformats.org/officeDocument/2006/relationships/image" Target="../media/image82.emf"/><Relationship Id="rId7" Type="http://schemas.openxmlformats.org/officeDocument/2006/relationships/image" Target="../media/image86.emf"/><Relationship Id="rId12" Type="http://schemas.openxmlformats.org/officeDocument/2006/relationships/image" Target="../media/image91.emf"/><Relationship Id="rId2" Type="http://schemas.openxmlformats.org/officeDocument/2006/relationships/image" Target="../media/image81.emf"/><Relationship Id="rId1" Type="http://schemas.openxmlformats.org/officeDocument/2006/relationships/image" Target="../media/image80.emf"/><Relationship Id="rId6" Type="http://schemas.openxmlformats.org/officeDocument/2006/relationships/image" Target="../media/image85.emf"/><Relationship Id="rId11" Type="http://schemas.openxmlformats.org/officeDocument/2006/relationships/image" Target="../media/image90.emf"/><Relationship Id="rId5" Type="http://schemas.openxmlformats.org/officeDocument/2006/relationships/image" Target="../media/image84.emf"/><Relationship Id="rId10" Type="http://schemas.openxmlformats.org/officeDocument/2006/relationships/image" Target="../media/image89.emf"/><Relationship Id="rId4" Type="http://schemas.openxmlformats.org/officeDocument/2006/relationships/image" Target="../media/image83.emf"/><Relationship Id="rId9" Type="http://schemas.openxmlformats.org/officeDocument/2006/relationships/image" Target="../media/image88.emf"/><Relationship Id="rId14" Type="http://schemas.openxmlformats.org/officeDocument/2006/relationships/image" Target="../media/image93.emf"/></Relationships>
</file>

<file path=xl/drawings/_rels/drawing3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43.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39.png"/></Relationships>
</file>

<file path=xl/drawings/_rels/drawing44.xml.rels><?xml version="1.0" encoding="UTF-8" standalone="yes"?>
<Relationships xmlns="http://schemas.openxmlformats.org/package/2006/relationships"><Relationship Id="rId1" Type="http://schemas.openxmlformats.org/officeDocument/2006/relationships/image" Target="../media/image140.png"/></Relationships>
</file>

<file path=xl/drawings/_rels/drawing45.xml.rels><?xml version="1.0" encoding="UTF-8" standalone="yes"?>
<Relationships xmlns="http://schemas.openxmlformats.org/package/2006/relationships"><Relationship Id="rId1" Type="http://schemas.openxmlformats.org/officeDocument/2006/relationships/image" Target="../media/image141.png"/></Relationships>
</file>

<file path=xl/drawings/_rels/drawing46.xml.rels><?xml version="1.0" encoding="UTF-8" standalone="yes"?>
<Relationships xmlns="http://schemas.openxmlformats.org/package/2006/relationships"><Relationship Id="rId1" Type="http://schemas.openxmlformats.org/officeDocument/2006/relationships/image" Target="../media/image142.png"/></Relationships>
</file>

<file path=xl/drawings/_rels/drawing47.xml.rels><?xml version="1.0" encoding="UTF-8" standalone="yes"?>
<Relationships xmlns="http://schemas.openxmlformats.org/package/2006/relationships"><Relationship Id="rId1" Type="http://schemas.openxmlformats.org/officeDocument/2006/relationships/image" Target="../media/image143.png"/></Relationships>
</file>

<file path=xl/drawings/_rels/drawing5.xml.rels><?xml version="1.0" encoding="UTF-8" standalone="yes"?>
<Relationships xmlns="http://schemas.openxmlformats.org/package/2006/relationships"><Relationship Id="rId2" Type="http://schemas.openxmlformats.org/officeDocument/2006/relationships/image" Target="../media/image14.jpeg"/><Relationship Id="rId1" Type="http://schemas.openxmlformats.org/officeDocument/2006/relationships/image" Target="../media/image15.png"/></Relationships>
</file>

<file path=xl/drawings/_rels/drawing6.xml.rels><?xml version="1.0" encoding="UTF-8" standalone="yes"?>
<Relationships xmlns="http://schemas.openxmlformats.org/package/2006/relationships"><Relationship Id="rId1" Type="http://schemas.openxmlformats.org/officeDocument/2006/relationships/image" Target="../media/image13.png"/></Relationships>
</file>

<file path=xl/drawings/_rels/drawing7.xml.rels><?xml version="1.0" encoding="UTF-8" standalone="yes"?>
<Relationships xmlns="http://schemas.openxmlformats.org/package/2006/relationships"><Relationship Id="rId1" Type="http://schemas.openxmlformats.org/officeDocument/2006/relationships/image" Target="../media/image16.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9.xml.rels><?xml version="1.0" encoding="UTF-8" standalone="yes"?>
<Relationships xmlns="http://schemas.openxmlformats.org/package/2006/relationships"><Relationship Id="rId1" Type="http://schemas.openxmlformats.org/officeDocument/2006/relationships/image" Target="../media/image13.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emf"/><Relationship Id="rId7" Type="http://schemas.openxmlformats.org/officeDocument/2006/relationships/image" Target="../media/image7.emf"/><Relationship Id="rId2" Type="http://schemas.openxmlformats.org/officeDocument/2006/relationships/image" Target="../media/image2.emf"/><Relationship Id="rId1" Type="http://schemas.openxmlformats.org/officeDocument/2006/relationships/image" Target="../media/image1.emf"/><Relationship Id="rId6" Type="http://schemas.openxmlformats.org/officeDocument/2006/relationships/image" Target="../media/image6.emf"/><Relationship Id="rId5" Type="http://schemas.openxmlformats.org/officeDocument/2006/relationships/image" Target="../media/image5.emf"/><Relationship Id="rId10" Type="http://schemas.openxmlformats.org/officeDocument/2006/relationships/image" Target="../media/image11.emf"/><Relationship Id="rId4" Type="http://schemas.openxmlformats.org/officeDocument/2006/relationships/image" Target="../media/image4.emf"/><Relationship Id="rId9" Type="http://schemas.openxmlformats.org/officeDocument/2006/relationships/image" Target="../media/image9.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77.emf"/></Relationships>
</file>

<file path=xl/drawings/_rels/vmlDrawing17.vml.rels><?xml version="1.0" encoding="UTF-8" standalone="yes"?>
<Relationships xmlns="http://schemas.openxmlformats.org/package/2006/relationships"><Relationship Id="rId1" Type="http://schemas.openxmlformats.org/officeDocument/2006/relationships/image" Target="../media/image79.emf"/></Relationships>
</file>

<file path=xl/drawings/_rels/vmlDrawing20.vml.rels><?xml version="1.0" encoding="UTF-8" standalone="yes"?>
<Relationships xmlns="http://schemas.openxmlformats.org/package/2006/relationships"><Relationship Id="rId1" Type="http://schemas.openxmlformats.org/officeDocument/2006/relationships/image" Target="../media/image94.emf"/></Relationships>
</file>

<file path=xl/drawings/_rels/vmlDrawing21.vml.rels><?xml version="1.0" encoding="UTF-8" standalone="yes"?>
<Relationships xmlns="http://schemas.openxmlformats.org/package/2006/relationships"><Relationship Id="rId3" Type="http://schemas.openxmlformats.org/officeDocument/2006/relationships/image" Target="../media/image97.emf"/><Relationship Id="rId2" Type="http://schemas.openxmlformats.org/officeDocument/2006/relationships/image" Target="../media/image96.emf"/><Relationship Id="rId1" Type="http://schemas.openxmlformats.org/officeDocument/2006/relationships/image" Target="../media/image95.emf"/><Relationship Id="rId5" Type="http://schemas.openxmlformats.org/officeDocument/2006/relationships/image" Target="../media/image99.emf"/><Relationship Id="rId4" Type="http://schemas.openxmlformats.org/officeDocument/2006/relationships/image" Target="../media/image98.emf"/></Relationships>
</file>

<file path=xl/drawings/_rels/vmlDrawing22.vml.rels><?xml version="1.0" encoding="UTF-8" standalone="yes"?>
<Relationships xmlns="http://schemas.openxmlformats.org/package/2006/relationships"><Relationship Id="rId3" Type="http://schemas.openxmlformats.org/officeDocument/2006/relationships/image" Target="../media/image102.emf"/><Relationship Id="rId2" Type="http://schemas.openxmlformats.org/officeDocument/2006/relationships/image" Target="../media/image101.emf"/><Relationship Id="rId1" Type="http://schemas.openxmlformats.org/officeDocument/2006/relationships/image" Target="../media/image100.emf"/><Relationship Id="rId5" Type="http://schemas.openxmlformats.org/officeDocument/2006/relationships/image" Target="../media/image104.emf"/><Relationship Id="rId4" Type="http://schemas.openxmlformats.org/officeDocument/2006/relationships/image" Target="../media/image103.emf"/></Relationships>
</file>

<file path=xl/drawings/_rels/vmlDrawing23.vml.rels><?xml version="1.0" encoding="UTF-8" standalone="yes"?>
<Relationships xmlns="http://schemas.openxmlformats.org/package/2006/relationships"><Relationship Id="rId3" Type="http://schemas.openxmlformats.org/officeDocument/2006/relationships/image" Target="../media/image107.emf"/><Relationship Id="rId2" Type="http://schemas.openxmlformats.org/officeDocument/2006/relationships/image" Target="../media/image106.emf"/><Relationship Id="rId1" Type="http://schemas.openxmlformats.org/officeDocument/2006/relationships/image" Target="../media/image105.emf"/><Relationship Id="rId5" Type="http://schemas.openxmlformats.org/officeDocument/2006/relationships/image" Target="../media/image109.emf"/><Relationship Id="rId4" Type="http://schemas.openxmlformats.org/officeDocument/2006/relationships/image" Target="../media/image108.emf"/></Relationships>
</file>

<file path=xl/drawings/_rels/vmlDrawing24.vml.rels><?xml version="1.0" encoding="UTF-8" standalone="yes"?>
<Relationships xmlns="http://schemas.openxmlformats.org/package/2006/relationships"><Relationship Id="rId3" Type="http://schemas.openxmlformats.org/officeDocument/2006/relationships/image" Target="../media/image112.emf"/><Relationship Id="rId2" Type="http://schemas.openxmlformats.org/officeDocument/2006/relationships/image" Target="../media/image111.emf"/><Relationship Id="rId1" Type="http://schemas.openxmlformats.org/officeDocument/2006/relationships/image" Target="../media/image110.emf"/><Relationship Id="rId5" Type="http://schemas.openxmlformats.org/officeDocument/2006/relationships/image" Target="../media/image114.emf"/><Relationship Id="rId4" Type="http://schemas.openxmlformats.org/officeDocument/2006/relationships/image" Target="../media/image113.emf"/></Relationships>
</file>

<file path=xl/drawings/_rels/vmlDrawing25.vml.rels><?xml version="1.0" encoding="UTF-8" standalone="yes"?>
<Relationships xmlns="http://schemas.openxmlformats.org/package/2006/relationships"><Relationship Id="rId3" Type="http://schemas.openxmlformats.org/officeDocument/2006/relationships/image" Target="../media/image117.emf"/><Relationship Id="rId2" Type="http://schemas.openxmlformats.org/officeDocument/2006/relationships/image" Target="../media/image116.emf"/><Relationship Id="rId1" Type="http://schemas.openxmlformats.org/officeDocument/2006/relationships/image" Target="../media/image115.emf"/><Relationship Id="rId5" Type="http://schemas.openxmlformats.org/officeDocument/2006/relationships/image" Target="../media/image119.emf"/><Relationship Id="rId4" Type="http://schemas.openxmlformats.org/officeDocument/2006/relationships/image" Target="../media/image118.emf"/></Relationships>
</file>

<file path=xl/drawings/_rels/vmlDrawing26.vml.rels><?xml version="1.0" encoding="UTF-8" standalone="yes"?>
<Relationships xmlns="http://schemas.openxmlformats.org/package/2006/relationships"><Relationship Id="rId3" Type="http://schemas.openxmlformats.org/officeDocument/2006/relationships/image" Target="../media/image122.emf"/><Relationship Id="rId2" Type="http://schemas.openxmlformats.org/officeDocument/2006/relationships/image" Target="../media/image121.emf"/><Relationship Id="rId1" Type="http://schemas.openxmlformats.org/officeDocument/2006/relationships/image" Target="../media/image120.emf"/><Relationship Id="rId5" Type="http://schemas.openxmlformats.org/officeDocument/2006/relationships/image" Target="../media/image124.emf"/><Relationship Id="rId4" Type="http://schemas.openxmlformats.org/officeDocument/2006/relationships/image" Target="../media/image123.emf"/></Relationships>
</file>

<file path=xl/drawings/_rels/vmlDrawing27.vml.rels><?xml version="1.0" encoding="UTF-8" standalone="yes"?>
<Relationships xmlns="http://schemas.openxmlformats.org/package/2006/relationships"><Relationship Id="rId3" Type="http://schemas.openxmlformats.org/officeDocument/2006/relationships/image" Target="../media/image127.emf"/><Relationship Id="rId2" Type="http://schemas.openxmlformats.org/officeDocument/2006/relationships/image" Target="../media/image126.emf"/><Relationship Id="rId1" Type="http://schemas.openxmlformats.org/officeDocument/2006/relationships/image" Target="../media/image125.emf"/><Relationship Id="rId5" Type="http://schemas.openxmlformats.org/officeDocument/2006/relationships/image" Target="../media/image129.emf"/><Relationship Id="rId4" Type="http://schemas.openxmlformats.org/officeDocument/2006/relationships/image" Target="../media/image128.emf"/></Relationships>
</file>

<file path=xl/drawings/_rels/vmlDrawing28.vml.rels><?xml version="1.0" encoding="UTF-8" standalone="yes"?>
<Relationships xmlns="http://schemas.openxmlformats.org/package/2006/relationships"><Relationship Id="rId3" Type="http://schemas.openxmlformats.org/officeDocument/2006/relationships/image" Target="../media/image132.emf"/><Relationship Id="rId2" Type="http://schemas.openxmlformats.org/officeDocument/2006/relationships/image" Target="../media/image131.emf"/><Relationship Id="rId1" Type="http://schemas.openxmlformats.org/officeDocument/2006/relationships/image" Target="../media/image130.emf"/><Relationship Id="rId5" Type="http://schemas.openxmlformats.org/officeDocument/2006/relationships/image" Target="../media/image134.emf"/><Relationship Id="rId4" Type="http://schemas.openxmlformats.org/officeDocument/2006/relationships/image" Target="../media/image133.emf"/></Relationships>
</file>

<file path=xl/drawings/_rels/vmlDrawing29.vml.rels><?xml version="1.0" encoding="UTF-8" standalone="yes"?>
<Relationships xmlns="http://schemas.openxmlformats.org/package/2006/relationships"><Relationship Id="rId3" Type="http://schemas.openxmlformats.org/officeDocument/2006/relationships/image" Target="../media/image137.emf"/><Relationship Id="rId2" Type="http://schemas.openxmlformats.org/officeDocument/2006/relationships/image" Target="../media/image136.emf"/><Relationship Id="rId1" Type="http://schemas.openxmlformats.org/officeDocument/2006/relationships/image" Target="../media/image135.emf"/><Relationship Id="rId4" Type="http://schemas.openxmlformats.org/officeDocument/2006/relationships/image" Target="../media/image138.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4.emf"/></Relationships>
</file>

<file path=xl/drawings/_rels/vmlDrawing7.vml.rels><?xml version="1.0" encoding="UTF-8" standalone="yes"?>
<Relationships xmlns="http://schemas.openxmlformats.org/package/2006/relationships"><Relationship Id="rId2" Type="http://schemas.openxmlformats.org/officeDocument/2006/relationships/image" Target="../media/image36.emf"/><Relationship Id="rId1" Type="http://schemas.openxmlformats.org/officeDocument/2006/relationships/image" Target="../media/image35.emf"/></Relationships>
</file>

<file path=xl/drawings/_rels/vmlDrawing8.vml.rels><?xml version="1.0" encoding="UTF-8" standalone="yes"?>
<Relationships xmlns="http://schemas.openxmlformats.org/package/2006/relationships"><Relationship Id="rId2" Type="http://schemas.openxmlformats.org/officeDocument/2006/relationships/image" Target="../media/image38.emf"/><Relationship Id="rId1" Type="http://schemas.openxmlformats.org/officeDocument/2006/relationships/image" Target="../media/image3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107950</xdr:colOff>
          <xdr:row>14</xdr:row>
          <xdr:rowOff>0</xdr:rowOff>
        </xdr:from>
        <xdr:to>
          <xdr:col>4</xdr:col>
          <xdr:colOff>1079500</xdr:colOff>
          <xdr:row>15</xdr:row>
          <xdr:rowOff>69850</xdr:rowOff>
        </xdr:to>
        <xdr:sp macro="" textlink="">
          <xdr:nvSpPr>
            <xdr:cNvPr id="81921" name="CheckBox1" hidden="1">
              <a:extLst>
                <a:ext uri="{63B3BB69-23CF-44E3-9099-C40C66FF867C}">
                  <a14:compatExt spid="_x0000_s81921"/>
                </a:ext>
                <a:ext uri="{FF2B5EF4-FFF2-40B4-BE49-F238E27FC236}">
                  <a16:creationId xmlns:a16="http://schemas.microsoft.com/office/drawing/2014/main" id="{00000000-0008-0000-0000-000001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69850</xdr:rowOff>
        </xdr:from>
        <xdr:to>
          <xdr:col>4</xdr:col>
          <xdr:colOff>1079500</xdr:colOff>
          <xdr:row>16</xdr:row>
          <xdr:rowOff>133350</xdr:rowOff>
        </xdr:to>
        <xdr:sp macro="" textlink="">
          <xdr:nvSpPr>
            <xdr:cNvPr id="81922" name="CheckBox2" hidden="1">
              <a:extLst>
                <a:ext uri="{63B3BB69-23CF-44E3-9099-C40C66FF867C}">
                  <a14:compatExt spid="_x0000_s81922"/>
                </a:ext>
                <a:ext uri="{FF2B5EF4-FFF2-40B4-BE49-F238E27FC236}">
                  <a16:creationId xmlns:a16="http://schemas.microsoft.com/office/drawing/2014/main" id="{00000000-0008-0000-0000-000002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22</xdr:row>
          <xdr:rowOff>38100</xdr:rowOff>
        </xdr:from>
        <xdr:to>
          <xdr:col>6</xdr:col>
          <xdr:colOff>628650</xdr:colOff>
          <xdr:row>23</xdr:row>
          <xdr:rowOff>107950</xdr:rowOff>
        </xdr:to>
        <xdr:sp macro="" textlink="">
          <xdr:nvSpPr>
            <xdr:cNvPr id="81923" name="CheckBox3" hidden="1">
              <a:extLst>
                <a:ext uri="{63B3BB69-23CF-44E3-9099-C40C66FF867C}">
                  <a14:compatExt spid="_x0000_s81923"/>
                </a:ext>
                <a:ext uri="{FF2B5EF4-FFF2-40B4-BE49-F238E27FC236}">
                  <a16:creationId xmlns:a16="http://schemas.microsoft.com/office/drawing/2014/main" id="{00000000-0008-0000-0000-000003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90</xdr:row>
          <xdr:rowOff>0</xdr:rowOff>
        </xdr:from>
        <xdr:to>
          <xdr:col>5</xdr:col>
          <xdr:colOff>704850</xdr:colOff>
          <xdr:row>91</xdr:row>
          <xdr:rowOff>19050</xdr:rowOff>
        </xdr:to>
        <xdr:sp macro="" textlink="">
          <xdr:nvSpPr>
            <xdr:cNvPr id="81924" name="CheckBox4" hidden="1">
              <a:extLst>
                <a:ext uri="{63B3BB69-23CF-44E3-9099-C40C66FF867C}">
                  <a14:compatExt spid="_x0000_s81924"/>
                </a:ext>
                <a:ext uri="{FF2B5EF4-FFF2-40B4-BE49-F238E27FC236}">
                  <a16:creationId xmlns:a16="http://schemas.microsoft.com/office/drawing/2014/main" id="{00000000-0008-0000-0000-000004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90</xdr:row>
          <xdr:rowOff>0</xdr:rowOff>
        </xdr:from>
        <xdr:to>
          <xdr:col>7</xdr:col>
          <xdr:colOff>819150</xdr:colOff>
          <xdr:row>91</xdr:row>
          <xdr:rowOff>19050</xdr:rowOff>
        </xdr:to>
        <xdr:sp macro="" textlink="">
          <xdr:nvSpPr>
            <xdr:cNvPr id="81925" name="CheckBox5" hidden="1">
              <a:extLst>
                <a:ext uri="{63B3BB69-23CF-44E3-9099-C40C66FF867C}">
                  <a14:compatExt spid="_x0000_s81925"/>
                </a:ext>
                <a:ext uri="{FF2B5EF4-FFF2-40B4-BE49-F238E27FC236}">
                  <a16:creationId xmlns:a16="http://schemas.microsoft.com/office/drawing/2014/main" id="{00000000-0008-0000-0000-000005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90</xdr:row>
          <xdr:rowOff>0</xdr:rowOff>
        </xdr:from>
        <xdr:to>
          <xdr:col>8</xdr:col>
          <xdr:colOff>552450</xdr:colOff>
          <xdr:row>91</xdr:row>
          <xdr:rowOff>19050</xdr:rowOff>
        </xdr:to>
        <xdr:sp macro="" textlink="">
          <xdr:nvSpPr>
            <xdr:cNvPr id="81926" name="CheckBox6" hidden="1">
              <a:extLst>
                <a:ext uri="{63B3BB69-23CF-44E3-9099-C40C66FF867C}">
                  <a14:compatExt spid="_x0000_s81926"/>
                </a:ext>
                <a:ext uri="{FF2B5EF4-FFF2-40B4-BE49-F238E27FC236}">
                  <a16:creationId xmlns:a16="http://schemas.microsoft.com/office/drawing/2014/main" id="{00000000-0008-0000-0000-000006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104</xdr:row>
          <xdr:rowOff>0</xdr:rowOff>
        </xdr:from>
        <xdr:to>
          <xdr:col>5</xdr:col>
          <xdr:colOff>704850</xdr:colOff>
          <xdr:row>104</xdr:row>
          <xdr:rowOff>247650</xdr:rowOff>
        </xdr:to>
        <xdr:sp macro="" textlink="">
          <xdr:nvSpPr>
            <xdr:cNvPr id="81927" name="CheckBox7" hidden="1">
              <a:extLst>
                <a:ext uri="{63B3BB69-23CF-44E3-9099-C40C66FF867C}">
                  <a14:compatExt spid="_x0000_s81927"/>
                </a:ext>
                <a:ext uri="{FF2B5EF4-FFF2-40B4-BE49-F238E27FC236}">
                  <a16:creationId xmlns:a16="http://schemas.microsoft.com/office/drawing/2014/main" id="{00000000-0008-0000-0000-000007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104</xdr:row>
          <xdr:rowOff>0</xdr:rowOff>
        </xdr:from>
        <xdr:to>
          <xdr:col>7</xdr:col>
          <xdr:colOff>819150</xdr:colOff>
          <xdr:row>104</xdr:row>
          <xdr:rowOff>247650</xdr:rowOff>
        </xdr:to>
        <xdr:sp macro="" textlink="">
          <xdr:nvSpPr>
            <xdr:cNvPr id="81928" name="CheckBox8" hidden="1">
              <a:extLst>
                <a:ext uri="{63B3BB69-23CF-44E3-9099-C40C66FF867C}">
                  <a14:compatExt spid="_x0000_s81928"/>
                </a:ext>
                <a:ext uri="{FF2B5EF4-FFF2-40B4-BE49-F238E27FC236}">
                  <a16:creationId xmlns:a16="http://schemas.microsoft.com/office/drawing/2014/main" id="{00000000-0008-0000-0000-000008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641350</xdr:colOff>
          <xdr:row>104</xdr:row>
          <xdr:rowOff>0</xdr:rowOff>
        </xdr:from>
        <xdr:to>
          <xdr:col>8</xdr:col>
          <xdr:colOff>552450</xdr:colOff>
          <xdr:row>104</xdr:row>
          <xdr:rowOff>247650</xdr:rowOff>
        </xdr:to>
        <xdr:sp macro="" textlink="">
          <xdr:nvSpPr>
            <xdr:cNvPr id="81929" name="CheckBox9" hidden="1">
              <a:extLst>
                <a:ext uri="{63B3BB69-23CF-44E3-9099-C40C66FF867C}">
                  <a14:compatExt spid="_x0000_s81929"/>
                </a:ext>
                <a:ext uri="{FF2B5EF4-FFF2-40B4-BE49-F238E27FC236}">
                  <a16:creationId xmlns:a16="http://schemas.microsoft.com/office/drawing/2014/main" id="{00000000-0008-0000-0000-0000094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438150</xdr:colOff>
          <xdr:row>26</xdr:row>
          <xdr:rowOff>171450</xdr:rowOff>
        </xdr:from>
        <xdr:to>
          <xdr:col>8</xdr:col>
          <xdr:colOff>469900</xdr:colOff>
          <xdr:row>37</xdr:row>
          <xdr:rowOff>139700</xdr:rowOff>
        </xdr:to>
        <xdr:pic>
          <xdr:nvPicPr>
            <xdr:cNvPr id="82558" name="Picture 11">
              <a:extLst>
                <a:ext uri="{FF2B5EF4-FFF2-40B4-BE49-F238E27FC236}">
                  <a16:creationId xmlns:a16="http://schemas.microsoft.com/office/drawing/2014/main" id="{00000000-0008-0000-0000-00007E420100}"/>
                </a:ext>
              </a:extLst>
            </xdr:cNvPr>
            <xdr:cNvPicPr>
              <a:picLocks noChangeAspect="1" noChangeArrowheads="1"/>
              <a:extLst>
                <a:ext uri="{84589F7E-364E-4C9E-8A38-B11213B215E9}">
                  <a14:cameraTool cellRange="#REF!" spid="_x0000_s391116"/>
                </a:ext>
              </a:extLst>
            </xdr:cNvPicPr>
          </xdr:nvPicPr>
          <xdr:blipFill>
            <a:blip xmlns:r="http://schemas.openxmlformats.org/officeDocument/2006/relationships" r:embed="rId1"/>
            <a:srcRect/>
            <a:stretch>
              <a:fillRect/>
            </a:stretch>
          </xdr:blipFill>
          <xdr:spPr bwMode="auto">
            <a:xfrm>
              <a:off x="1111250" y="6388100"/>
              <a:ext cx="6750050" cy="192405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pic>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6</xdr:col>
      <xdr:colOff>4214327</xdr:colOff>
      <xdr:row>0</xdr:row>
      <xdr:rowOff>180975</xdr:rowOff>
    </xdr:from>
    <xdr:to>
      <xdr:col>12</xdr:col>
      <xdr:colOff>0</xdr:colOff>
      <xdr:row>1</xdr:row>
      <xdr:rowOff>466725</xdr:rowOff>
    </xdr:to>
    <xdr:pic>
      <xdr:nvPicPr>
        <xdr:cNvPr id="2" name="Picture 1">
          <a:extLst>
            <a:ext uri="{FF2B5EF4-FFF2-40B4-BE49-F238E27FC236}">
              <a16:creationId xmlns:a16="http://schemas.microsoft.com/office/drawing/2014/main" id="{00000000-0008-0000-0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7677" y="177800"/>
          <a:ext cx="4907448" cy="1050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561976</xdr:colOff>
      <xdr:row>86</xdr:row>
      <xdr:rowOff>57151</xdr:rowOff>
    </xdr:from>
    <xdr:to>
      <xdr:col>4</xdr:col>
      <xdr:colOff>107213</xdr:colOff>
      <xdr:row>93</xdr:row>
      <xdr:rowOff>161926</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stretch>
          <a:fillRect/>
        </a:stretch>
      </xdr:blipFill>
      <xdr:spPr>
        <a:xfrm>
          <a:off x="561976" y="6381751"/>
          <a:ext cx="1628037" cy="2190750"/>
        </a:xfrm>
        <a:prstGeom prst="rect">
          <a:avLst/>
        </a:prstGeom>
      </xdr:spPr>
    </xdr:pic>
    <xdr:clientData/>
  </xdr:twoCellAnchor>
  <xdr:twoCellAnchor>
    <xdr:from>
      <xdr:col>1</xdr:col>
      <xdr:colOff>1</xdr:colOff>
      <xdr:row>97</xdr:row>
      <xdr:rowOff>161925</xdr:rowOff>
    </xdr:from>
    <xdr:to>
      <xdr:col>3</xdr:col>
      <xdr:colOff>217177</xdr:colOff>
      <xdr:row>105</xdr:row>
      <xdr:rowOff>60325</xdr:rowOff>
    </xdr:to>
    <xdr:pic>
      <xdr:nvPicPr>
        <xdr:cNvPr id="6" name="Picture 5">
          <a:extLst>
            <a:ext uri="{FF2B5EF4-FFF2-40B4-BE49-F238E27FC236}">
              <a16:creationId xmlns:a16="http://schemas.microsoft.com/office/drawing/2014/main" id="{00000000-0008-0000-0A00-000006000000}"/>
            </a:ext>
          </a:extLst>
        </xdr:cNvPr>
        <xdr:cNvPicPr>
          <a:picLocks noChangeAspect="1"/>
        </xdr:cNvPicPr>
      </xdr:nvPicPr>
      <xdr:blipFill>
        <a:blip xmlns:r="http://schemas.openxmlformats.org/officeDocument/2006/relationships" r:embed="rId2"/>
        <a:stretch>
          <a:fillRect/>
        </a:stretch>
      </xdr:blipFill>
      <xdr:spPr>
        <a:xfrm>
          <a:off x="609601" y="9601200"/>
          <a:ext cx="1439551" cy="2187575"/>
        </a:xfrm>
        <a:prstGeom prst="rect">
          <a:avLst/>
        </a:prstGeom>
      </xdr:spPr>
    </xdr:pic>
    <xdr:clientData/>
  </xdr:twoCellAnchor>
  <xdr:twoCellAnchor>
    <xdr:from>
      <xdr:col>1</xdr:col>
      <xdr:colOff>6350</xdr:colOff>
      <xdr:row>75</xdr:row>
      <xdr:rowOff>63501</xdr:rowOff>
    </xdr:from>
    <xdr:to>
      <xdr:col>4</xdr:col>
      <xdr:colOff>64657</xdr:colOff>
      <xdr:row>82</xdr:row>
      <xdr:rowOff>114302</xdr:rowOff>
    </xdr:to>
    <xdr:pic>
      <xdr:nvPicPr>
        <xdr:cNvPr id="7" name="Picture 6">
          <a:extLst>
            <a:ext uri="{FF2B5EF4-FFF2-40B4-BE49-F238E27FC236}">
              <a16:creationId xmlns:a16="http://schemas.microsoft.com/office/drawing/2014/main" id="{00000000-0008-0000-0A00-000007000000}"/>
            </a:ext>
          </a:extLst>
        </xdr:cNvPr>
        <xdr:cNvPicPr>
          <a:picLocks noChangeAspect="1"/>
        </xdr:cNvPicPr>
      </xdr:nvPicPr>
      <xdr:blipFill>
        <a:blip xmlns:r="http://schemas.openxmlformats.org/officeDocument/2006/relationships" r:embed="rId3"/>
        <a:stretch>
          <a:fillRect/>
        </a:stretch>
      </xdr:blipFill>
      <xdr:spPr>
        <a:xfrm>
          <a:off x="615950" y="3216276"/>
          <a:ext cx="1579132" cy="2155824"/>
        </a:xfrm>
        <a:prstGeom prst="rect">
          <a:avLst/>
        </a:prstGeom>
      </xdr:spPr>
    </xdr:pic>
    <xdr:clientData/>
  </xdr:twoCellAnchor>
  <xdr:twoCellAnchor>
    <xdr:from>
      <xdr:col>1</xdr:col>
      <xdr:colOff>76200</xdr:colOff>
      <xdr:row>109</xdr:row>
      <xdr:rowOff>114301</xdr:rowOff>
    </xdr:from>
    <xdr:to>
      <xdr:col>4</xdr:col>
      <xdr:colOff>76200</xdr:colOff>
      <xdr:row>118</xdr:row>
      <xdr:rowOff>131546</xdr:rowOff>
    </xdr:to>
    <xdr:pic>
      <xdr:nvPicPr>
        <xdr:cNvPr id="8" name="Picture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4"/>
        <a:stretch>
          <a:fillRect/>
        </a:stretch>
      </xdr:blipFill>
      <xdr:spPr>
        <a:xfrm>
          <a:off x="685800" y="12849226"/>
          <a:ext cx="1524000" cy="2484220"/>
        </a:xfrm>
        <a:prstGeom prst="rect">
          <a:avLst/>
        </a:prstGeom>
      </xdr:spPr>
    </xdr:pic>
    <xdr:clientData/>
  </xdr:twoCellAnchor>
  <xdr:twoCellAnchor>
    <xdr:from>
      <xdr:col>1</xdr:col>
      <xdr:colOff>388144</xdr:colOff>
      <xdr:row>125</xdr:row>
      <xdr:rowOff>88107</xdr:rowOff>
    </xdr:from>
    <xdr:to>
      <xdr:col>3</xdr:col>
      <xdr:colOff>340059</xdr:colOff>
      <xdr:row>138</xdr:row>
      <xdr:rowOff>127793</xdr:rowOff>
    </xdr:to>
    <xdr:pic>
      <xdr:nvPicPr>
        <xdr:cNvPr id="10" name="Picture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5"/>
        <a:stretch>
          <a:fillRect/>
        </a:stretch>
      </xdr:blipFill>
      <xdr:spPr>
        <a:xfrm>
          <a:off x="638175" y="8291513"/>
          <a:ext cx="1166353" cy="2694780"/>
        </a:xfrm>
        <a:prstGeom prst="rect">
          <a:avLst/>
        </a:prstGeom>
      </xdr:spPr>
    </xdr:pic>
    <xdr:clientData/>
  </xdr:twoCellAnchor>
  <xdr:twoCellAnchor>
    <xdr:from>
      <xdr:col>0</xdr:col>
      <xdr:colOff>106892</xdr:colOff>
      <xdr:row>157</xdr:row>
      <xdr:rowOff>133350</xdr:rowOff>
    </xdr:from>
    <xdr:to>
      <xdr:col>4</xdr:col>
      <xdr:colOff>187870</xdr:colOff>
      <xdr:row>164</xdr:row>
      <xdr:rowOff>273050</xdr:rowOff>
    </xdr:to>
    <xdr:pic>
      <xdr:nvPicPr>
        <xdr:cNvPr id="11" name="Picture 10">
          <a:extLst>
            <a:ext uri="{FF2B5EF4-FFF2-40B4-BE49-F238E27FC236}">
              <a16:creationId xmlns:a16="http://schemas.microsoft.com/office/drawing/2014/main" id="{00000000-0008-0000-0A00-00000B000000}"/>
            </a:ext>
          </a:extLst>
        </xdr:cNvPr>
        <xdr:cNvPicPr>
          <a:picLocks noChangeAspect="1"/>
        </xdr:cNvPicPr>
      </xdr:nvPicPr>
      <xdr:blipFill>
        <a:blip xmlns:r="http://schemas.openxmlformats.org/officeDocument/2006/relationships" r:embed="rId6"/>
        <a:stretch>
          <a:fillRect/>
        </a:stretch>
      </xdr:blipFill>
      <xdr:spPr>
        <a:xfrm>
          <a:off x="106892" y="25776767"/>
          <a:ext cx="1856861" cy="2132542"/>
        </a:xfrm>
        <a:prstGeom prst="rect">
          <a:avLst/>
        </a:prstGeom>
      </xdr:spPr>
    </xdr:pic>
    <xdr:clientData/>
  </xdr:twoCellAnchor>
  <xdr:twoCellAnchor>
    <xdr:from>
      <xdr:col>0</xdr:col>
      <xdr:colOff>447675</xdr:colOff>
      <xdr:row>168</xdr:row>
      <xdr:rowOff>133350</xdr:rowOff>
    </xdr:from>
    <xdr:to>
      <xdr:col>4</xdr:col>
      <xdr:colOff>322013</xdr:colOff>
      <xdr:row>175</xdr:row>
      <xdr:rowOff>266700</xdr:rowOff>
    </xdr:to>
    <xdr:pic>
      <xdr:nvPicPr>
        <xdr:cNvPr id="22" name="Picture 21">
          <a:extLst>
            <a:ext uri="{FF2B5EF4-FFF2-40B4-BE49-F238E27FC236}">
              <a16:creationId xmlns:a16="http://schemas.microsoft.com/office/drawing/2014/main" id="{00000000-0008-0000-0A00-000016000000}"/>
            </a:ext>
          </a:extLst>
        </xdr:cNvPr>
        <xdr:cNvPicPr>
          <a:picLocks noChangeAspect="1"/>
        </xdr:cNvPicPr>
      </xdr:nvPicPr>
      <xdr:blipFill>
        <a:blip xmlns:r="http://schemas.openxmlformats.org/officeDocument/2006/relationships" r:embed="rId6"/>
        <a:stretch>
          <a:fillRect/>
        </a:stretch>
      </xdr:blipFill>
      <xdr:spPr>
        <a:xfrm>
          <a:off x="444500" y="19850100"/>
          <a:ext cx="1851569" cy="2133600"/>
        </a:xfrm>
        <a:prstGeom prst="rect">
          <a:avLst/>
        </a:prstGeom>
      </xdr:spPr>
    </xdr:pic>
    <xdr:clientData/>
  </xdr:twoCellAnchor>
  <xdr:twoCellAnchor>
    <xdr:from>
      <xdr:col>0</xdr:col>
      <xdr:colOff>485775</xdr:colOff>
      <xdr:row>179</xdr:row>
      <xdr:rowOff>95251</xdr:rowOff>
    </xdr:from>
    <xdr:to>
      <xdr:col>4</xdr:col>
      <xdr:colOff>293073</xdr:colOff>
      <xdr:row>187</xdr:row>
      <xdr:rowOff>136525</xdr:rowOff>
    </xdr:to>
    <xdr:pic>
      <xdr:nvPicPr>
        <xdr:cNvPr id="12" name="Picture 11">
          <a:extLst>
            <a:ext uri="{FF2B5EF4-FFF2-40B4-BE49-F238E27FC236}">
              <a16:creationId xmlns:a16="http://schemas.microsoft.com/office/drawing/2014/main" id="{00000000-0008-0000-0A00-00000C000000}"/>
            </a:ext>
          </a:extLst>
        </xdr:cNvPr>
        <xdr:cNvPicPr>
          <a:picLocks noChangeAspect="1"/>
        </xdr:cNvPicPr>
      </xdr:nvPicPr>
      <xdr:blipFill>
        <a:blip xmlns:r="http://schemas.openxmlformats.org/officeDocument/2006/relationships" r:embed="rId7"/>
        <a:stretch>
          <a:fillRect/>
        </a:stretch>
      </xdr:blipFill>
      <xdr:spPr>
        <a:xfrm>
          <a:off x="485775" y="26069926"/>
          <a:ext cx="1820248" cy="2209800"/>
        </a:xfrm>
        <a:prstGeom prst="rect">
          <a:avLst/>
        </a:prstGeom>
      </xdr:spPr>
    </xdr:pic>
    <xdr:clientData/>
  </xdr:twoCellAnchor>
  <xdr:twoCellAnchor>
    <xdr:from>
      <xdr:col>1</xdr:col>
      <xdr:colOff>53975</xdr:colOff>
      <xdr:row>205</xdr:row>
      <xdr:rowOff>149226</xdr:rowOff>
    </xdr:from>
    <xdr:to>
      <xdr:col>3</xdr:col>
      <xdr:colOff>354357</xdr:colOff>
      <xdr:row>209</xdr:row>
      <xdr:rowOff>277284</xdr:rowOff>
    </xdr:to>
    <xdr:pic>
      <xdr:nvPicPr>
        <xdr:cNvPr id="14" name="Picture 13">
          <a:extLst>
            <a:ext uri="{FF2B5EF4-FFF2-40B4-BE49-F238E27FC236}">
              <a16:creationId xmlns:a16="http://schemas.microsoft.com/office/drawing/2014/main" id="{00000000-0008-0000-0A00-00000E000000}"/>
            </a:ext>
          </a:extLst>
        </xdr:cNvPr>
        <xdr:cNvPicPr>
          <a:picLocks noChangeAspect="1"/>
        </xdr:cNvPicPr>
      </xdr:nvPicPr>
      <xdr:blipFill>
        <a:blip xmlns:r="http://schemas.openxmlformats.org/officeDocument/2006/relationships" r:embed="rId8"/>
        <a:stretch>
          <a:fillRect/>
        </a:stretch>
      </xdr:blipFill>
      <xdr:spPr>
        <a:xfrm>
          <a:off x="301625" y="39335076"/>
          <a:ext cx="1519582" cy="1461558"/>
        </a:xfrm>
        <a:prstGeom prst="rect">
          <a:avLst/>
        </a:prstGeom>
      </xdr:spPr>
    </xdr:pic>
    <xdr:clientData/>
  </xdr:twoCellAnchor>
  <xdr:twoCellAnchor>
    <xdr:from>
      <xdr:col>1</xdr:col>
      <xdr:colOff>200025</xdr:colOff>
      <xdr:row>54</xdr:row>
      <xdr:rowOff>95250</xdr:rowOff>
    </xdr:from>
    <xdr:to>
      <xdr:col>3</xdr:col>
      <xdr:colOff>155429</xdr:colOff>
      <xdr:row>60</xdr:row>
      <xdr:rowOff>183918</xdr:rowOff>
    </xdr:to>
    <xdr:pic>
      <xdr:nvPicPr>
        <xdr:cNvPr id="15" name="Picture 14">
          <a:extLst>
            <a:ext uri="{FF2B5EF4-FFF2-40B4-BE49-F238E27FC236}">
              <a16:creationId xmlns:a16="http://schemas.microsoft.com/office/drawing/2014/main" id="{00000000-0008-0000-0A00-00000F000000}"/>
            </a:ext>
          </a:extLst>
        </xdr:cNvPr>
        <xdr:cNvPicPr>
          <a:picLocks noChangeAspect="1"/>
        </xdr:cNvPicPr>
      </xdr:nvPicPr>
      <xdr:blipFill>
        <a:blip xmlns:r="http://schemas.openxmlformats.org/officeDocument/2006/relationships" r:embed="rId9"/>
        <a:stretch>
          <a:fillRect/>
        </a:stretch>
      </xdr:blipFill>
      <xdr:spPr>
        <a:xfrm>
          <a:off x="809625" y="2952750"/>
          <a:ext cx="1174604" cy="1860318"/>
        </a:xfrm>
        <a:prstGeom prst="rect">
          <a:avLst/>
        </a:prstGeom>
      </xdr:spPr>
    </xdr:pic>
    <xdr:clientData/>
  </xdr:twoCellAnchor>
  <xdr:twoCellAnchor>
    <xdr:from>
      <xdr:col>0</xdr:col>
      <xdr:colOff>321243</xdr:colOff>
      <xdr:row>217</xdr:row>
      <xdr:rowOff>224117</xdr:rowOff>
    </xdr:from>
    <xdr:to>
      <xdr:col>3</xdr:col>
      <xdr:colOff>351620</xdr:colOff>
      <xdr:row>221</xdr:row>
      <xdr:rowOff>46878</xdr:rowOff>
    </xdr:to>
    <xdr:pic>
      <xdr:nvPicPr>
        <xdr:cNvPr id="5" name="Picture 4">
          <a:extLst>
            <a:ext uri="{FF2B5EF4-FFF2-40B4-BE49-F238E27FC236}">
              <a16:creationId xmlns:a16="http://schemas.microsoft.com/office/drawing/2014/main" id="{00000000-0008-0000-0A00-000005000000}"/>
            </a:ext>
          </a:extLst>
        </xdr:cNvPr>
        <xdr:cNvPicPr>
          <a:picLocks noChangeAspect="1"/>
        </xdr:cNvPicPr>
      </xdr:nvPicPr>
      <xdr:blipFill>
        <a:blip xmlns:r="http://schemas.openxmlformats.org/officeDocument/2006/relationships" r:embed="rId10"/>
        <a:stretch>
          <a:fillRect/>
        </a:stretch>
      </xdr:blipFill>
      <xdr:spPr>
        <a:xfrm>
          <a:off x="321243" y="39302764"/>
          <a:ext cx="1871317" cy="1157942"/>
        </a:xfrm>
        <a:prstGeom prst="rect">
          <a:avLst/>
        </a:prstGeom>
      </xdr:spPr>
    </xdr:pic>
    <xdr:clientData/>
  </xdr:twoCellAnchor>
  <xdr:twoCellAnchor>
    <xdr:from>
      <xdr:col>0</xdr:col>
      <xdr:colOff>395941</xdr:colOff>
      <xdr:row>229</xdr:row>
      <xdr:rowOff>194235</xdr:rowOff>
    </xdr:from>
    <xdr:to>
      <xdr:col>3</xdr:col>
      <xdr:colOff>426318</xdr:colOff>
      <xdr:row>233</xdr:row>
      <xdr:rowOff>13821</xdr:rowOff>
    </xdr:to>
    <xdr:pic>
      <xdr:nvPicPr>
        <xdr:cNvPr id="24" name="Picture 23">
          <a:extLst>
            <a:ext uri="{FF2B5EF4-FFF2-40B4-BE49-F238E27FC236}">
              <a16:creationId xmlns:a16="http://schemas.microsoft.com/office/drawing/2014/main" id="{00000000-0008-0000-0A00-000018000000}"/>
            </a:ext>
          </a:extLst>
        </xdr:cNvPr>
        <xdr:cNvPicPr>
          <a:picLocks noChangeAspect="1"/>
        </xdr:cNvPicPr>
      </xdr:nvPicPr>
      <xdr:blipFill>
        <a:blip xmlns:r="http://schemas.openxmlformats.org/officeDocument/2006/relationships" r:embed="rId10"/>
        <a:stretch>
          <a:fillRect/>
        </a:stretch>
      </xdr:blipFill>
      <xdr:spPr>
        <a:xfrm>
          <a:off x="395941" y="42291000"/>
          <a:ext cx="1871317" cy="1157942"/>
        </a:xfrm>
        <a:prstGeom prst="rect">
          <a:avLst/>
        </a:prstGeom>
      </xdr:spPr>
    </xdr:pic>
    <xdr:clientData/>
  </xdr:twoCellAnchor>
  <xdr:twoCellAnchor>
    <xdr:from>
      <xdr:col>1</xdr:col>
      <xdr:colOff>0</xdr:colOff>
      <xdr:row>192</xdr:row>
      <xdr:rowOff>89648</xdr:rowOff>
    </xdr:from>
    <xdr:to>
      <xdr:col>3</xdr:col>
      <xdr:colOff>512547</xdr:colOff>
      <xdr:row>197</xdr:row>
      <xdr:rowOff>209176</xdr:rowOff>
    </xdr:to>
    <xdr:pic>
      <xdr:nvPicPr>
        <xdr:cNvPr id="9" name="Picture 8">
          <a:extLst>
            <a:ext uri="{FF2B5EF4-FFF2-40B4-BE49-F238E27FC236}">
              <a16:creationId xmlns:a16="http://schemas.microsoft.com/office/drawing/2014/main" id="{00000000-0008-0000-0A00-000009000000}"/>
            </a:ext>
          </a:extLst>
        </xdr:cNvPr>
        <xdr:cNvPicPr>
          <a:picLocks noChangeAspect="1"/>
        </xdr:cNvPicPr>
      </xdr:nvPicPr>
      <xdr:blipFill>
        <a:blip xmlns:r="http://schemas.openxmlformats.org/officeDocument/2006/relationships" r:embed="rId11"/>
        <a:stretch>
          <a:fillRect/>
        </a:stretch>
      </xdr:blipFill>
      <xdr:spPr>
        <a:xfrm>
          <a:off x="612588" y="32721177"/>
          <a:ext cx="1737724" cy="1501588"/>
        </a:xfrm>
        <a:prstGeom prst="rect">
          <a:avLst/>
        </a:prstGeom>
      </xdr:spPr>
    </xdr:pic>
    <xdr:clientData/>
  </xdr:twoCellAnchor>
  <xdr:twoCellAnchor>
    <xdr:from>
      <xdr:col>1</xdr:col>
      <xdr:colOff>79667</xdr:colOff>
      <xdr:row>147</xdr:row>
      <xdr:rowOff>42334</xdr:rowOff>
    </xdr:from>
    <xdr:to>
      <xdr:col>3</xdr:col>
      <xdr:colOff>229931</xdr:colOff>
      <xdr:row>154</xdr:row>
      <xdr:rowOff>47142</xdr:rowOff>
    </xdr:to>
    <xdr:pic>
      <xdr:nvPicPr>
        <xdr:cNvPr id="27" name="Picture 26">
          <a:extLst>
            <a:ext uri="{FF2B5EF4-FFF2-40B4-BE49-F238E27FC236}">
              <a16:creationId xmlns:a16="http://schemas.microsoft.com/office/drawing/2014/main" id="{00000000-0008-0000-0A00-00001B000000}"/>
            </a:ext>
          </a:extLst>
        </xdr:cNvPr>
        <xdr:cNvPicPr>
          <a:picLocks noChangeAspect="1"/>
        </xdr:cNvPicPr>
      </xdr:nvPicPr>
      <xdr:blipFill rotWithShape="1">
        <a:blip xmlns:r="http://schemas.openxmlformats.org/officeDocument/2006/relationships" r:embed="rId12"/>
        <a:srcRect l="20551" t="4547" r="19775" b="3343"/>
        <a:stretch/>
      </xdr:blipFill>
      <xdr:spPr>
        <a:xfrm>
          <a:off x="323084" y="22828251"/>
          <a:ext cx="1377930" cy="2114067"/>
        </a:xfrm>
        <a:prstGeom prst="rect">
          <a:avLst/>
        </a:prstGeom>
      </xdr:spPr>
    </xdr:pic>
    <xdr:clientData/>
  </xdr:twoCellAnchor>
  <xdr:twoCellAnchor>
    <xdr:from>
      <xdr:col>3</xdr:col>
      <xdr:colOff>142875</xdr:colOff>
      <xdr:row>67</xdr:row>
      <xdr:rowOff>120650</xdr:rowOff>
    </xdr:from>
    <xdr:to>
      <xdr:col>4</xdr:col>
      <xdr:colOff>238125</xdr:colOff>
      <xdr:row>70</xdr:row>
      <xdr:rowOff>41276</xdr:rowOff>
    </xdr:to>
    <xdr:pic>
      <xdr:nvPicPr>
        <xdr:cNvPr id="30" name="Picture 1">
          <a:extLst>
            <a:ext uri="{FF2B5EF4-FFF2-40B4-BE49-F238E27FC236}">
              <a16:creationId xmlns:a16="http://schemas.microsoft.com/office/drawing/2014/main" id="{00000000-0008-0000-0A00-00001E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03375" y="7343775"/>
          <a:ext cx="400050" cy="831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85725</xdr:rowOff>
    </xdr:from>
    <xdr:to>
      <xdr:col>4</xdr:col>
      <xdr:colOff>225425</xdr:colOff>
      <xdr:row>67</xdr:row>
      <xdr:rowOff>120650</xdr:rowOff>
    </xdr:to>
    <xdr:pic>
      <xdr:nvPicPr>
        <xdr:cNvPr id="31" name="Picture 1" descr="Screen Clipping">
          <a:extLst>
            <a:ext uri="{FF2B5EF4-FFF2-40B4-BE49-F238E27FC236}">
              <a16:creationId xmlns:a16="http://schemas.microsoft.com/office/drawing/2014/main" id="{00000000-0008-0000-0A00-00001F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6388100"/>
          <a:ext cx="1990725" cy="955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137583</xdr:colOff>
      <xdr:row>238</xdr:row>
      <xdr:rowOff>95249</xdr:rowOff>
    </xdr:from>
    <xdr:to>
      <xdr:col>4</xdr:col>
      <xdr:colOff>84666</xdr:colOff>
      <xdr:row>246</xdr:row>
      <xdr:rowOff>174625</xdr:rowOff>
    </xdr:to>
    <xdr:pic>
      <xdr:nvPicPr>
        <xdr:cNvPr id="34" name="Picture 33" descr="ENERGY STAR® Certified Clothes Washers">
          <a:extLst>
            <a:ext uri="{FF2B5EF4-FFF2-40B4-BE49-F238E27FC236}">
              <a16:creationId xmlns:a16="http://schemas.microsoft.com/office/drawing/2014/main" id="{00000000-0008-0000-0A00-0000220000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37583" y="50884666"/>
          <a:ext cx="1722966" cy="19388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218695</xdr:colOff>
      <xdr:row>253</xdr:row>
      <xdr:rowOff>37517</xdr:rowOff>
    </xdr:from>
    <xdr:to>
      <xdr:col>3</xdr:col>
      <xdr:colOff>66313</xdr:colOff>
      <xdr:row>258</xdr:row>
      <xdr:rowOff>188330</xdr:rowOff>
    </xdr:to>
    <xdr:pic>
      <xdr:nvPicPr>
        <xdr:cNvPr id="35" name="Picture 34" descr="ENERGY STAR® Certified Clothes Washers">
          <a:extLst>
            <a:ext uri="{FF2B5EF4-FFF2-40B4-BE49-F238E27FC236}">
              <a16:creationId xmlns:a16="http://schemas.microsoft.com/office/drawing/2014/main" id="{00000000-0008-0000-0A00-000023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7516" r="16907"/>
        <a:stretch/>
      </xdr:blipFill>
      <xdr:spPr bwMode="auto">
        <a:xfrm>
          <a:off x="468726" y="55353955"/>
          <a:ext cx="1062056" cy="182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284017</xdr:colOff>
      <xdr:row>260</xdr:row>
      <xdr:rowOff>278917</xdr:rowOff>
    </xdr:from>
    <xdr:to>
      <xdr:col>3</xdr:col>
      <xdr:colOff>9391</xdr:colOff>
      <xdr:row>265</xdr:row>
      <xdr:rowOff>207480</xdr:rowOff>
    </xdr:to>
    <xdr:pic>
      <xdr:nvPicPr>
        <xdr:cNvPr id="37" name="Picture 36" descr="GE 25.6-cu ft French Door Refrigerator with Ice Maker (Black Slate) ENERGY  STAR in the French Door Refrigerators department at Lowes.com">
          <a:extLst>
            <a:ext uri="{FF2B5EF4-FFF2-40B4-BE49-F238E27FC236}">
              <a16:creationId xmlns:a16="http://schemas.microsoft.com/office/drawing/2014/main" id="{00000000-0008-0000-0A00-000025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23228" r="23636"/>
        <a:stretch/>
      </xdr:blipFill>
      <xdr:spPr bwMode="auto">
        <a:xfrm>
          <a:off x="531667" y="55923967"/>
          <a:ext cx="944574"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264011</xdr:colOff>
      <xdr:row>273</xdr:row>
      <xdr:rowOff>8082</xdr:rowOff>
    </xdr:from>
    <xdr:to>
      <xdr:col>3</xdr:col>
      <xdr:colOff>129328</xdr:colOff>
      <xdr:row>278</xdr:row>
      <xdr:rowOff>244619</xdr:rowOff>
    </xdr:to>
    <xdr:pic>
      <xdr:nvPicPr>
        <xdr:cNvPr id="39" name="Picture 38" descr="ENERGY STAR® Certified Clothes Washers">
          <a:extLst>
            <a:ext uri="{FF2B5EF4-FFF2-40B4-BE49-F238E27FC236}">
              <a16:creationId xmlns:a16="http://schemas.microsoft.com/office/drawing/2014/main" id="{00000000-0008-0000-0A00-000027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7516" r="16907"/>
        <a:stretch/>
      </xdr:blipFill>
      <xdr:spPr bwMode="auto">
        <a:xfrm>
          <a:off x="511661" y="58567782"/>
          <a:ext cx="107975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228593</xdr:colOff>
      <xdr:row>280</xdr:row>
      <xdr:rowOff>316065</xdr:rowOff>
    </xdr:from>
    <xdr:to>
      <xdr:col>3</xdr:col>
      <xdr:colOff>245056</xdr:colOff>
      <xdr:row>285</xdr:row>
      <xdr:rowOff>163348</xdr:rowOff>
    </xdr:to>
    <xdr:pic>
      <xdr:nvPicPr>
        <xdr:cNvPr id="41" name="Picture 40" descr="FFCD2418UB Frigidaire Dishwashers | Orville's Home Appliances">
          <a:extLst>
            <a:ext uri="{FF2B5EF4-FFF2-40B4-BE49-F238E27FC236}">
              <a16:creationId xmlns:a16="http://schemas.microsoft.com/office/drawing/2014/main" id="{00000000-0008-0000-0A00-000029000000}"/>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3804" r="13777"/>
        <a:stretch/>
      </xdr:blipFill>
      <xdr:spPr bwMode="auto">
        <a:xfrm>
          <a:off x="476243" y="60637890"/>
          <a:ext cx="1235663" cy="164909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135728</xdr:colOff>
      <xdr:row>308</xdr:row>
      <xdr:rowOff>266068</xdr:rowOff>
    </xdr:from>
    <xdr:to>
      <xdr:col>3</xdr:col>
      <xdr:colOff>272687</xdr:colOff>
      <xdr:row>313</xdr:row>
      <xdr:rowOff>201774</xdr:rowOff>
    </xdr:to>
    <xdr:pic>
      <xdr:nvPicPr>
        <xdr:cNvPr id="43" name="Picture 42" descr="FFCD2418UB Frigidaire Dishwashers | Orville's Home Appliances">
          <a:extLst>
            <a:ext uri="{FF2B5EF4-FFF2-40B4-BE49-F238E27FC236}">
              <a16:creationId xmlns:a16="http://schemas.microsoft.com/office/drawing/2014/main" id="{00000000-0008-0000-0A00-00002B000000}"/>
            </a:ext>
          </a:extLst>
        </xdr:cNvPr>
        <xdr:cNvPicPr>
          <a:picLocks noChangeAspect="1" noChangeArrowheads="1"/>
        </xdr:cNvPicPr>
      </xdr:nvPicPr>
      <xdr:blipFill rotWithShape="1">
        <a:blip xmlns:r="http://schemas.openxmlformats.org/officeDocument/2006/relationships" r:embed="rId17">
          <a:extLst>
            <a:ext uri="{28A0092B-C50C-407E-A947-70E740481C1C}">
              <a14:useLocalDpi xmlns:a14="http://schemas.microsoft.com/office/drawing/2010/main" val="0"/>
            </a:ext>
          </a:extLst>
        </a:blip>
        <a:srcRect l="13804" r="13777"/>
        <a:stretch/>
      </xdr:blipFill>
      <xdr:spPr bwMode="auto">
        <a:xfrm>
          <a:off x="385759" y="68679381"/>
          <a:ext cx="1351397"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287770</xdr:colOff>
      <xdr:row>292</xdr:row>
      <xdr:rowOff>165097</xdr:rowOff>
    </xdr:from>
    <xdr:to>
      <xdr:col>3</xdr:col>
      <xdr:colOff>143522</xdr:colOff>
      <xdr:row>298</xdr:row>
      <xdr:rowOff>160335</xdr:rowOff>
    </xdr:to>
    <xdr:pic>
      <xdr:nvPicPr>
        <xdr:cNvPr id="44" name="Picture 43" descr="ENERGY STAR® Certified Clothes Washers">
          <a:extLst>
            <a:ext uri="{FF2B5EF4-FFF2-40B4-BE49-F238E27FC236}">
              <a16:creationId xmlns:a16="http://schemas.microsoft.com/office/drawing/2014/main" id="{00000000-0008-0000-0A00-00002C000000}"/>
            </a:ext>
          </a:extLst>
        </xdr:cNvPr>
        <xdr:cNvPicPr>
          <a:picLocks noChangeAspect="1" noChangeArrowheads="1"/>
        </xdr:cNvPicPr>
      </xdr:nvPicPr>
      <xdr:blipFill rotWithShape="1">
        <a:blip xmlns:r="http://schemas.openxmlformats.org/officeDocument/2006/relationships" r:embed="rId15">
          <a:extLst>
            <a:ext uri="{28A0092B-C50C-407E-A947-70E740481C1C}">
              <a14:useLocalDpi xmlns:a14="http://schemas.microsoft.com/office/drawing/2010/main" val="0"/>
            </a:ext>
          </a:extLst>
        </a:blip>
        <a:srcRect l="17516" r="16907"/>
        <a:stretch/>
      </xdr:blipFill>
      <xdr:spPr bwMode="auto">
        <a:xfrm>
          <a:off x="537801" y="65351816"/>
          <a:ext cx="1070190" cy="181133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360883</xdr:colOff>
      <xdr:row>301</xdr:row>
      <xdr:rowOff>35595</xdr:rowOff>
    </xdr:from>
    <xdr:to>
      <xdr:col>3</xdr:col>
      <xdr:colOff>83035</xdr:colOff>
      <xdr:row>306</xdr:row>
      <xdr:rowOff>131638</xdr:rowOff>
    </xdr:to>
    <xdr:pic>
      <xdr:nvPicPr>
        <xdr:cNvPr id="45" name="Picture 44" descr="GE 25.6-cu ft French Door Refrigerator with Ice Maker (Black Slate) ENERGY  STAR in the French Door Refrigerators department at Lowes.com">
          <a:extLst>
            <a:ext uri="{FF2B5EF4-FFF2-40B4-BE49-F238E27FC236}">
              <a16:creationId xmlns:a16="http://schemas.microsoft.com/office/drawing/2014/main" id="{00000000-0008-0000-0A00-00002D000000}"/>
            </a:ext>
          </a:extLst>
        </xdr:cNvPr>
        <xdr:cNvPicPr>
          <a:picLocks noChangeAspect="1" noChangeArrowheads="1"/>
        </xdr:cNvPicPr>
      </xdr:nvPicPr>
      <xdr:blipFill rotWithShape="1">
        <a:blip xmlns:r="http://schemas.openxmlformats.org/officeDocument/2006/relationships" r:embed="rId16">
          <a:extLst>
            <a:ext uri="{28A0092B-C50C-407E-A947-70E740481C1C}">
              <a14:useLocalDpi xmlns:a14="http://schemas.microsoft.com/office/drawing/2010/main" val="0"/>
            </a:ext>
          </a:extLst>
        </a:blip>
        <a:srcRect l="23228" r="23636"/>
        <a:stretch/>
      </xdr:blipFill>
      <xdr:spPr bwMode="auto">
        <a:xfrm>
          <a:off x="608533" y="65100870"/>
          <a:ext cx="941352"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14</xdr:col>
          <xdr:colOff>146050</xdr:colOff>
          <xdr:row>62</xdr:row>
          <xdr:rowOff>0</xdr:rowOff>
        </xdr:from>
        <xdr:to>
          <xdr:col>29</xdr:col>
          <xdr:colOff>279400</xdr:colOff>
          <xdr:row>62</xdr:row>
          <xdr:rowOff>285750</xdr:rowOff>
        </xdr:to>
        <xdr:sp macro="" textlink="">
          <xdr:nvSpPr>
            <xdr:cNvPr id="238619" name="Check Box 27" hidden="1">
              <a:extLst>
                <a:ext uri="{63B3BB69-23CF-44E3-9099-C40C66FF867C}">
                  <a14:compatExt spid="_x0000_s238619"/>
                </a:ext>
                <a:ext uri="{FF2B5EF4-FFF2-40B4-BE49-F238E27FC236}">
                  <a16:creationId xmlns:a16="http://schemas.microsoft.com/office/drawing/2014/main" id="{00000000-0008-0000-0A00-00001B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133350</xdr:colOff>
          <xdr:row>73</xdr:row>
          <xdr:rowOff>12700</xdr:rowOff>
        </xdr:from>
        <xdr:to>
          <xdr:col>29</xdr:col>
          <xdr:colOff>279400</xdr:colOff>
          <xdr:row>74</xdr:row>
          <xdr:rowOff>0</xdr:rowOff>
        </xdr:to>
        <xdr:sp macro="" textlink="">
          <xdr:nvSpPr>
            <xdr:cNvPr id="238620" name="Check Box 28" hidden="1">
              <a:extLst>
                <a:ext uri="{63B3BB69-23CF-44E3-9099-C40C66FF867C}">
                  <a14:compatExt spid="_x0000_s238620"/>
                </a:ext>
                <a:ext uri="{FF2B5EF4-FFF2-40B4-BE49-F238E27FC236}">
                  <a16:creationId xmlns:a16="http://schemas.microsoft.com/office/drawing/2014/main" id="{00000000-0008-0000-0A00-00001C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260350</xdr:colOff>
          <xdr:row>83</xdr:row>
          <xdr:rowOff>298450</xdr:rowOff>
        </xdr:from>
        <xdr:to>
          <xdr:col>29</xdr:col>
          <xdr:colOff>393700</xdr:colOff>
          <xdr:row>84</xdr:row>
          <xdr:rowOff>285750</xdr:rowOff>
        </xdr:to>
        <xdr:sp macro="" textlink="">
          <xdr:nvSpPr>
            <xdr:cNvPr id="238621" name="Check Box 29" hidden="1">
              <a:extLst>
                <a:ext uri="{63B3BB69-23CF-44E3-9099-C40C66FF867C}">
                  <a14:compatExt spid="_x0000_s238621"/>
                </a:ext>
                <a:ext uri="{FF2B5EF4-FFF2-40B4-BE49-F238E27FC236}">
                  <a16:creationId xmlns:a16="http://schemas.microsoft.com/office/drawing/2014/main" id="{00000000-0008-0000-0A00-00001D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203200</xdr:colOff>
          <xdr:row>96</xdr:row>
          <xdr:rowOff>38100</xdr:rowOff>
        </xdr:from>
        <xdr:to>
          <xdr:col>29</xdr:col>
          <xdr:colOff>342900</xdr:colOff>
          <xdr:row>97</xdr:row>
          <xdr:rowOff>19050</xdr:rowOff>
        </xdr:to>
        <xdr:sp macro="" textlink="">
          <xdr:nvSpPr>
            <xdr:cNvPr id="238622" name="Check Box 30" hidden="1">
              <a:extLst>
                <a:ext uri="{63B3BB69-23CF-44E3-9099-C40C66FF867C}">
                  <a14:compatExt spid="_x0000_s238622"/>
                </a:ext>
                <a:ext uri="{FF2B5EF4-FFF2-40B4-BE49-F238E27FC236}">
                  <a16:creationId xmlns:a16="http://schemas.microsoft.com/office/drawing/2014/main" id="{00000000-0008-0000-0A00-00001E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108</xdr:row>
          <xdr:rowOff>19050</xdr:rowOff>
        </xdr:from>
        <xdr:to>
          <xdr:col>29</xdr:col>
          <xdr:colOff>317500</xdr:colOff>
          <xdr:row>109</xdr:row>
          <xdr:rowOff>0</xdr:rowOff>
        </xdr:to>
        <xdr:sp macro="" textlink="">
          <xdr:nvSpPr>
            <xdr:cNvPr id="238623" name="Check Box 31" hidden="1">
              <a:extLst>
                <a:ext uri="{63B3BB69-23CF-44E3-9099-C40C66FF867C}">
                  <a14:compatExt spid="_x0000_s238623"/>
                </a:ext>
                <a:ext uri="{FF2B5EF4-FFF2-40B4-BE49-F238E27FC236}">
                  <a16:creationId xmlns:a16="http://schemas.microsoft.com/office/drawing/2014/main" id="{00000000-0008-0000-0A00-00001F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241300</xdr:colOff>
          <xdr:row>155</xdr:row>
          <xdr:rowOff>279400</xdr:rowOff>
        </xdr:from>
        <xdr:to>
          <xdr:col>29</xdr:col>
          <xdr:colOff>381000</xdr:colOff>
          <xdr:row>156</xdr:row>
          <xdr:rowOff>285750</xdr:rowOff>
        </xdr:to>
        <xdr:sp macro="" textlink="">
          <xdr:nvSpPr>
            <xdr:cNvPr id="238625" name="Check Box 33" hidden="1">
              <a:extLst>
                <a:ext uri="{63B3BB69-23CF-44E3-9099-C40C66FF867C}">
                  <a14:compatExt spid="_x0000_s238625"/>
                </a:ext>
                <a:ext uri="{FF2B5EF4-FFF2-40B4-BE49-F238E27FC236}">
                  <a16:creationId xmlns:a16="http://schemas.microsoft.com/office/drawing/2014/main" id="{00000000-0008-0000-0A00-000021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222250</xdr:colOff>
          <xdr:row>167</xdr:row>
          <xdr:rowOff>38100</xdr:rowOff>
        </xdr:from>
        <xdr:to>
          <xdr:col>29</xdr:col>
          <xdr:colOff>361950</xdr:colOff>
          <xdr:row>168</xdr:row>
          <xdr:rowOff>19050</xdr:rowOff>
        </xdr:to>
        <xdr:sp macro="" textlink="">
          <xdr:nvSpPr>
            <xdr:cNvPr id="238626" name="Check Box 34" hidden="1">
              <a:extLst>
                <a:ext uri="{63B3BB69-23CF-44E3-9099-C40C66FF867C}">
                  <a14:compatExt spid="_x0000_s238626"/>
                </a:ext>
                <a:ext uri="{FF2B5EF4-FFF2-40B4-BE49-F238E27FC236}">
                  <a16:creationId xmlns:a16="http://schemas.microsoft.com/office/drawing/2014/main" id="{00000000-0008-0000-0A00-000022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298450</xdr:colOff>
          <xdr:row>178</xdr:row>
          <xdr:rowOff>19050</xdr:rowOff>
        </xdr:from>
        <xdr:to>
          <xdr:col>29</xdr:col>
          <xdr:colOff>450850</xdr:colOff>
          <xdr:row>178</xdr:row>
          <xdr:rowOff>298450</xdr:rowOff>
        </xdr:to>
        <xdr:sp macro="" textlink="">
          <xdr:nvSpPr>
            <xdr:cNvPr id="238627" name="Check Box 35" hidden="1">
              <a:extLst>
                <a:ext uri="{63B3BB69-23CF-44E3-9099-C40C66FF867C}">
                  <a14:compatExt spid="_x0000_s238627"/>
                </a:ext>
                <a:ext uri="{FF2B5EF4-FFF2-40B4-BE49-F238E27FC236}">
                  <a16:creationId xmlns:a16="http://schemas.microsoft.com/office/drawing/2014/main" id="{00000000-0008-0000-0A00-000023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114300</xdr:colOff>
          <xdr:row>235</xdr:row>
          <xdr:rowOff>165100</xdr:rowOff>
        </xdr:from>
        <xdr:to>
          <xdr:col>29</xdr:col>
          <xdr:colOff>260350</xdr:colOff>
          <xdr:row>237</xdr:row>
          <xdr:rowOff>12700</xdr:rowOff>
        </xdr:to>
        <xdr:sp macro="" textlink="">
          <xdr:nvSpPr>
            <xdr:cNvPr id="238628" name="Check Box 36" hidden="1">
              <a:extLst>
                <a:ext uri="{63B3BB69-23CF-44E3-9099-C40C66FF867C}">
                  <a14:compatExt spid="_x0000_s238628"/>
                </a:ext>
                <a:ext uri="{FF2B5EF4-FFF2-40B4-BE49-F238E27FC236}">
                  <a16:creationId xmlns:a16="http://schemas.microsoft.com/office/drawing/2014/main" id="{00000000-0008-0000-0A00-000024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165100</xdr:colOff>
          <xdr:row>250</xdr:row>
          <xdr:rowOff>12700</xdr:rowOff>
        </xdr:from>
        <xdr:to>
          <xdr:col>29</xdr:col>
          <xdr:colOff>304800</xdr:colOff>
          <xdr:row>251</xdr:row>
          <xdr:rowOff>31750</xdr:rowOff>
        </xdr:to>
        <xdr:sp macro="" textlink="">
          <xdr:nvSpPr>
            <xdr:cNvPr id="238629" name="Check Box 37" hidden="1">
              <a:extLst>
                <a:ext uri="{63B3BB69-23CF-44E3-9099-C40C66FF867C}">
                  <a14:compatExt spid="_x0000_s238629"/>
                </a:ext>
                <a:ext uri="{FF2B5EF4-FFF2-40B4-BE49-F238E27FC236}">
                  <a16:creationId xmlns:a16="http://schemas.microsoft.com/office/drawing/2014/main" id="{00000000-0008-0000-0A00-000025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146050</xdr:colOff>
          <xdr:row>269</xdr:row>
          <xdr:rowOff>12700</xdr:rowOff>
        </xdr:from>
        <xdr:to>
          <xdr:col>29</xdr:col>
          <xdr:colOff>279400</xdr:colOff>
          <xdr:row>270</xdr:row>
          <xdr:rowOff>57150</xdr:rowOff>
        </xdr:to>
        <xdr:sp macro="" textlink="">
          <xdr:nvSpPr>
            <xdr:cNvPr id="238630" name="Check Box 38" hidden="1">
              <a:extLst>
                <a:ext uri="{63B3BB69-23CF-44E3-9099-C40C66FF867C}">
                  <a14:compatExt spid="_x0000_s238630"/>
                </a:ext>
                <a:ext uri="{FF2B5EF4-FFF2-40B4-BE49-F238E27FC236}">
                  <a16:creationId xmlns:a16="http://schemas.microsoft.com/office/drawing/2014/main" id="{00000000-0008-0000-0A00-000026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171450</xdr:colOff>
          <xdr:row>288</xdr:row>
          <xdr:rowOff>165100</xdr:rowOff>
        </xdr:from>
        <xdr:to>
          <xdr:col>29</xdr:col>
          <xdr:colOff>317500</xdr:colOff>
          <xdr:row>290</xdr:row>
          <xdr:rowOff>12700</xdr:rowOff>
        </xdr:to>
        <xdr:sp macro="" textlink="">
          <xdr:nvSpPr>
            <xdr:cNvPr id="238631" name="Check Box 39" hidden="1">
              <a:extLst>
                <a:ext uri="{63B3BB69-23CF-44E3-9099-C40C66FF867C}">
                  <a14:compatExt spid="_x0000_s238631"/>
                </a:ext>
                <a:ext uri="{FF2B5EF4-FFF2-40B4-BE49-F238E27FC236}">
                  <a16:creationId xmlns:a16="http://schemas.microsoft.com/office/drawing/2014/main" id="{00000000-0008-0000-0A00-000027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3</xdr:col>
      <xdr:colOff>142875</xdr:colOff>
      <xdr:row>67</xdr:row>
      <xdr:rowOff>120650</xdr:rowOff>
    </xdr:from>
    <xdr:to>
      <xdr:col>4</xdr:col>
      <xdr:colOff>238125</xdr:colOff>
      <xdr:row>70</xdr:row>
      <xdr:rowOff>41276</xdr:rowOff>
    </xdr:to>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609725" y="8445500"/>
          <a:ext cx="406400" cy="8159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64</xdr:row>
      <xdr:rowOff>85725</xdr:rowOff>
    </xdr:from>
    <xdr:to>
      <xdr:col>4</xdr:col>
      <xdr:colOff>225425</xdr:colOff>
      <xdr:row>67</xdr:row>
      <xdr:rowOff>120650</xdr:rowOff>
    </xdr:to>
    <xdr:pic>
      <xdr:nvPicPr>
        <xdr:cNvPr id="3" name="Picture 1" descr="Screen Clipping">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0" y="7483475"/>
          <a:ext cx="200342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146050</xdr:colOff>
          <xdr:row>62</xdr:row>
          <xdr:rowOff>0</xdr:rowOff>
        </xdr:from>
        <xdr:to>
          <xdr:col>29</xdr:col>
          <xdr:colOff>279400</xdr:colOff>
          <xdr:row>62</xdr:row>
          <xdr:rowOff>285750</xdr:rowOff>
        </xdr:to>
        <xdr:sp macro="" textlink="">
          <xdr:nvSpPr>
            <xdr:cNvPr id="238636" name="Check Box 44" hidden="1">
              <a:extLst>
                <a:ext uri="{63B3BB69-23CF-44E3-9099-C40C66FF867C}">
                  <a14:compatExt spid="_x0000_s238636"/>
                </a:ext>
                <a:ext uri="{FF2B5EF4-FFF2-40B4-BE49-F238E27FC236}">
                  <a16:creationId xmlns:a16="http://schemas.microsoft.com/office/drawing/2014/main" id="{00000000-0008-0000-0A00-00002CA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editAs="oneCell">
    <xdr:from>
      <xdr:col>14</xdr:col>
      <xdr:colOff>102395</xdr:colOff>
      <xdr:row>0</xdr:row>
      <xdr:rowOff>76199</xdr:rowOff>
    </xdr:from>
    <xdr:to>
      <xdr:col>23</xdr:col>
      <xdr:colOff>287680</xdr:colOff>
      <xdr:row>1</xdr:row>
      <xdr:rowOff>560039</xdr:rowOff>
    </xdr:to>
    <xdr:pic>
      <xdr:nvPicPr>
        <xdr:cNvPr id="13" name="Picture 12">
          <a:extLst>
            <a:ext uri="{FF2B5EF4-FFF2-40B4-BE49-F238E27FC236}">
              <a16:creationId xmlns:a16="http://schemas.microsoft.com/office/drawing/2014/main" id="{00000000-0008-0000-0A00-00000D000000}"/>
            </a:ext>
          </a:extLst>
        </xdr:cNvPr>
        <xdr:cNvPicPr>
          <a:picLocks noChangeAspect="1" noChangeArrowheads="1"/>
        </xdr:cNvPicPr>
      </xdr:nvPicPr>
      <xdr:blipFill>
        <a:blip xmlns:r="http://schemas.openxmlformats.org/officeDocument/2006/relationships" r:embed="rId18" cstate="print">
          <a:extLst>
            <a:ext uri="{28A0092B-C50C-407E-A947-70E740481C1C}">
              <a14:useLocalDpi xmlns:a14="http://schemas.microsoft.com/office/drawing/2010/main" val="0"/>
            </a:ext>
          </a:extLst>
        </a:blip>
        <a:srcRect/>
        <a:stretch>
          <a:fillRect/>
        </a:stretch>
      </xdr:blipFill>
      <xdr:spPr bwMode="auto">
        <a:xfrm>
          <a:off x="10789445" y="76199"/>
          <a:ext cx="5573713" cy="11029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73</xdr:row>
          <xdr:rowOff>95250</xdr:rowOff>
        </xdr:from>
        <xdr:to>
          <xdr:col>6</xdr:col>
          <xdr:colOff>342900</xdr:colOff>
          <xdr:row>74</xdr:row>
          <xdr:rowOff>146050</xdr:rowOff>
        </xdr:to>
        <xdr:sp macro="" textlink="">
          <xdr:nvSpPr>
            <xdr:cNvPr id="98332" name="CheckBox3" hidden="1">
              <a:extLst>
                <a:ext uri="{63B3BB69-23CF-44E3-9099-C40C66FF867C}">
                  <a14:compatExt spid="_x0000_s98332"/>
                </a:ext>
                <a:ext uri="{FF2B5EF4-FFF2-40B4-BE49-F238E27FC236}">
                  <a16:creationId xmlns:a16="http://schemas.microsoft.com/office/drawing/2014/main" id="{00000000-0008-0000-0B00-00001C8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18</xdr:col>
      <xdr:colOff>685800</xdr:colOff>
      <xdr:row>0</xdr:row>
      <xdr:rowOff>0</xdr:rowOff>
    </xdr:from>
    <xdr:to>
      <xdr:col>26</xdr:col>
      <xdr:colOff>733424</xdr:colOff>
      <xdr:row>2</xdr:row>
      <xdr:rowOff>188859</xdr:rowOff>
    </xdr:to>
    <xdr:pic>
      <xdr:nvPicPr>
        <xdr:cNvPr id="2" name="Picture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164550" y="0"/>
          <a:ext cx="8029574" cy="17128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6</xdr:col>
      <xdr:colOff>152400</xdr:colOff>
      <xdr:row>0</xdr:row>
      <xdr:rowOff>95251</xdr:rowOff>
    </xdr:from>
    <xdr:to>
      <xdr:col>9</xdr:col>
      <xdr:colOff>355599</xdr:colOff>
      <xdr:row>2</xdr:row>
      <xdr:rowOff>65555</xdr:rowOff>
    </xdr:to>
    <xdr:pic>
      <xdr:nvPicPr>
        <xdr:cNvPr id="2" name="Picture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048875" y="95251"/>
          <a:ext cx="5527674" cy="1170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50800</xdr:colOff>
          <xdr:row>7</xdr:row>
          <xdr:rowOff>0</xdr:rowOff>
        </xdr:from>
        <xdr:to>
          <xdr:col>10</xdr:col>
          <xdr:colOff>774700</xdr:colOff>
          <xdr:row>8</xdr:row>
          <xdr:rowOff>31750</xdr:rowOff>
        </xdr:to>
        <xdr:sp macro="" textlink="">
          <xdr:nvSpPr>
            <xdr:cNvPr id="471041" name="CheckBox1" hidden="1">
              <a:extLst>
                <a:ext uri="{63B3BB69-23CF-44E3-9099-C40C66FF867C}">
                  <a14:compatExt spid="_x0000_s471041"/>
                </a:ext>
                <a:ext uri="{FF2B5EF4-FFF2-40B4-BE49-F238E27FC236}">
                  <a16:creationId xmlns:a16="http://schemas.microsoft.com/office/drawing/2014/main" id="{00000000-0008-0000-0D00-0000013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7</xdr:row>
          <xdr:rowOff>0</xdr:rowOff>
        </xdr:from>
        <xdr:to>
          <xdr:col>4</xdr:col>
          <xdr:colOff>374650</xdr:colOff>
          <xdr:row>8</xdr:row>
          <xdr:rowOff>19050</xdr:rowOff>
        </xdr:to>
        <xdr:sp macro="" textlink="">
          <xdr:nvSpPr>
            <xdr:cNvPr id="471042" name="CheckBox2" hidden="1">
              <a:extLst>
                <a:ext uri="{63B3BB69-23CF-44E3-9099-C40C66FF867C}">
                  <a14:compatExt spid="_x0000_s471042"/>
                </a:ext>
                <a:ext uri="{FF2B5EF4-FFF2-40B4-BE49-F238E27FC236}">
                  <a16:creationId xmlns:a16="http://schemas.microsoft.com/office/drawing/2014/main" id="{00000000-0008-0000-0D00-00000230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57</xdr:row>
          <xdr:rowOff>57150</xdr:rowOff>
        </xdr:from>
        <xdr:to>
          <xdr:col>2</xdr:col>
          <xdr:colOff>203200</xdr:colOff>
          <xdr:row>58</xdr:row>
          <xdr:rowOff>12700</xdr:rowOff>
        </xdr:to>
        <xdr:sp macro="" textlink="">
          <xdr:nvSpPr>
            <xdr:cNvPr id="471043" name="Option Button 3" hidden="1">
              <a:extLst>
                <a:ext uri="{63B3BB69-23CF-44E3-9099-C40C66FF867C}">
                  <a14:compatExt spid="_x0000_s471043"/>
                </a:ext>
                <a:ext uri="{FF2B5EF4-FFF2-40B4-BE49-F238E27FC236}">
                  <a16:creationId xmlns:a16="http://schemas.microsoft.com/office/drawing/2014/main" id="{00000000-0008-0000-0D00-000003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1574800</xdr:colOff>
          <xdr:row>57</xdr:row>
          <xdr:rowOff>57150</xdr:rowOff>
        </xdr:from>
        <xdr:to>
          <xdr:col>3</xdr:col>
          <xdr:colOff>57150</xdr:colOff>
          <xdr:row>58</xdr:row>
          <xdr:rowOff>0</xdr:rowOff>
        </xdr:to>
        <xdr:sp macro="" textlink="">
          <xdr:nvSpPr>
            <xdr:cNvPr id="471044" name="Option Button 4" hidden="1">
              <a:extLst>
                <a:ext uri="{63B3BB69-23CF-44E3-9099-C40C66FF867C}">
                  <a14:compatExt spid="_x0000_s471044"/>
                </a:ext>
                <a:ext uri="{FF2B5EF4-FFF2-40B4-BE49-F238E27FC236}">
                  <a16:creationId xmlns:a16="http://schemas.microsoft.com/office/drawing/2014/main" id="{00000000-0008-0000-0D00-000004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57</xdr:row>
          <xdr:rowOff>0</xdr:rowOff>
        </xdr:from>
        <xdr:to>
          <xdr:col>4</xdr:col>
          <xdr:colOff>38100</xdr:colOff>
          <xdr:row>81</xdr:row>
          <xdr:rowOff>69850</xdr:rowOff>
        </xdr:to>
        <xdr:sp macro="" textlink="">
          <xdr:nvSpPr>
            <xdr:cNvPr id="471045" name="Group Box 5" hidden="1">
              <a:extLst>
                <a:ext uri="{63B3BB69-23CF-44E3-9099-C40C66FF867C}">
                  <a14:compatExt spid="_x0000_s471045"/>
                </a:ext>
                <a:ext uri="{FF2B5EF4-FFF2-40B4-BE49-F238E27FC236}">
                  <a16:creationId xmlns:a16="http://schemas.microsoft.com/office/drawing/2014/main" id="{00000000-0008-0000-0D00-000005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65</xdr:row>
          <xdr:rowOff>114300</xdr:rowOff>
        </xdr:from>
        <xdr:to>
          <xdr:col>4</xdr:col>
          <xdr:colOff>0</xdr:colOff>
          <xdr:row>83</xdr:row>
          <xdr:rowOff>171450</xdr:rowOff>
        </xdr:to>
        <xdr:sp macro="" textlink="">
          <xdr:nvSpPr>
            <xdr:cNvPr id="471046" name="Group Box 6" hidden="1">
              <a:extLst>
                <a:ext uri="{63B3BB69-23CF-44E3-9099-C40C66FF867C}">
                  <a14:compatExt spid="_x0000_s471046"/>
                </a:ext>
                <a:ext uri="{FF2B5EF4-FFF2-40B4-BE49-F238E27FC236}">
                  <a16:creationId xmlns:a16="http://schemas.microsoft.com/office/drawing/2014/main" id="{00000000-0008-0000-0D00-00000630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11</xdr:row>
          <xdr:rowOff>12700</xdr:rowOff>
        </xdr:from>
        <xdr:to>
          <xdr:col>1</xdr:col>
          <xdr:colOff>698500</xdr:colOff>
          <xdr:row>11</xdr:row>
          <xdr:rowOff>228600</xdr:rowOff>
        </xdr:to>
        <xdr:sp macro="" textlink="">
          <xdr:nvSpPr>
            <xdr:cNvPr id="471047" name="Check Box 7" hidden="1">
              <a:extLst>
                <a:ext uri="{63B3BB69-23CF-44E3-9099-C40C66FF867C}">
                  <a14:compatExt spid="_x0000_s471047"/>
                </a:ext>
                <a:ext uri="{FF2B5EF4-FFF2-40B4-BE49-F238E27FC236}">
                  <a16:creationId xmlns:a16="http://schemas.microsoft.com/office/drawing/2014/main" id="{00000000-0008-0000-0D00-000007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11</xdr:row>
          <xdr:rowOff>12700</xdr:rowOff>
        </xdr:from>
        <xdr:to>
          <xdr:col>3</xdr:col>
          <xdr:colOff>12700</xdr:colOff>
          <xdr:row>11</xdr:row>
          <xdr:rowOff>260350</xdr:rowOff>
        </xdr:to>
        <xdr:sp macro="" textlink="">
          <xdr:nvSpPr>
            <xdr:cNvPr id="471048" name="Check Box 8" hidden="1">
              <a:extLst>
                <a:ext uri="{63B3BB69-23CF-44E3-9099-C40C66FF867C}">
                  <a14:compatExt spid="_x0000_s471048"/>
                </a:ext>
                <a:ext uri="{FF2B5EF4-FFF2-40B4-BE49-F238E27FC236}">
                  <a16:creationId xmlns:a16="http://schemas.microsoft.com/office/drawing/2014/main" id="{00000000-0008-0000-0D00-000008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228600</xdr:rowOff>
        </xdr:to>
        <xdr:sp macro="" textlink="">
          <xdr:nvSpPr>
            <xdr:cNvPr id="471049" name="Check Box 9" hidden="1">
              <a:extLst>
                <a:ext uri="{63B3BB69-23CF-44E3-9099-C40C66FF867C}">
                  <a14:compatExt spid="_x0000_s471049"/>
                </a:ext>
                <a:ext uri="{FF2B5EF4-FFF2-40B4-BE49-F238E27FC236}">
                  <a16:creationId xmlns:a16="http://schemas.microsoft.com/office/drawing/2014/main" id="{00000000-0008-0000-0D00-000009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0</xdr:rowOff>
        </xdr:from>
        <xdr:to>
          <xdr:col>3</xdr:col>
          <xdr:colOff>12700</xdr:colOff>
          <xdr:row>13</xdr:row>
          <xdr:rowOff>247650</xdr:rowOff>
        </xdr:to>
        <xdr:sp macro="" textlink="">
          <xdr:nvSpPr>
            <xdr:cNvPr id="471050" name="Check Box 10" hidden="1">
              <a:extLst>
                <a:ext uri="{63B3BB69-23CF-44E3-9099-C40C66FF867C}">
                  <a14:compatExt spid="_x0000_s471050"/>
                </a:ext>
                <a:ext uri="{FF2B5EF4-FFF2-40B4-BE49-F238E27FC236}">
                  <a16:creationId xmlns:a16="http://schemas.microsoft.com/office/drawing/2014/main" id="{00000000-0008-0000-0D00-00000A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15</xdr:row>
          <xdr:rowOff>50800</xdr:rowOff>
        </xdr:from>
        <xdr:to>
          <xdr:col>1</xdr:col>
          <xdr:colOff>704850</xdr:colOff>
          <xdr:row>15</xdr:row>
          <xdr:rowOff>260350</xdr:rowOff>
        </xdr:to>
        <xdr:sp macro="" textlink="">
          <xdr:nvSpPr>
            <xdr:cNvPr id="471051" name="Check Box 11" hidden="1">
              <a:extLst>
                <a:ext uri="{63B3BB69-23CF-44E3-9099-C40C66FF867C}">
                  <a14:compatExt spid="_x0000_s471051"/>
                </a:ext>
                <a:ext uri="{FF2B5EF4-FFF2-40B4-BE49-F238E27FC236}">
                  <a16:creationId xmlns:a16="http://schemas.microsoft.com/office/drawing/2014/main" id="{00000000-0008-0000-0D00-00000B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31750</xdr:rowOff>
        </xdr:from>
        <xdr:to>
          <xdr:col>3</xdr:col>
          <xdr:colOff>19050</xdr:colOff>
          <xdr:row>15</xdr:row>
          <xdr:rowOff>298450</xdr:rowOff>
        </xdr:to>
        <xdr:sp macro="" textlink="">
          <xdr:nvSpPr>
            <xdr:cNvPr id="471052" name="Check Box 12" hidden="1">
              <a:extLst>
                <a:ext uri="{63B3BB69-23CF-44E3-9099-C40C66FF867C}">
                  <a14:compatExt spid="_x0000_s471052"/>
                </a:ext>
                <a:ext uri="{FF2B5EF4-FFF2-40B4-BE49-F238E27FC236}">
                  <a16:creationId xmlns:a16="http://schemas.microsoft.com/office/drawing/2014/main" id="{00000000-0008-0000-0D00-00000C3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twoCellAnchor editAs="oneCell">
    <xdr:from>
      <xdr:col>11</xdr:col>
      <xdr:colOff>137582</xdr:colOff>
      <xdr:row>0</xdr:row>
      <xdr:rowOff>44455</xdr:rowOff>
    </xdr:from>
    <xdr:to>
      <xdr:col>13</xdr:col>
      <xdr:colOff>222249</xdr:colOff>
      <xdr:row>3</xdr:row>
      <xdr:rowOff>238129</xdr:rowOff>
    </xdr:to>
    <xdr:pic>
      <xdr:nvPicPr>
        <xdr:cNvPr id="2" name="Picture 1" descr="PSEGLI_2c_v">
          <a:extLst>
            <a:ext uri="{FF2B5EF4-FFF2-40B4-BE49-F238E27FC236}">
              <a16:creationId xmlns:a16="http://schemas.microsoft.com/office/drawing/2014/main" id="{00000000-0008-0000-0D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8989482" y="47630"/>
          <a:ext cx="3091392" cy="942974"/>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8</xdr:col>
          <xdr:colOff>50800</xdr:colOff>
          <xdr:row>8</xdr:row>
          <xdr:rowOff>0</xdr:rowOff>
        </xdr:from>
        <xdr:to>
          <xdr:col>11</xdr:col>
          <xdr:colOff>171450</xdr:colOff>
          <xdr:row>9</xdr:row>
          <xdr:rowOff>19050</xdr:rowOff>
        </xdr:to>
        <xdr:sp macro="" textlink="">
          <xdr:nvSpPr>
            <xdr:cNvPr id="472065" name="CheckBox1" hidden="1">
              <a:extLst>
                <a:ext uri="{63B3BB69-23CF-44E3-9099-C40C66FF867C}">
                  <a14:compatExt spid="_x0000_s472065"/>
                </a:ext>
                <a:ext uri="{FF2B5EF4-FFF2-40B4-BE49-F238E27FC236}">
                  <a16:creationId xmlns:a16="http://schemas.microsoft.com/office/drawing/2014/main" id="{00000000-0008-0000-0E00-00000134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xdr:colOff>
          <xdr:row>8</xdr:row>
          <xdr:rowOff>0</xdr:rowOff>
        </xdr:from>
        <xdr:to>
          <xdr:col>3</xdr:col>
          <xdr:colOff>488950</xdr:colOff>
          <xdr:row>9</xdr:row>
          <xdr:rowOff>19050</xdr:rowOff>
        </xdr:to>
        <xdr:sp macro="" textlink="">
          <xdr:nvSpPr>
            <xdr:cNvPr id="472066" name="CheckBox2" hidden="1">
              <a:extLst>
                <a:ext uri="{63B3BB69-23CF-44E3-9099-C40C66FF867C}">
                  <a14:compatExt spid="_x0000_s472066"/>
                </a:ext>
                <a:ext uri="{FF2B5EF4-FFF2-40B4-BE49-F238E27FC236}">
                  <a16:creationId xmlns:a16="http://schemas.microsoft.com/office/drawing/2014/main" id="{00000000-0008-0000-0E00-000002340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47</xdr:row>
          <xdr:rowOff>57150</xdr:rowOff>
        </xdr:from>
        <xdr:to>
          <xdr:col>1</xdr:col>
          <xdr:colOff>1009650</xdr:colOff>
          <xdr:row>48</xdr:row>
          <xdr:rowOff>12700</xdr:rowOff>
        </xdr:to>
        <xdr:sp macro="" textlink="">
          <xdr:nvSpPr>
            <xdr:cNvPr id="472067" name="Option Button 3" hidden="1">
              <a:extLst>
                <a:ext uri="{63B3BB69-23CF-44E3-9099-C40C66FF867C}">
                  <a14:compatExt spid="_x0000_s472067"/>
                </a:ext>
                <a:ext uri="{FF2B5EF4-FFF2-40B4-BE49-F238E27FC236}">
                  <a16:creationId xmlns:a16="http://schemas.microsoft.com/office/drawing/2014/main" id="{00000000-0008-0000-0E00-000003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1574800</xdr:colOff>
          <xdr:row>47</xdr:row>
          <xdr:rowOff>57150</xdr:rowOff>
        </xdr:from>
        <xdr:to>
          <xdr:col>3</xdr:col>
          <xdr:colOff>50800</xdr:colOff>
          <xdr:row>48</xdr:row>
          <xdr:rowOff>0</xdr:rowOff>
        </xdr:to>
        <xdr:sp macro="" textlink="">
          <xdr:nvSpPr>
            <xdr:cNvPr id="472068" name="Option Button 4" hidden="1">
              <a:extLst>
                <a:ext uri="{63B3BB69-23CF-44E3-9099-C40C66FF867C}">
                  <a14:compatExt spid="_x0000_s472068"/>
                </a:ext>
                <a:ext uri="{FF2B5EF4-FFF2-40B4-BE49-F238E27FC236}">
                  <a16:creationId xmlns:a16="http://schemas.microsoft.com/office/drawing/2014/main" id="{00000000-0008-0000-0E00-000004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46</xdr:row>
          <xdr:rowOff>0</xdr:rowOff>
        </xdr:from>
        <xdr:to>
          <xdr:col>3</xdr:col>
          <xdr:colOff>514350</xdr:colOff>
          <xdr:row>49</xdr:row>
          <xdr:rowOff>127000</xdr:rowOff>
        </xdr:to>
        <xdr:sp macro="" textlink="">
          <xdr:nvSpPr>
            <xdr:cNvPr id="472069" name="Group Box 5" hidden="1">
              <a:extLst>
                <a:ext uri="{63B3BB69-23CF-44E3-9099-C40C66FF867C}">
                  <a14:compatExt spid="_x0000_s472069"/>
                </a:ext>
                <a:ext uri="{FF2B5EF4-FFF2-40B4-BE49-F238E27FC236}">
                  <a16:creationId xmlns:a16="http://schemas.microsoft.com/office/drawing/2014/main" id="{00000000-0008-0000-0E00-0000053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88</xdr:row>
          <xdr:rowOff>114300</xdr:rowOff>
        </xdr:from>
        <xdr:to>
          <xdr:col>1</xdr:col>
          <xdr:colOff>889000</xdr:colOff>
          <xdr:row>89</xdr:row>
          <xdr:rowOff>107950</xdr:rowOff>
        </xdr:to>
        <xdr:sp macro="" textlink="">
          <xdr:nvSpPr>
            <xdr:cNvPr id="472070" name="Option Button 6" hidden="1">
              <a:extLst>
                <a:ext uri="{63B3BB69-23CF-44E3-9099-C40C66FF867C}">
                  <a14:compatExt spid="_x0000_s472070"/>
                </a:ext>
                <a:ext uri="{FF2B5EF4-FFF2-40B4-BE49-F238E27FC236}">
                  <a16:creationId xmlns:a16="http://schemas.microsoft.com/office/drawing/2014/main" id="{00000000-0008-0000-0E00-000006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1574800</xdr:colOff>
          <xdr:row>88</xdr:row>
          <xdr:rowOff>114300</xdr:rowOff>
        </xdr:from>
        <xdr:to>
          <xdr:col>3</xdr:col>
          <xdr:colOff>50800</xdr:colOff>
          <xdr:row>89</xdr:row>
          <xdr:rowOff>127000</xdr:rowOff>
        </xdr:to>
        <xdr:sp macro="" textlink="">
          <xdr:nvSpPr>
            <xdr:cNvPr id="472071" name="Option Button 7" hidden="1">
              <a:extLst>
                <a:ext uri="{63B3BB69-23CF-44E3-9099-C40C66FF867C}">
                  <a14:compatExt spid="_x0000_s472071"/>
                </a:ext>
                <a:ext uri="{FF2B5EF4-FFF2-40B4-BE49-F238E27FC236}">
                  <a16:creationId xmlns:a16="http://schemas.microsoft.com/office/drawing/2014/main" id="{00000000-0008-0000-0E00-000007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87</xdr:row>
          <xdr:rowOff>114300</xdr:rowOff>
        </xdr:from>
        <xdr:to>
          <xdr:col>3</xdr:col>
          <xdr:colOff>476250</xdr:colOff>
          <xdr:row>90</xdr:row>
          <xdr:rowOff>114300</xdr:rowOff>
        </xdr:to>
        <xdr:sp macro="" textlink="">
          <xdr:nvSpPr>
            <xdr:cNvPr id="472072" name="Group Box 8" hidden="1">
              <a:extLst>
                <a:ext uri="{63B3BB69-23CF-44E3-9099-C40C66FF867C}">
                  <a14:compatExt spid="_x0000_s472072"/>
                </a:ext>
                <a:ext uri="{FF2B5EF4-FFF2-40B4-BE49-F238E27FC236}">
                  <a16:creationId xmlns:a16="http://schemas.microsoft.com/office/drawing/2014/main" id="{00000000-0008-0000-0E00-0000083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12</xdr:row>
          <xdr:rowOff>12700</xdr:rowOff>
        </xdr:from>
        <xdr:to>
          <xdr:col>1</xdr:col>
          <xdr:colOff>698500</xdr:colOff>
          <xdr:row>12</xdr:row>
          <xdr:rowOff>222250</xdr:rowOff>
        </xdr:to>
        <xdr:sp macro="" textlink="">
          <xdr:nvSpPr>
            <xdr:cNvPr id="472073" name="Check Box 9" hidden="1">
              <a:extLst>
                <a:ext uri="{63B3BB69-23CF-44E3-9099-C40C66FF867C}">
                  <a14:compatExt spid="_x0000_s472073"/>
                </a:ext>
                <a:ext uri="{FF2B5EF4-FFF2-40B4-BE49-F238E27FC236}">
                  <a16:creationId xmlns:a16="http://schemas.microsoft.com/office/drawing/2014/main" id="{00000000-0008-0000-0E00-000009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12</xdr:row>
          <xdr:rowOff>12700</xdr:rowOff>
        </xdr:from>
        <xdr:to>
          <xdr:col>2</xdr:col>
          <xdr:colOff>355600</xdr:colOff>
          <xdr:row>12</xdr:row>
          <xdr:rowOff>260350</xdr:rowOff>
        </xdr:to>
        <xdr:sp macro="" textlink="">
          <xdr:nvSpPr>
            <xdr:cNvPr id="472074" name="Check Box 10" hidden="1">
              <a:extLst>
                <a:ext uri="{63B3BB69-23CF-44E3-9099-C40C66FF867C}">
                  <a14:compatExt spid="_x0000_s472074"/>
                </a:ext>
                <a:ext uri="{FF2B5EF4-FFF2-40B4-BE49-F238E27FC236}">
                  <a16:creationId xmlns:a16="http://schemas.microsoft.com/office/drawing/2014/main" id="{00000000-0008-0000-0E00-00000A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14</xdr:row>
          <xdr:rowOff>12700</xdr:rowOff>
        </xdr:from>
        <xdr:to>
          <xdr:col>1</xdr:col>
          <xdr:colOff>698500</xdr:colOff>
          <xdr:row>14</xdr:row>
          <xdr:rowOff>222250</xdr:rowOff>
        </xdr:to>
        <xdr:sp macro="" textlink="">
          <xdr:nvSpPr>
            <xdr:cNvPr id="472075" name="Check Box 11" hidden="1">
              <a:extLst>
                <a:ext uri="{63B3BB69-23CF-44E3-9099-C40C66FF867C}">
                  <a14:compatExt spid="_x0000_s472075"/>
                </a:ext>
                <a:ext uri="{FF2B5EF4-FFF2-40B4-BE49-F238E27FC236}">
                  <a16:creationId xmlns:a16="http://schemas.microsoft.com/office/drawing/2014/main" id="{00000000-0008-0000-0E00-00000B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14</xdr:row>
          <xdr:rowOff>0</xdr:rowOff>
        </xdr:from>
        <xdr:to>
          <xdr:col>2</xdr:col>
          <xdr:colOff>355600</xdr:colOff>
          <xdr:row>14</xdr:row>
          <xdr:rowOff>247650</xdr:rowOff>
        </xdr:to>
        <xdr:sp macro="" textlink="">
          <xdr:nvSpPr>
            <xdr:cNvPr id="472076" name="Check Box 12" hidden="1">
              <a:extLst>
                <a:ext uri="{63B3BB69-23CF-44E3-9099-C40C66FF867C}">
                  <a14:compatExt spid="_x0000_s472076"/>
                </a:ext>
                <a:ext uri="{FF2B5EF4-FFF2-40B4-BE49-F238E27FC236}">
                  <a16:creationId xmlns:a16="http://schemas.microsoft.com/office/drawing/2014/main" id="{00000000-0008-0000-0E00-00000C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16</xdr:row>
          <xdr:rowOff>50800</xdr:rowOff>
        </xdr:from>
        <xdr:to>
          <xdr:col>1</xdr:col>
          <xdr:colOff>704850</xdr:colOff>
          <xdr:row>16</xdr:row>
          <xdr:rowOff>260350</xdr:rowOff>
        </xdr:to>
        <xdr:sp macro="" textlink="">
          <xdr:nvSpPr>
            <xdr:cNvPr id="472077" name="Check Box 13" hidden="1">
              <a:extLst>
                <a:ext uri="{63B3BB69-23CF-44E3-9099-C40C66FF867C}">
                  <a14:compatExt spid="_x0000_s472077"/>
                </a:ext>
                <a:ext uri="{FF2B5EF4-FFF2-40B4-BE49-F238E27FC236}">
                  <a16:creationId xmlns:a16="http://schemas.microsoft.com/office/drawing/2014/main" id="{00000000-0008-0000-0E00-00000D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16</xdr:row>
          <xdr:rowOff>31750</xdr:rowOff>
        </xdr:from>
        <xdr:to>
          <xdr:col>2</xdr:col>
          <xdr:colOff>355600</xdr:colOff>
          <xdr:row>16</xdr:row>
          <xdr:rowOff>298450</xdr:rowOff>
        </xdr:to>
        <xdr:sp macro="" textlink="">
          <xdr:nvSpPr>
            <xdr:cNvPr id="472078" name="Check Box 14" hidden="1">
              <a:extLst>
                <a:ext uri="{63B3BB69-23CF-44E3-9099-C40C66FF867C}">
                  <a14:compatExt spid="_x0000_s472078"/>
                </a:ext>
                <a:ext uri="{FF2B5EF4-FFF2-40B4-BE49-F238E27FC236}">
                  <a16:creationId xmlns:a16="http://schemas.microsoft.com/office/drawing/2014/main" id="{00000000-0008-0000-0E00-00000E3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oneCellAnchor>
    <xdr:from>
      <xdr:col>10</xdr:col>
      <xdr:colOff>95251</xdr:colOff>
      <xdr:row>0</xdr:row>
      <xdr:rowOff>76200</xdr:rowOff>
    </xdr:from>
    <xdr:ext cx="2762249" cy="781050"/>
    <xdr:pic>
      <xdr:nvPicPr>
        <xdr:cNvPr id="2" name="Picture 1" descr="PSEGLI_2c_v">
          <a:extLst>
            <a:ext uri="{FF2B5EF4-FFF2-40B4-BE49-F238E27FC236}">
              <a16:creationId xmlns:a16="http://schemas.microsoft.com/office/drawing/2014/main" id="{00000000-0008-0000-0E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7343776" y="76200"/>
          <a:ext cx="2762249" cy="781050"/>
        </a:xfrm>
        <a:prstGeom prst="rect">
          <a:avLst/>
        </a:prstGeom>
        <a:noFill/>
        <a:ln>
          <a:noFill/>
        </a:ln>
      </xdr:spPr>
    </xdr:pic>
    <xdr:clientData/>
  </xdr:oneCellAnchor>
</xdr:wsDr>
</file>

<file path=xl/drawings/drawing16.xml><?xml version="1.0" encoding="utf-8"?>
<xdr:wsDr xmlns:xdr="http://schemas.openxmlformats.org/drawingml/2006/spreadsheetDrawing" xmlns:a="http://schemas.openxmlformats.org/drawingml/2006/main">
  <xdr:twoCellAnchor editAs="oneCell">
    <xdr:from>
      <xdr:col>5</xdr:col>
      <xdr:colOff>1534281</xdr:colOff>
      <xdr:row>0</xdr:row>
      <xdr:rowOff>361950</xdr:rowOff>
    </xdr:from>
    <xdr:to>
      <xdr:col>13</xdr:col>
      <xdr:colOff>0</xdr:colOff>
      <xdr:row>1</xdr:row>
      <xdr:rowOff>615950</xdr:rowOff>
    </xdr:to>
    <xdr:pic>
      <xdr:nvPicPr>
        <xdr:cNvPr id="2" name="Picture 1">
          <a:extLst>
            <a:ext uri="{FF2B5EF4-FFF2-40B4-BE49-F238E27FC236}">
              <a16:creationId xmlns:a16="http://schemas.microsoft.com/office/drawing/2014/main" id="{00000000-0008-0000-0F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82556" y="361950"/>
          <a:ext cx="3152019" cy="663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19</xdr:col>
          <xdr:colOff>0</xdr:colOff>
          <xdr:row>3</xdr:row>
          <xdr:rowOff>660400</xdr:rowOff>
        </xdr:from>
        <xdr:to>
          <xdr:col>22</xdr:col>
          <xdr:colOff>508000</xdr:colOff>
          <xdr:row>9</xdr:row>
          <xdr:rowOff>0</xdr:rowOff>
        </xdr:to>
        <xdr:sp macro="" textlink="">
          <xdr:nvSpPr>
            <xdr:cNvPr id="303106" name="Group Box 2" hidden="1">
              <a:extLst>
                <a:ext uri="{63B3BB69-23CF-44E3-9099-C40C66FF867C}">
                  <a14:compatExt spid="_x0000_s303106"/>
                </a:ext>
                <a:ext uri="{FF2B5EF4-FFF2-40B4-BE49-F238E27FC236}">
                  <a16:creationId xmlns:a16="http://schemas.microsoft.com/office/drawing/2014/main" id="{00000000-0008-0000-1000-000002A0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649</a:t>
              </a:r>
            </a:p>
          </xdr:txBody>
        </xdr:sp>
        <xdr:clientData/>
      </xdr:twoCellAnchor>
    </mc:Choice>
    <mc:Fallback/>
  </mc:AlternateContent>
  <xdr:twoCellAnchor editAs="oneCell">
    <xdr:from>
      <xdr:col>20</xdr:col>
      <xdr:colOff>797718</xdr:colOff>
      <xdr:row>0</xdr:row>
      <xdr:rowOff>11907</xdr:rowOff>
    </xdr:from>
    <xdr:to>
      <xdr:col>28</xdr:col>
      <xdr:colOff>1360486</xdr:colOff>
      <xdr:row>1</xdr:row>
      <xdr:rowOff>581492</xdr:rowOff>
    </xdr:to>
    <xdr:pic>
      <xdr:nvPicPr>
        <xdr:cNvPr id="2" name="Picture 1">
          <a:extLst>
            <a:ext uri="{FF2B5EF4-FFF2-40B4-BE49-F238E27FC236}">
              <a16:creationId xmlns:a16="http://schemas.microsoft.com/office/drawing/2014/main" id="{00000000-0008-0000-10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73687" y="11907"/>
          <a:ext cx="5527674" cy="117045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12</xdr:col>
      <xdr:colOff>142875</xdr:colOff>
      <xdr:row>0</xdr:row>
      <xdr:rowOff>133350</xdr:rowOff>
    </xdr:from>
    <xdr:to>
      <xdr:col>15</xdr:col>
      <xdr:colOff>579967</xdr:colOff>
      <xdr:row>3</xdr:row>
      <xdr:rowOff>38100</xdr:rowOff>
    </xdr:to>
    <xdr:pic>
      <xdr:nvPicPr>
        <xdr:cNvPr id="2" name="Picture 4">
          <a:extLst>
            <a:ext uri="{FF2B5EF4-FFF2-40B4-BE49-F238E27FC236}">
              <a16:creationId xmlns:a16="http://schemas.microsoft.com/office/drawing/2014/main" id="{00000000-0008-0000-11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922000" y="133350"/>
          <a:ext cx="3497792" cy="762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7</xdr:col>
          <xdr:colOff>279400</xdr:colOff>
          <xdr:row>15</xdr:row>
          <xdr:rowOff>50800</xdr:rowOff>
        </xdr:from>
        <xdr:to>
          <xdr:col>7</xdr:col>
          <xdr:colOff>869950</xdr:colOff>
          <xdr:row>15</xdr:row>
          <xdr:rowOff>260350</xdr:rowOff>
        </xdr:to>
        <xdr:sp macro="" textlink="">
          <xdr:nvSpPr>
            <xdr:cNvPr id="473089" name="Check Box 1" hidden="1">
              <a:extLst>
                <a:ext uri="{63B3BB69-23CF-44E3-9099-C40C66FF867C}">
                  <a14:compatExt spid="_x0000_s473089"/>
                </a:ext>
                <a:ext uri="{FF2B5EF4-FFF2-40B4-BE49-F238E27FC236}">
                  <a16:creationId xmlns:a16="http://schemas.microsoft.com/office/drawing/2014/main" id="{00000000-0008-0000-1100-000001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260350</xdr:colOff>
          <xdr:row>17</xdr:row>
          <xdr:rowOff>31750</xdr:rowOff>
        </xdr:from>
        <xdr:to>
          <xdr:col>7</xdr:col>
          <xdr:colOff>850900</xdr:colOff>
          <xdr:row>17</xdr:row>
          <xdr:rowOff>241300</xdr:rowOff>
        </xdr:to>
        <xdr:sp macro="" textlink="">
          <xdr:nvSpPr>
            <xdr:cNvPr id="473090" name="Check Box 2" hidden="1">
              <a:extLst>
                <a:ext uri="{63B3BB69-23CF-44E3-9099-C40C66FF867C}">
                  <a14:compatExt spid="_x0000_s473090"/>
                </a:ext>
                <a:ext uri="{FF2B5EF4-FFF2-40B4-BE49-F238E27FC236}">
                  <a16:creationId xmlns:a16="http://schemas.microsoft.com/office/drawing/2014/main" id="{00000000-0008-0000-1100-000002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241300</xdr:colOff>
          <xdr:row>19</xdr:row>
          <xdr:rowOff>69850</xdr:rowOff>
        </xdr:from>
        <xdr:to>
          <xdr:col>7</xdr:col>
          <xdr:colOff>838200</xdr:colOff>
          <xdr:row>19</xdr:row>
          <xdr:rowOff>279400</xdr:rowOff>
        </xdr:to>
        <xdr:sp macro="" textlink="">
          <xdr:nvSpPr>
            <xdr:cNvPr id="473091" name="Check Box 3" hidden="1">
              <a:extLst>
                <a:ext uri="{63B3BB69-23CF-44E3-9099-C40C66FF867C}">
                  <a14:compatExt spid="_x0000_s473091"/>
                </a:ext>
                <a:ext uri="{FF2B5EF4-FFF2-40B4-BE49-F238E27FC236}">
                  <a16:creationId xmlns:a16="http://schemas.microsoft.com/office/drawing/2014/main" id="{00000000-0008-0000-1100-000003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965200</xdr:colOff>
          <xdr:row>15</xdr:row>
          <xdr:rowOff>31750</xdr:rowOff>
        </xdr:from>
        <xdr:to>
          <xdr:col>8</xdr:col>
          <xdr:colOff>679450</xdr:colOff>
          <xdr:row>15</xdr:row>
          <xdr:rowOff>279400</xdr:rowOff>
        </xdr:to>
        <xdr:sp macro="" textlink="">
          <xdr:nvSpPr>
            <xdr:cNvPr id="473092" name="Check Box 4" hidden="1">
              <a:extLst>
                <a:ext uri="{63B3BB69-23CF-44E3-9099-C40C66FF867C}">
                  <a14:compatExt spid="_x0000_s473092"/>
                </a:ext>
                <a:ext uri="{FF2B5EF4-FFF2-40B4-BE49-F238E27FC236}">
                  <a16:creationId xmlns:a16="http://schemas.microsoft.com/office/drawing/2014/main" id="{00000000-0008-0000-1100-000004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971550</xdr:colOff>
          <xdr:row>17</xdr:row>
          <xdr:rowOff>12700</xdr:rowOff>
        </xdr:from>
        <xdr:to>
          <xdr:col>8</xdr:col>
          <xdr:colOff>679450</xdr:colOff>
          <xdr:row>17</xdr:row>
          <xdr:rowOff>260350</xdr:rowOff>
        </xdr:to>
        <xdr:sp macro="" textlink="">
          <xdr:nvSpPr>
            <xdr:cNvPr id="473093" name="Check Box 5" hidden="1">
              <a:extLst>
                <a:ext uri="{63B3BB69-23CF-44E3-9099-C40C66FF867C}">
                  <a14:compatExt spid="_x0000_s473093"/>
                </a:ext>
                <a:ext uri="{FF2B5EF4-FFF2-40B4-BE49-F238E27FC236}">
                  <a16:creationId xmlns:a16="http://schemas.microsoft.com/office/drawing/2014/main" id="{00000000-0008-0000-1100-000005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952500</xdr:colOff>
          <xdr:row>19</xdr:row>
          <xdr:rowOff>50800</xdr:rowOff>
        </xdr:from>
        <xdr:to>
          <xdr:col>8</xdr:col>
          <xdr:colOff>660400</xdr:colOff>
          <xdr:row>19</xdr:row>
          <xdr:rowOff>298450</xdr:rowOff>
        </xdr:to>
        <xdr:sp macro="" textlink="">
          <xdr:nvSpPr>
            <xdr:cNvPr id="473094" name="Check Box 6" hidden="1">
              <a:extLst>
                <a:ext uri="{63B3BB69-23CF-44E3-9099-C40C66FF867C}">
                  <a14:compatExt spid="_x0000_s473094"/>
                </a:ext>
                <a:ext uri="{FF2B5EF4-FFF2-40B4-BE49-F238E27FC236}">
                  <a16:creationId xmlns:a16="http://schemas.microsoft.com/office/drawing/2014/main" id="{00000000-0008-0000-1100-0000063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14</xdr:col>
          <xdr:colOff>152400</xdr:colOff>
          <xdr:row>16</xdr:row>
          <xdr:rowOff>0</xdr:rowOff>
        </xdr:from>
        <xdr:to>
          <xdr:col>18</xdr:col>
          <xdr:colOff>1003300</xdr:colOff>
          <xdr:row>16</xdr:row>
          <xdr:rowOff>279400</xdr:rowOff>
        </xdr:to>
        <xdr:sp macro="" textlink="">
          <xdr:nvSpPr>
            <xdr:cNvPr id="242691" name="Check Box 3" hidden="1">
              <a:extLst>
                <a:ext uri="{63B3BB69-23CF-44E3-9099-C40C66FF867C}">
                  <a14:compatExt spid="_x0000_s242691"/>
                </a:ext>
                <a:ext uri="{FF2B5EF4-FFF2-40B4-BE49-F238E27FC236}">
                  <a16:creationId xmlns:a16="http://schemas.microsoft.com/office/drawing/2014/main" id="{00000000-0008-0000-1200-000003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9525</xdr:colOff>
      <xdr:row>18</xdr:row>
      <xdr:rowOff>323850</xdr:rowOff>
    </xdr:from>
    <xdr:to>
      <xdr:col>3</xdr:col>
      <xdr:colOff>571500</xdr:colOff>
      <xdr:row>21</xdr:row>
      <xdr:rowOff>120650</xdr:rowOff>
    </xdr:to>
    <xdr:pic>
      <xdr:nvPicPr>
        <xdr:cNvPr id="6" name="Picture 1">
          <a:extLst>
            <a:ext uri="{FF2B5EF4-FFF2-40B4-BE49-F238E27FC236}">
              <a16:creationId xmlns:a16="http://schemas.microsoft.com/office/drawing/2014/main" id="{00000000-0008-0000-1200-000006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04800" y="4848225"/>
          <a:ext cx="1781175" cy="771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24</xdr:row>
          <xdr:rowOff>12700</xdr:rowOff>
        </xdr:from>
        <xdr:to>
          <xdr:col>18</xdr:col>
          <xdr:colOff>869950</xdr:colOff>
          <xdr:row>25</xdr:row>
          <xdr:rowOff>12700</xdr:rowOff>
        </xdr:to>
        <xdr:sp macro="" textlink="">
          <xdr:nvSpPr>
            <xdr:cNvPr id="242692" name="Check Box 4" hidden="1">
              <a:extLst>
                <a:ext uri="{63B3BB69-23CF-44E3-9099-C40C66FF867C}">
                  <a14:compatExt spid="_x0000_s242692"/>
                </a:ext>
                <a:ext uri="{FF2B5EF4-FFF2-40B4-BE49-F238E27FC236}">
                  <a16:creationId xmlns:a16="http://schemas.microsoft.com/office/drawing/2014/main" id="{00000000-0008-0000-1200-000004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0</xdr:col>
      <xdr:colOff>228600</xdr:colOff>
      <xdr:row>26</xdr:row>
      <xdr:rowOff>95250</xdr:rowOff>
    </xdr:from>
    <xdr:to>
      <xdr:col>3</xdr:col>
      <xdr:colOff>590550</xdr:colOff>
      <xdr:row>31</xdr:row>
      <xdr:rowOff>191611</xdr:rowOff>
    </xdr:to>
    <xdr:pic>
      <xdr:nvPicPr>
        <xdr:cNvPr id="3" name="Picture 2">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228600" y="7229475"/>
          <a:ext cx="1876425" cy="1658461"/>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19050</xdr:colOff>
          <xdr:row>33</xdr:row>
          <xdr:rowOff>12700</xdr:rowOff>
        </xdr:from>
        <xdr:to>
          <xdr:col>18</xdr:col>
          <xdr:colOff>869950</xdr:colOff>
          <xdr:row>34</xdr:row>
          <xdr:rowOff>12700</xdr:rowOff>
        </xdr:to>
        <xdr:sp macro="" textlink="">
          <xdr:nvSpPr>
            <xdr:cNvPr id="242693" name="Check Box 5" hidden="1">
              <a:extLst>
                <a:ext uri="{63B3BB69-23CF-44E3-9099-C40C66FF867C}">
                  <a14:compatExt spid="_x0000_s242693"/>
                </a:ext>
                <a:ext uri="{FF2B5EF4-FFF2-40B4-BE49-F238E27FC236}">
                  <a16:creationId xmlns:a16="http://schemas.microsoft.com/office/drawing/2014/main" id="{00000000-0008-0000-1200-000005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0</xdr:col>
      <xdr:colOff>133350</xdr:colOff>
      <xdr:row>35</xdr:row>
      <xdr:rowOff>104775</xdr:rowOff>
    </xdr:from>
    <xdr:to>
      <xdr:col>3</xdr:col>
      <xdr:colOff>464391</xdr:colOff>
      <xdr:row>40</xdr:row>
      <xdr:rowOff>53975</xdr:rowOff>
    </xdr:to>
    <xdr:pic>
      <xdr:nvPicPr>
        <xdr:cNvPr id="4" name="Picture 3">
          <a:extLst>
            <a:ext uri="{FF2B5EF4-FFF2-40B4-BE49-F238E27FC236}">
              <a16:creationId xmlns:a16="http://schemas.microsoft.com/office/drawing/2014/main" id="{00000000-0008-0000-1200-000004000000}"/>
            </a:ext>
          </a:extLst>
        </xdr:cNvPr>
        <xdr:cNvPicPr>
          <a:picLocks noChangeAspect="1"/>
        </xdr:cNvPicPr>
      </xdr:nvPicPr>
      <xdr:blipFill>
        <a:blip xmlns:r="http://schemas.openxmlformats.org/officeDocument/2006/relationships" r:embed="rId3"/>
        <a:stretch>
          <a:fillRect/>
        </a:stretch>
      </xdr:blipFill>
      <xdr:spPr>
        <a:xfrm>
          <a:off x="133350" y="10096500"/>
          <a:ext cx="1845516" cy="1511300"/>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19050</xdr:colOff>
          <xdr:row>41</xdr:row>
          <xdr:rowOff>12700</xdr:rowOff>
        </xdr:from>
        <xdr:to>
          <xdr:col>18</xdr:col>
          <xdr:colOff>869950</xdr:colOff>
          <xdr:row>42</xdr:row>
          <xdr:rowOff>12700</xdr:rowOff>
        </xdr:to>
        <xdr:sp macro="" textlink="">
          <xdr:nvSpPr>
            <xdr:cNvPr id="242694" name="Check Box 6" hidden="1">
              <a:extLst>
                <a:ext uri="{63B3BB69-23CF-44E3-9099-C40C66FF867C}">
                  <a14:compatExt spid="_x0000_s242694"/>
                </a:ext>
                <a:ext uri="{FF2B5EF4-FFF2-40B4-BE49-F238E27FC236}">
                  <a16:creationId xmlns:a16="http://schemas.microsoft.com/office/drawing/2014/main" id="{00000000-0008-0000-1200-000006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0</xdr:col>
      <xdr:colOff>85725</xdr:colOff>
      <xdr:row>43</xdr:row>
      <xdr:rowOff>0</xdr:rowOff>
    </xdr:from>
    <xdr:to>
      <xdr:col>3</xdr:col>
      <xdr:colOff>416766</xdr:colOff>
      <xdr:row>47</xdr:row>
      <xdr:rowOff>244475</xdr:rowOff>
    </xdr:to>
    <xdr:pic>
      <xdr:nvPicPr>
        <xdr:cNvPr id="24" name="Picture 23">
          <a:extLst>
            <a:ext uri="{FF2B5EF4-FFF2-40B4-BE49-F238E27FC236}">
              <a16:creationId xmlns:a16="http://schemas.microsoft.com/office/drawing/2014/main" id="{00000000-0008-0000-1200-000018000000}"/>
            </a:ext>
          </a:extLst>
        </xdr:cNvPr>
        <xdr:cNvPicPr>
          <a:picLocks noChangeAspect="1"/>
        </xdr:cNvPicPr>
      </xdr:nvPicPr>
      <xdr:blipFill>
        <a:blip xmlns:r="http://schemas.openxmlformats.org/officeDocument/2006/relationships" r:embed="rId3"/>
        <a:stretch>
          <a:fillRect/>
        </a:stretch>
      </xdr:blipFill>
      <xdr:spPr>
        <a:xfrm>
          <a:off x="85725" y="12668250"/>
          <a:ext cx="1845516" cy="1511300"/>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107950</xdr:colOff>
          <xdr:row>48</xdr:row>
          <xdr:rowOff>133350</xdr:rowOff>
        </xdr:from>
        <xdr:to>
          <xdr:col>18</xdr:col>
          <xdr:colOff>952500</xdr:colOff>
          <xdr:row>49</xdr:row>
          <xdr:rowOff>228600</xdr:rowOff>
        </xdr:to>
        <xdr:sp macro="" textlink="">
          <xdr:nvSpPr>
            <xdr:cNvPr id="242695" name="Check Box 7" hidden="1">
              <a:extLst>
                <a:ext uri="{63B3BB69-23CF-44E3-9099-C40C66FF867C}">
                  <a14:compatExt spid="_x0000_s242695"/>
                </a:ext>
                <a:ext uri="{FF2B5EF4-FFF2-40B4-BE49-F238E27FC236}">
                  <a16:creationId xmlns:a16="http://schemas.microsoft.com/office/drawing/2014/main" id="{00000000-0008-0000-1200-000007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0</xdr:col>
      <xdr:colOff>244475</xdr:colOff>
      <xdr:row>52</xdr:row>
      <xdr:rowOff>66675</xdr:rowOff>
    </xdr:from>
    <xdr:to>
      <xdr:col>3</xdr:col>
      <xdr:colOff>571405</xdr:colOff>
      <xdr:row>55</xdr:row>
      <xdr:rowOff>247742</xdr:rowOff>
    </xdr:to>
    <xdr:pic>
      <xdr:nvPicPr>
        <xdr:cNvPr id="17" name="Picture 16">
          <a:extLst>
            <a:ext uri="{FF2B5EF4-FFF2-40B4-BE49-F238E27FC236}">
              <a16:creationId xmlns:a16="http://schemas.microsoft.com/office/drawing/2014/main" id="{00000000-0008-0000-1200-000011000000}"/>
            </a:ext>
          </a:extLst>
        </xdr:cNvPr>
        <xdr:cNvPicPr>
          <a:picLocks noChangeAspect="1"/>
        </xdr:cNvPicPr>
      </xdr:nvPicPr>
      <xdr:blipFill>
        <a:blip xmlns:r="http://schemas.openxmlformats.org/officeDocument/2006/relationships" r:embed="rId4"/>
        <a:stretch>
          <a:fillRect/>
        </a:stretch>
      </xdr:blipFill>
      <xdr:spPr>
        <a:xfrm>
          <a:off x="244475" y="14001750"/>
          <a:ext cx="1841405" cy="1066892"/>
        </a:xfrm>
        <a:prstGeom prst="rect">
          <a:avLst/>
        </a:prstGeom>
      </xdr:spPr>
    </xdr:pic>
    <xdr:clientData/>
  </xdr:twoCellAnchor>
  <mc:AlternateContent xmlns:mc="http://schemas.openxmlformats.org/markup-compatibility/2006">
    <mc:Choice xmlns:a14="http://schemas.microsoft.com/office/drawing/2010/main" Requires="a14">
      <xdr:twoCellAnchor>
        <xdr:from>
          <xdr:col>14</xdr:col>
          <xdr:colOff>184150</xdr:colOff>
          <xdr:row>57</xdr:row>
          <xdr:rowOff>0</xdr:rowOff>
        </xdr:from>
        <xdr:to>
          <xdr:col>19</xdr:col>
          <xdr:colOff>12700</xdr:colOff>
          <xdr:row>57</xdr:row>
          <xdr:rowOff>279400</xdr:rowOff>
        </xdr:to>
        <xdr:sp macro="" textlink="">
          <xdr:nvSpPr>
            <xdr:cNvPr id="242696" name="Check Box 8" hidden="1">
              <a:extLst>
                <a:ext uri="{63B3BB69-23CF-44E3-9099-C40C66FF867C}">
                  <a14:compatExt spid="_x0000_s242696"/>
                </a:ext>
                <a:ext uri="{FF2B5EF4-FFF2-40B4-BE49-F238E27FC236}">
                  <a16:creationId xmlns:a16="http://schemas.microsoft.com/office/drawing/2014/main" id="{00000000-0008-0000-1200-000008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6350</xdr:colOff>
      <xdr:row>59</xdr:row>
      <xdr:rowOff>73025</xdr:rowOff>
    </xdr:from>
    <xdr:to>
      <xdr:col>3</xdr:col>
      <xdr:colOff>438150</xdr:colOff>
      <xdr:row>64</xdr:row>
      <xdr:rowOff>85725</xdr:rowOff>
    </xdr:to>
    <xdr:pic>
      <xdr:nvPicPr>
        <xdr:cNvPr id="31" name="Picture 12">
          <a:extLst>
            <a:ext uri="{FF2B5EF4-FFF2-40B4-BE49-F238E27FC236}">
              <a16:creationId xmlns:a16="http://schemas.microsoft.com/office/drawing/2014/main" id="{00000000-0008-0000-1200-00001F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01625" y="16684625"/>
          <a:ext cx="1651000" cy="1571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65</xdr:row>
          <xdr:rowOff>12700</xdr:rowOff>
        </xdr:from>
        <xdr:to>
          <xdr:col>18</xdr:col>
          <xdr:colOff>869950</xdr:colOff>
          <xdr:row>66</xdr:row>
          <xdr:rowOff>12700</xdr:rowOff>
        </xdr:to>
        <xdr:sp macro="" textlink="">
          <xdr:nvSpPr>
            <xdr:cNvPr id="242697" name="Check Box 9" hidden="1">
              <a:extLst>
                <a:ext uri="{63B3BB69-23CF-44E3-9099-C40C66FF867C}">
                  <a14:compatExt spid="_x0000_s242697"/>
                </a:ext>
                <a:ext uri="{FF2B5EF4-FFF2-40B4-BE49-F238E27FC236}">
                  <a16:creationId xmlns:a16="http://schemas.microsoft.com/office/drawing/2014/main" id="{00000000-0008-0000-1200-000009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123825</xdr:colOff>
      <xdr:row>67</xdr:row>
      <xdr:rowOff>200025</xdr:rowOff>
    </xdr:from>
    <xdr:to>
      <xdr:col>3</xdr:col>
      <xdr:colOff>504825</xdr:colOff>
      <xdr:row>71</xdr:row>
      <xdr:rowOff>180975</xdr:rowOff>
    </xdr:to>
    <xdr:pic>
      <xdr:nvPicPr>
        <xdr:cNvPr id="34" name="Picture 10">
          <a:extLst>
            <a:ext uri="{FF2B5EF4-FFF2-40B4-BE49-F238E27FC236}">
              <a16:creationId xmlns:a16="http://schemas.microsoft.com/office/drawing/2014/main" id="{00000000-0008-0000-1200-000022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23825" y="18154650"/>
          <a:ext cx="1895475" cy="1247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73</xdr:row>
          <xdr:rowOff>12700</xdr:rowOff>
        </xdr:from>
        <xdr:to>
          <xdr:col>18</xdr:col>
          <xdr:colOff>869950</xdr:colOff>
          <xdr:row>74</xdr:row>
          <xdr:rowOff>12700</xdr:rowOff>
        </xdr:to>
        <xdr:sp macro="" textlink="">
          <xdr:nvSpPr>
            <xdr:cNvPr id="242698" name="Check Box 10" hidden="1">
              <a:extLst>
                <a:ext uri="{63B3BB69-23CF-44E3-9099-C40C66FF867C}">
                  <a14:compatExt spid="_x0000_s242698"/>
                </a:ext>
                <a:ext uri="{FF2B5EF4-FFF2-40B4-BE49-F238E27FC236}">
                  <a16:creationId xmlns:a16="http://schemas.microsoft.com/office/drawing/2014/main" id="{00000000-0008-0000-1200-00000A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180975</xdr:colOff>
      <xdr:row>76</xdr:row>
      <xdr:rowOff>180975</xdr:rowOff>
    </xdr:from>
    <xdr:to>
      <xdr:col>3</xdr:col>
      <xdr:colOff>501650</xdr:colOff>
      <xdr:row>79</xdr:row>
      <xdr:rowOff>282575</xdr:rowOff>
    </xdr:to>
    <xdr:pic>
      <xdr:nvPicPr>
        <xdr:cNvPr id="37" name="Picture 11">
          <a:extLst>
            <a:ext uri="{FF2B5EF4-FFF2-40B4-BE49-F238E27FC236}">
              <a16:creationId xmlns:a16="http://schemas.microsoft.com/office/drawing/2014/main" id="{00000000-0008-0000-1200-000025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0975" y="20716875"/>
          <a:ext cx="1838325" cy="987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81</xdr:row>
          <xdr:rowOff>12700</xdr:rowOff>
        </xdr:from>
        <xdr:to>
          <xdr:col>18</xdr:col>
          <xdr:colOff>869950</xdr:colOff>
          <xdr:row>82</xdr:row>
          <xdr:rowOff>12700</xdr:rowOff>
        </xdr:to>
        <xdr:sp macro="" textlink="">
          <xdr:nvSpPr>
            <xdr:cNvPr id="242699" name="Check Box 11" hidden="1">
              <a:extLst>
                <a:ext uri="{63B3BB69-23CF-44E3-9099-C40C66FF867C}">
                  <a14:compatExt spid="_x0000_s242699"/>
                </a:ext>
                <a:ext uri="{FF2B5EF4-FFF2-40B4-BE49-F238E27FC236}">
                  <a16:creationId xmlns:a16="http://schemas.microsoft.com/office/drawing/2014/main" id="{00000000-0008-0000-1200-00000B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171450</xdr:colOff>
      <xdr:row>83</xdr:row>
      <xdr:rowOff>209550</xdr:rowOff>
    </xdr:from>
    <xdr:to>
      <xdr:col>3</xdr:col>
      <xdr:colOff>495300</xdr:colOff>
      <xdr:row>87</xdr:row>
      <xdr:rowOff>244475</xdr:rowOff>
    </xdr:to>
    <xdr:pic>
      <xdr:nvPicPr>
        <xdr:cNvPr id="40" name="Picture 4" descr="Screen Clipping">
          <a:extLst>
            <a:ext uri="{FF2B5EF4-FFF2-40B4-BE49-F238E27FC236}">
              <a16:creationId xmlns:a16="http://schemas.microsoft.com/office/drawing/2014/main" id="{00000000-0008-0000-1200-000028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171450" y="22564725"/>
          <a:ext cx="1838325"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13</xdr:col>
          <xdr:colOff>69850</xdr:colOff>
          <xdr:row>88</xdr:row>
          <xdr:rowOff>165100</xdr:rowOff>
        </xdr:from>
        <xdr:to>
          <xdr:col>18</xdr:col>
          <xdr:colOff>812800</xdr:colOff>
          <xdr:row>89</xdr:row>
          <xdr:rowOff>260350</xdr:rowOff>
        </xdr:to>
        <xdr:sp macro="" textlink="">
          <xdr:nvSpPr>
            <xdr:cNvPr id="242700" name="Check Box 12" hidden="1">
              <a:extLst>
                <a:ext uri="{63B3BB69-23CF-44E3-9099-C40C66FF867C}">
                  <a14:compatExt spid="_x0000_s242700"/>
                </a:ext>
                <a:ext uri="{FF2B5EF4-FFF2-40B4-BE49-F238E27FC236}">
                  <a16:creationId xmlns:a16="http://schemas.microsoft.com/office/drawing/2014/main" id="{00000000-0008-0000-1200-00000C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200025</xdr:colOff>
      <xdr:row>91</xdr:row>
      <xdr:rowOff>238125</xdr:rowOff>
    </xdr:from>
    <xdr:to>
      <xdr:col>3</xdr:col>
      <xdr:colOff>501650</xdr:colOff>
      <xdr:row>95</xdr:row>
      <xdr:rowOff>244475</xdr:rowOff>
    </xdr:to>
    <xdr:pic>
      <xdr:nvPicPr>
        <xdr:cNvPr id="43" name="Picture 17">
          <a:extLst>
            <a:ext uri="{FF2B5EF4-FFF2-40B4-BE49-F238E27FC236}">
              <a16:creationId xmlns:a16="http://schemas.microsoft.com/office/drawing/2014/main" id="{00000000-0008-0000-1200-00002B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200025" y="24793575"/>
          <a:ext cx="1819275" cy="127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97</xdr:row>
          <xdr:rowOff>12700</xdr:rowOff>
        </xdr:from>
        <xdr:to>
          <xdr:col>18</xdr:col>
          <xdr:colOff>869950</xdr:colOff>
          <xdr:row>98</xdr:row>
          <xdr:rowOff>12700</xdr:rowOff>
        </xdr:to>
        <xdr:sp macro="" textlink="">
          <xdr:nvSpPr>
            <xdr:cNvPr id="242701" name="Check Box 13" hidden="1">
              <a:extLst>
                <a:ext uri="{63B3BB69-23CF-44E3-9099-C40C66FF867C}">
                  <a14:compatExt spid="_x0000_s242701"/>
                </a:ext>
                <a:ext uri="{FF2B5EF4-FFF2-40B4-BE49-F238E27FC236}">
                  <a16:creationId xmlns:a16="http://schemas.microsoft.com/office/drawing/2014/main" id="{00000000-0008-0000-1200-00000D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76247</xdr:colOff>
      <xdr:row>99</xdr:row>
      <xdr:rowOff>380999</xdr:rowOff>
    </xdr:from>
    <xdr:to>
      <xdr:col>3</xdr:col>
      <xdr:colOff>590597</xdr:colOff>
      <xdr:row>103</xdr:row>
      <xdr:rowOff>66674</xdr:rowOff>
    </xdr:to>
    <xdr:pic>
      <xdr:nvPicPr>
        <xdr:cNvPr id="46" name="Picture 12">
          <a:extLst>
            <a:ext uri="{FF2B5EF4-FFF2-40B4-BE49-F238E27FC236}">
              <a16:creationId xmlns:a16="http://schemas.microsoft.com/office/drawing/2014/main" id="{00000000-0008-0000-1200-00002E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19293985">
          <a:off x="76247" y="27136724"/>
          <a:ext cx="202882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106</xdr:row>
          <xdr:rowOff>12700</xdr:rowOff>
        </xdr:from>
        <xdr:to>
          <xdr:col>18</xdr:col>
          <xdr:colOff>869950</xdr:colOff>
          <xdr:row>107</xdr:row>
          <xdr:rowOff>12700</xdr:rowOff>
        </xdr:to>
        <xdr:sp macro="" textlink="">
          <xdr:nvSpPr>
            <xdr:cNvPr id="242702" name="Check Box 14" hidden="1">
              <a:extLst>
                <a:ext uri="{63B3BB69-23CF-44E3-9099-C40C66FF867C}">
                  <a14:compatExt spid="_x0000_s242702"/>
                </a:ext>
                <a:ext uri="{FF2B5EF4-FFF2-40B4-BE49-F238E27FC236}">
                  <a16:creationId xmlns:a16="http://schemas.microsoft.com/office/drawing/2014/main" id="{00000000-0008-0000-1200-00000E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209619</xdr:colOff>
      <xdr:row>108</xdr:row>
      <xdr:rowOff>199053</xdr:rowOff>
    </xdr:from>
    <xdr:to>
      <xdr:col>3</xdr:col>
      <xdr:colOff>285276</xdr:colOff>
      <xdr:row>111</xdr:row>
      <xdr:rowOff>37432</xdr:rowOff>
    </xdr:to>
    <xdr:pic>
      <xdr:nvPicPr>
        <xdr:cNvPr id="48" name="Picture 3">
          <a:extLst>
            <a:ext uri="{FF2B5EF4-FFF2-40B4-BE49-F238E27FC236}">
              <a16:creationId xmlns:a16="http://schemas.microsoft.com/office/drawing/2014/main" id="{00000000-0008-0000-1200-000030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rot="20454313">
          <a:off x="209619" y="29336028"/>
          <a:ext cx="1590132" cy="8099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123929</xdr:colOff>
      <xdr:row>110</xdr:row>
      <xdr:rowOff>238225</xdr:rowOff>
    </xdr:from>
    <xdr:to>
      <xdr:col>3</xdr:col>
      <xdr:colOff>553608</xdr:colOff>
      <xdr:row>113</xdr:row>
      <xdr:rowOff>151165</xdr:rowOff>
    </xdr:to>
    <xdr:pic>
      <xdr:nvPicPr>
        <xdr:cNvPr id="49" name="Picture 2">
          <a:extLst>
            <a:ext uri="{FF2B5EF4-FFF2-40B4-BE49-F238E27FC236}">
              <a16:creationId xmlns:a16="http://schemas.microsoft.com/office/drawing/2014/main" id="{00000000-0008-0000-1200-000031000000}"/>
            </a:ext>
          </a:extLst>
        </xdr:cNvPr>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rot="20116219">
          <a:off x="419204" y="30051475"/>
          <a:ext cx="1648879" cy="7987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125</xdr:row>
          <xdr:rowOff>12700</xdr:rowOff>
        </xdr:from>
        <xdr:to>
          <xdr:col>18</xdr:col>
          <xdr:colOff>869950</xdr:colOff>
          <xdr:row>126</xdr:row>
          <xdr:rowOff>12700</xdr:rowOff>
        </xdr:to>
        <xdr:sp macro="" textlink="">
          <xdr:nvSpPr>
            <xdr:cNvPr id="242703" name="Check Box 15" hidden="1">
              <a:extLst>
                <a:ext uri="{63B3BB69-23CF-44E3-9099-C40C66FF867C}">
                  <a14:compatExt spid="_x0000_s242703"/>
                </a:ext>
                <a:ext uri="{FF2B5EF4-FFF2-40B4-BE49-F238E27FC236}">
                  <a16:creationId xmlns:a16="http://schemas.microsoft.com/office/drawing/2014/main" id="{00000000-0008-0000-1200-00000F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225425</xdr:colOff>
      <xdr:row>127</xdr:row>
      <xdr:rowOff>298451</xdr:rowOff>
    </xdr:from>
    <xdr:to>
      <xdr:col>3</xdr:col>
      <xdr:colOff>555916</xdr:colOff>
      <xdr:row>131</xdr:row>
      <xdr:rowOff>161926</xdr:rowOff>
    </xdr:to>
    <xdr:pic>
      <xdr:nvPicPr>
        <xdr:cNvPr id="52" name="Picture 2">
          <a:extLst>
            <a:ext uri="{FF2B5EF4-FFF2-40B4-BE49-F238E27FC236}">
              <a16:creationId xmlns:a16="http://schemas.microsoft.com/office/drawing/2014/main" id="{00000000-0008-0000-1200-0000340000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25425" y="34772601"/>
          <a:ext cx="1848141" cy="1120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133</xdr:row>
          <xdr:rowOff>12700</xdr:rowOff>
        </xdr:from>
        <xdr:to>
          <xdr:col>18</xdr:col>
          <xdr:colOff>869950</xdr:colOff>
          <xdr:row>134</xdr:row>
          <xdr:rowOff>12700</xdr:rowOff>
        </xdr:to>
        <xdr:sp macro="" textlink="">
          <xdr:nvSpPr>
            <xdr:cNvPr id="242704" name="Check Box 16" hidden="1">
              <a:extLst>
                <a:ext uri="{63B3BB69-23CF-44E3-9099-C40C66FF867C}">
                  <a14:compatExt spid="_x0000_s242704"/>
                </a:ext>
                <a:ext uri="{FF2B5EF4-FFF2-40B4-BE49-F238E27FC236}">
                  <a16:creationId xmlns:a16="http://schemas.microsoft.com/office/drawing/2014/main" id="{00000000-0008-0000-1200-000010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228600</xdr:colOff>
      <xdr:row>135</xdr:row>
      <xdr:rowOff>238125</xdr:rowOff>
    </xdr:from>
    <xdr:to>
      <xdr:col>3</xdr:col>
      <xdr:colOff>533400</xdr:colOff>
      <xdr:row>138</xdr:row>
      <xdr:rowOff>219075</xdr:rowOff>
    </xdr:to>
    <xdr:pic>
      <xdr:nvPicPr>
        <xdr:cNvPr id="55" name="Picture 5">
          <a:extLst>
            <a:ext uri="{FF2B5EF4-FFF2-40B4-BE49-F238E27FC236}">
              <a16:creationId xmlns:a16="http://schemas.microsoft.com/office/drawing/2014/main" id="{00000000-0008-0000-1200-0000370000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28600" y="34137600"/>
          <a:ext cx="1819275" cy="949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141</xdr:row>
          <xdr:rowOff>12700</xdr:rowOff>
        </xdr:from>
        <xdr:to>
          <xdr:col>18</xdr:col>
          <xdr:colOff>869950</xdr:colOff>
          <xdr:row>142</xdr:row>
          <xdr:rowOff>12700</xdr:rowOff>
        </xdr:to>
        <xdr:sp macro="" textlink="">
          <xdr:nvSpPr>
            <xdr:cNvPr id="242705" name="Check Box 17" hidden="1">
              <a:extLst>
                <a:ext uri="{63B3BB69-23CF-44E3-9099-C40C66FF867C}">
                  <a14:compatExt spid="_x0000_s242705"/>
                </a:ext>
                <a:ext uri="{FF2B5EF4-FFF2-40B4-BE49-F238E27FC236}">
                  <a16:creationId xmlns:a16="http://schemas.microsoft.com/office/drawing/2014/main" id="{00000000-0008-0000-1200-000011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190500</xdr:colOff>
      <xdr:row>143</xdr:row>
      <xdr:rowOff>171450</xdr:rowOff>
    </xdr:from>
    <xdr:to>
      <xdr:col>3</xdr:col>
      <xdr:colOff>495300</xdr:colOff>
      <xdr:row>147</xdr:row>
      <xdr:rowOff>171450</xdr:rowOff>
    </xdr:to>
    <xdr:pic>
      <xdr:nvPicPr>
        <xdr:cNvPr id="58" name="Picture 6">
          <a:extLst>
            <a:ext uri="{FF2B5EF4-FFF2-40B4-BE49-F238E27FC236}">
              <a16:creationId xmlns:a16="http://schemas.microsoft.com/office/drawing/2014/main" id="{00000000-0008-0000-1200-00003A000000}"/>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190500" y="36271200"/>
          <a:ext cx="1819275" cy="1266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409575</xdr:colOff>
      <xdr:row>169</xdr:row>
      <xdr:rowOff>76200</xdr:rowOff>
    </xdr:from>
    <xdr:to>
      <xdr:col>3</xdr:col>
      <xdr:colOff>190500</xdr:colOff>
      <xdr:row>172</xdr:row>
      <xdr:rowOff>25400</xdr:rowOff>
    </xdr:to>
    <xdr:pic>
      <xdr:nvPicPr>
        <xdr:cNvPr id="61" name="Picture 1">
          <a:extLst>
            <a:ext uri="{FF2B5EF4-FFF2-40B4-BE49-F238E27FC236}">
              <a16:creationId xmlns:a16="http://schemas.microsoft.com/office/drawing/2014/main" id="{00000000-0008-0000-1200-00003D000000}"/>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704850" y="39052500"/>
          <a:ext cx="1000125" cy="835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167</xdr:row>
      <xdr:rowOff>0</xdr:rowOff>
    </xdr:from>
    <xdr:to>
      <xdr:col>2</xdr:col>
      <xdr:colOff>495300</xdr:colOff>
      <xdr:row>168</xdr:row>
      <xdr:rowOff>257175</xdr:rowOff>
    </xdr:to>
    <xdr:pic>
      <xdr:nvPicPr>
        <xdr:cNvPr id="62" name="Picture 2">
          <a:extLst>
            <a:ext uri="{FF2B5EF4-FFF2-40B4-BE49-F238E27FC236}">
              <a16:creationId xmlns:a16="http://schemas.microsoft.com/office/drawing/2014/main" id="{00000000-0008-0000-1200-00003E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19100" y="38300025"/>
          <a:ext cx="9810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178</xdr:row>
          <xdr:rowOff>12700</xdr:rowOff>
        </xdr:from>
        <xdr:to>
          <xdr:col>18</xdr:col>
          <xdr:colOff>869950</xdr:colOff>
          <xdr:row>179</xdr:row>
          <xdr:rowOff>12700</xdr:rowOff>
        </xdr:to>
        <xdr:sp macro="" textlink="">
          <xdr:nvSpPr>
            <xdr:cNvPr id="242707" name="Check Box 19" hidden="1">
              <a:extLst>
                <a:ext uri="{63B3BB69-23CF-44E3-9099-C40C66FF867C}">
                  <a14:compatExt spid="_x0000_s242707"/>
                </a:ext>
                <a:ext uri="{FF2B5EF4-FFF2-40B4-BE49-F238E27FC236}">
                  <a16:creationId xmlns:a16="http://schemas.microsoft.com/office/drawing/2014/main" id="{00000000-0008-0000-1200-000013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186</xdr:row>
          <xdr:rowOff>12700</xdr:rowOff>
        </xdr:from>
        <xdr:to>
          <xdr:col>18</xdr:col>
          <xdr:colOff>869950</xdr:colOff>
          <xdr:row>187</xdr:row>
          <xdr:rowOff>12700</xdr:rowOff>
        </xdr:to>
        <xdr:sp macro="" textlink="">
          <xdr:nvSpPr>
            <xdr:cNvPr id="242708" name="Check Box 20" hidden="1">
              <a:extLst>
                <a:ext uri="{63B3BB69-23CF-44E3-9099-C40C66FF867C}">
                  <a14:compatExt spid="_x0000_s242708"/>
                </a:ext>
                <a:ext uri="{FF2B5EF4-FFF2-40B4-BE49-F238E27FC236}">
                  <a16:creationId xmlns:a16="http://schemas.microsoft.com/office/drawing/2014/main" id="{00000000-0008-0000-1200-000014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171450</xdr:colOff>
      <xdr:row>180</xdr:row>
      <xdr:rowOff>123825</xdr:rowOff>
    </xdr:from>
    <xdr:to>
      <xdr:col>3</xdr:col>
      <xdr:colOff>465976</xdr:colOff>
      <xdr:row>184</xdr:row>
      <xdr:rowOff>95250</xdr:rowOff>
    </xdr:to>
    <xdr:pic>
      <xdr:nvPicPr>
        <xdr:cNvPr id="67" name="Picture 1">
          <a:extLst>
            <a:ext uri="{FF2B5EF4-FFF2-40B4-BE49-F238E27FC236}">
              <a16:creationId xmlns:a16="http://schemas.microsoft.com/office/drawing/2014/main" id="{00000000-0008-0000-1200-000043000000}"/>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466725" y="42062400"/>
          <a:ext cx="1513726"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171450</xdr:colOff>
      <xdr:row>188</xdr:row>
      <xdr:rowOff>263525</xdr:rowOff>
    </xdr:from>
    <xdr:to>
      <xdr:col>3</xdr:col>
      <xdr:colOff>412420</xdr:colOff>
      <xdr:row>192</xdr:row>
      <xdr:rowOff>206375</xdr:rowOff>
    </xdr:to>
    <xdr:pic>
      <xdr:nvPicPr>
        <xdr:cNvPr id="68" name="Picture 2">
          <a:extLst>
            <a:ext uri="{FF2B5EF4-FFF2-40B4-BE49-F238E27FC236}">
              <a16:creationId xmlns:a16="http://schemas.microsoft.com/office/drawing/2014/main" id="{00000000-0008-0000-1200-000044000000}"/>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66725" y="44402375"/>
          <a:ext cx="1460170" cy="1209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194</xdr:row>
          <xdr:rowOff>12700</xdr:rowOff>
        </xdr:from>
        <xdr:to>
          <xdr:col>18</xdr:col>
          <xdr:colOff>869950</xdr:colOff>
          <xdr:row>195</xdr:row>
          <xdr:rowOff>12700</xdr:rowOff>
        </xdr:to>
        <xdr:sp macro="" textlink="">
          <xdr:nvSpPr>
            <xdr:cNvPr id="242709" name="Check Box 21" hidden="1">
              <a:extLst>
                <a:ext uri="{63B3BB69-23CF-44E3-9099-C40C66FF867C}">
                  <a14:compatExt spid="_x0000_s242709"/>
                </a:ext>
                <a:ext uri="{FF2B5EF4-FFF2-40B4-BE49-F238E27FC236}">
                  <a16:creationId xmlns:a16="http://schemas.microsoft.com/office/drawing/2014/main" id="{00000000-0008-0000-1200-000015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202</xdr:row>
          <xdr:rowOff>12700</xdr:rowOff>
        </xdr:from>
        <xdr:to>
          <xdr:col>18</xdr:col>
          <xdr:colOff>869950</xdr:colOff>
          <xdr:row>203</xdr:row>
          <xdr:rowOff>12700</xdr:rowOff>
        </xdr:to>
        <xdr:sp macro="" textlink="">
          <xdr:nvSpPr>
            <xdr:cNvPr id="242710" name="Check Box 22" hidden="1">
              <a:extLst>
                <a:ext uri="{63B3BB69-23CF-44E3-9099-C40C66FF867C}">
                  <a14:compatExt spid="_x0000_s242710"/>
                </a:ext>
                <a:ext uri="{FF2B5EF4-FFF2-40B4-BE49-F238E27FC236}">
                  <a16:creationId xmlns:a16="http://schemas.microsoft.com/office/drawing/2014/main" id="{00000000-0008-0000-1200-000016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104775</xdr:colOff>
      <xdr:row>196</xdr:row>
      <xdr:rowOff>219075</xdr:rowOff>
    </xdr:from>
    <xdr:to>
      <xdr:col>3</xdr:col>
      <xdr:colOff>342802</xdr:colOff>
      <xdr:row>200</xdr:row>
      <xdr:rowOff>66675</xdr:rowOff>
    </xdr:to>
    <xdr:pic>
      <xdr:nvPicPr>
        <xdr:cNvPr id="73" name="Picture 3">
          <a:extLst>
            <a:ext uri="{FF2B5EF4-FFF2-40B4-BE49-F238E27FC236}">
              <a16:creationId xmlns:a16="http://schemas.microsoft.com/office/drawing/2014/main" id="{00000000-0008-0000-1200-000049000000}"/>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00050" y="46558200"/>
          <a:ext cx="1457227" cy="1111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161925</xdr:colOff>
      <xdr:row>204</xdr:row>
      <xdr:rowOff>209550</xdr:rowOff>
    </xdr:from>
    <xdr:to>
      <xdr:col>3</xdr:col>
      <xdr:colOff>522207</xdr:colOff>
      <xdr:row>208</xdr:row>
      <xdr:rowOff>95250</xdr:rowOff>
    </xdr:to>
    <xdr:pic>
      <xdr:nvPicPr>
        <xdr:cNvPr id="74" name="Picture 5">
          <a:extLst>
            <a:ext uri="{FF2B5EF4-FFF2-40B4-BE49-F238E27FC236}">
              <a16:creationId xmlns:a16="http://schemas.microsoft.com/office/drawing/2014/main" id="{00000000-0008-0000-1200-00004A000000}"/>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161925" y="48748950"/>
          <a:ext cx="1877932"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210</xdr:row>
          <xdr:rowOff>12700</xdr:rowOff>
        </xdr:from>
        <xdr:to>
          <xdr:col>18</xdr:col>
          <xdr:colOff>869950</xdr:colOff>
          <xdr:row>211</xdr:row>
          <xdr:rowOff>12700</xdr:rowOff>
        </xdr:to>
        <xdr:sp macro="" textlink="">
          <xdr:nvSpPr>
            <xdr:cNvPr id="242711" name="Check Box 23" hidden="1">
              <a:extLst>
                <a:ext uri="{63B3BB69-23CF-44E3-9099-C40C66FF867C}">
                  <a14:compatExt spid="_x0000_s242711"/>
                </a:ext>
                <a:ext uri="{FF2B5EF4-FFF2-40B4-BE49-F238E27FC236}">
                  <a16:creationId xmlns:a16="http://schemas.microsoft.com/office/drawing/2014/main" id="{00000000-0008-0000-1200-000017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218</xdr:row>
          <xdr:rowOff>12700</xdr:rowOff>
        </xdr:from>
        <xdr:to>
          <xdr:col>18</xdr:col>
          <xdr:colOff>869950</xdr:colOff>
          <xdr:row>219</xdr:row>
          <xdr:rowOff>12700</xdr:rowOff>
        </xdr:to>
        <xdr:sp macro="" textlink="">
          <xdr:nvSpPr>
            <xdr:cNvPr id="242712" name="Check Box 24" hidden="1">
              <a:extLst>
                <a:ext uri="{63B3BB69-23CF-44E3-9099-C40C66FF867C}">
                  <a14:compatExt spid="_x0000_s242712"/>
                </a:ext>
                <a:ext uri="{FF2B5EF4-FFF2-40B4-BE49-F238E27FC236}">
                  <a16:creationId xmlns:a16="http://schemas.microsoft.com/office/drawing/2014/main" id="{00000000-0008-0000-1200-000018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161925</xdr:colOff>
      <xdr:row>212</xdr:row>
      <xdr:rowOff>352425</xdr:rowOff>
    </xdr:from>
    <xdr:to>
      <xdr:col>3</xdr:col>
      <xdr:colOff>572407</xdr:colOff>
      <xdr:row>215</xdr:row>
      <xdr:rowOff>96157</xdr:rowOff>
    </xdr:to>
    <xdr:pic>
      <xdr:nvPicPr>
        <xdr:cNvPr id="79" name="Picture 6">
          <a:extLst>
            <a:ext uri="{FF2B5EF4-FFF2-40B4-BE49-F238E27FC236}">
              <a16:creationId xmlns:a16="http://schemas.microsoft.com/office/drawing/2014/main" id="{00000000-0008-0000-1200-00004F000000}"/>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rot="19840171">
          <a:off x="161925" y="51092100"/>
          <a:ext cx="1924957" cy="7152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120650</xdr:colOff>
      <xdr:row>219</xdr:row>
      <xdr:rowOff>139700</xdr:rowOff>
    </xdr:from>
    <xdr:to>
      <xdr:col>3</xdr:col>
      <xdr:colOff>152854</xdr:colOff>
      <xdr:row>225</xdr:row>
      <xdr:rowOff>168728</xdr:rowOff>
    </xdr:to>
    <xdr:pic>
      <xdr:nvPicPr>
        <xdr:cNvPr id="80" name="Picture 7">
          <a:extLst>
            <a:ext uri="{FF2B5EF4-FFF2-40B4-BE49-F238E27FC236}">
              <a16:creationId xmlns:a16="http://schemas.microsoft.com/office/drawing/2014/main" id="{00000000-0008-0000-1200-000050000000}"/>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415925" y="52898675"/>
          <a:ext cx="1251404" cy="17721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227</xdr:row>
          <xdr:rowOff>12700</xdr:rowOff>
        </xdr:from>
        <xdr:to>
          <xdr:col>18</xdr:col>
          <xdr:colOff>869950</xdr:colOff>
          <xdr:row>228</xdr:row>
          <xdr:rowOff>12700</xdr:rowOff>
        </xdr:to>
        <xdr:sp macro="" textlink="">
          <xdr:nvSpPr>
            <xdr:cNvPr id="242713" name="Check Box 25" hidden="1">
              <a:extLst>
                <a:ext uri="{63B3BB69-23CF-44E3-9099-C40C66FF867C}">
                  <a14:compatExt spid="_x0000_s242713"/>
                </a:ext>
                <a:ext uri="{FF2B5EF4-FFF2-40B4-BE49-F238E27FC236}">
                  <a16:creationId xmlns:a16="http://schemas.microsoft.com/office/drawing/2014/main" id="{00000000-0008-0000-1200-000019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235</xdr:row>
          <xdr:rowOff>12700</xdr:rowOff>
        </xdr:from>
        <xdr:to>
          <xdr:col>18</xdr:col>
          <xdr:colOff>869950</xdr:colOff>
          <xdr:row>236</xdr:row>
          <xdr:rowOff>12700</xdr:rowOff>
        </xdr:to>
        <xdr:sp macro="" textlink="">
          <xdr:nvSpPr>
            <xdr:cNvPr id="242714" name="Check Box 26" hidden="1">
              <a:extLst>
                <a:ext uri="{63B3BB69-23CF-44E3-9099-C40C66FF867C}">
                  <a14:compatExt spid="_x0000_s242714"/>
                </a:ext>
                <a:ext uri="{FF2B5EF4-FFF2-40B4-BE49-F238E27FC236}">
                  <a16:creationId xmlns:a16="http://schemas.microsoft.com/office/drawing/2014/main" id="{00000000-0008-0000-1200-00001A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38100</xdr:colOff>
      <xdr:row>229</xdr:row>
      <xdr:rowOff>190500</xdr:rowOff>
    </xdr:from>
    <xdr:to>
      <xdr:col>3</xdr:col>
      <xdr:colOff>354089</xdr:colOff>
      <xdr:row>233</xdr:row>
      <xdr:rowOff>82550</xdr:rowOff>
    </xdr:to>
    <xdr:pic>
      <xdr:nvPicPr>
        <xdr:cNvPr id="85" name="Picture 8">
          <a:extLst>
            <a:ext uri="{FF2B5EF4-FFF2-40B4-BE49-F238E27FC236}">
              <a16:creationId xmlns:a16="http://schemas.microsoft.com/office/drawing/2014/main" id="{00000000-0008-0000-1200-000055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33375" y="55502175"/>
          <a:ext cx="1535189" cy="1158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237</xdr:row>
      <xdr:rowOff>114300</xdr:rowOff>
    </xdr:from>
    <xdr:to>
      <xdr:col>3</xdr:col>
      <xdr:colOff>315989</xdr:colOff>
      <xdr:row>241</xdr:row>
      <xdr:rowOff>9525</xdr:rowOff>
    </xdr:to>
    <xdr:pic>
      <xdr:nvPicPr>
        <xdr:cNvPr id="86" name="Picture 8">
          <a:extLst>
            <a:ext uri="{FF2B5EF4-FFF2-40B4-BE49-F238E27FC236}">
              <a16:creationId xmlns:a16="http://schemas.microsoft.com/office/drawing/2014/main" id="{00000000-0008-0000-1200-000056000000}"/>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295275" y="57626250"/>
          <a:ext cx="1535189" cy="1162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243</xdr:row>
          <xdr:rowOff>12700</xdr:rowOff>
        </xdr:from>
        <xdr:to>
          <xdr:col>18</xdr:col>
          <xdr:colOff>869950</xdr:colOff>
          <xdr:row>244</xdr:row>
          <xdr:rowOff>12700</xdr:rowOff>
        </xdr:to>
        <xdr:sp macro="" textlink="">
          <xdr:nvSpPr>
            <xdr:cNvPr id="242715" name="Check Box 27" hidden="1">
              <a:extLst>
                <a:ext uri="{63B3BB69-23CF-44E3-9099-C40C66FF867C}">
                  <a14:compatExt spid="_x0000_s242715"/>
                </a:ext>
                <a:ext uri="{FF2B5EF4-FFF2-40B4-BE49-F238E27FC236}">
                  <a16:creationId xmlns:a16="http://schemas.microsoft.com/office/drawing/2014/main" id="{00000000-0008-0000-1200-00001B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251</xdr:row>
          <xdr:rowOff>12700</xdr:rowOff>
        </xdr:from>
        <xdr:to>
          <xdr:col>18</xdr:col>
          <xdr:colOff>869950</xdr:colOff>
          <xdr:row>252</xdr:row>
          <xdr:rowOff>12700</xdr:rowOff>
        </xdr:to>
        <xdr:sp macro="" textlink="">
          <xdr:nvSpPr>
            <xdr:cNvPr id="242716" name="Check Box 28" hidden="1">
              <a:extLst>
                <a:ext uri="{63B3BB69-23CF-44E3-9099-C40C66FF867C}">
                  <a14:compatExt spid="_x0000_s242716"/>
                </a:ext>
                <a:ext uri="{FF2B5EF4-FFF2-40B4-BE49-F238E27FC236}">
                  <a16:creationId xmlns:a16="http://schemas.microsoft.com/office/drawing/2014/main" id="{00000000-0008-0000-1200-00001C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38100</xdr:colOff>
      <xdr:row>246</xdr:row>
      <xdr:rowOff>28575</xdr:rowOff>
    </xdr:from>
    <xdr:to>
      <xdr:col>3</xdr:col>
      <xdr:colOff>446353</xdr:colOff>
      <xdr:row>248</xdr:row>
      <xdr:rowOff>273050</xdr:rowOff>
    </xdr:to>
    <xdr:pic>
      <xdr:nvPicPr>
        <xdr:cNvPr id="91" name="Picture 11">
          <a:extLst>
            <a:ext uri="{FF2B5EF4-FFF2-40B4-BE49-F238E27FC236}">
              <a16:creationId xmlns:a16="http://schemas.microsoft.com/office/drawing/2014/main" id="{00000000-0008-0000-1200-00005B000000}"/>
            </a:ext>
          </a:extLst>
        </xdr:cNvPr>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333375" y="59940825"/>
          <a:ext cx="1630628"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285750</xdr:colOff>
      <xdr:row>253</xdr:row>
      <xdr:rowOff>180975</xdr:rowOff>
    </xdr:from>
    <xdr:to>
      <xdr:col>3</xdr:col>
      <xdr:colOff>333829</xdr:colOff>
      <xdr:row>258</xdr:row>
      <xdr:rowOff>9525</xdr:rowOff>
    </xdr:to>
    <xdr:pic>
      <xdr:nvPicPr>
        <xdr:cNvPr id="92" name="Picture 10">
          <a:extLst>
            <a:ext uri="{FF2B5EF4-FFF2-40B4-BE49-F238E27FC236}">
              <a16:creationId xmlns:a16="http://schemas.microsoft.com/office/drawing/2014/main" id="{00000000-0008-0000-1200-00005C00000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285750" y="61912500"/>
          <a:ext cx="1559379" cy="1387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259</xdr:row>
          <xdr:rowOff>12700</xdr:rowOff>
        </xdr:from>
        <xdr:to>
          <xdr:col>18</xdr:col>
          <xdr:colOff>869950</xdr:colOff>
          <xdr:row>260</xdr:row>
          <xdr:rowOff>12700</xdr:rowOff>
        </xdr:to>
        <xdr:sp macro="" textlink="">
          <xdr:nvSpPr>
            <xdr:cNvPr id="242717" name="Check Box 29" hidden="1">
              <a:extLst>
                <a:ext uri="{63B3BB69-23CF-44E3-9099-C40C66FF867C}">
                  <a14:compatExt spid="_x0000_s242717"/>
                </a:ext>
                <a:ext uri="{FF2B5EF4-FFF2-40B4-BE49-F238E27FC236}">
                  <a16:creationId xmlns:a16="http://schemas.microsoft.com/office/drawing/2014/main" id="{00000000-0008-0000-1200-00001D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267</xdr:row>
          <xdr:rowOff>12700</xdr:rowOff>
        </xdr:from>
        <xdr:to>
          <xdr:col>18</xdr:col>
          <xdr:colOff>869950</xdr:colOff>
          <xdr:row>268</xdr:row>
          <xdr:rowOff>12700</xdr:rowOff>
        </xdr:to>
        <xdr:sp macro="" textlink="">
          <xdr:nvSpPr>
            <xdr:cNvPr id="242718" name="Check Box 30" hidden="1">
              <a:extLst>
                <a:ext uri="{63B3BB69-23CF-44E3-9099-C40C66FF867C}">
                  <a14:compatExt spid="_x0000_s242718"/>
                </a:ext>
                <a:ext uri="{FF2B5EF4-FFF2-40B4-BE49-F238E27FC236}">
                  <a16:creationId xmlns:a16="http://schemas.microsoft.com/office/drawing/2014/main" id="{00000000-0008-0000-1200-00001E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263525</xdr:colOff>
      <xdr:row>261</xdr:row>
      <xdr:rowOff>95250</xdr:rowOff>
    </xdr:from>
    <xdr:to>
      <xdr:col>3</xdr:col>
      <xdr:colOff>235404</xdr:colOff>
      <xdr:row>266</xdr:row>
      <xdr:rowOff>25854</xdr:rowOff>
    </xdr:to>
    <xdr:pic>
      <xdr:nvPicPr>
        <xdr:cNvPr id="97" name="Picture 12">
          <a:extLst>
            <a:ext uri="{FF2B5EF4-FFF2-40B4-BE49-F238E27FC236}">
              <a16:creationId xmlns:a16="http://schemas.microsoft.com/office/drawing/2014/main" id="{00000000-0008-0000-1200-000061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58800" y="64027050"/>
          <a:ext cx="1191079" cy="1492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257175</xdr:colOff>
      <xdr:row>269</xdr:row>
      <xdr:rowOff>152400</xdr:rowOff>
    </xdr:from>
    <xdr:to>
      <xdr:col>3</xdr:col>
      <xdr:colOff>225879</xdr:colOff>
      <xdr:row>274</xdr:row>
      <xdr:rowOff>83004</xdr:rowOff>
    </xdr:to>
    <xdr:pic>
      <xdr:nvPicPr>
        <xdr:cNvPr id="98" name="Picture 12">
          <a:extLst>
            <a:ext uri="{FF2B5EF4-FFF2-40B4-BE49-F238E27FC236}">
              <a16:creationId xmlns:a16="http://schemas.microsoft.com/office/drawing/2014/main" id="{00000000-0008-0000-1200-000062000000}"/>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552450" y="66284475"/>
          <a:ext cx="1187904" cy="14927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276</xdr:row>
          <xdr:rowOff>12700</xdr:rowOff>
        </xdr:from>
        <xdr:to>
          <xdr:col>18</xdr:col>
          <xdr:colOff>869950</xdr:colOff>
          <xdr:row>277</xdr:row>
          <xdr:rowOff>12700</xdr:rowOff>
        </xdr:to>
        <xdr:sp macro="" textlink="">
          <xdr:nvSpPr>
            <xdr:cNvPr id="242719" name="Check Box 31" hidden="1">
              <a:extLst>
                <a:ext uri="{63B3BB69-23CF-44E3-9099-C40C66FF867C}">
                  <a14:compatExt spid="_x0000_s242719"/>
                </a:ext>
                <a:ext uri="{FF2B5EF4-FFF2-40B4-BE49-F238E27FC236}">
                  <a16:creationId xmlns:a16="http://schemas.microsoft.com/office/drawing/2014/main" id="{00000000-0008-0000-1200-00001F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284</xdr:row>
          <xdr:rowOff>12700</xdr:rowOff>
        </xdr:from>
        <xdr:to>
          <xdr:col>18</xdr:col>
          <xdr:colOff>869950</xdr:colOff>
          <xdr:row>285</xdr:row>
          <xdr:rowOff>12700</xdr:rowOff>
        </xdr:to>
        <xdr:sp macro="" textlink="">
          <xdr:nvSpPr>
            <xdr:cNvPr id="242720" name="Check Box 32" hidden="1">
              <a:extLst>
                <a:ext uri="{63B3BB69-23CF-44E3-9099-C40C66FF867C}">
                  <a14:compatExt spid="_x0000_s242720"/>
                </a:ext>
                <a:ext uri="{FF2B5EF4-FFF2-40B4-BE49-F238E27FC236}">
                  <a16:creationId xmlns:a16="http://schemas.microsoft.com/office/drawing/2014/main" id="{00000000-0008-0000-1200-000020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85725</xdr:colOff>
      <xdr:row>278</xdr:row>
      <xdr:rowOff>180975</xdr:rowOff>
    </xdr:from>
    <xdr:to>
      <xdr:col>3</xdr:col>
      <xdr:colOff>389061</xdr:colOff>
      <xdr:row>282</xdr:row>
      <xdr:rowOff>219075</xdr:rowOff>
    </xdr:to>
    <xdr:pic>
      <xdr:nvPicPr>
        <xdr:cNvPr id="103" name="Picture 14">
          <a:extLst>
            <a:ext uri="{FF2B5EF4-FFF2-40B4-BE49-F238E27FC236}">
              <a16:creationId xmlns:a16="http://schemas.microsoft.com/office/drawing/2014/main" id="{00000000-0008-0000-1200-000067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381000" y="68694300"/>
          <a:ext cx="1525711" cy="130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123825</xdr:colOff>
      <xdr:row>286</xdr:row>
      <xdr:rowOff>247650</xdr:rowOff>
    </xdr:from>
    <xdr:to>
      <xdr:col>3</xdr:col>
      <xdr:colOff>352217</xdr:colOff>
      <xdr:row>290</xdr:row>
      <xdr:rowOff>215900</xdr:rowOff>
    </xdr:to>
    <xdr:pic>
      <xdr:nvPicPr>
        <xdr:cNvPr id="104" name="Picture 14">
          <a:extLst>
            <a:ext uri="{FF2B5EF4-FFF2-40B4-BE49-F238E27FC236}">
              <a16:creationId xmlns:a16="http://schemas.microsoft.com/office/drawing/2014/main" id="{00000000-0008-0000-1200-000068000000}"/>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9100" y="70961250"/>
          <a:ext cx="1450767"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292</xdr:row>
          <xdr:rowOff>12700</xdr:rowOff>
        </xdr:from>
        <xdr:to>
          <xdr:col>18</xdr:col>
          <xdr:colOff>869950</xdr:colOff>
          <xdr:row>293</xdr:row>
          <xdr:rowOff>12700</xdr:rowOff>
        </xdr:to>
        <xdr:sp macro="" textlink="">
          <xdr:nvSpPr>
            <xdr:cNvPr id="242721" name="Check Box 33" hidden="1">
              <a:extLst>
                <a:ext uri="{63B3BB69-23CF-44E3-9099-C40C66FF867C}">
                  <a14:compatExt spid="_x0000_s242721"/>
                </a:ext>
                <a:ext uri="{FF2B5EF4-FFF2-40B4-BE49-F238E27FC236}">
                  <a16:creationId xmlns:a16="http://schemas.microsoft.com/office/drawing/2014/main" id="{00000000-0008-0000-1200-000021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300</xdr:row>
          <xdr:rowOff>12700</xdr:rowOff>
        </xdr:from>
        <xdr:to>
          <xdr:col>18</xdr:col>
          <xdr:colOff>869950</xdr:colOff>
          <xdr:row>301</xdr:row>
          <xdr:rowOff>12700</xdr:rowOff>
        </xdr:to>
        <xdr:sp macro="" textlink="">
          <xdr:nvSpPr>
            <xdr:cNvPr id="242722" name="Check Box 34" hidden="1">
              <a:extLst>
                <a:ext uri="{63B3BB69-23CF-44E3-9099-C40C66FF867C}">
                  <a14:compatExt spid="_x0000_s242722"/>
                </a:ext>
                <a:ext uri="{FF2B5EF4-FFF2-40B4-BE49-F238E27FC236}">
                  <a16:creationId xmlns:a16="http://schemas.microsoft.com/office/drawing/2014/main" id="{00000000-0008-0000-1200-000022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0</xdr:colOff>
      <xdr:row>294</xdr:row>
      <xdr:rowOff>19050</xdr:rowOff>
    </xdr:from>
    <xdr:to>
      <xdr:col>3</xdr:col>
      <xdr:colOff>340179</xdr:colOff>
      <xdr:row>298</xdr:row>
      <xdr:rowOff>48986</xdr:rowOff>
    </xdr:to>
    <xdr:pic>
      <xdr:nvPicPr>
        <xdr:cNvPr id="109" name="Picture 16">
          <a:extLst>
            <a:ext uri="{FF2B5EF4-FFF2-40B4-BE49-F238E27FC236}">
              <a16:creationId xmlns:a16="http://schemas.microsoft.com/office/drawing/2014/main" id="{00000000-0008-0000-1200-00006D000000}"/>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295275" y="72932925"/>
          <a:ext cx="1559379" cy="12967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295730</xdr:colOff>
      <xdr:row>301</xdr:row>
      <xdr:rowOff>160564</xdr:rowOff>
    </xdr:from>
    <xdr:to>
      <xdr:col>2</xdr:col>
      <xdr:colOff>534016</xdr:colOff>
      <xdr:row>307</xdr:row>
      <xdr:rowOff>66675</xdr:rowOff>
    </xdr:to>
    <xdr:pic>
      <xdr:nvPicPr>
        <xdr:cNvPr id="110" name="Picture 22">
          <a:extLst>
            <a:ext uri="{FF2B5EF4-FFF2-40B4-BE49-F238E27FC236}">
              <a16:creationId xmlns:a16="http://schemas.microsoft.com/office/drawing/2014/main" id="{00000000-0008-0000-1200-00006E00000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a:fillRect/>
        </a:stretch>
      </xdr:blipFill>
      <xdr:spPr bwMode="auto">
        <a:xfrm>
          <a:off x="591005" y="75093739"/>
          <a:ext cx="847886" cy="1649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309</xdr:row>
          <xdr:rowOff>12700</xdr:rowOff>
        </xdr:from>
        <xdr:to>
          <xdr:col>18</xdr:col>
          <xdr:colOff>869950</xdr:colOff>
          <xdr:row>310</xdr:row>
          <xdr:rowOff>12700</xdr:rowOff>
        </xdr:to>
        <xdr:sp macro="" textlink="">
          <xdr:nvSpPr>
            <xdr:cNvPr id="242723" name="Check Box 35" hidden="1">
              <a:extLst>
                <a:ext uri="{63B3BB69-23CF-44E3-9099-C40C66FF867C}">
                  <a14:compatExt spid="_x0000_s242723"/>
                </a:ext>
                <a:ext uri="{FF2B5EF4-FFF2-40B4-BE49-F238E27FC236}">
                  <a16:creationId xmlns:a16="http://schemas.microsoft.com/office/drawing/2014/main" id="{00000000-0008-0000-1200-000023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317</xdr:row>
          <xdr:rowOff>12700</xdr:rowOff>
        </xdr:from>
        <xdr:to>
          <xdr:col>18</xdr:col>
          <xdr:colOff>869950</xdr:colOff>
          <xdr:row>318</xdr:row>
          <xdr:rowOff>12700</xdr:rowOff>
        </xdr:to>
        <xdr:sp macro="" textlink="">
          <xdr:nvSpPr>
            <xdr:cNvPr id="242724" name="Check Box 36" hidden="1">
              <a:extLst>
                <a:ext uri="{63B3BB69-23CF-44E3-9099-C40C66FF867C}">
                  <a14:compatExt spid="_x0000_s242724"/>
                </a:ext>
                <a:ext uri="{FF2B5EF4-FFF2-40B4-BE49-F238E27FC236}">
                  <a16:creationId xmlns:a16="http://schemas.microsoft.com/office/drawing/2014/main" id="{00000000-0008-0000-1200-000024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428625</xdr:colOff>
      <xdr:row>311</xdr:row>
      <xdr:rowOff>133350</xdr:rowOff>
    </xdr:from>
    <xdr:to>
      <xdr:col>3</xdr:col>
      <xdr:colOff>66675</xdr:colOff>
      <xdr:row>315</xdr:row>
      <xdr:rowOff>198211</xdr:rowOff>
    </xdr:to>
    <xdr:pic>
      <xdr:nvPicPr>
        <xdr:cNvPr id="115" name="Picture 18">
          <a:extLst>
            <a:ext uri="{FF2B5EF4-FFF2-40B4-BE49-F238E27FC236}">
              <a16:creationId xmlns:a16="http://schemas.microsoft.com/office/drawing/2014/main" id="{00000000-0008-0000-1200-000073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23900" y="77628750"/>
          <a:ext cx="854075" cy="133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419100</xdr:colOff>
      <xdr:row>319</xdr:row>
      <xdr:rowOff>238125</xdr:rowOff>
    </xdr:from>
    <xdr:to>
      <xdr:col>3</xdr:col>
      <xdr:colOff>44450</xdr:colOff>
      <xdr:row>324</xdr:row>
      <xdr:rowOff>7711</xdr:rowOff>
    </xdr:to>
    <xdr:pic>
      <xdr:nvPicPr>
        <xdr:cNvPr id="116" name="Picture 18">
          <a:extLst>
            <a:ext uri="{FF2B5EF4-FFF2-40B4-BE49-F238E27FC236}">
              <a16:creationId xmlns:a16="http://schemas.microsoft.com/office/drawing/2014/main" id="{00000000-0008-0000-1200-000074000000}"/>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a:fillRect/>
        </a:stretch>
      </xdr:blipFill>
      <xdr:spPr bwMode="auto">
        <a:xfrm>
          <a:off x="714375" y="79933800"/>
          <a:ext cx="847725" cy="133486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325</xdr:row>
          <xdr:rowOff>12700</xdr:rowOff>
        </xdr:from>
        <xdr:to>
          <xdr:col>18</xdr:col>
          <xdr:colOff>869950</xdr:colOff>
          <xdr:row>326</xdr:row>
          <xdr:rowOff>12700</xdr:rowOff>
        </xdr:to>
        <xdr:sp macro="" textlink="">
          <xdr:nvSpPr>
            <xdr:cNvPr id="242725" name="Check Box 37" hidden="1">
              <a:extLst>
                <a:ext uri="{63B3BB69-23CF-44E3-9099-C40C66FF867C}">
                  <a14:compatExt spid="_x0000_s242725"/>
                </a:ext>
                <a:ext uri="{FF2B5EF4-FFF2-40B4-BE49-F238E27FC236}">
                  <a16:creationId xmlns:a16="http://schemas.microsoft.com/office/drawing/2014/main" id="{00000000-0008-0000-1200-000025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333</xdr:row>
          <xdr:rowOff>12700</xdr:rowOff>
        </xdr:from>
        <xdr:to>
          <xdr:col>18</xdr:col>
          <xdr:colOff>869950</xdr:colOff>
          <xdr:row>334</xdr:row>
          <xdr:rowOff>12700</xdr:rowOff>
        </xdr:to>
        <xdr:sp macro="" textlink="">
          <xdr:nvSpPr>
            <xdr:cNvPr id="242726" name="Check Box 38" hidden="1">
              <a:extLst>
                <a:ext uri="{63B3BB69-23CF-44E3-9099-C40C66FF867C}">
                  <a14:compatExt spid="_x0000_s242726"/>
                </a:ext>
                <a:ext uri="{FF2B5EF4-FFF2-40B4-BE49-F238E27FC236}">
                  <a16:creationId xmlns:a16="http://schemas.microsoft.com/office/drawing/2014/main" id="{00000000-0008-0000-1200-000026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47625</xdr:colOff>
      <xdr:row>327</xdr:row>
      <xdr:rowOff>152400</xdr:rowOff>
    </xdr:from>
    <xdr:to>
      <xdr:col>3</xdr:col>
      <xdr:colOff>425904</xdr:colOff>
      <xdr:row>331</xdr:row>
      <xdr:rowOff>78921</xdr:rowOff>
    </xdr:to>
    <xdr:pic>
      <xdr:nvPicPr>
        <xdr:cNvPr id="121" name="Picture 23">
          <a:extLst>
            <a:ext uri="{FF2B5EF4-FFF2-40B4-BE49-F238E27FC236}">
              <a16:creationId xmlns:a16="http://schemas.microsoft.com/office/drawing/2014/main" id="{00000000-0008-0000-1200-000079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42900" y="82048350"/>
          <a:ext cx="1597479" cy="119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9525</xdr:colOff>
      <xdr:row>335</xdr:row>
      <xdr:rowOff>190500</xdr:rowOff>
    </xdr:from>
    <xdr:to>
      <xdr:col>3</xdr:col>
      <xdr:colOff>387804</xdr:colOff>
      <xdr:row>339</xdr:row>
      <xdr:rowOff>117021</xdr:rowOff>
    </xdr:to>
    <xdr:pic>
      <xdr:nvPicPr>
        <xdr:cNvPr id="122" name="Picture 23">
          <a:extLst>
            <a:ext uri="{FF2B5EF4-FFF2-40B4-BE49-F238E27FC236}">
              <a16:creationId xmlns:a16="http://schemas.microsoft.com/office/drawing/2014/main" id="{00000000-0008-0000-1200-00007A000000}"/>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a:stretch>
          <a:fillRect/>
        </a:stretch>
      </xdr:blipFill>
      <xdr:spPr bwMode="auto">
        <a:xfrm>
          <a:off x="304800" y="84286725"/>
          <a:ext cx="1597479" cy="11933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341</xdr:row>
          <xdr:rowOff>12700</xdr:rowOff>
        </xdr:from>
        <xdr:to>
          <xdr:col>18</xdr:col>
          <xdr:colOff>869950</xdr:colOff>
          <xdr:row>342</xdr:row>
          <xdr:rowOff>12700</xdr:rowOff>
        </xdr:to>
        <xdr:sp macro="" textlink="">
          <xdr:nvSpPr>
            <xdr:cNvPr id="242727" name="Check Box 39" hidden="1">
              <a:extLst>
                <a:ext uri="{63B3BB69-23CF-44E3-9099-C40C66FF867C}">
                  <a14:compatExt spid="_x0000_s242727"/>
                </a:ext>
                <a:ext uri="{FF2B5EF4-FFF2-40B4-BE49-F238E27FC236}">
                  <a16:creationId xmlns:a16="http://schemas.microsoft.com/office/drawing/2014/main" id="{00000000-0008-0000-1200-000027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mc:AlternateContent xmlns:mc="http://schemas.openxmlformats.org/markup-compatibility/2006">
    <mc:Choice xmlns:a14="http://schemas.microsoft.com/office/drawing/2010/main" Requires="a14">
      <xdr:twoCellAnchor>
        <xdr:from>
          <xdr:col>14</xdr:col>
          <xdr:colOff>19050</xdr:colOff>
          <xdr:row>349</xdr:row>
          <xdr:rowOff>12700</xdr:rowOff>
        </xdr:from>
        <xdr:to>
          <xdr:col>18</xdr:col>
          <xdr:colOff>869950</xdr:colOff>
          <xdr:row>350</xdr:row>
          <xdr:rowOff>12700</xdr:rowOff>
        </xdr:to>
        <xdr:sp macro="" textlink="">
          <xdr:nvSpPr>
            <xdr:cNvPr id="242728" name="Check Box 40" hidden="1">
              <a:extLst>
                <a:ext uri="{63B3BB69-23CF-44E3-9099-C40C66FF867C}">
                  <a14:compatExt spid="_x0000_s242728"/>
                </a:ext>
                <a:ext uri="{FF2B5EF4-FFF2-40B4-BE49-F238E27FC236}">
                  <a16:creationId xmlns:a16="http://schemas.microsoft.com/office/drawing/2014/main" id="{00000000-0008-0000-1200-000028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ENERGY STAR  listed</a:t>
              </a:r>
            </a:p>
          </xdr:txBody>
        </xdr:sp>
        <xdr:clientData/>
      </xdr:twoCellAnchor>
    </mc:Choice>
    <mc:Fallback/>
  </mc:AlternateContent>
  <xdr:twoCellAnchor>
    <xdr:from>
      <xdr:col>1</xdr:col>
      <xdr:colOff>0</xdr:colOff>
      <xdr:row>343</xdr:row>
      <xdr:rowOff>1</xdr:rowOff>
    </xdr:from>
    <xdr:to>
      <xdr:col>3</xdr:col>
      <xdr:colOff>238579</xdr:colOff>
      <xdr:row>348</xdr:row>
      <xdr:rowOff>57151</xdr:rowOff>
    </xdr:to>
    <xdr:pic>
      <xdr:nvPicPr>
        <xdr:cNvPr id="127" name="Picture 69" descr="Image result for vapor tight fixture">
          <a:extLst>
            <a:ext uri="{FF2B5EF4-FFF2-40B4-BE49-F238E27FC236}">
              <a16:creationId xmlns:a16="http://schemas.microsoft.com/office/drawing/2014/main" id="{00000000-0008-0000-1200-00007F000000}"/>
            </a:ext>
          </a:extLst>
        </xdr:cNvPr>
        <xdr:cNvPicPr>
          <a:picLocks noChangeAspect="1" noChangeArrowheads="1"/>
        </xdr:cNvPicPr>
      </xdr:nvPicPr>
      <xdr:blipFill>
        <a:blip xmlns:r="http://schemas.openxmlformats.org/officeDocument/2006/relationships" r:embed="rId33" cstate="print">
          <a:extLst>
            <a:ext uri="{28A0092B-C50C-407E-A947-70E740481C1C}">
              <a14:useLocalDpi xmlns:a14="http://schemas.microsoft.com/office/drawing/2010/main" val="0"/>
            </a:ext>
          </a:extLst>
        </a:blip>
        <a:srcRect/>
        <a:stretch>
          <a:fillRect/>
        </a:stretch>
      </xdr:blipFill>
      <xdr:spPr bwMode="auto">
        <a:xfrm>
          <a:off x="295275" y="86296501"/>
          <a:ext cx="1454604" cy="1619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498929</xdr:colOff>
      <xdr:row>354</xdr:row>
      <xdr:rowOff>92075</xdr:rowOff>
    </xdr:from>
    <xdr:to>
      <xdr:col>3</xdr:col>
      <xdr:colOff>295729</xdr:colOff>
      <xdr:row>358</xdr:row>
      <xdr:rowOff>68036</xdr:rowOff>
    </xdr:to>
    <xdr:pic>
      <xdr:nvPicPr>
        <xdr:cNvPr id="128" name="Picture 1">
          <a:extLst>
            <a:ext uri="{FF2B5EF4-FFF2-40B4-BE49-F238E27FC236}">
              <a16:creationId xmlns:a16="http://schemas.microsoft.com/office/drawing/2014/main" id="{00000000-0008-0000-1200-000080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rcRect/>
        <a:stretch>
          <a:fillRect/>
        </a:stretch>
      </xdr:blipFill>
      <xdr:spPr bwMode="auto">
        <a:xfrm>
          <a:off x="1403804" y="89560400"/>
          <a:ext cx="406400" cy="93163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0</xdr:colOff>
      <xdr:row>351</xdr:row>
      <xdr:rowOff>337911</xdr:rowOff>
    </xdr:from>
    <xdr:to>
      <xdr:col>2</xdr:col>
      <xdr:colOff>587829</xdr:colOff>
      <xdr:row>354</xdr:row>
      <xdr:rowOff>76200</xdr:rowOff>
    </xdr:to>
    <xdr:pic>
      <xdr:nvPicPr>
        <xdr:cNvPr id="129" name="Picture 1" descr="Screen Clipping">
          <a:extLst>
            <a:ext uri="{FF2B5EF4-FFF2-40B4-BE49-F238E27FC236}">
              <a16:creationId xmlns:a16="http://schemas.microsoft.com/office/drawing/2014/main" id="{00000000-0008-0000-1200-000081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rcRect/>
        <a:stretch>
          <a:fillRect/>
        </a:stretch>
      </xdr:blipFill>
      <xdr:spPr bwMode="auto">
        <a:xfrm>
          <a:off x="295275" y="88834686"/>
          <a:ext cx="1197429" cy="71301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19050</xdr:colOff>
          <xdr:row>116</xdr:row>
          <xdr:rowOff>12700</xdr:rowOff>
        </xdr:from>
        <xdr:to>
          <xdr:col>18</xdr:col>
          <xdr:colOff>869950</xdr:colOff>
          <xdr:row>117</xdr:row>
          <xdr:rowOff>12700</xdr:rowOff>
        </xdr:to>
        <xdr:sp macro="" textlink="">
          <xdr:nvSpPr>
            <xdr:cNvPr id="242732" name="Check Box 44" hidden="1">
              <a:extLst>
                <a:ext uri="{63B3BB69-23CF-44E3-9099-C40C66FF867C}">
                  <a14:compatExt spid="_x0000_s242732"/>
                </a:ext>
                <a:ext uri="{FF2B5EF4-FFF2-40B4-BE49-F238E27FC236}">
                  <a16:creationId xmlns:a16="http://schemas.microsoft.com/office/drawing/2014/main" id="{00000000-0008-0000-1200-00002C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184150</xdr:colOff>
      <xdr:row>119</xdr:row>
      <xdr:rowOff>0</xdr:rowOff>
    </xdr:from>
    <xdr:to>
      <xdr:col>3</xdr:col>
      <xdr:colOff>463550</xdr:colOff>
      <xdr:row>122</xdr:row>
      <xdr:rowOff>67151</xdr:rowOff>
    </xdr:to>
    <xdr:pic>
      <xdr:nvPicPr>
        <xdr:cNvPr id="88" name="Picture 3">
          <a:extLst>
            <a:ext uri="{FF2B5EF4-FFF2-40B4-BE49-F238E27FC236}">
              <a16:creationId xmlns:a16="http://schemas.microsoft.com/office/drawing/2014/main" id="{00000000-0008-0000-1200-000058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184150" y="32473900"/>
          <a:ext cx="1797050" cy="9434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95250</xdr:colOff>
          <xdr:row>148</xdr:row>
          <xdr:rowOff>31750</xdr:rowOff>
        </xdr:from>
        <xdr:to>
          <xdr:col>18</xdr:col>
          <xdr:colOff>57150</xdr:colOff>
          <xdr:row>150</xdr:row>
          <xdr:rowOff>184150</xdr:rowOff>
        </xdr:to>
        <xdr:sp macro="" textlink="">
          <xdr:nvSpPr>
            <xdr:cNvPr id="242733" name="Check Box 45" hidden="1">
              <a:extLst>
                <a:ext uri="{63B3BB69-23CF-44E3-9099-C40C66FF867C}">
                  <a14:compatExt spid="_x0000_s242733"/>
                </a:ext>
                <a:ext uri="{FF2B5EF4-FFF2-40B4-BE49-F238E27FC236}">
                  <a16:creationId xmlns:a16="http://schemas.microsoft.com/office/drawing/2014/main" id="{00000000-0008-0000-1200-00002D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6350</xdr:colOff>
      <xdr:row>159</xdr:row>
      <xdr:rowOff>352425</xdr:rowOff>
    </xdr:from>
    <xdr:to>
      <xdr:col>3</xdr:col>
      <xdr:colOff>549275</xdr:colOff>
      <xdr:row>163</xdr:row>
      <xdr:rowOff>258953</xdr:rowOff>
    </xdr:to>
    <xdr:pic>
      <xdr:nvPicPr>
        <xdr:cNvPr id="90" name="Picture 17">
          <a:extLst>
            <a:ext uri="{FF2B5EF4-FFF2-40B4-BE49-F238E27FC236}">
              <a16:creationId xmlns:a16="http://schemas.microsoft.com/office/drawing/2014/main" id="{00000000-0008-0000-1200-00005A000000}"/>
            </a:ext>
          </a:extLst>
        </xdr:cNvPr>
        <xdr:cNvPicPr>
          <a:picLocks/>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6350" y="44243625"/>
          <a:ext cx="2057400" cy="1255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146050</xdr:colOff>
          <xdr:row>156</xdr:row>
          <xdr:rowOff>107950</xdr:rowOff>
        </xdr:from>
        <xdr:to>
          <xdr:col>18</xdr:col>
          <xdr:colOff>107950</xdr:colOff>
          <xdr:row>158</xdr:row>
          <xdr:rowOff>184150</xdr:rowOff>
        </xdr:to>
        <xdr:sp macro="" textlink="">
          <xdr:nvSpPr>
            <xdr:cNvPr id="242734" name="Check Box 46" hidden="1">
              <a:extLst>
                <a:ext uri="{63B3BB69-23CF-44E3-9099-C40C66FF867C}">
                  <a14:compatExt spid="_x0000_s242734"/>
                </a:ext>
                <a:ext uri="{FF2B5EF4-FFF2-40B4-BE49-F238E27FC236}">
                  <a16:creationId xmlns:a16="http://schemas.microsoft.com/office/drawing/2014/main" id="{00000000-0008-0000-1200-00002EB4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0</xdr:col>
      <xdr:colOff>191276</xdr:colOff>
      <xdr:row>152</xdr:row>
      <xdr:rowOff>1734</xdr:rowOff>
    </xdr:from>
    <xdr:to>
      <xdr:col>3</xdr:col>
      <xdr:colOff>515643</xdr:colOff>
      <xdr:row>154</xdr:row>
      <xdr:rowOff>236390</xdr:rowOff>
    </xdr:to>
    <xdr:pic>
      <xdr:nvPicPr>
        <xdr:cNvPr id="93" name="Picture 12">
          <a:extLst>
            <a:ext uri="{FF2B5EF4-FFF2-40B4-BE49-F238E27FC236}">
              <a16:creationId xmlns:a16="http://schemas.microsoft.com/office/drawing/2014/main" id="{00000000-0008-0000-1200-00005D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rot="19293985">
          <a:off x="191276" y="41848234"/>
          <a:ext cx="1840430" cy="86965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95250</xdr:colOff>
          <xdr:row>359</xdr:row>
          <xdr:rowOff>12700</xdr:rowOff>
        </xdr:from>
        <xdr:to>
          <xdr:col>18</xdr:col>
          <xdr:colOff>933450</xdr:colOff>
          <xdr:row>360</xdr:row>
          <xdr:rowOff>12700</xdr:rowOff>
        </xdr:to>
        <xdr:sp macro="" textlink="">
          <xdr:nvSpPr>
            <xdr:cNvPr id="242736" name="Check Box 48" hidden="1">
              <a:extLst>
                <a:ext uri="{63B3BB69-23CF-44E3-9099-C40C66FF867C}">
                  <a14:compatExt spid="_x0000_s242736"/>
                </a:ext>
                <a:ext uri="{FF2B5EF4-FFF2-40B4-BE49-F238E27FC236}">
                  <a16:creationId xmlns:a16="http://schemas.microsoft.com/office/drawing/2014/main" id="{00000000-0008-0000-1200-000030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xdr:from>
      <xdr:col>1</xdr:col>
      <xdr:colOff>155575</xdr:colOff>
      <xdr:row>360</xdr:row>
      <xdr:rowOff>120649</xdr:rowOff>
    </xdr:from>
    <xdr:to>
      <xdr:col>2</xdr:col>
      <xdr:colOff>266764</xdr:colOff>
      <xdr:row>366</xdr:row>
      <xdr:rowOff>208787</xdr:rowOff>
    </xdr:to>
    <xdr:pic>
      <xdr:nvPicPr>
        <xdr:cNvPr id="94" name="Picture 1">
          <a:extLst>
            <a:ext uri="{FF2B5EF4-FFF2-40B4-BE49-F238E27FC236}">
              <a16:creationId xmlns:a16="http://schemas.microsoft.com/office/drawing/2014/main" id="{00000000-0008-0000-1200-00005E000000}"/>
            </a:ext>
          </a:extLst>
        </xdr:cNvPr>
        <xdr:cNvPicPr>
          <a:picLocks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a:stretch>
          <a:fillRect/>
        </a:stretch>
      </xdr:blipFill>
      <xdr:spPr bwMode="auto">
        <a:xfrm>
          <a:off x="449263" y="98974274"/>
          <a:ext cx="722376" cy="18470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257176</xdr:colOff>
      <xdr:row>360</xdr:row>
      <xdr:rowOff>138113</xdr:rowOff>
    </xdr:from>
    <xdr:to>
      <xdr:col>3</xdr:col>
      <xdr:colOff>382588</xdr:colOff>
      <xdr:row>366</xdr:row>
      <xdr:rowOff>238189</xdr:rowOff>
    </xdr:to>
    <xdr:pic>
      <xdr:nvPicPr>
        <xdr:cNvPr id="95" name="Picture 2">
          <a:extLst>
            <a:ext uri="{FF2B5EF4-FFF2-40B4-BE49-F238E27FC236}">
              <a16:creationId xmlns:a16="http://schemas.microsoft.com/office/drawing/2014/main" id="{00000000-0008-0000-1200-00005F000000}"/>
            </a:ext>
          </a:extLst>
        </xdr:cNvPr>
        <xdr:cNvPicPr>
          <a:picLocks noChangeArrowheads="1"/>
        </xdr:cNvPicPr>
      </xdr:nvPicPr>
      <xdr:blipFill>
        <a:blip xmlns:r="http://schemas.openxmlformats.org/officeDocument/2006/relationships" r:embed="rId38">
          <a:extLst>
            <a:ext uri="{28A0092B-C50C-407E-A947-70E740481C1C}">
              <a14:useLocalDpi xmlns:a14="http://schemas.microsoft.com/office/drawing/2010/main" val="0"/>
            </a:ext>
          </a:extLst>
        </a:blip>
        <a:srcRect/>
        <a:stretch>
          <a:fillRect/>
        </a:stretch>
      </xdr:blipFill>
      <xdr:spPr bwMode="auto">
        <a:xfrm>
          <a:off x="1162051" y="98952051"/>
          <a:ext cx="736600" cy="186220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287615</xdr:colOff>
      <xdr:row>368</xdr:row>
      <xdr:rowOff>103327</xdr:rowOff>
    </xdr:from>
    <xdr:to>
      <xdr:col>3</xdr:col>
      <xdr:colOff>58881</xdr:colOff>
      <xdr:row>375</xdr:row>
      <xdr:rowOff>200446</xdr:rowOff>
    </xdr:to>
    <xdr:pic>
      <xdr:nvPicPr>
        <xdr:cNvPr id="96" name="Picture 4">
          <a:extLst>
            <a:ext uri="{FF2B5EF4-FFF2-40B4-BE49-F238E27FC236}">
              <a16:creationId xmlns:a16="http://schemas.microsoft.com/office/drawing/2014/main" id="{00000000-0008-0000-1200-000060000000}"/>
            </a:ext>
          </a:extLst>
        </xdr:cNvPr>
        <xdr:cNvPicPr>
          <a:picLocks noChangeArrowheads="1"/>
        </xdr:cNvPicPr>
      </xdr:nvPicPr>
      <xdr:blipFill rotWithShape="1">
        <a:blip xmlns:r="http://schemas.openxmlformats.org/officeDocument/2006/relationships" r:embed="rId39">
          <a:extLst>
            <a:ext uri="{28A0092B-C50C-407E-A947-70E740481C1C}">
              <a14:useLocalDpi xmlns:a14="http://schemas.microsoft.com/office/drawing/2010/main" val="0"/>
            </a:ext>
          </a:extLst>
        </a:blip>
        <a:srcRect l="10153" t="13915" r="5100" b="23221"/>
        <a:stretch/>
      </xdr:blipFill>
      <xdr:spPr bwMode="auto">
        <a:xfrm rot="18645790">
          <a:off x="3246" y="101828947"/>
          <a:ext cx="2149756" cy="9936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xdr:from>
          <xdr:col>14</xdr:col>
          <xdr:colOff>127000</xdr:colOff>
          <xdr:row>367</xdr:row>
          <xdr:rowOff>12700</xdr:rowOff>
        </xdr:from>
        <xdr:to>
          <xdr:col>18</xdr:col>
          <xdr:colOff>965200</xdr:colOff>
          <xdr:row>368</xdr:row>
          <xdr:rowOff>12700</xdr:rowOff>
        </xdr:to>
        <xdr:sp macro="" textlink="">
          <xdr:nvSpPr>
            <xdr:cNvPr id="242738" name="Check Box 50" hidden="1">
              <a:extLst>
                <a:ext uri="{63B3BB69-23CF-44E3-9099-C40C66FF867C}">
                  <a14:compatExt spid="_x0000_s242738"/>
                </a:ext>
                <a:ext uri="{FF2B5EF4-FFF2-40B4-BE49-F238E27FC236}">
                  <a16:creationId xmlns:a16="http://schemas.microsoft.com/office/drawing/2014/main" id="{00000000-0008-0000-1200-000032B40300}"/>
                </a:ext>
              </a:extLst>
            </xdr:cNvPr>
            <xdr:cNvSpPr/>
          </xdr:nvSpPr>
          <xdr:spPr bwMode="auto">
            <a:xfrm>
              <a:off x="0" y="0"/>
              <a:ext cx="0" cy="0"/>
            </a:xfrm>
            <a:prstGeom prst="rect">
              <a:avLst/>
            </a:prstGeom>
            <a:noFill/>
            <a:ln>
              <a:noFill/>
            </a:ln>
            <a:extLst>
              <a:ext uri="{909E8E84-426E-40DD-AFC4-6F175D3DCCD1}">
                <a14:hiddenFill>
                  <a:solidFill>
                    <a:srgbClr val="92D050"/>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6576" rIns="0" bIns="36576" anchor="ctr" upright="1"/>
            <a:lstStyle/>
            <a:p>
              <a:pPr algn="l" rtl="0">
                <a:defRPr sz="1000"/>
              </a:pPr>
              <a:r>
                <a:rPr lang="en-US" sz="1100" b="0" i="0" u="none" strike="noStrike" baseline="0">
                  <a:solidFill>
                    <a:srgbClr val="000000"/>
                  </a:solidFill>
                  <a:latin typeface="Calibri"/>
                  <a:cs typeface="Calibri"/>
                </a:rPr>
                <a:t>Check here to confirm that product is DLC listed</a:t>
              </a:r>
            </a:p>
          </xdr:txBody>
        </xdr:sp>
        <xdr:clientData/>
      </xdr:twoCellAnchor>
    </mc:Choice>
    <mc:Fallback/>
  </mc:AlternateContent>
  <xdr:twoCellAnchor editAs="oneCell">
    <xdr:from>
      <xdr:col>15</xdr:col>
      <xdr:colOff>30163</xdr:colOff>
      <xdr:row>0</xdr:row>
      <xdr:rowOff>95250</xdr:rowOff>
    </xdr:from>
    <xdr:to>
      <xdr:col>21</xdr:col>
      <xdr:colOff>0</xdr:colOff>
      <xdr:row>1</xdr:row>
      <xdr:rowOff>559683</xdr:rowOff>
    </xdr:to>
    <xdr:pic>
      <xdr:nvPicPr>
        <xdr:cNvPr id="2" name="Picture 1">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40" cstate="print">
          <a:extLst>
            <a:ext uri="{28A0092B-C50C-407E-A947-70E740481C1C}">
              <a14:useLocalDpi xmlns:a14="http://schemas.microsoft.com/office/drawing/2010/main" val="0"/>
            </a:ext>
          </a:extLst>
        </a:blip>
        <a:srcRect/>
        <a:stretch>
          <a:fillRect/>
        </a:stretch>
      </xdr:blipFill>
      <xdr:spPr bwMode="auto">
        <a:xfrm>
          <a:off x="8805069" y="95250"/>
          <a:ext cx="4827587" cy="96449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780</xdr:row>
      <xdr:rowOff>0</xdr:rowOff>
    </xdr:from>
    <xdr:to>
      <xdr:col>1</xdr:col>
      <xdr:colOff>2438400</xdr:colOff>
      <xdr:row>783</xdr:row>
      <xdr:rowOff>30163</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25563" y="82351563"/>
          <a:ext cx="24384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9</xdr:col>
      <xdr:colOff>809625</xdr:colOff>
      <xdr:row>0</xdr:row>
      <xdr:rowOff>142875</xdr:rowOff>
    </xdr:from>
    <xdr:to>
      <xdr:col>14</xdr:col>
      <xdr:colOff>916780</xdr:colOff>
      <xdr:row>1</xdr:row>
      <xdr:rowOff>533866</xdr:rowOff>
    </xdr:to>
    <xdr:pic>
      <xdr:nvPicPr>
        <xdr:cNvPr id="2" name="Picture 1">
          <a:extLst>
            <a:ext uri="{FF2B5EF4-FFF2-40B4-BE49-F238E27FC236}">
              <a16:creationId xmlns:a16="http://schemas.microsoft.com/office/drawing/2014/main" id="{00000000-0008-0000-1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3049250" y="142875"/>
          <a:ext cx="5524499" cy="11768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3365500</xdr:colOff>
          <xdr:row>13</xdr:row>
          <xdr:rowOff>203200</xdr:rowOff>
        </xdr:from>
        <xdr:to>
          <xdr:col>7</xdr:col>
          <xdr:colOff>774700</xdr:colOff>
          <xdr:row>14</xdr:row>
          <xdr:rowOff>184150</xdr:rowOff>
        </xdr:to>
        <xdr:sp macro="" textlink="">
          <xdr:nvSpPr>
            <xdr:cNvPr id="476161" name="Option Button 1" hidden="1">
              <a:extLst>
                <a:ext uri="{63B3BB69-23CF-44E3-9099-C40C66FF867C}">
                  <a14:compatExt spid="_x0000_s476161"/>
                </a:ext>
                <a:ext uri="{FF2B5EF4-FFF2-40B4-BE49-F238E27FC236}">
                  <a16:creationId xmlns:a16="http://schemas.microsoft.com/office/drawing/2014/main" id="{00000000-0008-0000-1400-0000014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Pre-Inspection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361950</xdr:colOff>
          <xdr:row>13</xdr:row>
          <xdr:rowOff>171450</xdr:rowOff>
        </xdr:from>
        <xdr:to>
          <xdr:col>10</xdr:col>
          <xdr:colOff>127000</xdr:colOff>
          <xdr:row>14</xdr:row>
          <xdr:rowOff>184150</xdr:rowOff>
        </xdr:to>
        <xdr:sp macro="" textlink="">
          <xdr:nvSpPr>
            <xdr:cNvPr id="476162" name="Option Button 2" hidden="1">
              <a:extLst>
                <a:ext uri="{63B3BB69-23CF-44E3-9099-C40C66FF867C}">
                  <a14:compatExt spid="_x0000_s476162"/>
                </a:ext>
                <a:ext uri="{FF2B5EF4-FFF2-40B4-BE49-F238E27FC236}">
                  <a16:creationId xmlns:a16="http://schemas.microsoft.com/office/drawing/2014/main" id="{00000000-0008-0000-1400-0000024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Post-Inspection</a:t>
              </a:r>
            </a:p>
          </xdr:txBody>
        </xdr:sp>
        <xdr:clientData/>
      </xdr:twoCellAnchor>
    </mc:Choice>
    <mc:Fallback/>
  </mc:AlternateContent>
  <xdr:twoCellAnchor editAs="oneCell">
    <xdr:from>
      <xdr:col>11</xdr:col>
      <xdr:colOff>589492</xdr:colOff>
      <xdr:row>0</xdr:row>
      <xdr:rowOff>22224</xdr:rowOff>
    </xdr:from>
    <xdr:to>
      <xdr:col>15</xdr:col>
      <xdr:colOff>0</xdr:colOff>
      <xdr:row>2</xdr:row>
      <xdr:rowOff>286003</xdr:rowOff>
    </xdr:to>
    <xdr:pic>
      <xdr:nvPicPr>
        <xdr:cNvPr id="2" name="Picture 1" descr="PSEGLI_2c_v">
          <a:extLst>
            <a:ext uri="{FF2B5EF4-FFF2-40B4-BE49-F238E27FC236}">
              <a16:creationId xmlns:a16="http://schemas.microsoft.com/office/drawing/2014/main" id="{00000000-0008-0000-14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8582217" y="22224"/>
          <a:ext cx="2582333" cy="825754"/>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9</xdr:col>
      <xdr:colOff>66675</xdr:colOff>
      <xdr:row>0</xdr:row>
      <xdr:rowOff>76199</xdr:rowOff>
    </xdr:from>
    <xdr:to>
      <xdr:col>13</xdr:col>
      <xdr:colOff>447675</xdr:colOff>
      <xdr:row>1</xdr:row>
      <xdr:rowOff>611796</xdr:rowOff>
    </xdr:to>
    <xdr:pic>
      <xdr:nvPicPr>
        <xdr:cNvPr id="2" name="Picture 1">
          <a:extLst>
            <a:ext uri="{FF2B5EF4-FFF2-40B4-BE49-F238E27FC236}">
              <a16:creationId xmlns:a16="http://schemas.microsoft.com/office/drawing/2014/main" id="{00000000-0008-0000-1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896225" y="76199"/>
          <a:ext cx="5105400" cy="10308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9</xdr:col>
          <xdr:colOff>10718800</xdr:colOff>
          <xdr:row>12</xdr:row>
          <xdr:rowOff>1746250</xdr:rowOff>
        </xdr:from>
        <xdr:to>
          <xdr:col>11</xdr:col>
          <xdr:colOff>0</xdr:colOff>
          <xdr:row>14</xdr:row>
          <xdr:rowOff>0</xdr:rowOff>
        </xdr:to>
        <xdr:sp macro="" textlink="">
          <xdr:nvSpPr>
            <xdr:cNvPr id="477185" name="Option Button 1" hidden="1">
              <a:extLst>
                <a:ext uri="{63B3BB69-23CF-44E3-9099-C40C66FF867C}">
                  <a14:compatExt spid="_x0000_s477185"/>
                </a:ext>
                <a:ext uri="{FF2B5EF4-FFF2-40B4-BE49-F238E27FC236}">
                  <a16:creationId xmlns:a16="http://schemas.microsoft.com/office/drawing/2014/main" id="{00000000-0008-0000-1600-0000014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Pre-Inspection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13385800</xdr:colOff>
          <xdr:row>12</xdr:row>
          <xdr:rowOff>2622550</xdr:rowOff>
        </xdr:from>
        <xdr:to>
          <xdr:col>13</xdr:col>
          <xdr:colOff>0</xdr:colOff>
          <xdr:row>14</xdr:row>
          <xdr:rowOff>107950</xdr:rowOff>
        </xdr:to>
        <xdr:sp macro="" textlink="">
          <xdr:nvSpPr>
            <xdr:cNvPr id="477186" name="Option Button 2" hidden="1">
              <a:extLst>
                <a:ext uri="{63B3BB69-23CF-44E3-9099-C40C66FF867C}">
                  <a14:compatExt spid="_x0000_s477186"/>
                </a:ext>
                <a:ext uri="{FF2B5EF4-FFF2-40B4-BE49-F238E27FC236}">
                  <a16:creationId xmlns:a16="http://schemas.microsoft.com/office/drawing/2014/main" id="{00000000-0008-0000-1600-00000248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Post-Inspection</a:t>
              </a:r>
            </a:p>
          </xdr:txBody>
        </xdr:sp>
        <xdr:clientData/>
      </xdr:twoCellAnchor>
    </mc:Choice>
    <mc:Fallback/>
  </mc:AlternateContent>
  <xdr:twoCellAnchor editAs="oneCell">
    <xdr:from>
      <xdr:col>13</xdr:col>
      <xdr:colOff>581959</xdr:colOff>
      <xdr:row>0</xdr:row>
      <xdr:rowOff>33617</xdr:rowOff>
    </xdr:from>
    <xdr:to>
      <xdr:col>17</xdr:col>
      <xdr:colOff>0</xdr:colOff>
      <xdr:row>2</xdr:row>
      <xdr:rowOff>219448</xdr:rowOff>
    </xdr:to>
    <xdr:pic>
      <xdr:nvPicPr>
        <xdr:cNvPr id="2" name="Picture 1" descr="PSEGLI_2c_v">
          <a:extLst>
            <a:ext uri="{FF2B5EF4-FFF2-40B4-BE49-F238E27FC236}">
              <a16:creationId xmlns:a16="http://schemas.microsoft.com/office/drawing/2014/main" id="{00000000-0008-0000-16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5342534" y="30442"/>
          <a:ext cx="2593041" cy="747806"/>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7</xdr:col>
      <xdr:colOff>972212</xdr:colOff>
      <xdr:row>0</xdr:row>
      <xdr:rowOff>66675</xdr:rowOff>
    </xdr:from>
    <xdr:to>
      <xdr:col>18</xdr:col>
      <xdr:colOff>0</xdr:colOff>
      <xdr:row>1</xdr:row>
      <xdr:rowOff>428625</xdr:rowOff>
    </xdr:to>
    <xdr:pic>
      <xdr:nvPicPr>
        <xdr:cNvPr id="2" name="Picture 1">
          <a:extLst>
            <a:ext uri="{FF2B5EF4-FFF2-40B4-BE49-F238E27FC236}">
              <a16:creationId xmlns:a16="http://schemas.microsoft.com/office/drawing/2014/main" id="{00000000-0008-0000-1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8337" y="66675"/>
          <a:ext cx="4695163" cy="942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581025</xdr:colOff>
      <xdr:row>0</xdr:row>
      <xdr:rowOff>0</xdr:rowOff>
    </xdr:from>
    <xdr:to>
      <xdr:col>14</xdr:col>
      <xdr:colOff>0</xdr:colOff>
      <xdr:row>2</xdr:row>
      <xdr:rowOff>177800</xdr:rowOff>
    </xdr:to>
    <xdr:pic>
      <xdr:nvPicPr>
        <xdr:cNvPr id="2" name="Picture 1" descr="PSEGLI_2c_v">
          <a:extLst>
            <a:ext uri="{FF2B5EF4-FFF2-40B4-BE49-F238E27FC236}">
              <a16:creationId xmlns:a16="http://schemas.microsoft.com/office/drawing/2014/main" id="{00000000-0008-0000-1800-000002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4732000" y="0"/>
          <a:ext cx="2584450" cy="7397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36</xdr:col>
          <xdr:colOff>419100</xdr:colOff>
          <xdr:row>32</xdr:row>
          <xdr:rowOff>0</xdr:rowOff>
        </xdr:from>
        <xdr:to>
          <xdr:col>37</xdr:col>
          <xdr:colOff>946150</xdr:colOff>
          <xdr:row>33</xdr:row>
          <xdr:rowOff>107950</xdr:rowOff>
        </xdr:to>
        <xdr:sp macro="" textlink="">
          <xdr:nvSpPr>
            <xdr:cNvPr id="323585" name="CommandButton1" hidden="1">
              <a:extLst>
                <a:ext uri="{63B3BB69-23CF-44E3-9099-C40C66FF867C}">
                  <a14:compatExt spid="_x0000_s323585"/>
                </a:ext>
                <a:ext uri="{FF2B5EF4-FFF2-40B4-BE49-F238E27FC236}">
                  <a16:creationId xmlns:a16="http://schemas.microsoft.com/office/drawing/2014/main" id="{00000000-0008-0000-1900-000001F00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oneCellAnchor>
    <xdr:from>
      <xdr:col>34</xdr:col>
      <xdr:colOff>656166</xdr:colOff>
      <xdr:row>3</xdr:row>
      <xdr:rowOff>6351</xdr:rowOff>
    </xdr:from>
    <xdr:ext cx="3928634" cy="3901949"/>
    <xdr:pic>
      <xdr:nvPicPr>
        <xdr:cNvPr id="7" name="Picture 6">
          <a:extLst>
            <a:ext uri="{FF2B5EF4-FFF2-40B4-BE49-F238E27FC236}">
              <a16:creationId xmlns:a16="http://schemas.microsoft.com/office/drawing/2014/main" id="{00000000-0008-0000-1900-000007000000}"/>
            </a:ext>
          </a:extLst>
        </xdr:cNvPr>
        <xdr:cNvPicPr>
          <a:picLocks noChangeAspect="1"/>
        </xdr:cNvPicPr>
      </xdr:nvPicPr>
      <xdr:blipFill>
        <a:blip xmlns:r="http://schemas.openxmlformats.org/officeDocument/2006/relationships" r:embed="rId1"/>
        <a:stretch>
          <a:fillRect/>
        </a:stretch>
      </xdr:blipFill>
      <xdr:spPr>
        <a:xfrm>
          <a:off x="29828066" y="558801"/>
          <a:ext cx="3928634" cy="3901949"/>
        </a:xfrm>
        <a:prstGeom prst="rect">
          <a:avLst/>
        </a:prstGeom>
      </xdr:spPr>
    </xdr:pic>
    <xdr:clientData/>
  </xdr:oneCellAnchor>
  <xdr:twoCellAnchor editAs="oneCell">
    <xdr:from>
      <xdr:col>29</xdr:col>
      <xdr:colOff>1016000</xdr:colOff>
      <xdr:row>0</xdr:row>
      <xdr:rowOff>0</xdr:rowOff>
    </xdr:from>
    <xdr:to>
      <xdr:col>37</xdr:col>
      <xdr:colOff>165099</xdr:colOff>
      <xdr:row>3</xdr:row>
      <xdr:rowOff>36979</xdr:rowOff>
    </xdr:to>
    <xdr:pic>
      <xdr:nvPicPr>
        <xdr:cNvPr id="2" name="Picture 1">
          <a:extLst>
            <a:ext uri="{FF2B5EF4-FFF2-40B4-BE49-F238E27FC236}">
              <a16:creationId xmlns:a16="http://schemas.microsoft.com/office/drawing/2014/main" id="{00000000-0008-0000-19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31400750" y="0"/>
          <a:ext cx="5524499" cy="117997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oneCellAnchor>
    <xdr:from>
      <xdr:col>24</xdr:col>
      <xdr:colOff>691093</xdr:colOff>
      <xdr:row>3</xdr:row>
      <xdr:rowOff>12355</xdr:rowOff>
    </xdr:from>
    <xdr:ext cx="4023557" cy="3885414"/>
    <xdr:pic>
      <xdr:nvPicPr>
        <xdr:cNvPr id="4" name="Picture 3">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1"/>
        <a:stretch>
          <a:fillRect/>
        </a:stretch>
      </xdr:blipFill>
      <xdr:spPr>
        <a:xfrm>
          <a:off x="19067993" y="564805"/>
          <a:ext cx="4023557" cy="3885414"/>
        </a:xfrm>
        <a:prstGeom prst="rect">
          <a:avLst/>
        </a:prstGeom>
      </xdr:spPr>
    </xdr:pic>
    <xdr:clientData/>
  </xdr:oneCellAnchor>
  <xdr:twoCellAnchor editAs="oneCell">
    <xdr:from>
      <xdr:col>19</xdr:col>
      <xdr:colOff>266701</xdr:colOff>
      <xdr:row>0</xdr:row>
      <xdr:rowOff>0</xdr:rowOff>
    </xdr:from>
    <xdr:to>
      <xdr:col>26</xdr:col>
      <xdr:colOff>987425</xdr:colOff>
      <xdr:row>3</xdr:row>
      <xdr:rowOff>27454</xdr:rowOff>
    </xdr:to>
    <xdr:pic>
      <xdr:nvPicPr>
        <xdr:cNvPr id="2" name="Picture 1">
          <a:extLst>
            <a:ext uri="{FF2B5EF4-FFF2-40B4-BE49-F238E27FC236}">
              <a16:creationId xmlns:a16="http://schemas.microsoft.com/office/drawing/2014/main" id="{00000000-0008-0000-1A00-000002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9951701" y="0"/>
          <a:ext cx="5260974" cy="11736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717550</xdr:colOff>
          <xdr:row>15</xdr:row>
          <xdr:rowOff>88900</xdr:rowOff>
        </xdr:to>
        <xdr:sp macro="" textlink="">
          <xdr:nvSpPr>
            <xdr:cNvPr id="325633" name="Group Box 1" hidden="1">
              <a:extLst>
                <a:ext uri="{63B3BB69-23CF-44E3-9099-C40C66FF867C}">
                  <a14:compatExt spid="_x0000_s325633"/>
                </a:ext>
                <a:ext uri="{FF2B5EF4-FFF2-40B4-BE49-F238E27FC236}">
                  <a16:creationId xmlns:a16="http://schemas.microsoft.com/office/drawing/2014/main" id="{00000000-0008-0000-1B00-000001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622300</xdr:colOff>
          <xdr:row>14</xdr:row>
          <xdr:rowOff>165100</xdr:rowOff>
        </xdr:to>
        <xdr:sp macro="" textlink="">
          <xdr:nvSpPr>
            <xdr:cNvPr id="325634" name="Group Box 2" hidden="1">
              <a:extLst>
                <a:ext uri="{63B3BB69-23CF-44E3-9099-C40C66FF867C}">
                  <a14:compatExt spid="_x0000_s325634"/>
                </a:ext>
                <a:ext uri="{FF2B5EF4-FFF2-40B4-BE49-F238E27FC236}">
                  <a16:creationId xmlns:a16="http://schemas.microsoft.com/office/drawing/2014/main" id="{00000000-0008-0000-1B00-000002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11</xdr:row>
          <xdr:rowOff>0</xdr:rowOff>
        </xdr:from>
        <xdr:to>
          <xdr:col>2</xdr:col>
          <xdr:colOff>622300</xdr:colOff>
          <xdr:row>15</xdr:row>
          <xdr:rowOff>88900</xdr:rowOff>
        </xdr:to>
        <xdr:sp macro="" textlink="">
          <xdr:nvSpPr>
            <xdr:cNvPr id="325635" name="Group Box 3" hidden="1">
              <a:extLst>
                <a:ext uri="{63B3BB69-23CF-44E3-9099-C40C66FF867C}">
                  <a14:compatExt spid="_x0000_s325635"/>
                </a:ext>
                <a:ext uri="{FF2B5EF4-FFF2-40B4-BE49-F238E27FC236}">
                  <a16:creationId xmlns:a16="http://schemas.microsoft.com/office/drawing/2014/main" id="{00000000-0008-0000-1B00-000003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10</xdr:row>
          <xdr:rowOff>0</xdr:rowOff>
        </xdr:from>
        <xdr:to>
          <xdr:col>2</xdr:col>
          <xdr:colOff>622300</xdr:colOff>
          <xdr:row>14</xdr:row>
          <xdr:rowOff>88900</xdr:rowOff>
        </xdr:to>
        <xdr:sp macro="" textlink="">
          <xdr:nvSpPr>
            <xdr:cNvPr id="325636" name="Group Box 4" hidden="1">
              <a:extLst>
                <a:ext uri="{63B3BB69-23CF-44E3-9099-C40C66FF867C}">
                  <a14:compatExt spid="_x0000_s325636"/>
                </a:ext>
                <a:ext uri="{FF2B5EF4-FFF2-40B4-BE49-F238E27FC236}">
                  <a16:creationId xmlns:a16="http://schemas.microsoft.com/office/drawing/2014/main" id="{00000000-0008-0000-1B00-000004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88900</xdr:rowOff>
        </xdr:to>
        <xdr:sp macro="" textlink="">
          <xdr:nvSpPr>
            <xdr:cNvPr id="325637" name="Group Box 5" hidden="1">
              <a:extLst>
                <a:ext uri="{63B3BB69-23CF-44E3-9099-C40C66FF867C}">
                  <a14:compatExt spid="_x0000_s325637"/>
                </a:ext>
                <a:ext uri="{FF2B5EF4-FFF2-40B4-BE49-F238E27FC236}">
                  <a16:creationId xmlns:a16="http://schemas.microsoft.com/office/drawing/2014/main" id="{00000000-0008-0000-1B00-000005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88900</xdr:rowOff>
        </xdr:to>
        <xdr:sp macro="" textlink="">
          <xdr:nvSpPr>
            <xdr:cNvPr id="325638" name="Group Box 6" hidden="1">
              <a:extLst>
                <a:ext uri="{63B3BB69-23CF-44E3-9099-C40C66FF867C}">
                  <a14:compatExt spid="_x0000_s325638"/>
                </a:ext>
                <a:ext uri="{FF2B5EF4-FFF2-40B4-BE49-F238E27FC236}">
                  <a16:creationId xmlns:a16="http://schemas.microsoft.com/office/drawing/2014/main" id="{00000000-0008-0000-1B00-000006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190500</xdr:colOff>
          <xdr:row>14</xdr:row>
          <xdr:rowOff>165100</xdr:rowOff>
        </xdr:to>
        <xdr:sp macro="" textlink="">
          <xdr:nvSpPr>
            <xdr:cNvPr id="325639" name="Group Box 7" hidden="1">
              <a:extLst>
                <a:ext uri="{63B3BB69-23CF-44E3-9099-C40C66FF867C}">
                  <a14:compatExt spid="_x0000_s325639"/>
                </a:ext>
                <a:ext uri="{FF2B5EF4-FFF2-40B4-BE49-F238E27FC236}">
                  <a16:creationId xmlns:a16="http://schemas.microsoft.com/office/drawing/2014/main" id="{00000000-0008-0000-1B00-000007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88900</xdr:rowOff>
        </xdr:to>
        <xdr:sp macro="" textlink="">
          <xdr:nvSpPr>
            <xdr:cNvPr id="325640" name="Group Box 8" hidden="1">
              <a:extLst>
                <a:ext uri="{63B3BB69-23CF-44E3-9099-C40C66FF867C}">
                  <a14:compatExt spid="_x0000_s325640"/>
                </a:ext>
                <a:ext uri="{FF2B5EF4-FFF2-40B4-BE49-F238E27FC236}">
                  <a16:creationId xmlns:a16="http://schemas.microsoft.com/office/drawing/2014/main" id="{00000000-0008-0000-1B00-000008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11</xdr:row>
          <xdr:rowOff>0</xdr:rowOff>
        </xdr:from>
        <xdr:to>
          <xdr:col>6</xdr:col>
          <xdr:colOff>133350</xdr:colOff>
          <xdr:row>15</xdr:row>
          <xdr:rowOff>88900</xdr:rowOff>
        </xdr:to>
        <xdr:sp macro="" textlink="">
          <xdr:nvSpPr>
            <xdr:cNvPr id="325641" name="Group Box 9" hidden="1">
              <a:extLst>
                <a:ext uri="{63B3BB69-23CF-44E3-9099-C40C66FF867C}">
                  <a14:compatExt spid="_x0000_s325641"/>
                </a:ext>
                <a:ext uri="{FF2B5EF4-FFF2-40B4-BE49-F238E27FC236}">
                  <a16:creationId xmlns:a16="http://schemas.microsoft.com/office/drawing/2014/main" id="{00000000-0008-0000-1B00-000009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88900</xdr:colOff>
          <xdr:row>10</xdr:row>
          <xdr:rowOff>0</xdr:rowOff>
        </xdr:from>
        <xdr:to>
          <xdr:col>6</xdr:col>
          <xdr:colOff>133350</xdr:colOff>
          <xdr:row>14</xdr:row>
          <xdr:rowOff>88900</xdr:rowOff>
        </xdr:to>
        <xdr:sp macro="" textlink="">
          <xdr:nvSpPr>
            <xdr:cNvPr id="325642" name="Group Box 10" hidden="1">
              <a:extLst>
                <a:ext uri="{63B3BB69-23CF-44E3-9099-C40C66FF867C}">
                  <a14:compatExt spid="_x0000_s325642"/>
                </a:ext>
                <a:ext uri="{FF2B5EF4-FFF2-40B4-BE49-F238E27FC236}">
                  <a16:creationId xmlns:a16="http://schemas.microsoft.com/office/drawing/2014/main" id="{00000000-0008-0000-1B00-00000AF804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xdr:twoCellAnchor editAs="oneCell">
    <xdr:from>
      <xdr:col>6</xdr:col>
      <xdr:colOff>962025</xdr:colOff>
      <xdr:row>0</xdr:row>
      <xdr:rowOff>120650</xdr:rowOff>
    </xdr:from>
    <xdr:to>
      <xdr:col>12</xdr:col>
      <xdr:colOff>0</xdr:colOff>
      <xdr:row>0</xdr:row>
      <xdr:rowOff>950240</xdr:rowOff>
    </xdr:to>
    <xdr:pic>
      <xdr:nvPicPr>
        <xdr:cNvPr id="2" name="Picture 1">
          <a:extLst>
            <a:ext uri="{FF2B5EF4-FFF2-40B4-BE49-F238E27FC236}">
              <a16:creationId xmlns:a16="http://schemas.microsoft.com/office/drawing/2014/main" id="{00000000-0008-0000-1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296150" y="120650"/>
          <a:ext cx="4105275" cy="82959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10</xdr:col>
          <xdr:colOff>812800</xdr:colOff>
          <xdr:row>11</xdr:row>
          <xdr:rowOff>107950</xdr:rowOff>
        </xdr:from>
        <xdr:to>
          <xdr:col>13</xdr:col>
          <xdr:colOff>76200</xdr:colOff>
          <xdr:row>12</xdr:row>
          <xdr:rowOff>222250</xdr:rowOff>
        </xdr:to>
        <xdr:sp macro="" textlink="">
          <xdr:nvSpPr>
            <xdr:cNvPr id="186369" name="CommandButton2" hidden="1">
              <a:extLst>
                <a:ext uri="{63B3BB69-23CF-44E3-9099-C40C66FF867C}">
                  <a14:compatExt spid="_x0000_s186369"/>
                </a:ext>
                <a:ext uri="{FF2B5EF4-FFF2-40B4-BE49-F238E27FC236}">
                  <a16:creationId xmlns:a16="http://schemas.microsoft.com/office/drawing/2014/main" id="{00000000-0008-0000-1D00-000001D80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9</xdr:col>
      <xdr:colOff>1785100</xdr:colOff>
      <xdr:row>0</xdr:row>
      <xdr:rowOff>0</xdr:rowOff>
    </xdr:from>
    <xdr:to>
      <xdr:col>14</xdr:col>
      <xdr:colOff>0</xdr:colOff>
      <xdr:row>2</xdr:row>
      <xdr:rowOff>36539</xdr:rowOff>
    </xdr:to>
    <xdr:pic>
      <xdr:nvPicPr>
        <xdr:cNvPr id="4" name="Picture 3" descr="PSEGLI_2c_v">
          <a:extLst>
            <a:ext uri="{FF2B5EF4-FFF2-40B4-BE49-F238E27FC236}">
              <a16:creationId xmlns:a16="http://schemas.microsoft.com/office/drawing/2014/main" id="{00000000-0008-0000-1D00-000004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368806" y="0"/>
          <a:ext cx="2663635" cy="764921"/>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161925</xdr:colOff>
      <xdr:row>0</xdr:row>
      <xdr:rowOff>9525</xdr:rowOff>
    </xdr:from>
    <xdr:to>
      <xdr:col>11</xdr:col>
      <xdr:colOff>1076324</xdr:colOff>
      <xdr:row>2</xdr:row>
      <xdr:rowOff>55278</xdr:rowOff>
    </xdr:to>
    <xdr:pic>
      <xdr:nvPicPr>
        <xdr:cNvPr id="2" name="Picture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00800" y="9525"/>
          <a:ext cx="5232399" cy="111255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146050</xdr:colOff>
          <xdr:row>21</xdr:row>
          <xdr:rowOff>0</xdr:rowOff>
        </xdr:from>
        <xdr:to>
          <xdr:col>3</xdr:col>
          <xdr:colOff>774700</xdr:colOff>
          <xdr:row>21</xdr:row>
          <xdr:rowOff>209550</xdr:rowOff>
        </xdr:to>
        <xdr:sp macro="" textlink="">
          <xdr:nvSpPr>
            <xdr:cNvPr id="187393" name="Option Button 1" hidden="1">
              <a:extLst>
                <a:ext uri="{63B3BB69-23CF-44E3-9099-C40C66FF867C}">
                  <a14:compatExt spid="_x0000_s187393"/>
                </a:ext>
                <a:ext uri="{FF2B5EF4-FFF2-40B4-BE49-F238E27FC236}">
                  <a16:creationId xmlns:a16="http://schemas.microsoft.com/office/drawing/2014/main" id="{00000000-0008-0000-1E00-000001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1098550</xdr:colOff>
          <xdr:row>21</xdr:row>
          <xdr:rowOff>0</xdr:rowOff>
        </xdr:from>
        <xdr:to>
          <xdr:col>4</xdr:col>
          <xdr:colOff>342900</xdr:colOff>
          <xdr:row>21</xdr:row>
          <xdr:rowOff>209550</xdr:rowOff>
        </xdr:to>
        <xdr:sp macro="" textlink="">
          <xdr:nvSpPr>
            <xdr:cNvPr id="187394" name="Option Button 2" hidden="1">
              <a:extLst>
                <a:ext uri="{63B3BB69-23CF-44E3-9099-C40C66FF867C}">
                  <a14:compatExt spid="_x0000_s187394"/>
                </a:ext>
                <a:ext uri="{FF2B5EF4-FFF2-40B4-BE49-F238E27FC236}">
                  <a16:creationId xmlns:a16="http://schemas.microsoft.com/office/drawing/2014/main" id="{00000000-0008-0000-1E00-000002DC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32</xdr:row>
          <xdr:rowOff>12700</xdr:rowOff>
        </xdr:from>
        <xdr:to>
          <xdr:col>6</xdr:col>
          <xdr:colOff>527050</xdr:colOff>
          <xdr:row>33</xdr:row>
          <xdr:rowOff>0</xdr:rowOff>
        </xdr:to>
        <xdr:sp macro="" textlink="">
          <xdr:nvSpPr>
            <xdr:cNvPr id="187395" name="Group Box 3" hidden="1">
              <a:extLst>
                <a:ext uri="{63B3BB69-23CF-44E3-9099-C40C66FF867C}">
                  <a14:compatExt spid="_x0000_s187395"/>
                </a:ext>
                <a:ext uri="{FF2B5EF4-FFF2-40B4-BE49-F238E27FC236}">
                  <a16:creationId xmlns:a16="http://schemas.microsoft.com/office/drawing/2014/main" id="{00000000-0008-0000-1E00-00000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33</xdr:row>
          <xdr:rowOff>57150</xdr:rowOff>
        </xdr:from>
        <xdr:to>
          <xdr:col>6</xdr:col>
          <xdr:colOff>527050</xdr:colOff>
          <xdr:row>34</xdr:row>
          <xdr:rowOff>12700</xdr:rowOff>
        </xdr:to>
        <xdr:sp macro="" textlink="">
          <xdr:nvSpPr>
            <xdr:cNvPr id="187396" name="Group Box 4" hidden="1">
              <a:extLst>
                <a:ext uri="{63B3BB69-23CF-44E3-9099-C40C66FF867C}">
                  <a14:compatExt spid="_x0000_s187396"/>
                </a:ext>
                <a:ext uri="{FF2B5EF4-FFF2-40B4-BE49-F238E27FC236}">
                  <a16:creationId xmlns:a16="http://schemas.microsoft.com/office/drawing/2014/main" id="{00000000-0008-0000-1E00-00000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34</xdr:row>
          <xdr:rowOff>88900</xdr:rowOff>
        </xdr:from>
        <xdr:to>
          <xdr:col>6</xdr:col>
          <xdr:colOff>527050</xdr:colOff>
          <xdr:row>35</xdr:row>
          <xdr:rowOff>12700</xdr:rowOff>
        </xdr:to>
        <xdr:sp macro="" textlink="">
          <xdr:nvSpPr>
            <xdr:cNvPr id="187397" name="Group Box 5" hidden="1">
              <a:extLst>
                <a:ext uri="{63B3BB69-23CF-44E3-9099-C40C66FF867C}">
                  <a14:compatExt spid="_x0000_s187397"/>
                </a:ext>
                <a:ext uri="{FF2B5EF4-FFF2-40B4-BE49-F238E27FC236}">
                  <a16:creationId xmlns:a16="http://schemas.microsoft.com/office/drawing/2014/main" id="{00000000-0008-0000-1E00-00000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32</xdr:row>
          <xdr:rowOff>12700</xdr:rowOff>
        </xdr:from>
        <xdr:to>
          <xdr:col>13</xdr:col>
          <xdr:colOff>12700</xdr:colOff>
          <xdr:row>33</xdr:row>
          <xdr:rowOff>12700</xdr:rowOff>
        </xdr:to>
        <xdr:sp macro="" textlink="">
          <xdr:nvSpPr>
            <xdr:cNvPr id="187398" name="Group Box 6" hidden="1">
              <a:extLst>
                <a:ext uri="{63B3BB69-23CF-44E3-9099-C40C66FF867C}">
                  <a14:compatExt spid="_x0000_s187398"/>
                </a:ext>
                <a:ext uri="{FF2B5EF4-FFF2-40B4-BE49-F238E27FC236}">
                  <a16:creationId xmlns:a16="http://schemas.microsoft.com/office/drawing/2014/main" id="{00000000-0008-0000-1E00-00000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33</xdr:row>
          <xdr:rowOff>88900</xdr:rowOff>
        </xdr:from>
        <xdr:to>
          <xdr:col>13</xdr:col>
          <xdr:colOff>12700</xdr:colOff>
          <xdr:row>34</xdr:row>
          <xdr:rowOff>31750</xdr:rowOff>
        </xdr:to>
        <xdr:sp macro="" textlink="">
          <xdr:nvSpPr>
            <xdr:cNvPr id="187399" name="Group Box 7" hidden="1">
              <a:extLst>
                <a:ext uri="{63B3BB69-23CF-44E3-9099-C40C66FF867C}">
                  <a14:compatExt spid="_x0000_s187399"/>
                </a:ext>
                <a:ext uri="{FF2B5EF4-FFF2-40B4-BE49-F238E27FC236}">
                  <a16:creationId xmlns:a16="http://schemas.microsoft.com/office/drawing/2014/main" id="{00000000-0008-0000-1E00-00000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34</xdr:row>
          <xdr:rowOff>88900</xdr:rowOff>
        </xdr:from>
        <xdr:to>
          <xdr:col>13</xdr:col>
          <xdr:colOff>38100</xdr:colOff>
          <xdr:row>35</xdr:row>
          <xdr:rowOff>57150</xdr:rowOff>
        </xdr:to>
        <xdr:sp macro="" textlink="">
          <xdr:nvSpPr>
            <xdr:cNvPr id="187400" name="Group Box 8" hidden="1">
              <a:extLst>
                <a:ext uri="{63B3BB69-23CF-44E3-9099-C40C66FF867C}">
                  <a14:compatExt spid="_x0000_s187400"/>
                </a:ext>
                <a:ext uri="{FF2B5EF4-FFF2-40B4-BE49-F238E27FC236}">
                  <a16:creationId xmlns:a16="http://schemas.microsoft.com/office/drawing/2014/main" id="{00000000-0008-0000-1E00-00000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48</xdr:row>
          <xdr:rowOff>12700</xdr:rowOff>
        </xdr:from>
        <xdr:to>
          <xdr:col>6</xdr:col>
          <xdr:colOff>527050</xdr:colOff>
          <xdr:row>49</xdr:row>
          <xdr:rowOff>0</xdr:rowOff>
        </xdr:to>
        <xdr:sp macro="" textlink="">
          <xdr:nvSpPr>
            <xdr:cNvPr id="187401" name="Group Box 9" hidden="1">
              <a:extLst>
                <a:ext uri="{63B3BB69-23CF-44E3-9099-C40C66FF867C}">
                  <a14:compatExt spid="_x0000_s187401"/>
                </a:ext>
                <a:ext uri="{FF2B5EF4-FFF2-40B4-BE49-F238E27FC236}">
                  <a16:creationId xmlns:a16="http://schemas.microsoft.com/office/drawing/2014/main" id="{00000000-0008-0000-1E00-00000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49</xdr:row>
          <xdr:rowOff>57150</xdr:rowOff>
        </xdr:from>
        <xdr:to>
          <xdr:col>6</xdr:col>
          <xdr:colOff>527050</xdr:colOff>
          <xdr:row>50</xdr:row>
          <xdr:rowOff>12700</xdr:rowOff>
        </xdr:to>
        <xdr:sp macro="" textlink="">
          <xdr:nvSpPr>
            <xdr:cNvPr id="187402" name="Group Box 10" hidden="1">
              <a:extLst>
                <a:ext uri="{63B3BB69-23CF-44E3-9099-C40C66FF867C}">
                  <a14:compatExt spid="_x0000_s187402"/>
                </a:ext>
                <a:ext uri="{FF2B5EF4-FFF2-40B4-BE49-F238E27FC236}">
                  <a16:creationId xmlns:a16="http://schemas.microsoft.com/office/drawing/2014/main" id="{00000000-0008-0000-1E00-00000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50</xdr:row>
          <xdr:rowOff>88900</xdr:rowOff>
        </xdr:from>
        <xdr:to>
          <xdr:col>6</xdr:col>
          <xdr:colOff>527050</xdr:colOff>
          <xdr:row>51</xdr:row>
          <xdr:rowOff>19050</xdr:rowOff>
        </xdr:to>
        <xdr:sp macro="" textlink="">
          <xdr:nvSpPr>
            <xdr:cNvPr id="187403" name="Group Box 11" hidden="1">
              <a:extLst>
                <a:ext uri="{63B3BB69-23CF-44E3-9099-C40C66FF867C}">
                  <a14:compatExt spid="_x0000_s187403"/>
                </a:ext>
                <a:ext uri="{FF2B5EF4-FFF2-40B4-BE49-F238E27FC236}">
                  <a16:creationId xmlns:a16="http://schemas.microsoft.com/office/drawing/2014/main" id="{00000000-0008-0000-1E00-00000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48</xdr:row>
          <xdr:rowOff>12700</xdr:rowOff>
        </xdr:from>
        <xdr:to>
          <xdr:col>13</xdr:col>
          <xdr:colOff>12700</xdr:colOff>
          <xdr:row>49</xdr:row>
          <xdr:rowOff>12700</xdr:rowOff>
        </xdr:to>
        <xdr:sp macro="" textlink="">
          <xdr:nvSpPr>
            <xdr:cNvPr id="187404" name="Group Box 12" hidden="1">
              <a:extLst>
                <a:ext uri="{63B3BB69-23CF-44E3-9099-C40C66FF867C}">
                  <a14:compatExt spid="_x0000_s187404"/>
                </a:ext>
                <a:ext uri="{FF2B5EF4-FFF2-40B4-BE49-F238E27FC236}">
                  <a16:creationId xmlns:a16="http://schemas.microsoft.com/office/drawing/2014/main" id="{00000000-0008-0000-1E00-00000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49</xdr:row>
          <xdr:rowOff>88900</xdr:rowOff>
        </xdr:from>
        <xdr:to>
          <xdr:col>13</xdr:col>
          <xdr:colOff>12700</xdr:colOff>
          <xdr:row>50</xdr:row>
          <xdr:rowOff>31750</xdr:rowOff>
        </xdr:to>
        <xdr:sp macro="" textlink="">
          <xdr:nvSpPr>
            <xdr:cNvPr id="187405" name="Group Box 13" hidden="1">
              <a:extLst>
                <a:ext uri="{63B3BB69-23CF-44E3-9099-C40C66FF867C}">
                  <a14:compatExt spid="_x0000_s187405"/>
                </a:ext>
                <a:ext uri="{FF2B5EF4-FFF2-40B4-BE49-F238E27FC236}">
                  <a16:creationId xmlns:a16="http://schemas.microsoft.com/office/drawing/2014/main" id="{00000000-0008-0000-1E00-00000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50</xdr:row>
          <xdr:rowOff>88900</xdr:rowOff>
        </xdr:from>
        <xdr:to>
          <xdr:col>13</xdr:col>
          <xdr:colOff>38100</xdr:colOff>
          <xdr:row>51</xdr:row>
          <xdr:rowOff>38100</xdr:rowOff>
        </xdr:to>
        <xdr:sp macro="" textlink="">
          <xdr:nvSpPr>
            <xdr:cNvPr id="187406" name="Group Box 14" hidden="1">
              <a:extLst>
                <a:ext uri="{63B3BB69-23CF-44E3-9099-C40C66FF867C}">
                  <a14:compatExt spid="_x0000_s187406"/>
                </a:ext>
                <a:ext uri="{FF2B5EF4-FFF2-40B4-BE49-F238E27FC236}">
                  <a16:creationId xmlns:a16="http://schemas.microsoft.com/office/drawing/2014/main" id="{00000000-0008-0000-1E00-00000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65</xdr:row>
          <xdr:rowOff>12700</xdr:rowOff>
        </xdr:from>
        <xdr:to>
          <xdr:col>6</xdr:col>
          <xdr:colOff>527050</xdr:colOff>
          <xdr:row>66</xdr:row>
          <xdr:rowOff>0</xdr:rowOff>
        </xdr:to>
        <xdr:sp macro="" textlink="">
          <xdr:nvSpPr>
            <xdr:cNvPr id="187407" name="Group Box 15" hidden="1">
              <a:extLst>
                <a:ext uri="{63B3BB69-23CF-44E3-9099-C40C66FF867C}">
                  <a14:compatExt spid="_x0000_s187407"/>
                </a:ext>
                <a:ext uri="{FF2B5EF4-FFF2-40B4-BE49-F238E27FC236}">
                  <a16:creationId xmlns:a16="http://schemas.microsoft.com/office/drawing/2014/main" id="{00000000-0008-0000-1E00-00000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66</xdr:row>
          <xdr:rowOff>57150</xdr:rowOff>
        </xdr:from>
        <xdr:to>
          <xdr:col>6</xdr:col>
          <xdr:colOff>527050</xdr:colOff>
          <xdr:row>67</xdr:row>
          <xdr:rowOff>12700</xdr:rowOff>
        </xdr:to>
        <xdr:sp macro="" textlink="">
          <xdr:nvSpPr>
            <xdr:cNvPr id="187408" name="Group Box 16" hidden="1">
              <a:extLst>
                <a:ext uri="{63B3BB69-23CF-44E3-9099-C40C66FF867C}">
                  <a14:compatExt spid="_x0000_s187408"/>
                </a:ext>
                <a:ext uri="{FF2B5EF4-FFF2-40B4-BE49-F238E27FC236}">
                  <a16:creationId xmlns:a16="http://schemas.microsoft.com/office/drawing/2014/main" id="{00000000-0008-0000-1E00-00001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67</xdr:row>
          <xdr:rowOff>88900</xdr:rowOff>
        </xdr:from>
        <xdr:to>
          <xdr:col>6</xdr:col>
          <xdr:colOff>527050</xdr:colOff>
          <xdr:row>68</xdr:row>
          <xdr:rowOff>19050</xdr:rowOff>
        </xdr:to>
        <xdr:sp macro="" textlink="">
          <xdr:nvSpPr>
            <xdr:cNvPr id="187409" name="Group Box 17" hidden="1">
              <a:extLst>
                <a:ext uri="{63B3BB69-23CF-44E3-9099-C40C66FF867C}">
                  <a14:compatExt spid="_x0000_s187409"/>
                </a:ext>
                <a:ext uri="{FF2B5EF4-FFF2-40B4-BE49-F238E27FC236}">
                  <a16:creationId xmlns:a16="http://schemas.microsoft.com/office/drawing/2014/main" id="{00000000-0008-0000-1E00-00001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65</xdr:row>
          <xdr:rowOff>12700</xdr:rowOff>
        </xdr:from>
        <xdr:to>
          <xdr:col>13</xdr:col>
          <xdr:colOff>12700</xdr:colOff>
          <xdr:row>66</xdr:row>
          <xdr:rowOff>12700</xdr:rowOff>
        </xdr:to>
        <xdr:sp macro="" textlink="">
          <xdr:nvSpPr>
            <xdr:cNvPr id="187410" name="Group Box 18" hidden="1">
              <a:extLst>
                <a:ext uri="{63B3BB69-23CF-44E3-9099-C40C66FF867C}">
                  <a14:compatExt spid="_x0000_s187410"/>
                </a:ext>
                <a:ext uri="{FF2B5EF4-FFF2-40B4-BE49-F238E27FC236}">
                  <a16:creationId xmlns:a16="http://schemas.microsoft.com/office/drawing/2014/main" id="{00000000-0008-0000-1E00-00001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66</xdr:row>
          <xdr:rowOff>88900</xdr:rowOff>
        </xdr:from>
        <xdr:to>
          <xdr:col>13</xdr:col>
          <xdr:colOff>12700</xdr:colOff>
          <xdr:row>67</xdr:row>
          <xdr:rowOff>31750</xdr:rowOff>
        </xdr:to>
        <xdr:sp macro="" textlink="">
          <xdr:nvSpPr>
            <xdr:cNvPr id="187411" name="Group Box 19" hidden="1">
              <a:extLst>
                <a:ext uri="{63B3BB69-23CF-44E3-9099-C40C66FF867C}">
                  <a14:compatExt spid="_x0000_s187411"/>
                </a:ext>
                <a:ext uri="{FF2B5EF4-FFF2-40B4-BE49-F238E27FC236}">
                  <a16:creationId xmlns:a16="http://schemas.microsoft.com/office/drawing/2014/main" id="{00000000-0008-0000-1E00-00001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67</xdr:row>
          <xdr:rowOff>88900</xdr:rowOff>
        </xdr:from>
        <xdr:to>
          <xdr:col>13</xdr:col>
          <xdr:colOff>38100</xdr:colOff>
          <xdr:row>68</xdr:row>
          <xdr:rowOff>38100</xdr:rowOff>
        </xdr:to>
        <xdr:sp macro="" textlink="">
          <xdr:nvSpPr>
            <xdr:cNvPr id="187412" name="Group Box 20" hidden="1">
              <a:extLst>
                <a:ext uri="{63B3BB69-23CF-44E3-9099-C40C66FF867C}">
                  <a14:compatExt spid="_x0000_s187412"/>
                </a:ext>
                <a:ext uri="{FF2B5EF4-FFF2-40B4-BE49-F238E27FC236}">
                  <a16:creationId xmlns:a16="http://schemas.microsoft.com/office/drawing/2014/main" id="{00000000-0008-0000-1E00-00001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1212850</xdr:colOff>
          <xdr:row>19</xdr:row>
          <xdr:rowOff>260350</xdr:rowOff>
        </xdr:from>
        <xdr:to>
          <xdr:col>4</xdr:col>
          <xdr:colOff>723900</xdr:colOff>
          <xdr:row>23</xdr:row>
          <xdr:rowOff>146050</xdr:rowOff>
        </xdr:to>
        <xdr:sp macro="" textlink="">
          <xdr:nvSpPr>
            <xdr:cNvPr id="187413" name="Group Box 21" hidden="1">
              <a:extLst>
                <a:ext uri="{63B3BB69-23CF-44E3-9099-C40C66FF867C}">
                  <a14:compatExt spid="_x0000_s187413"/>
                </a:ext>
                <a:ext uri="{FF2B5EF4-FFF2-40B4-BE49-F238E27FC236}">
                  <a16:creationId xmlns:a16="http://schemas.microsoft.com/office/drawing/2014/main" id="{00000000-0008-0000-1E00-00001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171450</xdr:colOff>
          <xdr:row>35</xdr:row>
          <xdr:rowOff>114300</xdr:rowOff>
        </xdr:from>
        <xdr:to>
          <xdr:col>6</xdr:col>
          <xdr:colOff>209550</xdr:colOff>
          <xdr:row>39</xdr:row>
          <xdr:rowOff>31750</xdr:rowOff>
        </xdr:to>
        <xdr:sp macro="" textlink="">
          <xdr:nvSpPr>
            <xdr:cNvPr id="187414" name="Group Box 22" hidden="1">
              <a:extLst>
                <a:ext uri="{63B3BB69-23CF-44E3-9099-C40C66FF867C}">
                  <a14:compatExt spid="_x0000_s187414"/>
                </a:ext>
                <a:ext uri="{FF2B5EF4-FFF2-40B4-BE49-F238E27FC236}">
                  <a16:creationId xmlns:a16="http://schemas.microsoft.com/office/drawing/2014/main" id="{00000000-0008-0000-1E00-00001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723900</xdr:colOff>
          <xdr:row>35</xdr:row>
          <xdr:rowOff>127000</xdr:rowOff>
        </xdr:from>
        <xdr:to>
          <xdr:col>10</xdr:col>
          <xdr:colOff>107950</xdr:colOff>
          <xdr:row>39</xdr:row>
          <xdr:rowOff>76200</xdr:rowOff>
        </xdr:to>
        <xdr:sp macro="" textlink="">
          <xdr:nvSpPr>
            <xdr:cNvPr id="187415" name="Group Box 23" hidden="1">
              <a:extLst>
                <a:ext uri="{63B3BB69-23CF-44E3-9099-C40C66FF867C}">
                  <a14:compatExt spid="_x0000_s187415"/>
                </a:ext>
                <a:ext uri="{FF2B5EF4-FFF2-40B4-BE49-F238E27FC236}">
                  <a16:creationId xmlns:a16="http://schemas.microsoft.com/office/drawing/2014/main" id="{00000000-0008-0000-1E00-00001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260350</xdr:colOff>
          <xdr:row>51</xdr:row>
          <xdr:rowOff>184150</xdr:rowOff>
        </xdr:from>
        <xdr:to>
          <xdr:col>6</xdr:col>
          <xdr:colOff>190500</xdr:colOff>
          <xdr:row>55</xdr:row>
          <xdr:rowOff>146050</xdr:rowOff>
        </xdr:to>
        <xdr:sp macro="" textlink="">
          <xdr:nvSpPr>
            <xdr:cNvPr id="187416" name="Group Box 24" hidden="1">
              <a:extLst>
                <a:ext uri="{63B3BB69-23CF-44E3-9099-C40C66FF867C}">
                  <a14:compatExt spid="_x0000_s187416"/>
                </a:ext>
                <a:ext uri="{FF2B5EF4-FFF2-40B4-BE49-F238E27FC236}">
                  <a16:creationId xmlns:a16="http://schemas.microsoft.com/office/drawing/2014/main" id="{00000000-0008-0000-1E00-00001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679450</xdr:colOff>
          <xdr:row>51</xdr:row>
          <xdr:rowOff>152400</xdr:rowOff>
        </xdr:from>
        <xdr:to>
          <xdr:col>10</xdr:col>
          <xdr:colOff>285750</xdr:colOff>
          <xdr:row>55</xdr:row>
          <xdr:rowOff>203200</xdr:rowOff>
        </xdr:to>
        <xdr:sp macro="" textlink="">
          <xdr:nvSpPr>
            <xdr:cNvPr id="187417" name="Group Box 25" hidden="1">
              <a:extLst>
                <a:ext uri="{63B3BB69-23CF-44E3-9099-C40C66FF867C}">
                  <a14:compatExt spid="_x0000_s187417"/>
                </a:ext>
                <a:ext uri="{FF2B5EF4-FFF2-40B4-BE49-F238E27FC236}">
                  <a16:creationId xmlns:a16="http://schemas.microsoft.com/office/drawing/2014/main" id="{00000000-0008-0000-1E00-00001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1346200</xdr:colOff>
          <xdr:row>68</xdr:row>
          <xdr:rowOff>184150</xdr:rowOff>
        </xdr:from>
        <xdr:to>
          <xdr:col>6</xdr:col>
          <xdr:colOff>342900</xdr:colOff>
          <xdr:row>73</xdr:row>
          <xdr:rowOff>50800</xdr:rowOff>
        </xdr:to>
        <xdr:sp macro="" textlink="">
          <xdr:nvSpPr>
            <xdr:cNvPr id="187418" name="Group Box 26" hidden="1">
              <a:extLst>
                <a:ext uri="{63B3BB69-23CF-44E3-9099-C40C66FF867C}">
                  <a14:compatExt spid="_x0000_s187418"/>
                </a:ext>
                <a:ext uri="{FF2B5EF4-FFF2-40B4-BE49-F238E27FC236}">
                  <a16:creationId xmlns:a16="http://schemas.microsoft.com/office/drawing/2014/main" id="{00000000-0008-0000-1E00-00001A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781050</xdr:colOff>
          <xdr:row>68</xdr:row>
          <xdr:rowOff>209550</xdr:rowOff>
        </xdr:from>
        <xdr:to>
          <xdr:col>10</xdr:col>
          <xdr:colOff>342900</xdr:colOff>
          <xdr:row>72</xdr:row>
          <xdr:rowOff>203200</xdr:rowOff>
        </xdr:to>
        <xdr:sp macro="" textlink="">
          <xdr:nvSpPr>
            <xdr:cNvPr id="187419" name="Group Box 27" hidden="1">
              <a:extLst>
                <a:ext uri="{63B3BB69-23CF-44E3-9099-C40C66FF867C}">
                  <a14:compatExt spid="_x0000_s187419"/>
                </a:ext>
                <a:ext uri="{FF2B5EF4-FFF2-40B4-BE49-F238E27FC236}">
                  <a16:creationId xmlns:a16="http://schemas.microsoft.com/office/drawing/2014/main" id="{00000000-0008-0000-1E00-00001B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456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33</xdr:row>
          <xdr:rowOff>12700</xdr:rowOff>
        </xdr:from>
        <xdr:to>
          <xdr:col>6</xdr:col>
          <xdr:colOff>527050</xdr:colOff>
          <xdr:row>34</xdr:row>
          <xdr:rowOff>0</xdr:rowOff>
        </xdr:to>
        <xdr:sp macro="" textlink="">
          <xdr:nvSpPr>
            <xdr:cNvPr id="187420" name="Group Box 28" hidden="1">
              <a:extLst>
                <a:ext uri="{63B3BB69-23CF-44E3-9099-C40C66FF867C}">
                  <a14:compatExt spid="_x0000_s187420"/>
                </a:ext>
                <a:ext uri="{FF2B5EF4-FFF2-40B4-BE49-F238E27FC236}">
                  <a16:creationId xmlns:a16="http://schemas.microsoft.com/office/drawing/2014/main" id="{00000000-0008-0000-1E00-00001C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34</xdr:row>
          <xdr:rowOff>12700</xdr:rowOff>
        </xdr:from>
        <xdr:to>
          <xdr:col>6</xdr:col>
          <xdr:colOff>527050</xdr:colOff>
          <xdr:row>35</xdr:row>
          <xdr:rowOff>0</xdr:rowOff>
        </xdr:to>
        <xdr:sp macro="" textlink="">
          <xdr:nvSpPr>
            <xdr:cNvPr id="187421" name="Group Box 29" hidden="1">
              <a:extLst>
                <a:ext uri="{63B3BB69-23CF-44E3-9099-C40C66FF867C}">
                  <a14:compatExt spid="_x0000_s187421"/>
                </a:ext>
                <a:ext uri="{FF2B5EF4-FFF2-40B4-BE49-F238E27FC236}">
                  <a16:creationId xmlns:a16="http://schemas.microsoft.com/office/drawing/2014/main" id="{00000000-0008-0000-1E00-00001D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33</xdr:row>
          <xdr:rowOff>12700</xdr:rowOff>
        </xdr:from>
        <xdr:to>
          <xdr:col>6</xdr:col>
          <xdr:colOff>527050</xdr:colOff>
          <xdr:row>34</xdr:row>
          <xdr:rowOff>0</xdr:rowOff>
        </xdr:to>
        <xdr:sp macro="" textlink="">
          <xdr:nvSpPr>
            <xdr:cNvPr id="187422" name="Group Box 30" hidden="1">
              <a:extLst>
                <a:ext uri="{63B3BB69-23CF-44E3-9099-C40C66FF867C}">
                  <a14:compatExt spid="_x0000_s187422"/>
                </a:ext>
                <a:ext uri="{FF2B5EF4-FFF2-40B4-BE49-F238E27FC236}">
                  <a16:creationId xmlns:a16="http://schemas.microsoft.com/office/drawing/2014/main" id="{00000000-0008-0000-1E00-00001E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34</xdr:row>
          <xdr:rowOff>12700</xdr:rowOff>
        </xdr:from>
        <xdr:to>
          <xdr:col>6</xdr:col>
          <xdr:colOff>527050</xdr:colOff>
          <xdr:row>35</xdr:row>
          <xdr:rowOff>0</xdr:rowOff>
        </xdr:to>
        <xdr:sp macro="" textlink="">
          <xdr:nvSpPr>
            <xdr:cNvPr id="187423" name="Group Box 31" hidden="1">
              <a:extLst>
                <a:ext uri="{63B3BB69-23CF-44E3-9099-C40C66FF867C}">
                  <a14:compatExt spid="_x0000_s187423"/>
                </a:ext>
                <a:ext uri="{FF2B5EF4-FFF2-40B4-BE49-F238E27FC236}">
                  <a16:creationId xmlns:a16="http://schemas.microsoft.com/office/drawing/2014/main" id="{00000000-0008-0000-1E00-00001F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33</xdr:row>
          <xdr:rowOff>12700</xdr:rowOff>
        </xdr:from>
        <xdr:to>
          <xdr:col>13</xdr:col>
          <xdr:colOff>12700</xdr:colOff>
          <xdr:row>34</xdr:row>
          <xdr:rowOff>12700</xdr:rowOff>
        </xdr:to>
        <xdr:sp macro="" textlink="">
          <xdr:nvSpPr>
            <xdr:cNvPr id="187424" name="Group Box 32" hidden="1">
              <a:extLst>
                <a:ext uri="{63B3BB69-23CF-44E3-9099-C40C66FF867C}">
                  <a14:compatExt spid="_x0000_s187424"/>
                </a:ext>
                <a:ext uri="{FF2B5EF4-FFF2-40B4-BE49-F238E27FC236}">
                  <a16:creationId xmlns:a16="http://schemas.microsoft.com/office/drawing/2014/main" id="{00000000-0008-0000-1E00-000020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34</xdr:row>
          <xdr:rowOff>12700</xdr:rowOff>
        </xdr:from>
        <xdr:to>
          <xdr:col>13</xdr:col>
          <xdr:colOff>12700</xdr:colOff>
          <xdr:row>35</xdr:row>
          <xdr:rowOff>12700</xdr:rowOff>
        </xdr:to>
        <xdr:sp macro="" textlink="">
          <xdr:nvSpPr>
            <xdr:cNvPr id="187425" name="Group Box 33" hidden="1">
              <a:extLst>
                <a:ext uri="{63B3BB69-23CF-44E3-9099-C40C66FF867C}">
                  <a14:compatExt spid="_x0000_s187425"/>
                </a:ext>
                <a:ext uri="{FF2B5EF4-FFF2-40B4-BE49-F238E27FC236}">
                  <a16:creationId xmlns:a16="http://schemas.microsoft.com/office/drawing/2014/main" id="{00000000-0008-0000-1E00-000021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49</xdr:row>
          <xdr:rowOff>12700</xdr:rowOff>
        </xdr:from>
        <xdr:to>
          <xdr:col>6</xdr:col>
          <xdr:colOff>527050</xdr:colOff>
          <xdr:row>50</xdr:row>
          <xdr:rowOff>0</xdr:rowOff>
        </xdr:to>
        <xdr:sp macro="" textlink="">
          <xdr:nvSpPr>
            <xdr:cNvPr id="187426" name="Group Box 34" hidden="1">
              <a:extLst>
                <a:ext uri="{63B3BB69-23CF-44E3-9099-C40C66FF867C}">
                  <a14:compatExt spid="_x0000_s187426"/>
                </a:ext>
                <a:ext uri="{FF2B5EF4-FFF2-40B4-BE49-F238E27FC236}">
                  <a16:creationId xmlns:a16="http://schemas.microsoft.com/office/drawing/2014/main" id="{00000000-0008-0000-1E00-000022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50</xdr:row>
          <xdr:rowOff>12700</xdr:rowOff>
        </xdr:from>
        <xdr:to>
          <xdr:col>6</xdr:col>
          <xdr:colOff>527050</xdr:colOff>
          <xdr:row>51</xdr:row>
          <xdr:rowOff>0</xdr:rowOff>
        </xdr:to>
        <xdr:sp macro="" textlink="">
          <xdr:nvSpPr>
            <xdr:cNvPr id="187427" name="Group Box 35" hidden="1">
              <a:extLst>
                <a:ext uri="{63B3BB69-23CF-44E3-9099-C40C66FF867C}">
                  <a14:compatExt spid="_x0000_s187427"/>
                </a:ext>
                <a:ext uri="{FF2B5EF4-FFF2-40B4-BE49-F238E27FC236}">
                  <a16:creationId xmlns:a16="http://schemas.microsoft.com/office/drawing/2014/main" id="{00000000-0008-0000-1E00-000023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49</xdr:row>
          <xdr:rowOff>12700</xdr:rowOff>
        </xdr:from>
        <xdr:to>
          <xdr:col>13</xdr:col>
          <xdr:colOff>12700</xdr:colOff>
          <xdr:row>50</xdr:row>
          <xdr:rowOff>12700</xdr:rowOff>
        </xdr:to>
        <xdr:sp macro="" textlink="">
          <xdr:nvSpPr>
            <xdr:cNvPr id="187428" name="Group Box 36" hidden="1">
              <a:extLst>
                <a:ext uri="{63B3BB69-23CF-44E3-9099-C40C66FF867C}">
                  <a14:compatExt spid="_x0000_s187428"/>
                </a:ext>
                <a:ext uri="{FF2B5EF4-FFF2-40B4-BE49-F238E27FC236}">
                  <a16:creationId xmlns:a16="http://schemas.microsoft.com/office/drawing/2014/main" id="{00000000-0008-0000-1E00-000024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50</xdr:row>
          <xdr:rowOff>12700</xdr:rowOff>
        </xdr:from>
        <xdr:to>
          <xdr:col>13</xdr:col>
          <xdr:colOff>12700</xdr:colOff>
          <xdr:row>51</xdr:row>
          <xdr:rowOff>12700</xdr:rowOff>
        </xdr:to>
        <xdr:sp macro="" textlink="">
          <xdr:nvSpPr>
            <xdr:cNvPr id="187429" name="Group Box 37" hidden="1">
              <a:extLst>
                <a:ext uri="{63B3BB69-23CF-44E3-9099-C40C66FF867C}">
                  <a14:compatExt spid="_x0000_s187429"/>
                </a:ext>
                <a:ext uri="{FF2B5EF4-FFF2-40B4-BE49-F238E27FC236}">
                  <a16:creationId xmlns:a16="http://schemas.microsoft.com/office/drawing/2014/main" id="{00000000-0008-0000-1E00-000025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66</xdr:row>
          <xdr:rowOff>12700</xdr:rowOff>
        </xdr:from>
        <xdr:to>
          <xdr:col>6</xdr:col>
          <xdr:colOff>527050</xdr:colOff>
          <xdr:row>67</xdr:row>
          <xdr:rowOff>0</xdr:rowOff>
        </xdr:to>
        <xdr:sp macro="" textlink="">
          <xdr:nvSpPr>
            <xdr:cNvPr id="187430" name="Group Box 38" hidden="1">
              <a:extLst>
                <a:ext uri="{63B3BB69-23CF-44E3-9099-C40C66FF867C}">
                  <a14:compatExt spid="_x0000_s187430"/>
                </a:ext>
                <a:ext uri="{FF2B5EF4-FFF2-40B4-BE49-F238E27FC236}">
                  <a16:creationId xmlns:a16="http://schemas.microsoft.com/office/drawing/2014/main" id="{00000000-0008-0000-1E00-000026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660400</xdr:colOff>
          <xdr:row>67</xdr:row>
          <xdr:rowOff>12700</xdr:rowOff>
        </xdr:from>
        <xdr:to>
          <xdr:col>6</xdr:col>
          <xdr:colOff>527050</xdr:colOff>
          <xdr:row>68</xdr:row>
          <xdr:rowOff>0</xdr:rowOff>
        </xdr:to>
        <xdr:sp macro="" textlink="">
          <xdr:nvSpPr>
            <xdr:cNvPr id="187431" name="Group Box 39" hidden="1">
              <a:extLst>
                <a:ext uri="{63B3BB69-23CF-44E3-9099-C40C66FF867C}">
                  <a14:compatExt spid="_x0000_s187431"/>
                </a:ext>
                <a:ext uri="{FF2B5EF4-FFF2-40B4-BE49-F238E27FC236}">
                  <a16:creationId xmlns:a16="http://schemas.microsoft.com/office/drawing/2014/main" id="{00000000-0008-0000-1E00-000027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66</xdr:row>
          <xdr:rowOff>12700</xdr:rowOff>
        </xdr:from>
        <xdr:to>
          <xdr:col>13</xdr:col>
          <xdr:colOff>12700</xdr:colOff>
          <xdr:row>67</xdr:row>
          <xdr:rowOff>12700</xdr:rowOff>
        </xdr:to>
        <xdr:sp macro="" textlink="">
          <xdr:nvSpPr>
            <xdr:cNvPr id="187432" name="Group Box 40" hidden="1">
              <a:extLst>
                <a:ext uri="{63B3BB69-23CF-44E3-9099-C40C66FF867C}">
                  <a14:compatExt spid="_x0000_s187432"/>
                </a:ext>
                <a:ext uri="{FF2B5EF4-FFF2-40B4-BE49-F238E27FC236}">
                  <a16:creationId xmlns:a16="http://schemas.microsoft.com/office/drawing/2014/main" id="{00000000-0008-0000-1E00-000028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374650</xdr:colOff>
          <xdr:row>67</xdr:row>
          <xdr:rowOff>12700</xdr:rowOff>
        </xdr:from>
        <xdr:to>
          <xdr:col>13</xdr:col>
          <xdr:colOff>12700</xdr:colOff>
          <xdr:row>68</xdr:row>
          <xdr:rowOff>12700</xdr:rowOff>
        </xdr:to>
        <xdr:sp macro="" textlink="">
          <xdr:nvSpPr>
            <xdr:cNvPr id="187433" name="Group Box 41" hidden="1">
              <a:extLst>
                <a:ext uri="{63B3BB69-23CF-44E3-9099-C40C66FF867C}">
                  <a14:compatExt spid="_x0000_s187433"/>
                </a:ext>
                <a:ext uri="{FF2B5EF4-FFF2-40B4-BE49-F238E27FC236}">
                  <a16:creationId xmlns:a16="http://schemas.microsoft.com/office/drawing/2014/main" id="{00000000-0008-0000-1E00-000029DC02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23</a:t>
              </a:r>
            </a:p>
          </xdr:txBody>
        </xdr:sp>
        <xdr:clientData/>
      </xdr:twoCellAnchor>
    </mc:Choice>
    <mc:Fallback/>
  </mc:AlternateContent>
  <xdr:twoCellAnchor editAs="oneCell">
    <xdr:from>
      <xdr:col>8</xdr:col>
      <xdr:colOff>393024</xdr:colOff>
      <xdr:row>0</xdr:row>
      <xdr:rowOff>0</xdr:rowOff>
    </xdr:from>
    <xdr:to>
      <xdr:col>15</xdr:col>
      <xdr:colOff>0</xdr:colOff>
      <xdr:row>1</xdr:row>
      <xdr:rowOff>181587</xdr:rowOff>
    </xdr:to>
    <xdr:pic>
      <xdr:nvPicPr>
        <xdr:cNvPr id="44" name="Picture 43" descr="PSEGLI_2c_v">
          <a:extLst>
            <a:ext uri="{FF2B5EF4-FFF2-40B4-BE49-F238E27FC236}">
              <a16:creationId xmlns:a16="http://schemas.microsoft.com/office/drawing/2014/main" id="{00000000-0008-0000-1E00-00002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5328706" y="0"/>
          <a:ext cx="2663635" cy="761746"/>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9525</xdr:colOff>
      <xdr:row>13</xdr:row>
      <xdr:rowOff>9525</xdr:rowOff>
    </xdr:from>
    <xdr:to>
      <xdr:col>11</xdr:col>
      <xdr:colOff>123825</xdr:colOff>
      <xdr:row>19</xdr:row>
      <xdr:rowOff>590550</xdr:rowOff>
    </xdr:to>
    <xdr:pic>
      <xdr:nvPicPr>
        <xdr:cNvPr id="6" name="Picture 5">
          <a:extLst>
            <a:ext uri="{FF2B5EF4-FFF2-40B4-BE49-F238E27FC236}">
              <a16:creationId xmlns:a16="http://schemas.microsoft.com/office/drawing/2014/main" id="{00000000-0008-0000-2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19125" y="2800350"/>
          <a:ext cx="7324725" cy="1743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247650</xdr:colOff>
      <xdr:row>10</xdr:row>
      <xdr:rowOff>38100</xdr:rowOff>
    </xdr:from>
    <xdr:to>
      <xdr:col>31</xdr:col>
      <xdr:colOff>116417</xdr:colOff>
      <xdr:row>17</xdr:row>
      <xdr:rowOff>28575</xdr:rowOff>
    </xdr:to>
    <xdr:pic>
      <xdr:nvPicPr>
        <xdr:cNvPr id="7" name="Picture 6">
          <a:extLst>
            <a:ext uri="{FF2B5EF4-FFF2-40B4-BE49-F238E27FC236}">
              <a16:creationId xmlns:a16="http://schemas.microsoft.com/office/drawing/2014/main" id="{00000000-0008-0000-20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8782050" y="2162175"/>
          <a:ext cx="14468475" cy="1352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533400</xdr:colOff>
      <xdr:row>19</xdr:row>
      <xdr:rowOff>438150</xdr:rowOff>
    </xdr:from>
    <xdr:to>
      <xdr:col>43</xdr:col>
      <xdr:colOff>330503</xdr:colOff>
      <xdr:row>23</xdr:row>
      <xdr:rowOff>112183</xdr:rowOff>
    </xdr:to>
    <xdr:pic>
      <xdr:nvPicPr>
        <xdr:cNvPr id="5" name="Picture 4">
          <a:extLst>
            <a:ext uri="{FF2B5EF4-FFF2-40B4-BE49-F238E27FC236}">
              <a16:creationId xmlns:a16="http://schemas.microsoft.com/office/drawing/2014/main" id="{00000000-0008-0000-2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4136350" y="4286250"/>
          <a:ext cx="10372725" cy="1552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48</xdr:col>
      <xdr:colOff>0</xdr:colOff>
      <xdr:row>10</xdr:row>
      <xdr:rowOff>0</xdr:rowOff>
    </xdr:from>
    <xdr:to>
      <xdr:col>64</xdr:col>
      <xdr:colOff>9524</xdr:colOff>
      <xdr:row>17</xdr:row>
      <xdr:rowOff>76200</xdr:rowOff>
    </xdr:to>
    <xdr:pic>
      <xdr:nvPicPr>
        <xdr:cNvPr id="21" name="Picture 20">
          <a:extLst>
            <a:ext uri="{FF2B5EF4-FFF2-40B4-BE49-F238E27FC236}">
              <a16:creationId xmlns:a16="http://schemas.microsoft.com/office/drawing/2014/main" id="{00000000-0008-0000-2000-00001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7661850" y="2209800"/>
          <a:ext cx="14754225" cy="14382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33</xdr:col>
      <xdr:colOff>31751</xdr:colOff>
      <xdr:row>11</xdr:row>
      <xdr:rowOff>95250</xdr:rowOff>
    </xdr:from>
    <xdr:to>
      <xdr:col>45</xdr:col>
      <xdr:colOff>193222</xdr:colOff>
      <xdr:row>19</xdr:row>
      <xdr:rowOff>368300</xdr:rowOff>
    </xdr:to>
    <xdr:pic>
      <xdr:nvPicPr>
        <xdr:cNvPr id="14" name="Picture 13">
          <a:extLst>
            <a:ext uri="{FF2B5EF4-FFF2-40B4-BE49-F238E27FC236}">
              <a16:creationId xmlns:a16="http://schemas.microsoft.com/office/drawing/2014/main" id="{00000000-0008-0000-2000-00000E0000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7664834" y="2487083"/>
          <a:ext cx="11633805" cy="1797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67</xdr:col>
      <xdr:colOff>0</xdr:colOff>
      <xdr:row>11</xdr:row>
      <xdr:rowOff>0</xdr:rowOff>
    </xdr:from>
    <xdr:to>
      <xdr:col>79</xdr:col>
      <xdr:colOff>9526</xdr:colOff>
      <xdr:row>19</xdr:row>
      <xdr:rowOff>276225</xdr:rowOff>
    </xdr:to>
    <xdr:pic>
      <xdr:nvPicPr>
        <xdr:cNvPr id="16" name="Picture 15">
          <a:extLst>
            <a:ext uri="{FF2B5EF4-FFF2-40B4-BE49-F238E27FC236}">
              <a16:creationId xmlns:a16="http://schemas.microsoft.com/office/drawing/2014/main" id="{00000000-0008-0000-2000-0000100000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56445150" y="2400300"/>
          <a:ext cx="9401175"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0</xdr:colOff>
      <xdr:row>20</xdr:row>
      <xdr:rowOff>0</xdr:rowOff>
    </xdr:from>
    <xdr:to>
      <xdr:col>13</xdr:col>
      <xdr:colOff>9525</xdr:colOff>
      <xdr:row>28</xdr:row>
      <xdr:rowOff>28575</xdr:rowOff>
    </xdr:to>
    <xdr:pic>
      <xdr:nvPicPr>
        <xdr:cNvPr id="19" name="Picture 18">
          <a:extLst>
            <a:ext uri="{FF2B5EF4-FFF2-40B4-BE49-F238E27FC236}">
              <a16:creationId xmlns:a16="http://schemas.microsoft.com/office/drawing/2014/main" id="{00000000-0008-0000-2000-0000130000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609600" y="5000625"/>
          <a:ext cx="9239250" cy="1828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30</xdr:col>
      <xdr:colOff>486834</xdr:colOff>
      <xdr:row>24</xdr:row>
      <xdr:rowOff>179917</xdr:rowOff>
    </xdr:from>
    <xdr:to>
      <xdr:col>44</xdr:col>
      <xdr:colOff>372534</xdr:colOff>
      <xdr:row>34</xdr:row>
      <xdr:rowOff>106892</xdr:rowOff>
    </xdr:to>
    <xdr:pic>
      <xdr:nvPicPr>
        <xdr:cNvPr id="10" name="Picture 9">
          <a:extLst>
            <a:ext uri="{FF2B5EF4-FFF2-40B4-BE49-F238E27FC236}">
              <a16:creationId xmlns:a16="http://schemas.microsoft.com/office/drawing/2014/main" id="{00000000-0008-0000-2000-00000A000000}"/>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5791584" y="5799667"/>
          <a:ext cx="12582525" cy="1733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13</xdr:col>
      <xdr:colOff>433916</xdr:colOff>
      <xdr:row>42</xdr:row>
      <xdr:rowOff>169333</xdr:rowOff>
    </xdr:from>
    <xdr:to>
      <xdr:col>26</xdr:col>
      <xdr:colOff>311150</xdr:colOff>
      <xdr:row>50</xdr:row>
      <xdr:rowOff>133200</xdr:rowOff>
    </xdr:to>
    <xdr:pic>
      <xdr:nvPicPr>
        <xdr:cNvPr id="11" name="Picture 10">
          <a:extLst>
            <a:ext uri="{FF2B5EF4-FFF2-40B4-BE49-F238E27FC236}">
              <a16:creationId xmlns:a16="http://schemas.microsoft.com/office/drawing/2014/main" id="{00000000-0008-0000-2000-00000B00000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0551583" y="9218083"/>
          <a:ext cx="11138959" cy="14213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51</xdr:row>
      <xdr:rowOff>0</xdr:rowOff>
    </xdr:from>
    <xdr:to>
      <xdr:col>43</xdr:col>
      <xdr:colOff>9525</xdr:colOff>
      <xdr:row>60</xdr:row>
      <xdr:rowOff>11641</xdr:rowOff>
    </xdr:to>
    <xdr:pic>
      <xdr:nvPicPr>
        <xdr:cNvPr id="18" name="Picture 17">
          <a:extLst>
            <a:ext uri="{FF2B5EF4-FFF2-40B4-BE49-F238E27FC236}">
              <a16:creationId xmlns:a16="http://schemas.microsoft.com/office/drawing/2014/main" id="{00000000-0008-0000-2000-000012000000}"/>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26949400" y="10909300"/>
          <a:ext cx="10388600" cy="1835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66</xdr:row>
      <xdr:rowOff>0</xdr:rowOff>
    </xdr:from>
    <xdr:to>
      <xdr:col>24</xdr:col>
      <xdr:colOff>142875</xdr:colOff>
      <xdr:row>73</xdr:row>
      <xdr:rowOff>161925</xdr:rowOff>
    </xdr:to>
    <xdr:pic>
      <xdr:nvPicPr>
        <xdr:cNvPr id="13" name="Picture 12">
          <a:extLst>
            <a:ext uri="{FF2B5EF4-FFF2-40B4-BE49-F238E27FC236}">
              <a16:creationId xmlns:a16="http://schemas.microsoft.com/office/drawing/2014/main" id="{00000000-0008-0000-2000-00000D000000}"/>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0693400" y="13836650"/>
          <a:ext cx="8083550" cy="1454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32</xdr:col>
      <xdr:colOff>0</xdr:colOff>
      <xdr:row>78</xdr:row>
      <xdr:rowOff>0</xdr:rowOff>
    </xdr:from>
    <xdr:to>
      <xdr:col>43</xdr:col>
      <xdr:colOff>6350</xdr:colOff>
      <xdr:row>86</xdr:row>
      <xdr:rowOff>7409</xdr:rowOff>
    </xdr:to>
    <xdr:pic>
      <xdr:nvPicPr>
        <xdr:cNvPr id="17" name="Picture 16">
          <a:extLst>
            <a:ext uri="{FF2B5EF4-FFF2-40B4-BE49-F238E27FC236}">
              <a16:creationId xmlns:a16="http://schemas.microsoft.com/office/drawing/2014/main" id="{00000000-0008-0000-2000-000011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460450" y="16217900"/>
          <a:ext cx="10388600" cy="1822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0</xdr:colOff>
      <xdr:row>91</xdr:row>
      <xdr:rowOff>0</xdr:rowOff>
    </xdr:from>
    <xdr:to>
      <xdr:col>28</xdr:col>
      <xdr:colOff>9525</xdr:colOff>
      <xdr:row>99</xdr:row>
      <xdr:rowOff>161925</xdr:rowOff>
    </xdr:to>
    <xdr:pic>
      <xdr:nvPicPr>
        <xdr:cNvPr id="20" name="Picture 19">
          <a:extLst>
            <a:ext uri="{FF2B5EF4-FFF2-40B4-BE49-F238E27FC236}">
              <a16:creationId xmlns:a16="http://schemas.microsoft.com/office/drawing/2014/main" id="{00000000-0008-0000-2000-000014000000}"/>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10693400" y="18948400"/>
          <a:ext cx="12280900" cy="163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31</xdr:col>
      <xdr:colOff>560916</xdr:colOff>
      <xdr:row>86</xdr:row>
      <xdr:rowOff>137583</xdr:rowOff>
    </xdr:from>
    <xdr:to>
      <xdr:col>42</xdr:col>
      <xdr:colOff>877358</xdr:colOff>
      <xdr:row>96</xdr:row>
      <xdr:rowOff>125941</xdr:rowOff>
    </xdr:to>
    <xdr:pic>
      <xdr:nvPicPr>
        <xdr:cNvPr id="15" name="Picture 14">
          <a:extLst>
            <a:ext uri="{FF2B5EF4-FFF2-40B4-BE49-F238E27FC236}">
              <a16:creationId xmlns:a16="http://schemas.microsoft.com/office/drawing/2014/main" id="{00000000-0008-0000-2000-00000F000000}"/>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26479499" y="18002250"/>
          <a:ext cx="10381192" cy="1781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12700</xdr:colOff>
          <xdr:row>28</xdr:row>
          <xdr:rowOff>69850</xdr:rowOff>
        </xdr:from>
        <xdr:to>
          <xdr:col>6</xdr:col>
          <xdr:colOff>469900</xdr:colOff>
          <xdr:row>31</xdr:row>
          <xdr:rowOff>0</xdr:rowOff>
        </xdr:to>
        <xdr:sp macro="" textlink="">
          <xdr:nvSpPr>
            <xdr:cNvPr id="10243" name="Group Box 3" hidden="1">
              <a:extLst>
                <a:ext uri="{63B3BB69-23CF-44E3-9099-C40C66FF867C}">
                  <a14:compatExt spid="_x0000_s10243"/>
                </a:ext>
                <a:ext uri="{FF2B5EF4-FFF2-40B4-BE49-F238E27FC236}">
                  <a16:creationId xmlns:a16="http://schemas.microsoft.com/office/drawing/2014/main" id="{00000000-0008-0000-2300-000003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584200</xdr:colOff>
          <xdr:row>66</xdr:row>
          <xdr:rowOff>0</xdr:rowOff>
        </xdr:from>
        <xdr:to>
          <xdr:col>6</xdr:col>
          <xdr:colOff>0</xdr:colOff>
          <xdr:row>67</xdr:row>
          <xdr:rowOff>0</xdr:rowOff>
        </xdr:to>
        <xdr:sp macro="" textlink="">
          <xdr:nvSpPr>
            <xdr:cNvPr id="10277" name="Option Button 37" hidden="1">
              <a:extLst>
                <a:ext uri="{63B3BB69-23CF-44E3-9099-C40C66FF867C}">
                  <a14:compatExt spid="_x0000_s10277"/>
                </a:ext>
                <a:ext uri="{FF2B5EF4-FFF2-40B4-BE49-F238E27FC236}">
                  <a16:creationId xmlns:a16="http://schemas.microsoft.com/office/drawing/2014/main" id="{00000000-0008-0000-2300-00002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374650</xdr:colOff>
          <xdr:row>66</xdr:row>
          <xdr:rowOff>0</xdr:rowOff>
        </xdr:from>
        <xdr:to>
          <xdr:col>6</xdr:col>
          <xdr:colOff>571500</xdr:colOff>
          <xdr:row>68</xdr:row>
          <xdr:rowOff>152400</xdr:rowOff>
        </xdr:to>
        <xdr:sp macro="" textlink="">
          <xdr:nvSpPr>
            <xdr:cNvPr id="10278" name="Group Box 38" hidden="1">
              <a:extLst>
                <a:ext uri="{63B3BB69-23CF-44E3-9099-C40C66FF867C}">
                  <a14:compatExt spid="_x0000_s10278"/>
                </a:ext>
                <a:ext uri="{FF2B5EF4-FFF2-40B4-BE49-F238E27FC236}">
                  <a16:creationId xmlns:a16="http://schemas.microsoft.com/office/drawing/2014/main" id="{00000000-0008-0000-2300-0000262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469900</xdr:colOff>
          <xdr:row>66</xdr:row>
          <xdr:rowOff>0</xdr:rowOff>
        </xdr:from>
        <xdr:to>
          <xdr:col>5</xdr:col>
          <xdr:colOff>57150</xdr:colOff>
          <xdr:row>67</xdr:row>
          <xdr:rowOff>69850</xdr:rowOff>
        </xdr:to>
        <xdr:sp macro="" textlink="">
          <xdr:nvSpPr>
            <xdr:cNvPr id="10280" name="Option Button 40" hidden="1">
              <a:extLst>
                <a:ext uri="{63B3BB69-23CF-44E3-9099-C40C66FF867C}">
                  <a14:compatExt spid="_x0000_s10280"/>
                </a:ext>
                <a:ext uri="{FF2B5EF4-FFF2-40B4-BE49-F238E27FC236}">
                  <a16:creationId xmlns:a16="http://schemas.microsoft.com/office/drawing/2014/main" id="{00000000-0008-0000-2300-00002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584200</xdr:colOff>
          <xdr:row>66</xdr:row>
          <xdr:rowOff>0</xdr:rowOff>
        </xdr:from>
        <xdr:to>
          <xdr:col>6</xdr:col>
          <xdr:colOff>0</xdr:colOff>
          <xdr:row>67</xdr:row>
          <xdr:rowOff>0</xdr:rowOff>
        </xdr:to>
        <xdr:sp macro="" textlink="">
          <xdr:nvSpPr>
            <xdr:cNvPr id="10281" name="Option Button 41" hidden="1">
              <a:extLst>
                <a:ext uri="{63B3BB69-23CF-44E3-9099-C40C66FF867C}">
                  <a14:compatExt spid="_x0000_s10281"/>
                </a:ext>
                <a:ext uri="{FF2B5EF4-FFF2-40B4-BE49-F238E27FC236}">
                  <a16:creationId xmlns:a16="http://schemas.microsoft.com/office/drawing/2014/main" id="{00000000-0008-0000-2300-00002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1060450</xdr:colOff>
          <xdr:row>39</xdr:row>
          <xdr:rowOff>50800</xdr:rowOff>
        </xdr:from>
        <xdr:to>
          <xdr:col>6</xdr:col>
          <xdr:colOff>0</xdr:colOff>
          <xdr:row>40</xdr:row>
          <xdr:rowOff>50800</xdr:rowOff>
        </xdr:to>
        <xdr:sp macro="" textlink="">
          <xdr:nvSpPr>
            <xdr:cNvPr id="10292" name="Option Button 52" hidden="1">
              <a:extLst>
                <a:ext uri="{63B3BB69-23CF-44E3-9099-C40C66FF867C}">
                  <a14:compatExt spid="_x0000_s10292"/>
                </a:ext>
                <a:ext uri="{FF2B5EF4-FFF2-40B4-BE49-F238E27FC236}">
                  <a16:creationId xmlns:a16="http://schemas.microsoft.com/office/drawing/2014/main" id="{00000000-0008-0000-2300-00003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1022350</xdr:colOff>
          <xdr:row>38</xdr:row>
          <xdr:rowOff>165100</xdr:rowOff>
        </xdr:from>
        <xdr:to>
          <xdr:col>5</xdr:col>
          <xdr:colOff>495300</xdr:colOff>
          <xdr:row>40</xdr:row>
          <xdr:rowOff>88900</xdr:rowOff>
        </xdr:to>
        <xdr:sp macro="" textlink="">
          <xdr:nvSpPr>
            <xdr:cNvPr id="10293" name="Option Button 53" hidden="1">
              <a:extLst>
                <a:ext uri="{63B3BB69-23CF-44E3-9099-C40C66FF867C}">
                  <a14:compatExt spid="_x0000_s10293"/>
                </a:ext>
                <a:ext uri="{FF2B5EF4-FFF2-40B4-BE49-F238E27FC236}">
                  <a16:creationId xmlns:a16="http://schemas.microsoft.com/office/drawing/2014/main" id="{00000000-0008-0000-2300-00003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546100</xdr:colOff>
          <xdr:row>38</xdr:row>
          <xdr:rowOff>190500</xdr:rowOff>
        </xdr:from>
        <xdr:to>
          <xdr:col>4</xdr:col>
          <xdr:colOff>152400</xdr:colOff>
          <xdr:row>40</xdr:row>
          <xdr:rowOff>50800</xdr:rowOff>
        </xdr:to>
        <xdr:sp macro="" textlink="">
          <xdr:nvSpPr>
            <xdr:cNvPr id="10294" name="Option Button 54" hidden="1">
              <a:extLst>
                <a:ext uri="{63B3BB69-23CF-44E3-9099-C40C66FF867C}">
                  <a14:compatExt spid="_x0000_s10294"/>
                </a:ext>
                <a:ext uri="{FF2B5EF4-FFF2-40B4-BE49-F238E27FC236}">
                  <a16:creationId xmlns:a16="http://schemas.microsoft.com/office/drawing/2014/main" id="{00000000-0008-0000-2300-00003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1155700</xdr:colOff>
          <xdr:row>9</xdr:row>
          <xdr:rowOff>393700</xdr:rowOff>
        </xdr:from>
        <xdr:to>
          <xdr:col>2</xdr:col>
          <xdr:colOff>628650</xdr:colOff>
          <xdr:row>12</xdr:row>
          <xdr:rowOff>0</xdr:rowOff>
        </xdr:to>
        <xdr:sp macro="" textlink="">
          <xdr:nvSpPr>
            <xdr:cNvPr id="10544" name="Group Box 304" hidden="1">
              <a:extLst>
                <a:ext uri="{63B3BB69-23CF-44E3-9099-C40C66FF867C}">
                  <a14:compatExt spid="_x0000_s10544"/>
                </a:ext>
                <a:ext uri="{FF2B5EF4-FFF2-40B4-BE49-F238E27FC236}">
                  <a16:creationId xmlns:a16="http://schemas.microsoft.com/office/drawing/2014/main" id="{00000000-0008-0000-2300-000030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304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9</xdr:row>
          <xdr:rowOff>342900</xdr:rowOff>
        </xdr:from>
        <xdr:to>
          <xdr:col>4</xdr:col>
          <xdr:colOff>95250</xdr:colOff>
          <xdr:row>12</xdr:row>
          <xdr:rowOff>0</xdr:rowOff>
        </xdr:to>
        <xdr:sp macro="" textlink="">
          <xdr:nvSpPr>
            <xdr:cNvPr id="10545" name="Group Box 305" hidden="1">
              <a:extLst>
                <a:ext uri="{63B3BB69-23CF-44E3-9099-C40C66FF867C}">
                  <a14:compatExt spid="_x0000_s10545"/>
                </a:ext>
                <a:ext uri="{FF2B5EF4-FFF2-40B4-BE49-F238E27FC236}">
                  <a16:creationId xmlns:a16="http://schemas.microsoft.com/office/drawing/2014/main" id="{00000000-0008-0000-2300-000031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305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476250</xdr:colOff>
          <xdr:row>20</xdr:row>
          <xdr:rowOff>146050</xdr:rowOff>
        </xdr:from>
        <xdr:to>
          <xdr:col>5</xdr:col>
          <xdr:colOff>533400</xdr:colOff>
          <xdr:row>21</xdr:row>
          <xdr:rowOff>165100</xdr:rowOff>
        </xdr:to>
        <xdr:sp macro="" textlink="">
          <xdr:nvSpPr>
            <xdr:cNvPr id="10546" name="Option Button 306" hidden="1">
              <a:extLst>
                <a:ext uri="{63B3BB69-23CF-44E3-9099-C40C66FF867C}">
                  <a14:compatExt spid="_x0000_s10546"/>
                </a:ext>
                <a:ext uri="{FF2B5EF4-FFF2-40B4-BE49-F238E27FC236}">
                  <a16:creationId xmlns:a16="http://schemas.microsoft.com/office/drawing/2014/main" id="{00000000-0008-0000-2300-000032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Dry Coil (blower only, fan on cooling speed)</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20</xdr:row>
          <xdr:rowOff>146050</xdr:rowOff>
        </xdr:from>
        <xdr:to>
          <xdr:col>9</xdr:col>
          <xdr:colOff>0</xdr:colOff>
          <xdr:row>21</xdr:row>
          <xdr:rowOff>165100</xdr:rowOff>
        </xdr:to>
        <xdr:sp macro="" textlink="">
          <xdr:nvSpPr>
            <xdr:cNvPr id="10547" name="Option Button 307" hidden="1">
              <a:extLst>
                <a:ext uri="{63B3BB69-23CF-44E3-9099-C40C66FF867C}">
                  <a14:compatExt spid="_x0000_s10547"/>
                </a:ext>
                <a:ext uri="{FF2B5EF4-FFF2-40B4-BE49-F238E27FC236}">
                  <a16:creationId xmlns:a16="http://schemas.microsoft.com/office/drawing/2014/main" id="{00000000-0008-0000-2300-000033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Wet Coil (entire A/C unit operating)</a:t>
              </a:r>
            </a:p>
          </xdr:txBody>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850900</xdr:colOff>
          <xdr:row>66</xdr:row>
          <xdr:rowOff>0</xdr:rowOff>
        </xdr:from>
        <xdr:to>
          <xdr:col>1</xdr:col>
          <xdr:colOff>469900</xdr:colOff>
          <xdr:row>67</xdr:row>
          <xdr:rowOff>76200</xdr:rowOff>
        </xdr:to>
        <xdr:sp macro="" textlink="">
          <xdr:nvSpPr>
            <xdr:cNvPr id="10549" name="Option Button 309" hidden="1">
              <a:extLst>
                <a:ext uri="{63B3BB69-23CF-44E3-9099-C40C66FF867C}">
                  <a14:compatExt spid="_x0000_s10549"/>
                </a:ext>
                <a:ext uri="{FF2B5EF4-FFF2-40B4-BE49-F238E27FC236}">
                  <a16:creationId xmlns:a16="http://schemas.microsoft.com/office/drawing/2014/main" id="{00000000-0008-0000-2300-000035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476250</xdr:colOff>
          <xdr:row>66</xdr:row>
          <xdr:rowOff>0</xdr:rowOff>
        </xdr:from>
        <xdr:to>
          <xdr:col>3</xdr:col>
          <xdr:colOff>323850</xdr:colOff>
          <xdr:row>68</xdr:row>
          <xdr:rowOff>0</xdr:rowOff>
        </xdr:to>
        <xdr:sp macro="" textlink="">
          <xdr:nvSpPr>
            <xdr:cNvPr id="10550" name="Option Button 310" hidden="1">
              <a:extLst>
                <a:ext uri="{63B3BB69-23CF-44E3-9099-C40C66FF867C}">
                  <a14:compatExt spid="_x0000_s10550"/>
                </a:ext>
                <a:ext uri="{FF2B5EF4-FFF2-40B4-BE49-F238E27FC236}">
                  <a16:creationId xmlns:a16="http://schemas.microsoft.com/office/drawing/2014/main" id="{00000000-0008-0000-2300-000036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1250950</xdr:colOff>
          <xdr:row>66</xdr:row>
          <xdr:rowOff>0</xdr:rowOff>
        </xdr:from>
        <xdr:to>
          <xdr:col>4</xdr:col>
          <xdr:colOff>0</xdr:colOff>
          <xdr:row>68</xdr:row>
          <xdr:rowOff>12700</xdr:rowOff>
        </xdr:to>
        <xdr:sp macro="" textlink="">
          <xdr:nvSpPr>
            <xdr:cNvPr id="10551" name="Option Button 311" hidden="1">
              <a:extLst>
                <a:ext uri="{63B3BB69-23CF-44E3-9099-C40C66FF867C}">
                  <a14:compatExt spid="_x0000_s10551"/>
                </a:ext>
                <a:ext uri="{FF2B5EF4-FFF2-40B4-BE49-F238E27FC236}">
                  <a16:creationId xmlns:a16="http://schemas.microsoft.com/office/drawing/2014/main" id="{00000000-0008-0000-2300-000037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685800</xdr:colOff>
          <xdr:row>66</xdr:row>
          <xdr:rowOff>0</xdr:rowOff>
        </xdr:from>
        <xdr:to>
          <xdr:col>3</xdr:col>
          <xdr:colOff>1422400</xdr:colOff>
          <xdr:row>70</xdr:row>
          <xdr:rowOff>0</xdr:rowOff>
        </xdr:to>
        <xdr:sp macro="" textlink="">
          <xdr:nvSpPr>
            <xdr:cNvPr id="10552" name="Group Box 312" hidden="1">
              <a:extLst>
                <a:ext uri="{63B3BB69-23CF-44E3-9099-C40C66FF867C}">
                  <a14:compatExt spid="_x0000_s10552"/>
                </a:ext>
                <a:ext uri="{FF2B5EF4-FFF2-40B4-BE49-F238E27FC236}">
                  <a16:creationId xmlns:a16="http://schemas.microsoft.com/office/drawing/2014/main" id="{00000000-0008-0000-2300-000038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793750</xdr:colOff>
          <xdr:row>38</xdr:row>
          <xdr:rowOff>69850</xdr:rowOff>
        </xdr:from>
        <xdr:to>
          <xdr:col>8</xdr:col>
          <xdr:colOff>0</xdr:colOff>
          <xdr:row>41</xdr:row>
          <xdr:rowOff>146050</xdr:rowOff>
        </xdr:to>
        <xdr:sp macro="" textlink="">
          <xdr:nvSpPr>
            <xdr:cNvPr id="10553" name="Group Box 313" hidden="1">
              <a:extLst>
                <a:ext uri="{63B3BB69-23CF-44E3-9099-C40C66FF867C}">
                  <a14:compatExt spid="_x0000_s10553"/>
                </a:ext>
                <a:ext uri="{FF2B5EF4-FFF2-40B4-BE49-F238E27FC236}">
                  <a16:creationId xmlns:a16="http://schemas.microsoft.com/office/drawing/2014/main" id="{00000000-0008-0000-2300-000039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66</xdr:row>
          <xdr:rowOff>0</xdr:rowOff>
        </xdr:from>
        <xdr:to>
          <xdr:col>6</xdr:col>
          <xdr:colOff>419100</xdr:colOff>
          <xdr:row>69</xdr:row>
          <xdr:rowOff>95250</xdr:rowOff>
        </xdr:to>
        <xdr:sp macro="" textlink="">
          <xdr:nvSpPr>
            <xdr:cNvPr id="10555" name="Group Box 315" hidden="1">
              <a:extLst>
                <a:ext uri="{63B3BB69-23CF-44E3-9099-C40C66FF867C}">
                  <a14:compatExt spid="_x0000_s10555"/>
                </a:ext>
                <a:ext uri="{FF2B5EF4-FFF2-40B4-BE49-F238E27FC236}">
                  <a16:creationId xmlns:a16="http://schemas.microsoft.com/office/drawing/2014/main" id="{00000000-0008-0000-2300-00003B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247650</xdr:colOff>
          <xdr:row>70</xdr:row>
          <xdr:rowOff>88900</xdr:rowOff>
        </xdr:from>
        <xdr:to>
          <xdr:col>2</xdr:col>
          <xdr:colOff>355600</xdr:colOff>
          <xdr:row>73</xdr:row>
          <xdr:rowOff>88900</xdr:rowOff>
        </xdr:to>
        <xdr:sp macro="" textlink="">
          <xdr:nvSpPr>
            <xdr:cNvPr id="10557" name="Option Button 317" hidden="1">
              <a:extLst>
                <a:ext uri="{63B3BB69-23CF-44E3-9099-C40C66FF867C}">
                  <a14:compatExt spid="_x0000_s10557"/>
                </a:ext>
                <a:ext uri="{FF2B5EF4-FFF2-40B4-BE49-F238E27FC236}">
                  <a16:creationId xmlns:a16="http://schemas.microsoft.com/office/drawing/2014/main" id="{00000000-0008-0000-2300-00003D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70</xdr:row>
          <xdr:rowOff>69850</xdr:rowOff>
        </xdr:from>
        <xdr:to>
          <xdr:col>3</xdr:col>
          <xdr:colOff>1422400</xdr:colOff>
          <xdr:row>74</xdr:row>
          <xdr:rowOff>50800</xdr:rowOff>
        </xdr:to>
        <xdr:sp macro="" textlink="">
          <xdr:nvSpPr>
            <xdr:cNvPr id="10559" name="Group Box 319" hidden="1">
              <a:extLst>
                <a:ext uri="{63B3BB69-23CF-44E3-9099-C40C66FF867C}">
                  <a14:compatExt spid="_x0000_s10559"/>
                </a:ext>
                <a:ext uri="{FF2B5EF4-FFF2-40B4-BE49-F238E27FC236}">
                  <a16:creationId xmlns:a16="http://schemas.microsoft.com/office/drawing/2014/main" id="{00000000-0008-0000-2300-00003F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209550</xdr:colOff>
          <xdr:row>45</xdr:row>
          <xdr:rowOff>38100</xdr:rowOff>
        </xdr:from>
        <xdr:to>
          <xdr:col>2</xdr:col>
          <xdr:colOff>355600</xdr:colOff>
          <xdr:row>47</xdr:row>
          <xdr:rowOff>127000</xdr:rowOff>
        </xdr:to>
        <xdr:sp macro="" textlink="">
          <xdr:nvSpPr>
            <xdr:cNvPr id="10561" name="Option Button 321" hidden="1">
              <a:extLst>
                <a:ext uri="{63B3BB69-23CF-44E3-9099-C40C66FF867C}">
                  <a14:compatExt spid="_x0000_s10561"/>
                </a:ext>
                <a:ext uri="{FF2B5EF4-FFF2-40B4-BE49-F238E27FC236}">
                  <a16:creationId xmlns:a16="http://schemas.microsoft.com/office/drawing/2014/main" id="{00000000-0008-0000-2300-0000412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476250</xdr:colOff>
          <xdr:row>125</xdr:row>
          <xdr:rowOff>69850</xdr:rowOff>
        </xdr:from>
        <xdr:to>
          <xdr:col>3</xdr:col>
          <xdr:colOff>1422400</xdr:colOff>
          <xdr:row>129</xdr:row>
          <xdr:rowOff>69850</xdr:rowOff>
        </xdr:to>
        <xdr:sp macro="" textlink="">
          <xdr:nvSpPr>
            <xdr:cNvPr id="10563" name="Group Box 323" hidden="1">
              <a:extLst>
                <a:ext uri="{63B3BB69-23CF-44E3-9099-C40C66FF867C}">
                  <a14:compatExt spid="_x0000_s10563"/>
                </a:ext>
                <a:ext uri="{FF2B5EF4-FFF2-40B4-BE49-F238E27FC236}">
                  <a16:creationId xmlns:a16="http://schemas.microsoft.com/office/drawing/2014/main" id="{00000000-0008-0000-2300-0000432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312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222250</xdr:colOff>
          <xdr:row>123</xdr:row>
          <xdr:rowOff>0</xdr:rowOff>
        </xdr:from>
        <xdr:to>
          <xdr:col>14</xdr:col>
          <xdr:colOff>603250</xdr:colOff>
          <xdr:row>125</xdr:row>
          <xdr:rowOff>165100</xdr:rowOff>
        </xdr:to>
        <xdr:sp macro="" textlink="">
          <xdr:nvSpPr>
            <xdr:cNvPr id="10955" name="CommandButton1" hidden="1">
              <a:extLst>
                <a:ext uri="{63B3BB69-23CF-44E3-9099-C40C66FF867C}">
                  <a14:compatExt spid="_x0000_s10955"/>
                </a:ext>
                <a:ext uri="{FF2B5EF4-FFF2-40B4-BE49-F238E27FC236}">
                  <a16:creationId xmlns:a16="http://schemas.microsoft.com/office/drawing/2014/main" id="{00000000-0008-0000-2300-0000CB2A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488950</xdr:colOff>
          <xdr:row>22</xdr:row>
          <xdr:rowOff>69850</xdr:rowOff>
        </xdr:from>
        <xdr:to>
          <xdr:col>9</xdr:col>
          <xdr:colOff>222250</xdr:colOff>
          <xdr:row>22</xdr:row>
          <xdr:rowOff>266700</xdr:rowOff>
        </xdr:to>
        <xdr:sp macro="" textlink="">
          <xdr:nvSpPr>
            <xdr:cNvPr id="10959" name="Check Box 719" hidden="1">
              <a:extLst>
                <a:ext uri="{63B3BB69-23CF-44E3-9099-C40C66FF867C}">
                  <a14:compatExt spid="_x0000_s10959"/>
                </a:ext>
                <a:ext uri="{FF2B5EF4-FFF2-40B4-BE49-F238E27FC236}">
                  <a16:creationId xmlns:a16="http://schemas.microsoft.com/office/drawing/2014/main" id="{00000000-0008-0000-2300-0000CF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355600</xdr:colOff>
          <xdr:row>22</xdr:row>
          <xdr:rowOff>50800</xdr:rowOff>
        </xdr:from>
        <xdr:to>
          <xdr:col>11</xdr:col>
          <xdr:colOff>0</xdr:colOff>
          <xdr:row>23</xdr:row>
          <xdr:rowOff>0</xdr:rowOff>
        </xdr:to>
        <xdr:sp macro="" textlink="">
          <xdr:nvSpPr>
            <xdr:cNvPr id="10960" name="Check Box 720" hidden="1">
              <a:extLst>
                <a:ext uri="{63B3BB69-23CF-44E3-9099-C40C66FF867C}">
                  <a14:compatExt spid="_x0000_s10960"/>
                </a:ext>
                <a:ext uri="{FF2B5EF4-FFF2-40B4-BE49-F238E27FC236}">
                  <a16:creationId xmlns:a16="http://schemas.microsoft.com/office/drawing/2014/main" id="{00000000-0008-0000-2300-0000D02A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241300</xdr:rowOff>
        </xdr:from>
        <xdr:to>
          <xdr:col>1</xdr:col>
          <xdr:colOff>666750</xdr:colOff>
          <xdr:row>10</xdr:row>
          <xdr:rowOff>165100</xdr:rowOff>
        </xdr:to>
        <xdr:sp macro="" textlink="">
          <xdr:nvSpPr>
            <xdr:cNvPr id="11022" name="Check Box 782" hidden="1">
              <a:extLst>
                <a:ext uri="{63B3BB69-23CF-44E3-9099-C40C66FF867C}">
                  <a14:compatExt spid="_x0000_s11022"/>
                </a:ext>
                <a:ext uri="{FF2B5EF4-FFF2-40B4-BE49-F238E27FC236}">
                  <a16:creationId xmlns:a16="http://schemas.microsoft.com/office/drawing/2014/main" id="{00000000-0008-0000-2300-00000E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488950</xdr:colOff>
          <xdr:row>9</xdr:row>
          <xdr:rowOff>222250</xdr:rowOff>
        </xdr:from>
        <xdr:to>
          <xdr:col>2</xdr:col>
          <xdr:colOff>374650</xdr:colOff>
          <xdr:row>10</xdr:row>
          <xdr:rowOff>171450</xdr:rowOff>
        </xdr:to>
        <xdr:sp macro="" textlink="">
          <xdr:nvSpPr>
            <xdr:cNvPr id="11023" name="Check Box 783" hidden="1">
              <a:extLst>
                <a:ext uri="{63B3BB69-23CF-44E3-9099-C40C66FF867C}">
                  <a14:compatExt spid="_x0000_s11023"/>
                </a:ext>
                <a:ext uri="{FF2B5EF4-FFF2-40B4-BE49-F238E27FC236}">
                  <a16:creationId xmlns:a16="http://schemas.microsoft.com/office/drawing/2014/main" id="{00000000-0008-0000-2300-00000F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9</xdr:row>
          <xdr:rowOff>203200</xdr:rowOff>
        </xdr:from>
        <xdr:to>
          <xdr:col>3</xdr:col>
          <xdr:colOff>984250</xdr:colOff>
          <xdr:row>11</xdr:row>
          <xdr:rowOff>0</xdr:rowOff>
        </xdr:to>
        <xdr:sp macro="" textlink="">
          <xdr:nvSpPr>
            <xdr:cNvPr id="11024" name="Check Box 784" hidden="1">
              <a:extLst>
                <a:ext uri="{63B3BB69-23CF-44E3-9099-C40C66FF867C}">
                  <a14:compatExt spid="_x0000_s11024"/>
                </a:ext>
                <a:ext uri="{FF2B5EF4-FFF2-40B4-BE49-F238E27FC236}">
                  <a16:creationId xmlns:a16="http://schemas.microsoft.com/office/drawing/2014/main" id="{00000000-0008-0000-2300-000010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565150</xdr:colOff>
          <xdr:row>9</xdr:row>
          <xdr:rowOff>266700</xdr:rowOff>
        </xdr:from>
        <xdr:to>
          <xdr:col>3</xdr:col>
          <xdr:colOff>1003300</xdr:colOff>
          <xdr:row>10</xdr:row>
          <xdr:rowOff>241300</xdr:rowOff>
        </xdr:to>
        <xdr:sp macro="" textlink="">
          <xdr:nvSpPr>
            <xdr:cNvPr id="11025" name="Check Box 785" hidden="1">
              <a:extLst>
                <a:ext uri="{63B3BB69-23CF-44E3-9099-C40C66FF867C}">
                  <a14:compatExt spid="_x0000_s11025"/>
                </a:ext>
                <a:ext uri="{FF2B5EF4-FFF2-40B4-BE49-F238E27FC236}">
                  <a16:creationId xmlns:a16="http://schemas.microsoft.com/office/drawing/2014/main" id="{00000000-0008-0000-2300-0000112B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twoCellAnchor editAs="oneCell">
    <xdr:from>
      <xdr:col>11</xdr:col>
      <xdr:colOff>434975</xdr:colOff>
      <xdr:row>0</xdr:row>
      <xdr:rowOff>0</xdr:rowOff>
    </xdr:from>
    <xdr:to>
      <xdr:col>15</xdr:col>
      <xdr:colOff>0</xdr:colOff>
      <xdr:row>1</xdr:row>
      <xdr:rowOff>47625</xdr:rowOff>
    </xdr:to>
    <xdr:pic>
      <xdr:nvPicPr>
        <xdr:cNvPr id="32" name="Picture 31" descr="PSEGLI_2c_v">
          <a:extLst>
            <a:ext uri="{FF2B5EF4-FFF2-40B4-BE49-F238E27FC236}">
              <a16:creationId xmlns:a16="http://schemas.microsoft.com/office/drawing/2014/main" id="{00000000-0008-0000-2300-000020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436225" y="0"/>
          <a:ext cx="2581275" cy="74612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869950</xdr:colOff>
          <xdr:row>19</xdr:row>
          <xdr:rowOff>12700</xdr:rowOff>
        </xdr:from>
        <xdr:to>
          <xdr:col>5</xdr:col>
          <xdr:colOff>666750</xdr:colOff>
          <xdr:row>20</xdr:row>
          <xdr:rowOff>336550</xdr:rowOff>
        </xdr:to>
        <xdr:sp macro="" textlink="">
          <xdr:nvSpPr>
            <xdr:cNvPr id="17409" name="OptionButton1" hidden="1">
              <a:extLst>
                <a:ext uri="{63B3BB69-23CF-44E3-9099-C40C66FF867C}">
                  <a14:compatExt spid="_x0000_s17409"/>
                </a:ext>
                <a:ext uri="{FF2B5EF4-FFF2-40B4-BE49-F238E27FC236}">
                  <a16:creationId xmlns:a16="http://schemas.microsoft.com/office/drawing/2014/main" id="{00000000-0008-0000-2400-000001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12700</xdr:rowOff>
        </xdr:from>
        <xdr:to>
          <xdr:col>12</xdr:col>
          <xdr:colOff>266700</xdr:colOff>
          <xdr:row>20</xdr:row>
          <xdr:rowOff>298450</xdr:rowOff>
        </xdr:to>
        <xdr:sp macro="" textlink="">
          <xdr:nvSpPr>
            <xdr:cNvPr id="17410" name="OptionButton2" hidden="1">
              <a:extLst>
                <a:ext uri="{63B3BB69-23CF-44E3-9099-C40C66FF867C}">
                  <a14:compatExt spid="_x0000_s17410"/>
                </a:ext>
                <a:ext uri="{FF2B5EF4-FFF2-40B4-BE49-F238E27FC236}">
                  <a16:creationId xmlns:a16="http://schemas.microsoft.com/office/drawing/2014/main" id="{00000000-0008-0000-2400-00000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21</xdr:row>
          <xdr:rowOff>0</xdr:rowOff>
        </xdr:from>
        <xdr:to>
          <xdr:col>6</xdr:col>
          <xdr:colOff>342900</xdr:colOff>
          <xdr:row>22</xdr:row>
          <xdr:rowOff>298450</xdr:rowOff>
        </xdr:to>
        <xdr:sp macro="" textlink="">
          <xdr:nvSpPr>
            <xdr:cNvPr id="17411" name="Group Box 3" hidden="1">
              <a:extLst>
                <a:ext uri="{63B3BB69-23CF-44E3-9099-C40C66FF867C}">
                  <a14:compatExt spid="_x0000_s17411"/>
                </a:ext>
                <a:ext uri="{FF2B5EF4-FFF2-40B4-BE49-F238E27FC236}">
                  <a16:creationId xmlns:a16="http://schemas.microsoft.com/office/drawing/2014/main" id="{00000000-0008-0000-2400-000003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21</xdr:row>
          <xdr:rowOff>469900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24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21</xdr:row>
          <xdr:rowOff>488950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24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1308100</xdr:colOff>
          <xdr:row>69</xdr:row>
          <xdr:rowOff>152400</xdr:rowOff>
        </xdr:to>
        <xdr:sp macro="" textlink="">
          <xdr:nvSpPr>
            <xdr:cNvPr id="17417" name="Contractor_Lookup" hidden="1">
              <a:extLst>
                <a:ext uri="{63B3BB69-23CF-44E3-9099-C40C66FF867C}">
                  <a14:compatExt spid="_x0000_s17417"/>
                </a:ext>
                <a:ext uri="{FF2B5EF4-FFF2-40B4-BE49-F238E27FC236}">
                  <a16:creationId xmlns:a16="http://schemas.microsoft.com/office/drawing/2014/main" id="{00000000-0008-0000-2400-00000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17418" name="Option Button 10" hidden="1">
              <a:extLst>
                <a:ext uri="{63B3BB69-23CF-44E3-9099-C40C66FF867C}">
                  <a14:compatExt spid="_x0000_s17418"/>
                </a:ext>
                <a:ext uri="{FF2B5EF4-FFF2-40B4-BE49-F238E27FC236}">
                  <a16:creationId xmlns:a16="http://schemas.microsoft.com/office/drawing/2014/main" id="{00000000-0008-0000-2400-00000A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17419" name="Option Button 11" hidden="1">
              <a:extLst>
                <a:ext uri="{63B3BB69-23CF-44E3-9099-C40C66FF867C}">
                  <a14:compatExt spid="_x0000_s17419"/>
                </a:ext>
                <a:ext uri="{FF2B5EF4-FFF2-40B4-BE49-F238E27FC236}">
                  <a16:creationId xmlns:a16="http://schemas.microsoft.com/office/drawing/2014/main" id="{00000000-0008-0000-2400-00000B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17420" name="Group Box 12" hidden="1">
              <a:extLst>
                <a:ext uri="{63B3BB69-23CF-44E3-9099-C40C66FF867C}">
                  <a14:compatExt spid="_x0000_s17420"/>
                </a:ext>
                <a:ext uri="{FF2B5EF4-FFF2-40B4-BE49-F238E27FC236}">
                  <a16:creationId xmlns:a16="http://schemas.microsoft.com/office/drawing/2014/main" id="{00000000-0008-0000-2400-00000C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1308100</xdr:colOff>
          <xdr:row>68</xdr:row>
          <xdr:rowOff>165100</xdr:rowOff>
        </xdr:to>
        <xdr:sp macro="" textlink="">
          <xdr:nvSpPr>
            <xdr:cNvPr id="17421" name="Group Box 13" hidden="1">
              <a:extLst>
                <a:ext uri="{63B3BB69-23CF-44E3-9099-C40C66FF867C}">
                  <a14:compatExt spid="_x0000_s17421"/>
                </a:ext>
                <a:ext uri="{FF2B5EF4-FFF2-40B4-BE49-F238E27FC236}">
                  <a16:creationId xmlns:a16="http://schemas.microsoft.com/office/drawing/2014/main" id="{00000000-0008-0000-2400-00000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17422" name="Option Button 14" hidden="1">
              <a:extLst>
                <a:ext uri="{63B3BB69-23CF-44E3-9099-C40C66FF867C}">
                  <a14:compatExt spid="_x0000_s17422"/>
                </a:ext>
                <a:ext uri="{FF2B5EF4-FFF2-40B4-BE49-F238E27FC236}">
                  <a16:creationId xmlns:a16="http://schemas.microsoft.com/office/drawing/2014/main" id="{00000000-0008-0000-2400-00000E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17423" name="Option Button 15" hidden="1">
              <a:extLst>
                <a:ext uri="{63B3BB69-23CF-44E3-9099-C40C66FF867C}">
                  <a14:compatExt spid="_x0000_s17423"/>
                </a:ext>
                <a:ext uri="{FF2B5EF4-FFF2-40B4-BE49-F238E27FC236}">
                  <a16:creationId xmlns:a16="http://schemas.microsoft.com/office/drawing/2014/main" id="{00000000-0008-0000-2400-00000F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152400</xdr:rowOff>
        </xdr:to>
        <xdr:sp macro="" textlink="">
          <xdr:nvSpPr>
            <xdr:cNvPr id="17424" name="Group Box 16" hidden="1">
              <a:extLst>
                <a:ext uri="{63B3BB69-23CF-44E3-9099-C40C66FF867C}">
                  <a14:compatExt spid="_x0000_s17424"/>
                </a:ext>
                <a:ext uri="{FF2B5EF4-FFF2-40B4-BE49-F238E27FC236}">
                  <a16:creationId xmlns:a16="http://schemas.microsoft.com/office/drawing/2014/main" id="{00000000-0008-0000-2400-000010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266700</xdr:colOff>
          <xdr:row>70</xdr:row>
          <xdr:rowOff>0</xdr:rowOff>
        </xdr:from>
        <xdr:to>
          <xdr:col>2</xdr:col>
          <xdr:colOff>133350</xdr:colOff>
          <xdr:row>71</xdr:row>
          <xdr:rowOff>88900</xdr:rowOff>
        </xdr:to>
        <xdr:sp macro="" textlink="">
          <xdr:nvSpPr>
            <xdr:cNvPr id="17426" name="OptionButton7" hidden="1">
              <a:extLst>
                <a:ext uri="{63B3BB69-23CF-44E3-9099-C40C66FF867C}">
                  <a14:compatExt spid="_x0000_s17426"/>
                </a:ext>
                <a:ext uri="{FF2B5EF4-FFF2-40B4-BE49-F238E27FC236}">
                  <a16:creationId xmlns:a16="http://schemas.microsoft.com/office/drawing/2014/main" id="{00000000-0008-0000-2400-000012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1308100</xdr:colOff>
          <xdr:row>72</xdr:row>
          <xdr:rowOff>12700</xdr:rowOff>
        </xdr:to>
        <xdr:sp macro="" textlink="">
          <xdr:nvSpPr>
            <xdr:cNvPr id="17428" name="Group Box 20" hidden="1">
              <a:extLst>
                <a:ext uri="{63B3BB69-23CF-44E3-9099-C40C66FF867C}">
                  <a14:compatExt spid="_x0000_s17428"/>
                </a:ext>
                <a:ext uri="{FF2B5EF4-FFF2-40B4-BE49-F238E27FC236}">
                  <a16:creationId xmlns:a16="http://schemas.microsoft.com/office/drawing/2014/main" id="{00000000-0008-0000-2400-000014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38</xdr:row>
          <xdr:rowOff>127000</xdr:rowOff>
        </xdr:from>
        <xdr:to>
          <xdr:col>3</xdr:col>
          <xdr:colOff>889000</xdr:colOff>
          <xdr:row>39</xdr:row>
          <xdr:rowOff>127000</xdr:rowOff>
        </xdr:to>
        <xdr:sp macro="" textlink="">
          <xdr:nvSpPr>
            <xdr:cNvPr id="17429" name="Option Button 21" hidden="1">
              <a:extLst>
                <a:ext uri="{63B3BB69-23CF-44E3-9099-C40C66FF867C}">
                  <a14:compatExt spid="_x0000_s17429"/>
                </a:ext>
                <a:ext uri="{FF2B5EF4-FFF2-40B4-BE49-F238E27FC236}">
                  <a16:creationId xmlns:a16="http://schemas.microsoft.com/office/drawing/2014/main" id="{00000000-0008-0000-2400-00001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1155700</xdr:colOff>
          <xdr:row>38</xdr:row>
          <xdr:rowOff>12700</xdr:rowOff>
        </xdr:from>
        <xdr:to>
          <xdr:col>3</xdr:col>
          <xdr:colOff>1365250</xdr:colOff>
          <xdr:row>39</xdr:row>
          <xdr:rowOff>12700</xdr:rowOff>
        </xdr:to>
        <xdr:sp macro="" textlink="">
          <xdr:nvSpPr>
            <xdr:cNvPr id="17430" name="Option Button 22" hidden="1">
              <a:extLst>
                <a:ext uri="{63B3BB69-23CF-44E3-9099-C40C66FF867C}">
                  <a14:compatExt spid="_x0000_s17430"/>
                </a:ext>
                <a:ext uri="{FF2B5EF4-FFF2-40B4-BE49-F238E27FC236}">
                  <a16:creationId xmlns:a16="http://schemas.microsoft.com/office/drawing/2014/main" id="{00000000-0008-0000-2400-00001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260350</xdr:colOff>
          <xdr:row>38</xdr:row>
          <xdr:rowOff>12700</xdr:rowOff>
        </xdr:from>
        <xdr:to>
          <xdr:col>5</xdr:col>
          <xdr:colOff>641350</xdr:colOff>
          <xdr:row>39</xdr:row>
          <xdr:rowOff>12700</xdr:rowOff>
        </xdr:to>
        <xdr:sp macro="" textlink="">
          <xdr:nvSpPr>
            <xdr:cNvPr id="17431" name="Option Button 23" hidden="1">
              <a:extLst>
                <a:ext uri="{63B3BB69-23CF-44E3-9099-C40C66FF867C}">
                  <a14:compatExt spid="_x0000_s17431"/>
                </a:ext>
                <a:ext uri="{FF2B5EF4-FFF2-40B4-BE49-F238E27FC236}">
                  <a16:creationId xmlns:a16="http://schemas.microsoft.com/office/drawing/2014/main" id="{00000000-0008-0000-2400-000017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37</xdr:row>
          <xdr:rowOff>266700</xdr:rowOff>
        </xdr:from>
        <xdr:to>
          <xdr:col>14</xdr:col>
          <xdr:colOff>381000</xdr:colOff>
          <xdr:row>40</xdr:row>
          <xdr:rowOff>50800</xdr:rowOff>
        </xdr:to>
        <xdr:sp macro="" textlink="">
          <xdr:nvSpPr>
            <xdr:cNvPr id="17433" name="Group Box 25" hidden="1">
              <a:extLst>
                <a:ext uri="{63B3BB69-23CF-44E3-9099-C40C66FF867C}">
                  <a14:compatExt spid="_x0000_s17433"/>
                </a:ext>
                <a:ext uri="{FF2B5EF4-FFF2-40B4-BE49-F238E27FC236}">
                  <a16:creationId xmlns:a16="http://schemas.microsoft.com/office/drawing/2014/main" id="{00000000-0008-0000-2400-000019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45</xdr:row>
          <xdr:rowOff>0</xdr:rowOff>
        </xdr:from>
        <xdr:to>
          <xdr:col>1</xdr:col>
          <xdr:colOff>742950</xdr:colOff>
          <xdr:row>46</xdr:row>
          <xdr:rowOff>88900</xdr:rowOff>
        </xdr:to>
        <xdr:sp macro="" textlink="">
          <xdr:nvSpPr>
            <xdr:cNvPr id="17435" name="OptionButton10" hidden="1">
              <a:extLst>
                <a:ext uri="{63B3BB69-23CF-44E3-9099-C40C66FF867C}">
                  <a14:compatExt spid="_x0000_s17435"/>
                </a:ext>
                <a:ext uri="{FF2B5EF4-FFF2-40B4-BE49-F238E27FC236}">
                  <a16:creationId xmlns:a16="http://schemas.microsoft.com/office/drawing/2014/main" id="{00000000-0008-0000-2400-00001B4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122</xdr:row>
          <xdr:rowOff>209550</xdr:rowOff>
        </xdr:from>
        <xdr:to>
          <xdr:col>3</xdr:col>
          <xdr:colOff>1308100</xdr:colOff>
          <xdr:row>130</xdr:row>
          <xdr:rowOff>12700</xdr:rowOff>
        </xdr:to>
        <xdr:sp macro="" textlink="">
          <xdr:nvSpPr>
            <xdr:cNvPr id="17437" name="Group Box 29" hidden="1">
              <a:extLst>
                <a:ext uri="{63B3BB69-23CF-44E3-9099-C40C66FF867C}">
                  <a14:compatExt spid="_x0000_s17437"/>
                </a:ext>
                <a:ext uri="{FF2B5EF4-FFF2-40B4-BE49-F238E27FC236}">
                  <a16:creationId xmlns:a16="http://schemas.microsoft.com/office/drawing/2014/main" id="{00000000-0008-0000-2400-00001D4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476250</xdr:colOff>
          <xdr:row>121</xdr:row>
          <xdr:rowOff>0</xdr:rowOff>
        </xdr:from>
        <xdr:to>
          <xdr:col>14</xdr:col>
          <xdr:colOff>641350</xdr:colOff>
          <xdr:row>124</xdr:row>
          <xdr:rowOff>0</xdr:rowOff>
        </xdr:to>
        <xdr:sp macro="" textlink="">
          <xdr:nvSpPr>
            <xdr:cNvPr id="17956" name="CommandButton1" hidden="1">
              <a:extLst>
                <a:ext uri="{63B3BB69-23CF-44E3-9099-C40C66FF867C}">
                  <a14:compatExt spid="_x0000_s17956"/>
                </a:ext>
                <a:ext uri="{FF2B5EF4-FFF2-40B4-BE49-F238E27FC236}">
                  <a16:creationId xmlns:a16="http://schemas.microsoft.com/office/drawing/2014/main" id="{00000000-0008-0000-2400-00002446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65</xdr:row>
          <xdr:rowOff>0</xdr:rowOff>
        </xdr:from>
        <xdr:to>
          <xdr:col>1</xdr:col>
          <xdr:colOff>495300</xdr:colOff>
          <xdr:row>66</xdr:row>
          <xdr:rowOff>12700</xdr:rowOff>
        </xdr:to>
        <xdr:sp macro="" textlink="">
          <xdr:nvSpPr>
            <xdr:cNvPr id="59785" name="Option Button 1417" hidden="1">
              <a:extLst>
                <a:ext uri="{63B3BB69-23CF-44E3-9099-C40C66FF867C}">
                  <a14:compatExt spid="_x0000_s59785"/>
                </a:ext>
                <a:ext uri="{FF2B5EF4-FFF2-40B4-BE49-F238E27FC236}">
                  <a16:creationId xmlns:a16="http://schemas.microsoft.com/office/drawing/2014/main" id="{00000000-0008-0000-2400-00008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65</xdr:row>
          <xdr:rowOff>0</xdr:rowOff>
        </xdr:from>
        <xdr:to>
          <xdr:col>3</xdr:col>
          <xdr:colOff>279400</xdr:colOff>
          <xdr:row>66</xdr:row>
          <xdr:rowOff>12700</xdr:rowOff>
        </xdr:to>
        <xdr:sp macro="" textlink="">
          <xdr:nvSpPr>
            <xdr:cNvPr id="59786" name="Option Button 1418" hidden="1">
              <a:extLst>
                <a:ext uri="{63B3BB69-23CF-44E3-9099-C40C66FF867C}">
                  <a14:compatExt spid="_x0000_s59786"/>
                </a:ext>
                <a:ext uri="{FF2B5EF4-FFF2-40B4-BE49-F238E27FC236}">
                  <a16:creationId xmlns:a16="http://schemas.microsoft.com/office/drawing/2014/main" id="{00000000-0008-0000-2400-00008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65</xdr:row>
          <xdr:rowOff>0</xdr:rowOff>
        </xdr:from>
        <xdr:to>
          <xdr:col>3</xdr:col>
          <xdr:colOff>1200150</xdr:colOff>
          <xdr:row>66</xdr:row>
          <xdr:rowOff>88900</xdr:rowOff>
        </xdr:to>
        <xdr:sp macro="" textlink="">
          <xdr:nvSpPr>
            <xdr:cNvPr id="59787" name="Option Button 1419" hidden="1">
              <a:extLst>
                <a:ext uri="{63B3BB69-23CF-44E3-9099-C40C66FF867C}">
                  <a14:compatExt spid="_x0000_s59787"/>
                </a:ext>
                <a:ext uri="{FF2B5EF4-FFF2-40B4-BE49-F238E27FC236}">
                  <a16:creationId xmlns:a16="http://schemas.microsoft.com/office/drawing/2014/main" id="{00000000-0008-0000-2400-00008B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9</xdr:row>
          <xdr:rowOff>12700</xdr:rowOff>
        </xdr:from>
        <xdr:to>
          <xdr:col>1</xdr:col>
          <xdr:colOff>393700</xdr:colOff>
          <xdr:row>9</xdr:row>
          <xdr:rowOff>228600</xdr:rowOff>
        </xdr:to>
        <xdr:sp macro="" textlink="">
          <xdr:nvSpPr>
            <xdr:cNvPr id="59856" name="Check Box 1488" hidden="1">
              <a:extLst>
                <a:ext uri="{63B3BB69-23CF-44E3-9099-C40C66FF867C}">
                  <a14:compatExt spid="_x0000_s59856"/>
                </a:ext>
                <a:ext uri="{FF2B5EF4-FFF2-40B4-BE49-F238E27FC236}">
                  <a16:creationId xmlns:a16="http://schemas.microsoft.com/office/drawing/2014/main" id="{00000000-0008-0000-2400-0000D0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450850</xdr:colOff>
          <xdr:row>9</xdr:row>
          <xdr:rowOff>88900</xdr:rowOff>
        </xdr:from>
        <xdr:to>
          <xdr:col>2</xdr:col>
          <xdr:colOff>698500</xdr:colOff>
          <xdr:row>9</xdr:row>
          <xdr:rowOff>184150</xdr:rowOff>
        </xdr:to>
        <xdr:sp macro="" textlink="">
          <xdr:nvSpPr>
            <xdr:cNvPr id="59857" name="Check Box 1489" hidden="1">
              <a:extLst>
                <a:ext uri="{63B3BB69-23CF-44E3-9099-C40C66FF867C}">
                  <a14:compatExt spid="_x0000_s59857"/>
                </a:ext>
                <a:ext uri="{FF2B5EF4-FFF2-40B4-BE49-F238E27FC236}">
                  <a16:creationId xmlns:a16="http://schemas.microsoft.com/office/drawing/2014/main" id="{00000000-0008-0000-2400-0000D1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95250</xdr:colOff>
          <xdr:row>9</xdr:row>
          <xdr:rowOff>88900</xdr:rowOff>
        </xdr:from>
        <xdr:to>
          <xdr:col>3</xdr:col>
          <xdr:colOff>679450</xdr:colOff>
          <xdr:row>9</xdr:row>
          <xdr:rowOff>184150</xdr:rowOff>
        </xdr:to>
        <xdr:sp macro="" textlink="">
          <xdr:nvSpPr>
            <xdr:cNvPr id="59858" name="Check Box 1490" hidden="1">
              <a:extLst>
                <a:ext uri="{63B3BB69-23CF-44E3-9099-C40C66FF867C}">
                  <a14:compatExt spid="_x0000_s59858"/>
                </a:ext>
                <a:ext uri="{FF2B5EF4-FFF2-40B4-BE49-F238E27FC236}">
                  <a16:creationId xmlns:a16="http://schemas.microsoft.com/office/drawing/2014/main" id="{00000000-0008-0000-2400-0000D2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603250</xdr:colOff>
          <xdr:row>9</xdr:row>
          <xdr:rowOff>76200</xdr:rowOff>
        </xdr:from>
        <xdr:to>
          <xdr:col>3</xdr:col>
          <xdr:colOff>965200</xdr:colOff>
          <xdr:row>9</xdr:row>
          <xdr:rowOff>190500</xdr:rowOff>
        </xdr:to>
        <xdr:sp macro="" textlink="">
          <xdr:nvSpPr>
            <xdr:cNvPr id="59859" name="Check Box 1491" hidden="1">
              <a:extLst>
                <a:ext uri="{63B3BB69-23CF-44E3-9099-C40C66FF867C}">
                  <a14:compatExt spid="_x0000_s59859"/>
                </a:ext>
                <a:ext uri="{FF2B5EF4-FFF2-40B4-BE49-F238E27FC236}">
                  <a16:creationId xmlns:a16="http://schemas.microsoft.com/office/drawing/2014/main" id="{00000000-0008-0000-2400-0000D3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1308100</xdr:colOff>
          <xdr:row>100</xdr:row>
          <xdr:rowOff>107950</xdr:rowOff>
        </xdr:to>
        <xdr:sp macro="" textlink="">
          <xdr:nvSpPr>
            <xdr:cNvPr id="59860" name="Contractor_Lookup" hidden="1">
              <a:extLst>
                <a:ext uri="{63B3BB69-23CF-44E3-9099-C40C66FF867C}">
                  <a14:compatExt spid="_x0000_s59860"/>
                </a:ext>
                <a:ext uri="{FF2B5EF4-FFF2-40B4-BE49-F238E27FC236}">
                  <a16:creationId xmlns:a16="http://schemas.microsoft.com/office/drawing/2014/main" id="{00000000-0008-0000-2400-0000D4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59861" name="Option Button 1493" hidden="1">
              <a:extLst>
                <a:ext uri="{63B3BB69-23CF-44E3-9099-C40C66FF867C}">
                  <a14:compatExt spid="_x0000_s59861"/>
                </a:ext>
                <a:ext uri="{FF2B5EF4-FFF2-40B4-BE49-F238E27FC236}">
                  <a16:creationId xmlns:a16="http://schemas.microsoft.com/office/drawing/2014/main" id="{00000000-0008-0000-2400-0000D5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59862" name="Option Button 1494" hidden="1">
              <a:extLst>
                <a:ext uri="{63B3BB69-23CF-44E3-9099-C40C66FF867C}">
                  <a14:compatExt spid="_x0000_s59862"/>
                </a:ext>
                <a:ext uri="{FF2B5EF4-FFF2-40B4-BE49-F238E27FC236}">
                  <a16:creationId xmlns:a16="http://schemas.microsoft.com/office/drawing/2014/main" id="{00000000-0008-0000-2400-0000D6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59863" name="Group Box 1495" hidden="1">
              <a:extLst>
                <a:ext uri="{63B3BB69-23CF-44E3-9099-C40C66FF867C}">
                  <a14:compatExt spid="_x0000_s59863"/>
                </a:ext>
                <a:ext uri="{FF2B5EF4-FFF2-40B4-BE49-F238E27FC236}">
                  <a16:creationId xmlns:a16="http://schemas.microsoft.com/office/drawing/2014/main" id="{00000000-0008-0000-2400-0000D7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1308100</xdr:colOff>
          <xdr:row>100</xdr:row>
          <xdr:rowOff>12700</xdr:rowOff>
        </xdr:to>
        <xdr:sp macro="" textlink="">
          <xdr:nvSpPr>
            <xdr:cNvPr id="59864" name="Group Box 1496" hidden="1">
              <a:extLst>
                <a:ext uri="{63B3BB69-23CF-44E3-9099-C40C66FF867C}">
                  <a14:compatExt spid="_x0000_s59864"/>
                </a:ext>
                <a:ext uri="{FF2B5EF4-FFF2-40B4-BE49-F238E27FC236}">
                  <a16:creationId xmlns:a16="http://schemas.microsoft.com/office/drawing/2014/main" id="{00000000-0008-0000-2400-0000D8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59865" name="Option Button 1497" hidden="1">
              <a:extLst>
                <a:ext uri="{63B3BB69-23CF-44E3-9099-C40C66FF867C}">
                  <a14:compatExt spid="_x0000_s59865"/>
                </a:ext>
                <a:ext uri="{FF2B5EF4-FFF2-40B4-BE49-F238E27FC236}">
                  <a16:creationId xmlns:a16="http://schemas.microsoft.com/office/drawing/2014/main" id="{00000000-0008-0000-2400-0000D9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59866" name="Option Button 1498" hidden="1">
              <a:extLst>
                <a:ext uri="{63B3BB69-23CF-44E3-9099-C40C66FF867C}">
                  <a14:compatExt spid="_x0000_s59866"/>
                </a:ext>
                <a:ext uri="{FF2B5EF4-FFF2-40B4-BE49-F238E27FC236}">
                  <a16:creationId xmlns:a16="http://schemas.microsoft.com/office/drawing/2014/main" id="{00000000-0008-0000-2400-0000DA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38100</xdr:rowOff>
        </xdr:to>
        <xdr:sp macro="" textlink="">
          <xdr:nvSpPr>
            <xdr:cNvPr id="59867" name="Group Box 1499" hidden="1">
              <a:extLst>
                <a:ext uri="{63B3BB69-23CF-44E3-9099-C40C66FF867C}">
                  <a14:compatExt spid="_x0000_s59867"/>
                </a:ext>
                <a:ext uri="{FF2B5EF4-FFF2-40B4-BE49-F238E27FC236}">
                  <a16:creationId xmlns:a16="http://schemas.microsoft.com/office/drawing/2014/main" id="{00000000-0008-0000-2400-0000DBE9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431800</xdr:colOff>
          <xdr:row>97</xdr:row>
          <xdr:rowOff>171450</xdr:rowOff>
        </xdr:from>
        <xdr:to>
          <xdr:col>1</xdr:col>
          <xdr:colOff>495300</xdr:colOff>
          <xdr:row>99</xdr:row>
          <xdr:rowOff>0</xdr:rowOff>
        </xdr:to>
        <xdr:sp macro="" textlink="">
          <xdr:nvSpPr>
            <xdr:cNvPr id="59868" name="Option Button 1500" hidden="1">
              <a:extLst>
                <a:ext uri="{63B3BB69-23CF-44E3-9099-C40C66FF867C}">
                  <a14:compatExt spid="_x0000_s59868"/>
                </a:ext>
                <a:ext uri="{FF2B5EF4-FFF2-40B4-BE49-F238E27FC236}">
                  <a16:creationId xmlns:a16="http://schemas.microsoft.com/office/drawing/2014/main" id="{00000000-0008-0000-2400-0000DC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97</xdr:row>
          <xdr:rowOff>171450</xdr:rowOff>
        </xdr:from>
        <xdr:to>
          <xdr:col>3</xdr:col>
          <xdr:colOff>279400</xdr:colOff>
          <xdr:row>99</xdr:row>
          <xdr:rowOff>0</xdr:rowOff>
        </xdr:to>
        <xdr:sp macro="" textlink="">
          <xdr:nvSpPr>
            <xdr:cNvPr id="59869" name="Option Button 1501" hidden="1">
              <a:extLst>
                <a:ext uri="{63B3BB69-23CF-44E3-9099-C40C66FF867C}">
                  <a14:compatExt spid="_x0000_s59869"/>
                </a:ext>
                <a:ext uri="{FF2B5EF4-FFF2-40B4-BE49-F238E27FC236}">
                  <a16:creationId xmlns:a16="http://schemas.microsoft.com/office/drawing/2014/main" id="{00000000-0008-0000-2400-0000DD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R-410A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97</xdr:row>
          <xdr:rowOff>165100</xdr:rowOff>
        </xdr:from>
        <xdr:to>
          <xdr:col>3</xdr:col>
          <xdr:colOff>1200150</xdr:colOff>
          <xdr:row>99</xdr:row>
          <xdr:rowOff>69850</xdr:rowOff>
        </xdr:to>
        <xdr:sp macro="" textlink="">
          <xdr:nvSpPr>
            <xdr:cNvPr id="59870" name="Option Button 1502" hidden="1">
              <a:extLst>
                <a:ext uri="{63B3BB69-23CF-44E3-9099-C40C66FF867C}">
                  <a14:compatExt spid="_x0000_s59870"/>
                </a:ext>
                <a:ext uri="{FF2B5EF4-FFF2-40B4-BE49-F238E27FC236}">
                  <a16:creationId xmlns:a16="http://schemas.microsoft.com/office/drawing/2014/main" id="{00000000-0008-0000-2400-0000DEE9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Other</a:t>
              </a:r>
            </a:p>
          </xdr:txBody>
        </xdr:sp>
        <xdr:clientData/>
      </xdr:twoCellAnchor>
    </mc:Choice>
    <mc:Fallback/>
  </mc:AlternateContent>
  <xdr:twoCellAnchor editAs="oneCell">
    <xdr:from>
      <xdr:col>11</xdr:col>
      <xdr:colOff>381000</xdr:colOff>
      <xdr:row>0</xdr:row>
      <xdr:rowOff>116417</xdr:rowOff>
    </xdr:from>
    <xdr:to>
      <xdr:col>14</xdr:col>
      <xdr:colOff>942785</xdr:colOff>
      <xdr:row>1</xdr:row>
      <xdr:rowOff>179663</xdr:rowOff>
    </xdr:to>
    <xdr:pic>
      <xdr:nvPicPr>
        <xdr:cNvPr id="45" name="Picture 44" descr="PSEGLI_2c_v">
          <a:extLst>
            <a:ext uri="{FF2B5EF4-FFF2-40B4-BE49-F238E27FC236}">
              <a16:creationId xmlns:a16="http://schemas.microsoft.com/office/drawing/2014/main" id="{00000000-0008-0000-2400-00002D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488083" y="116417"/>
          <a:ext cx="2657285" cy="761746"/>
        </a:xfrm>
        <a:prstGeom prst="rect">
          <a:avLst/>
        </a:prstGeom>
        <a:noFill/>
        <a:ln>
          <a:noFill/>
        </a:ln>
      </xdr:spPr>
    </xdr:pic>
    <xdr:clientData/>
  </xdr:twoCellAnchor>
</xdr:wsDr>
</file>

<file path=xl/drawings/drawing3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850900</xdr:colOff>
          <xdr:row>19</xdr:row>
          <xdr:rowOff>50800</xdr:rowOff>
        </xdr:from>
        <xdr:to>
          <xdr:col>5</xdr:col>
          <xdr:colOff>800100</xdr:colOff>
          <xdr:row>20</xdr:row>
          <xdr:rowOff>336550</xdr:rowOff>
        </xdr:to>
        <xdr:sp macro="" textlink="">
          <xdr:nvSpPr>
            <xdr:cNvPr id="36865" name="OptionButton1" hidden="1">
              <a:extLst>
                <a:ext uri="{63B3BB69-23CF-44E3-9099-C40C66FF867C}">
                  <a14:compatExt spid="_x0000_s36865"/>
                </a:ext>
                <a:ext uri="{FF2B5EF4-FFF2-40B4-BE49-F238E27FC236}">
                  <a16:creationId xmlns:a16="http://schemas.microsoft.com/office/drawing/2014/main" id="{00000000-0008-0000-2500-000001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584200</xdr:colOff>
          <xdr:row>19</xdr:row>
          <xdr:rowOff>38100</xdr:rowOff>
        </xdr:from>
        <xdr:to>
          <xdr:col>13</xdr:col>
          <xdr:colOff>0</xdr:colOff>
          <xdr:row>20</xdr:row>
          <xdr:rowOff>469900</xdr:rowOff>
        </xdr:to>
        <xdr:sp macro="" textlink="">
          <xdr:nvSpPr>
            <xdr:cNvPr id="36866" name="OptionButton2" hidden="1">
              <a:extLst>
                <a:ext uri="{63B3BB69-23CF-44E3-9099-C40C66FF867C}">
                  <a14:compatExt spid="_x0000_s36866"/>
                </a:ext>
                <a:ext uri="{FF2B5EF4-FFF2-40B4-BE49-F238E27FC236}">
                  <a16:creationId xmlns:a16="http://schemas.microsoft.com/office/drawing/2014/main" id="{00000000-0008-0000-2500-00000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21</xdr:row>
          <xdr:rowOff>0</xdr:rowOff>
        </xdr:from>
        <xdr:to>
          <xdr:col>6</xdr:col>
          <xdr:colOff>431800</xdr:colOff>
          <xdr:row>22</xdr:row>
          <xdr:rowOff>298450</xdr:rowOff>
        </xdr:to>
        <xdr:sp macro="" textlink="">
          <xdr:nvSpPr>
            <xdr:cNvPr id="36867" name="Group Box 3" hidden="1">
              <a:extLst>
                <a:ext uri="{63B3BB69-23CF-44E3-9099-C40C66FF867C}">
                  <a14:compatExt spid="_x0000_s36867"/>
                </a:ext>
                <a:ext uri="{FF2B5EF4-FFF2-40B4-BE49-F238E27FC236}">
                  <a16:creationId xmlns:a16="http://schemas.microsoft.com/office/drawing/2014/main" id="{00000000-0008-0000-2500-000003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146050</xdr:rowOff>
        </xdr:from>
        <xdr:to>
          <xdr:col>9</xdr:col>
          <xdr:colOff>50800</xdr:colOff>
          <xdr:row>21</xdr:row>
          <xdr:rowOff>450850</xdr:rowOff>
        </xdr:to>
        <xdr:sp macro="" textlink="">
          <xdr:nvSpPr>
            <xdr:cNvPr id="36868" name="Check Box 4" hidden="1">
              <a:extLst>
                <a:ext uri="{63B3BB69-23CF-44E3-9099-C40C66FF867C}">
                  <a14:compatExt spid="_x0000_s36868"/>
                </a:ext>
                <a:ext uri="{FF2B5EF4-FFF2-40B4-BE49-F238E27FC236}">
                  <a16:creationId xmlns:a16="http://schemas.microsoft.com/office/drawing/2014/main" id="{00000000-0008-0000-2500-000004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146050</xdr:rowOff>
        </xdr:from>
        <xdr:to>
          <xdr:col>10</xdr:col>
          <xdr:colOff>990600</xdr:colOff>
          <xdr:row>21</xdr:row>
          <xdr:rowOff>469900</xdr:rowOff>
        </xdr:to>
        <xdr:sp macro="" textlink="">
          <xdr:nvSpPr>
            <xdr:cNvPr id="36869" name="Check Box 5" hidden="1">
              <a:extLst>
                <a:ext uri="{63B3BB69-23CF-44E3-9099-C40C66FF867C}">
                  <a14:compatExt spid="_x0000_s36869"/>
                </a:ext>
                <a:ext uri="{FF2B5EF4-FFF2-40B4-BE49-F238E27FC236}">
                  <a16:creationId xmlns:a16="http://schemas.microsoft.com/office/drawing/2014/main" id="{00000000-0008-0000-2500-00000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1384300</xdr:colOff>
          <xdr:row>69</xdr:row>
          <xdr:rowOff>95250</xdr:rowOff>
        </xdr:to>
        <xdr:sp macro="" textlink="">
          <xdr:nvSpPr>
            <xdr:cNvPr id="36873" name="Group Box 9" hidden="1">
              <a:extLst>
                <a:ext uri="{63B3BB69-23CF-44E3-9099-C40C66FF867C}">
                  <a14:compatExt spid="_x0000_s36873"/>
                </a:ext>
                <a:ext uri="{FF2B5EF4-FFF2-40B4-BE49-F238E27FC236}">
                  <a16:creationId xmlns:a16="http://schemas.microsoft.com/office/drawing/2014/main" id="{00000000-0008-0000-2500-00000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6874" name="Option Button 10" hidden="1">
              <a:extLst>
                <a:ext uri="{63B3BB69-23CF-44E3-9099-C40C66FF867C}">
                  <a14:compatExt spid="_x0000_s36874"/>
                </a:ext>
                <a:ext uri="{FF2B5EF4-FFF2-40B4-BE49-F238E27FC236}">
                  <a16:creationId xmlns:a16="http://schemas.microsoft.com/office/drawing/2014/main" id="{00000000-0008-0000-2500-00000A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6875" name="Option Button 11" hidden="1">
              <a:extLst>
                <a:ext uri="{63B3BB69-23CF-44E3-9099-C40C66FF867C}">
                  <a14:compatExt spid="_x0000_s36875"/>
                </a:ext>
                <a:ext uri="{FF2B5EF4-FFF2-40B4-BE49-F238E27FC236}">
                  <a16:creationId xmlns:a16="http://schemas.microsoft.com/office/drawing/2014/main" id="{00000000-0008-0000-2500-00000B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36876" name="Group Box 12" hidden="1">
              <a:extLst>
                <a:ext uri="{63B3BB69-23CF-44E3-9099-C40C66FF867C}">
                  <a14:compatExt spid="_x0000_s36876"/>
                </a:ext>
                <a:ext uri="{FF2B5EF4-FFF2-40B4-BE49-F238E27FC236}">
                  <a16:creationId xmlns:a16="http://schemas.microsoft.com/office/drawing/2014/main" id="{00000000-0008-0000-2500-00000C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1384300</xdr:colOff>
          <xdr:row>68</xdr:row>
          <xdr:rowOff>95250</xdr:rowOff>
        </xdr:to>
        <xdr:sp macro="" textlink="">
          <xdr:nvSpPr>
            <xdr:cNvPr id="36877" name="Group Box 13" hidden="1">
              <a:extLst>
                <a:ext uri="{63B3BB69-23CF-44E3-9099-C40C66FF867C}">
                  <a14:compatExt spid="_x0000_s36877"/>
                </a:ext>
                <a:ext uri="{FF2B5EF4-FFF2-40B4-BE49-F238E27FC236}">
                  <a16:creationId xmlns:a16="http://schemas.microsoft.com/office/drawing/2014/main" id="{00000000-0008-0000-2500-00000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6878" name="Option Button 14" hidden="1">
              <a:extLst>
                <a:ext uri="{63B3BB69-23CF-44E3-9099-C40C66FF867C}">
                  <a14:compatExt spid="_x0000_s36878"/>
                </a:ext>
                <a:ext uri="{FF2B5EF4-FFF2-40B4-BE49-F238E27FC236}">
                  <a16:creationId xmlns:a16="http://schemas.microsoft.com/office/drawing/2014/main" id="{00000000-0008-0000-2500-00000E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6879" name="Option Button 15" hidden="1">
              <a:extLst>
                <a:ext uri="{63B3BB69-23CF-44E3-9099-C40C66FF867C}">
                  <a14:compatExt spid="_x0000_s36879"/>
                </a:ext>
                <a:ext uri="{FF2B5EF4-FFF2-40B4-BE49-F238E27FC236}">
                  <a16:creationId xmlns:a16="http://schemas.microsoft.com/office/drawing/2014/main" id="{00000000-0008-0000-2500-00000F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36880" name="Group Box 16" hidden="1">
              <a:extLst>
                <a:ext uri="{63B3BB69-23CF-44E3-9099-C40C66FF867C}">
                  <a14:compatExt spid="_x0000_s36880"/>
                </a:ext>
                <a:ext uri="{FF2B5EF4-FFF2-40B4-BE49-F238E27FC236}">
                  <a16:creationId xmlns:a16="http://schemas.microsoft.com/office/drawing/2014/main" id="{00000000-0008-0000-2500-000010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71</xdr:row>
          <xdr:rowOff>0</xdr:rowOff>
        </xdr:from>
        <xdr:to>
          <xdr:col>2</xdr:col>
          <xdr:colOff>19050</xdr:colOff>
          <xdr:row>72</xdr:row>
          <xdr:rowOff>88900</xdr:rowOff>
        </xdr:to>
        <xdr:sp macro="" textlink="">
          <xdr:nvSpPr>
            <xdr:cNvPr id="36882" name="OptionButton7" hidden="1">
              <a:extLst>
                <a:ext uri="{63B3BB69-23CF-44E3-9099-C40C66FF867C}">
                  <a14:compatExt spid="_x0000_s36882"/>
                </a:ext>
                <a:ext uri="{FF2B5EF4-FFF2-40B4-BE49-F238E27FC236}">
                  <a16:creationId xmlns:a16="http://schemas.microsoft.com/office/drawing/2014/main" id="{00000000-0008-0000-2500-000012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1384300</xdr:colOff>
          <xdr:row>72</xdr:row>
          <xdr:rowOff>12700</xdr:rowOff>
        </xdr:to>
        <xdr:sp macro="" textlink="">
          <xdr:nvSpPr>
            <xdr:cNvPr id="36884" name="Group Box 20" hidden="1">
              <a:extLst>
                <a:ext uri="{63B3BB69-23CF-44E3-9099-C40C66FF867C}">
                  <a14:compatExt spid="_x0000_s36884"/>
                </a:ext>
                <a:ext uri="{FF2B5EF4-FFF2-40B4-BE49-F238E27FC236}">
                  <a16:creationId xmlns:a16="http://schemas.microsoft.com/office/drawing/2014/main" id="{00000000-0008-0000-2500-000014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38</xdr:row>
          <xdr:rowOff>127000</xdr:rowOff>
        </xdr:from>
        <xdr:to>
          <xdr:col>3</xdr:col>
          <xdr:colOff>889000</xdr:colOff>
          <xdr:row>39</xdr:row>
          <xdr:rowOff>127000</xdr:rowOff>
        </xdr:to>
        <xdr:sp macro="" textlink="">
          <xdr:nvSpPr>
            <xdr:cNvPr id="36885" name="Option Button 21" hidden="1">
              <a:extLst>
                <a:ext uri="{63B3BB69-23CF-44E3-9099-C40C66FF867C}">
                  <a14:compatExt spid="_x0000_s36885"/>
                </a:ext>
                <a:ext uri="{FF2B5EF4-FFF2-40B4-BE49-F238E27FC236}">
                  <a16:creationId xmlns:a16="http://schemas.microsoft.com/office/drawing/2014/main" id="{00000000-0008-0000-2500-00001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1041400</xdr:colOff>
          <xdr:row>38</xdr:row>
          <xdr:rowOff>69850</xdr:rowOff>
        </xdr:from>
        <xdr:to>
          <xdr:col>3</xdr:col>
          <xdr:colOff>1295400</xdr:colOff>
          <xdr:row>39</xdr:row>
          <xdr:rowOff>69850</xdr:rowOff>
        </xdr:to>
        <xdr:sp macro="" textlink="">
          <xdr:nvSpPr>
            <xdr:cNvPr id="36886" name="Option Button 22" hidden="1">
              <a:extLst>
                <a:ext uri="{63B3BB69-23CF-44E3-9099-C40C66FF867C}">
                  <a14:compatExt spid="_x0000_s36886"/>
                </a:ext>
                <a:ext uri="{FF2B5EF4-FFF2-40B4-BE49-F238E27FC236}">
                  <a16:creationId xmlns:a16="http://schemas.microsoft.com/office/drawing/2014/main" id="{00000000-0008-0000-2500-00001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203200</xdr:colOff>
          <xdr:row>38</xdr:row>
          <xdr:rowOff>69850</xdr:rowOff>
        </xdr:from>
        <xdr:to>
          <xdr:col>5</xdr:col>
          <xdr:colOff>584200</xdr:colOff>
          <xdr:row>39</xdr:row>
          <xdr:rowOff>69850</xdr:rowOff>
        </xdr:to>
        <xdr:sp macro="" textlink="">
          <xdr:nvSpPr>
            <xdr:cNvPr id="36887" name="Option Button 23" hidden="1">
              <a:extLst>
                <a:ext uri="{63B3BB69-23CF-44E3-9099-C40C66FF867C}">
                  <a14:compatExt spid="_x0000_s36887"/>
                </a:ext>
                <a:ext uri="{FF2B5EF4-FFF2-40B4-BE49-F238E27FC236}">
                  <a16:creationId xmlns:a16="http://schemas.microsoft.com/office/drawing/2014/main" id="{00000000-0008-0000-2500-00001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37</xdr:row>
          <xdr:rowOff>266700</xdr:rowOff>
        </xdr:from>
        <xdr:to>
          <xdr:col>14</xdr:col>
          <xdr:colOff>381000</xdr:colOff>
          <xdr:row>40</xdr:row>
          <xdr:rowOff>50800</xdr:rowOff>
        </xdr:to>
        <xdr:sp macro="" textlink="">
          <xdr:nvSpPr>
            <xdr:cNvPr id="36889" name="Group Box 25" hidden="1">
              <a:extLst>
                <a:ext uri="{63B3BB69-23CF-44E3-9099-C40C66FF867C}">
                  <a14:compatExt spid="_x0000_s36889"/>
                </a:ext>
                <a:ext uri="{FF2B5EF4-FFF2-40B4-BE49-F238E27FC236}">
                  <a16:creationId xmlns:a16="http://schemas.microsoft.com/office/drawing/2014/main" id="{00000000-0008-0000-2500-000019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127000</xdr:colOff>
          <xdr:row>45</xdr:row>
          <xdr:rowOff>69850</xdr:rowOff>
        </xdr:from>
        <xdr:to>
          <xdr:col>2</xdr:col>
          <xdr:colOff>95250</xdr:colOff>
          <xdr:row>46</xdr:row>
          <xdr:rowOff>165100</xdr:rowOff>
        </xdr:to>
        <xdr:sp macro="" textlink="">
          <xdr:nvSpPr>
            <xdr:cNvPr id="36891" name="OptionButton10" hidden="1">
              <a:extLst>
                <a:ext uri="{63B3BB69-23CF-44E3-9099-C40C66FF867C}">
                  <a14:compatExt spid="_x0000_s36891"/>
                </a:ext>
                <a:ext uri="{FF2B5EF4-FFF2-40B4-BE49-F238E27FC236}">
                  <a16:creationId xmlns:a16="http://schemas.microsoft.com/office/drawing/2014/main" id="{00000000-0008-0000-2500-00001B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43</xdr:row>
          <xdr:rowOff>209550</xdr:rowOff>
        </xdr:from>
        <xdr:to>
          <xdr:col>3</xdr:col>
          <xdr:colOff>1384300</xdr:colOff>
          <xdr:row>47</xdr:row>
          <xdr:rowOff>12700</xdr:rowOff>
        </xdr:to>
        <xdr:sp macro="" textlink="">
          <xdr:nvSpPr>
            <xdr:cNvPr id="36893" name="Group Box 29" hidden="1">
              <a:extLst>
                <a:ext uri="{63B3BB69-23CF-44E3-9099-C40C66FF867C}">
                  <a14:compatExt spid="_x0000_s36893"/>
                </a:ext>
                <a:ext uri="{FF2B5EF4-FFF2-40B4-BE49-F238E27FC236}">
                  <a16:creationId xmlns:a16="http://schemas.microsoft.com/office/drawing/2014/main" id="{00000000-0008-0000-2500-00001D90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419100</xdr:colOff>
          <xdr:row>119</xdr:row>
          <xdr:rowOff>0</xdr:rowOff>
        </xdr:from>
        <xdr:to>
          <xdr:col>14</xdr:col>
          <xdr:colOff>641350</xdr:colOff>
          <xdr:row>122</xdr:row>
          <xdr:rowOff>0</xdr:rowOff>
        </xdr:to>
        <xdr:sp macro="" textlink="">
          <xdr:nvSpPr>
            <xdr:cNvPr id="36919" name="CommandButton2" hidden="1">
              <a:extLst>
                <a:ext uri="{63B3BB69-23CF-44E3-9099-C40C66FF867C}">
                  <a14:compatExt spid="_x0000_s36919"/>
                </a:ext>
                <a:ext uri="{FF2B5EF4-FFF2-40B4-BE49-F238E27FC236}">
                  <a16:creationId xmlns:a16="http://schemas.microsoft.com/office/drawing/2014/main" id="{00000000-0008-0000-2500-0000379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1212850</xdr:colOff>
          <xdr:row>9</xdr:row>
          <xdr:rowOff>114300</xdr:rowOff>
        </xdr:from>
        <xdr:to>
          <xdr:col>2</xdr:col>
          <xdr:colOff>0</xdr:colOff>
          <xdr:row>9</xdr:row>
          <xdr:rowOff>374650</xdr:rowOff>
        </xdr:to>
        <xdr:sp macro="" textlink="">
          <xdr:nvSpPr>
            <xdr:cNvPr id="36981" name="Check Box 117" hidden="1">
              <a:extLst>
                <a:ext uri="{63B3BB69-23CF-44E3-9099-C40C66FF867C}">
                  <a14:compatExt spid="_x0000_s36981"/>
                </a:ext>
                <a:ext uri="{FF2B5EF4-FFF2-40B4-BE49-F238E27FC236}">
                  <a16:creationId xmlns:a16="http://schemas.microsoft.com/office/drawing/2014/main" id="{00000000-0008-0000-2500-000075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247650</xdr:colOff>
          <xdr:row>9</xdr:row>
          <xdr:rowOff>69850</xdr:rowOff>
        </xdr:from>
        <xdr:to>
          <xdr:col>3</xdr:col>
          <xdr:colOff>1066800</xdr:colOff>
          <xdr:row>10</xdr:row>
          <xdr:rowOff>0</xdr:rowOff>
        </xdr:to>
        <xdr:sp macro="" textlink="">
          <xdr:nvSpPr>
            <xdr:cNvPr id="36982" name="Check Box 118" hidden="1">
              <a:extLst>
                <a:ext uri="{63B3BB69-23CF-44E3-9099-C40C66FF867C}">
                  <a14:compatExt spid="_x0000_s36982"/>
                </a:ext>
                <a:ext uri="{FF2B5EF4-FFF2-40B4-BE49-F238E27FC236}">
                  <a16:creationId xmlns:a16="http://schemas.microsoft.com/office/drawing/2014/main" id="{00000000-0008-0000-2500-000076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9</xdr:row>
          <xdr:rowOff>114300</xdr:rowOff>
        </xdr:from>
        <xdr:to>
          <xdr:col>2</xdr:col>
          <xdr:colOff>546100</xdr:colOff>
          <xdr:row>9</xdr:row>
          <xdr:rowOff>381000</xdr:rowOff>
        </xdr:to>
        <xdr:sp macro="" textlink="">
          <xdr:nvSpPr>
            <xdr:cNvPr id="36983" name="Check Box 119" hidden="1">
              <a:extLst>
                <a:ext uri="{63B3BB69-23CF-44E3-9099-C40C66FF867C}">
                  <a14:compatExt spid="_x0000_s36983"/>
                </a:ext>
                <a:ext uri="{FF2B5EF4-FFF2-40B4-BE49-F238E27FC236}">
                  <a16:creationId xmlns:a16="http://schemas.microsoft.com/office/drawing/2014/main" id="{00000000-0008-0000-2500-000077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1003300</xdr:colOff>
          <xdr:row>9</xdr:row>
          <xdr:rowOff>69850</xdr:rowOff>
        </xdr:from>
        <xdr:to>
          <xdr:col>4</xdr:col>
          <xdr:colOff>400050</xdr:colOff>
          <xdr:row>9</xdr:row>
          <xdr:rowOff>184150</xdr:rowOff>
        </xdr:to>
        <xdr:sp macro="" textlink="">
          <xdr:nvSpPr>
            <xdr:cNvPr id="36984" name="Check Box 120" hidden="1">
              <a:extLst>
                <a:ext uri="{63B3BB69-23CF-44E3-9099-C40C66FF867C}">
                  <a14:compatExt spid="_x0000_s36984"/>
                </a:ext>
                <a:ext uri="{FF2B5EF4-FFF2-40B4-BE49-F238E27FC236}">
                  <a16:creationId xmlns:a16="http://schemas.microsoft.com/office/drawing/2014/main" id="{00000000-0008-0000-2500-0000789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xdr:twoCellAnchor editAs="oneCell">
    <xdr:from>
      <xdr:col>11</xdr:col>
      <xdr:colOff>422465</xdr:colOff>
      <xdr:row>0</xdr:row>
      <xdr:rowOff>0</xdr:rowOff>
    </xdr:from>
    <xdr:to>
      <xdr:col>15</xdr:col>
      <xdr:colOff>0</xdr:colOff>
      <xdr:row>1</xdr:row>
      <xdr:rowOff>69596</xdr:rowOff>
    </xdr:to>
    <xdr:pic>
      <xdr:nvPicPr>
        <xdr:cNvPr id="29" name="Picture 28" descr="PSEGLI_2c_v">
          <a:extLst>
            <a:ext uri="{FF2B5EF4-FFF2-40B4-BE49-F238E27FC236}">
              <a16:creationId xmlns:a16="http://schemas.microsoft.com/office/drawing/2014/main" id="{00000000-0008-0000-2500-00001D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444882" y="0"/>
          <a:ext cx="2657285" cy="768096"/>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850900</xdr:colOff>
          <xdr:row>19</xdr:row>
          <xdr:rowOff>266700</xdr:rowOff>
        </xdr:from>
        <xdr:to>
          <xdr:col>5</xdr:col>
          <xdr:colOff>438150</xdr:colOff>
          <xdr:row>20</xdr:row>
          <xdr:rowOff>190500</xdr:rowOff>
        </xdr:to>
        <xdr:sp macro="" textlink="">
          <xdr:nvSpPr>
            <xdr:cNvPr id="38913" name="OptionButton1" hidden="1">
              <a:extLst>
                <a:ext uri="{63B3BB69-23CF-44E3-9099-C40C66FF867C}">
                  <a14:compatExt spid="_x0000_s38913"/>
                </a:ext>
                <a:ext uri="{FF2B5EF4-FFF2-40B4-BE49-F238E27FC236}">
                  <a16:creationId xmlns:a16="http://schemas.microsoft.com/office/drawing/2014/main" id="{00000000-0008-0000-2600-000001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260350</xdr:rowOff>
        </xdr:from>
        <xdr:to>
          <xdr:col>10</xdr:col>
          <xdr:colOff>203200</xdr:colOff>
          <xdr:row>20</xdr:row>
          <xdr:rowOff>260350</xdr:rowOff>
        </xdr:to>
        <xdr:sp macro="" textlink="">
          <xdr:nvSpPr>
            <xdr:cNvPr id="38914" name="OptionButton2" hidden="1">
              <a:extLst>
                <a:ext uri="{63B3BB69-23CF-44E3-9099-C40C66FF867C}">
                  <a14:compatExt spid="_x0000_s38914"/>
                </a:ext>
                <a:ext uri="{FF2B5EF4-FFF2-40B4-BE49-F238E27FC236}">
                  <a16:creationId xmlns:a16="http://schemas.microsoft.com/office/drawing/2014/main" id="{00000000-0008-0000-2600-00000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20</xdr:row>
          <xdr:rowOff>0</xdr:rowOff>
        </xdr:from>
        <xdr:to>
          <xdr:col>6</xdr:col>
          <xdr:colOff>450850</xdr:colOff>
          <xdr:row>21</xdr:row>
          <xdr:rowOff>298450</xdr:rowOff>
        </xdr:to>
        <xdr:sp macro="" textlink="">
          <xdr:nvSpPr>
            <xdr:cNvPr id="38915" name="Group Box 3" hidden="1">
              <a:extLst>
                <a:ext uri="{63B3BB69-23CF-44E3-9099-C40C66FF867C}">
                  <a14:compatExt spid="_x0000_s38915"/>
                </a:ext>
                <a:ext uri="{FF2B5EF4-FFF2-40B4-BE49-F238E27FC236}">
                  <a16:creationId xmlns:a16="http://schemas.microsoft.com/office/drawing/2014/main" id="{00000000-0008-0000-2600-000003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21</xdr:row>
          <xdr:rowOff>476250</xdr:rowOff>
        </xdr:to>
        <xdr:sp macro="" textlink="">
          <xdr:nvSpPr>
            <xdr:cNvPr id="38916" name="Check Box 4" hidden="1">
              <a:extLst>
                <a:ext uri="{63B3BB69-23CF-44E3-9099-C40C66FF867C}">
                  <a14:compatExt spid="_x0000_s38916"/>
                </a:ext>
                <a:ext uri="{FF2B5EF4-FFF2-40B4-BE49-F238E27FC236}">
                  <a16:creationId xmlns:a16="http://schemas.microsoft.com/office/drawing/2014/main" id="{00000000-0008-0000-2600-000004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21</xdr:row>
          <xdr:rowOff>508000</xdr:rowOff>
        </xdr:to>
        <xdr:sp macro="" textlink="">
          <xdr:nvSpPr>
            <xdr:cNvPr id="38917" name="Check Box 5" hidden="1">
              <a:extLst>
                <a:ext uri="{63B3BB69-23CF-44E3-9099-C40C66FF867C}">
                  <a14:compatExt spid="_x0000_s38917"/>
                </a:ext>
                <a:ext uri="{FF2B5EF4-FFF2-40B4-BE49-F238E27FC236}">
                  <a16:creationId xmlns:a16="http://schemas.microsoft.com/office/drawing/2014/main" id="{00000000-0008-0000-2600-00000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67</xdr:row>
          <xdr:rowOff>0</xdr:rowOff>
        </xdr:from>
        <xdr:to>
          <xdr:col>3</xdr:col>
          <xdr:colOff>1403350</xdr:colOff>
          <xdr:row>71</xdr:row>
          <xdr:rowOff>152400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2600-00000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74</xdr:row>
          <xdr:rowOff>0</xdr:rowOff>
        </xdr:from>
        <xdr:to>
          <xdr:col>5</xdr:col>
          <xdr:colOff>50800</xdr:colOff>
          <xdr:row>75</xdr:row>
          <xdr:rowOff>50800</xdr:rowOff>
        </xdr:to>
        <xdr:sp macro="" textlink="">
          <xdr:nvSpPr>
            <xdr:cNvPr id="38922" name="Option Button 10" hidden="1">
              <a:extLst>
                <a:ext uri="{63B3BB69-23CF-44E3-9099-C40C66FF867C}">
                  <a14:compatExt spid="_x0000_s38922"/>
                </a:ext>
                <a:ext uri="{FF2B5EF4-FFF2-40B4-BE49-F238E27FC236}">
                  <a16:creationId xmlns:a16="http://schemas.microsoft.com/office/drawing/2014/main" id="{00000000-0008-0000-2600-00000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74</xdr:row>
          <xdr:rowOff>12700</xdr:rowOff>
        </xdr:from>
        <xdr:to>
          <xdr:col>6</xdr:col>
          <xdr:colOff>0</xdr:colOff>
          <xdr:row>75</xdr:row>
          <xdr:rowOff>12700</xdr:rowOff>
        </xdr:to>
        <xdr:sp macro="" textlink="">
          <xdr:nvSpPr>
            <xdr:cNvPr id="38923" name="Option Button 11" hidden="1">
              <a:extLst>
                <a:ext uri="{63B3BB69-23CF-44E3-9099-C40C66FF867C}">
                  <a14:compatExt spid="_x0000_s38923"/>
                </a:ext>
                <a:ext uri="{FF2B5EF4-FFF2-40B4-BE49-F238E27FC236}">
                  <a16:creationId xmlns:a16="http://schemas.microsoft.com/office/drawing/2014/main" id="{00000000-0008-0000-2600-00000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73</xdr:row>
          <xdr:rowOff>12700</xdr:rowOff>
        </xdr:from>
        <xdr:to>
          <xdr:col>6</xdr:col>
          <xdr:colOff>533400</xdr:colOff>
          <xdr:row>75</xdr:row>
          <xdr:rowOff>165100</xdr:rowOff>
        </xdr:to>
        <xdr:sp macro="" textlink="">
          <xdr:nvSpPr>
            <xdr:cNvPr id="38924" name="Group Box 12" hidden="1">
              <a:extLst>
                <a:ext uri="{63B3BB69-23CF-44E3-9099-C40C66FF867C}">
                  <a14:compatExt spid="_x0000_s38924"/>
                </a:ext>
                <a:ext uri="{FF2B5EF4-FFF2-40B4-BE49-F238E27FC236}">
                  <a16:creationId xmlns:a16="http://schemas.microsoft.com/office/drawing/2014/main" id="{00000000-0008-0000-2600-00000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67</xdr:row>
          <xdr:rowOff>76200</xdr:rowOff>
        </xdr:from>
        <xdr:to>
          <xdr:col>3</xdr:col>
          <xdr:colOff>1403350</xdr:colOff>
          <xdr:row>71</xdr:row>
          <xdr:rowOff>50800</xdr:rowOff>
        </xdr:to>
        <xdr:sp macro="" textlink="">
          <xdr:nvSpPr>
            <xdr:cNvPr id="38925" name="Group Box 13" hidden="1">
              <a:extLst>
                <a:ext uri="{63B3BB69-23CF-44E3-9099-C40C66FF867C}">
                  <a14:compatExt spid="_x0000_s38925"/>
                </a:ext>
                <a:ext uri="{FF2B5EF4-FFF2-40B4-BE49-F238E27FC236}">
                  <a16:creationId xmlns:a16="http://schemas.microsoft.com/office/drawing/2014/main" id="{00000000-0008-0000-2600-00000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77</xdr:row>
          <xdr:rowOff>0</xdr:rowOff>
        </xdr:from>
        <xdr:to>
          <xdr:col>5</xdr:col>
          <xdr:colOff>50800</xdr:colOff>
          <xdr:row>78</xdr:row>
          <xdr:rowOff>50800</xdr:rowOff>
        </xdr:to>
        <xdr:sp macro="" textlink="">
          <xdr:nvSpPr>
            <xdr:cNvPr id="38926" name="Option Button 14" hidden="1">
              <a:extLst>
                <a:ext uri="{63B3BB69-23CF-44E3-9099-C40C66FF867C}">
                  <a14:compatExt spid="_x0000_s38926"/>
                </a:ext>
                <a:ext uri="{FF2B5EF4-FFF2-40B4-BE49-F238E27FC236}">
                  <a16:creationId xmlns:a16="http://schemas.microsoft.com/office/drawing/2014/main" id="{00000000-0008-0000-2600-00000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77</xdr:row>
          <xdr:rowOff>12700</xdr:rowOff>
        </xdr:from>
        <xdr:to>
          <xdr:col>6</xdr:col>
          <xdr:colOff>0</xdr:colOff>
          <xdr:row>78</xdr:row>
          <xdr:rowOff>12700</xdr:rowOff>
        </xdr:to>
        <xdr:sp macro="" textlink="">
          <xdr:nvSpPr>
            <xdr:cNvPr id="38927" name="Option Button 15" hidden="1">
              <a:extLst>
                <a:ext uri="{63B3BB69-23CF-44E3-9099-C40C66FF867C}">
                  <a14:compatExt spid="_x0000_s38927"/>
                </a:ext>
                <a:ext uri="{FF2B5EF4-FFF2-40B4-BE49-F238E27FC236}">
                  <a16:creationId xmlns:a16="http://schemas.microsoft.com/office/drawing/2014/main" id="{00000000-0008-0000-2600-00000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76</xdr:row>
          <xdr:rowOff>69850</xdr:rowOff>
        </xdr:from>
        <xdr:to>
          <xdr:col>6</xdr:col>
          <xdr:colOff>323850</xdr:colOff>
          <xdr:row>79</xdr:row>
          <xdr:rowOff>50800</xdr:rowOff>
        </xdr:to>
        <xdr:sp macro="" textlink="">
          <xdr:nvSpPr>
            <xdr:cNvPr id="38928" name="Group Box 16" hidden="1">
              <a:extLst>
                <a:ext uri="{63B3BB69-23CF-44E3-9099-C40C66FF867C}">
                  <a14:compatExt spid="_x0000_s38928"/>
                </a:ext>
                <a:ext uri="{FF2B5EF4-FFF2-40B4-BE49-F238E27FC236}">
                  <a16:creationId xmlns:a16="http://schemas.microsoft.com/office/drawing/2014/main" id="{00000000-0008-0000-2600-00001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97</xdr:row>
          <xdr:rowOff>0</xdr:rowOff>
        </xdr:from>
        <xdr:to>
          <xdr:col>1</xdr:col>
          <xdr:colOff>641350</xdr:colOff>
          <xdr:row>98</xdr:row>
          <xdr:rowOff>88900</xdr:rowOff>
        </xdr:to>
        <xdr:sp macro="" textlink="">
          <xdr:nvSpPr>
            <xdr:cNvPr id="38930" name="OptionButton7" hidden="1">
              <a:extLst>
                <a:ext uri="{63B3BB69-23CF-44E3-9099-C40C66FF867C}">
                  <a14:compatExt spid="_x0000_s38930"/>
                </a:ext>
                <a:ext uri="{FF2B5EF4-FFF2-40B4-BE49-F238E27FC236}">
                  <a16:creationId xmlns:a16="http://schemas.microsoft.com/office/drawing/2014/main" id="{00000000-0008-0000-2600-00001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95</xdr:row>
          <xdr:rowOff>209550</xdr:rowOff>
        </xdr:from>
        <xdr:to>
          <xdr:col>3</xdr:col>
          <xdr:colOff>1403350</xdr:colOff>
          <xdr:row>99</xdr:row>
          <xdr:rowOff>12700</xdr:rowOff>
        </xdr:to>
        <xdr:sp macro="" textlink="">
          <xdr:nvSpPr>
            <xdr:cNvPr id="38932" name="Group Box 20" hidden="1">
              <a:extLst>
                <a:ext uri="{63B3BB69-23CF-44E3-9099-C40C66FF867C}">
                  <a14:compatExt spid="_x0000_s38932"/>
                </a:ext>
                <a:ext uri="{FF2B5EF4-FFF2-40B4-BE49-F238E27FC236}">
                  <a16:creationId xmlns:a16="http://schemas.microsoft.com/office/drawing/2014/main" id="{00000000-0008-0000-2600-000014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38933" name="Option Button 21" hidden="1">
              <a:extLst>
                <a:ext uri="{63B3BB69-23CF-44E3-9099-C40C66FF867C}">
                  <a14:compatExt spid="_x0000_s38933"/>
                </a:ext>
                <a:ext uri="{FF2B5EF4-FFF2-40B4-BE49-F238E27FC236}">
                  <a16:creationId xmlns:a16="http://schemas.microsoft.com/office/drawing/2014/main" id="{00000000-0008-0000-2600-000015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50800</xdr:rowOff>
        </xdr:from>
        <xdr:to>
          <xdr:col>3</xdr:col>
          <xdr:colOff>1143000</xdr:colOff>
          <xdr:row>38</xdr:row>
          <xdr:rowOff>50800</xdr:rowOff>
        </xdr:to>
        <xdr:sp macro="" textlink="">
          <xdr:nvSpPr>
            <xdr:cNvPr id="38934" name="Option Button 22" hidden="1">
              <a:extLst>
                <a:ext uri="{63B3BB69-23CF-44E3-9099-C40C66FF867C}">
                  <a14:compatExt spid="_x0000_s38934"/>
                </a:ext>
                <a:ext uri="{FF2B5EF4-FFF2-40B4-BE49-F238E27FC236}">
                  <a16:creationId xmlns:a16="http://schemas.microsoft.com/office/drawing/2014/main" id="{00000000-0008-0000-2600-000016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37</xdr:row>
          <xdr:rowOff>50800</xdr:rowOff>
        </xdr:from>
        <xdr:to>
          <xdr:col>5</xdr:col>
          <xdr:colOff>527050</xdr:colOff>
          <xdr:row>38</xdr:row>
          <xdr:rowOff>50800</xdr:rowOff>
        </xdr:to>
        <xdr:sp macro="" textlink="">
          <xdr:nvSpPr>
            <xdr:cNvPr id="38935" name="Option Button 23" hidden="1">
              <a:extLst>
                <a:ext uri="{63B3BB69-23CF-44E3-9099-C40C66FF867C}">
                  <a14:compatExt spid="_x0000_s38935"/>
                </a:ext>
                <a:ext uri="{FF2B5EF4-FFF2-40B4-BE49-F238E27FC236}">
                  <a16:creationId xmlns:a16="http://schemas.microsoft.com/office/drawing/2014/main" id="{00000000-0008-0000-2600-000017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38937" name="Group Box 25" hidden="1">
              <a:extLst>
                <a:ext uri="{63B3BB69-23CF-44E3-9099-C40C66FF867C}">
                  <a14:compatExt spid="_x0000_s38937"/>
                </a:ext>
                <a:ext uri="{FF2B5EF4-FFF2-40B4-BE49-F238E27FC236}">
                  <a16:creationId xmlns:a16="http://schemas.microsoft.com/office/drawing/2014/main" id="{00000000-0008-0000-2600-00001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146050</xdr:colOff>
          <xdr:row>44</xdr:row>
          <xdr:rowOff>0</xdr:rowOff>
        </xdr:from>
        <xdr:to>
          <xdr:col>2</xdr:col>
          <xdr:colOff>114300</xdr:colOff>
          <xdr:row>45</xdr:row>
          <xdr:rowOff>88900</xdr:rowOff>
        </xdr:to>
        <xdr:sp macro="" textlink="">
          <xdr:nvSpPr>
            <xdr:cNvPr id="38939" name="OptionButton10" hidden="1">
              <a:extLst>
                <a:ext uri="{63B3BB69-23CF-44E3-9099-C40C66FF867C}">
                  <a14:compatExt spid="_x0000_s38939"/>
                </a:ext>
                <a:ext uri="{FF2B5EF4-FFF2-40B4-BE49-F238E27FC236}">
                  <a16:creationId xmlns:a16="http://schemas.microsoft.com/office/drawing/2014/main" id="{00000000-0008-0000-2600-00001B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1403350</xdr:colOff>
          <xdr:row>46</xdr:row>
          <xdr:rowOff>12700</xdr:rowOff>
        </xdr:to>
        <xdr:sp macro="" textlink="">
          <xdr:nvSpPr>
            <xdr:cNvPr id="38941" name="Group Box 29" hidden="1">
              <a:extLst>
                <a:ext uri="{63B3BB69-23CF-44E3-9099-C40C66FF867C}">
                  <a14:compatExt spid="_x0000_s38941"/>
                </a:ext>
                <a:ext uri="{FF2B5EF4-FFF2-40B4-BE49-F238E27FC236}">
                  <a16:creationId xmlns:a16="http://schemas.microsoft.com/office/drawing/2014/main" id="{00000000-0008-0000-2600-00001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146050</xdr:colOff>
          <xdr:row>147</xdr:row>
          <xdr:rowOff>152400</xdr:rowOff>
        </xdr:from>
        <xdr:to>
          <xdr:col>14</xdr:col>
          <xdr:colOff>317500</xdr:colOff>
          <xdr:row>150</xdr:row>
          <xdr:rowOff>31750</xdr:rowOff>
        </xdr:to>
        <xdr:sp macro="" textlink="">
          <xdr:nvSpPr>
            <xdr:cNvPr id="38946" name="CommandButton1" hidden="1">
              <a:extLst>
                <a:ext uri="{63B3BB69-23CF-44E3-9099-C40C66FF867C}">
                  <a14:compatExt spid="_x0000_s38946"/>
                </a:ext>
                <a:ext uri="{FF2B5EF4-FFF2-40B4-BE49-F238E27FC236}">
                  <a16:creationId xmlns:a16="http://schemas.microsoft.com/office/drawing/2014/main" id="{00000000-0008-0000-2600-0000229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450850</xdr:colOff>
          <xdr:row>9</xdr:row>
          <xdr:rowOff>107950</xdr:rowOff>
        </xdr:from>
        <xdr:to>
          <xdr:col>3</xdr:col>
          <xdr:colOff>0</xdr:colOff>
          <xdr:row>9</xdr:row>
          <xdr:rowOff>190500</xdr:rowOff>
        </xdr:to>
        <xdr:sp macro="" textlink="">
          <xdr:nvSpPr>
            <xdr:cNvPr id="39007" name="Check Box 95" hidden="1">
              <a:extLst>
                <a:ext uri="{63B3BB69-23CF-44E3-9099-C40C66FF867C}">
                  <a14:compatExt spid="_x0000_s39007"/>
                </a:ext>
                <a:ext uri="{FF2B5EF4-FFF2-40B4-BE49-F238E27FC236}">
                  <a16:creationId xmlns:a16="http://schemas.microsoft.com/office/drawing/2014/main" id="{00000000-0008-0000-2600-00005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12700</xdr:colOff>
          <xdr:row>9</xdr:row>
          <xdr:rowOff>114300</xdr:rowOff>
        </xdr:from>
        <xdr:to>
          <xdr:col>3</xdr:col>
          <xdr:colOff>666750</xdr:colOff>
          <xdr:row>9</xdr:row>
          <xdr:rowOff>203200</xdr:rowOff>
        </xdr:to>
        <xdr:sp macro="" textlink="">
          <xdr:nvSpPr>
            <xdr:cNvPr id="39009" name="Check Box 97" hidden="1">
              <a:extLst>
                <a:ext uri="{63B3BB69-23CF-44E3-9099-C40C66FF867C}">
                  <a14:compatExt spid="_x0000_s39009"/>
                </a:ext>
                <a:ext uri="{FF2B5EF4-FFF2-40B4-BE49-F238E27FC236}">
                  <a16:creationId xmlns:a16="http://schemas.microsoft.com/office/drawing/2014/main" id="{00000000-0008-0000-2600-000061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 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9</xdr:row>
          <xdr:rowOff>107950</xdr:rowOff>
        </xdr:from>
        <xdr:to>
          <xdr:col>1</xdr:col>
          <xdr:colOff>450850</xdr:colOff>
          <xdr:row>9</xdr:row>
          <xdr:rowOff>203200</xdr:rowOff>
        </xdr:to>
        <xdr:sp macro="" textlink="">
          <xdr:nvSpPr>
            <xdr:cNvPr id="39010" name="Check Box 98" hidden="1">
              <a:extLst>
                <a:ext uri="{63B3BB69-23CF-44E3-9099-C40C66FF867C}">
                  <a14:compatExt spid="_x0000_s39010"/>
                </a:ext>
                <a:ext uri="{FF2B5EF4-FFF2-40B4-BE49-F238E27FC236}">
                  <a16:creationId xmlns:a16="http://schemas.microsoft.com/office/drawing/2014/main" id="{00000000-0008-0000-2600-000062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736600</xdr:colOff>
          <xdr:row>9</xdr:row>
          <xdr:rowOff>107950</xdr:rowOff>
        </xdr:from>
        <xdr:to>
          <xdr:col>4</xdr:col>
          <xdr:colOff>203200</xdr:colOff>
          <xdr:row>9</xdr:row>
          <xdr:rowOff>190500</xdr:rowOff>
        </xdr:to>
        <xdr:sp macro="" textlink="">
          <xdr:nvSpPr>
            <xdr:cNvPr id="39064" name="Check Box 152" hidden="1">
              <a:extLst>
                <a:ext uri="{63B3BB69-23CF-44E3-9099-C40C66FF867C}">
                  <a14:compatExt spid="_x0000_s39064"/>
                </a:ext>
                <a:ext uri="{FF2B5EF4-FFF2-40B4-BE49-F238E27FC236}">
                  <a16:creationId xmlns:a16="http://schemas.microsoft.com/office/drawing/2014/main" id="{00000000-0008-0000-2600-000098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123</xdr:row>
          <xdr:rowOff>0</xdr:rowOff>
        </xdr:from>
        <xdr:to>
          <xdr:col>3</xdr:col>
          <xdr:colOff>1403350</xdr:colOff>
          <xdr:row>127</xdr:row>
          <xdr:rowOff>146050</xdr:rowOff>
        </xdr:to>
        <xdr:sp macro="" textlink="">
          <xdr:nvSpPr>
            <xdr:cNvPr id="39065" name="Group Box 153" hidden="1">
              <a:extLst>
                <a:ext uri="{63B3BB69-23CF-44E3-9099-C40C66FF867C}">
                  <a14:compatExt spid="_x0000_s39065"/>
                </a:ext>
                <a:ext uri="{FF2B5EF4-FFF2-40B4-BE49-F238E27FC236}">
                  <a16:creationId xmlns:a16="http://schemas.microsoft.com/office/drawing/2014/main" id="{00000000-0008-0000-2600-000099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130</xdr:row>
          <xdr:rowOff>0</xdr:rowOff>
        </xdr:from>
        <xdr:to>
          <xdr:col>5</xdr:col>
          <xdr:colOff>50800</xdr:colOff>
          <xdr:row>131</xdr:row>
          <xdr:rowOff>50800</xdr:rowOff>
        </xdr:to>
        <xdr:sp macro="" textlink="">
          <xdr:nvSpPr>
            <xdr:cNvPr id="39066" name="Option Button 154" hidden="1">
              <a:extLst>
                <a:ext uri="{63B3BB69-23CF-44E3-9099-C40C66FF867C}">
                  <a14:compatExt spid="_x0000_s39066"/>
                </a:ext>
                <a:ext uri="{FF2B5EF4-FFF2-40B4-BE49-F238E27FC236}">
                  <a16:creationId xmlns:a16="http://schemas.microsoft.com/office/drawing/2014/main" id="{00000000-0008-0000-2600-00009A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130</xdr:row>
          <xdr:rowOff>12700</xdr:rowOff>
        </xdr:from>
        <xdr:to>
          <xdr:col>6</xdr:col>
          <xdr:colOff>0</xdr:colOff>
          <xdr:row>131</xdr:row>
          <xdr:rowOff>12700</xdr:rowOff>
        </xdr:to>
        <xdr:sp macro="" textlink="">
          <xdr:nvSpPr>
            <xdr:cNvPr id="39067" name="Option Button 155" hidden="1">
              <a:extLst>
                <a:ext uri="{63B3BB69-23CF-44E3-9099-C40C66FF867C}">
                  <a14:compatExt spid="_x0000_s39067"/>
                </a:ext>
                <a:ext uri="{FF2B5EF4-FFF2-40B4-BE49-F238E27FC236}">
                  <a16:creationId xmlns:a16="http://schemas.microsoft.com/office/drawing/2014/main" id="{00000000-0008-0000-2600-00009B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129</xdr:row>
          <xdr:rowOff>12700</xdr:rowOff>
        </xdr:from>
        <xdr:to>
          <xdr:col>6</xdr:col>
          <xdr:colOff>533400</xdr:colOff>
          <xdr:row>131</xdr:row>
          <xdr:rowOff>165100</xdr:rowOff>
        </xdr:to>
        <xdr:sp macro="" textlink="">
          <xdr:nvSpPr>
            <xdr:cNvPr id="39068" name="Group Box 156" hidden="1">
              <a:extLst>
                <a:ext uri="{63B3BB69-23CF-44E3-9099-C40C66FF867C}">
                  <a14:compatExt spid="_x0000_s39068"/>
                </a:ext>
                <a:ext uri="{FF2B5EF4-FFF2-40B4-BE49-F238E27FC236}">
                  <a16:creationId xmlns:a16="http://schemas.microsoft.com/office/drawing/2014/main" id="{00000000-0008-0000-2600-00009C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123</xdr:row>
          <xdr:rowOff>76200</xdr:rowOff>
        </xdr:from>
        <xdr:to>
          <xdr:col>3</xdr:col>
          <xdr:colOff>1403350</xdr:colOff>
          <xdr:row>127</xdr:row>
          <xdr:rowOff>38100</xdr:rowOff>
        </xdr:to>
        <xdr:sp macro="" textlink="">
          <xdr:nvSpPr>
            <xdr:cNvPr id="39069" name="Group Box 157" hidden="1">
              <a:extLst>
                <a:ext uri="{63B3BB69-23CF-44E3-9099-C40C66FF867C}">
                  <a14:compatExt spid="_x0000_s39069"/>
                </a:ext>
                <a:ext uri="{FF2B5EF4-FFF2-40B4-BE49-F238E27FC236}">
                  <a16:creationId xmlns:a16="http://schemas.microsoft.com/office/drawing/2014/main" id="{00000000-0008-0000-2600-00009D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133</xdr:row>
          <xdr:rowOff>0</xdr:rowOff>
        </xdr:from>
        <xdr:to>
          <xdr:col>5</xdr:col>
          <xdr:colOff>50800</xdr:colOff>
          <xdr:row>134</xdr:row>
          <xdr:rowOff>50800</xdr:rowOff>
        </xdr:to>
        <xdr:sp macro="" textlink="">
          <xdr:nvSpPr>
            <xdr:cNvPr id="39070" name="Option Button 158" hidden="1">
              <a:extLst>
                <a:ext uri="{63B3BB69-23CF-44E3-9099-C40C66FF867C}">
                  <a14:compatExt spid="_x0000_s39070"/>
                </a:ext>
                <a:ext uri="{FF2B5EF4-FFF2-40B4-BE49-F238E27FC236}">
                  <a16:creationId xmlns:a16="http://schemas.microsoft.com/office/drawing/2014/main" id="{00000000-0008-0000-2600-00009E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133</xdr:row>
          <xdr:rowOff>12700</xdr:rowOff>
        </xdr:from>
        <xdr:to>
          <xdr:col>6</xdr:col>
          <xdr:colOff>0</xdr:colOff>
          <xdr:row>134</xdr:row>
          <xdr:rowOff>12700</xdr:rowOff>
        </xdr:to>
        <xdr:sp macro="" textlink="">
          <xdr:nvSpPr>
            <xdr:cNvPr id="39071" name="Option Button 159" hidden="1">
              <a:extLst>
                <a:ext uri="{63B3BB69-23CF-44E3-9099-C40C66FF867C}">
                  <a14:compatExt spid="_x0000_s39071"/>
                </a:ext>
                <a:ext uri="{FF2B5EF4-FFF2-40B4-BE49-F238E27FC236}">
                  <a16:creationId xmlns:a16="http://schemas.microsoft.com/office/drawing/2014/main" id="{00000000-0008-0000-2600-00009F9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132</xdr:row>
          <xdr:rowOff>69850</xdr:rowOff>
        </xdr:from>
        <xdr:to>
          <xdr:col>6</xdr:col>
          <xdr:colOff>323850</xdr:colOff>
          <xdr:row>135</xdr:row>
          <xdr:rowOff>50800</xdr:rowOff>
        </xdr:to>
        <xdr:sp macro="" textlink="">
          <xdr:nvSpPr>
            <xdr:cNvPr id="39072" name="Group Box 160" hidden="1">
              <a:extLst>
                <a:ext uri="{63B3BB69-23CF-44E3-9099-C40C66FF867C}">
                  <a14:compatExt spid="_x0000_s39072"/>
                </a:ext>
                <a:ext uri="{FF2B5EF4-FFF2-40B4-BE49-F238E27FC236}">
                  <a16:creationId xmlns:a16="http://schemas.microsoft.com/office/drawing/2014/main" id="{00000000-0008-0000-2600-0000A098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73215</xdr:colOff>
      <xdr:row>0</xdr:row>
      <xdr:rowOff>0</xdr:rowOff>
    </xdr:from>
    <xdr:to>
      <xdr:col>15</xdr:col>
      <xdr:colOff>0</xdr:colOff>
      <xdr:row>1</xdr:row>
      <xdr:rowOff>69596</xdr:rowOff>
    </xdr:to>
    <xdr:pic>
      <xdr:nvPicPr>
        <xdr:cNvPr id="38" name="Picture 37" descr="PSEGLI_2c_v">
          <a:extLst>
            <a:ext uri="{FF2B5EF4-FFF2-40B4-BE49-F238E27FC236}">
              <a16:creationId xmlns:a16="http://schemas.microsoft.com/office/drawing/2014/main" id="{00000000-0008-0000-2600-000026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085048" y="0"/>
          <a:ext cx="2657285" cy="768096"/>
        </a:xfrm>
        <a:prstGeom prst="rect">
          <a:avLst/>
        </a:prstGeom>
        <a:noFill/>
        <a:ln>
          <a:noFill/>
        </a:ln>
      </xdr:spPr>
    </xdr:pic>
    <xdr:clientData/>
  </xdr:twoCellAnchor>
</xdr:wsDr>
</file>

<file path=xl/drawings/drawing3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19</xdr:row>
          <xdr:rowOff>165100</xdr:rowOff>
        </xdr:from>
        <xdr:to>
          <xdr:col>6</xdr:col>
          <xdr:colOff>0</xdr:colOff>
          <xdr:row>20</xdr:row>
          <xdr:rowOff>69850</xdr:rowOff>
        </xdr:to>
        <xdr:sp macro="" textlink="">
          <xdr:nvSpPr>
            <xdr:cNvPr id="37889" name="OptionButton1" hidden="1">
              <a:extLst>
                <a:ext uri="{63B3BB69-23CF-44E3-9099-C40C66FF867C}">
                  <a14:compatExt spid="_x0000_s37889"/>
                </a:ext>
                <a:ext uri="{FF2B5EF4-FFF2-40B4-BE49-F238E27FC236}">
                  <a16:creationId xmlns:a16="http://schemas.microsoft.com/office/drawing/2014/main" id="{00000000-0008-0000-2700-000001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165100</xdr:rowOff>
        </xdr:from>
        <xdr:to>
          <xdr:col>10</xdr:col>
          <xdr:colOff>203200</xdr:colOff>
          <xdr:row>20</xdr:row>
          <xdr:rowOff>165100</xdr:rowOff>
        </xdr:to>
        <xdr:sp macro="" textlink="">
          <xdr:nvSpPr>
            <xdr:cNvPr id="37890" name="OptionButton2" hidden="1">
              <a:extLst>
                <a:ext uri="{63B3BB69-23CF-44E3-9099-C40C66FF867C}">
                  <a14:compatExt spid="_x0000_s37890"/>
                </a:ext>
                <a:ext uri="{FF2B5EF4-FFF2-40B4-BE49-F238E27FC236}">
                  <a16:creationId xmlns:a16="http://schemas.microsoft.com/office/drawing/2014/main" id="{00000000-0008-0000-2700-00000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457200</xdr:colOff>
          <xdr:row>20</xdr:row>
          <xdr:rowOff>336550</xdr:rowOff>
        </xdr:to>
        <xdr:sp macro="" textlink="">
          <xdr:nvSpPr>
            <xdr:cNvPr id="37891" name="Group Box 3" hidden="1">
              <a:extLst>
                <a:ext uri="{63B3BB69-23CF-44E3-9099-C40C66FF867C}">
                  <a14:compatExt spid="_x0000_s37891"/>
                </a:ext>
                <a:ext uri="{FF2B5EF4-FFF2-40B4-BE49-F238E27FC236}">
                  <a16:creationId xmlns:a16="http://schemas.microsoft.com/office/drawing/2014/main" id="{00000000-0008-0000-2700-000003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21</xdr:row>
          <xdr:rowOff>469900</xdr:rowOff>
        </xdr:to>
        <xdr:sp macro="" textlink="">
          <xdr:nvSpPr>
            <xdr:cNvPr id="37892" name="Check Box 4" hidden="1">
              <a:extLst>
                <a:ext uri="{63B3BB69-23CF-44E3-9099-C40C66FF867C}">
                  <a14:compatExt spid="_x0000_s37892"/>
                </a:ext>
                <a:ext uri="{FF2B5EF4-FFF2-40B4-BE49-F238E27FC236}">
                  <a16:creationId xmlns:a16="http://schemas.microsoft.com/office/drawing/2014/main" id="{00000000-0008-0000-2700-000004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21</xdr:row>
          <xdr:rowOff>488950</xdr:rowOff>
        </xdr:to>
        <xdr:sp macro="" textlink="">
          <xdr:nvSpPr>
            <xdr:cNvPr id="37893" name="Check Box 5" hidden="1">
              <a:extLst>
                <a:ext uri="{63B3BB69-23CF-44E3-9099-C40C66FF867C}">
                  <a14:compatExt spid="_x0000_s37893"/>
                </a:ext>
                <a:ext uri="{FF2B5EF4-FFF2-40B4-BE49-F238E27FC236}">
                  <a16:creationId xmlns:a16="http://schemas.microsoft.com/office/drawing/2014/main" id="{00000000-0008-0000-2700-00000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1409700</xdr:colOff>
          <xdr:row>69</xdr:row>
          <xdr:rowOff>95250</xdr:rowOff>
        </xdr:to>
        <xdr:sp macro="" textlink="">
          <xdr:nvSpPr>
            <xdr:cNvPr id="37897" name="Group Box 9" hidden="1">
              <a:extLst>
                <a:ext uri="{63B3BB69-23CF-44E3-9099-C40C66FF867C}">
                  <a14:compatExt spid="_x0000_s37897"/>
                </a:ext>
                <a:ext uri="{FF2B5EF4-FFF2-40B4-BE49-F238E27FC236}">
                  <a16:creationId xmlns:a16="http://schemas.microsoft.com/office/drawing/2014/main" id="{00000000-0008-0000-2700-00000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7898" name="Option Button 10" hidden="1">
              <a:extLst>
                <a:ext uri="{63B3BB69-23CF-44E3-9099-C40C66FF867C}">
                  <a14:compatExt spid="_x0000_s37898"/>
                </a:ext>
                <a:ext uri="{FF2B5EF4-FFF2-40B4-BE49-F238E27FC236}">
                  <a16:creationId xmlns:a16="http://schemas.microsoft.com/office/drawing/2014/main" id="{00000000-0008-0000-2700-00000A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7899" name="Option Button 11" hidden="1">
              <a:extLst>
                <a:ext uri="{63B3BB69-23CF-44E3-9099-C40C66FF867C}">
                  <a14:compatExt spid="_x0000_s37899"/>
                </a:ext>
                <a:ext uri="{FF2B5EF4-FFF2-40B4-BE49-F238E27FC236}">
                  <a16:creationId xmlns:a16="http://schemas.microsoft.com/office/drawing/2014/main" id="{00000000-0008-0000-2700-00000B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37900" name="Group Box 12" hidden="1">
              <a:extLst>
                <a:ext uri="{63B3BB69-23CF-44E3-9099-C40C66FF867C}">
                  <a14:compatExt spid="_x0000_s37900"/>
                </a:ext>
                <a:ext uri="{FF2B5EF4-FFF2-40B4-BE49-F238E27FC236}">
                  <a16:creationId xmlns:a16="http://schemas.microsoft.com/office/drawing/2014/main" id="{00000000-0008-0000-2700-00000C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1409700</xdr:colOff>
          <xdr:row>68</xdr:row>
          <xdr:rowOff>95250</xdr:rowOff>
        </xdr:to>
        <xdr:sp macro="" textlink="">
          <xdr:nvSpPr>
            <xdr:cNvPr id="37901" name="Group Box 13" hidden="1">
              <a:extLst>
                <a:ext uri="{63B3BB69-23CF-44E3-9099-C40C66FF867C}">
                  <a14:compatExt spid="_x0000_s37901"/>
                </a:ext>
                <a:ext uri="{FF2B5EF4-FFF2-40B4-BE49-F238E27FC236}">
                  <a16:creationId xmlns:a16="http://schemas.microsoft.com/office/drawing/2014/main" id="{00000000-0008-0000-2700-00000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37902" name="Option Button 14" hidden="1">
              <a:extLst>
                <a:ext uri="{63B3BB69-23CF-44E3-9099-C40C66FF867C}">
                  <a14:compatExt spid="_x0000_s37902"/>
                </a:ext>
                <a:ext uri="{FF2B5EF4-FFF2-40B4-BE49-F238E27FC236}">
                  <a16:creationId xmlns:a16="http://schemas.microsoft.com/office/drawing/2014/main" id="{00000000-0008-0000-2700-00000E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37903" name="Option Button 15" hidden="1">
              <a:extLst>
                <a:ext uri="{63B3BB69-23CF-44E3-9099-C40C66FF867C}">
                  <a14:compatExt spid="_x0000_s37903"/>
                </a:ext>
                <a:ext uri="{FF2B5EF4-FFF2-40B4-BE49-F238E27FC236}">
                  <a16:creationId xmlns:a16="http://schemas.microsoft.com/office/drawing/2014/main" id="{00000000-0008-0000-2700-00000F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37904" name="Group Box 16" hidden="1">
              <a:extLst>
                <a:ext uri="{63B3BB69-23CF-44E3-9099-C40C66FF867C}">
                  <a14:compatExt spid="_x0000_s37904"/>
                </a:ext>
                <a:ext uri="{FF2B5EF4-FFF2-40B4-BE49-F238E27FC236}">
                  <a16:creationId xmlns:a16="http://schemas.microsoft.com/office/drawing/2014/main" id="{00000000-0008-0000-2700-000010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70</xdr:row>
          <xdr:rowOff>0</xdr:rowOff>
        </xdr:from>
        <xdr:to>
          <xdr:col>1</xdr:col>
          <xdr:colOff>647700</xdr:colOff>
          <xdr:row>71</xdr:row>
          <xdr:rowOff>88900</xdr:rowOff>
        </xdr:to>
        <xdr:sp macro="" textlink="">
          <xdr:nvSpPr>
            <xdr:cNvPr id="37906" name="OptionButton7" hidden="1">
              <a:extLst>
                <a:ext uri="{63B3BB69-23CF-44E3-9099-C40C66FF867C}">
                  <a14:compatExt spid="_x0000_s37906"/>
                </a:ext>
                <a:ext uri="{FF2B5EF4-FFF2-40B4-BE49-F238E27FC236}">
                  <a16:creationId xmlns:a16="http://schemas.microsoft.com/office/drawing/2014/main" id="{00000000-0008-0000-2700-000012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1409700</xdr:colOff>
          <xdr:row>72</xdr:row>
          <xdr:rowOff>12700</xdr:rowOff>
        </xdr:to>
        <xdr:sp macro="" textlink="">
          <xdr:nvSpPr>
            <xdr:cNvPr id="37908" name="Group Box 20" hidden="1">
              <a:extLst>
                <a:ext uri="{63B3BB69-23CF-44E3-9099-C40C66FF867C}">
                  <a14:compatExt spid="_x0000_s37908"/>
                </a:ext>
                <a:ext uri="{FF2B5EF4-FFF2-40B4-BE49-F238E27FC236}">
                  <a16:creationId xmlns:a16="http://schemas.microsoft.com/office/drawing/2014/main" id="{00000000-0008-0000-2700-000014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37909" name="Option Button 21" hidden="1">
              <a:extLst>
                <a:ext uri="{63B3BB69-23CF-44E3-9099-C40C66FF867C}">
                  <a14:compatExt spid="_x0000_s37909"/>
                </a:ext>
                <a:ext uri="{FF2B5EF4-FFF2-40B4-BE49-F238E27FC236}">
                  <a16:creationId xmlns:a16="http://schemas.microsoft.com/office/drawing/2014/main" id="{00000000-0008-0000-2700-000015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831850</xdr:colOff>
          <xdr:row>37</xdr:row>
          <xdr:rowOff>12700</xdr:rowOff>
        </xdr:from>
        <xdr:to>
          <xdr:col>3</xdr:col>
          <xdr:colOff>1060450</xdr:colOff>
          <xdr:row>38</xdr:row>
          <xdr:rowOff>12700</xdr:rowOff>
        </xdr:to>
        <xdr:sp macro="" textlink="">
          <xdr:nvSpPr>
            <xdr:cNvPr id="37910" name="Option Button 22" hidden="1">
              <a:extLst>
                <a:ext uri="{63B3BB69-23CF-44E3-9099-C40C66FF867C}">
                  <a14:compatExt spid="_x0000_s37910"/>
                </a:ext>
                <a:ext uri="{FF2B5EF4-FFF2-40B4-BE49-F238E27FC236}">
                  <a16:creationId xmlns:a16="http://schemas.microsoft.com/office/drawing/2014/main" id="{00000000-0008-0000-2700-000016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37</xdr:row>
          <xdr:rowOff>12700</xdr:rowOff>
        </xdr:from>
        <xdr:to>
          <xdr:col>5</xdr:col>
          <xdr:colOff>476250</xdr:colOff>
          <xdr:row>38</xdr:row>
          <xdr:rowOff>12700</xdr:rowOff>
        </xdr:to>
        <xdr:sp macro="" textlink="">
          <xdr:nvSpPr>
            <xdr:cNvPr id="37911" name="Option Button 23" hidden="1">
              <a:extLst>
                <a:ext uri="{63B3BB69-23CF-44E3-9099-C40C66FF867C}">
                  <a14:compatExt spid="_x0000_s37911"/>
                </a:ext>
                <a:ext uri="{FF2B5EF4-FFF2-40B4-BE49-F238E27FC236}">
                  <a16:creationId xmlns:a16="http://schemas.microsoft.com/office/drawing/2014/main" id="{00000000-0008-0000-2700-0000179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37913" name="Group Box 25" hidden="1">
              <a:extLst>
                <a:ext uri="{63B3BB69-23CF-44E3-9099-C40C66FF867C}">
                  <a14:compatExt spid="_x0000_s37913"/>
                </a:ext>
                <a:ext uri="{FF2B5EF4-FFF2-40B4-BE49-F238E27FC236}">
                  <a16:creationId xmlns:a16="http://schemas.microsoft.com/office/drawing/2014/main" id="{00000000-0008-0000-2700-000019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44</xdr:row>
          <xdr:rowOff>50800</xdr:rowOff>
        </xdr:from>
        <xdr:to>
          <xdr:col>2</xdr:col>
          <xdr:colOff>12700</xdr:colOff>
          <xdr:row>45</xdr:row>
          <xdr:rowOff>146050</xdr:rowOff>
        </xdr:to>
        <xdr:sp macro="" textlink="">
          <xdr:nvSpPr>
            <xdr:cNvPr id="37915" name="OptionButton10" hidden="1">
              <a:extLst>
                <a:ext uri="{63B3BB69-23CF-44E3-9099-C40C66FF867C}">
                  <a14:compatExt spid="_x0000_s37915"/>
                </a:ext>
                <a:ext uri="{FF2B5EF4-FFF2-40B4-BE49-F238E27FC236}">
                  <a16:creationId xmlns:a16="http://schemas.microsoft.com/office/drawing/2014/main" id="{00000000-0008-0000-2700-00001B9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1409700</xdr:colOff>
          <xdr:row>46</xdr:row>
          <xdr:rowOff>12700</xdr:rowOff>
        </xdr:to>
        <xdr:sp macro="" textlink="">
          <xdr:nvSpPr>
            <xdr:cNvPr id="37917" name="Group Box 29" hidden="1">
              <a:extLst>
                <a:ext uri="{63B3BB69-23CF-44E3-9099-C40C66FF867C}">
                  <a14:compatExt spid="_x0000_s37917"/>
                </a:ext>
                <a:ext uri="{FF2B5EF4-FFF2-40B4-BE49-F238E27FC236}">
                  <a16:creationId xmlns:a16="http://schemas.microsoft.com/office/drawing/2014/main" id="{00000000-0008-0000-2700-00001D9400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120</xdr:row>
          <xdr:rowOff>12700</xdr:rowOff>
        </xdr:from>
        <xdr:to>
          <xdr:col>14</xdr:col>
          <xdr:colOff>533400</xdr:colOff>
          <xdr:row>122</xdr:row>
          <xdr:rowOff>171450</xdr:rowOff>
        </xdr:to>
        <xdr:sp macro="" textlink="">
          <xdr:nvSpPr>
            <xdr:cNvPr id="38892" name="CommandButton1" hidden="1">
              <a:extLst>
                <a:ext uri="{63B3BB69-23CF-44E3-9099-C40C66FF867C}">
                  <a14:compatExt spid="_x0000_s38892"/>
                </a:ext>
                <a:ext uri="{FF2B5EF4-FFF2-40B4-BE49-F238E27FC236}">
                  <a16:creationId xmlns:a16="http://schemas.microsoft.com/office/drawing/2014/main" id="{00000000-0008-0000-2700-0000EC97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123945" name="Check Box 1065" hidden="1">
              <a:extLst>
                <a:ext uri="{63B3BB69-23CF-44E3-9099-C40C66FF867C}">
                  <a14:compatExt spid="_x0000_s123945"/>
                </a:ext>
                <a:ext uri="{FF2B5EF4-FFF2-40B4-BE49-F238E27FC236}">
                  <a16:creationId xmlns:a16="http://schemas.microsoft.com/office/drawing/2014/main" id="{00000000-0008-0000-2700-000029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31750</xdr:colOff>
          <xdr:row>9</xdr:row>
          <xdr:rowOff>95250</xdr:rowOff>
        </xdr:from>
        <xdr:to>
          <xdr:col>1</xdr:col>
          <xdr:colOff>438150</xdr:colOff>
          <xdr:row>9</xdr:row>
          <xdr:rowOff>361950</xdr:rowOff>
        </xdr:to>
        <xdr:sp macro="" textlink="">
          <xdr:nvSpPr>
            <xdr:cNvPr id="123946" name="Check Box 1066" hidden="1">
              <a:extLst>
                <a:ext uri="{63B3BB69-23CF-44E3-9099-C40C66FF867C}">
                  <a14:compatExt spid="_x0000_s123946"/>
                </a:ext>
                <a:ext uri="{FF2B5EF4-FFF2-40B4-BE49-F238E27FC236}">
                  <a16:creationId xmlns:a16="http://schemas.microsoft.com/office/drawing/2014/main" id="{00000000-0008-0000-2700-00002A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895350</xdr:colOff>
          <xdr:row>9</xdr:row>
          <xdr:rowOff>88900</xdr:rowOff>
        </xdr:from>
        <xdr:to>
          <xdr:col>4</xdr:col>
          <xdr:colOff>152400</xdr:colOff>
          <xdr:row>9</xdr:row>
          <xdr:rowOff>190500</xdr:rowOff>
        </xdr:to>
        <xdr:sp macro="" textlink="">
          <xdr:nvSpPr>
            <xdr:cNvPr id="123947" name="Check Box 1067" hidden="1">
              <a:extLst>
                <a:ext uri="{63B3BB69-23CF-44E3-9099-C40C66FF867C}">
                  <a14:compatExt spid="_x0000_s123947"/>
                </a:ext>
                <a:ext uri="{FF2B5EF4-FFF2-40B4-BE49-F238E27FC236}">
                  <a16:creationId xmlns:a16="http://schemas.microsoft.com/office/drawing/2014/main" id="{00000000-0008-0000-2700-00002B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279400</xdr:colOff>
          <xdr:row>9</xdr:row>
          <xdr:rowOff>88900</xdr:rowOff>
        </xdr:from>
        <xdr:to>
          <xdr:col>3</xdr:col>
          <xdr:colOff>946150</xdr:colOff>
          <xdr:row>10</xdr:row>
          <xdr:rowOff>0</xdr:rowOff>
        </xdr:to>
        <xdr:sp macro="" textlink="">
          <xdr:nvSpPr>
            <xdr:cNvPr id="123948" name="Check Box 1068" hidden="1">
              <a:extLst>
                <a:ext uri="{63B3BB69-23CF-44E3-9099-C40C66FF867C}">
                  <a14:compatExt spid="_x0000_s123948"/>
                </a:ext>
                <a:ext uri="{FF2B5EF4-FFF2-40B4-BE49-F238E27FC236}">
                  <a16:creationId xmlns:a16="http://schemas.microsoft.com/office/drawing/2014/main" id="{00000000-0008-0000-2700-00002C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1409700</xdr:colOff>
          <xdr:row>100</xdr:row>
          <xdr:rowOff>146050</xdr:rowOff>
        </xdr:to>
        <xdr:sp macro="" textlink="">
          <xdr:nvSpPr>
            <xdr:cNvPr id="123949" name="Group Box 1069" hidden="1">
              <a:extLst>
                <a:ext uri="{63B3BB69-23CF-44E3-9099-C40C66FF867C}">
                  <a14:compatExt spid="_x0000_s123949"/>
                </a:ext>
                <a:ext uri="{FF2B5EF4-FFF2-40B4-BE49-F238E27FC236}">
                  <a16:creationId xmlns:a16="http://schemas.microsoft.com/office/drawing/2014/main" id="{00000000-0008-0000-2700-00002D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123950" name="Option Button 1070" hidden="1">
              <a:extLst>
                <a:ext uri="{63B3BB69-23CF-44E3-9099-C40C66FF867C}">
                  <a14:compatExt spid="_x0000_s123950"/>
                </a:ext>
                <a:ext uri="{FF2B5EF4-FFF2-40B4-BE49-F238E27FC236}">
                  <a16:creationId xmlns:a16="http://schemas.microsoft.com/office/drawing/2014/main" id="{00000000-0008-0000-2700-00002E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123951" name="Option Button 1071" hidden="1">
              <a:extLst>
                <a:ext uri="{63B3BB69-23CF-44E3-9099-C40C66FF867C}">
                  <a14:compatExt spid="_x0000_s123951"/>
                </a:ext>
                <a:ext uri="{FF2B5EF4-FFF2-40B4-BE49-F238E27FC236}">
                  <a16:creationId xmlns:a16="http://schemas.microsoft.com/office/drawing/2014/main" id="{00000000-0008-0000-2700-00002F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123952" name="Group Box 1072" hidden="1">
              <a:extLst>
                <a:ext uri="{63B3BB69-23CF-44E3-9099-C40C66FF867C}">
                  <a14:compatExt spid="_x0000_s123952"/>
                </a:ext>
                <a:ext uri="{FF2B5EF4-FFF2-40B4-BE49-F238E27FC236}">
                  <a16:creationId xmlns:a16="http://schemas.microsoft.com/office/drawing/2014/main" id="{00000000-0008-0000-2700-000030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1409700</xdr:colOff>
          <xdr:row>100</xdr:row>
          <xdr:rowOff>38100</xdr:rowOff>
        </xdr:to>
        <xdr:sp macro="" textlink="">
          <xdr:nvSpPr>
            <xdr:cNvPr id="123953" name="Group Box 1073" hidden="1">
              <a:extLst>
                <a:ext uri="{63B3BB69-23CF-44E3-9099-C40C66FF867C}">
                  <a14:compatExt spid="_x0000_s123953"/>
                </a:ext>
                <a:ext uri="{FF2B5EF4-FFF2-40B4-BE49-F238E27FC236}">
                  <a16:creationId xmlns:a16="http://schemas.microsoft.com/office/drawing/2014/main" id="{00000000-0008-0000-2700-000031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123954" name="Option Button 1074" hidden="1">
              <a:extLst>
                <a:ext uri="{63B3BB69-23CF-44E3-9099-C40C66FF867C}">
                  <a14:compatExt spid="_x0000_s123954"/>
                </a:ext>
                <a:ext uri="{FF2B5EF4-FFF2-40B4-BE49-F238E27FC236}">
                  <a16:creationId xmlns:a16="http://schemas.microsoft.com/office/drawing/2014/main" id="{00000000-0008-0000-2700-000032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123955" name="Option Button 1075" hidden="1">
              <a:extLst>
                <a:ext uri="{63B3BB69-23CF-44E3-9099-C40C66FF867C}">
                  <a14:compatExt spid="_x0000_s123955"/>
                </a:ext>
                <a:ext uri="{FF2B5EF4-FFF2-40B4-BE49-F238E27FC236}">
                  <a16:creationId xmlns:a16="http://schemas.microsoft.com/office/drawing/2014/main" id="{00000000-0008-0000-2700-000033E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123956" name="Group Box 1076" hidden="1">
              <a:extLst>
                <a:ext uri="{63B3BB69-23CF-44E3-9099-C40C66FF867C}">
                  <a14:compatExt spid="_x0000_s123956"/>
                </a:ext>
                <a:ext uri="{FF2B5EF4-FFF2-40B4-BE49-F238E27FC236}">
                  <a16:creationId xmlns:a16="http://schemas.microsoft.com/office/drawing/2014/main" id="{00000000-0008-0000-2700-000034E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380132</xdr:colOff>
      <xdr:row>0</xdr:row>
      <xdr:rowOff>0</xdr:rowOff>
    </xdr:from>
    <xdr:to>
      <xdr:col>15</xdr:col>
      <xdr:colOff>0</xdr:colOff>
      <xdr:row>1</xdr:row>
      <xdr:rowOff>69596</xdr:rowOff>
    </xdr:to>
    <xdr:pic>
      <xdr:nvPicPr>
        <xdr:cNvPr id="37" name="Picture 36" descr="PSEGLI_2c_v">
          <a:extLst>
            <a:ext uri="{FF2B5EF4-FFF2-40B4-BE49-F238E27FC236}">
              <a16:creationId xmlns:a16="http://schemas.microsoft.com/office/drawing/2014/main" id="{00000000-0008-0000-2700-00002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381382" y="0"/>
          <a:ext cx="2657285" cy="768096"/>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19</xdr:row>
          <xdr:rowOff>222250</xdr:rowOff>
        </xdr:from>
        <xdr:to>
          <xdr:col>6</xdr:col>
          <xdr:colOff>0</xdr:colOff>
          <xdr:row>20</xdr:row>
          <xdr:rowOff>95250</xdr:rowOff>
        </xdr:to>
        <xdr:sp macro="" textlink="">
          <xdr:nvSpPr>
            <xdr:cNvPr id="71681" name="OptionButton1" hidden="1">
              <a:extLst>
                <a:ext uri="{63B3BB69-23CF-44E3-9099-C40C66FF867C}">
                  <a14:compatExt spid="_x0000_s71681"/>
                </a:ext>
                <a:ext uri="{FF2B5EF4-FFF2-40B4-BE49-F238E27FC236}">
                  <a16:creationId xmlns:a16="http://schemas.microsoft.com/office/drawing/2014/main" id="{00000000-0008-0000-2800-000001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190500</xdr:rowOff>
        </xdr:from>
        <xdr:to>
          <xdr:col>10</xdr:col>
          <xdr:colOff>279400</xdr:colOff>
          <xdr:row>20</xdr:row>
          <xdr:rowOff>184150</xdr:rowOff>
        </xdr:to>
        <xdr:sp macro="" textlink="">
          <xdr:nvSpPr>
            <xdr:cNvPr id="71682" name="OptionButton2" hidden="1">
              <a:extLst>
                <a:ext uri="{63B3BB69-23CF-44E3-9099-C40C66FF867C}">
                  <a14:compatExt spid="_x0000_s71682"/>
                </a:ext>
                <a:ext uri="{FF2B5EF4-FFF2-40B4-BE49-F238E27FC236}">
                  <a16:creationId xmlns:a16="http://schemas.microsoft.com/office/drawing/2014/main" id="{00000000-0008-0000-2800-00000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412750</xdr:colOff>
          <xdr:row>20</xdr:row>
          <xdr:rowOff>336550</xdr:rowOff>
        </xdr:to>
        <xdr:sp macro="" textlink="">
          <xdr:nvSpPr>
            <xdr:cNvPr id="71683" name="Group Box 3" hidden="1">
              <a:extLst>
                <a:ext uri="{63B3BB69-23CF-44E3-9099-C40C66FF867C}">
                  <a14:compatExt spid="_x0000_s71683"/>
                </a:ext>
                <a:ext uri="{FF2B5EF4-FFF2-40B4-BE49-F238E27FC236}">
                  <a16:creationId xmlns:a16="http://schemas.microsoft.com/office/drawing/2014/main" id="{00000000-0008-0000-2800-000003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146050</xdr:rowOff>
        </xdr:from>
        <xdr:to>
          <xdr:col>9</xdr:col>
          <xdr:colOff>50800</xdr:colOff>
          <xdr:row>21</xdr:row>
          <xdr:rowOff>450850</xdr:rowOff>
        </xdr:to>
        <xdr:sp macro="" textlink="">
          <xdr:nvSpPr>
            <xdr:cNvPr id="71684" name="Check Box 4" hidden="1">
              <a:extLst>
                <a:ext uri="{63B3BB69-23CF-44E3-9099-C40C66FF867C}">
                  <a14:compatExt spid="_x0000_s71684"/>
                </a:ext>
                <a:ext uri="{FF2B5EF4-FFF2-40B4-BE49-F238E27FC236}">
                  <a16:creationId xmlns:a16="http://schemas.microsoft.com/office/drawing/2014/main" id="{00000000-0008-0000-2800-00000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146050</xdr:rowOff>
        </xdr:from>
        <xdr:to>
          <xdr:col>10</xdr:col>
          <xdr:colOff>990600</xdr:colOff>
          <xdr:row>21</xdr:row>
          <xdr:rowOff>469900</xdr:rowOff>
        </xdr:to>
        <xdr:sp macro="" textlink="">
          <xdr:nvSpPr>
            <xdr:cNvPr id="71685" name="Check Box 5" hidden="1">
              <a:extLst>
                <a:ext uri="{63B3BB69-23CF-44E3-9099-C40C66FF867C}">
                  <a14:compatExt spid="_x0000_s71685"/>
                </a:ext>
                <a:ext uri="{FF2B5EF4-FFF2-40B4-BE49-F238E27FC236}">
                  <a16:creationId xmlns:a16="http://schemas.microsoft.com/office/drawing/2014/main" id="{00000000-0008-0000-2800-00000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1365250</xdr:colOff>
          <xdr:row>69</xdr:row>
          <xdr:rowOff>95250</xdr:rowOff>
        </xdr:to>
        <xdr:sp macro="" textlink="">
          <xdr:nvSpPr>
            <xdr:cNvPr id="71689" name="Group Box 9" hidden="1">
              <a:extLst>
                <a:ext uri="{63B3BB69-23CF-44E3-9099-C40C66FF867C}">
                  <a14:compatExt spid="_x0000_s71689"/>
                </a:ext>
                <a:ext uri="{FF2B5EF4-FFF2-40B4-BE49-F238E27FC236}">
                  <a16:creationId xmlns:a16="http://schemas.microsoft.com/office/drawing/2014/main" id="{00000000-0008-0000-2800-00000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1690" name="Option Button 10" hidden="1">
              <a:extLst>
                <a:ext uri="{63B3BB69-23CF-44E3-9099-C40C66FF867C}">
                  <a14:compatExt spid="_x0000_s71690"/>
                </a:ext>
                <a:ext uri="{FF2B5EF4-FFF2-40B4-BE49-F238E27FC236}">
                  <a16:creationId xmlns:a16="http://schemas.microsoft.com/office/drawing/2014/main" id="{00000000-0008-0000-2800-00000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1691" name="Option Button 11" hidden="1">
              <a:extLst>
                <a:ext uri="{63B3BB69-23CF-44E3-9099-C40C66FF867C}">
                  <a14:compatExt spid="_x0000_s71691"/>
                </a:ext>
                <a:ext uri="{FF2B5EF4-FFF2-40B4-BE49-F238E27FC236}">
                  <a16:creationId xmlns:a16="http://schemas.microsoft.com/office/drawing/2014/main" id="{00000000-0008-0000-2800-00000B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71692" name="Group Box 12" hidden="1">
              <a:extLst>
                <a:ext uri="{63B3BB69-23CF-44E3-9099-C40C66FF867C}">
                  <a14:compatExt spid="_x0000_s71692"/>
                </a:ext>
                <a:ext uri="{FF2B5EF4-FFF2-40B4-BE49-F238E27FC236}">
                  <a16:creationId xmlns:a16="http://schemas.microsoft.com/office/drawing/2014/main" id="{00000000-0008-0000-2800-00000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1365250</xdr:colOff>
          <xdr:row>68</xdr:row>
          <xdr:rowOff>95250</xdr:rowOff>
        </xdr:to>
        <xdr:sp macro="" textlink="">
          <xdr:nvSpPr>
            <xdr:cNvPr id="71693" name="Group Box 13" hidden="1">
              <a:extLst>
                <a:ext uri="{63B3BB69-23CF-44E3-9099-C40C66FF867C}">
                  <a14:compatExt spid="_x0000_s71693"/>
                </a:ext>
                <a:ext uri="{FF2B5EF4-FFF2-40B4-BE49-F238E27FC236}">
                  <a16:creationId xmlns:a16="http://schemas.microsoft.com/office/drawing/2014/main" id="{00000000-0008-0000-2800-00000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1694" name="Option Button 14" hidden="1">
              <a:extLst>
                <a:ext uri="{63B3BB69-23CF-44E3-9099-C40C66FF867C}">
                  <a14:compatExt spid="_x0000_s71694"/>
                </a:ext>
                <a:ext uri="{FF2B5EF4-FFF2-40B4-BE49-F238E27FC236}">
                  <a16:creationId xmlns:a16="http://schemas.microsoft.com/office/drawing/2014/main" id="{00000000-0008-0000-2800-00000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1695" name="Option Button 15" hidden="1">
              <a:extLst>
                <a:ext uri="{63B3BB69-23CF-44E3-9099-C40C66FF867C}">
                  <a14:compatExt spid="_x0000_s71695"/>
                </a:ext>
                <a:ext uri="{FF2B5EF4-FFF2-40B4-BE49-F238E27FC236}">
                  <a16:creationId xmlns:a16="http://schemas.microsoft.com/office/drawing/2014/main" id="{00000000-0008-0000-2800-00000F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71696" name="Group Box 16" hidden="1">
              <a:extLst>
                <a:ext uri="{63B3BB69-23CF-44E3-9099-C40C66FF867C}">
                  <a14:compatExt spid="_x0000_s71696"/>
                </a:ext>
                <a:ext uri="{FF2B5EF4-FFF2-40B4-BE49-F238E27FC236}">
                  <a16:creationId xmlns:a16="http://schemas.microsoft.com/office/drawing/2014/main" id="{00000000-0008-0000-2800-000010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70</xdr:row>
          <xdr:rowOff>0</xdr:rowOff>
        </xdr:from>
        <xdr:to>
          <xdr:col>2</xdr:col>
          <xdr:colOff>31750</xdr:colOff>
          <xdr:row>71</xdr:row>
          <xdr:rowOff>76200</xdr:rowOff>
        </xdr:to>
        <xdr:sp macro="" textlink="">
          <xdr:nvSpPr>
            <xdr:cNvPr id="71698" name="OptionButton7" hidden="1">
              <a:extLst>
                <a:ext uri="{63B3BB69-23CF-44E3-9099-C40C66FF867C}">
                  <a14:compatExt spid="_x0000_s71698"/>
                </a:ext>
                <a:ext uri="{FF2B5EF4-FFF2-40B4-BE49-F238E27FC236}">
                  <a16:creationId xmlns:a16="http://schemas.microsoft.com/office/drawing/2014/main" id="{00000000-0008-0000-2800-000012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1365250</xdr:colOff>
          <xdr:row>72</xdr:row>
          <xdr:rowOff>12700</xdr:rowOff>
        </xdr:to>
        <xdr:sp macro="" textlink="">
          <xdr:nvSpPr>
            <xdr:cNvPr id="71700" name="Group Box 20" hidden="1">
              <a:extLst>
                <a:ext uri="{63B3BB69-23CF-44E3-9099-C40C66FF867C}">
                  <a14:compatExt spid="_x0000_s71700"/>
                </a:ext>
                <a:ext uri="{FF2B5EF4-FFF2-40B4-BE49-F238E27FC236}">
                  <a16:creationId xmlns:a16="http://schemas.microsoft.com/office/drawing/2014/main" id="{00000000-0008-0000-2800-000014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71701" name="Option Button 21" hidden="1">
              <a:extLst>
                <a:ext uri="{63B3BB69-23CF-44E3-9099-C40C66FF867C}">
                  <a14:compatExt spid="_x0000_s71701"/>
                </a:ext>
                <a:ext uri="{FF2B5EF4-FFF2-40B4-BE49-F238E27FC236}">
                  <a16:creationId xmlns:a16="http://schemas.microsoft.com/office/drawing/2014/main" id="{00000000-0008-0000-2800-00001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1060450</xdr:colOff>
          <xdr:row>37</xdr:row>
          <xdr:rowOff>69850</xdr:rowOff>
        </xdr:from>
        <xdr:to>
          <xdr:col>3</xdr:col>
          <xdr:colOff>1308100</xdr:colOff>
          <xdr:row>38</xdr:row>
          <xdr:rowOff>69850</xdr:rowOff>
        </xdr:to>
        <xdr:sp macro="" textlink="">
          <xdr:nvSpPr>
            <xdr:cNvPr id="71702" name="Option Button 22" hidden="1">
              <a:extLst>
                <a:ext uri="{63B3BB69-23CF-44E3-9099-C40C66FF867C}">
                  <a14:compatExt spid="_x0000_s71702"/>
                </a:ext>
                <a:ext uri="{FF2B5EF4-FFF2-40B4-BE49-F238E27FC236}">
                  <a16:creationId xmlns:a16="http://schemas.microsoft.com/office/drawing/2014/main" id="{00000000-0008-0000-2800-00001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37</xdr:row>
          <xdr:rowOff>69850</xdr:rowOff>
        </xdr:from>
        <xdr:to>
          <xdr:col>5</xdr:col>
          <xdr:colOff>622300</xdr:colOff>
          <xdr:row>38</xdr:row>
          <xdr:rowOff>69850</xdr:rowOff>
        </xdr:to>
        <xdr:sp macro="" textlink="">
          <xdr:nvSpPr>
            <xdr:cNvPr id="71703" name="Option Button 23" hidden="1">
              <a:extLst>
                <a:ext uri="{63B3BB69-23CF-44E3-9099-C40C66FF867C}">
                  <a14:compatExt spid="_x0000_s71703"/>
                </a:ext>
                <a:ext uri="{FF2B5EF4-FFF2-40B4-BE49-F238E27FC236}">
                  <a16:creationId xmlns:a16="http://schemas.microsoft.com/office/drawing/2014/main" id="{00000000-0008-0000-2800-00001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71705" name="Group Box 25" hidden="1">
              <a:extLst>
                <a:ext uri="{63B3BB69-23CF-44E3-9099-C40C66FF867C}">
                  <a14:compatExt spid="_x0000_s71705"/>
                </a:ext>
                <a:ext uri="{FF2B5EF4-FFF2-40B4-BE49-F238E27FC236}">
                  <a16:creationId xmlns:a16="http://schemas.microsoft.com/office/drawing/2014/main" id="{00000000-0008-0000-2800-000019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44</xdr:row>
          <xdr:rowOff>19050</xdr:rowOff>
        </xdr:from>
        <xdr:to>
          <xdr:col>2</xdr:col>
          <xdr:colOff>57150</xdr:colOff>
          <xdr:row>45</xdr:row>
          <xdr:rowOff>95250</xdr:rowOff>
        </xdr:to>
        <xdr:sp macro="" textlink="">
          <xdr:nvSpPr>
            <xdr:cNvPr id="71707" name="OptionButton10" hidden="1">
              <a:extLst>
                <a:ext uri="{63B3BB69-23CF-44E3-9099-C40C66FF867C}">
                  <a14:compatExt spid="_x0000_s71707"/>
                </a:ext>
                <a:ext uri="{FF2B5EF4-FFF2-40B4-BE49-F238E27FC236}">
                  <a16:creationId xmlns:a16="http://schemas.microsoft.com/office/drawing/2014/main" id="{00000000-0008-0000-2800-00001B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1365250</xdr:colOff>
          <xdr:row>46</xdr:row>
          <xdr:rowOff>12700</xdr:rowOff>
        </xdr:to>
        <xdr:sp macro="" textlink="">
          <xdr:nvSpPr>
            <xdr:cNvPr id="71709" name="Group Box 29" hidden="1">
              <a:extLst>
                <a:ext uri="{63B3BB69-23CF-44E3-9099-C40C66FF867C}">
                  <a14:compatExt spid="_x0000_s71709"/>
                </a:ext>
                <a:ext uri="{FF2B5EF4-FFF2-40B4-BE49-F238E27FC236}">
                  <a16:creationId xmlns:a16="http://schemas.microsoft.com/office/drawing/2014/main" id="{00000000-0008-0000-2800-00001D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0</xdr:colOff>
          <xdr:row>120</xdr:row>
          <xdr:rowOff>0</xdr:rowOff>
        </xdr:from>
        <xdr:to>
          <xdr:col>14</xdr:col>
          <xdr:colOff>476250</xdr:colOff>
          <xdr:row>122</xdr:row>
          <xdr:rowOff>88900</xdr:rowOff>
        </xdr:to>
        <xdr:sp macro="" textlink="">
          <xdr:nvSpPr>
            <xdr:cNvPr id="71719" name="CommandButton1" hidden="1">
              <a:extLst>
                <a:ext uri="{63B3BB69-23CF-44E3-9099-C40C66FF867C}">
                  <a14:compatExt spid="_x0000_s71719"/>
                </a:ext>
                <a:ext uri="{FF2B5EF4-FFF2-40B4-BE49-F238E27FC236}">
                  <a16:creationId xmlns:a16="http://schemas.microsoft.com/office/drawing/2014/main" id="{00000000-0008-0000-2800-0000271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71780" name="Check Box 100" hidden="1">
              <a:extLst>
                <a:ext uri="{63B3BB69-23CF-44E3-9099-C40C66FF867C}">
                  <a14:compatExt spid="_x0000_s71780"/>
                </a:ext>
                <a:ext uri="{FF2B5EF4-FFF2-40B4-BE49-F238E27FC236}">
                  <a16:creationId xmlns:a16="http://schemas.microsoft.com/office/drawing/2014/main" id="{00000000-0008-0000-2800-000064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1193800</xdr:colOff>
          <xdr:row>9</xdr:row>
          <xdr:rowOff>95250</xdr:rowOff>
        </xdr:from>
        <xdr:to>
          <xdr:col>2</xdr:col>
          <xdr:colOff>0</xdr:colOff>
          <xdr:row>9</xdr:row>
          <xdr:rowOff>355600</xdr:rowOff>
        </xdr:to>
        <xdr:sp macro="" textlink="">
          <xdr:nvSpPr>
            <xdr:cNvPr id="71781" name="Check Box 101" hidden="1">
              <a:extLst>
                <a:ext uri="{63B3BB69-23CF-44E3-9099-C40C66FF867C}">
                  <a14:compatExt spid="_x0000_s71781"/>
                </a:ext>
                <a:ext uri="{FF2B5EF4-FFF2-40B4-BE49-F238E27FC236}">
                  <a16:creationId xmlns:a16="http://schemas.microsoft.com/office/drawing/2014/main" id="{00000000-0008-0000-2800-000065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965200</xdr:colOff>
          <xdr:row>9</xdr:row>
          <xdr:rowOff>95250</xdr:rowOff>
        </xdr:from>
        <xdr:to>
          <xdr:col>4</xdr:col>
          <xdr:colOff>247650</xdr:colOff>
          <xdr:row>9</xdr:row>
          <xdr:rowOff>184150</xdr:rowOff>
        </xdr:to>
        <xdr:sp macro="" textlink="">
          <xdr:nvSpPr>
            <xdr:cNvPr id="71782" name="Check Box 102" hidden="1">
              <a:extLst>
                <a:ext uri="{63B3BB69-23CF-44E3-9099-C40C66FF867C}">
                  <a14:compatExt spid="_x0000_s71782"/>
                </a:ext>
                <a:ext uri="{FF2B5EF4-FFF2-40B4-BE49-F238E27FC236}">
                  <a16:creationId xmlns:a16="http://schemas.microsoft.com/office/drawing/2014/main" id="{00000000-0008-0000-2800-000066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222250</xdr:colOff>
          <xdr:row>9</xdr:row>
          <xdr:rowOff>114300</xdr:rowOff>
        </xdr:from>
        <xdr:to>
          <xdr:col>3</xdr:col>
          <xdr:colOff>812800</xdr:colOff>
          <xdr:row>9</xdr:row>
          <xdr:rowOff>203200</xdr:rowOff>
        </xdr:to>
        <xdr:sp macro="" textlink="">
          <xdr:nvSpPr>
            <xdr:cNvPr id="71783" name="Check Box 103" hidden="1">
              <a:extLst>
                <a:ext uri="{63B3BB69-23CF-44E3-9099-C40C66FF867C}">
                  <a14:compatExt spid="_x0000_s71783"/>
                </a:ext>
                <a:ext uri="{FF2B5EF4-FFF2-40B4-BE49-F238E27FC236}">
                  <a16:creationId xmlns:a16="http://schemas.microsoft.com/office/drawing/2014/main" id="{00000000-0008-0000-2800-000067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1365250</xdr:colOff>
          <xdr:row>100</xdr:row>
          <xdr:rowOff>146050</xdr:rowOff>
        </xdr:to>
        <xdr:sp macro="" textlink="">
          <xdr:nvSpPr>
            <xdr:cNvPr id="71784" name="Group Box 104" hidden="1">
              <a:extLst>
                <a:ext uri="{63B3BB69-23CF-44E3-9099-C40C66FF867C}">
                  <a14:compatExt spid="_x0000_s71784"/>
                </a:ext>
                <a:ext uri="{FF2B5EF4-FFF2-40B4-BE49-F238E27FC236}">
                  <a16:creationId xmlns:a16="http://schemas.microsoft.com/office/drawing/2014/main" id="{00000000-0008-0000-2800-000068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71785" name="Option Button 105" hidden="1">
              <a:extLst>
                <a:ext uri="{63B3BB69-23CF-44E3-9099-C40C66FF867C}">
                  <a14:compatExt spid="_x0000_s71785"/>
                </a:ext>
                <a:ext uri="{FF2B5EF4-FFF2-40B4-BE49-F238E27FC236}">
                  <a16:creationId xmlns:a16="http://schemas.microsoft.com/office/drawing/2014/main" id="{00000000-0008-0000-2800-000069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71786" name="Option Button 106" hidden="1">
              <a:extLst>
                <a:ext uri="{63B3BB69-23CF-44E3-9099-C40C66FF867C}">
                  <a14:compatExt spid="_x0000_s71786"/>
                </a:ext>
                <a:ext uri="{FF2B5EF4-FFF2-40B4-BE49-F238E27FC236}">
                  <a16:creationId xmlns:a16="http://schemas.microsoft.com/office/drawing/2014/main" id="{00000000-0008-0000-2800-00006A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71787" name="Group Box 107" hidden="1">
              <a:extLst>
                <a:ext uri="{63B3BB69-23CF-44E3-9099-C40C66FF867C}">
                  <a14:compatExt spid="_x0000_s71787"/>
                </a:ext>
                <a:ext uri="{FF2B5EF4-FFF2-40B4-BE49-F238E27FC236}">
                  <a16:creationId xmlns:a16="http://schemas.microsoft.com/office/drawing/2014/main" id="{00000000-0008-0000-2800-00006B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1365250</xdr:colOff>
          <xdr:row>100</xdr:row>
          <xdr:rowOff>38100</xdr:rowOff>
        </xdr:to>
        <xdr:sp macro="" textlink="">
          <xdr:nvSpPr>
            <xdr:cNvPr id="71788" name="Group Box 108" hidden="1">
              <a:extLst>
                <a:ext uri="{63B3BB69-23CF-44E3-9099-C40C66FF867C}">
                  <a14:compatExt spid="_x0000_s71788"/>
                </a:ext>
                <a:ext uri="{FF2B5EF4-FFF2-40B4-BE49-F238E27FC236}">
                  <a16:creationId xmlns:a16="http://schemas.microsoft.com/office/drawing/2014/main" id="{00000000-0008-0000-2800-00006C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71789" name="Option Button 109" hidden="1">
              <a:extLst>
                <a:ext uri="{63B3BB69-23CF-44E3-9099-C40C66FF867C}">
                  <a14:compatExt spid="_x0000_s71789"/>
                </a:ext>
                <a:ext uri="{FF2B5EF4-FFF2-40B4-BE49-F238E27FC236}">
                  <a16:creationId xmlns:a16="http://schemas.microsoft.com/office/drawing/2014/main" id="{00000000-0008-0000-2800-00006D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71790" name="Option Button 110" hidden="1">
              <a:extLst>
                <a:ext uri="{63B3BB69-23CF-44E3-9099-C40C66FF867C}">
                  <a14:compatExt spid="_x0000_s71790"/>
                </a:ext>
                <a:ext uri="{FF2B5EF4-FFF2-40B4-BE49-F238E27FC236}">
                  <a16:creationId xmlns:a16="http://schemas.microsoft.com/office/drawing/2014/main" id="{00000000-0008-0000-2800-00006E1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71791" name="Group Box 111" hidden="1">
              <a:extLst>
                <a:ext uri="{63B3BB69-23CF-44E3-9099-C40C66FF867C}">
                  <a14:compatExt spid="_x0000_s71791"/>
                </a:ext>
                <a:ext uri="{FF2B5EF4-FFF2-40B4-BE49-F238E27FC236}">
                  <a16:creationId xmlns:a16="http://schemas.microsoft.com/office/drawing/2014/main" id="{00000000-0008-0000-2800-00006F1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327215</xdr:colOff>
      <xdr:row>0</xdr:row>
      <xdr:rowOff>0</xdr:rowOff>
    </xdr:from>
    <xdr:to>
      <xdr:col>15</xdr:col>
      <xdr:colOff>0</xdr:colOff>
      <xdr:row>1</xdr:row>
      <xdr:rowOff>69596</xdr:rowOff>
    </xdr:to>
    <xdr:pic>
      <xdr:nvPicPr>
        <xdr:cNvPr id="37" name="Picture 36" descr="PSEGLI_2c_v">
          <a:extLst>
            <a:ext uri="{FF2B5EF4-FFF2-40B4-BE49-F238E27FC236}">
              <a16:creationId xmlns:a16="http://schemas.microsoft.com/office/drawing/2014/main" id="{00000000-0008-0000-2800-00002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370798" y="0"/>
          <a:ext cx="2657285" cy="768096"/>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69850</xdr:colOff>
          <xdr:row>19</xdr:row>
          <xdr:rowOff>228600</xdr:rowOff>
        </xdr:from>
        <xdr:to>
          <xdr:col>6</xdr:col>
          <xdr:colOff>0</xdr:colOff>
          <xdr:row>20</xdr:row>
          <xdr:rowOff>165100</xdr:rowOff>
        </xdr:to>
        <xdr:sp macro="" textlink="">
          <xdr:nvSpPr>
            <xdr:cNvPr id="70657" name="OptionButton1" hidden="1">
              <a:extLst>
                <a:ext uri="{63B3BB69-23CF-44E3-9099-C40C66FF867C}">
                  <a14:compatExt spid="_x0000_s70657"/>
                </a:ext>
                <a:ext uri="{FF2B5EF4-FFF2-40B4-BE49-F238E27FC236}">
                  <a16:creationId xmlns:a16="http://schemas.microsoft.com/office/drawing/2014/main" id="{00000000-0008-0000-2900-000001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222250</xdr:rowOff>
        </xdr:from>
        <xdr:to>
          <xdr:col>10</xdr:col>
          <xdr:colOff>279400</xdr:colOff>
          <xdr:row>20</xdr:row>
          <xdr:rowOff>209550</xdr:rowOff>
        </xdr:to>
        <xdr:sp macro="" textlink="">
          <xdr:nvSpPr>
            <xdr:cNvPr id="70658" name="OptionButton2" hidden="1">
              <a:extLst>
                <a:ext uri="{63B3BB69-23CF-44E3-9099-C40C66FF867C}">
                  <a14:compatExt spid="_x0000_s70658"/>
                </a:ext>
                <a:ext uri="{FF2B5EF4-FFF2-40B4-BE49-F238E27FC236}">
                  <a16:creationId xmlns:a16="http://schemas.microsoft.com/office/drawing/2014/main" id="{00000000-0008-0000-2900-00000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431800</xdr:colOff>
          <xdr:row>20</xdr:row>
          <xdr:rowOff>336550</xdr:rowOff>
        </xdr:to>
        <xdr:sp macro="" textlink="">
          <xdr:nvSpPr>
            <xdr:cNvPr id="70659" name="Group Box 3" hidden="1">
              <a:extLst>
                <a:ext uri="{63B3BB69-23CF-44E3-9099-C40C66FF867C}">
                  <a14:compatExt spid="_x0000_s70659"/>
                </a:ext>
                <a:ext uri="{FF2B5EF4-FFF2-40B4-BE49-F238E27FC236}">
                  <a16:creationId xmlns:a16="http://schemas.microsoft.com/office/drawing/2014/main" id="{00000000-0008-0000-2900-000003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165100</xdr:rowOff>
        </xdr:from>
        <xdr:to>
          <xdr:col>9</xdr:col>
          <xdr:colOff>50800</xdr:colOff>
          <xdr:row>21</xdr:row>
          <xdr:rowOff>476250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29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165100</xdr:rowOff>
        </xdr:from>
        <xdr:to>
          <xdr:col>10</xdr:col>
          <xdr:colOff>990600</xdr:colOff>
          <xdr:row>21</xdr:row>
          <xdr:rowOff>508000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29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1384300</xdr:colOff>
          <xdr:row>69</xdr:row>
          <xdr:rowOff>95250</xdr:rowOff>
        </xdr:to>
        <xdr:sp macro="" textlink="">
          <xdr:nvSpPr>
            <xdr:cNvPr id="70665" name="Group Box 9" hidden="1">
              <a:extLst>
                <a:ext uri="{63B3BB69-23CF-44E3-9099-C40C66FF867C}">
                  <a14:compatExt spid="_x0000_s70665"/>
                </a:ext>
                <a:ext uri="{FF2B5EF4-FFF2-40B4-BE49-F238E27FC236}">
                  <a16:creationId xmlns:a16="http://schemas.microsoft.com/office/drawing/2014/main" id="{00000000-0008-0000-2900-00000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0666" name="Option Button 10" hidden="1">
              <a:extLst>
                <a:ext uri="{63B3BB69-23CF-44E3-9099-C40C66FF867C}">
                  <a14:compatExt spid="_x0000_s70666"/>
                </a:ext>
                <a:ext uri="{FF2B5EF4-FFF2-40B4-BE49-F238E27FC236}">
                  <a16:creationId xmlns:a16="http://schemas.microsoft.com/office/drawing/2014/main" id="{00000000-0008-0000-29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0667" name="Option Button 11" hidden="1">
              <a:extLst>
                <a:ext uri="{63B3BB69-23CF-44E3-9099-C40C66FF867C}">
                  <a14:compatExt spid="_x0000_s70667"/>
                </a:ext>
                <a:ext uri="{FF2B5EF4-FFF2-40B4-BE49-F238E27FC236}">
                  <a16:creationId xmlns:a16="http://schemas.microsoft.com/office/drawing/2014/main" id="{00000000-0008-0000-29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70668" name="Group Box 12" hidden="1">
              <a:extLst>
                <a:ext uri="{63B3BB69-23CF-44E3-9099-C40C66FF867C}">
                  <a14:compatExt spid="_x0000_s70668"/>
                </a:ext>
                <a:ext uri="{FF2B5EF4-FFF2-40B4-BE49-F238E27FC236}">
                  <a16:creationId xmlns:a16="http://schemas.microsoft.com/office/drawing/2014/main" id="{00000000-0008-0000-2900-00000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1384300</xdr:colOff>
          <xdr:row>68</xdr:row>
          <xdr:rowOff>95250</xdr:rowOff>
        </xdr:to>
        <xdr:sp macro="" textlink="">
          <xdr:nvSpPr>
            <xdr:cNvPr id="70669" name="Group Box 13" hidden="1">
              <a:extLst>
                <a:ext uri="{63B3BB69-23CF-44E3-9099-C40C66FF867C}">
                  <a14:compatExt spid="_x0000_s70669"/>
                </a:ext>
                <a:ext uri="{FF2B5EF4-FFF2-40B4-BE49-F238E27FC236}">
                  <a16:creationId xmlns:a16="http://schemas.microsoft.com/office/drawing/2014/main" id="{00000000-0008-0000-2900-00000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70670" name="Option Button 14" hidden="1">
              <a:extLst>
                <a:ext uri="{63B3BB69-23CF-44E3-9099-C40C66FF867C}">
                  <a14:compatExt spid="_x0000_s70670"/>
                </a:ext>
                <a:ext uri="{FF2B5EF4-FFF2-40B4-BE49-F238E27FC236}">
                  <a16:creationId xmlns:a16="http://schemas.microsoft.com/office/drawing/2014/main" id="{00000000-0008-0000-29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70671" name="Option Button 15" hidden="1">
              <a:extLst>
                <a:ext uri="{63B3BB69-23CF-44E3-9099-C40C66FF867C}">
                  <a14:compatExt spid="_x0000_s70671"/>
                </a:ext>
                <a:ext uri="{FF2B5EF4-FFF2-40B4-BE49-F238E27FC236}">
                  <a16:creationId xmlns:a16="http://schemas.microsoft.com/office/drawing/2014/main" id="{00000000-0008-0000-29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70672" name="Group Box 16" hidden="1">
              <a:extLst>
                <a:ext uri="{63B3BB69-23CF-44E3-9099-C40C66FF867C}">
                  <a14:compatExt spid="_x0000_s70672"/>
                </a:ext>
                <a:ext uri="{FF2B5EF4-FFF2-40B4-BE49-F238E27FC236}">
                  <a16:creationId xmlns:a16="http://schemas.microsoft.com/office/drawing/2014/main" id="{00000000-0008-0000-2900-00001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19050</xdr:colOff>
          <xdr:row>70</xdr:row>
          <xdr:rowOff>0</xdr:rowOff>
        </xdr:from>
        <xdr:to>
          <xdr:col>2</xdr:col>
          <xdr:colOff>12700</xdr:colOff>
          <xdr:row>71</xdr:row>
          <xdr:rowOff>76200</xdr:rowOff>
        </xdr:to>
        <xdr:sp macro="" textlink="">
          <xdr:nvSpPr>
            <xdr:cNvPr id="70674" name="OptionButton7" hidden="1">
              <a:extLst>
                <a:ext uri="{63B3BB69-23CF-44E3-9099-C40C66FF867C}">
                  <a14:compatExt spid="_x0000_s70674"/>
                </a:ext>
                <a:ext uri="{FF2B5EF4-FFF2-40B4-BE49-F238E27FC236}">
                  <a16:creationId xmlns:a16="http://schemas.microsoft.com/office/drawing/2014/main" id="{00000000-0008-0000-2900-000012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1384300</xdr:colOff>
          <xdr:row>72</xdr:row>
          <xdr:rowOff>12700</xdr:rowOff>
        </xdr:to>
        <xdr:sp macro="" textlink="">
          <xdr:nvSpPr>
            <xdr:cNvPr id="70676" name="Group Box 20" hidden="1">
              <a:extLst>
                <a:ext uri="{63B3BB69-23CF-44E3-9099-C40C66FF867C}">
                  <a14:compatExt spid="_x0000_s70676"/>
                </a:ext>
                <a:ext uri="{FF2B5EF4-FFF2-40B4-BE49-F238E27FC236}">
                  <a16:creationId xmlns:a16="http://schemas.microsoft.com/office/drawing/2014/main" id="{00000000-0008-0000-2900-000014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70677" name="Option Button 21" hidden="1">
              <a:extLst>
                <a:ext uri="{63B3BB69-23CF-44E3-9099-C40C66FF867C}">
                  <a14:compatExt spid="_x0000_s70677"/>
                </a:ext>
                <a:ext uri="{FF2B5EF4-FFF2-40B4-BE49-F238E27FC236}">
                  <a16:creationId xmlns:a16="http://schemas.microsoft.com/office/drawing/2014/main" id="{00000000-0008-0000-29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736600</xdr:colOff>
          <xdr:row>37</xdr:row>
          <xdr:rowOff>69850</xdr:rowOff>
        </xdr:from>
        <xdr:to>
          <xdr:col>3</xdr:col>
          <xdr:colOff>990600</xdr:colOff>
          <xdr:row>38</xdr:row>
          <xdr:rowOff>69850</xdr:rowOff>
        </xdr:to>
        <xdr:sp macro="" textlink="">
          <xdr:nvSpPr>
            <xdr:cNvPr id="70678" name="Option Button 22" hidden="1">
              <a:extLst>
                <a:ext uri="{63B3BB69-23CF-44E3-9099-C40C66FF867C}">
                  <a14:compatExt spid="_x0000_s70678"/>
                </a:ext>
                <a:ext uri="{FF2B5EF4-FFF2-40B4-BE49-F238E27FC236}">
                  <a16:creationId xmlns:a16="http://schemas.microsoft.com/office/drawing/2014/main" id="{00000000-0008-0000-29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50800</xdr:colOff>
          <xdr:row>37</xdr:row>
          <xdr:rowOff>69850</xdr:rowOff>
        </xdr:from>
        <xdr:to>
          <xdr:col>5</xdr:col>
          <xdr:colOff>469900</xdr:colOff>
          <xdr:row>38</xdr:row>
          <xdr:rowOff>69850</xdr:rowOff>
        </xdr:to>
        <xdr:sp macro="" textlink="">
          <xdr:nvSpPr>
            <xdr:cNvPr id="70679" name="Option Button 23" hidden="1">
              <a:extLst>
                <a:ext uri="{63B3BB69-23CF-44E3-9099-C40C66FF867C}">
                  <a14:compatExt spid="_x0000_s70679"/>
                </a:ext>
                <a:ext uri="{FF2B5EF4-FFF2-40B4-BE49-F238E27FC236}">
                  <a16:creationId xmlns:a16="http://schemas.microsoft.com/office/drawing/2014/main" id="{00000000-0008-0000-29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70681" name="Group Box 25" hidden="1">
              <a:extLst>
                <a:ext uri="{63B3BB69-23CF-44E3-9099-C40C66FF867C}">
                  <a14:compatExt spid="_x0000_s70681"/>
                </a:ext>
                <a:ext uri="{FF2B5EF4-FFF2-40B4-BE49-F238E27FC236}">
                  <a16:creationId xmlns:a16="http://schemas.microsoft.com/office/drawing/2014/main" id="{00000000-0008-0000-2900-00001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44</xdr:row>
          <xdr:rowOff>0</xdr:rowOff>
        </xdr:from>
        <xdr:to>
          <xdr:col>1</xdr:col>
          <xdr:colOff>647700</xdr:colOff>
          <xdr:row>45</xdr:row>
          <xdr:rowOff>76200</xdr:rowOff>
        </xdr:to>
        <xdr:sp macro="" textlink="">
          <xdr:nvSpPr>
            <xdr:cNvPr id="70683" name="OptionButton10" hidden="1">
              <a:extLst>
                <a:ext uri="{63B3BB69-23CF-44E3-9099-C40C66FF867C}">
                  <a14:compatExt spid="_x0000_s70683"/>
                </a:ext>
                <a:ext uri="{FF2B5EF4-FFF2-40B4-BE49-F238E27FC236}">
                  <a16:creationId xmlns:a16="http://schemas.microsoft.com/office/drawing/2014/main" id="{00000000-0008-0000-2900-00001B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1384300</xdr:colOff>
          <xdr:row>46</xdr:row>
          <xdr:rowOff>12700</xdr:rowOff>
        </xdr:to>
        <xdr:sp macro="" textlink="">
          <xdr:nvSpPr>
            <xdr:cNvPr id="70685" name="Group Box 29" hidden="1">
              <a:extLst>
                <a:ext uri="{63B3BB69-23CF-44E3-9099-C40C66FF867C}">
                  <a14:compatExt spid="_x0000_s70685"/>
                </a:ext>
                <a:ext uri="{FF2B5EF4-FFF2-40B4-BE49-F238E27FC236}">
                  <a16:creationId xmlns:a16="http://schemas.microsoft.com/office/drawing/2014/main" id="{00000000-0008-0000-2900-00001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323850</xdr:colOff>
          <xdr:row>120</xdr:row>
          <xdr:rowOff>88900</xdr:rowOff>
        </xdr:from>
        <xdr:to>
          <xdr:col>14</xdr:col>
          <xdr:colOff>590550</xdr:colOff>
          <xdr:row>123</xdr:row>
          <xdr:rowOff>95250</xdr:rowOff>
        </xdr:to>
        <xdr:sp macro="" textlink="">
          <xdr:nvSpPr>
            <xdr:cNvPr id="70695" name="CommandButton1" hidden="1">
              <a:extLst>
                <a:ext uri="{63B3BB69-23CF-44E3-9099-C40C66FF867C}">
                  <a14:compatExt spid="_x0000_s70695"/>
                </a:ext>
                <a:ext uri="{FF2B5EF4-FFF2-40B4-BE49-F238E27FC236}">
                  <a16:creationId xmlns:a16="http://schemas.microsoft.com/office/drawing/2014/main" id="{00000000-0008-0000-2900-00002714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812800</xdr:colOff>
          <xdr:row>9</xdr:row>
          <xdr:rowOff>114300</xdr:rowOff>
        </xdr:from>
        <xdr:to>
          <xdr:col>4</xdr:col>
          <xdr:colOff>88900</xdr:colOff>
          <xdr:row>10</xdr:row>
          <xdr:rowOff>12700</xdr:rowOff>
        </xdr:to>
        <xdr:sp macro="" textlink="">
          <xdr:nvSpPr>
            <xdr:cNvPr id="70757" name="Check Box 101" hidden="1">
              <a:extLst>
                <a:ext uri="{63B3BB69-23CF-44E3-9099-C40C66FF867C}">
                  <a14:compatExt spid="_x0000_s70757"/>
                </a:ext>
                <a:ext uri="{FF2B5EF4-FFF2-40B4-BE49-F238E27FC236}">
                  <a16:creationId xmlns:a16="http://schemas.microsoft.com/office/drawing/2014/main" id="{00000000-0008-0000-2900-00006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12700</xdr:colOff>
          <xdr:row>9</xdr:row>
          <xdr:rowOff>88900</xdr:rowOff>
        </xdr:from>
        <xdr:to>
          <xdr:col>3</xdr:col>
          <xdr:colOff>0</xdr:colOff>
          <xdr:row>10</xdr:row>
          <xdr:rowOff>0</xdr:rowOff>
        </xdr:to>
        <xdr:sp macro="" textlink="">
          <xdr:nvSpPr>
            <xdr:cNvPr id="70758" name="Check Box 102" hidden="1">
              <a:extLst>
                <a:ext uri="{63B3BB69-23CF-44E3-9099-C40C66FF867C}">
                  <a14:compatExt spid="_x0000_s70758"/>
                </a:ext>
                <a:ext uri="{FF2B5EF4-FFF2-40B4-BE49-F238E27FC236}">
                  <a16:creationId xmlns:a16="http://schemas.microsoft.com/office/drawing/2014/main" id="{00000000-0008-0000-2900-00006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152400</xdr:colOff>
          <xdr:row>9</xdr:row>
          <xdr:rowOff>95250</xdr:rowOff>
        </xdr:from>
        <xdr:to>
          <xdr:col>3</xdr:col>
          <xdr:colOff>742950</xdr:colOff>
          <xdr:row>10</xdr:row>
          <xdr:rowOff>0</xdr:rowOff>
        </xdr:to>
        <xdr:sp macro="" textlink="">
          <xdr:nvSpPr>
            <xdr:cNvPr id="70759" name="Check Box 103" hidden="1">
              <a:extLst>
                <a:ext uri="{63B3BB69-23CF-44E3-9099-C40C66FF867C}">
                  <a14:compatExt spid="_x0000_s70759"/>
                </a:ext>
                <a:ext uri="{FF2B5EF4-FFF2-40B4-BE49-F238E27FC236}">
                  <a16:creationId xmlns:a16="http://schemas.microsoft.com/office/drawing/2014/main" id="{00000000-0008-0000-2900-00006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9</xdr:row>
          <xdr:rowOff>95250</xdr:rowOff>
        </xdr:from>
        <xdr:to>
          <xdr:col>1</xdr:col>
          <xdr:colOff>438150</xdr:colOff>
          <xdr:row>9</xdr:row>
          <xdr:rowOff>361950</xdr:rowOff>
        </xdr:to>
        <xdr:sp macro="" textlink="">
          <xdr:nvSpPr>
            <xdr:cNvPr id="70760" name="Check Box 104" hidden="1">
              <a:extLst>
                <a:ext uri="{63B3BB69-23CF-44E3-9099-C40C66FF867C}">
                  <a14:compatExt spid="_x0000_s70760"/>
                </a:ext>
                <a:ext uri="{FF2B5EF4-FFF2-40B4-BE49-F238E27FC236}">
                  <a16:creationId xmlns:a16="http://schemas.microsoft.com/office/drawing/2014/main" id="{00000000-0008-0000-2900-00006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1384300</xdr:colOff>
          <xdr:row>100</xdr:row>
          <xdr:rowOff>146050</xdr:rowOff>
        </xdr:to>
        <xdr:sp macro="" textlink="">
          <xdr:nvSpPr>
            <xdr:cNvPr id="70761" name="Group Box 105" hidden="1">
              <a:extLst>
                <a:ext uri="{63B3BB69-23CF-44E3-9099-C40C66FF867C}">
                  <a14:compatExt spid="_x0000_s70761"/>
                </a:ext>
                <a:ext uri="{FF2B5EF4-FFF2-40B4-BE49-F238E27FC236}">
                  <a16:creationId xmlns:a16="http://schemas.microsoft.com/office/drawing/2014/main" id="{00000000-0008-0000-2900-000069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70762" name="Option Button 106" hidden="1">
              <a:extLst>
                <a:ext uri="{63B3BB69-23CF-44E3-9099-C40C66FF867C}">
                  <a14:compatExt spid="_x0000_s70762"/>
                </a:ext>
                <a:ext uri="{FF2B5EF4-FFF2-40B4-BE49-F238E27FC236}">
                  <a16:creationId xmlns:a16="http://schemas.microsoft.com/office/drawing/2014/main" id="{00000000-0008-0000-2900-00006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70763" name="Option Button 107" hidden="1">
              <a:extLst>
                <a:ext uri="{63B3BB69-23CF-44E3-9099-C40C66FF867C}">
                  <a14:compatExt spid="_x0000_s70763"/>
                </a:ext>
                <a:ext uri="{FF2B5EF4-FFF2-40B4-BE49-F238E27FC236}">
                  <a16:creationId xmlns:a16="http://schemas.microsoft.com/office/drawing/2014/main" id="{00000000-0008-0000-2900-00006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70764" name="Group Box 108" hidden="1">
              <a:extLst>
                <a:ext uri="{63B3BB69-23CF-44E3-9099-C40C66FF867C}">
                  <a14:compatExt spid="_x0000_s70764"/>
                </a:ext>
                <a:ext uri="{FF2B5EF4-FFF2-40B4-BE49-F238E27FC236}">
                  <a16:creationId xmlns:a16="http://schemas.microsoft.com/office/drawing/2014/main" id="{00000000-0008-0000-2900-00006C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1384300</xdr:colOff>
          <xdr:row>100</xdr:row>
          <xdr:rowOff>38100</xdr:rowOff>
        </xdr:to>
        <xdr:sp macro="" textlink="">
          <xdr:nvSpPr>
            <xdr:cNvPr id="70765" name="Group Box 109" hidden="1">
              <a:extLst>
                <a:ext uri="{63B3BB69-23CF-44E3-9099-C40C66FF867C}">
                  <a14:compatExt spid="_x0000_s70765"/>
                </a:ext>
                <a:ext uri="{FF2B5EF4-FFF2-40B4-BE49-F238E27FC236}">
                  <a16:creationId xmlns:a16="http://schemas.microsoft.com/office/drawing/2014/main" id="{00000000-0008-0000-2900-00006D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70766" name="Option Button 110" hidden="1">
              <a:extLst>
                <a:ext uri="{63B3BB69-23CF-44E3-9099-C40C66FF867C}">
                  <a14:compatExt spid="_x0000_s70766"/>
                </a:ext>
                <a:ext uri="{FF2B5EF4-FFF2-40B4-BE49-F238E27FC236}">
                  <a16:creationId xmlns:a16="http://schemas.microsoft.com/office/drawing/2014/main" id="{00000000-0008-0000-2900-00006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70767" name="Option Button 111" hidden="1">
              <a:extLst>
                <a:ext uri="{63B3BB69-23CF-44E3-9099-C40C66FF867C}">
                  <a14:compatExt spid="_x0000_s70767"/>
                </a:ext>
                <a:ext uri="{FF2B5EF4-FFF2-40B4-BE49-F238E27FC236}">
                  <a16:creationId xmlns:a16="http://schemas.microsoft.com/office/drawing/2014/main" id="{00000000-0008-0000-2900-00006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70768" name="Group Box 112" hidden="1">
              <a:extLst>
                <a:ext uri="{63B3BB69-23CF-44E3-9099-C40C66FF867C}">
                  <a14:compatExt spid="_x0000_s70768"/>
                </a:ext>
                <a:ext uri="{FF2B5EF4-FFF2-40B4-BE49-F238E27FC236}">
                  <a16:creationId xmlns:a16="http://schemas.microsoft.com/office/drawing/2014/main" id="{00000000-0008-0000-2900-00007014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168465</xdr:colOff>
      <xdr:row>0</xdr:row>
      <xdr:rowOff>0</xdr:rowOff>
    </xdr:from>
    <xdr:to>
      <xdr:col>15</xdr:col>
      <xdr:colOff>0</xdr:colOff>
      <xdr:row>1</xdr:row>
      <xdr:rowOff>69596</xdr:rowOff>
    </xdr:to>
    <xdr:pic>
      <xdr:nvPicPr>
        <xdr:cNvPr id="38" name="Picture 37" descr="PSEGLI_2c_v">
          <a:extLst>
            <a:ext uri="{FF2B5EF4-FFF2-40B4-BE49-F238E27FC236}">
              <a16:creationId xmlns:a16="http://schemas.microsoft.com/office/drawing/2014/main" id="{00000000-0008-0000-2900-000026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190882" y="0"/>
          <a:ext cx="2657285" cy="768096"/>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889000</xdr:colOff>
          <xdr:row>19</xdr:row>
          <xdr:rowOff>260350</xdr:rowOff>
        </xdr:from>
        <xdr:to>
          <xdr:col>5</xdr:col>
          <xdr:colOff>546100</xdr:colOff>
          <xdr:row>20</xdr:row>
          <xdr:rowOff>190500</xdr:rowOff>
        </xdr:to>
        <xdr:sp macro="" textlink="">
          <xdr:nvSpPr>
            <xdr:cNvPr id="69633" name="OptionButton1" hidden="1">
              <a:extLst>
                <a:ext uri="{63B3BB69-23CF-44E3-9099-C40C66FF867C}">
                  <a14:compatExt spid="_x0000_s69633"/>
                </a:ext>
                <a:ext uri="{FF2B5EF4-FFF2-40B4-BE49-F238E27FC236}">
                  <a16:creationId xmlns:a16="http://schemas.microsoft.com/office/drawing/2014/main" id="{00000000-0008-0000-2A00-000001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241300</xdr:rowOff>
        </xdr:from>
        <xdr:to>
          <xdr:col>10</xdr:col>
          <xdr:colOff>279400</xdr:colOff>
          <xdr:row>20</xdr:row>
          <xdr:rowOff>222250</xdr:rowOff>
        </xdr:to>
        <xdr:sp macro="" textlink="">
          <xdr:nvSpPr>
            <xdr:cNvPr id="69634" name="OptionButton2" hidden="1">
              <a:extLst>
                <a:ext uri="{63B3BB69-23CF-44E3-9099-C40C66FF867C}">
                  <a14:compatExt spid="_x0000_s69634"/>
                </a:ext>
                <a:ext uri="{FF2B5EF4-FFF2-40B4-BE49-F238E27FC236}">
                  <a16:creationId xmlns:a16="http://schemas.microsoft.com/office/drawing/2014/main" id="{00000000-0008-0000-2A00-00000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431800</xdr:colOff>
          <xdr:row>20</xdr:row>
          <xdr:rowOff>336550</xdr:rowOff>
        </xdr:to>
        <xdr:sp macro="" textlink="">
          <xdr:nvSpPr>
            <xdr:cNvPr id="69635" name="Group Box 3" hidden="1">
              <a:extLst>
                <a:ext uri="{63B3BB69-23CF-44E3-9099-C40C66FF867C}">
                  <a14:compatExt spid="_x0000_s69635"/>
                </a:ext>
                <a:ext uri="{FF2B5EF4-FFF2-40B4-BE49-F238E27FC236}">
                  <a16:creationId xmlns:a16="http://schemas.microsoft.com/office/drawing/2014/main" id="{00000000-0008-0000-2A00-000003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190500</xdr:rowOff>
        </xdr:from>
        <xdr:to>
          <xdr:col>9</xdr:col>
          <xdr:colOff>50800</xdr:colOff>
          <xdr:row>21</xdr:row>
          <xdr:rowOff>488950</xdr:rowOff>
        </xdr:to>
        <xdr:sp macro="" textlink="">
          <xdr:nvSpPr>
            <xdr:cNvPr id="69636" name="Check Box 4" hidden="1">
              <a:extLst>
                <a:ext uri="{63B3BB69-23CF-44E3-9099-C40C66FF867C}">
                  <a14:compatExt spid="_x0000_s69636"/>
                </a:ext>
                <a:ext uri="{FF2B5EF4-FFF2-40B4-BE49-F238E27FC236}">
                  <a16:creationId xmlns:a16="http://schemas.microsoft.com/office/drawing/2014/main" id="{00000000-0008-0000-2A00-00000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190500</xdr:rowOff>
        </xdr:from>
        <xdr:to>
          <xdr:col>10</xdr:col>
          <xdr:colOff>990600</xdr:colOff>
          <xdr:row>21</xdr:row>
          <xdr:rowOff>527050</xdr:rowOff>
        </xdr:to>
        <xdr:sp macro="" textlink="">
          <xdr:nvSpPr>
            <xdr:cNvPr id="69637" name="Check Box 5" hidden="1">
              <a:extLst>
                <a:ext uri="{63B3BB69-23CF-44E3-9099-C40C66FF867C}">
                  <a14:compatExt spid="_x0000_s69637"/>
                </a:ext>
                <a:ext uri="{FF2B5EF4-FFF2-40B4-BE49-F238E27FC236}">
                  <a16:creationId xmlns:a16="http://schemas.microsoft.com/office/drawing/2014/main" id="{00000000-0008-0000-2A00-00000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1384300</xdr:colOff>
          <xdr:row>69</xdr:row>
          <xdr:rowOff>95250</xdr:rowOff>
        </xdr:to>
        <xdr:sp macro="" textlink="">
          <xdr:nvSpPr>
            <xdr:cNvPr id="69641" name="Group Box 9" hidden="1">
              <a:extLst>
                <a:ext uri="{63B3BB69-23CF-44E3-9099-C40C66FF867C}">
                  <a14:compatExt spid="_x0000_s69641"/>
                </a:ext>
                <a:ext uri="{FF2B5EF4-FFF2-40B4-BE49-F238E27FC236}">
                  <a16:creationId xmlns:a16="http://schemas.microsoft.com/office/drawing/2014/main" id="{00000000-0008-0000-2A00-00000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9642" name="Option Button 10" hidden="1">
              <a:extLst>
                <a:ext uri="{63B3BB69-23CF-44E3-9099-C40C66FF867C}">
                  <a14:compatExt spid="_x0000_s69642"/>
                </a:ext>
                <a:ext uri="{FF2B5EF4-FFF2-40B4-BE49-F238E27FC236}">
                  <a16:creationId xmlns:a16="http://schemas.microsoft.com/office/drawing/2014/main" id="{00000000-0008-0000-2A00-00000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9643" name="Option Button 11" hidden="1">
              <a:extLst>
                <a:ext uri="{63B3BB69-23CF-44E3-9099-C40C66FF867C}">
                  <a14:compatExt spid="_x0000_s69643"/>
                </a:ext>
                <a:ext uri="{FF2B5EF4-FFF2-40B4-BE49-F238E27FC236}">
                  <a16:creationId xmlns:a16="http://schemas.microsoft.com/office/drawing/2014/main" id="{00000000-0008-0000-2A00-00000B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69644" name="Group Box 12" hidden="1">
              <a:extLst>
                <a:ext uri="{63B3BB69-23CF-44E3-9099-C40C66FF867C}">
                  <a14:compatExt spid="_x0000_s69644"/>
                </a:ext>
                <a:ext uri="{FF2B5EF4-FFF2-40B4-BE49-F238E27FC236}">
                  <a16:creationId xmlns:a16="http://schemas.microsoft.com/office/drawing/2014/main" id="{00000000-0008-0000-2A00-00000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1384300</xdr:colOff>
          <xdr:row>68</xdr:row>
          <xdr:rowOff>95250</xdr:rowOff>
        </xdr:to>
        <xdr:sp macro="" textlink="">
          <xdr:nvSpPr>
            <xdr:cNvPr id="69645" name="Group Box 13" hidden="1">
              <a:extLst>
                <a:ext uri="{63B3BB69-23CF-44E3-9099-C40C66FF867C}">
                  <a14:compatExt spid="_x0000_s69645"/>
                </a:ext>
                <a:ext uri="{FF2B5EF4-FFF2-40B4-BE49-F238E27FC236}">
                  <a16:creationId xmlns:a16="http://schemas.microsoft.com/office/drawing/2014/main" id="{00000000-0008-0000-2A00-00000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9646" name="Option Button 14" hidden="1">
              <a:extLst>
                <a:ext uri="{63B3BB69-23CF-44E3-9099-C40C66FF867C}">
                  <a14:compatExt spid="_x0000_s69646"/>
                </a:ext>
                <a:ext uri="{FF2B5EF4-FFF2-40B4-BE49-F238E27FC236}">
                  <a16:creationId xmlns:a16="http://schemas.microsoft.com/office/drawing/2014/main" id="{00000000-0008-0000-2A00-00000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9647" name="Option Button 15" hidden="1">
              <a:extLst>
                <a:ext uri="{63B3BB69-23CF-44E3-9099-C40C66FF867C}">
                  <a14:compatExt spid="_x0000_s69647"/>
                </a:ext>
                <a:ext uri="{FF2B5EF4-FFF2-40B4-BE49-F238E27FC236}">
                  <a16:creationId xmlns:a16="http://schemas.microsoft.com/office/drawing/2014/main" id="{00000000-0008-0000-2A00-00000F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69648" name="Group Box 16" hidden="1">
              <a:extLst>
                <a:ext uri="{63B3BB69-23CF-44E3-9099-C40C66FF867C}">
                  <a14:compatExt spid="_x0000_s69648"/>
                </a:ext>
                <a:ext uri="{FF2B5EF4-FFF2-40B4-BE49-F238E27FC236}">
                  <a16:creationId xmlns:a16="http://schemas.microsoft.com/office/drawing/2014/main" id="{00000000-0008-0000-2A00-000010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70</xdr:row>
          <xdr:rowOff>0</xdr:rowOff>
        </xdr:from>
        <xdr:to>
          <xdr:col>2</xdr:col>
          <xdr:colOff>57150</xdr:colOff>
          <xdr:row>71</xdr:row>
          <xdr:rowOff>76200</xdr:rowOff>
        </xdr:to>
        <xdr:sp macro="" textlink="">
          <xdr:nvSpPr>
            <xdr:cNvPr id="69650" name="OptionButton7" hidden="1">
              <a:extLst>
                <a:ext uri="{63B3BB69-23CF-44E3-9099-C40C66FF867C}">
                  <a14:compatExt spid="_x0000_s69650"/>
                </a:ext>
                <a:ext uri="{FF2B5EF4-FFF2-40B4-BE49-F238E27FC236}">
                  <a16:creationId xmlns:a16="http://schemas.microsoft.com/office/drawing/2014/main" id="{00000000-0008-0000-2A00-000012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1384300</xdr:colOff>
          <xdr:row>72</xdr:row>
          <xdr:rowOff>12700</xdr:rowOff>
        </xdr:to>
        <xdr:sp macro="" textlink="">
          <xdr:nvSpPr>
            <xdr:cNvPr id="69652" name="Group Box 20" hidden="1">
              <a:extLst>
                <a:ext uri="{63B3BB69-23CF-44E3-9099-C40C66FF867C}">
                  <a14:compatExt spid="_x0000_s69652"/>
                </a:ext>
                <a:ext uri="{FF2B5EF4-FFF2-40B4-BE49-F238E27FC236}">
                  <a16:creationId xmlns:a16="http://schemas.microsoft.com/office/drawing/2014/main" id="{00000000-0008-0000-2A00-000014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69653" name="Option Button 21" hidden="1">
              <a:extLst>
                <a:ext uri="{63B3BB69-23CF-44E3-9099-C40C66FF867C}">
                  <a14:compatExt spid="_x0000_s69653"/>
                </a:ext>
                <a:ext uri="{FF2B5EF4-FFF2-40B4-BE49-F238E27FC236}">
                  <a16:creationId xmlns:a16="http://schemas.microsoft.com/office/drawing/2014/main" id="{00000000-0008-0000-2A00-00001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1060450</xdr:colOff>
          <xdr:row>37</xdr:row>
          <xdr:rowOff>69850</xdr:rowOff>
        </xdr:from>
        <xdr:to>
          <xdr:col>3</xdr:col>
          <xdr:colOff>1314450</xdr:colOff>
          <xdr:row>38</xdr:row>
          <xdr:rowOff>69850</xdr:rowOff>
        </xdr:to>
        <xdr:sp macro="" textlink="">
          <xdr:nvSpPr>
            <xdr:cNvPr id="69654" name="Option Button 22" hidden="1">
              <a:extLst>
                <a:ext uri="{63B3BB69-23CF-44E3-9099-C40C66FF867C}">
                  <a14:compatExt spid="_x0000_s69654"/>
                </a:ext>
                <a:ext uri="{FF2B5EF4-FFF2-40B4-BE49-F238E27FC236}">
                  <a16:creationId xmlns:a16="http://schemas.microsoft.com/office/drawing/2014/main" id="{00000000-0008-0000-2A00-00001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37</xdr:row>
          <xdr:rowOff>69850</xdr:rowOff>
        </xdr:from>
        <xdr:to>
          <xdr:col>5</xdr:col>
          <xdr:colOff>622300</xdr:colOff>
          <xdr:row>38</xdr:row>
          <xdr:rowOff>69850</xdr:rowOff>
        </xdr:to>
        <xdr:sp macro="" textlink="">
          <xdr:nvSpPr>
            <xdr:cNvPr id="69655" name="Option Button 23" hidden="1">
              <a:extLst>
                <a:ext uri="{63B3BB69-23CF-44E3-9099-C40C66FF867C}">
                  <a14:compatExt spid="_x0000_s69655"/>
                </a:ext>
                <a:ext uri="{FF2B5EF4-FFF2-40B4-BE49-F238E27FC236}">
                  <a16:creationId xmlns:a16="http://schemas.microsoft.com/office/drawing/2014/main" id="{00000000-0008-0000-2A00-00001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69657" name="Group Box 25" hidden="1">
              <a:extLst>
                <a:ext uri="{63B3BB69-23CF-44E3-9099-C40C66FF867C}">
                  <a14:compatExt spid="_x0000_s69657"/>
                </a:ext>
                <a:ext uri="{FF2B5EF4-FFF2-40B4-BE49-F238E27FC236}">
                  <a16:creationId xmlns:a16="http://schemas.microsoft.com/office/drawing/2014/main" id="{00000000-0008-0000-2A00-000019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88900</xdr:colOff>
          <xdr:row>44</xdr:row>
          <xdr:rowOff>12700</xdr:rowOff>
        </xdr:from>
        <xdr:to>
          <xdr:col>2</xdr:col>
          <xdr:colOff>76200</xdr:colOff>
          <xdr:row>45</xdr:row>
          <xdr:rowOff>88900</xdr:rowOff>
        </xdr:to>
        <xdr:sp macro="" textlink="">
          <xdr:nvSpPr>
            <xdr:cNvPr id="69659" name="OptionButton10" hidden="1">
              <a:extLst>
                <a:ext uri="{63B3BB69-23CF-44E3-9099-C40C66FF867C}">
                  <a14:compatExt spid="_x0000_s69659"/>
                </a:ext>
                <a:ext uri="{FF2B5EF4-FFF2-40B4-BE49-F238E27FC236}">
                  <a16:creationId xmlns:a16="http://schemas.microsoft.com/office/drawing/2014/main" id="{00000000-0008-0000-2A00-00001B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1384300</xdr:colOff>
          <xdr:row>46</xdr:row>
          <xdr:rowOff>12700</xdr:rowOff>
        </xdr:to>
        <xdr:sp macro="" textlink="">
          <xdr:nvSpPr>
            <xdr:cNvPr id="69661" name="Group Box 29" hidden="1">
              <a:extLst>
                <a:ext uri="{63B3BB69-23CF-44E3-9099-C40C66FF867C}">
                  <a14:compatExt spid="_x0000_s69661"/>
                </a:ext>
                <a:ext uri="{FF2B5EF4-FFF2-40B4-BE49-F238E27FC236}">
                  <a16:creationId xmlns:a16="http://schemas.microsoft.com/office/drawing/2014/main" id="{00000000-0008-0000-2A00-00001D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266700</xdr:colOff>
          <xdr:row>122</xdr:row>
          <xdr:rowOff>0</xdr:rowOff>
        </xdr:from>
        <xdr:to>
          <xdr:col>14</xdr:col>
          <xdr:colOff>704850</xdr:colOff>
          <xdr:row>124</xdr:row>
          <xdr:rowOff>146050</xdr:rowOff>
        </xdr:to>
        <xdr:sp macro="" textlink="">
          <xdr:nvSpPr>
            <xdr:cNvPr id="69671" name="CommandButton1" hidden="1">
              <a:extLst>
                <a:ext uri="{63B3BB69-23CF-44E3-9099-C40C66FF867C}">
                  <a14:compatExt spid="_x0000_s69671"/>
                </a:ext>
                <a:ext uri="{FF2B5EF4-FFF2-40B4-BE49-F238E27FC236}">
                  <a16:creationId xmlns:a16="http://schemas.microsoft.com/office/drawing/2014/main" id="{00000000-0008-0000-2A00-00002710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69732" name="Check Box 100" hidden="1">
              <a:extLst>
                <a:ext uri="{63B3BB69-23CF-44E3-9099-C40C66FF867C}">
                  <a14:compatExt spid="_x0000_s69732"/>
                </a:ext>
                <a:ext uri="{FF2B5EF4-FFF2-40B4-BE49-F238E27FC236}">
                  <a16:creationId xmlns:a16="http://schemas.microsoft.com/office/drawing/2014/main" id="{00000000-0008-0000-2A00-000064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1193800</xdr:colOff>
          <xdr:row>9</xdr:row>
          <xdr:rowOff>114300</xdr:rowOff>
        </xdr:from>
        <xdr:to>
          <xdr:col>2</xdr:col>
          <xdr:colOff>0</xdr:colOff>
          <xdr:row>9</xdr:row>
          <xdr:rowOff>374650</xdr:rowOff>
        </xdr:to>
        <xdr:sp macro="" textlink="">
          <xdr:nvSpPr>
            <xdr:cNvPr id="69733" name="Check Box 101" hidden="1">
              <a:extLst>
                <a:ext uri="{63B3BB69-23CF-44E3-9099-C40C66FF867C}">
                  <a14:compatExt spid="_x0000_s69733"/>
                </a:ext>
                <a:ext uri="{FF2B5EF4-FFF2-40B4-BE49-F238E27FC236}">
                  <a16:creationId xmlns:a16="http://schemas.microsoft.com/office/drawing/2014/main" id="{00000000-0008-0000-2A00-000065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946150</xdr:colOff>
          <xdr:row>9</xdr:row>
          <xdr:rowOff>114300</xdr:rowOff>
        </xdr:from>
        <xdr:to>
          <xdr:col>3</xdr:col>
          <xdr:colOff>1060450</xdr:colOff>
          <xdr:row>9</xdr:row>
          <xdr:rowOff>381000</xdr:rowOff>
        </xdr:to>
        <xdr:sp macro="" textlink="">
          <xdr:nvSpPr>
            <xdr:cNvPr id="69734" name="Check Box 102" hidden="1">
              <a:extLst>
                <a:ext uri="{63B3BB69-23CF-44E3-9099-C40C66FF867C}">
                  <a14:compatExt spid="_x0000_s69734"/>
                </a:ext>
                <a:ext uri="{FF2B5EF4-FFF2-40B4-BE49-F238E27FC236}">
                  <a16:creationId xmlns:a16="http://schemas.microsoft.com/office/drawing/2014/main" id="{00000000-0008-0000-2A00-000066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9</xdr:row>
          <xdr:rowOff>114300</xdr:rowOff>
        </xdr:from>
        <xdr:to>
          <xdr:col>3</xdr:col>
          <xdr:colOff>952500</xdr:colOff>
          <xdr:row>9</xdr:row>
          <xdr:rowOff>381000</xdr:rowOff>
        </xdr:to>
        <xdr:sp macro="" textlink="">
          <xdr:nvSpPr>
            <xdr:cNvPr id="69735" name="Check Box 103" hidden="1">
              <a:extLst>
                <a:ext uri="{63B3BB69-23CF-44E3-9099-C40C66FF867C}">
                  <a14:compatExt spid="_x0000_s69735"/>
                </a:ext>
                <a:ext uri="{FF2B5EF4-FFF2-40B4-BE49-F238E27FC236}">
                  <a16:creationId xmlns:a16="http://schemas.microsoft.com/office/drawing/2014/main" id="{00000000-0008-0000-2A00-000067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1384300</xdr:colOff>
          <xdr:row>100</xdr:row>
          <xdr:rowOff>146050</xdr:rowOff>
        </xdr:to>
        <xdr:sp macro="" textlink="">
          <xdr:nvSpPr>
            <xdr:cNvPr id="69736" name="Group Box 104" hidden="1">
              <a:extLst>
                <a:ext uri="{63B3BB69-23CF-44E3-9099-C40C66FF867C}">
                  <a14:compatExt spid="_x0000_s69736"/>
                </a:ext>
                <a:ext uri="{FF2B5EF4-FFF2-40B4-BE49-F238E27FC236}">
                  <a16:creationId xmlns:a16="http://schemas.microsoft.com/office/drawing/2014/main" id="{00000000-0008-0000-2A00-000068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69737" name="Option Button 105" hidden="1">
              <a:extLst>
                <a:ext uri="{63B3BB69-23CF-44E3-9099-C40C66FF867C}">
                  <a14:compatExt spid="_x0000_s69737"/>
                </a:ext>
                <a:ext uri="{FF2B5EF4-FFF2-40B4-BE49-F238E27FC236}">
                  <a16:creationId xmlns:a16="http://schemas.microsoft.com/office/drawing/2014/main" id="{00000000-0008-0000-2A00-000069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69738" name="Option Button 106" hidden="1">
              <a:extLst>
                <a:ext uri="{63B3BB69-23CF-44E3-9099-C40C66FF867C}">
                  <a14:compatExt spid="_x0000_s69738"/>
                </a:ext>
                <a:ext uri="{FF2B5EF4-FFF2-40B4-BE49-F238E27FC236}">
                  <a16:creationId xmlns:a16="http://schemas.microsoft.com/office/drawing/2014/main" id="{00000000-0008-0000-2A00-00006A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69739" name="Group Box 107" hidden="1">
              <a:extLst>
                <a:ext uri="{63B3BB69-23CF-44E3-9099-C40C66FF867C}">
                  <a14:compatExt spid="_x0000_s69739"/>
                </a:ext>
                <a:ext uri="{FF2B5EF4-FFF2-40B4-BE49-F238E27FC236}">
                  <a16:creationId xmlns:a16="http://schemas.microsoft.com/office/drawing/2014/main" id="{00000000-0008-0000-2A00-00006B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1384300</xdr:colOff>
          <xdr:row>100</xdr:row>
          <xdr:rowOff>38100</xdr:rowOff>
        </xdr:to>
        <xdr:sp macro="" textlink="">
          <xdr:nvSpPr>
            <xdr:cNvPr id="69740" name="Group Box 108" hidden="1">
              <a:extLst>
                <a:ext uri="{63B3BB69-23CF-44E3-9099-C40C66FF867C}">
                  <a14:compatExt spid="_x0000_s69740"/>
                </a:ext>
                <a:ext uri="{FF2B5EF4-FFF2-40B4-BE49-F238E27FC236}">
                  <a16:creationId xmlns:a16="http://schemas.microsoft.com/office/drawing/2014/main" id="{00000000-0008-0000-2A00-00006C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69741" name="Option Button 109" hidden="1">
              <a:extLst>
                <a:ext uri="{63B3BB69-23CF-44E3-9099-C40C66FF867C}">
                  <a14:compatExt spid="_x0000_s69741"/>
                </a:ext>
                <a:ext uri="{FF2B5EF4-FFF2-40B4-BE49-F238E27FC236}">
                  <a16:creationId xmlns:a16="http://schemas.microsoft.com/office/drawing/2014/main" id="{00000000-0008-0000-2A00-00006D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69742" name="Option Button 110" hidden="1">
              <a:extLst>
                <a:ext uri="{63B3BB69-23CF-44E3-9099-C40C66FF867C}">
                  <a14:compatExt spid="_x0000_s69742"/>
                </a:ext>
                <a:ext uri="{FF2B5EF4-FFF2-40B4-BE49-F238E27FC236}">
                  <a16:creationId xmlns:a16="http://schemas.microsoft.com/office/drawing/2014/main" id="{00000000-0008-0000-2A00-00006E1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69743" name="Group Box 111" hidden="1">
              <a:extLst>
                <a:ext uri="{63B3BB69-23CF-44E3-9099-C40C66FF867C}">
                  <a14:compatExt spid="_x0000_s69743"/>
                </a:ext>
                <a:ext uri="{FF2B5EF4-FFF2-40B4-BE49-F238E27FC236}">
                  <a16:creationId xmlns:a16="http://schemas.microsoft.com/office/drawing/2014/main" id="{00000000-0008-0000-2A00-00006F10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337798</xdr:colOff>
      <xdr:row>0</xdr:row>
      <xdr:rowOff>0</xdr:rowOff>
    </xdr:from>
    <xdr:to>
      <xdr:col>15</xdr:col>
      <xdr:colOff>0</xdr:colOff>
      <xdr:row>1</xdr:row>
      <xdr:rowOff>69596</xdr:rowOff>
    </xdr:to>
    <xdr:pic>
      <xdr:nvPicPr>
        <xdr:cNvPr id="37" name="Picture 36" descr="PSEGLI_2c_v">
          <a:extLst>
            <a:ext uri="{FF2B5EF4-FFF2-40B4-BE49-F238E27FC236}">
              <a16:creationId xmlns:a16="http://schemas.microsoft.com/office/drawing/2014/main" id="{00000000-0008-0000-2A00-00002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360215" y="0"/>
          <a:ext cx="2657285" cy="768096"/>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8</xdr:col>
      <xdr:colOff>314515</xdr:colOff>
      <xdr:row>0</xdr:row>
      <xdr:rowOff>0</xdr:rowOff>
    </xdr:from>
    <xdr:to>
      <xdr:col>12</xdr:col>
      <xdr:colOff>0</xdr:colOff>
      <xdr:row>1</xdr:row>
      <xdr:rowOff>2921</xdr:rowOff>
    </xdr:to>
    <xdr:pic>
      <xdr:nvPicPr>
        <xdr:cNvPr id="3" name="Picture 2" descr="PSEGLI_2c_v">
          <a:extLst>
            <a:ext uri="{FF2B5EF4-FFF2-40B4-BE49-F238E27FC236}">
              <a16:creationId xmlns:a16="http://schemas.microsoft.com/office/drawing/2014/main" id="{00000000-0008-0000-0300-000003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7182040" y="0"/>
          <a:ext cx="2657285" cy="764921"/>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1041400</xdr:colOff>
          <xdr:row>19</xdr:row>
          <xdr:rowOff>228600</xdr:rowOff>
        </xdr:from>
        <xdr:to>
          <xdr:col>5</xdr:col>
          <xdr:colOff>717550</xdr:colOff>
          <xdr:row>20</xdr:row>
          <xdr:rowOff>146050</xdr:rowOff>
        </xdr:to>
        <xdr:sp macro="" textlink="">
          <xdr:nvSpPr>
            <xdr:cNvPr id="68609" name="OptionButton1" hidden="1">
              <a:extLst>
                <a:ext uri="{63B3BB69-23CF-44E3-9099-C40C66FF867C}">
                  <a14:compatExt spid="_x0000_s68609"/>
                </a:ext>
                <a:ext uri="{FF2B5EF4-FFF2-40B4-BE49-F238E27FC236}">
                  <a16:creationId xmlns:a16="http://schemas.microsoft.com/office/drawing/2014/main" id="{00000000-0008-0000-2B00-000001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0</xdr:colOff>
          <xdr:row>19</xdr:row>
          <xdr:rowOff>222250</xdr:rowOff>
        </xdr:from>
        <xdr:to>
          <xdr:col>10</xdr:col>
          <xdr:colOff>279400</xdr:colOff>
          <xdr:row>20</xdr:row>
          <xdr:rowOff>209550</xdr:rowOff>
        </xdr:to>
        <xdr:sp macro="" textlink="">
          <xdr:nvSpPr>
            <xdr:cNvPr id="68610" name="OptionButton2" hidden="1">
              <a:extLst>
                <a:ext uri="{63B3BB69-23CF-44E3-9099-C40C66FF867C}">
                  <a14:compatExt spid="_x0000_s68610"/>
                </a:ext>
                <a:ext uri="{FF2B5EF4-FFF2-40B4-BE49-F238E27FC236}">
                  <a16:creationId xmlns:a16="http://schemas.microsoft.com/office/drawing/2014/main" id="{00000000-0008-0000-2B00-00000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431800</xdr:colOff>
          <xdr:row>20</xdr:row>
          <xdr:rowOff>336550</xdr:rowOff>
        </xdr:to>
        <xdr:sp macro="" textlink="">
          <xdr:nvSpPr>
            <xdr:cNvPr id="68611" name="Group Box 3" hidden="1">
              <a:extLst>
                <a:ext uri="{63B3BB69-23CF-44E3-9099-C40C66FF867C}">
                  <a14:compatExt spid="_x0000_s68611"/>
                </a:ext>
                <a:ext uri="{FF2B5EF4-FFF2-40B4-BE49-F238E27FC236}">
                  <a16:creationId xmlns:a16="http://schemas.microsoft.com/office/drawing/2014/main" id="{00000000-0008-0000-2B00-000003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127000</xdr:rowOff>
        </xdr:from>
        <xdr:to>
          <xdr:col>9</xdr:col>
          <xdr:colOff>50800</xdr:colOff>
          <xdr:row>21</xdr:row>
          <xdr:rowOff>438150</xdr:rowOff>
        </xdr:to>
        <xdr:sp macro="" textlink="">
          <xdr:nvSpPr>
            <xdr:cNvPr id="68612" name="Check Box 4" hidden="1">
              <a:extLst>
                <a:ext uri="{63B3BB69-23CF-44E3-9099-C40C66FF867C}">
                  <a14:compatExt spid="_x0000_s68612"/>
                </a:ext>
                <a:ext uri="{FF2B5EF4-FFF2-40B4-BE49-F238E27FC236}">
                  <a16:creationId xmlns:a16="http://schemas.microsoft.com/office/drawing/2014/main" id="{00000000-0008-0000-2B00-000004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127000</xdr:rowOff>
        </xdr:from>
        <xdr:to>
          <xdr:col>10</xdr:col>
          <xdr:colOff>990600</xdr:colOff>
          <xdr:row>21</xdr:row>
          <xdr:rowOff>457200</xdr:rowOff>
        </xdr:to>
        <xdr:sp macro="" textlink="">
          <xdr:nvSpPr>
            <xdr:cNvPr id="68613" name="Check Box 5" hidden="1">
              <a:extLst>
                <a:ext uri="{63B3BB69-23CF-44E3-9099-C40C66FF867C}">
                  <a14:compatExt spid="_x0000_s68613"/>
                </a:ext>
                <a:ext uri="{FF2B5EF4-FFF2-40B4-BE49-F238E27FC236}">
                  <a16:creationId xmlns:a16="http://schemas.microsoft.com/office/drawing/2014/main" id="{00000000-0008-0000-2B00-00000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1384300</xdr:colOff>
          <xdr:row>69</xdr:row>
          <xdr:rowOff>95250</xdr:rowOff>
        </xdr:to>
        <xdr:sp macro="" textlink="">
          <xdr:nvSpPr>
            <xdr:cNvPr id="68617" name="Group Box 9" hidden="1">
              <a:extLst>
                <a:ext uri="{63B3BB69-23CF-44E3-9099-C40C66FF867C}">
                  <a14:compatExt spid="_x0000_s68617"/>
                </a:ext>
                <a:ext uri="{FF2B5EF4-FFF2-40B4-BE49-F238E27FC236}">
                  <a16:creationId xmlns:a16="http://schemas.microsoft.com/office/drawing/2014/main" id="{00000000-0008-0000-2B00-00000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8618" name="Option Button 10" hidden="1">
              <a:extLst>
                <a:ext uri="{63B3BB69-23CF-44E3-9099-C40C66FF867C}">
                  <a14:compatExt spid="_x0000_s68618"/>
                </a:ext>
                <a:ext uri="{FF2B5EF4-FFF2-40B4-BE49-F238E27FC236}">
                  <a16:creationId xmlns:a16="http://schemas.microsoft.com/office/drawing/2014/main" id="{00000000-0008-0000-2B00-00000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8619" name="Option Button 11" hidden="1">
              <a:extLst>
                <a:ext uri="{63B3BB69-23CF-44E3-9099-C40C66FF867C}">
                  <a14:compatExt spid="_x0000_s68619"/>
                </a:ext>
                <a:ext uri="{FF2B5EF4-FFF2-40B4-BE49-F238E27FC236}">
                  <a16:creationId xmlns:a16="http://schemas.microsoft.com/office/drawing/2014/main" id="{00000000-0008-0000-2B00-00000B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68620" name="Group Box 12" hidden="1">
              <a:extLst>
                <a:ext uri="{63B3BB69-23CF-44E3-9099-C40C66FF867C}">
                  <a14:compatExt spid="_x0000_s68620"/>
                </a:ext>
                <a:ext uri="{FF2B5EF4-FFF2-40B4-BE49-F238E27FC236}">
                  <a16:creationId xmlns:a16="http://schemas.microsoft.com/office/drawing/2014/main" id="{00000000-0008-0000-2B00-00000C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1384300</xdr:colOff>
          <xdr:row>68</xdr:row>
          <xdr:rowOff>95250</xdr:rowOff>
        </xdr:to>
        <xdr:sp macro="" textlink="">
          <xdr:nvSpPr>
            <xdr:cNvPr id="68621" name="Group Box 13" hidden="1">
              <a:extLst>
                <a:ext uri="{63B3BB69-23CF-44E3-9099-C40C66FF867C}">
                  <a14:compatExt spid="_x0000_s68621"/>
                </a:ext>
                <a:ext uri="{FF2B5EF4-FFF2-40B4-BE49-F238E27FC236}">
                  <a16:creationId xmlns:a16="http://schemas.microsoft.com/office/drawing/2014/main" id="{00000000-0008-0000-2B00-00000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8622" name="Option Button 14" hidden="1">
              <a:extLst>
                <a:ext uri="{63B3BB69-23CF-44E3-9099-C40C66FF867C}">
                  <a14:compatExt spid="_x0000_s68622"/>
                </a:ext>
                <a:ext uri="{FF2B5EF4-FFF2-40B4-BE49-F238E27FC236}">
                  <a16:creationId xmlns:a16="http://schemas.microsoft.com/office/drawing/2014/main" id="{00000000-0008-0000-2B00-00000E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8623" name="Option Button 15" hidden="1">
              <a:extLst>
                <a:ext uri="{63B3BB69-23CF-44E3-9099-C40C66FF867C}">
                  <a14:compatExt spid="_x0000_s68623"/>
                </a:ext>
                <a:ext uri="{FF2B5EF4-FFF2-40B4-BE49-F238E27FC236}">
                  <a16:creationId xmlns:a16="http://schemas.microsoft.com/office/drawing/2014/main" id="{00000000-0008-0000-2B00-00000F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68624" name="Group Box 16" hidden="1">
              <a:extLst>
                <a:ext uri="{63B3BB69-23CF-44E3-9099-C40C66FF867C}">
                  <a14:compatExt spid="_x0000_s68624"/>
                </a:ext>
                <a:ext uri="{FF2B5EF4-FFF2-40B4-BE49-F238E27FC236}">
                  <a16:creationId xmlns:a16="http://schemas.microsoft.com/office/drawing/2014/main" id="{00000000-0008-0000-2B00-000010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70</xdr:row>
          <xdr:rowOff>0</xdr:rowOff>
        </xdr:from>
        <xdr:to>
          <xdr:col>2</xdr:col>
          <xdr:colOff>95250</xdr:colOff>
          <xdr:row>71</xdr:row>
          <xdr:rowOff>76200</xdr:rowOff>
        </xdr:to>
        <xdr:sp macro="" textlink="">
          <xdr:nvSpPr>
            <xdr:cNvPr id="68626" name="OptionButton7" hidden="1">
              <a:extLst>
                <a:ext uri="{63B3BB69-23CF-44E3-9099-C40C66FF867C}">
                  <a14:compatExt spid="_x0000_s68626"/>
                </a:ext>
                <a:ext uri="{FF2B5EF4-FFF2-40B4-BE49-F238E27FC236}">
                  <a16:creationId xmlns:a16="http://schemas.microsoft.com/office/drawing/2014/main" id="{00000000-0008-0000-2B00-000012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1384300</xdr:colOff>
          <xdr:row>72</xdr:row>
          <xdr:rowOff>12700</xdr:rowOff>
        </xdr:to>
        <xdr:sp macro="" textlink="">
          <xdr:nvSpPr>
            <xdr:cNvPr id="68628" name="Group Box 20" hidden="1">
              <a:extLst>
                <a:ext uri="{63B3BB69-23CF-44E3-9099-C40C66FF867C}">
                  <a14:compatExt spid="_x0000_s68628"/>
                </a:ext>
                <a:ext uri="{FF2B5EF4-FFF2-40B4-BE49-F238E27FC236}">
                  <a16:creationId xmlns:a16="http://schemas.microsoft.com/office/drawing/2014/main" id="{00000000-0008-0000-2B00-000014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68629" name="Option Button 21" hidden="1">
              <a:extLst>
                <a:ext uri="{63B3BB69-23CF-44E3-9099-C40C66FF867C}">
                  <a14:compatExt spid="_x0000_s68629"/>
                </a:ext>
                <a:ext uri="{FF2B5EF4-FFF2-40B4-BE49-F238E27FC236}">
                  <a16:creationId xmlns:a16="http://schemas.microsoft.com/office/drawing/2014/main" id="{00000000-0008-0000-2B00-000015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831850</xdr:colOff>
          <xdr:row>37</xdr:row>
          <xdr:rowOff>69850</xdr:rowOff>
        </xdr:from>
        <xdr:to>
          <xdr:col>3</xdr:col>
          <xdr:colOff>1060450</xdr:colOff>
          <xdr:row>38</xdr:row>
          <xdr:rowOff>69850</xdr:rowOff>
        </xdr:to>
        <xdr:sp macro="" textlink="">
          <xdr:nvSpPr>
            <xdr:cNvPr id="68630" name="Option Button 22" hidden="1">
              <a:extLst>
                <a:ext uri="{63B3BB69-23CF-44E3-9099-C40C66FF867C}">
                  <a14:compatExt spid="_x0000_s68630"/>
                </a:ext>
                <a:ext uri="{FF2B5EF4-FFF2-40B4-BE49-F238E27FC236}">
                  <a16:creationId xmlns:a16="http://schemas.microsoft.com/office/drawing/2014/main" id="{00000000-0008-0000-2B00-00001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95250</xdr:colOff>
          <xdr:row>37</xdr:row>
          <xdr:rowOff>69850</xdr:rowOff>
        </xdr:from>
        <xdr:to>
          <xdr:col>5</xdr:col>
          <xdr:colOff>476250</xdr:colOff>
          <xdr:row>38</xdr:row>
          <xdr:rowOff>69850</xdr:rowOff>
        </xdr:to>
        <xdr:sp macro="" textlink="">
          <xdr:nvSpPr>
            <xdr:cNvPr id="68631" name="Option Button 23" hidden="1">
              <a:extLst>
                <a:ext uri="{63B3BB69-23CF-44E3-9099-C40C66FF867C}">
                  <a14:compatExt spid="_x0000_s68631"/>
                </a:ext>
                <a:ext uri="{FF2B5EF4-FFF2-40B4-BE49-F238E27FC236}">
                  <a16:creationId xmlns:a16="http://schemas.microsoft.com/office/drawing/2014/main" id="{00000000-0008-0000-2B00-000017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68633" name="Group Box 25" hidden="1">
              <a:extLst>
                <a:ext uri="{63B3BB69-23CF-44E3-9099-C40C66FF867C}">
                  <a14:compatExt spid="_x0000_s68633"/>
                </a:ext>
                <a:ext uri="{FF2B5EF4-FFF2-40B4-BE49-F238E27FC236}">
                  <a16:creationId xmlns:a16="http://schemas.microsoft.com/office/drawing/2014/main" id="{00000000-0008-0000-2B00-000019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44</xdr:row>
          <xdr:rowOff>0</xdr:rowOff>
        </xdr:from>
        <xdr:to>
          <xdr:col>2</xdr:col>
          <xdr:colOff>95250</xdr:colOff>
          <xdr:row>45</xdr:row>
          <xdr:rowOff>76200</xdr:rowOff>
        </xdr:to>
        <xdr:sp macro="" textlink="">
          <xdr:nvSpPr>
            <xdr:cNvPr id="68635" name="OptionButton10" hidden="1">
              <a:extLst>
                <a:ext uri="{63B3BB69-23CF-44E3-9099-C40C66FF867C}">
                  <a14:compatExt spid="_x0000_s68635"/>
                </a:ext>
                <a:ext uri="{FF2B5EF4-FFF2-40B4-BE49-F238E27FC236}">
                  <a16:creationId xmlns:a16="http://schemas.microsoft.com/office/drawing/2014/main" id="{00000000-0008-0000-2B00-00001B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1384300</xdr:colOff>
          <xdr:row>46</xdr:row>
          <xdr:rowOff>12700</xdr:rowOff>
        </xdr:to>
        <xdr:sp macro="" textlink="">
          <xdr:nvSpPr>
            <xdr:cNvPr id="68637" name="Group Box 29" hidden="1">
              <a:extLst>
                <a:ext uri="{63B3BB69-23CF-44E3-9099-C40C66FF867C}">
                  <a14:compatExt spid="_x0000_s68637"/>
                </a:ext>
                <a:ext uri="{FF2B5EF4-FFF2-40B4-BE49-F238E27FC236}">
                  <a16:creationId xmlns:a16="http://schemas.microsoft.com/office/drawing/2014/main" id="{00000000-0008-0000-2B00-00001D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336550</xdr:colOff>
          <xdr:row>119</xdr:row>
          <xdr:rowOff>114300</xdr:rowOff>
        </xdr:from>
        <xdr:to>
          <xdr:col>14</xdr:col>
          <xdr:colOff>546100</xdr:colOff>
          <xdr:row>122</xdr:row>
          <xdr:rowOff>114300</xdr:rowOff>
        </xdr:to>
        <xdr:sp macro="" textlink="">
          <xdr:nvSpPr>
            <xdr:cNvPr id="68648" name="CommandButton1" hidden="1">
              <a:extLst>
                <a:ext uri="{63B3BB69-23CF-44E3-9099-C40C66FF867C}">
                  <a14:compatExt spid="_x0000_s68648"/>
                </a:ext>
                <a:ext uri="{FF2B5EF4-FFF2-40B4-BE49-F238E27FC236}">
                  <a16:creationId xmlns:a16="http://schemas.microsoft.com/office/drawing/2014/main" id="{00000000-0008-0000-2B00-0000280C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68710" name="Check Box 102" hidden="1">
              <a:extLst>
                <a:ext uri="{63B3BB69-23CF-44E3-9099-C40C66FF867C}">
                  <a14:compatExt spid="_x0000_s68710"/>
                </a:ext>
                <a:ext uri="{FF2B5EF4-FFF2-40B4-BE49-F238E27FC236}">
                  <a16:creationId xmlns:a16="http://schemas.microsoft.com/office/drawing/2014/main" id="{00000000-0008-0000-2B00-000066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114300</xdr:rowOff>
        </xdr:from>
        <xdr:to>
          <xdr:col>1</xdr:col>
          <xdr:colOff>450850</xdr:colOff>
          <xdr:row>9</xdr:row>
          <xdr:rowOff>381000</xdr:rowOff>
        </xdr:to>
        <xdr:sp macro="" textlink="">
          <xdr:nvSpPr>
            <xdr:cNvPr id="68712" name="Check Box 104" hidden="1">
              <a:extLst>
                <a:ext uri="{63B3BB69-23CF-44E3-9099-C40C66FF867C}">
                  <a14:compatExt spid="_x0000_s68712"/>
                </a:ext>
                <a:ext uri="{FF2B5EF4-FFF2-40B4-BE49-F238E27FC236}">
                  <a16:creationId xmlns:a16="http://schemas.microsoft.com/office/drawing/2014/main" id="{00000000-0008-0000-2B00-000068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1009650</xdr:colOff>
          <xdr:row>9</xdr:row>
          <xdr:rowOff>95250</xdr:rowOff>
        </xdr:from>
        <xdr:to>
          <xdr:col>4</xdr:col>
          <xdr:colOff>336550</xdr:colOff>
          <xdr:row>10</xdr:row>
          <xdr:rowOff>0</xdr:rowOff>
        </xdr:to>
        <xdr:sp macro="" textlink="">
          <xdr:nvSpPr>
            <xdr:cNvPr id="68713" name="Check Box 105" hidden="1">
              <a:extLst>
                <a:ext uri="{63B3BB69-23CF-44E3-9099-C40C66FF867C}">
                  <a14:compatExt spid="_x0000_s68713"/>
                </a:ext>
                <a:ext uri="{FF2B5EF4-FFF2-40B4-BE49-F238E27FC236}">
                  <a16:creationId xmlns:a16="http://schemas.microsoft.com/office/drawing/2014/main" id="{00000000-0008-0000-2B00-000069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88900</xdr:colOff>
          <xdr:row>9</xdr:row>
          <xdr:rowOff>114300</xdr:rowOff>
        </xdr:from>
        <xdr:to>
          <xdr:col>3</xdr:col>
          <xdr:colOff>1028700</xdr:colOff>
          <xdr:row>9</xdr:row>
          <xdr:rowOff>381000</xdr:rowOff>
        </xdr:to>
        <xdr:sp macro="" textlink="">
          <xdr:nvSpPr>
            <xdr:cNvPr id="68714" name="Check Box 106" hidden="1">
              <a:extLst>
                <a:ext uri="{63B3BB69-23CF-44E3-9099-C40C66FF867C}">
                  <a14:compatExt spid="_x0000_s68714"/>
                </a:ext>
                <a:ext uri="{FF2B5EF4-FFF2-40B4-BE49-F238E27FC236}">
                  <a16:creationId xmlns:a16="http://schemas.microsoft.com/office/drawing/2014/main" id="{00000000-0008-0000-2B00-00006A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1384300</xdr:colOff>
          <xdr:row>100</xdr:row>
          <xdr:rowOff>146050</xdr:rowOff>
        </xdr:to>
        <xdr:sp macro="" textlink="">
          <xdr:nvSpPr>
            <xdr:cNvPr id="68715" name="Group Box 107" hidden="1">
              <a:extLst>
                <a:ext uri="{63B3BB69-23CF-44E3-9099-C40C66FF867C}">
                  <a14:compatExt spid="_x0000_s68715"/>
                </a:ext>
                <a:ext uri="{FF2B5EF4-FFF2-40B4-BE49-F238E27FC236}">
                  <a16:creationId xmlns:a16="http://schemas.microsoft.com/office/drawing/2014/main" id="{00000000-0008-0000-2B00-00006B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68716" name="Option Button 108" hidden="1">
              <a:extLst>
                <a:ext uri="{63B3BB69-23CF-44E3-9099-C40C66FF867C}">
                  <a14:compatExt spid="_x0000_s68716"/>
                </a:ext>
                <a:ext uri="{FF2B5EF4-FFF2-40B4-BE49-F238E27FC236}">
                  <a16:creationId xmlns:a16="http://schemas.microsoft.com/office/drawing/2014/main" id="{00000000-0008-0000-2B00-00006C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68717" name="Option Button 109" hidden="1">
              <a:extLst>
                <a:ext uri="{63B3BB69-23CF-44E3-9099-C40C66FF867C}">
                  <a14:compatExt spid="_x0000_s68717"/>
                </a:ext>
                <a:ext uri="{FF2B5EF4-FFF2-40B4-BE49-F238E27FC236}">
                  <a16:creationId xmlns:a16="http://schemas.microsoft.com/office/drawing/2014/main" id="{00000000-0008-0000-2B00-00006D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68718" name="Group Box 110" hidden="1">
              <a:extLst>
                <a:ext uri="{63B3BB69-23CF-44E3-9099-C40C66FF867C}">
                  <a14:compatExt spid="_x0000_s68718"/>
                </a:ext>
                <a:ext uri="{FF2B5EF4-FFF2-40B4-BE49-F238E27FC236}">
                  <a16:creationId xmlns:a16="http://schemas.microsoft.com/office/drawing/2014/main" id="{00000000-0008-0000-2B00-00006E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1384300</xdr:colOff>
          <xdr:row>100</xdr:row>
          <xdr:rowOff>38100</xdr:rowOff>
        </xdr:to>
        <xdr:sp macro="" textlink="">
          <xdr:nvSpPr>
            <xdr:cNvPr id="68719" name="Group Box 111" hidden="1">
              <a:extLst>
                <a:ext uri="{63B3BB69-23CF-44E3-9099-C40C66FF867C}">
                  <a14:compatExt spid="_x0000_s68719"/>
                </a:ext>
                <a:ext uri="{FF2B5EF4-FFF2-40B4-BE49-F238E27FC236}">
                  <a16:creationId xmlns:a16="http://schemas.microsoft.com/office/drawing/2014/main" id="{00000000-0008-0000-2B00-00006F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68720" name="Option Button 112" hidden="1">
              <a:extLst>
                <a:ext uri="{63B3BB69-23CF-44E3-9099-C40C66FF867C}">
                  <a14:compatExt spid="_x0000_s68720"/>
                </a:ext>
                <a:ext uri="{FF2B5EF4-FFF2-40B4-BE49-F238E27FC236}">
                  <a16:creationId xmlns:a16="http://schemas.microsoft.com/office/drawing/2014/main" id="{00000000-0008-0000-2B00-000070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68721" name="Option Button 113" hidden="1">
              <a:extLst>
                <a:ext uri="{63B3BB69-23CF-44E3-9099-C40C66FF867C}">
                  <a14:compatExt spid="_x0000_s68721"/>
                </a:ext>
                <a:ext uri="{FF2B5EF4-FFF2-40B4-BE49-F238E27FC236}">
                  <a16:creationId xmlns:a16="http://schemas.microsoft.com/office/drawing/2014/main" id="{00000000-0008-0000-2B00-0000710C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68722" name="Group Box 114" hidden="1">
              <a:extLst>
                <a:ext uri="{63B3BB69-23CF-44E3-9099-C40C66FF867C}">
                  <a14:compatExt spid="_x0000_s68722"/>
                </a:ext>
                <a:ext uri="{FF2B5EF4-FFF2-40B4-BE49-F238E27FC236}">
                  <a16:creationId xmlns:a16="http://schemas.microsoft.com/office/drawing/2014/main" id="{00000000-0008-0000-2B00-0000720C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401298</xdr:colOff>
      <xdr:row>0</xdr:row>
      <xdr:rowOff>0</xdr:rowOff>
    </xdr:from>
    <xdr:to>
      <xdr:col>15</xdr:col>
      <xdr:colOff>0</xdr:colOff>
      <xdr:row>1</xdr:row>
      <xdr:rowOff>69596</xdr:rowOff>
    </xdr:to>
    <xdr:pic>
      <xdr:nvPicPr>
        <xdr:cNvPr id="38" name="Picture 37" descr="PSEGLI_2c_v">
          <a:extLst>
            <a:ext uri="{FF2B5EF4-FFF2-40B4-BE49-F238E27FC236}">
              <a16:creationId xmlns:a16="http://schemas.microsoft.com/office/drawing/2014/main" id="{00000000-0008-0000-2B00-000026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423715" y="0"/>
          <a:ext cx="2657285" cy="768096"/>
        </a:xfrm>
        <a:prstGeom prst="rect">
          <a:avLst/>
        </a:prstGeom>
        <a:noFill/>
        <a:ln>
          <a:noFill/>
        </a:ln>
      </xdr:spPr>
    </xdr:pic>
    <xdr:clientData/>
  </xdr:twoCellAnchor>
</xdr:wsDr>
</file>

<file path=xl/drawings/drawing4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698500</xdr:colOff>
          <xdr:row>19</xdr:row>
          <xdr:rowOff>279400</xdr:rowOff>
        </xdr:from>
        <xdr:to>
          <xdr:col>5</xdr:col>
          <xdr:colOff>431800</xdr:colOff>
          <xdr:row>20</xdr:row>
          <xdr:rowOff>146050</xdr:rowOff>
        </xdr:to>
        <xdr:sp macro="" textlink="">
          <xdr:nvSpPr>
            <xdr:cNvPr id="67585" name="OptionButton1" hidden="1">
              <a:extLst>
                <a:ext uri="{63B3BB69-23CF-44E3-9099-C40C66FF867C}">
                  <a14:compatExt spid="_x0000_s67585"/>
                </a:ext>
                <a:ext uri="{FF2B5EF4-FFF2-40B4-BE49-F238E27FC236}">
                  <a16:creationId xmlns:a16="http://schemas.microsoft.com/office/drawing/2014/main" id="{00000000-0008-0000-2C00-000001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476250</xdr:colOff>
          <xdr:row>19</xdr:row>
          <xdr:rowOff>266700</xdr:rowOff>
        </xdr:from>
        <xdr:to>
          <xdr:col>10</xdr:col>
          <xdr:colOff>0</xdr:colOff>
          <xdr:row>20</xdr:row>
          <xdr:rowOff>241300</xdr:rowOff>
        </xdr:to>
        <xdr:sp macro="" textlink="">
          <xdr:nvSpPr>
            <xdr:cNvPr id="67586" name="OptionButton2" hidden="1">
              <a:extLst>
                <a:ext uri="{63B3BB69-23CF-44E3-9099-C40C66FF867C}">
                  <a14:compatExt spid="_x0000_s67586"/>
                </a:ext>
                <a:ext uri="{FF2B5EF4-FFF2-40B4-BE49-F238E27FC236}">
                  <a16:creationId xmlns:a16="http://schemas.microsoft.com/office/drawing/2014/main" id="{00000000-0008-0000-2C00-00000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12700</xdr:colOff>
          <xdr:row>19</xdr:row>
          <xdr:rowOff>57150</xdr:rowOff>
        </xdr:from>
        <xdr:to>
          <xdr:col>6</xdr:col>
          <xdr:colOff>400050</xdr:colOff>
          <xdr:row>20</xdr:row>
          <xdr:rowOff>336550</xdr:rowOff>
        </xdr:to>
        <xdr:sp macro="" textlink="">
          <xdr:nvSpPr>
            <xdr:cNvPr id="67587" name="Group Box 3" hidden="1">
              <a:extLst>
                <a:ext uri="{63B3BB69-23CF-44E3-9099-C40C66FF867C}">
                  <a14:compatExt spid="_x0000_s67587"/>
                </a:ext>
                <a:ext uri="{FF2B5EF4-FFF2-40B4-BE49-F238E27FC236}">
                  <a16:creationId xmlns:a16="http://schemas.microsoft.com/office/drawing/2014/main" id="{00000000-0008-0000-2C00-000003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533400</xdr:colOff>
          <xdr:row>21</xdr:row>
          <xdr:rowOff>146050</xdr:rowOff>
        </xdr:from>
        <xdr:to>
          <xdr:col>9</xdr:col>
          <xdr:colOff>50800</xdr:colOff>
          <xdr:row>21</xdr:row>
          <xdr:rowOff>450850</xdr:rowOff>
        </xdr:to>
        <xdr:sp macro="" textlink="">
          <xdr:nvSpPr>
            <xdr:cNvPr id="67588" name="Check Box 4" hidden="1">
              <a:extLst>
                <a:ext uri="{63B3BB69-23CF-44E3-9099-C40C66FF867C}">
                  <a14:compatExt spid="_x0000_s67588"/>
                </a:ext>
                <a:ext uri="{FF2B5EF4-FFF2-40B4-BE49-F238E27FC236}">
                  <a16:creationId xmlns:a16="http://schemas.microsoft.com/office/drawing/2014/main" id="{00000000-0008-0000-2C00-00000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Ductwork</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419100</xdr:colOff>
          <xdr:row>21</xdr:row>
          <xdr:rowOff>146050</xdr:rowOff>
        </xdr:from>
        <xdr:to>
          <xdr:col>10</xdr:col>
          <xdr:colOff>990600</xdr:colOff>
          <xdr:row>21</xdr:row>
          <xdr:rowOff>469900</xdr:rowOff>
        </xdr:to>
        <xdr:sp macro="" textlink="">
          <xdr:nvSpPr>
            <xdr:cNvPr id="67589" name="Check Box 5" hidden="1">
              <a:extLst>
                <a:ext uri="{63B3BB69-23CF-44E3-9099-C40C66FF867C}">
                  <a14:compatExt spid="_x0000_s67589"/>
                </a:ext>
                <a:ext uri="{FF2B5EF4-FFF2-40B4-BE49-F238E27FC236}">
                  <a16:creationId xmlns:a16="http://schemas.microsoft.com/office/drawing/2014/main" id="{00000000-0008-0000-2C00-00000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Variable Speed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65</xdr:row>
          <xdr:rowOff>0</xdr:rowOff>
        </xdr:from>
        <xdr:to>
          <xdr:col>3</xdr:col>
          <xdr:colOff>1352550</xdr:colOff>
          <xdr:row>69</xdr:row>
          <xdr:rowOff>95250</xdr:rowOff>
        </xdr:to>
        <xdr:sp macro="" textlink="">
          <xdr:nvSpPr>
            <xdr:cNvPr id="67593" name="Group Box 9" hidden="1">
              <a:extLst>
                <a:ext uri="{63B3BB69-23CF-44E3-9099-C40C66FF867C}">
                  <a14:compatExt spid="_x0000_s67593"/>
                </a:ext>
                <a:ext uri="{FF2B5EF4-FFF2-40B4-BE49-F238E27FC236}">
                  <a16:creationId xmlns:a16="http://schemas.microsoft.com/office/drawing/2014/main" id="{00000000-0008-0000-2C00-00000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7594" name="Option Button 10" hidden="1">
              <a:extLst>
                <a:ext uri="{63B3BB69-23CF-44E3-9099-C40C66FF867C}">
                  <a14:compatExt spid="_x0000_s67594"/>
                </a:ext>
                <a:ext uri="{FF2B5EF4-FFF2-40B4-BE49-F238E27FC236}">
                  <a16:creationId xmlns:a16="http://schemas.microsoft.com/office/drawing/2014/main" id="{00000000-0008-0000-2C00-00000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7595" name="Option Button 11" hidden="1">
              <a:extLst>
                <a:ext uri="{63B3BB69-23CF-44E3-9099-C40C66FF867C}">
                  <a14:compatExt spid="_x0000_s67595"/>
                </a:ext>
                <a:ext uri="{FF2B5EF4-FFF2-40B4-BE49-F238E27FC236}">
                  <a16:creationId xmlns:a16="http://schemas.microsoft.com/office/drawing/2014/main" id="{00000000-0008-0000-2C00-00000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65</xdr:row>
          <xdr:rowOff>0</xdr:rowOff>
        </xdr:from>
        <xdr:to>
          <xdr:col>6</xdr:col>
          <xdr:colOff>533400</xdr:colOff>
          <xdr:row>67</xdr:row>
          <xdr:rowOff>152400</xdr:rowOff>
        </xdr:to>
        <xdr:sp macro="" textlink="">
          <xdr:nvSpPr>
            <xdr:cNvPr id="67596" name="Group Box 12" hidden="1">
              <a:extLst>
                <a:ext uri="{63B3BB69-23CF-44E3-9099-C40C66FF867C}">
                  <a14:compatExt spid="_x0000_s67596"/>
                </a:ext>
                <a:ext uri="{FF2B5EF4-FFF2-40B4-BE49-F238E27FC236}">
                  <a16:creationId xmlns:a16="http://schemas.microsoft.com/office/drawing/2014/main" id="{00000000-0008-0000-2C00-00000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65</xdr:row>
          <xdr:rowOff>0</xdr:rowOff>
        </xdr:from>
        <xdr:to>
          <xdr:col>3</xdr:col>
          <xdr:colOff>1352550</xdr:colOff>
          <xdr:row>68</xdr:row>
          <xdr:rowOff>95250</xdr:rowOff>
        </xdr:to>
        <xdr:sp macro="" textlink="">
          <xdr:nvSpPr>
            <xdr:cNvPr id="67597" name="Group Box 13" hidden="1">
              <a:extLst>
                <a:ext uri="{63B3BB69-23CF-44E3-9099-C40C66FF867C}">
                  <a14:compatExt spid="_x0000_s67597"/>
                </a:ext>
                <a:ext uri="{FF2B5EF4-FFF2-40B4-BE49-F238E27FC236}">
                  <a16:creationId xmlns:a16="http://schemas.microsoft.com/office/drawing/2014/main" id="{00000000-0008-0000-2C00-00000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65</xdr:row>
          <xdr:rowOff>0</xdr:rowOff>
        </xdr:from>
        <xdr:to>
          <xdr:col>5</xdr:col>
          <xdr:colOff>50800</xdr:colOff>
          <xdr:row>66</xdr:row>
          <xdr:rowOff>50800</xdr:rowOff>
        </xdr:to>
        <xdr:sp macro="" textlink="">
          <xdr:nvSpPr>
            <xdr:cNvPr id="67598" name="Option Button 14" hidden="1">
              <a:extLst>
                <a:ext uri="{63B3BB69-23CF-44E3-9099-C40C66FF867C}">
                  <a14:compatExt spid="_x0000_s67598"/>
                </a:ext>
                <a:ext uri="{FF2B5EF4-FFF2-40B4-BE49-F238E27FC236}">
                  <a16:creationId xmlns:a16="http://schemas.microsoft.com/office/drawing/2014/main" id="{00000000-0008-0000-2C00-00000E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65</xdr:row>
          <xdr:rowOff>0</xdr:rowOff>
        </xdr:from>
        <xdr:to>
          <xdr:col>6</xdr:col>
          <xdr:colOff>0</xdr:colOff>
          <xdr:row>66</xdr:row>
          <xdr:rowOff>0</xdr:rowOff>
        </xdr:to>
        <xdr:sp macro="" textlink="">
          <xdr:nvSpPr>
            <xdr:cNvPr id="67599" name="Option Button 15" hidden="1">
              <a:extLst>
                <a:ext uri="{63B3BB69-23CF-44E3-9099-C40C66FF867C}">
                  <a14:compatExt spid="_x0000_s67599"/>
                </a:ext>
                <a:ext uri="{FF2B5EF4-FFF2-40B4-BE49-F238E27FC236}">
                  <a16:creationId xmlns:a16="http://schemas.microsoft.com/office/drawing/2014/main" id="{00000000-0008-0000-2C00-00000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65</xdr:row>
          <xdr:rowOff>0</xdr:rowOff>
        </xdr:from>
        <xdr:to>
          <xdr:col>6</xdr:col>
          <xdr:colOff>323850</xdr:colOff>
          <xdr:row>67</xdr:row>
          <xdr:rowOff>165100</xdr:rowOff>
        </xdr:to>
        <xdr:sp macro="" textlink="">
          <xdr:nvSpPr>
            <xdr:cNvPr id="67600" name="Group Box 16" hidden="1">
              <a:extLst>
                <a:ext uri="{63B3BB69-23CF-44E3-9099-C40C66FF867C}">
                  <a14:compatExt spid="_x0000_s67600"/>
                </a:ext>
                <a:ext uri="{FF2B5EF4-FFF2-40B4-BE49-F238E27FC236}">
                  <a16:creationId xmlns:a16="http://schemas.microsoft.com/office/drawing/2014/main" id="{00000000-0008-0000-2C00-000010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95250</xdr:colOff>
          <xdr:row>70</xdr:row>
          <xdr:rowOff>0</xdr:rowOff>
        </xdr:from>
        <xdr:to>
          <xdr:col>2</xdr:col>
          <xdr:colOff>88900</xdr:colOff>
          <xdr:row>71</xdr:row>
          <xdr:rowOff>76200</xdr:rowOff>
        </xdr:to>
        <xdr:sp macro="" textlink="">
          <xdr:nvSpPr>
            <xdr:cNvPr id="67602" name="OptionButton7" hidden="1">
              <a:extLst>
                <a:ext uri="{63B3BB69-23CF-44E3-9099-C40C66FF867C}">
                  <a14:compatExt spid="_x0000_s67602"/>
                </a:ext>
                <a:ext uri="{FF2B5EF4-FFF2-40B4-BE49-F238E27FC236}">
                  <a16:creationId xmlns:a16="http://schemas.microsoft.com/office/drawing/2014/main" id="{00000000-0008-0000-2C00-000012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317500</xdr:colOff>
          <xdr:row>68</xdr:row>
          <xdr:rowOff>209550</xdr:rowOff>
        </xdr:from>
        <xdr:to>
          <xdr:col>3</xdr:col>
          <xdr:colOff>1352550</xdr:colOff>
          <xdr:row>72</xdr:row>
          <xdr:rowOff>12700</xdr:rowOff>
        </xdr:to>
        <xdr:sp macro="" textlink="">
          <xdr:nvSpPr>
            <xdr:cNvPr id="67604" name="Group Box 20" hidden="1">
              <a:extLst>
                <a:ext uri="{63B3BB69-23CF-44E3-9099-C40C66FF867C}">
                  <a14:compatExt spid="_x0000_s67604"/>
                </a:ext>
                <a:ext uri="{FF2B5EF4-FFF2-40B4-BE49-F238E27FC236}">
                  <a16:creationId xmlns:a16="http://schemas.microsoft.com/office/drawing/2014/main" id="{00000000-0008-0000-2C00-000014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889000</xdr:colOff>
          <xdr:row>37</xdr:row>
          <xdr:rowOff>127000</xdr:rowOff>
        </xdr:from>
        <xdr:to>
          <xdr:col>3</xdr:col>
          <xdr:colOff>889000</xdr:colOff>
          <xdr:row>38</xdr:row>
          <xdr:rowOff>127000</xdr:rowOff>
        </xdr:to>
        <xdr:sp macro="" textlink="">
          <xdr:nvSpPr>
            <xdr:cNvPr id="67605" name="Option Button 21" hidden="1">
              <a:extLst>
                <a:ext uri="{63B3BB69-23CF-44E3-9099-C40C66FF867C}">
                  <a14:compatExt spid="_x0000_s67605"/>
                </a:ext>
                <a:ext uri="{FF2B5EF4-FFF2-40B4-BE49-F238E27FC236}">
                  <a16:creationId xmlns:a16="http://schemas.microsoft.com/office/drawing/2014/main" id="{00000000-0008-0000-2C00-000015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WEIGH IN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1060450</xdr:colOff>
          <xdr:row>37</xdr:row>
          <xdr:rowOff>69850</xdr:rowOff>
        </xdr:from>
        <xdr:to>
          <xdr:col>3</xdr:col>
          <xdr:colOff>1308100</xdr:colOff>
          <xdr:row>38</xdr:row>
          <xdr:rowOff>69850</xdr:rowOff>
        </xdr:to>
        <xdr:sp macro="" textlink="">
          <xdr:nvSpPr>
            <xdr:cNvPr id="67606" name="Option Button 22" hidden="1">
              <a:extLst>
                <a:ext uri="{63B3BB69-23CF-44E3-9099-C40C66FF867C}">
                  <a14:compatExt spid="_x0000_s67606"/>
                </a:ext>
                <a:ext uri="{FF2B5EF4-FFF2-40B4-BE49-F238E27FC236}">
                  <a16:creationId xmlns:a16="http://schemas.microsoft.com/office/drawing/2014/main" id="{00000000-0008-0000-2C00-00001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SUPERHEAT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209550</xdr:colOff>
          <xdr:row>37</xdr:row>
          <xdr:rowOff>69850</xdr:rowOff>
        </xdr:from>
        <xdr:to>
          <xdr:col>5</xdr:col>
          <xdr:colOff>622300</xdr:colOff>
          <xdr:row>38</xdr:row>
          <xdr:rowOff>69850</xdr:rowOff>
        </xdr:to>
        <xdr:sp macro="" textlink="">
          <xdr:nvSpPr>
            <xdr:cNvPr id="67607" name="Option Button 23" hidden="1">
              <a:extLst>
                <a:ext uri="{63B3BB69-23CF-44E3-9099-C40C66FF867C}">
                  <a14:compatExt spid="_x0000_s67607"/>
                </a:ext>
                <a:ext uri="{FF2B5EF4-FFF2-40B4-BE49-F238E27FC236}">
                  <a16:creationId xmlns:a16="http://schemas.microsoft.com/office/drawing/2014/main" id="{00000000-0008-0000-2C00-00001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SUBCOOLING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533400</xdr:colOff>
          <xdr:row>36</xdr:row>
          <xdr:rowOff>266700</xdr:rowOff>
        </xdr:from>
        <xdr:to>
          <xdr:col>14</xdr:col>
          <xdr:colOff>381000</xdr:colOff>
          <xdr:row>39</xdr:row>
          <xdr:rowOff>50800</xdr:rowOff>
        </xdr:to>
        <xdr:sp macro="" textlink="">
          <xdr:nvSpPr>
            <xdr:cNvPr id="67609" name="Group Box 25" hidden="1">
              <a:extLst>
                <a:ext uri="{63B3BB69-23CF-44E3-9099-C40C66FF867C}">
                  <a14:compatExt spid="_x0000_s67609"/>
                </a:ext>
                <a:ext uri="{FF2B5EF4-FFF2-40B4-BE49-F238E27FC236}">
                  <a16:creationId xmlns:a16="http://schemas.microsoft.com/office/drawing/2014/main" id="{00000000-0008-0000-2C00-00001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56</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69850</xdr:colOff>
          <xdr:row>45</xdr:row>
          <xdr:rowOff>0</xdr:rowOff>
        </xdr:from>
        <xdr:to>
          <xdr:col>2</xdr:col>
          <xdr:colOff>57150</xdr:colOff>
          <xdr:row>46</xdr:row>
          <xdr:rowOff>76200</xdr:rowOff>
        </xdr:to>
        <xdr:sp macro="" textlink="">
          <xdr:nvSpPr>
            <xdr:cNvPr id="67611" name="OptionButton10" hidden="1">
              <a:extLst>
                <a:ext uri="{63B3BB69-23CF-44E3-9099-C40C66FF867C}">
                  <a14:compatExt spid="_x0000_s67611"/>
                </a:ext>
                <a:ext uri="{FF2B5EF4-FFF2-40B4-BE49-F238E27FC236}">
                  <a16:creationId xmlns:a16="http://schemas.microsoft.com/office/drawing/2014/main" id="{00000000-0008-0000-2C00-00001B080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571500</xdr:colOff>
          <xdr:row>42</xdr:row>
          <xdr:rowOff>209550</xdr:rowOff>
        </xdr:from>
        <xdr:to>
          <xdr:col>3</xdr:col>
          <xdr:colOff>1352550</xdr:colOff>
          <xdr:row>46</xdr:row>
          <xdr:rowOff>12700</xdr:rowOff>
        </xdr:to>
        <xdr:sp macro="" textlink="">
          <xdr:nvSpPr>
            <xdr:cNvPr id="67613" name="Group Box 29" hidden="1">
              <a:extLst>
                <a:ext uri="{63B3BB69-23CF-44E3-9099-C40C66FF867C}">
                  <a14:compatExt spid="_x0000_s67613"/>
                </a:ext>
                <a:ext uri="{FF2B5EF4-FFF2-40B4-BE49-F238E27FC236}">
                  <a16:creationId xmlns:a16="http://schemas.microsoft.com/office/drawing/2014/main" id="{00000000-0008-0000-2C00-00001D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67679" name="Check Box 95" hidden="1">
              <a:extLst>
                <a:ext uri="{63B3BB69-23CF-44E3-9099-C40C66FF867C}">
                  <a14:compatExt spid="_x0000_s67679"/>
                </a:ext>
                <a:ext uri="{FF2B5EF4-FFF2-40B4-BE49-F238E27FC236}">
                  <a16:creationId xmlns:a16="http://schemas.microsoft.com/office/drawing/2014/main" id="{00000000-0008-0000-2C00-00005F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1003300</xdr:colOff>
          <xdr:row>9</xdr:row>
          <xdr:rowOff>114300</xdr:rowOff>
        </xdr:from>
        <xdr:to>
          <xdr:col>4</xdr:col>
          <xdr:colOff>285750</xdr:colOff>
          <xdr:row>9</xdr:row>
          <xdr:rowOff>190500</xdr:rowOff>
        </xdr:to>
        <xdr:sp macro="" textlink="">
          <xdr:nvSpPr>
            <xdr:cNvPr id="67680" name="Check Box 96" hidden="1">
              <a:extLst>
                <a:ext uri="{63B3BB69-23CF-44E3-9099-C40C66FF867C}">
                  <a14:compatExt spid="_x0000_s67680"/>
                </a:ext>
                <a:ext uri="{FF2B5EF4-FFF2-40B4-BE49-F238E27FC236}">
                  <a16:creationId xmlns:a16="http://schemas.microsoft.com/office/drawing/2014/main" id="{00000000-0008-0000-2C00-000060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31750</xdr:colOff>
          <xdr:row>9</xdr:row>
          <xdr:rowOff>127000</xdr:rowOff>
        </xdr:from>
        <xdr:to>
          <xdr:col>3</xdr:col>
          <xdr:colOff>1028700</xdr:colOff>
          <xdr:row>9</xdr:row>
          <xdr:rowOff>393700</xdr:rowOff>
        </xdr:to>
        <xdr:sp macro="" textlink="">
          <xdr:nvSpPr>
            <xdr:cNvPr id="67682" name="Check Box 98" hidden="1">
              <a:extLst>
                <a:ext uri="{63B3BB69-23CF-44E3-9099-C40C66FF867C}">
                  <a14:compatExt spid="_x0000_s67682"/>
                </a:ext>
                <a:ext uri="{FF2B5EF4-FFF2-40B4-BE49-F238E27FC236}">
                  <a16:creationId xmlns:a16="http://schemas.microsoft.com/office/drawing/2014/main" id="{00000000-0008-0000-2C00-000062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927100</xdr:colOff>
          <xdr:row>9</xdr:row>
          <xdr:rowOff>114300</xdr:rowOff>
        </xdr:from>
        <xdr:to>
          <xdr:col>3</xdr:col>
          <xdr:colOff>0</xdr:colOff>
          <xdr:row>9</xdr:row>
          <xdr:rowOff>374650</xdr:rowOff>
        </xdr:to>
        <xdr:sp macro="" textlink="">
          <xdr:nvSpPr>
            <xdr:cNvPr id="67683" name="Check Box 99" hidden="1">
              <a:extLst>
                <a:ext uri="{63B3BB69-23CF-44E3-9099-C40C66FF867C}">
                  <a14:compatExt spid="_x0000_s67683"/>
                </a:ext>
                <a:ext uri="{FF2B5EF4-FFF2-40B4-BE49-F238E27FC236}">
                  <a16:creationId xmlns:a16="http://schemas.microsoft.com/office/drawing/2014/main" id="{00000000-0008-0000-2C00-000063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9</xdr:row>
          <xdr:rowOff>114300</xdr:rowOff>
        </xdr:from>
        <xdr:to>
          <xdr:col>1</xdr:col>
          <xdr:colOff>450850</xdr:colOff>
          <xdr:row>9</xdr:row>
          <xdr:rowOff>381000</xdr:rowOff>
        </xdr:to>
        <xdr:sp macro="" textlink="">
          <xdr:nvSpPr>
            <xdr:cNvPr id="67684" name="Check Box 100" hidden="1">
              <a:extLst>
                <a:ext uri="{63B3BB69-23CF-44E3-9099-C40C66FF867C}">
                  <a14:compatExt spid="_x0000_s67684"/>
                </a:ext>
                <a:ext uri="{FF2B5EF4-FFF2-40B4-BE49-F238E27FC236}">
                  <a16:creationId xmlns:a16="http://schemas.microsoft.com/office/drawing/2014/main" id="{00000000-0008-0000-2C00-000064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50800</xdr:colOff>
          <xdr:row>96</xdr:row>
          <xdr:rowOff>0</xdr:rowOff>
        </xdr:from>
        <xdr:to>
          <xdr:col>3</xdr:col>
          <xdr:colOff>1352550</xdr:colOff>
          <xdr:row>100</xdr:row>
          <xdr:rowOff>146050</xdr:rowOff>
        </xdr:to>
        <xdr:sp macro="" textlink="">
          <xdr:nvSpPr>
            <xdr:cNvPr id="67685" name="Group Box 101" hidden="1">
              <a:extLst>
                <a:ext uri="{63B3BB69-23CF-44E3-9099-C40C66FF867C}">
                  <a14:compatExt spid="_x0000_s67685"/>
                </a:ext>
                <a:ext uri="{FF2B5EF4-FFF2-40B4-BE49-F238E27FC236}">
                  <a16:creationId xmlns:a16="http://schemas.microsoft.com/office/drawing/2014/main" id="{00000000-0008-0000-2C00-000065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103</xdr:row>
          <xdr:rowOff>0</xdr:rowOff>
        </xdr:from>
        <xdr:to>
          <xdr:col>5</xdr:col>
          <xdr:colOff>50800</xdr:colOff>
          <xdr:row>104</xdr:row>
          <xdr:rowOff>50800</xdr:rowOff>
        </xdr:to>
        <xdr:sp macro="" textlink="">
          <xdr:nvSpPr>
            <xdr:cNvPr id="67686" name="Option Button 102" hidden="1">
              <a:extLst>
                <a:ext uri="{63B3BB69-23CF-44E3-9099-C40C66FF867C}">
                  <a14:compatExt spid="_x0000_s67686"/>
                </a:ext>
                <a:ext uri="{FF2B5EF4-FFF2-40B4-BE49-F238E27FC236}">
                  <a16:creationId xmlns:a16="http://schemas.microsoft.com/office/drawing/2014/main" id="{00000000-0008-0000-2C00-000066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103</xdr:row>
          <xdr:rowOff>12700</xdr:rowOff>
        </xdr:from>
        <xdr:to>
          <xdr:col>6</xdr:col>
          <xdr:colOff>0</xdr:colOff>
          <xdr:row>104</xdr:row>
          <xdr:rowOff>12700</xdr:rowOff>
        </xdr:to>
        <xdr:sp macro="" textlink="">
          <xdr:nvSpPr>
            <xdr:cNvPr id="67687" name="Option Button 103" hidden="1">
              <a:extLst>
                <a:ext uri="{63B3BB69-23CF-44E3-9099-C40C66FF867C}">
                  <a14:compatExt spid="_x0000_s67687"/>
                </a:ext>
                <a:ext uri="{FF2B5EF4-FFF2-40B4-BE49-F238E27FC236}">
                  <a16:creationId xmlns:a16="http://schemas.microsoft.com/office/drawing/2014/main" id="{00000000-0008-0000-2C00-000067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361950</xdr:colOff>
          <xdr:row>102</xdr:row>
          <xdr:rowOff>12700</xdr:rowOff>
        </xdr:from>
        <xdr:to>
          <xdr:col>6</xdr:col>
          <xdr:colOff>533400</xdr:colOff>
          <xdr:row>104</xdr:row>
          <xdr:rowOff>165100</xdr:rowOff>
        </xdr:to>
        <xdr:sp macro="" textlink="">
          <xdr:nvSpPr>
            <xdr:cNvPr id="67688" name="Group Box 104" hidden="1">
              <a:extLst>
                <a:ext uri="{63B3BB69-23CF-44E3-9099-C40C66FF867C}">
                  <a14:compatExt spid="_x0000_s67688"/>
                </a:ext>
                <a:ext uri="{FF2B5EF4-FFF2-40B4-BE49-F238E27FC236}">
                  <a16:creationId xmlns:a16="http://schemas.microsoft.com/office/drawing/2014/main" id="{00000000-0008-0000-2C00-000068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374650</xdr:colOff>
          <xdr:row>96</xdr:row>
          <xdr:rowOff>76200</xdr:rowOff>
        </xdr:from>
        <xdr:to>
          <xdr:col>3</xdr:col>
          <xdr:colOff>1352550</xdr:colOff>
          <xdr:row>100</xdr:row>
          <xdr:rowOff>38100</xdr:rowOff>
        </xdr:to>
        <xdr:sp macro="" textlink="">
          <xdr:nvSpPr>
            <xdr:cNvPr id="67689" name="Group Box 105" hidden="1">
              <a:extLst>
                <a:ext uri="{63B3BB69-23CF-44E3-9099-C40C66FF867C}">
                  <a14:compatExt spid="_x0000_s67689"/>
                </a:ext>
                <a:ext uri="{FF2B5EF4-FFF2-40B4-BE49-F238E27FC236}">
                  <a16:creationId xmlns:a16="http://schemas.microsoft.com/office/drawing/2014/main" id="{00000000-0008-0000-2C00-000069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39</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419100</xdr:colOff>
          <xdr:row>106</xdr:row>
          <xdr:rowOff>0</xdr:rowOff>
        </xdr:from>
        <xdr:to>
          <xdr:col>5</xdr:col>
          <xdr:colOff>50800</xdr:colOff>
          <xdr:row>107</xdr:row>
          <xdr:rowOff>50800</xdr:rowOff>
        </xdr:to>
        <xdr:sp macro="" textlink="">
          <xdr:nvSpPr>
            <xdr:cNvPr id="67690" name="Option Button 106" hidden="1">
              <a:extLst>
                <a:ext uri="{63B3BB69-23CF-44E3-9099-C40C66FF867C}">
                  <a14:compatExt spid="_x0000_s67690"/>
                </a:ext>
                <a:ext uri="{FF2B5EF4-FFF2-40B4-BE49-F238E27FC236}">
                  <a16:creationId xmlns:a16="http://schemas.microsoft.com/office/drawing/2014/main" id="{00000000-0008-0000-2C00-00006A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571500</xdr:colOff>
          <xdr:row>106</xdr:row>
          <xdr:rowOff>12700</xdr:rowOff>
        </xdr:from>
        <xdr:to>
          <xdr:col>6</xdr:col>
          <xdr:colOff>0</xdr:colOff>
          <xdr:row>107</xdr:row>
          <xdr:rowOff>12700</xdr:rowOff>
        </xdr:to>
        <xdr:sp macro="" textlink="">
          <xdr:nvSpPr>
            <xdr:cNvPr id="67691" name="Option Button 107" hidden="1">
              <a:extLst>
                <a:ext uri="{63B3BB69-23CF-44E3-9099-C40C66FF867C}">
                  <a14:compatExt spid="_x0000_s67691"/>
                </a:ext>
                <a:ext uri="{FF2B5EF4-FFF2-40B4-BE49-F238E27FC236}">
                  <a16:creationId xmlns:a16="http://schemas.microsoft.com/office/drawing/2014/main" id="{00000000-0008-0000-2C00-00006B0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266700</xdr:colOff>
          <xdr:row>105</xdr:row>
          <xdr:rowOff>69850</xdr:rowOff>
        </xdr:from>
        <xdr:to>
          <xdr:col>6</xdr:col>
          <xdr:colOff>323850</xdr:colOff>
          <xdr:row>108</xdr:row>
          <xdr:rowOff>50800</xdr:rowOff>
        </xdr:to>
        <xdr:sp macro="" textlink="">
          <xdr:nvSpPr>
            <xdr:cNvPr id="67692" name="Group Box 108" hidden="1">
              <a:extLst>
                <a:ext uri="{63B3BB69-23CF-44E3-9099-C40C66FF867C}">
                  <a14:compatExt spid="_x0000_s67692"/>
                </a:ext>
                <a:ext uri="{FF2B5EF4-FFF2-40B4-BE49-F238E27FC236}">
                  <a16:creationId xmlns:a16="http://schemas.microsoft.com/office/drawing/2014/main" id="{00000000-0008-0000-2C00-00006C0801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22860" rIns="0" bIns="0" anchor="t" upright="1"/>
            <a:lstStyle/>
            <a:p>
              <a:pPr algn="l" rtl="0">
                <a:defRPr sz="1000"/>
              </a:pPr>
              <a:r>
                <a:rPr lang="en-US" sz="800" b="0" i="0" u="none" strike="noStrike" baseline="0">
                  <a:solidFill>
                    <a:srgbClr val="000000"/>
                  </a:solidFill>
                  <a:latin typeface="Tahoma"/>
                  <a:ea typeface="Tahoma"/>
                  <a:cs typeface="Tahoma"/>
                </a:rPr>
                <a:t>Group Box 42</a:t>
              </a:r>
            </a:p>
          </xdr:txBody>
        </xdr:sp>
        <xdr:clientData/>
      </xdr:twoCellAnchor>
    </mc:Choice>
    <mc:Fallback/>
  </mc:AlternateContent>
  <xdr:twoCellAnchor editAs="oneCell">
    <xdr:from>
      <xdr:col>11</xdr:col>
      <xdr:colOff>612965</xdr:colOff>
      <xdr:row>0</xdr:row>
      <xdr:rowOff>0</xdr:rowOff>
    </xdr:from>
    <xdr:to>
      <xdr:col>15</xdr:col>
      <xdr:colOff>0</xdr:colOff>
      <xdr:row>1</xdr:row>
      <xdr:rowOff>69596</xdr:rowOff>
    </xdr:to>
    <xdr:pic>
      <xdr:nvPicPr>
        <xdr:cNvPr id="37" name="Picture 36" descr="PSEGLI_2c_v">
          <a:extLst>
            <a:ext uri="{FF2B5EF4-FFF2-40B4-BE49-F238E27FC236}">
              <a16:creationId xmlns:a16="http://schemas.microsoft.com/office/drawing/2014/main" id="{00000000-0008-0000-2C00-000025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10667132" y="0"/>
          <a:ext cx="2657285" cy="768096"/>
        </a:xfrm>
        <a:prstGeom prst="rect">
          <a:avLst/>
        </a:prstGeom>
        <a:noFill/>
        <a:ln>
          <a:noFill/>
        </a:ln>
      </xdr:spPr>
    </xdr:pic>
    <xdr:clientData/>
  </xdr:twoCellAnchor>
</xdr:wsDr>
</file>

<file path=xl/drawings/drawing4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57150</xdr:colOff>
          <xdr:row>12</xdr:row>
          <xdr:rowOff>0</xdr:rowOff>
        </xdr:from>
        <xdr:to>
          <xdr:col>4</xdr:col>
          <xdr:colOff>495300</xdr:colOff>
          <xdr:row>13</xdr:row>
          <xdr:rowOff>0</xdr:rowOff>
        </xdr:to>
        <xdr:sp macro="" textlink="">
          <xdr:nvSpPr>
            <xdr:cNvPr id="26626" name="Check Box 2" hidden="1">
              <a:extLst>
                <a:ext uri="{63B3BB69-23CF-44E3-9099-C40C66FF867C}">
                  <a14:compatExt spid="_x0000_s26626"/>
                </a:ext>
                <a:ext uri="{FF2B5EF4-FFF2-40B4-BE49-F238E27FC236}">
                  <a16:creationId xmlns:a16="http://schemas.microsoft.com/office/drawing/2014/main" id="{00000000-0008-0000-2D00-000002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Airflow and Charge testing is not applicable due to installation type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57150</xdr:colOff>
          <xdr:row>12</xdr:row>
          <xdr:rowOff>342900</xdr:rowOff>
        </xdr:from>
        <xdr:to>
          <xdr:col>2</xdr:col>
          <xdr:colOff>603250</xdr:colOff>
          <xdr:row>14</xdr:row>
          <xdr:rowOff>0</xdr:rowOff>
        </xdr:to>
        <xdr:sp macro="" textlink="">
          <xdr:nvSpPr>
            <xdr:cNvPr id="26627" name="Check Box 3" hidden="1">
              <a:extLst>
                <a:ext uri="{63B3BB69-23CF-44E3-9099-C40C66FF867C}">
                  <a14:compatExt spid="_x0000_s26627"/>
                </a:ext>
                <a:ext uri="{FF2B5EF4-FFF2-40B4-BE49-F238E27FC236}">
                  <a16:creationId xmlns:a16="http://schemas.microsoft.com/office/drawing/2014/main" id="{00000000-0008-0000-2D00-000003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Airflow complete.  See attached.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152400</xdr:colOff>
          <xdr:row>23</xdr:row>
          <xdr:rowOff>88900</xdr:rowOff>
        </xdr:from>
        <xdr:to>
          <xdr:col>8</xdr:col>
          <xdr:colOff>469900</xdr:colOff>
          <xdr:row>24</xdr:row>
          <xdr:rowOff>88900</xdr:rowOff>
        </xdr:to>
        <xdr:sp macro="" textlink="">
          <xdr:nvSpPr>
            <xdr:cNvPr id="26628" name="Option Button 4" hidden="1">
              <a:extLst>
                <a:ext uri="{63B3BB69-23CF-44E3-9099-C40C66FF867C}">
                  <a14:compatExt spid="_x0000_s26628"/>
                </a:ext>
                <a:ext uri="{FF2B5EF4-FFF2-40B4-BE49-F238E27FC236}">
                  <a16:creationId xmlns:a16="http://schemas.microsoft.com/office/drawing/2014/main" id="{00000000-0008-0000-2D00-000004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Check mailed to my Home Address or Mailing Address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24</xdr:row>
          <xdr:rowOff>38100</xdr:rowOff>
        </xdr:from>
        <xdr:to>
          <xdr:col>3</xdr:col>
          <xdr:colOff>0</xdr:colOff>
          <xdr:row>25</xdr:row>
          <xdr:rowOff>69850</xdr:rowOff>
        </xdr:to>
        <xdr:sp macro="" textlink="">
          <xdr:nvSpPr>
            <xdr:cNvPr id="26629" name="Option Button 5" hidden="1">
              <a:extLst>
                <a:ext uri="{63B3BB69-23CF-44E3-9099-C40C66FF867C}">
                  <a14:compatExt spid="_x0000_s26629"/>
                </a:ext>
                <a:ext uri="{FF2B5EF4-FFF2-40B4-BE49-F238E27FC236}">
                  <a16:creationId xmlns:a16="http://schemas.microsoft.com/office/drawing/2014/main" id="{00000000-0008-0000-2D00-000005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 to my installation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23</xdr:row>
          <xdr:rowOff>114300</xdr:rowOff>
        </xdr:from>
        <xdr:to>
          <xdr:col>4</xdr:col>
          <xdr:colOff>12700</xdr:colOff>
          <xdr:row>24</xdr:row>
          <xdr:rowOff>57150</xdr:rowOff>
        </xdr:to>
        <xdr:sp macro="" textlink="">
          <xdr:nvSpPr>
            <xdr:cNvPr id="26630" name="Option Button 6" hidden="1">
              <a:extLst>
                <a:ext uri="{63B3BB69-23CF-44E3-9099-C40C66FF867C}">
                  <a14:compatExt spid="_x0000_s26630"/>
                </a:ext>
                <a:ext uri="{FF2B5EF4-FFF2-40B4-BE49-F238E27FC236}">
                  <a16:creationId xmlns:a16="http://schemas.microsoft.com/office/drawing/2014/main" id="{00000000-0008-0000-2D00-0000066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Credited to my PSEG Long Island electric account</a:t>
              </a:r>
            </a:p>
          </xdr:txBody>
        </xdr:sp>
        <xdr:clientData/>
      </xdr:twoCellAnchor>
    </mc:Choice>
    <mc:Fallback/>
  </mc:AlternateContent>
  <xdr:twoCellAnchor editAs="oneCell">
    <xdr:from>
      <xdr:col>8</xdr:col>
      <xdr:colOff>685990</xdr:colOff>
      <xdr:row>0</xdr:row>
      <xdr:rowOff>0</xdr:rowOff>
    </xdr:from>
    <xdr:to>
      <xdr:col>12</xdr:col>
      <xdr:colOff>0</xdr:colOff>
      <xdr:row>1</xdr:row>
      <xdr:rowOff>2921</xdr:rowOff>
    </xdr:to>
    <xdr:pic>
      <xdr:nvPicPr>
        <xdr:cNvPr id="8" name="Picture 7" descr="PSEGLI_2c_v">
          <a:extLst>
            <a:ext uri="{FF2B5EF4-FFF2-40B4-BE49-F238E27FC236}">
              <a16:creationId xmlns:a16="http://schemas.microsoft.com/office/drawing/2014/main" id="{00000000-0008-0000-2D00-000008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rcRect l="7693" t="21359" r="8058"/>
        <a:stretch>
          <a:fillRect/>
        </a:stretch>
      </xdr:blipFill>
      <xdr:spPr bwMode="auto">
        <a:xfrm>
          <a:off x="6801040" y="0"/>
          <a:ext cx="2657285" cy="764921"/>
        </a:xfrm>
        <a:prstGeom prst="rect">
          <a:avLst/>
        </a:prstGeom>
        <a:noFill/>
        <a:ln>
          <a:noFill/>
        </a:ln>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2</xdr:col>
      <xdr:colOff>111309</xdr:colOff>
      <xdr:row>1</xdr:row>
      <xdr:rowOff>755556</xdr:rowOff>
    </xdr:to>
    <xdr:pic>
      <xdr:nvPicPr>
        <xdr:cNvPr id="2" name="Picture 1">
          <a:extLst>
            <a:ext uri="{FF2B5EF4-FFF2-40B4-BE49-F238E27FC236}">
              <a16:creationId xmlns:a16="http://schemas.microsoft.com/office/drawing/2014/main" id="{00000000-0008-0000-2E00-000002000000}"/>
            </a:ext>
          </a:extLst>
        </xdr:cNvPr>
        <xdr:cNvPicPr>
          <a:picLocks noChangeAspect="1"/>
        </xdr:cNvPicPr>
      </xdr:nvPicPr>
      <xdr:blipFill>
        <a:blip xmlns:r="http://schemas.openxmlformats.org/officeDocument/2006/relationships" r:embed="rId1"/>
        <a:stretch>
          <a:fillRect/>
        </a:stretch>
      </xdr:blipFill>
      <xdr:spPr>
        <a:xfrm>
          <a:off x="0" y="762000"/>
          <a:ext cx="2311024" cy="752381"/>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0</xdr:colOff>
          <xdr:row>48</xdr:row>
          <xdr:rowOff>165100</xdr:rowOff>
        </xdr:from>
        <xdr:to>
          <xdr:col>4</xdr:col>
          <xdr:colOff>304800</xdr:colOff>
          <xdr:row>49</xdr:row>
          <xdr:rowOff>190500</xdr:rowOff>
        </xdr:to>
        <xdr:sp macro="" textlink="">
          <xdr:nvSpPr>
            <xdr:cNvPr id="203777" name="Check Box 1" hidden="1">
              <a:extLst>
                <a:ext uri="{63B3BB69-23CF-44E3-9099-C40C66FF867C}">
                  <a14:compatExt spid="_x0000_s203777"/>
                </a:ext>
                <a:ext uri="{FF2B5EF4-FFF2-40B4-BE49-F238E27FC236}">
                  <a16:creationId xmlns:a16="http://schemas.microsoft.com/office/drawing/2014/main" id="{00000000-0008-0000-2E00-000001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 I have received a copy of the Comprehensive Home Energy Assessment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1289050</xdr:colOff>
          <xdr:row>52</xdr:row>
          <xdr:rowOff>88900</xdr:rowOff>
        </xdr:from>
        <xdr:to>
          <xdr:col>4</xdr:col>
          <xdr:colOff>304800</xdr:colOff>
          <xdr:row>52</xdr:row>
          <xdr:rowOff>393700</xdr:rowOff>
        </xdr:to>
        <xdr:sp macro="" textlink="">
          <xdr:nvSpPr>
            <xdr:cNvPr id="203778" name="Option Button 2" hidden="1">
              <a:extLst>
                <a:ext uri="{63B3BB69-23CF-44E3-9099-C40C66FF867C}">
                  <a14:compatExt spid="_x0000_s203778"/>
                </a:ext>
                <a:ext uri="{FF2B5EF4-FFF2-40B4-BE49-F238E27FC236}">
                  <a16:creationId xmlns:a16="http://schemas.microsoft.com/office/drawing/2014/main" id="{00000000-0008-0000-2E00-000002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Credited to my PSEG Long Island electric account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52</xdr:row>
          <xdr:rowOff>381000</xdr:rowOff>
        </xdr:from>
        <xdr:to>
          <xdr:col>4</xdr:col>
          <xdr:colOff>88900</xdr:colOff>
          <xdr:row>53</xdr:row>
          <xdr:rowOff>88900</xdr:rowOff>
        </xdr:to>
        <xdr:sp macro="" textlink="">
          <xdr:nvSpPr>
            <xdr:cNvPr id="203779" name="Option Button 3" hidden="1">
              <a:extLst>
                <a:ext uri="{63B3BB69-23CF-44E3-9099-C40C66FF867C}">
                  <a14:compatExt spid="_x0000_s203779"/>
                </a:ext>
                <a:ext uri="{FF2B5EF4-FFF2-40B4-BE49-F238E27FC236}">
                  <a16:creationId xmlns:a16="http://schemas.microsoft.com/office/drawing/2014/main" id="{00000000-0008-0000-2E00-000003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Assigned to my Installation Contractor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241300</xdr:colOff>
          <xdr:row>52</xdr:row>
          <xdr:rowOff>133350</xdr:rowOff>
        </xdr:from>
        <xdr:to>
          <xdr:col>8</xdr:col>
          <xdr:colOff>114300</xdr:colOff>
          <xdr:row>52</xdr:row>
          <xdr:rowOff>336550</xdr:rowOff>
        </xdr:to>
        <xdr:sp macro="" textlink="">
          <xdr:nvSpPr>
            <xdr:cNvPr id="203780" name="Option Button 4" hidden="1">
              <a:extLst>
                <a:ext uri="{63B3BB69-23CF-44E3-9099-C40C66FF867C}">
                  <a14:compatExt spid="_x0000_s203780"/>
                </a:ext>
                <a:ext uri="{FF2B5EF4-FFF2-40B4-BE49-F238E27FC236}">
                  <a16:creationId xmlns:a16="http://schemas.microsoft.com/office/drawing/2014/main" id="{00000000-0008-0000-2E00-0000041C03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Check mailed to Home Address or Mailing Address</a:t>
              </a:r>
            </a:p>
          </xdr:txBody>
        </xdr:sp>
        <xdr:clientData/>
      </xdr:twoCellAnchor>
    </mc:Choice>
    <mc:Fallback/>
  </mc:AlternateContent>
  <xdr:twoCellAnchor editAs="oneCell">
    <xdr:from>
      <xdr:col>8</xdr:col>
      <xdr:colOff>663765</xdr:colOff>
      <xdr:row>0</xdr:row>
      <xdr:rowOff>0</xdr:rowOff>
    </xdr:from>
    <xdr:to>
      <xdr:col>12</xdr:col>
      <xdr:colOff>0</xdr:colOff>
      <xdr:row>1</xdr:row>
      <xdr:rowOff>2921</xdr:rowOff>
    </xdr:to>
    <xdr:pic>
      <xdr:nvPicPr>
        <xdr:cNvPr id="8" name="Picture 7" descr="PSEGLI_2c_v">
          <a:extLst>
            <a:ext uri="{FF2B5EF4-FFF2-40B4-BE49-F238E27FC236}">
              <a16:creationId xmlns:a16="http://schemas.microsoft.com/office/drawing/2014/main" id="{00000000-0008-0000-2E00-000008000000}"/>
            </a:ext>
          </a:extLst>
        </xdr:cNvPr>
        <xdr:cNvPicPr>
          <a:picLocks/>
        </xdr:cNvPicPr>
      </xdr:nvPicPr>
      <xdr:blipFill>
        <a:blip xmlns:r="http://schemas.openxmlformats.org/officeDocument/2006/relationships" r:embed="rId2">
          <a:extLst>
            <a:ext uri="{28A0092B-C50C-407E-A947-70E740481C1C}">
              <a14:useLocalDpi xmlns:a14="http://schemas.microsoft.com/office/drawing/2010/main" val="0"/>
            </a:ext>
          </a:extLst>
        </a:blip>
        <a:srcRect l="7693" t="21359" r="8058"/>
        <a:stretch>
          <a:fillRect/>
        </a:stretch>
      </xdr:blipFill>
      <xdr:spPr bwMode="auto">
        <a:xfrm>
          <a:off x="7407465" y="0"/>
          <a:ext cx="2660460" cy="764921"/>
        </a:xfrm>
        <a:prstGeom prst="rect">
          <a:avLst/>
        </a:prstGeom>
        <a:noFill/>
        <a:ln>
          <a:noFill/>
        </a:ln>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8</xdr:col>
      <xdr:colOff>952801</xdr:colOff>
      <xdr:row>0</xdr:row>
      <xdr:rowOff>66674</xdr:rowOff>
    </xdr:from>
    <xdr:to>
      <xdr:col>13</xdr:col>
      <xdr:colOff>202932</xdr:colOff>
      <xdr:row>0</xdr:row>
      <xdr:rowOff>733424</xdr:rowOff>
    </xdr:to>
    <xdr:pic>
      <xdr:nvPicPr>
        <xdr:cNvPr id="2" name="Picture 1">
          <a:extLst>
            <a:ext uri="{FF2B5EF4-FFF2-40B4-BE49-F238E27FC236}">
              <a16:creationId xmlns:a16="http://schemas.microsoft.com/office/drawing/2014/main" id="{00000000-0008-0000-3200-000002000000}"/>
            </a:ext>
          </a:extLst>
        </xdr:cNvPr>
        <xdr:cNvPicPr>
          <a:picLocks noChangeAspect="1"/>
        </xdr:cNvPicPr>
      </xdr:nvPicPr>
      <xdr:blipFill rotWithShape="1">
        <a:blip xmlns:r="http://schemas.openxmlformats.org/officeDocument/2006/relationships" r:embed="rId1"/>
        <a:srcRect b="27143"/>
        <a:stretch/>
      </xdr:blipFill>
      <xdr:spPr>
        <a:xfrm>
          <a:off x="7172626" y="69849"/>
          <a:ext cx="3269681" cy="663575"/>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241300</xdr:rowOff>
        </xdr:to>
        <xdr:sp macro="" textlink="">
          <xdr:nvSpPr>
            <xdr:cNvPr id="479233" name="Check Box 1" hidden="1">
              <a:extLst>
                <a:ext uri="{63B3BB69-23CF-44E3-9099-C40C66FF867C}">
                  <a14:compatExt spid="_x0000_s479233"/>
                </a:ext>
                <a:ext uri="{FF2B5EF4-FFF2-40B4-BE49-F238E27FC236}">
                  <a16:creationId xmlns:a16="http://schemas.microsoft.com/office/drawing/2014/main" id="{00000000-0008-0000-3200-000001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12700</xdr:rowOff>
        </xdr:from>
        <xdr:to>
          <xdr:col>2</xdr:col>
          <xdr:colOff>355600</xdr:colOff>
          <xdr:row>13</xdr:row>
          <xdr:rowOff>260350</xdr:rowOff>
        </xdr:to>
        <xdr:sp macro="" textlink="">
          <xdr:nvSpPr>
            <xdr:cNvPr id="479234" name="Check Box 2" hidden="1">
              <a:extLst>
                <a:ext uri="{63B3BB69-23CF-44E3-9099-C40C66FF867C}">
                  <a14:compatExt spid="_x0000_s479234"/>
                </a:ext>
                <a:ext uri="{FF2B5EF4-FFF2-40B4-BE49-F238E27FC236}">
                  <a16:creationId xmlns:a16="http://schemas.microsoft.com/office/drawing/2014/main" id="{00000000-0008-0000-3200-000002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12700</xdr:rowOff>
        </xdr:from>
        <xdr:to>
          <xdr:col>1</xdr:col>
          <xdr:colOff>698500</xdr:colOff>
          <xdr:row>15</xdr:row>
          <xdr:rowOff>241300</xdr:rowOff>
        </xdr:to>
        <xdr:sp macro="" textlink="">
          <xdr:nvSpPr>
            <xdr:cNvPr id="479235" name="Check Box 3" hidden="1">
              <a:extLst>
                <a:ext uri="{63B3BB69-23CF-44E3-9099-C40C66FF867C}">
                  <a14:compatExt spid="_x0000_s479235"/>
                </a:ext>
                <a:ext uri="{FF2B5EF4-FFF2-40B4-BE49-F238E27FC236}">
                  <a16:creationId xmlns:a16="http://schemas.microsoft.com/office/drawing/2014/main" id="{00000000-0008-0000-3200-000003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0</xdr:rowOff>
        </xdr:from>
        <xdr:to>
          <xdr:col>2</xdr:col>
          <xdr:colOff>355600</xdr:colOff>
          <xdr:row>15</xdr:row>
          <xdr:rowOff>247650</xdr:rowOff>
        </xdr:to>
        <xdr:sp macro="" textlink="">
          <xdr:nvSpPr>
            <xdr:cNvPr id="479236" name="Check Box 4" hidden="1">
              <a:extLst>
                <a:ext uri="{63B3BB69-23CF-44E3-9099-C40C66FF867C}">
                  <a14:compatExt spid="_x0000_s479236"/>
                </a:ext>
                <a:ext uri="{FF2B5EF4-FFF2-40B4-BE49-F238E27FC236}">
                  <a16:creationId xmlns:a16="http://schemas.microsoft.com/office/drawing/2014/main" id="{00000000-0008-0000-3200-000004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50800</xdr:rowOff>
        </xdr:from>
        <xdr:to>
          <xdr:col>1</xdr:col>
          <xdr:colOff>704850</xdr:colOff>
          <xdr:row>17</xdr:row>
          <xdr:rowOff>260350</xdr:rowOff>
        </xdr:to>
        <xdr:sp macro="" textlink="">
          <xdr:nvSpPr>
            <xdr:cNvPr id="479237" name="Check Box 5" hidden="1">
              <a:extLst>
                <a:ext uri="{63B3BB69-23CF-44E3-9099-C40C66FF867C}">
                  <a14:compatExt spid="_x0000_s479237"/>
                </a:ext>
                <a:ext uri="{FF2B5EF4-FFF2-40B4-BE49-F238E27FC236}">
                  <a16:creationId xmlns:a16="http://schemas.microsoft.com/office/drawing/2014/main" id="{00000000-0008-0000-3200-000005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17</xdr:row>
          <xdr:rowOff>31750</xdr:rowOff>
        </xdr:from>
        <xdr:to>
          <xdr:col>2</xdr:col>
          <xdr:colOff>355600</xdr:colOff>
          <xdr:row>17</xdr:row>
          <xdr:rowOff>298450</xdr:rowOff>
        </xdr:to>
        <xdr:sp macro="" textlink="">
          <xdr:nvSpPr>
            <xdr:cNvPr id="479238" name="Check Box 6" hidden="1">
              <a:extLst>
                <a:ext uri="{63B3BB69-23CF-44E3-9099-C40C66FF867C}">
                  <a14:compatExt spid="_x0000_s479238"/>
                </a:ext>
                <a:ext uri="{FF2B5EF4-FFF2-40B4-BE49-F238E27FC236}">
                  <a16:creationId xmlns:a16="http://schemas.microsoft.com/office/drawing/2014/main" id="{00000000-0008-0000-3200-0000065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4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127000</xdr:colOff>
          <xdr:row>36</xdr:row>
          <xdr:rowOff>127000</xdr:rowOff>
        </xdr:from>
        <xdr:to>
          <xdr:col>2</xdr:col>
          <xdr:colOff>0</xdr:colOff>
          <xdr:row>37</xdr:row>
          <xdr:rowOff>38100</xdr:rowOff>
        </xdr:to>
        <xdr:sp macro="" textlink="">
          <xdr:nvSpPr>
            <xdr:cNvPr id="480257" name="Option Button 1" hidden="1">
              <a:extLst>
                <a:ext uri="{63B3BB69-23CF-44E3-9099-C40C66FF867C}">
                  <a14:compatExt spid="_x0000_s480257"/>
                </a:ext>
                <a:ext uri="{FF2B5EF4-FFF2-40B4-BE49-F238E27FC236}">
                  <a16:creationId xmlns:a16="http://schemas.microsoft.com/office/drawing/2014/main" id="{00000000-0008-0000-3300-000001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New</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3486150</xdr:colOff>
          <xdr:row>36</xdr:row>
          <xdr:rowOff>127000</xdr:rowOff>
        </xdr:from>
        <xdr:to>
          <xdr:col>3</xdr:col>
          <xdr:colOff>88900</xdr:colOff>
          <xdr:row>37</xdr:row>
          <xdr:rowOff>0</xdr:rowOff>
        </xdr:to>
        <xdr:sp macro="" textlink="">
          <xdr:nvSpPr>
            <xdr:cNvPr id="480258" name="Option Button 2" hidden="1">
              <a:extLst>
                <a:ext uri="{63B3BB69-23CF-44E3-9099-C40C66FF867C}">
                  <a14:compatExt spid="_x0000_s480258"/>
                </a:ext>
                <a:ext uri="{FF2B5EF4-FFF2-40B4-BE49-F238E27FC236}">
                  <a16:creationId xmlns:a16="http://schemas.microsoft.com/office/drawing/2014/main" id="{00000000-0008-0000-3300-000002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Retrofit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35</xdr:row>
          <xdr:rowOff>0</xdr:rowOff>
        </xdr:from>
        <xdr:to>
          <xdr:col>4</xdr:col>
          <xdr:colOff>19050</xdr:colOff>
          <xdr:row>38</xdr:row>
          <xdr:rowOff>0</xdr:rowOff>
        </xdr:to>
        <xdr:sp macro="" textlink="">
          <xdr:nvSpPr>
            <xdr:cNvPr id="480259" name="Group Box 3" hidden="1">
              <a:extLst>
                <a:ext uri="{63B3BB69-23CF-44E3-9099-C40C66FF867C}">
                  <a14:compatExt spid="_x0000_s480259"/>
                </a:ext>
                <a:ext uri="{FF2B5EF4-FFF2-40B4-BE49-F238E27FC236}">
                  <a16:creationId xmlns:a16="http://schemas.microsoft.com/office/drawing/2014/main" id="{00000000-0008-0000-3300-0000035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528</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39</xdr:row>
          <xdr:rowOff>247650</xdr:rowOff>
        </xdr:from>
        <xdr:to>
          <xdr:col>2</xdr:col>
          <xdr:colOff>0</xdr:colOff>
          <xdr:row>40</xdr:row>
          <xdr:rowOff>228600</xdr:rowOff>
        </xdr:to>
        <xdr:sp macro="" textlink="">
          <xdr:nvSpPr>
            <xdr:cNvPr id="480260" name="Option Button 4" hidden="1">
              <a:extLst>
                <a:ext uri="{63B3BB69-23CF-44E3-9099-C40C66FF867C}">
                  <a14:compatExt spid="_x0000_s480260"/>
                </a:ext>
                <a:ext uri="{FF2B5EF4-FFF2-40B4-BE49-F238E27FC236}">
                  <a16:creationId xmlns:a16="http://schemas.microsoft.com/office/drawing/2014/main" id="{00000000-0008-0000-3300-000004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Pass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3486150</xdr:colOff>
          <xdr:row>39</xdr:row>
          <xdr:rowOff>247650</xdr:rowOff>
        </xdr:from>
        <xdr:to>
          <xdr:col>3</xdr:col>
          <xdr:colOff>88900</xdr:colOff>
          <xdr:row>41</xdr:row>
          <xdr:rowOff>0</xdr:rowOff>
        </xdr:to>
        <xdr:sp macro="" textlink="">
          <xdr:nvSpPr>
            <xdr:cNvPr id="480261" name="Option Button 5" hidden="1">
              <a:extLst>
                <a:ext uri="{63B3BB69-23CF-44E3-9099-C40C66FF867C}">
                  <a14:compatExt spid="_x0000_s480261"/>
                </a:ext>
                <a:ext uri="{FF2B5EF4-FFF2-40B4-BE49-F238E27FC236}">
                  <a16:creationId xmlns:a16="http://schemas.microsoft.com/office/drawing/2014/main" id="{00000000-0008-0000-3300-000005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Fail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38</xdr:row>
          <xdr:rowOff>260350</xdr:rowOff>
        </xdr:from>
        <xdr:to>
          <xdr:col>4</xdr:col>
          <xdr:colOff>19050</xdr:colOff>
          <xdr:row>42</xdr:row>
          <xdr:rowOff>0</xdr:rowOff>
        </xdr:to>
        <xdr:sp macro="" textlink="">
          <xdr:nvSpPr>
            <xdr:cNvPr id="480262" name="Group Box 6" hidden="1">
              <a:extLst>
                <a:ext uri="{63B3BB69-23CF-44E3-9099-C40C66FF867C}">
                  <a14:compatExt spid="_x0000_s480262"/>
                </a:ext>
                <a:ext uri="{FF2B5EF4-FFF2-40B4-BE49-F238E27FC236}">
                  <a16:creationId xmlns:a16="http://schemas.microsoft.com/office/drawing/2014/main" id="{00000000-0008-0000-3300-000006540700}"/>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36576" tIns="32004" rIns="0" bIns="0" anchor="t" upright="1"/>
            <a:lstStyle/>
            <a:p>
              <a:pPr algn="l" rtl="0">
                <a:defRPr sz="1000"/>
              </a:pPr>
              <a:r>
                <a:rPr lang="en-US" sz="800" b="0" i="0" u="none" strike="noStrike" baseline="0">
                  <a:solidFill>
                    <a:srgbClr val="000000"/>
                  </a:solidFill>
                  <a:latin typeface="Segoe UI"/>
                  <a:cs typeface="Segoe UI"/>
                </a:rPr>
                <a:t>Group Box 531</a:t>
              </a:r>
            </a:p>
          </xdr:txBody>
        </xdr:sp>
        <xdr:clientData/>
      </xdr:twoCellAnchor>
    </mc:Choice>
    <mc:Fallback/>
  </mc:AlternateContent>
  <xdr:oneCellAnchor>
    <xdr:from>
      <xdr:col>8</xdr:col>
      <xdr:colOff>684783</xdr:colOff>
      <xdr:row>0</xdr:row>
      <xdr:rowOff>130176</xdr:rowOff>
    </xdr:from>
    <xdr:ext cx="3318623" cy="676274"/>
    <xdr:pic>
      <xdr:nvPicPr>
        <xdr:cNvPr id="2" name="Picture 1">
          <a:extLst>
            <a:ext uri="{FF2B5EF4-FFF2-40B4-BE49-F238E27FC236}">
              <a16:creationId xmlns:a16="http://schemas.microsoft.com/office/drawing/2014/main" id="{00000000-0008-0000-3300-000002000000}"/>
            </a:ext>
          </a:extLst>
        </xdr:cNvPr>
        <xdr:cNvPicPr>
          <a:picLocks noChangeAspect="1"/>
        </xdr:cNvPicPr>
      </xdr:nvPicPr>
      <xdr:blipFill rotWithShape="1">
        <a:blip xmlns:r="http://schemas.openxmlformats.org/officeDocument/2006/relationships" r:embed="rId1"/>
        <a:srcRect b="27007"/>
        <a:stretch/>
      </xdr:blipFill>
      <xdr:spPr>
        <a:xfrm>
          <a:off x="6676008" y="130176"/>
          <a:ext cx="3318623" cy="676274"/>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1</xdr:col>
          <xdr:colOff>107950</xdr:colOff>
          <xdr:row>13</xdr:row>
          <xdr:rowOff>12700</xdr:rowOff>
        </xdr:from>
        <xdr:to>
          <xdr:col>1</xdr:col>
          <xdr:colOff>698500</xdr:colOff>
          <xdr:row>13</xdr:row>
          <xdr:rowOff>241300</xdr:rowOff>
        </xdr:to>
        <xdr:sp macro="" textlink="">
          <xdr:nvSpPr>
            <xdr:cNvPr id="480263" name="Check Box 7" hidden="1">
              <a:extLst>
                <a:ext uri="{63B3BB69-23CF-44E3-9099-C40C66FF867C}">
                  <a14:compatExt spid="_x0000_s480263"/>
                </a:ext>
                <a:ext uri="{FF2B5EF4-FFF2-40B4-BE49-F238E27FC236}">
                  <a16:creationId xmlns:a16="http://schemas.microsoft.com/office/drawing/2014/main" id="{00000000-0008-0000-3300-000007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13</xdr:row>
          <xdr:rowOff>12700</xdr:rowOff>
        </xdr:from>
        <xdr:to>
          <xdr:col>2</xdr:col>
          <xdr:colOff>355600</xdr:colOff>
          <xdr:row>13</xdr:row>
          <xdr:rowOff>260350</xdr:rowOff>
        </xdr:to>
        <xdr:sp macro="" textlink="">
          <xdr:nvSpPr>
            <xdr:cNvPr id="480264" name="Check Box 8" hidden="1">
              <a:extLst>
                <a:ext uri="{63B3BB69-23CF-44E3-9099-C40C66FF867C}">
                  <a14:compatExt spid="_x0000_s480264"/>
                </a:ext>
                <a:ext uri="{FF2B5EF4-FFF2-40B4-BE49-F238E27FC236}">
                  <a16:creationId xmlns:a16="http://schemas.microsoft.com/office/drawing/2014/main" id="{00000000-0008-0000-3300-000008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107950</xdr:colOff>
          <xdr:row>15</xdr:row>
          <xdr:rowOff>12700</xdr:rowOff>
        </xdr:from>
        <xdr:to>
          <xdr:col>1</xdr:col>
          <xdr:colOff>698500</xdr:colOff>
          <xdr:row>15</xdr:row>
          <xdr:rowOff>241300</xdr:rowOff>
        </xdr:to>
        <xdr:sp macro="" textlink="">
          <xdr:nvSpPr>
            <xdr:cNvPr id="480265" name="Check Box 9" hidden="1">
              <a:extLst>
                <a:ext uri="{63B3BB69-23CF-44E3-9099-C40C66FF867C}">
                  <a14:compatExt spid="_x0000_s480265"/>
                </a:ext>
                <a:ext uri="{FF2B5EF4-FFF2-40B4-BE49-F238E27FC236}">
                  <a16:creationId xmlns:a16="http://schemas.microsoft.com/office/drawing/2014/main" id="{00000000-0008-0000-3300-000009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15</xdr:row>
          <xdr:rowOff>0</xdr:rowOff>
        </xdr:from>
        <xdr:to>
          <xdr:col>2</xdr:col>
          <xdr:colOff>355600</xdr:colOff>
          <xdr:row>15</xdr:row>
          <xdr:rowOff>247650</xdr:rowOff>
        </xdr:to>
        <xdr:sp macro="" textlink="">
          <xdr:nvSpPr>
            <xdr:cNvPr id="480266" name="Check Box 10" hidden="1">
              <a:extLst>
                <a:ext uri="{63B3BB69-23CF-44E3-9099-C40C66FF867C}">
                  <a14:compatExt spid="_x0000_s480266"/>
                </a:ext>
                <a:ext uri="{FF2B5EF4-FFF2-40B4-BE49-F238E27FC236}">
                  <a16:creationId xmlns:a16="http://schemas.microsoft.com/office/drawing/2014/main" id="{00000000-0008-0000-3300-00000A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17</xdr:row>
          <xdr:rowOff>50800</xdr:rowOff>
        </xdr:from>
        <xdr:to>
          <xdr:col>1</xdr:col>
          <xdr:colOff>704850</xdr:colOff>
          <xdr:row>17</xdr:row>
          <xdr:rowOff>260350</xdr:rowOff>
        </xdr:to>
        <xdr:sp macro="" textlink="">
          <xdr:nvSpPr>
            <xdr:cNvPr id="480267" name="Check Box 11" hidden="1">
              <a:extLst>
                <a:ext uri="{63B3BB69-23CF-44E3-9099-C40C66FF867C}">
                  <a14:compatExt spid="_x0000_s480267"/>
                </a:ext>
                <a:ext uri="{FF2B5EF4-FFF2-40B4-BE49-F238E27FC236}">
                  <a16:creationId xmlns:a16="http://schemas.microsoft.com/office/drawing/2014/main" id="{00000000-0008-0000-3300-00000B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736600</xdr:colOff>
          <xdr:row>17</xdr:row>
          <xdr:rowOff>31750</xdr:rowOff>
        </xdr:from>
        <xdr:to>
          <xdr:col>2</xdr:col>
          <xdr:colOff>355600</xdr:colOff>
          <xdr:row>17</xdr:row>
          <xdr:rowOff>298450</xdr:rowOff>
        </xdr:to>
        <xdr:sp macro="" textlink="">
          <xdr:nvSpPr>
            <xdr:cNvPr id="480268" name="Check Box 12" hidden="1">
              <a:extLst>
                <a:ext uri="{63B3BB69-23CF-44E3-9099-C40C66FF867C}">
                  <a14:compatExt spid="_x0000_s480268"/>
                </a:ext>
                <a:ext uri="{FF2B5EF4-FFF2-40B4-BE49-F238E27FC236}">
                  <a16:creationId xmlns:a16="http://schemas.microsoft.com/office/drawing/2014/main" id="{00000000-0008-0000-3300-00000C54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4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19</xdr:col>
          <xdr:colOff>2451100</xdr:colOff>
          <xdr:row>25</xdr:row>
          <xdr:rowOff>31750</xdr:rowOff>
        </xdr:from>
        <xdr:to>
          <xdr:col>19</xdr:col>
          <xdr:colOff>6203950</xdr:colOff>
          <xdr:row>35</xdr:row>
          <xdr:rowOff>31750</xdr:rowOff>
        </xdr:to>
        <xdr:sp macro="" textlink="">
          <xdr:nvSpPr>
            <xdr:cNvPr id="475137" name="Button 1" hidden="1">
              <a:extLst>
                <a:ext uri="{63B3BB69-23CF-44E3-9099-C40C66FF867C}">
                  <a14:compatExt spid="_x0000_s475137"/>
                </a:ext>
                <a:ext uri="{FF2B5EF4-FFF2-40B4-BE49-F238E27FC236}">
                  <a16:creationId xmlns:a16="http://schemas.microsoft.com/office/drawing/2014/main" id="{00000000-0008-0000-3400-000001400700}"/>
                </a:ext>
              </a:extLst>
            </xdr:cNvPr>
            <xdr:cNvSpPr/>
          </xdr:nvSpPr>
          <xdr:spPr bwMode="auto">
            <a:xfrm>
              <a:off x="0" y="0"/>
              <a:ext cx="0" cy="0"/>
            </a:xfrm>
            <a:prstGeom prst="rect">
              <a:avLst/>
            </a:prstGeom>
            <a:noFill/>
            <a:ln w="9525">
              <a:miter lim="800000"/>
              <a:headEnd/>
              <a:tailEnd/>
            </a:ln>
          </xdr:spPr>
          <xdr:txBody>
            <a:bodyPr vertOverflow="clip" wrap="square" lIns="36576" tIns="36576" rIns="36576" bIns="36576" anchor="ctr" upright="1"/>
            <a:lstStyle/>
            <a:p>
              <a:pPr algn="ctr" rtl="0">
                <a:defRPr sz="1000"/>
              </a:pPr>
              <a:r>
                <a:rPr lang="en-US" sz="1100" b="1" i="0" u="none" strike="noStrike" baseline="0">
                  <a:solidFill>
                    <a:srgbClr val="0000FF"/>
                  </a:solidFill>
                  <a:latin typeface="Calibri"/>
                  <a:cs typeface="Calibri"/>
                </a:rPr>
                <a:t>Update</a:t>
              </a:r>
            </a:p>
          </xdr:txBody>
        </xdr:sp>
        <xdr:clientData fPrintsWithSheet="0"/>
      </xdr:twoCellAnchor>
    </mc:Choice>
    <mc:Fallback/>
  </mc:AlternateContent>
  <xdr:twoCellAnchor editAs="oneCell">
    <xdr:from>
      <xdr:col>16</xdr:col>
      <xdr:colOff>2794000</xdr:colOff>
      <xdr:row>0</xdr:row>
      <xdr:rowOff>0</xdr:rowOff>
    </xdr:from>
    <xdr:to>
      <xdr:col>20</xdr:col>
      <xdr:colOff>0</xdr:colOff>
      <xdr:row>1</xdr:row>
      <xdr:rowOff>266700</xdr:rowOff>
    </xdr:to>
    <xdr:pic>
      <xdr:nvPicPr>
        <xdr:cNvPr id="2" name="Picture 2">
          <a:extLst>
            <a:ext uri="{FF2B5EF4-FFF2-40B4-BE49-F238E27FC236}">
              <a16:creationId xmlns:a16="http://schemas.microsoft.com/office/drawing/2014/main" id="{00000000-0008-0000-3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30875"/>
        <a:stretch>
          <a:fillRect/>
        </a:stretch>
      </xdr:blipFill>
      <xdr:spPr bwMode="auto">
        <a:xfrm>
          <a:off x="12382500" y="0"/>
          <a:ext cx="4238625" cy="1028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146050</xdr:colOff>
          <xdr:row>12</xdr:row>
          <xdr:rowOff>457200</xdr:rowOff>
        </xdr:from>
        <xdr:to>
          <xdr:col>14</xdr:col>
          <xdr:colOff>0</xdr:colOff>
          <xdr:row>13</xdr:row>
          <xdr:rowOff>127000</xdr:rowOff>
        </xdr:to>
        <xdr:sp macro="" textlink="">
          <xdr:nvSpPr>
            <xdr:cNvPr id="475138" name="Check Box 2" hidden="1">
              <a:extLst>
                <a:ext uri="{63B3BB69-23CF-44E3-9099-C40C66FF867C}">
                  <a14:compatExt spid="_x0000_s475138"/>
                </a:ext>
                <a:ext uri="{FF2B5EF4-FFF2-40B4-BE49-F238E27FC236}">
                  <a16:creationId xmlns:a16="http://schemas.microsoft.com/office/drawing/2014/main" id="{00000000-0008-0000-3400-000002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4032250</xdr:colOff>
          <xdr:row>12</xdr:row>
          <xdr:rowOff>260350</xdr:rowOff>
        </xdr:from>
        <xdr:to>
          <xdr:col>15</xdr:col>
          <xdr:colOff>146050</xdr:colOff>
          <xdr:row>14</xdr:row>
          <xdr:rowOff>0</xdr:rowOff>
        </xdr:to>
        <xdr:sp macro="" textlink="">
          <xdr:nvSpPr>
            <xdr:cNvPr id="475139" name="Check Box 3" hidden="1">
              <a:extLst>
                <a:ext uri="{63B3BB69-23CF-44E3-9099-C40C66FF867C}">
                  <a14:compatExt spid="_x0000_s475139"/>
                </a:ext>
                <a:ext uri="{FF2B5EF4-FFF2-40B4-BE49-F238E27FC236}">
                  <a16:creationId xmlns:a16="http://schemas.microsoft.com/office/drawing/2014/main" id="{00000000-0008-0000-3400-000003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812800</xdr:colOff>
          <xdr:row>15</xdr:row>
          <xdr:rowOff>114300</xdr:rowOff>
        </xdr:from>
        <xdr:to>
          <xdr:col>9</xdr:col>
          <xdr:colOff>0</xdr:colOff>
          <xdr:row>16</xdr:row>
          <xdr:rowOff>127000</xdr:rowOff>
        </xdr:to>
        <xdr:sp macro="" textlink="">
          <xdr:nvSpPr>
            <xdr:cNvPr id="475140" name="Check Box 4" hidden="1">
              <a:extLst>
                <a:ext uri="{63B3BB69-23CF-44E3-9099-C40C66FF867C}">
                  <a14:compatExt spid="_x0000_s475140"/>
                </a:ext>
                <a:ext uri="{FF2B5EF4-FFF2-40B4-BE49-F238E27FC236}">
                  <a16:creationId xmlns:a16="http://schemas.microsoft.com/office/drawing/2014/main" id="{00000000-0008-0000-3400-000004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3594100</xdr:colOff>
          <xdr:row>14</xdr:row>
          <xdr:rowOff>1860550</xdr:rowOff>
        </xdr:from>
        <xdr:to>
          <xdr:col>10</xdr:col>
          <xdr:colOff>0</xdr:colOff>
          <xdr:row>17</xdr:row>
          <xdr:rowOff>0</xdr:rowOff>
        </xdr:to>
        <xdr:sp macro="" textlink="">
          <xdr:nvSpPr>
            <xdr:cNvPr id="475141" name="Check Box 5" hidden="1">
              <a:extLst>
                <a:ext uri="{63B3BB69-23CF-44E3-9099-C40C66FF867C}">
                  <a14:compatExt spid="_x0000_s475141"/>
                </a:ext>
                <a:ext uri="{FF2B5EF4-FFF2-40B4-BE49-F238E27FC236}">
                  <a16:creationId xmlns:a16="http://schemas.microsoft.com/office/drawing/2014/main" id="{00000000-0008-0000-3400-000005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812800</xdr:colOff>
          <xdr:row>18</xdr:row>
          <xdr:rowOff>114300</xdr:rowOff>
        </xdr:from>
        <xdr:to>
          <xdr:col>9</xdr:col>
          <xdr:colOff>0</xdr:colOff>
          <xdr:row>19</xdr:row>
          <xdr:rowOff>127000</xdr:rowOff>
        </xdr:to>
        <xdr:sp macro="" textlink="">
          <xdr:nvSpPr>
            <xdr:cNvPr id="475142" name="Check Box 6" hidden="1">
              <a:extLst>
                <a:ext uri="{63B3BB69-23CF-44E3-9099-C40C66FF867C}">
                  <a14:compatExt spid="_x0000_s475142"/>
                </a:ext>
                <a:ext uri="{FF2B5EF4-FFF2-40B4-BE49-F238E27FC236}">
                  <a16:creationId xmlns:a16="http://schemas.microsoft.com/office/drawing/2014/main" id="{00000000-0008-0000-3400-000006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3505200</xdr:colOff>
          <xdr:row>18</xdr:row>
          <xdr:rowOff>171450</xdr:rowOff>
        </xdr:from>
        <xdr:to>
          <xdr:col>10</xdr:col>
          <xdr:colOff>0</xdr:colOff>
          <xdr:row>20</xdr:row>
          <xdr:rowOff>0</xdr:rowOff>
        </xdr:to>
        <xdr:sp macro="" textlink="">
          <xdr:nvSpPr>
            <xdr:cNvPr id="475143" name="Check Box 7" hidden="1">
              <a:extLst>
                <a:ext uri="{63B3BB69-23CF-44E3-9099-C40C66FF867C}">
                  <a14:compatExt spid="_x0000_s475143"/>
                </a:ext>
                <a:ext uri="{FF2B5EF4-FFF2-40B4-BE49-F238E27FC236}">
                  <a16:creationId xmlns:a16="http://schemas.microsoft.com/office/drawing/2014/main" id="{00000000-0008-0000-3400-000007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603250</xdr:colOff>
          <xdr:row>21</xdr:row>
          <xdr:rowOff>393700</xdr:rowOff>
        </xdr:from>
        <xdr:to>
          <xdr:col>9</xdr:col>
          <xdr:colOff>0</xdr:colOff>
          <xdr:row>23</xdr:row>
          <xdr:rowOff>0</xdr:rowOff>
        </xdr:to>
        <xdr:sp macro="" textlink="">
          <xdr:nvSpPr>
            <xdr:cNvPr id="475144" name="Check Box 8" hidden="1">
              <a:extLst>
                <a:ext uri="{63B3BB69-23CF-44E3-9099-C40C66FF867C}">
                  <a14:compatExt spid="_x0000_s475144"/>
                </a:ext>
                <a:ext uri="{FF2B5EF4-FFF2-40B4-BE49-F238E27FC236}">
                  <a16:creationId xmlns:a16="http://schemas.microsoft.com/office/drawing/2014/main" id="{00000000-0008-0000-3400-000008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3505200</xdr:colOff>
          <xdr:row>21</xdr:row>
          <xdr:rowOff>260350</xdr:rowOff>
        </xdr:from>
        <xdr:to>
          <xdr:col>10</xdr:col>
          <xdr:colOff>0</xdr:colOff>
          <xdr:row>23</xdr:row>
          <xdr:rowOff>0</xdr:rowOff>
        </xdr:to>
        <xdr:sp macro="" textlink="">
          <xdr:nvSpPr>
            <xdr:cNvPr id="475145" name="Check Box 9" hidden="1">
              <a:extLst>
                <a:ext uri="{63B3BB69-23CF-44E3-9099-C40C66FF867C}">
                  <a14:compatExt spid="_x0000_s475145"/>
                </a:ext>
                <a:ext uri="{FF2B5EF4-FFF2-40B4-BE49-F238E27FC236}">
                  <a16:creationId xmlns:a16="http://schemas.microsoft.com/office/drawing/2014/main" id="{00000000-0008-0000-3400-00000940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xdr:wsDr>
</file>

<file path=xl/drawings/drawing47.xml><?xml version="1.0" encoding="utf-8"?>
<xdr:wsDr xmlns:xdr="http://schemas.openxmlformats.org/drawingml/2006/spreadsheetDrawing" xmlns:a="http://schemas.openxmlformats.org/drawingml/2006/main">
  <xdr:twoCellAnchor editAs="oneCell">
    <xdr:from>
      <xdr:col>16</xdr:col>
      <xdr:colOff>104775</xdr:colOff>
      <xdr:row>0</xdr:row>
      <xdr:rowOff>200025</xdr:rowOff>
    </xdr:from>
    <xdr:to>
      <xdr:col>21</xdr:col>
      <xdr:colOff>113124</xdr:colOff>
      <xdr:row>1</xdr:row>
      <xdr:rowOff>201632</xdr:rowOff>
    </xdr:to>
    <xdr:pic>
      <xdr:nvPicPr>
        <xdr:cNvPr id="2" name="Picture 3">
          <a:extLst>
            <a:ext uri="{FF2B5EF4-FFF2-40B4-BE49-F238E27FC236}">
              <a16:creationId xmlns:a16="http://schemas.microsoft.com/office/drawing/2014/main" id="{00000000-0008-0000-35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646525" y="196850"/>
          <a:ext cx="3411949" cy="766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16</xdr:col>
          <xdr:colOff>31750</xdr:colOff>
          <xdr:row>11</xdr:row>
          <xdr:rowOff>88900</xdr:rowOff>
        </xdr:from>
        <xdr:to>
          <xdr:col>16</xdr:col>
          <xdr:colOff>584200</xdr:colOff>
          <xdr:row>11</xdr:row>
          <xdr:rowOff>279400</xdr:rowOff>
        </xdr:to>
        <xdr:sp macro="" textlink="">
          <xdr:nvSpPr>
            <xdr:cNvPr id="474114" name="Check Box 2" hidden="1">
              <a:extLst>
                <a:ext uri="{63B3BB69-23CF-44E3-9099-C40C66FF867C}">
                  <a14:compatExt spid="_x0000_s474114"/>
                </a:ext>
                <a:ext uri="{FF2B5EF4-FFF2-40B4-BE49-F238E27FC236}">
                  <a16:creationId xmlns:a16="http://schemas.microsoft.com/office/drawing/2014/main" id="{00000000-0008-0000-3500-000002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781050</xdr:colOff>
          <xdr:row>11</xdr:row>
          <xdr:rowOff>50800</xdr:rowOff>
        </xdr:from>
        <xdr:to>
          <xdr:col>17</xdr:col>
          <xdr:colOff>476250</xdr:colOff>
          <xdr:row>12</xdr:row>
          <xdr:rowOff>12700</xdr:rowOff>
        </xdr:to>
        <xdr:sp macro="" textlink="">
          <xdr:nvSpPr>
            <xdr:cNvPr id="474115" name="Check Box 3" hidden="1">
              <a:extLst>
                <a:ext uri="{63B3BB69-23CF-44E3-9099-C40C66FF867C}">
                  <a14:compatExt spid="_x0000_s474115"/>
                </a:ext>
                <a:ext uri="{FF2B5EF4-FFF2-40B4-BE49-F238E27FC236}">
                  <a16:creationId xmlns:a16="http://schemas.microsoft.com/office/drawing/2014/main" id="{00000000-0008-0000-3500-000003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14</xdr:row>
          <xdr:rowOff>19050</xdr:rowOff>
        </xdr:from>
        <xdr:to>
          <xdr:col>11</xdr:col>
          <xdr:colOff>203200</xdr:colOff>
          <xdr:row>14</xdr:row>
          <xdr:rowOff>279400</xdr:rowOff>
        </xdr:to>
        <xdr:sp macro="" textlink="">
          <xdr:nvSpPr>
            <xdr:cNvPr id="474116" name="Check Box 4" hidden="1">
              <a:extLst>
                <a:ext uri="{63B3BB69-23CF-44E3-9099-C40C66FF867C}">
                  <a14:compatExt spid="_x0000_s474116"/>
                </a:ext>
                <a:ext uri="{FF2B5EF4-FFF2-40B4-BE49-F238E27FC236}">
                  <a16:creationId xmlns:a16="http://schemas.microsoft.com/office/drawing/2014/main" id="{00000000-0008-0000-3500-000004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698500</xdr:colOff>
          <xdr:row>13</xdr:row>
          <xdr:rowOff>361950</xdr:rowOff>
        </xdr:from>
        <xdr:to>
          <xdr:col>12</xdr:col>
          <xdr:colOff>133350</xdr:colOff>
          <xdr:row>15</xdr:row>
          <xdr:rowOff>12700</xdr:rowOff>
        </xdr:to>
        <xdr:sp macro="" textlink="">
          <xdr:nvSpPr>
            <xdr:cNvPr id="474117" name="Check Box 5" hidden="1">
              <a:extLst>
                <a:ext uri="{63B3BB69-23CF-44E3-9099-C40C66FF867C}">
                  <a14:compatExt spid="_x0000_s474117"/>
                </a:ext>
                <a:ext uri="{FF2B5EF4-FFF2-40B4-BE49-F238E27FC236}">
                  <a16:creationId xmlns:a16="http://schemas.microsoft.com/office/drawing/2014/main" id="{00000000-0008-0000-3500-000005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152400</xdr:colOff>
          <xdr:row>17</xdr:row>
          <xdr:rowOff>19050</xdr:rowOff>
        </xdr:from>
        <xdr:to>
          <xdr:col>11</xdr:col>
          <xdr:colOff>203200</xdr:colOff>
          <xdr:row>17</xdr:row>
          <xdr:rowOff>279400</xdr:rowOff>
        </xdr:to>
        <xdr:sp macro="" textlink="">
          <xdr:nvSpPr>
            <xdr:cNvPr id="474118" name="Check Box 6" hidden="1">
              <a:extLst>
                <a:ext uri="{63B3BB69-23CF-44E3-9099-C40C66FF867C}">
                  <a14:compatExt spid="_x0000_s474118"/>
                </a:ext>
                <a:ext uri="{FF2B5EF4-FFF2-40B4-BE49-F238E27FC236}">
                  <a16:creationId xmlns:a16="http://schemas.microsoft.com/office/drawing/2014/main" id="{00000000-0008-0000-3500-000006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679450</xdr:colOff>
          <xdr:row>17</xdr:row>
          <xdr:rowOff>31750</xdr:rowOff>
        </xdr:from>
        <xdr:to>
          <xdr:col>12</xdr:col>
          <xdr:colOff>107950</xdr:colOff>
          <xdr:row>18</xdr:row>
          <xdr:rowOff>12700</xdr:rowOff>
        </xdr:to>
        <xdr:sp macro="" textlink="">
          <xdr:nvSpPr>
            <xdr:cNvPr id="474119" name="Check Box 7" hidden="1">
              <a:extLst>
                <a:ext uri="{63B3BB69-23CF-44E3-9099-C40C66FF867C}">
                  <a14:compatExt spid="_x0000_s474119"/>
                </a:ext>
                <a:ext uri="{FF2B5EF4-FFF2-40B4-BE49-F238E27FC236}">
                  <a16:creationId xmlns:a16="http://schemas.microsoft.com/office/drawing/2014/main" id="{00000000-0008-0000-3500-000007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114300</xdr:colOff>
          <xdr:row>20</xdr:row>
          <xdr:rowOff>76200</xdr:rowOff>
        </xdr:from>
        <xdr:to>
          <xdr:col>11</xdr:col>
          <xdr:colOff>203200</xdr:colOff>
          <xdr:row>20</xdr:row>
          <xdr:rowOff>298450</xdr:rowOff>
        </xdr:to>
        <xdr:sp macro="" textlink="">
          <xdr:nvSpPr>
            <xdr:cNvPr id="474120" name="Check Box 8" hidden="1">
              <a:extLst>
                <a:ext uri="{63B3BB69-23CF-44E3-9099-C40C66FF867C}">
                  <a14:compatExt spid="_x0000_s474120"/>
                </a:ext>
                <a:ext uri="{FF2B5EF4-FFF2-40B4-BE49-F238E27FC236}">
                  <a16:creationId xmlns:a16="http://schemas.microsoft.com/office/drawing/2014/main" id="{00000000-0008-0000-3500-000008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Yes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679450</xdr:colOff>
          <xdr:row>20</xdr:row>
          <xdr:rowOff>50800</xdr:rowOff>
        </xdr:from>
        <xdr:to>
          <xdr:col>12</xdr:col>
          <xdr:colOff>107950</xdr:colOff>
          <xdr:row>21</xdr:row>
          <xdr:rowOff>38100</xdr:rowOff>
        </xdr:to>
        <xdr:sp macro="" textlink="">
          <xdr:nvSpPr>
            <xdr:cNvPr id="474121" name="Check Box 9" hidden="1">
              <a:extLst>
                <a:ext uri="{63B3BB69-23CF-44E3-9099-C40C66FF867C}">
                  <a14:compatExt spid="_x0000_s474121"/>
                </a:ext>
                <a:ext uri="{FF2B5EF4-FFF2-40B4-BE49-F238E27FC236}">
                  <a16:creationId xmlns:a16="http://schemas.microsoft.com/office/drawing/2014/main" id="{00000000-0008-0000-3500-0000093C07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32004" rIns="0" bIns="32004" anchor="ctr" upright="1"/>
            <a:lstStyle/>
            <a:p>
              <a:pPr algn="l" rtl="0">
                <a:defRPr sz="1000"/>
              </a:pPr>
              <a:r>
                <a:rPr lang="en-US" sz="800" b="0" i="0" u="none" strike="noStrike" baseline="0">
                  <a:solidFill>
                    <a:srgbClr val="000000"/>
                  </a:solidFill>
                  <a:latin typeface="Segoe UI"/>
                  <a:cs typeface="Segoe UI"/>
                </a:rPr>
                <a:t>No</a:t>
              </a:r>
            </a:p>
          </xdr:txBody>
        </xdr:sp>
        <xdr:clientData/>
      </xdr:twoCellAnchor>
    </mc:Choice>
    <mc:Fallback/>
  </mc:AlternateContent>
  <mc:AlternateContent xmlns:mc="http://schemas.openxmlformats.org/markup-compatibility/2006">
    <mc:Choice xmlns:a14="http://schemas.microsoft.com/office/drawing/2010/main" Requires="a14">
      <xdr:twoCellAnchor>
        <xdr:from>
          <xdr:col>18</xdr:col>
          <xdr:colOff>533400</xdr:colOff>
          <xdr:row>27</xdr:row>
          <xdr:rowOff>152400</xdr:rowOff>
        </xdr:from>
        <xdr:to>
          <xdr:col>24</xdr:col>
          <xdr:colOff>412750</xdr:colOff>
          <xdr:row>32</xdr:row>
          <xdr:rowOff>88900</xdr:rowOff>
        </xdr:to>
        <xdr:sp macro="" textlink="">
          <xdr:nvSpPr>
            <xdr:cNvPr id="474128" name="Button 16" hidden="1">
              <a:extLst>
                <a:ext uri="{63B3BB69-23CF-44E3-9099-C40C66FF867C}">
                  <a14:compatExt spid="_x0000_s474128"/>
                </a:ext>
                <a:ext uri="{FF2B5EF4-FFF2-40B4-BE49-F238E27FC236}">
                  <a16:creationId xmlns:a16="http://schemas.microsoft.com/office/drawing/2014/main" id="{00000000-0008-0000-3500-0000103C0700}"/>
                </a:ext>
              </a:extLst>
            </xdr:cNvPr>
            <xdr:cNvSpPr/>
          </xdr:nvSpPr>
          <xdr:spPr bwMode="auto">
            <a:xfrm>
              <a:off x="0" y="0"/>
              <a:ext cx="0" cy="0"/>
            </a:xfrm>
            <a:prstGeom prst="rect">
              <a:avLst/>
            </a:prstGeom>
            <a:noFill/>
            <a:ln w="9525">
              <a:miter lim="800000"/>
              <a:headEnd/>
              <a:tailEnd/>
            </a:ln>
          </xdr:spPr>
          <xdr:txBody>
            <a:bodyPr vertOverflow="clip" wrap="square" lIns="54864" tIns="59436" rIns="54864" bIns="59436" anchor="ctr" upright="1"/>
            <a:lstStyle/>
            <a:p>
              <a:pPr algn="ctr" rtl="0">
                <a:defRPr sz="1000"/>
              </a:pPr>
              <a:r>
                <a:rPr lang="en-US" sz="2000" b="0" i="0" u="none" strike="noStrike" baseline="0">
                  <a:solidFill>
                    <a:srgbClr val="000000"/>
                  </a:solidFill>
                  <a:latin typeface="Calibri"/>
                  <a:cs typeface="Calibri"/>
                </a:rPr>
                <a:t>Update</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2</xdr:col>
      <xdr:colOff>850900</xdr:colOff>
      <xdr:row>31</xdr:row>
      <xdr:rowOff>120650</xdr:rowOff>
    </xdr:from>
    <xdr:to>
      <xdr:col>3</xdr:col>
      <xdr:colOff>0</xdr:colOff>
      <xdr:row>32</xdr:row>
      <xdr:rowOff>28575</xdr:rowOff>
    </xdr:to>
    <xdr:pic>
      <xdr:nvPicPr>
        <xdr:cNvPr id="99895" name="Picture 37" descr="Monkey Face Clip Art">
          <a:extLst>
            <a:ext uri="{FF2B5EF4-FFF2-40B4-BE49-F238E27FC236}">
              <a16:creationId xmlns:a16="http://schemas.microsoft.com/office/drawing/2014/main" id="{00000000-0008-0000-0400-00003786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3050" y="11963400"/>
          <a:ext cx="95250" cy="31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0</xdr:row>
      <xdr:rowOff>76200</xdr:rowOff>
    </xdr:from>
    <xdr:to>
      <xdr:col>12</xdr:col>
      <xdr:colOff>495300</xdr:colOff>
      <xdr:row>1</xdr:row>
      <xdr:rowOff>263525</xdr:rowOff>
    </xdr:to>
    <xdr:pic>
      <xdr:nvPicPr>
        <xdr:cNvPr id="4" name="Picture 3" descr="PSEGLI_2c_v">
          <a:extLst>
            <a:ext uri="{FF2B5EF4-FFF2-40B4-BE49-F238E27FC236}">
              <a16:creationId xmlns:a16="http://schemas.microsoft.com/office/drawing/2014/main" id="{00000000-0008-0000-04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l="7693" t="21359" r="8058"/>
        <a:stretch>
          <a:fillRect/>
        </a:stretch>
      </xdr:blipFill>
      <xdr:spPr bwMode="auto">
        <a:xfrm>
          <a:off x="7800975" y="76200"/>
          <a:ext cx="3429000" cy="882650"/>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5</xdr:col>
      <xdr:colOff>844550</xdr:colOff>
      <xdr:row>0</xdr:row>
      <xdr:rowOff>354044</xdr:rowOff>
    </xdr:from>
    <xdr:to>
      <xdr:col>12</xdr:col>
      <xdr:colOff>0</xdr:colOff>
      <xdr:row>2</xdr:row>
      <xdr:rowOff>67978</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883150" y="354044"/>
          <a:ext cx="4956175" cy="10537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1905</xdr:colOff>
      <xdr:row>23</xdr:row>
      <xdr:rowOff>149225</xdr:rowOff>
    </xdr:from>
    <xdr:to>
      <xdr:col>2</xdr:col>
      <xdr:colOff>884570</xdr:colOff>
      <xdr:row>25</xdr:row>
      <xdr:rowOff>1308</xdr:rowOff>
    </xdr:to>
    <xdr:sp macro="" textlink="">
      <xdr:nvSpPr>
        <xdr:cNvPr id="2" name="Check Box 15" hidden="1">
          <a:extLst>
            <a:ext uri="{FF2B5EF4-FFF2-40B4-BE49-F238E27FC236}">
              <a16:creationId xmlns:a16="http://schemas.microsoft.com/office/drawing/2014/main" id="{00000000-0008-0000-0600-000002000000}"/>
            </a:ext>
          </a:extLst>
        </xdr:cNvPr>
        <xdr:cNvSpPr/>
      </xdr:nvSpPr>
      <xdr:spPr>
        <a:xfrm>
          <a:off x="1211580" y="6530975"/>
          <a:ext cx="885840" cy="30928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16383</xdr:col>
          <xdr:colOff>0</xdr:colOff>
          <xdr:row>3</xdr:row>
          <xdr:rowOff>0</xdr:rowOff>
        </xdr:from>
        <xdr:to>
          <xdr:col>16383</xdr:col>
          <xdr:colOff>0</xdr:colOff>
          <xdr:row>3</xdr:row>
          <xdr:rowOff>0</xdr:rowOff>
        </xdr:to>
        <xdr:sp macro="" textlink="">
          <xdr:nvSpPr>
            <xdr:cNvPr id="551937" name="Check Box 1" hidden="1">
              <a:extLst>
                <a:ext uri="{63B3BB69-23CF-44E3-9099-C40C66FF867C}">
                  <a14:compatExt spid="_x0000_s551937"/>
                </a:ext>
                <a:ext uri="{FF2B5EF4-FFF2-40B4-BE49-F238E27FC236}">
                  <a16:creationId xmlns:a16="http://schemas.microsoft.com/office/drawing/2014/main" id="{00000000-0008-0000-0600-00000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16383</xdr:col>
          <xdr:colOff>0</xdr:colOff>
          <xdr:row>3</xdr:row>
          <xdr:rowOff>0</xdr:rowOff>
        </xdr:from>
        <xdr:to>
          <xdr:col>16383</xdr:col>
          <xdr:colOff>0</xdr:colOff>
          <xdr:row>3</xdr:row>
          <xdr:rowOff>0</xdr:rowOff>
        </xdr:to>
        <xdr:sp macro="" textlink="">
          <xdr:nvSpPr>
            <xdr:cNvPr id="551938" name="Check Box 2" hidden="1">
              <a:extLst>
                <a:ext uri="{63B3BB69-23CF-44E3-9099-C40C66FF867C}">
                  <a14:compatExt spid="_x0000_s551938"/>
                </a:ext>
                <a:ext uri="{FF2B5EF4-FFF2-40B4-BE49-F238E27FC236}">
                  <a16:creationId xmlns:a16="http://schemas.microsoft.com/office/drawing/2014/main" id="{00000000-0008-0000-0600-00000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5</xdr:row>
          <xdr:rowOff>12700</xdr:rowOff>
        </xdr:from>
        <xdr:to>
          <xdr:col>2</xdr:col>
          <xdr:colOff>3505200</xdr:colOff>
          <xdr:row>5</xdr:row>
          <xdr:rowOff>184150</xdr:rowOff>
        </xdr:to>
        <xdr:sp macro="" textlink="">
          <xdr:nvSpPr>
            <xdr:cNvPr id="551939" name="Check Box 3" hidden="1">
              <a:extLst>
                <a:ext uri="{63B3BB69-23CF-44E3-9099-C40C66FF867C}">
                  <a14:compatExt spid="_x0000_s551939"/>
                </a:ext>
                <a:ext uri="{FF2B5EF4-FFF2-40B4-BE49-F238E27FC236}">
                  <a16:creationId xmlns:a16="http://schemas.microsoft.com/office/drawing/2014/main" id="{00000000-0008-0000-0600-00000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Application (signature [or equivalent] required)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565150</xdr:colOff>
          <xdr:row>24</xdr:row>
          <xdr:rowOff>12700</xdr:rowOff>
        </xdr:from>
        <xdr:to>
          <xdr:col>2</xdr:col>
          <xdr:colOff>3536950</xdr:colOff>
          <xdr:row>25</xdr:row>
          <xdr:rowOff>0</xdr:rowOff>
        </xdr:to>
        <xdr:sp macro="" textlink="">
          <xdr:nvSpPr>
            <xdr:cNvPr id="551940" name="Check Box 4" hidden="1">
              <a:extLst>
                <a:ext uri="{63B3BB69-23CF-44E3-9099-C40C66FF867C}">
                  <a14:compatExt spid="_x0000_s551940"/>
                </a:ext>
                <a:ext uri="{FF2B5EF4-FFF2-40B4-BE49-F238E27FC236}">
                  <a16:creationId xmlns:a16="http://schemas.microsoft.com/office/drawing/2014/main" id="{00000000-0008-0000-0600-000004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22</xdr:row>
          <xdr:rowOff>0</xdr:rowOff>
        </xdr:from>
        <xdr:to>
          <xdr:col>2</xdr:col>
          <xdr:colOff>3536950</xdr:colOff>
          <xdr:row>22</xdr:row>
          <xdr:rowOff>209550</xdr:rowOff>
        </xdr:to>
        <xdr:sp macro="" textlink="">
          <xdr:nvSpPr>
            <xdr:cNvPr id="551941" name="Check Box 5" hidden="1">
              <a:extLst>
                <a:ext uri="{63B3BB69-23CF-44E3-9099-C40C66FF867C}">
                  <a14:compatExt spid="_x0000_s551941"/>
                </a:ext>
                <a:ext uri="{FF2B5EF4-FFF2-40B4-BE49-F238E27FC236}">
                  <a16:creationId xmlns:a16="http://schemas.microsoft.com/office/drawing/2014/main" id="{00000000-0008-0000-0600-000005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(showing total installed cost; equip make,model &amp; serial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565150</xdr:colOff>
          <xdr:row>23</xdr:row>
          <xdr:rowOff>19050</xdr:rowOff>
        </xdr:from>
        <xdr:to>
          <xdr:col>2</xdr:col>
          <xdr:colOff>3536950</xdr:colOff>
          <xdr:row>24</xdr:row>
          <xdr:rowOff>0</xdr:rowOff>
        </xdr:to>
        <xdr:sp macro="" textlink="">
          <xdr:nvSpPr>
            <xdr:cNvPr id="551942" name="Check Box 6" hidden="1">
              <a:extLst>
                <a:ext uri="{63B3BB69-23CF-44E3-9099-C40C66FF867C}">
                  <a14:compatExt spid="_x0000_s551942"/>
                </a:ext>
                <a:ext uri="{FF2B5EF4-FFF2-40B4-BE49-F238E27FC236}">
                  <a16:creationId xmlns:a16="http://schemas.microsoft.com/office/drawing/2014/main" id="{00000000-0008-0000-0600-000006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10</xdr:row>
          <xdr:rowOff>38100</xdr:rowOff>
        </xdr:from>
        <xdr:to>
          <xdr:col>2</xdr:col>
          <xdr:colOff>3517900</xdr:colOff>
          <xdr:row>11</xdr:row>
          <xdr:rowOff>19050</xdr:rowOff>
        </xdr:to>
        <xdr:sp macro="" textlink="">
          <xdr:nvSpPr>
            <xdr:cNvPr id="551943" name="Check Box 7" hidden="1">
              <a:extLst>
                <a:ext uri="{63B3BB69-23CF-44E3-9099-C40C66FF867C}">
                  <a14:compatExt spid="_x0000_s551943"/>
                </a:ext>
                <a:ext uri="{FF2B5EF4-FFF2-40B4-BE49-F238E27FC236}">
                  <a16:creationId xmlns:a16="http://schemas.microsoft.com/office/drawing/2014/main" id="{00000000-0008-0000-0600-000007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AHRI Online Directory Equipment Certificate (Residential and Commercial)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6</xdr:row>
          <xdr:rowOff>12700</xdr:rowOff>
        </xdr:from>
        <xdr:to>
          <xdr:col>2</xdr:col>
          <xdr:colOff>3505200</xdr:colOff>
          <xdr:row>6</xdr:row>
          <xdr:rowOff>222250</xdr:rowOff>
        </xdr:to>
        <xdr:sp macro="" textlink="">
          <xdr:nvSpPr>
            <xdr:cNvPr id="551944" name="Check Box 8" hidden="1">
              <a:extLst>
                <a:ext uri="{63B3BB69-23CF-44E3-9099-C40C66FF867C}">
                  <a14:compatExt spid="_x0000_s551944"/>
                </a:ext>
                <a:ext uri="{FF2B5EF4-FFF2-40B4-BE49-F238E27FC236}">
                  <a16:creationId xmlns:a16="http://schemas.microsoft.com/office/drawing/2014/main" id="{00000000-0008-0000-0600-000008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(Assigning rebate to Propery Owner)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565150</xdr:colOff>
          <xdr:row>26</xdr:row>
          <xdr:rowOff>76200</xdr:rowOff>
        </xdr:from>
        <xdr:to>
          <xdr:col>2</xdr:col>
          <xdr:colOff>3295650</xdr:colOff>
          <xdr:row>27</xdr:row>
          <xdr:rowOff>146050</xdr:rowOff>
        </xdr:to>
        <xdr:sp macro="" textlink="">
          <xdr:nvSpPr>
            <xdr:cNvPr id="551945" name="Check Box 9" hidden="1">
              <a:extLst>
                <a:ext uri="{63B3BB69-23CF-44E3-9099-C40C66FF867C}">
                  <a14:compatExt spid="_x0000_s551945"/>
                </a:ext>
                <a:ext uri="{FF2B5EF4-FFF2-40B4-BE49-F238E27FC236}">
                  <a16:creationId xmlns:a16="http://schemas.microsoft.com/office/drawing/2014/main" id="{00000000-0008-0000-0600-000009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Air Flow &amp; Refrigerant Charge Forms (forms are included in workbook - Residential Heat Pump Installation)</a:t>
              </a:r>
            </a:p>
          </xdr:txBody>
        </xdr:sp>
        <xdr:clientData/>
      </xdr:twoCellAnchor>
    </mc:Choice>
    <mc:Fallback/>
  </mc:AlternateContent>
  <xdr:oneCellAnchor>
    <xdr:from>
      <xdr:col>4</xdr:col>
      <xdr:colOff>611505</xdr:colOff>
      <xdr:row>2</xdr:row>
      <xdr:rowOff>0</xdr:rowOff>
    </xdr:from>
    <xdr:ext cx="277097" cy="309729"/>
    <xdr:sp macro="" textlink="">
      <xdr:nvSpPr>
        <xdr:cNvPr id="3" name="TextBox 2">
          <a:extLst>
            <a:ext uri="{FF2B5EF4-FFF2-40B4-BE49-F238E27FC236}">
              <a16:creationId xmlns:a16="http://schemas.microsoft.com/office/drawing/2014/main" id="{00000000-0008-0000-0600-000003000000}"/>
            </a:ext>
          </a:extLst>
        </xdr:cNvPr>
        <xdr:cNvSpPr txBox="1"/>
      </xdr:nvSpPr>
      <xdr:spPr>
        <a:xfrm>
          <a:off x="6526530" y="1524000"/>
          <a:ext cx="277097" cy="30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editAs="oneCell">
        <xdr:from>
          <xdr:col>1</xdr:col>
          <xdr:colOff>546100</xdr:colOff>
          <xdr:row>11</xdr:row>
          <xdr:rowOff>57150</xdr:rowOff>
        </xdr:from>
        <xdr:to>
          <xdr:col>2</xdr:col>
          <xdr:colOff>3524250</xdr:colOff>
          <xdr:row>12</xdr:row>
          <xdr:rowOff>152400</xdr:rowOff>
        </xdr:to>
        <xdr:sp macro="" textlink="">
          <xdr:nvSpPr>
            <xdr:cNvPr id="551946" name="Check Box 10" hidden="1">
              <a:extLst>
                <a:ext uri="{63B3BB69-23CF-44E3-9099-C40C66FF867C}">
                  <a14:compatExt spid="_x0000_s551946"/>
                </a:ext>
                <a:ext uri="{FF2B5EF4-FFF2-40B4-BE49-F238E27FC236}">
                  <a16:creationId xmlns:a16="http://schemas.microsoft.com/office/drawing/2014/main" id="{00000000-0008-0000-0600-00000A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J, Version 8 Load Calculation Printout (if installing Residential Air Source/Ground Source Heat Pump)</a:t>
              </a:r>
            </a:p>
          </xdr:txBody>
        </xdr:sp>
        <xdr:clientData/>
      </xdr:twoCellAnchor>
    </mc:Choice>
    <mc:Fallback/>
  </mc:AlternateContent>
  <xdr:oneCellAnchor>
    <xdr:from>
      <xdr:col>2</xdr:col>
      <xdr:colOff>1905</xdr:colOff>
      <xdr:row>7</xdr:row>
      <xdr:rowOff>149225</xdr:rowOff>
    </xdr:from>
    <xdr:ext cx="882665" cy="316518"/>
    <xdr:sp macro="" textlink="">
      <xdr:nvSpPr>
        <xdr:cNvPr id="4" name="Check Box 15" hidden="1">
          <a:extLst>
            <a:ext uri="{FF2B5EF4-FFF2-40B4-BE49-F238E27FC236}">
              <a16:creationId xmlns:a16="http://schemas.microsoft.com/office/drawing/2014/main" id="{00000000-0008-0000-0600-000004000000}"/>
            </a:ext>
          </a:extLst>
        </xdr:cNvPr>
        <xdr:cNvSpPr/>
      </xdr:nvSpPr>
      <xdr:spPr>
        <a:xfrm>
          <a:off x="1211580" y="2978150"/>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533400</xdr:colOff>
          <xdr:row>8</xdr:row>
          <xdr:rowOff>38100</xdr:rowOff>
        </xdr:from>
        <xdr:to>
          <xdr:col>2</xdr:col>
          <xdr:colOff>3505200</xdr:colOff>
          <xdr:row>10</xdr:row>
          <xdr:rowOff>19050</xdr:rowOff>
        </xdr:to>
        <xdr:sp macro="" textlink="">
          <xdr:nvSpPr>
            <xdr:cNvPr id="551947" name="Check Box 11" hidden="1">
              <a:extLst>
                <a:ext uri="{63B3BB69-23CF-44E3-9099-C40C66FF867C}">
                  <a14:compatExt spid="_x0000_s551947"/>
                </a:ext>
                <a:ext uri="{FF2B5EF4-FFF2-40B4-BE49-F238E27FC236}">
                  <a16:creationId xmlns:a16="http://schemas.microsoft.com/office/drawing/2014/main" id="{00000000-0008-0000-0600-00000B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25</xdr:row>
          <xdr:rowOff>31750</xdr:rowOff>
        </xdr:from>
        <xdr:to>
          <xdr:col>2</xdr:col>
          <xdr:colOff>3556000</xdr:colOff>
          <xdr:row>26</xdr:row>
          <xdr:rowOff>19050</xdr:rowOff>
        </xdr:to>
        <xdr:sp macro="" textlink="">
          <xdr:nvSpPr>
            <xdr:cNvPr id="551948" name="Check Box 12" hidden="1">
              <a:extLst>
                <a:ext uri="{63B3BB69-23CF-44E3-9099-C40C66FF867C}">
                  <a14:compatExt spid="_x0000_s551948"/>
                </a:ext>
                <a:ext uri="{FF2B5EF4-FFF2-40B4-BE49-F238E27FC236}">
                  <a16:creationId xmlns:a16="http://schemas.microsoft.com/office/drawing/2014/main" id="{00000000-0008-0000-0600-00000C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Post-Inspection</a:t>
              </a:r>
            </a:p>
          </xdr:txBody>
        </xdr:sp>
        <xdr:clientData/>
      </xdr:twoCellAnchor>
    </mc:Choice>
    <mc:Fallback/>
  </mc:AlternateContent>
  <xdr:oneCellAnchor>
    <xdr:from>
      <xdr:col>4</xdr:col>
      <xdr:colOff>611505</xdr:colOff>
      <xdr:row>28</xdr:row>
      <xdr:rowOff>0</xdr:rowOff>
    </xdr:from>
    <xdr:ext cx="277097" cy="309729"/>
    <xdr:sp macro="" textlink="">
      <xdr:nvSpPr>
        <xdr:cNvPr id="5" name="TextBox 4">
          <a:extLst>
            <a:ext uri="{FF2B5EF4-FFF2-40B4-BE49-F238E27FC236}">
              <a16:creationId xmlns:a16="http://schemas.microsoft.com/office/drawing/2014/main" id="{00000000-0008-0000-0600-000005000000}"/>
            </a:ext>
          </a:extLst>
        </xdr:cNvPr>
        <xdr:cNvSpPr txBox="1"/>
      </xdr:nvSpPr>
      <xdr:spPr>
        <a:xfrm>
          <a:off x="6526530" y="7477125"/>
          <a:ext cx="277097" cy="30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1905</xdr:colOff>
      <xdr:row>29</xdr:row>
      <xdr:rowOff>0</xdr:rowOff>
    </xdr:from>
    <xdr:ext cx="882665" cy="316518"/>
    <xdr:sp macro="" textlink="">
      <xdr:nvSpPr>
        <xdr:cNvPr id="6" name="Check Box 15" hidden="1">
          <a:extLst>
            <a:ext uri="{FF2B5EF4-FFF2-40B4-BE49-F238E27FC236}">
              <a16:creationId xmlns:a16="http://schemas.microsoft.com/office/drawing/2014/main" id="{00000000-0008-0000-0600-000006000000}"/>
            </a:ext>
          </a:extLst>
        </xdr:cNvPr>
        <xdr:cNvSpPr/>
      </xdr:nvSpPr>
      <xdr:spPr>
        <a:xfrm>
          <a:off x="1211580" y="7667625"/>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29</xdr:row>
      <xdr:rowOff>0</xdr:rowOff>
    </xdr:from>
    <xdr:ext cx="885840" cy="315909"/>
    <xdr:sp macro="" textlink="">
      <xdr:nvSpPr>
        <xdr:cNvPr id="7" name="Check Box 15" hidden="1">
          <a:extLst>
            <a:ext uri="{FF2B5EF4-FFF2-40B4-BE49-F238E27FC236}">
              <a16:creationId xmlns:a16="http://schemas.microsoft.com/office/drawing/2014/main" id="{00000000-0008-0000-0600-000007000000}"/>
            </a:ext>
          </a:extLst>
        </xdr:cNvPr>
        <xdr:cNvSpPr/>
      </xdr:nvSpPr>
      <xdr:spPr>
        <a:xfrm>
          <a:off x="1211580" y="7667625"/>
          <a:ext cx="885840" cy="3159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552450</xdr:colOff>
          <xdr:row>14</xdr:row>
          <xdr:rowOff>190500</xdr:rowOff>
        </xdr:from>
        <xdr:to>
          <xdr:col>2</xdr:col>
          <xdr:colOff>3536950</xdr:colOff>
          <xdr:row>15</xdr:row>
          <xdr:rowOff>114300</xdr:rowOff>
        </xdr:to>
        <xdr:sp macro="" textlink="">
          <xdr:nvSpPr>
            <xdr:cNvPr id="551949" name="Check Box 13" hidden="1">
              <a:extLst>
                <a:ext uri="{63B3BB69-23CF-44E3-9099-C40C66FF867C}">
                  <a14:compatExt spid="_x0000_s551949"/>
                </a:ext>
                <a:ext uri="{FF2B5EF4-FFF2-40B4-BE49-F238E27FC236}">
                  <a16:creationId xmlns:a16="http://schemas.microsoft.com/office/drawing/2014/main" id="{00000000-0008-0000-0600-00000D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Manual N Load Calculations (if installing Commercial Heat Pump)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546100</xdr:colOff>
          <xdr:row>16</xdr:row>
          <xdr:rowOff>19050</xdr:rowOff>
        </xdr:from>
        <xdr:to>
          <xdr:col>2</xdr:col>
          <xdr:colOff>3536950</xdr:colOff>
          <xdr:row>16</xdr:row>
          <xdr:rowOff>171450</xdr:rowOff>
        </xdr:to>
        <xdr:sp macro="" textlink="">
          <xdr:nvSpPr>
            <xdr:cNvPr id="551950" name="Check Box 14" hidden="1">
              <a:extLst>
                <a:ext uri="{63B3BB69-23CF-44E3-9099-C40C66FF867C}">
                  <a14:compatExt spid="_x0000_s551950"/>
                </a:ext>
                <a:ext uri="{FF2B5EF4-FFF2-40B4-BE49-F238E27FC236}">
                  <a16:creationId xmlns:a16="http://schemas.microsoft.com/office/drawing/2014/main" id="{00000000-0008-0000-0600-00000E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533400</xdr:colOff>
          <xdr:row>7</xdr:row>
          <xdr:rowOff>19050</xdr:rowOff>
        </xdr:from>
        <xdr:to>
          <xdr:col>2</xdr:col>
          <xdr:colOff>3505200</xdr:colOff>
          <xdr:row>8</xdr:row>
          <xdr:rowOff>0</xdr:rowOff>
        </xdr:to>
        <xdr:sp macro="" textlink="">
          <xdr:nvSpPr>
            <xdr:cNvPr id="551951" name="Check Box 15" hidden="1">
              <a:extLst>
                <a:ext uri="{63B3BB69-23CF-44E3-9099-C40C66FF867C}">
                  <a14:compatExt spid="_x0000_s551951"/>
                </a:ext>
                <a:ext uri="{FF2B5EF4-FFF2-40B4-BE49-F238E27FC236}">
                  <a16:creationId xmlns:a16="http://schemas.microsoft.com/office/drawing/2014/main" id="{00000000-0008-0000-0600-00000F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12</xdr:row>
          <xdr:rowOff>209550</xdr:rowOff>
        </xdr:from>
        <xdr:to>
          <xdr:col>2</xdr:col>
          <xdr:colOff>3536950</xdr:colOff>
          <xdr:row>14</xdr:row>
          <xdr:rowOff>76200</xdr:rowOff>
        </xdr:to>
        <xdr:sp macro="" textlink="">
          <xdr:nvSpPr>
            <xdr:cNvPr id="551952" name="Check Box 16" hidden="1">
              <a:extLst>
                <a:ext uri="{63B3BB69-23CF-44E3-9099-C40C66FF867C}">
                  <a14:compatExt spid="_x0000_s551952"/>
                </a:ext>
                <a:ext uri="{FF2B5EF4-FFF2-40B4-BE49-F238E27FC236}">
                  <a16:creationId xmlns:a16="http://schemas.microsoft.com/office/drawing/2014/main" id="{00000000-0008-0000-0600-000010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S, 2nd Edition Equipment Selection Printout (if installing Residential Ground Source Heat Pump)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584200</xdr:colOff>
          <xdr:row>30</xdr:row>
          <xdr:rowOff>12700</xdr:rowOff>
        </xdr:from>
        <xdr:to>
          <xdr:col>2</xdr:col>
          <xdr:colOff>3556000</xdr:colOff>
          <xdr:row>30</xdr:row>
          <xdr:rowOff>228600</xdr:rowOff>
        </xdr:to>
        <xdr:sp macro="" textlink="">
          <xdr:nvSpPr>
            <xdr:cNvPr id="551953" name="Check Box 17" hidden="1">
              <a:extLst>
                <a:ext uri="{63B3BB69-23CF-44E3-9099-C40C66FF867C}">
                  <a14:compatExt spid="_x0000_s551953"/>
                </a:ext>
                <a:ext uri="{FF2B5EF4-FFF2-40B4-BE49-F238E27FC236}">
                  <a16:creationId xmlns:a16="http://schemas.microsoft.com/office/drawing/2014/main" id="{00000000-0008-0000-0600-000011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Scanned Copy of IGSHPA Accredited Installer Certification (applies to Geothermal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27</xdr:row>
          <xdr:rowOff>146050</xdr:rowOff>
        </xdr:from>
        <xdr:to>
          <xdr:col>2</xdr:col>
          <xdr:colOff>3556000</xdr:colOff>
          <xdr:row>28</xdr:row>
          <xdr:rowOff>171450</xdr:rowOff>
        </xdr:to>
        <xdr:sp macro="" textlink="">
          <xdr:nvSpPr>
            <xdr:cNvPr id="551954" name="Check Box 18" hidden="1">
              <a:extLst>
                <a:ext uri="{63B3BB69-23CF-44E3-9099-C40C66FF867C}">
                  <a14:compatExt spid="_x0000_s551954"/>
                </a:ext>
                <a:ext uri="{FF2B5EF4-FFF2-40B4-BE49-F238E27FC236}">
                  <a16:creationId xmlns:a16="http://schemas.microsoft.com/office/drawing/2014/main" id="{00000000-0008-0000-0600-000012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Invoice for Well Drilling (new Geothermal system) (if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584200</xdr:colOff>
          <xdr:row>29</xdr:row>
          <xdr:rowOff>19050</xdr:rowOff>
        </xdr:from>
        <xdr:to>
          <xdr:col>2</xdr:col>
          <xdr:colOff>3905250</xdr:colOff>
          <xdr:row>30</xdr:row>
          <xdr:rowOff>0</xdr:rowOff>
        </xdr:to>
        <xdr:sp macro="" textlink="">
          <xdr:nvSpPr>
            <xdr:cNvPr id="551955" name="Check Box 19" hidden="1">
              <a:extLst>
                <a:ext uri="{63B3BB69-23CF-44E3-9099-C40C66FF867C}">
                  <a14:compatExt spid="_x0000_s551955"/>
                </a:ext>
                <a:ext uri="{FF2B5EF4-FFF2-40B4-BE49-F238E27FC236}">
                  <a16:creationId xmlns:a16="http://schemas.microsoft.com/office/drawing/2014/main" id="{00000000-0008-0000-0600-0000136C08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Minimum 1-Year Warranty of Labor with Custome's Signature (applies to Geothermal only)</a:t>
              </a:r>
            </a:p>
          </xdr:txBody>
        </xdr:sp>
        <xdr:clientData/>
      </xdr:twoCellAnchor>
    </mc:Choice>
    <mc:Fallback/>
  </mc:AlternateContent>
  <xdr:twoCellAnchor editAs="oneCell">
    <xdr:from>
      <xdr:col>5</xdr:col>
      <xdr:colOff>915190</xdr:colOff>
      <xdr:row>0</xdr:row>
      <xdr:rowOff>19050</xdr:rowOff>
    </xdr:from>
    <xdr:to>
      <xdr:col>9</xdr:col>
      <xdr:colOff>0</xdr:colOff>
      <xdr:row>1</xdr:row>
      <xdr:rowOff>18796</xdr:rowOff>
    </xdr:to>
    <xdr:pic>
      <xdr:nvPicPr>
        <xdr:cNvPr id="8" name="Picture 14">
          <a:extLst>
            <a:ext uri="{FF2B5EF4-FFF2-40B4-BE49-F238E27FC236}">
              <a16:creationId xmlns:a16="http://schemas.microsoft.com/office/drawing/2014/main" id="{00000000-0008-0000-06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811290" y="19050"/>
          <a:ext cx="3428210" cy="7617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1905</xdr:colOff>
      <xdr:row>25</xdr:row>
      <xdr:rowOff>149225</xdr:rowOff>
    </xdr:from>
    <xdr:to>
      <xdr:col>2</xdr:col>
      <xdr:colOff>887745</xdr:colOff>
      <xdr:row>27</xdr:row>
      <xdr:rowOff>1307</xdr:rowOff>
    </xdr:to>
    <xdr:sp macro="" textlink="">
      <xdr:nvSpPr>
        <xdr:cNvPr id="2" name="Check Box 15" hidden="1">
          <a:extLst>
            <a:ext uri="{FF2B5EF4-FFF2-40B4-BE49-F238E27FC236}">
              <a16:creationId xmlns:a16="http://schemas.microsoft.com/office/drawing/2014/main" id="{00000000-0008-0000-0700-000002000000}"/>
            </a:ext>
          </a:extLst>
        </xdr:cNvPr>
        <xdr:cNvSpPr/>
      </xdr:nvSpPr>
      <xdr:spPr>
        <a:xfrm>
          <a:off x="1214755" y="6537325"/>
          <a:ext cx="882665" cy="309283"/>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twoCellAnchor>
  <mc:AlternateContent xmlns:mc="http://schemas.openxmlformats.org/markup-compatibility/2006">
    <mc:Choice xmlns:a14="http://schemas.microsoft.com/office/drawing/2010/main" Requires="a14">
      <xdr:twoCellAnchor editAs="oneCell">
        <xdr:from>
          <xdr:col>16383</xdr:col>
          <xdr:colOff>0</xdr:colOff>
          <xdr:row>3</xdr:row>
          <xdr:rowOff>0</xdr:rowOff>
        </xdr:from>
        <xdr:to>
          <xdr:col>16383</xdr:col>
          <xdr:colOff>0</xdr:colOff>
          <xdr:row>3</xdr:row>
          <xdr:rowOff>0</xdr:rowOff>
        </xdr:to>
        <xdr:sp macro="" textlink="">
          <xdr:nvSpPr>
            <xdr:cNvPr id="435201" name="Check Box 1" hidden="1">
              <a:extLst>
                <a:ext uri="{63B3BB69-23CF-44E3-9099-C40C66FF867C}">
                  <a14:compatExt spid="_x0000_s435201"/>
                </a:ext>
                <a:ext uri="{FF2B5EF4-FFF2-40B4-BE49-F238E27FC236}">
                  <a16:creationId xmlns:a16="http://schemas.microsoft.com/office/drawing/2014/main" id="{00000000-0008-0000-0700-00000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New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16383</xdr:col>
          <xdr:colOff>0</xdr:colOff>
          <xdr:row>3</xdr:row>
          <xdr:rowOff>0</xdr:rowOff>
        </xdr:from>
        <xdr:to>
          <xdr:col>16383</xdr:col>
          <xdr:colOff>0</xdr:colOff>
          <xdr:row>3</xdr:row>
          <xdr:rowOff>0</xdr:rowOff>
        </xdr:to>
        <xdr:sp macro="" textlink="">
          <xdr:nvSpPr>
            <xdr:cNvPr id="435202" name="Check Box 2" hidden="1">
              <a:extLst>
                <a:ext uri="{63B3BB69-23CF-44E3-9099-C40C66FF867C}">
                  <a14:compatExt spid="_x0000_s435202"/>
                </a:ext>
                <a:ext uri="{FF2B5EF4-FFF2-40B4-BE49-F238E27FC236}">
                  <a16:creationId xmlns:a16="http://schemas.microsoft.com/office/drawing/2014/main" id="{00000000-0008-0000-0700-00000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Replacement Equipment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742950</xdr:colOff>
          <xdr:row>5</xdr:row>
          <xdr:rowOff>50800</xdr:rowOff>
        </xdr:from>
        <xdr:to>
          <xdr:col>2</xdr:col>
          <xdr:colOff>3714750</xdr:colOff>
          <xdr:row>5</xdr:row>
          <xdr:rowOff>209550</xdr:rowOff>
        </xdr:to>
        <xdr:sp macro="" textlink="">
          <xdr:nvSpPr>
            <xdr:cNvPr id="435203" name="Check Box 3" hidden="1">
              <a:extLst>
                <a:ext uri="{63B3BB69-23CF-44E3-9099-C40C66FF867C}">
                  <a14:compatExt spid="_x0000_s435203"/>
                </a:ext>
                <a:ext uri="{FF2B5EF4-FFF2-40B4-BE49-F238E27FC236}">
                  <a16:creationId xmlns:a16="http://schemas.microsoft.com/office/drawing/2014/main" id="{00000000-0008-0000-0700-00000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Application (signature [or equivalent] required)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552450</xdr:colOff>
          <xdr:row>24</xdr:row>
          <xdr:rowOff>0</xdr:rowOff>
        </xdr:from>
        <xdr:to>
          <xdr:col>2</xdr:col>
          <xdr:colOff>3536950</xdr:colOff>
          <xdr:row>24</xdr:row>
          <xdr:rowOff>209550</xdr:rowOff>
        </xdr:to>
        <xdr:sp macro="" textlink="">
          <xdr:nvSpPr>
            <xdr:cNvPr id="435205" name="Check Box 5" hidden="1">
              <a:extLst>
                <a:ext uri="{63B3BB69-23CF-44E3-9099-C40C66FF867C}">
                  <a14:compatExt spid="_x0000_s435205"/>
                </a:ext>
                <a:ext uri="{FF2B5EF4-FFF2-40B4-BE49-F238E27FC236}">
                  <a16:creationId xmlns:a16="http://schemas.microsoft.com/office/drawing/2014/main" id="{00000000-0008-0000-0700-00000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Payment (showing total installed cost; equip make,model &amp; serial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565150</xdr:colOff>
          <xdr:row>25</xdr:row>
          <xdr:rowOff>19050</xdr:rowOff>
        </xdr:from>
        <xdr:to>
          <xdr:col>2</xdr:col>
          <xdr:colOff>3536950</xdr:colOff>
          <xdr:row>26</xdr:row>
          <xdr:rowOff>0</xdr:rowOff>
        </xdr:to>
        <xdr:sp macro="" textlink="">
          <xdr:nvSpPr>
            <xdr:cNvPr id="435206" name="Check Box 6" hidden="1">
              <a:extLst>
                <a:ext uri="{63B3BB69-23CF-44E3-9099-C40C66FF867C}">
                  <a14:compatExt spid="_x0000_s435206"/>
                </a:ext>
                <a:ext uri="{FF2B5EF4-FFF2-40B4-BE49-F238E27FC236}">
                  <a16:creationId xmlns:a16="http://schemas.microsoft.com/office/drawing/2014/main" id="{00000000-0008-0000-0700-00000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Project Completion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774700</xdr:colOff>
          <xdr:row>17</xdr:row>
          <xdr:rowOff>19050</xdr:rowOff>
        </xdr:from>
        <xdr:to>
          <xdr:col>2</xdr:col>
          <xdr:colOff>3746500</xdr:colOff>
          <xdr:row>18</xdr:row>
          <xdr:rowOff>0</xdr:rowOff>
        </xdr:to>
        <xdr:sp macro="" textlink="">
          <xdr:nvSpPr>
            <xdr:cNvPr id="435208" name="Check Box 8" hidden="1">
              <a:extLst>
                <a:ext uri="{63B3BB69-23CF-44E3-9099-C40C66FF867C}">
                  <a14:compatExt spid="_x0000_s435208"/>
                </a:ext>
                <a:ext uri="{FF2B5EF4-FFF2-40B4-BE49-F238E27FC236}">
                  <a16:creationId xmlns:a16="http://schemas.microsoft.com/office/drawing/2014/main" id="{00000000-0008-0000-0700-00000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Assignment Letter (Assigning rebate to Propery Owner)</a:t>
              </a:r>
            </a:p>
          </xdr:txBody>
        </xdr:sp>
        <xdr:clientData/>
      </xdr:twoCellAnchor>
    </mc:Choice>
    <mc:Fallback/>
  </mc:AlternateContent>
  <xdr:oneCellAnchor>
    <xdr:from>
      <xdr:col>4</xdr:col>
      <xdr:colOff>611505</xdr:colOff>
      <xdr:row>2</xdr:row>
      <xdr:rowOff>0</xdr:rowOff>
    </xdr:from>
    <xdr:ext cx="277097" cy="309729"/>
    <xdr:sp macro="" textlink="">
      <xdr:nvSpPr>
        <xdr:cNvPr id="12" name="TextBox 11">
          <a:extLst>
            <a:ext uri="{FF2B5EF4-FFF2-40B4-BE49-F238E27FC236}">
              <a16:creationId xmlns:a16="http://schemas.microsoft.com/office/drawing/2014/main" id="{00000000-0008-0000-0700-00000C000000}"/>
            </a:ext>
          </a:extLst>
        </xdr:cNvPr>
        <xdr:cNvSpPr txBox="1"/>
      </xdr:nvSpPr>
      <xdr:spPr>
        <a:xfrm>
          <a:off x="6523355" y="1524000"/>
          <a:ext cx="277097" cy="30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mc:AlternateContent xmlns:mc="http://schemas.openxmlformats.org/markup-compatibility/2006">
    <mc:Choice xmlns:a14="http://schemas.microsoft.com/office/drawing/2010/main" Requires="a14">
      <xdr:twoCellAnchor editAs="oneCell">
        <xdr:from>
          <xdr:col>1</xdr:col>
          <xdr:colOff>774700</xdr:colOff>
          <xdr:row>15</xdr:row>
          <xdr:rowOff>69850</xdr:rowOff>
        </xdr:from>
        <xdr:to>
          <xdr:col>2</xdr:col>
          <xdr:colOff>3752850</xdr:colOff>
          <xdr:row>16</xdr:row>
          <xdr:rowOff>165100</xdr:rowOff>
        </xdr:to>
        <xdr:sp macro="" textlink="">
          <xdr:nvSpPr>
            <xdr:cNvPr id="435210" name="Check Box 10" hidden="1">
              <a:extLst>
                <a:ext uri="{63B3BB69-23CF-44E3-9099-C40C66FF867C}">
                  <a14:compatExt spid="_x0000_s435210"/>
                </a:ext>
                <a:ext uri="{FF2B5EF4-FFF2-40B4-BE49-F238E27FC236}">
                  <a16:creationId xmlns:a16="http://schemas.microsoft.com/office/drawing/2014/main" id="{00000000-0008-0000-0700-00000A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J, Version 8 Load Calculation Printout (if installing Residential Air Source/Ground Source Heat Pump)</a:t>
              </a:r>
            </a:p>
          </xdr:txBody>
        </xdr:sp>
        <xdr:clientData/>
      </xdr:twoCellAnchor>
    </mc:Choice>
    <mc:Fallback/>
  </mc:AlternateContent>
  <xdr:oneCellAnchor>
    <xdr:from>
      <xdr:col>2</xdr:col>
      <xdr:colOff>1905</xdr:colOff>
      <xdr:row>7</xdr:row>
      <xdr:rowOff>149225</xdr:rowOff>
    </xdr:from>
    <xdr:ext cx="882665" cy="316518"/>
    <xdr:sp macro="" textlink="">
      <xdr:nvSpPr>
        <xdr:cNvPr id="14" name="Check Box 15" hidden="1">
          <a:extLst>
            <a:ext uri="{FF2B5EF4-FFF2-40B4-BE49-F238E27FC236}">
              <a16:creationId xmlns:a16="http://schemas.microsoft.com/office/drawing/2014/main" id="{00000000-0008-0000-0700-00000E000000}"/>
            </a:ext>
          </a:extLst>
        </xdr:cNvPr>
        <xdr:cNvSpPr/>
      </xdr:nvSpPr>
      <xdr:spPr>
        <a:xfrm>
          <a:off x="1214755" y="2981325"/>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774700</xdr:colOff>
          <xdr:row>18</xdr:row>
          <xdr:rowOff>12700</xdr:rowOff>
        </xdr:from>
        <xdr:to>
          <xdr:col>2</xdr:col>
          <xdr:colOff>3733800</xdr:colOff>
          <xdr:row>18</xdr:row>
          <xdr:rowOff>222250</xdr:rowOff>
        </xdr:to>
        <xdr:sp macro="" textlink="">
          <xdr:nvSpPr>
            <xdr:cNvPr id="435211" name="Check Box 11" hidden="1">
              <a:extLst>
                <a:ext uri="{63B3BB69-23CF-44E3-9099-C40C66FF867C}">
                  <a14:compatExt spid="_x0000_s435211"/>
                </a:ext>
                <a:ext uri="{FF2B5EF4-FFF2-40B4-BE49-F238E27FC236}">
                  <a16:creationId xmlns:a16="http://schemas.microsoft.com/office/drawing/2014/main" id="{00000000-0008-0000-0700-00000B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Completed Worksheet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26</xdr:row>
          <xdr:rowOff>31750</xdr:rowOff>
        </xdr:from>
        <xdr:to>
          <xdr:col>2</xdr:col>
          <xdr:colOff>3556000</xdr:colOff>
          <xdr:row>27</xdr:row>
          <xdr:rowOff>19050</xdr:rowOff>
        </xdr:to>
        <xdr:sp macro="" textlink="">
          <xdr:nvSpPr>
            <xdr:cNvPr id="435212" name="Check Box 12" hidden="1">
              <a:extLst>
                <a:ext uri="{63B3BB69-23CF-44E3-9099-C40C66FF867C}">
                  <a14:compatExt spid="_x0000_s435212"/>
                </a:ext>
                <a:ext uri="{FF2B5EF4-FFF2-40B4-BE49-F238E27FC236}">
                  <a16:creationId xmlns:a16="http://schemas.microsoft.com/office/drawing/2014/main" id="{00000000-0008-0000-0700-00000C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Post-Inspection</a:t>
              </a:r>
            </a:p>
          </xdr:txBody>
        </xdr:sp>
        <xdr:clientData/>
      </xdr:twoCellAnchor>
    </mc:Choice>
    <mc:Fallback/>
  </mc:AlternateContent>
  <xdr:oneCellAnchor>
    <xdr:from>
      <xdr:col>4</xdr:col>
      <xdr:colOff>611505</xdr:colOff>
      <xdr:row>28</xdr:row>
      <xdr:rowOff>0</xdr:rowOff>
    </xdr:from>
    <xdr:ext cx="277097" cy="309729"/>
    <xdr:sp macro="" textlink="">
      <xdr:nvSpPr>
        <xdr:cNvPr id="17" name="TextBox 16">
          <a:extLst>
            <a:ext uri="{FF2B5EF4-FFF2-40B4-BE49-F238E27FC236}">
              <a16:creationId xmlns:a16="http://schemas.microsoft.com/office/drawing/2014/main" id="{00000000-0008-0000-0700-000011000000}"/>
            </a:ext>
          </a:extLst>
        </xdr:cNvPr>
        <xdr:cNvSpPr txBox="1"/>
      </xdr:nvSpPr>
      <xdr:spPr>
        <a:xfrm>
          <a:off x="6523355" y="7480300"/>
          <a:ext cx="277097" cy="3097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US"/>
        </a:p>
      </xdr:txBody>
    </xdr:sp>
    <xdr:clientData/>
  </xdr:oneCellAnchor>
  <xdr:oneCellAnchor>
    <xdr:from>
      <xdr:col>2</xdr:col>
      <xdr:colOff>1905</xdr:colOff>
      <xdr:row>29</xdr:row>
      <xdr:rowOff>0</xdr:rowOff>
    </xdr:from>
    <xdr:ext cx="882665" cy="316518"/>
    <xdr:sp macro="" textlink="">
      <xdr:nvSpPr>
        <xdr:cNvPr id="18" name="Check Box 15" hidden="1">
          <a:extLst>
            <a:ext uri="{FF2B5EF4-FFF2-40B4-BE49-F238E27FC236}">
              <a16:creationId xmlns:a16="http://schemas.microsoft.com/office/drawing/2014/main" id="{00000000-0008-0000-0700-000012000000}"/>
            </a:ext>
          </a:extLst>
        </xdr:cNvPr>
        <xdr:cNvSpPr/>
      </xdr:nvSpPr>
      <xdr:spPr>
        <a:xfrm>
          <a:off x="1214755" y="7670800"/>
          <a:ext cx="882665" cy="316518"/>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xdr:oneCellAnchor>
    <xdr:from>
      <xdr:col>2</xdr:col>
      <xdr:colOff>1905</xdr:colOff>
      <xdr:row>29</xdr:row>
      <xdr:rowOff>0</xdr:rowOff>
    </xdr:from>
    <xdr:ext cx="885840" cy="315909"/>
    <xdr:sp macro="" textlink="">
      <xdr:nvSpPr>
        <xdr:cNvPr id="19" name="Check Box 15" hidden="1">
          <a:extLst>
            <a:ext uri="{FF2B5EF4-FFF2-40B4-BE49-F238E27FC236}">
              <a16:creationId xmlns:a16="http://schemas.microsoft.com/office/drawing/2014/main" id="{00000000-0008-0000-0700-000013000000}"/>
            </a:ext>
          </a:extLst>
        </xdr:cNvPr>
        <xdr:cNvSpPr/>
      </xdr:nvSpPr>
      <xdr:spPr>
        <a:xfrm>
          <a:off x="1214755" y="7670800"/>
          <a:ext cx="885840" cy="315909"/>
        </a:xfrm>
        <a:prstGeom prst="rect">
          <a:avLst/>
        </a:prstGeom>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cs typeface="Tahoma"/>
            </a:rPr>
            <a:t>Completed Worksheet</a:t>
          </a:r>
        </a:p>
      </xdr:txBody>
    </xdr:sp>
    <xdr:clientData/>
  </xdr:oneCellAnchor>
  <mc:AlternateContent xmlns:mc="http://schemas.openxmlformats.org/markup-compatibility/2006">
    <mc:Choice xmlns:a14="http://schemas.microsoft.com/office/drawing/2010/main" Requires="a14">
      <xdr:twoCellAnchor editAs="oneCell">
        <xdr:from>
          <xdr:col>1</xdr:col>
          <xdr:colOff>762000</xdr:colOff>
          <xdr:row>14</xdr:row>
          <xdr:rowOff>50800</xdr:rowOff>
        </xdr:from>
        <xdr:to>
          <xdr:col>2</xdr:col>
          <xdr:colOff>3746500</xdr:colOff>
          <xdr:row>14</xdr:row>
          <xdr:rowOff>190500</xdr:rowOff>
        </xdr:to>
        <xdr:sp macro="" textlink="">
          <xdr:nvSpPr>
            <xdr:cNvPr id="435213" name="Check Box 13" hidden="1">
              <a:extLst>
                <a:ext uri="{63B3BB69-23CF-44E3-9099-C40C66FF867C}">
                  <a14:compatExt spid="_x0000_s435213"/>
                </a:ext>
                <a:ext uri="{FF2B5EF4-FFF2-40B4-BE49-F238E27FC236}">
                  <a16:creationId xmlns:a16="http://schemas.microsoft.com/office/drawing/2014/main" id="{00000000-0008-0000-0700-00000D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Manual N Load Calculations (if installing Commercial Heat Pump)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755650</xdr:colOff>
          <xdr:row>7</xdr:row>
          <xdr:rowOff>50800</xdr:rowOff>
        </xdr:from>
        <xdr:to>
          <xdr:col>2</xdr:col>
          <xdr:colOff>3746500</xdr:colOff>
          <xdr:row>7</xdr:row>
          <xdr:rowOff>190500</xdr:rowOff>
        </xdr:to>
        <xdr:sp macro="" textlink="">
          <xdr:nvSpPr>
            <xdr:cNvPr id="435214" name="Check Box 14" hidden="1">
              <a:extLst>
                <a:ext uri="{63B3BB69-23CF-44E3-9099-C40C66FF867C}">
                  <a14:compatExt spid="_x0000_s435214"/>
                </a:ext>
                <a:ext uri="{FF2B5EF4-FFF2-40B4-BE49-F238E27FC236}">
                  <a16:creationId xmlns:a16="http://schemas.microsoft.com/office/drawing/2014/main" id="{00000000-0008-0000-0700-00000E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Cut Sheets for All Measures (must identify model number)</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755650</xdr:colOff>
          <xdr:row>11</xdr:row>
          <xdr:rowOff>12700</xdr:rowOff>
        </xdr:from>
        <xdr:to>
          <xdr:col>2</xdr:col>
          <xdr:colOff>3727450</xdr:colOff>
          <xdr:row>11</xdr:row>
          <xdr:rowOff>222250</xdr:rowOff>
        </xdr:to>
        <xdr:sp macro="" textlink="">
          <xdr:nvSpPr>
            <xdr:cNvPr id="435215" name="Check Box 15" hidden="1">
              <a:extLst>
                <a:ext uri="{63B3BB69-23CF-44E3-9099-C40C66FF867C}">
                  <a14:compatExt spid="_x0000_s435215"/>
                </a:ext>
                <a:ext uri="{FF2B5EF4-FFF2-40B4-BE49-F238E27FC236}">
                  <a16:creationId xmlns:a16="http://schemas.microsoft.com/office/drawing/2014/main" id="{00000000-0008-0000-0700-00000F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 Vendor(s) Proposal (Including Itemized labor and materials)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762000</xdr:colOff>
          <xdr:row>12</xdr:row>
          <xdr:rowOff>57150</xdr:rowOff>
        </xdr:from>
        <xdr:to>
          <xdr:col>2</xdr:col>
          <xdr:colOff>3746500</xdr:colOff>
          <xdr:row>13</xdr:row>
          <xdr:rowOff>165100</xdr:rowOff>
        </xdr:to>
        <xdr:sp macro="" textlink="">
          <xdr:nvSpPr>
            <xdr:cNvPr id="435216" name="Check Box 16" hidden="1">
              <a:extLst>
                <a:ext uri="{63B3BB69-23CF-44E3-9099-C40C66FF867C}">
                  <a14:compatExt spid="_x0000_s435216"/>
                </a:ext>
                <a:ext uri="{FF2B5EF4-FFF2-40B4-BE49-F238E27FC236}">
                  <a16:creationId xmlns:a16="http://schemas.microsoft.com/office/drawing/2014/main" id="{00000000-0008-0000-0700-000010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ACCA Manual S, 2nd Edition Equipment Selection Printout (if installing Residential Ground Source Heat Pump)</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584200</xdr:colOff>
          <xdr:row>30</xdr:row>
          <xdr:rowOff>12700</xdr:rowOff>
        </xdr:from>
        <xdr:to>
          <xdr:col>2</xdr:col>
          <xdr:colOff>3556000</xdr:colOff>
          <xdr:row>30</xdr:row>
          <xdr:rowOff>228600</xdr:rowOff>
        </xdr:to>
        <xdr:sp macro="" textlink="">
          <xdr:nvSpPr>
            <xdr:cNvPr id="435217" name="Check Box 17" hidden="1">
              <a:extLst>
                <a:ext uri="{63B3BB69-23CF-44E3-9099-C40C66FF867C}">
                  <a14:compatExt spid="_x0000_s435217"/>
                </a:ext>
                <a:ext uri="{FF2B5EF4-FFF2-40B4-BE49-F238E27FC236}">
                  <a16:creationId xmlns:a16="http://schemas.microsoft.com/office/drawing/2014/main" id="{00000000-0008-0000-0700-000011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Scanned Copy of IGSHPA Accredited Installer Certification (applies to Geothermal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571500</xdr:colOff>
          <xdr:row>27</xdr:row>
          <xdr:rowOff>146050</xdr:rowOff>
        </xdr:from>
        <xdr:to>
          <xdr:col>2</xdr:col>
          <xdr:colOff>3556000</xdr:colOff>
          <xdr:row>29</xdr:row>
          <xdr:rowOff>12700</xdr:rowOff>
        </xdr:to>
        <xdr:sp macro="" textlink="">
          <xdr:nvSpPr>
            <xdr:cNvPr id="435218" name="Check Box 18" hidden="1">
              <a:extLst>
                <a:ext uri="{63B3BB69-23CF-44E3-9099-C40C66FF867C}">
                  <a14:compatExt spid="_x0000_s435218"/>
                </a:ext>
                <a:ext uri="{FF2B5EF4-FFF2-40B4-BE49-F238E27FC236}">
                  <a16:creationId xmlns:a16="http://schemas.microsoft.com/office/drawing/2014/main" id="{00000000-0008-0000-0700-000012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Invoice for Well Drilling (new Geothermal system) (if applicable)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584200</xdr:colOff>
          <xdr:row>29</xdr:row>
          <xdr:rowOff>19050</xdr:rowOff>
        </xdr:from>
        <xdr:to>
          <xdr:col>2</xdr:col>
          <xdr:colOff>3905250</xdr:colOff>
          <xdr:row>30</xdr:row>
          <xdr:rowOff>0</xdr:rowOff>
        </xdr:to>
        <xdr:sp macro="" textlink="">
          <xdr:nvSpPr>
            <xdr:cNvPr id="435219" name="Check Box 19" hidden="1">
              <a:extLst>
                <a:ext uri="{63B3BB69-23CF-44E3-9099-C40C66FF867C}">
                  <a14:compatExt spid="_x0000_s435219"/>
                </a:ext>
                <a:ext uri="{FF2B5EF4-FFF2-40B4-BE49-F238E27FC236}">
                  <a16:creationId xmlns:a16="http://schemas.microsoft.com/office/drawing/2014/main" id="{00000000-0008-0000-0700-000013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Minimum 1-Year Warranty of Labor with Custome's Signature (applies to Geothermal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755650</xdr:colOff>
          <xdr:row>8</xdr:row>
          <xdr:rowOff>38100</xdr:rowOff>
        </xdr:from>
        <xdr:to>
          <xdr:col>2</xdr:col>
          <xdr:colOff>3746500</xdr:colOff>
          <xdr:row>8</xdr:row>
          <xdr:rowOff>190500</xdr:rowOff>
        </xdr:to>
        <xdr:sp macro="" textlink="">
          <xdr:nvSpPr>
            <xdr:cNvPr id="435220" name="Check Box 20" hidden="1">
              <a:extLst>
                <a:ext uri="{63B3BB69-23CF-44E3-9099-C40C66FF867C}">
                  <a14:compatExt spid="_x0000_s435220"/>
                </a:ext>
                <a:ext uri="{FF2B5EF4-FFF2-40B4-BE49-F238E27FC236}">
                  <a16:creationId xmlns:a16="http://schemas.microsoft.com/office/drawing/2014/main" id="{00000000-0008-0000-0700-000014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Proof of NEEP database listing (ccASHP only)</a:t>
              </a:r>
            </a:p>
          </xdr:txBody>
        </xdr:sp>
        <xdr:clientData/>
      </xdr:twoCellAnchor>
    </mc:Choice>
    <mc:Fallback/>
  </mc:AlternateContent>
  <xdr:twoCellAnchor editAs="oneCell">
    <xdr:from>
      <xdr:col>4</xdr:col>
      <xdr:colOff>844550</xdr:colOff>
      <xdr:row>0</xdr:row>
      <xdr:rowOff>323850</xdr:rowOff>
    </xdr:from>
    <xdr:to>
      <xdr:col>9</xdr:col>
      <xdr:colOff>0</xdr:colOff>
      <xdr:row>1</xdr:row>
      <xdr:rowOff>514309</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759575" y="323850"/>
          <a:ext cx="4479925" cy="9524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xdr:col>
          <xdr:colOff>755650</xdr:colOff>
          <xdr:row>6</xdr:row>
          <xdr:rowOff>31750</xdr:rowOff>
        </xdr:from>
        <xdr:to>
          <xdr:col>2</xdr:col>
          <xdr:colOff>3746500</xdr:colOff>
          <xdr:row>6</xdr:row>
          <xdr:rowOff>190500</xdr:rowOff>
        </xdr:to>
        <xdr:sp macro="" textlink="">
          <xdr:nvSpPr>
            <xdr:cNvPr id="435221" name="Check Box 21" hidden="1">
              <a:extLst>
                <a:ext uri="{63B3BB69-23CF-44E3-9099-C40C66FF867C}">
                  <a14:compatExt spid="_x0000_s435221"/>
                </a:ext>
                <a:ext uri="{FF2B5EF4-FFF2-40B4-BE49-F238E27FC236}">
                  <a16:creationId xmlns:a16="http://schemas.microsoft.com/office/drawing/2014/main" id="{00000000-0008-0000-0700-000015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W9 Form</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755650</xdr:colOff>
          <xdr:row>9</xdr:row>
          <xdr:rowOff>12700</xdr:rowOff>
        </xdr:from>
        <xdr:to>
          <xdr:col>2</xdr:col>
          <xdr:colOff>3727450</xdr:colOff>
          <xdr:row>10</xdr:row>
          <xdr:rowOff>209550</xdr:rowOff>
        </xdr:to>
        <xdr:sp macro="" textlink="">
          <xdr:nvSpPr>
            <xdr:cNvPr id="435222" name="Check Box 22" hidden="1">
              <a:extLst>
                <a:ext uri="{63B3BB69-23CF-44E3-9099-C40C66FF867C}">
                  <a14:compatExt spid="_x0000_s435222"/>
                </a:ext>
                <a:ext uri="{FF2B5EF4-FFF2-40B4-BE49-F238E27FC236}">
                  <a16:creationId xmlns:a16="http://schemas.microsoft.com/office/drawing/2014/main" id="{00000000-0008-0000-0700-000016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Pre-Inspection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781050</xdr:colOff>
          <xdr:row>18</xdr:row>
          <xdr:rowOff>203200</xdr:rowOff>
        </xdr:from>
        <xdr:to>
          <xdr:col>2</xdr:col>
          <xdr:colOff>3733800</xdr:colOff>
          <xdr:row>19</xdr:row>
          <xdr:rowOff>184150</xdr:rowOff>
        </xdr:to>
        <xdr:sp macro="" textlink="">
          <xdr:nvSpPr>
            <xdr:cNvPr id="435223" name="Check Box 23" hidden="1">
              <a:extLst>
                <a:ext uri="{63B3BB69-23CF-44E3-9099-C40C66FF867C}">
                  <a14:compatExt spid="_x0000_s435223"/>
                </a:ext>
                <a:ext uri="{FF2B5EF4-FFF2-40B4-BE49-F238E27FC236}">
                  <a16:creationId xmlns:a16="http://schemas.microsoft.com/office/drawing/2014/main" id="{00000000-0008-0000-0700-000017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Existing HVAC unit Information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781050</xdr:colOff>
          <xdr:row>19</xdr:row>
          <xdr:rowOff>190500</xdr:rowOff>
        </xdr:from>
        <xdr:to>
          <xdr:col>2</xdr:col>
          <xdr:colOff>3746500</xdr:colOff>
          <xdr:row>20</xdr:row>
          <xdr:rowOff>171450</xdr:rowOff>
        </xdr:to>
        <xdr:sp macro="" textlink="">
          <xdr:nvSpPr>
            <xdr:cNvPr id="435224" name="Check Box 24" hidden="1">
              <a:extLst>
                <a:ext uri="{63B3BB69-23CF-44E3-9099-C40C66FF867C}">
                  <a14:compatExt spid="_x0000_s435224"/>
                </a:ext>
                <a:ext uri="{FF2B5EF4-FFF2-40B4-BE49-F238E27FC236}">
                  <a16:creationId xmlns:a16="http://schemas.microsoft.com/office/drawing/2014/main" id="{00000000-0008-0000-0700-000018A406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2860" rIns="0" bIns="22860" anchor="ctr" upright="1"/>
            <a:lstStyle/>
            <a:p>
              <a:pPr algn="l" rtl="0">
                <a:defRPr sz="1000"/>
              </a:pPr>
              <a:r>
                <a:rPr lang="en-US" sz="800" b="0" i="0" u="none" strike="noStrike" baseline="0">
                  <a:solidFill>
                    <a:srgbClr val="000000"/>
                  </a:solidFill>
                  <a:latin typeface="Tahoma"/>
                  <a:ea typeface="Tahoma"/>
                  <a:cs typeface="Tahoma"/>
                </a:rPr>
                <a:t>One year of fossil fuel billing data</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6</xdr:col>
      <xdr:colOff>4214327</xdr:colOff>
      <xdr:row>0</xdr:row>
      <xdr:rowOff>180975</xdr:rowOff>
    </xdr:from>
    <xdr:to>
      <xdr:col>12</xdr:col>
      <xdr:colOff>0</xdr:colOff>
      <xdr:row>1</xdr:row>
      <xdr:rowOff>463550</xdr:rowOff>
    </xdr:to>
    <xdr:pic>
      <xdr:nvPicPr>
        <xdr:cNvPr id="3" name="Picture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424502" y="180975"/>
          <a:ext cx="4910623"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us.lmco.com\mfc\Users\E305427\AppData\Local\Microsoft\Windows\Temporary%20Internet%20Files\Content.Outlook\EB3P7JSY\PSEGLI_2017%20Existing%20Building_VERSION%201.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S:\Shared\ees_mgmt\11_PSEG-Program%20Planning\Applications\2020%20Drafts\PSEGLI_2020%20Comprehensive%20Performance%20Lighting%20Application_VERSION%202.0_Draft9.xlsm"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us.lmco.com\dcs\home\Program%20Planning\Residential%20Planning\2017\Cool%20Homes\PSEGLI_2017%20Cool%20Homes%20LI%20Equipment%20Only_VERSION%202.1.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us.lmco.com\mfc\LMEnergy\Shared\ees_mgmt\11_PSEG-Program%20Planning\Applications\2019Drafts\PSEGLI-2019_Fast%20Track_VERSION%20draft_1.0.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4%20Planning\Completed%20New%20Logo%20Applications\Quarter%203\PSEGLI_2014%20Lighting%20Retrofit%20Worksheet%20VERSION%202014%20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H:\Clients\LIPA\PDI\Planning%20Folder\Programs\Commercial%20Efficiency\2014%20Planning\Completed%20New%20Logo%20Applications\Quarter%203\PSEGLI_2014%20Lighting%20Retrofit%20Worksheet%20VERSION%202014%202.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us.lmco.com\mfc\Users\kmolloy\AppData\Local\Microsoft\Windows\Temporary%20Internet%20Files\Content.Outlook\LHIPVBUS\CHdraft_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ameresco.com\d\Users\E305427\AppData\Local\Microsoft\Windows\Temporary%20Internet%20Files\Content.Outlook\EB3P7JSY\PSEGLI_2016%20Lighting_Retrofit_Worksheet_VERSION%201.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us.lmco.com\mfc\Users\E305427\Documents\PSEG%20CEP\Worksheet%20Testing\Standard%20Rebates\PSEGLI_2017%20Rebate%20Application_VERSION%20Draft_1.2_PSEGLI%20Approva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us.lmco.com\mfc\Clients\LIPA\PDI\Planning%20Folder\Programs\Commercial%20Efficiency\2012%20Final%20Applications\Quarter%203\Potential%20Quarter%202%20Updates.xls" TargetMode="External"/></Relationships>
</file>

<file path=xl/externalLinks/_rels/externalLink19.xml.rels><?xml version="1.0" encoding="UTF-8" standalone="yes"?>
<Relationships xmlns="http://schemas.openxmlformats.org/package/2006/relationships"><Relationship Id="rId2" Type="http://schemas.openxmlformats.org/officeDocument/2006/relationships/externalLinkPath" Target="file:///\\Azreastpwcch1\pw\EFF\Shared\ees_mgmt\11_PSEG-Program%20Planning\Applications\2023%20Drafts\PSEGLI_2023_MultiFamilyRebateApplication_Version%202.0_Draft9.xlsm" TargetMode="External"/><Relationship Id="rId1" Type="http://schemas.openxmlformats.org/officeDocument/2006/relationships/externalLinkPath" Target="file:///Z:\Applications\2023%20Drafts\PSEGLI_2023_MultiFamilyRebateApplication_Version%202.0_Draft9.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_GeothermalApplication_VERSION%202.0.xlsm" TargetMode="External"/><Relationship Id="rId1" Type="http://schemas.openxmlformats.org/officeDocument/2006/relationships/externalLinkPath" Target="file:///S:\Shared\ees_mgmt\11_PSEG-Program%20Planning\Applications\2023%20Active\PSEGLI_2023_GeothermalApplication_VERSION%202.0.xlsm" TargetMode="External"/></Relationships>
</file>

<file path=xl/externalLinks/_rels/externalLink3.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20All%20Electric%20Homes_VERSION%201.0.xlsm" TargetMode="External"/><Relationship Id="rId1" Type="http://schemas.openxmlformats.org/officeDocument/2006/relationships/externalLinkPath" Target="file:///S:\Shared\ees_mgmt\11_PSEG-Program%20Planning\Applications\2023%20Active\PSEGLI_2023%20All%20Electric%20Homes_VERSION%201.0.xlsm" TargetMode="External"/></Relationships>
</file>

<file path=xl/externalLinks/_rels/externalLink4.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20Standard%20Rebate%20Application_VERSION%201.0.xlsm" TargetMode="External"/><Relationship Id="rId1" Type="http://schemas.openxmlformats.org/officeDocument/2006/relationships/externalLinkPath" Target="file:///S:\Shared\ees_mgmt\11_PSEG-Program%20Planning\Applications\2023%20Active\PSEGLI_2023%20Standard%20Rebate%20Application_VERSION%201.0.xlsm" TargetMode="External"/></Relationships>
</file>

<file path=xl/externalLinks/_rels/externalLink5.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2023_Fast%20Track_VERSION%201.0.xls" TargetMode="External"/><Relationship Id="rId1" Type="http://schemas.openxmlformats.org/officeDocument/2006/relationships/externalLinkPath" Target="file:///S:\Shared\ees_mgmt\11_PSEG-Program%20Planning\Applications\2023%20Active\PSEGLI-2023_Fast%20Track_VERSION%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ameresco.com\d\Clients\LIPA\PDI\Planning%20Folder\Programs\Commercial%20Efficiency\2012%20Final%20Applications\Quarter%203\Lighting%20Retrofit%20Worksheet%20VERSION%202012%20-%203.0.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20HVAC%20Worksheet_VERSION%201.0.xlsm" TargetMode="External"/><Relationship Id="rId1" Type="http://schemas.openxmlformats.org/officeDocument/2006/relationships/externalLinkPath" Target="file:///S:\Shared\ees_mgmt\11_PSEG-Program%20Planning\Applications\2023%20Active\PSEGLI_2023%20HVAC%20Worksheet_VERSION%201.0.xlsm"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s.lmco.com\mfc\Users\kmolloy\AppData\Local\Microsoft\Windows\Temporary%20Internet%20Files\Content.Outlook\RM4OY6JA\ResiCHTest0%202.xls" TargetMode="External"/></Relationships>
</file>

<file path=xl/externalLinks/_rels/externalLink9.xml.rels><?xml version="1.0" encoding="UTF-8" standalone="yes"?>
<Relationships xmlns="http://schemas.openxmlformats.org/package/2006/relationships"><Relationship Id="rId2" Type="http://schemas.openxmlformats.org/officeDocument/2006/relationships/externalLinkPath" Target="file:///S:\Shared\ees_mgmt\11_PSEG-Program%20Planning\Applications\2023%20Active\PSEGLI_2023%20Home%20Comfort_Version%202.0.xlsm" TargetMode="External"/><Relationship Id="rId1" Type="http://schemas.openxmlformats.org/officeDocument/2006/relationships/externalLinkPath" Target="file:///S:\Shared\ees_mgmt\11_PSEG-Program%20Planning\Applications\2023%20Active\PSEGLI_2023%20Home%20Comfort_Version%202.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EB"/>
      <sheetName val="Terms and Conditions EB"/>
      <sheetName val="Guidelines EB"/>
      <sheetName val="Required Documents EB"/>
      <sheetName val="Thermal Storage"/>
      <sheetName val="TES Collection Form"/>
      <sheetName val="Cool Roof EB"/>
      <sheetName val="CR Inspect"/>
      <sheetName val="Compressed Air EB"/>
      <sheetName val="CA Inspect"/>
      <sheetName val="VFD EB"/>
      <sheetName val="VFD Inspect"/>
      <sheetName val="Refrigeration EB"/>
      <sheetName val="Refrigeration Inspect"/>
      <sheetName val="Chiller EB"/>
      <sheetName val="Chiller Inspect"/>
      <sheetName val="Custom EB"/>
    </sheetNames>
    <sheetDataSet>
      <sheetData sheetId="0" refreshError="1"/>
      <sheetData sheetId="1" refreshError="1">
        <row r="4">
          <cell r="I4" t="str">
            <v>Water Cooled, positive displacement &lt; 75</v>
          </cell>
          <cell r="O4">
            <v>0.70199999999999996</v>
          </cell>
          <cell r="P4">
            <v>0.52500000000000002</v>
          </cell>
          <cell r="Q4">
            <v>15</v>
          </cell>
          <cell r="R4">
            <v>8</v>
          </cell>
        </row>
        <row r="5">
          <cell r="I5" t="str">
            <v>Water Cooled, positive displacement ≥ 75 and &lt; 150</v>
          </cell>
          <cell r="O5">
            <v>0.69799999999999995</v>
          </cell>
          <cell r="P5">
            <v>0.52500000000000002</v>
          </cell>
          <cell r="Q5">
            <v>15</v>
          </cell>
          <cell r="R5">
            <v>8</v>
          </cell>
        </row>
        <row r="6">
          <cell r="I6" t="str">
            <v>Water Cooled, positive displacement ≥ 150 and &lt; 300</v>
          </cell>
          <cell r="O6">
            <v>0.61199999999999999</v>
          </cell>
          <cell r="P6">
            <v>0.47299999999999998</v>
          </cell>
          <cell r="Q6">
            <v>15</v>
          </cell>
          <cell r="R6">
            <v>2</v>
          </cell>
        </row>
        <row r="7">
          <cell r="I7" t="str">
            <v>Water Cooled, positive displacement ≥ 300</v>
          </cell>
          <cell r="O7">
            <v>0.58799999999999997</v>
          </cell>
          <cell r="P7">
            <v>0.43</v>
          </cell>
          <cell r="Q7">
            <v>18</v>
          </cell>
          <cell r="R7">
            <v>3</v>
          </cell>
        </row>
        <row r="8">
          <cell r="I8" t="str">
            <v>Water Cooled, centrifugal &lt; 150</v>
          </cell>
          <cell r="O8">
            <v>0.57099999999999995</v>
          </cell>
          <cell r="P8">
            <v>0.39400000000000002</v>
          </cell>
          <cell r="Q8">
            <v>15</v>
          </cell>
          <cell r="R8">
            <v>8</v>
          </cell>
        </row>
        <row r="9">
          <cell r="I9" t="str">
            <v>Water Cooled, centrifugal ≥ 150 and &lt; 300</v>
          </cell>
          <cell r="O9">
            <v>0.57099999999999995</v>
          </cell>
          <cell r="P9">
            <v>0.39400000000000002</v>
          </cell>
          <cell r="Q9">
            <v>15</v>
          </cell>
          <cell r="R9">
            <v>2</v>
          </cell>
        </row>
        <row r="10">
          <cell r="I10" t="str">
            <v xml:space="preserve">Water Cooled, centrifugal ≥ 300 and &lt; 600 </v>
          </cell>
          <cell r="O10">
            <v>0.51600000000000001</v>
          </cell>
          <cell r="P10">
            <v>0.39</v>
          </cell>
          <cell r="Q10">
            <v>12</v>
          </cell>
          <cell r="R10">
            <v>2</v>
          </cell>
        </row>
        <row r="11">
          <cell r="I11" t="str">
            <v>Water Cooled, centrifugal ≥ 600 and &lt;1000</v>
          </cell>
          <cell r="O11">
            <v>0.51300000000000001</v>
          </cell>
          <cell r="P11">
            <v>0.35</v>
          </cell>
          <cell r="Q11">
            <v>12</v>
          </cell>
          <cell r="R11">
            <v>2</v>
          </cell>
        </row>
        <row r="19">
          <cell r="M19" t="str">
            <v>BEF</v>
          </cell>
          <cell r="N19" t="str">
            <v>CTF</v>
          </cell>
          <cell r="O19" t="str">
            <v>CWP</v>
          </cell>
          <cell r="P19" t="str">
            <v>RFA</v>
          </cell>
          <cell r="Q19" t="str">
            <v>SFA</v>
          </cell>
          <cell r="R19" t="str">
            <v>WHP</v>
          </cell>
        </row>
        <row r="26">
          <cell r="I26" t="str">
            <v>Air Cooled Chiller</v>
          </cell>
        </row>
        <row r="27">
          <cell r="I27" t="str">
            <v>Water Cooled Chiller</v>
          </cell>
        </row>
        <row r="28">
          <cell r="I28" t="str">
            <v>Other</v>
          </cell>
        </row>
        <row r="49">
          <cell r="B49" t="str">
            <v>College</v>
          </cell>
          <cell r="G49" t="str">
            <v>Office</v>
          </cell>
        </row>
        <row r="50">
          <cell r="B50" t="str">
            <v>Grocery</v>
          </cell>
          <cell r="G50" t="str">
            <v>Restaurant</v>
          </cell>
        </row>
        <row r="51">
          <cell r="B51" t="str">
            <v>Health</v>
          </cell>
          <cell r="G51" t="str">
            <v>Retail</v>
          </cell>
        </row>
        <row r="52">
          <cell r="B52" t="str">
            <v>Hospitals</v>
          </cell>
          <cell r="G52" t="str">
            <v>Grocery</v>
          </cell>
        </row>
        <row r="53">
          <cell r="B53" t="str">
            <v>Hotels/Motels</v>
          </cell>
          <cell r="G53" t="str">
            <v>Warehouse</v>
          </cell>
        </row>
        <row r="54">
          <cell r="B54" t="str">
            <v>Manufacturing</v>
          </cell>
          <cell r="G54" t="str">
            <v>School</v>
          </cell>
        </row>
        <row r="55">
          <cell r="B55" t="str">
            <v>Office</v>
          </cell>
          <cell r="G55" t="str">
            <v>College</v>
          </cell>
        </row>
        <row r="56">
          <cell r="B56" t="str">
            <v>Other</v>
          </cell>
          <cell r="G56" t="str">
            <v>Health</v>
          </cell>
        </row>
        <row r="57">
          <cell r="B57" t="str">
            <v>Religious</v>
          </cell>
          <cell r="G57" t="str">
            <v>Hospitals</v>
          </cell>
        </row>
        <row r="58">
          <cell r="B58" t="str">
            <v>Restaurant</v>
          </cell>
          <cell r="G58" t="str">
            <v>Hotels/Motels</v>
          </cell>
        </row>
        <row r="59">
          <cell r="B59" t="str">
            <v>Retail</v>
          </cell>
          <cell r="G59" t="str">
            <v>Manufacturing</v>
          </cell>
        </row>
        <row r="60">
          <cell r="B60" t="str">
            <v>School</v>
          </cell>
          <cell r="G60" t="str">
            <v>Religious</v>
          </cell>
        </row>
        <row r="61">
          <cell r="B61" t="str">
            <v>Warehouse</v>
          </cell>
          <cell r="G61" t="str">
            <v>Other/Miscellaneous</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2">
          <cell r="B12" t="str">
            <v>Water Cooled, positive displacement &lt; 75</v>
          </cell>
        </row>
        <row r="13">
          <cell r="B13" t="str">
            <v>Water Cooled, positive displacement ≥ 75 and &lt; 150</v>
          </cell>
        </row>
        <row r="14">
          <cell r="B14" t="str">
            <v>Water Cooled, positive displacement ≥ 150 and &lt; 300</v>
          </cell>
        </row>
      </sheetData>
      <sheetData sheetId="19" refreshError="1"/>
      <sheetData sheetId="2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heetName val="Instructions"/>
      <sheetName val="Customer Information"/>
      <sheetName val="Terms and Conditions"/>
      <sheetName val="Guidelines"/>
      <sheetName val="References"/>
      <sheetName val="Required Documents"/>
      <sheetName val="Customer Inputs"/>
      <sheetName val="Calculations"/>
      <sheetName val="LED Eligibility Table"/>
      <sheetName val="Summary"/>
      <sheetName val="Wattage Table"/>
      <sheetName val="Device Code Legend"/>
      <sheetName val="PreInspection_Form"/>
      <sheetName val="Post_Inspection_Form"/>
      <sheetName val="ADMIN"/>
      <sheetName val="ADMIN REF"/>
    </sheetNames>
    <sheetDataSet>
      <sheetData sheetId="0">
        <row r="3">
          <cell r="B3" t="str">
            <v>Comprehensive Performance Lighting</v>
          </cell>
        </row>
      </sheetData>
      <sheetData sheetId="1"/>
      <sheetData sheetId="2" refreshError="1"/>
      <sheetData sheetId="3" refreshError="1"/>
      <sheetData sheetId="4" refreshError="1"/>
      <sheetData sheetId="5">
        <row r="3">
          <cell r="L3">
            <v>2012</v>
          </cell>
        </row>
        <row r="44">
          <cell r="V44" t="str">
            <v>Ceramic Metal Halide</v>
          </cell>
        </row>
        <row r="45">
          <cell r="V45" t="str">
            <v>Compact Fluorescent</v>
          </cell>
        </row>
        <row r="46">
          <cell r="V46" t="str">
            <v>Compact Fluorescent, Double D Shape</v>
          </cell>
        </row>
        <row r="47">
          <cell r="V47" t="str">
            <v>Compact Fluorescent, Quad Tube</v>
          </cell>
        </row>
        <row r="48">
          <cell r="V48" t="str">
            <v>Compact Fluorescent, Spiral</v>
          </cell>
        </row>
        <row r="49">
          <cell r="V49" t="str">
            <v>Compact Fluorescent, Twin Tube</v>
          </cell>
        </row>
        <row r="50">
          <cell r="V50" t="str">
            <v>Electronic Pulse Start Metal Halide</v>
          </cell>
        </row>
        <row r="51">
          <cell r="V51" t="str">
            <v>Exit Sign, Compact Fluorescent</v>
          </cell>
        </row>
        <row r="52">
          <cell r="V52" t="str">
            <v>Exit Sign, Incandescent</v>
          </cell>
        </row>
        <row r="53">
          <cell r="V53" t="str">
            <v>Exit Sign, LED</v>
          </cell>
        </row>
        <row r="54">
          <cell r="J54" t="str">
            <v>Delamped</v>
          </cell>
          <cell r="V54" t="str">
            <v>Halogen</v>
          </cell>
        </row>
        <row r="55">
          <cell r="J55" t="str">
            <v>Tandem</v>
          </cell>
          <cell r="V55" t="str">
            <v>Halogen, Low Voltage</v>
          </cell>
        </row>
        <row r="56">
          <cell r="V56" t="str">
            <v>High Pressure Sodium</v>
          </cell>
        </row>
        <row r="57">
          <cell r="V57" t="str">
            <v>Incandescent</v>
          </cell>
        </row>
        <row r="58">
          <cell r="V58" t="str">
            <v>Induction</v>
          </cell>
        </row>
        <row r="59">
          <cell r="V59" t="str">
            <v>Low Bay Parking Garage</v>
          </cell>
        </row>
        <row r="60">
          <cell r="V60" t="str">
            <v>Mercury Vapor</v>
          </cell>
        </row>
        <row r="61">
          <cell r="V61" t="str">
            <v>Metal Halide</v>
          </cell>
        </row>
        <row r="62">
          <cell r="V62" t="str">
            <v>Metal Halide, Pulse Start</v>
          </cell>
        </row>
      </sheetData>
      <sheetData sheetId="6" refreshError="1"/>
      <sheetData sheetId="7">
        <row r="6">
          <cell r="C6" t="str">
            <v/>
          </cell>
        </row>
      </sheetData>
      <sheetData sheetId="8" refreshError="1"/>
      <sheetData sheetId="9" refreshError="1"/>
      <sheetData sheetId="10" refreshError="1"/>
      <sheetData sheetId="11">
        <row r="3">
          <cell r="D3" t="str">
            <v>CMHI24/1</v>
          </cell>
        </row>
      </sheetData>
      <sheetData sheetId="12" refreshError="1"/>
      <sheetData sheetId="13" refreshError="1"/>
      <sheetData sheetId="14" refreshError="1"/>
      <sheetData sheetId="15" refreshError="1"/>
      <sheetData sheetId="16"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stomer Information"/>
      <sheetName val="Application Form"/>
      <sheetName val="Required Documents"/>
      <sheetName val="Worksheet"/>
      <sheetName val="Qualifying_Index"/>
      <sheetName val="References"/>
      <sheetName val="Guidelines "/>
      <sheetName val="Naming"/>
      <sheetName val="Ts and Cs"/>
      <sheetName val="Project Completion Form"/>
      <sheetName val="Inspection Form"/>
      <sheetName val="ProposedEquipment0"/>
      <sheetName val="Tables"/>
      <sheetName val="Development"/>
    </sheetNames>
    <sheetDataSet>
      <sheetData sheetId="0" refreshError="1"/>
      <sheetData sheetId="1"/>
      <sheetData sheetId="2" refreshError="1"/>
      <sheetData sheetId="3">
        <row r="35">
          <cell r="E35" t="str">
            <v/>
          </cell>
        </row>
        <row r="49">
          <cell r="F49" t="str">
            <v/>
          </cell>
          <cell r="G49" t="str">
            <v/>
          </cell>
          <cell r="O49" t="str">
            <v/>
          </cell>
          <cell r="Q49" t="str">
            <v/>
          </cell>
        </row>
        <row r="52">
          <cell r="X52" t="str">
            <v/>
          </cell>
        </row>
        <row r="59">
          <cell r="F59" t="str">
            <v/>
          </cell>
          <cell r="G59" t="str">
            <v/>
          </cell>
          <cell r="O59" t="str">
            <v/>
          </cell>
          <cell r="Q59" t="str">
            <v/>
          </cell>
          <cell r="X59" t="str">
            <v/>
          </cell>
        </row>
        <row r="79">
          <cell r="C79" t="str">
            <v>Condenser</v>
          </cell>
          <cell r="O79" t="str">
            <v>Coil/Air Handler</v>
          </cell>
        </row>
        <row r="80">
          <cell r="C80" t="str">
            <v>Manufacturer</v>
          </cell>
          <cell r="F80" t="str">
            <v>Model Number</v>
          </cell>
          <cell r="G80" t="str">
            <v>Serial Number</v>
          </cell>
          <cell r="O80" t="str">
            <v>Manufacturer</v>
          </cell>
          <cell r="Q80" t="str">
            <v>Model Number</v>
          </cell>
          <cell r="T80" t="str">
            <v>Serial Number</v>
          </cell>
        </row>
      </sheetData>
      <sheetData sheetId="4" refreshError="1"/>
      <sheetData sheetId="5">
        <row r="2">
          <cell r="A2" t="str">
            <v>Ducted Split CAC</v>
          </cell>
          <cell r="C2" t="str">
            <v>YES</v>
          </cell>
        </row>
        <row r="3">
          <cell r="A3" t="str">
            <v>Ducted ASHP</v>
          </cell>
          <cell r="C3" t="str">
            <v>NO</v>
          </cell>
          <cell r="K3" t="str">
            <v>Existing</v>
          </cell>
          <cell r="P3">
            <v>100</v>
          </cell>
        </row>
        <row r="4">
          <cell r="A4" t="str">
            <v>Ductless Mini Split</v>
          </cell>
          <cell r="P4">
            <v>100</v>
          </cell>
        </row>
        <row r="5">
          <cell r="P5">
            <v>100</v>
          </cell>
        </row>
        <row r="6">
          <cell r="P6">
            <v>100</v>
          </cell>
        </row>
        <row r="10">
          <cell r="B10" t="str">
            <v>SEER</v>
          </cell>
          <cell r="D10" t="str">
            <v>EER</v>
          </cell>
          <cell r="F10" t="str">
            <v>COP/HSPF</v>
          </cell>
        </row>
        <row r="11">
          <cell r="B11" t="str">
            <v>Tier I</v>
          </cell>
          <cell r="C11" t="str">
            <v>Tier II</v>
          </cell>
          <cell r="D11" t="str">
            <v>Tier I</v>
          </cell>
          <cell r="F11" t="str">
            <v>Tier I</v>
          </cell>
        </row>
        <row r="12">
          <cell r="A12" t="str">
            <v>Ducted ASHP</v>
          </cell>
          <cell r="B12">
            <v>15</v>
          </cell>
          <cell r="C12">
            <v>16</v>
          </cell>
        </row>
        <row r="13">
          <cell r="A13" t="str">
            <v>Ducted Split CAC</v>
          </cell>
          <cell r="B13">
            <v>16</v>
          </cell>
          <cell r="C13">
            <v>17</v>
          </cell>
        </row>
        <row r="14">
          <cell r="A14" t="str">
            <v>Ductless Mini Split - AC Only</v>
          </cell>
          <cell r="B14">
            <v>18</v>
          </cell>
        </row>
        <row r="15">
          <cell r="A15" t="str">
            <v>Ductless Mini Split - HP</v>
          </cell>
          <cell r="B15">
            <v>18</v>
          </cell>
        </row>
      </sheetData>
      <sheetData sheetId="6" refreshError="1"/>
      <sheetData sheetId="7">
        <row r="3">
          <cell r="B3" t="str">
            <v>Cool Homes CAC</v>
          </cell>
          <cell r="C3" t="str">
            <v>Cooling - HVAC Equipment</v>
          </cell>
          <cell r="D3" t="str">
            <v>CH - EO CAC ER CF TIER 1</v>
          </cell>
        </row>
        <row r="4">
          <cell r="A4" t="str">
            <v>Early Retirement Ducted Split CAC Tier I</v>
          </cell>
          <cell r="B4" t="str">
            <v>Cool Homes CAC</v>
          </cell>
          <cell r="C4" t="str">
            <v>Cooling - HVAC Equipment</v>
          </cell>
          <cell r="D4" t="str">
            <v>CH - EO CAC ER TIER 1</v>
          </cell>
        </row>
        <row r="5">
          <cell r="A5" t="str">
            <v>Early Retirement Ducted Split CAC Tier II</v>
          </cell>
          <cell r="B5" t="str">
            <v>Cool Homes CAC</v>
          </cell>
          <cell r="C5" t="str">
            <v>Cooling - HVAC Equipment</v>
          </cell>
          <cell r="D5" t="str">
            <v>CH - EO CAC ER TIER 2</v>
          </cell>
        </row>
        <row r="6">
          <cell r="B6" t="str">
            <v>Cool Homes CAC</v>
          </cell>
          <cell r="C6" t="str">
            <v>Cooling - HVAC Equipment</v>
          </cell>
          <cell r="D6" t="str">
            <v>CH - EO CAC New CF TIER 1</v>
          </cell>
        </row>
        <row r="7">
          <cell r="A7" t="str">
            <v>New Ducted Split CAC Tier I</v>
          </cell>
          <cell r="B7" t="str">
            <v>Cool Homes CAC</v>
          </cell>
          <cell r="C7" t="str">
            <v>Cooling - HVAC Equipment</v>
          </cell>
          <cell r="D7" t="str">
            <v>CH - EO CAC New TIER 1</v>
          </cell>
        </row>
        <row r="8">
          <cell r="A8" t="str">
            <v>New Ducted Split CAC Tier II</v>
          </cell>
          <cell r="B8" t="str">
            <v>Cool Homes CAC</v>
          </cell>
          <cell r="C8" t="str">
            <v>Cooling - HVAC Equipment</v>
          </cell>
          <cell r="D8" t="str">
            <v>CH - EO CAC New TIER 2</v>
          </cell>
        </row>
        <row r="9">
          <cell r="B9" t="str">
            <v>Cool Homes CAC</v>
          </cell>
          <cell r="C9" t="str">
            <v>Cooling - HVAC Equipment</v>
          </cell>
          <cell r="D9" t="str">
            <v>CH - EO CAC Retrofit CF TIER 1</v>
          </cell>
        </row>
        <row r="10">
          <cell r="A10" t="str">
            <v>Retrofit Ducted Split CAC Tier I</v>
          </cell>
          <cell r="B10" t="str">
            <v>Cool Homes CAC</v>
          </cell>
          <cell r="C10" t="str">
            <v>Cooling - HVAC Equipment</v>
          </cell>
          <cell r="D10" t="str">
            <v>CH - EO CAC Retrofit TIER 1</v>
          </cell>
        </row>
        <row r="11">
          <cell r="A11" t="str">
            <v>Retrofit Ducted Split CAC Tier II</v>
          </cell>
          <cell r="B11" t="str">
            <v>Cool Homes CAC</v>
          </cell>
          <cell r="C11" t="str">
            <v>Cooling - HVAC Equipment</v>
          </cell>
          <cell r="D11" t="str">
            <v>CH - EO CAC Retrofit TIER 2</v>
          </cell>
        </row>
        <row r="12">
          <cell r="B12" t="str">
            <v>Cool Homes Ductless</v>
          </cell>
          <cell r="C12" t="str">
            <v>Cooling - HVAC Equipment</v>
          </cell>
          <cell r="D12" t="str">
            <v>CH - EO DUCTLESS ER CF TIER 1</v>
          </cell>
        </row>
        <row r="13">
          <cell r="B13" t="str">
            <v>Cool Homes Ductless</v>
          </cell>
          <cell r="C13" t="str">
            <v>Cooling - HVAC Equipment</v>
          </cell>
          <cell r="D13" t="str">
            <v>CH - EO DUCTLESS ER TIER 1</v>
          </cell>
        </row>
        <row r="14">
          <cell r="B14" t="str">
            <v>Cool Homes Ductless</v>
          </cell>
          <cell r="C14" t="str">
            <v>Cooling - HVAC Equipment</v>
          </cell>
          <cell r="D14" t="str">
            <v>CH - EO DUCTLESS ER TIER 2</v>
          </cell>
        </row>
        <row r="15">
          <cell r="A15" t="str">
            <v xml:space="preserve">Early Retirement Ductless Mini Split </v>
          </cell>
          <cell r="B15" t="str">
            <v>Cool Homes Ductless</v>
          </cell>
          <cell r="C15" t="str">
            <v>Cooling - HVAC Equipment</v>
          </cell>
          <cell r="D15" t="str">
            <v>CH - EO DUCTLESS ER TIER 3</v>
          </cell>
        </row>
        <row r="16">
          <cell r="B16" t="str">
            <v>Cool Homes Ductless</v>
          </cell>
          <cell r="C16" t="str">
            <v>Cooling - HVAC Equipment</v>
          </cell>
          <cell r="D16" t="str">
            <v>CH - EO DUCTLESS New CF TIER 1</v>
          </cell>
        </row>
        <row r="17">
          <cell r="B17" t="str">
            <v>Cool Homes Ductless</v>
          </cell>
          <cell r="C17" t="str">
            <v>Cooling - HVAC Equipment</v>
          </cell>
          <cell r="D17" t="str">
            <v>CH - EO DUCTLESS New TIER 1</v>
          </cell>
        </row>
        <row r="18">
          <cell r="B18" t="str">
            <v>Cool Homes Ductless</v>
          </cell>
          <cell r="C18" t="str">
            <v>Cooling - HVAC Equipment</v>
          </cell>
          <cell r="D18" t="str">
            <v>CH - EO DUCTLESS New TIER 2</v>
          </cell>
        </row>
        <row r="19">
          <cell r="A19" t="str">
            <v>New Ductless Mini Split</v>
          </cell>
          <cell r="B19" t="str">
            <v>Cool Homes Ductless</v>
          </cell>
          <cell r="C19" t="str">
            <v>Cooling - HVAC Equipment</v>
          </cell>
          <cell r="D19" t="str">
            <v>CH - EO DUCTLESS New TIER 3</v>
          </cell>
        </row>
        <row r="20">
          <cell r="B20" t="str">
            <v>Cool Homes Ductless</v>
          </cell>
          <cell r="C20" t="str">
            <v>Cooling - HVAC Equipment</v>
          </cell>
          <cell r="D20" t="str">
            <v>CH - EO DUCTLESS Retrofit CF TIER 1</v>
          </cell>
        </row>
        <row r="21">
          <cell r="B21" t="str">
            <v>Cool Homes Ductless</v>
          </cell>
          <cell r="C21" t="str">
            <v>Cooling - HVAC Equipment</v>
          </cell>
          <cell r="D21" t="str">
            <v>CH - EO DUCTLESS Retrofit TIER 1</v>
          </cell>
        </row>
        <row r="22">
          <cell r="B22" t="str">
            <v>Cool Homes Ductless</v>
          </cell>
          <cell r="C22" t="str">
            <v>Cooling - HVAC Equipment</v>
          </cell>
          <cell r="D22" t="str">
            <v>CH - EO DUCTLESS Retrofit TIER 2</v>
          </cell>
        </row>
        <row r="23">
          <cell r="A23" t="str">
            <v>Retrofit Ductless Mini Split</v>
          </cell>
          <cell r="B23" t="str">
            <v>Cool Homes Ductless</v>
          </cell>
          <cell r="C23" t="str">
            <v>Cooling - HVAC Equipment</v>
          </cell>
          <cell r="D23" t="str">
            <v>CH - EO DUCTLESS Retrofit TIER 3</v>
          </cell>
        </row>
        <row r="24">
          <cell r="B24" t="str">
            <v>Cool Homes Heat Pump</v>
          </cell>
          <cell r="C24" t="str">
            <v>Cooling - HVAC Equipment</v>
          </cell>
          <cell r="D24" t="str">
            <v>CH - EO GSHP TIER 1</v>
          </cell>
        </row>
        <row r="25">
          <cell r="B25" t="str">
            <v>Cool Homes Heat Pump</v>
          </cell>
          <cell r="C25" t="str">
            <v>Cooling - HVAC Equipment</v>
          </cell>
          <cell r="D25" t="str">
            <v>CH - EO GSHP TIER 2</v>
          </cell>
        </row>
        <row r="26">
          <cell r="B26" t="str">
            <v>Cool Homes Heat Pump</v>
          </cell>
          <cell r="C26" t="str">
            <v>Cooling - HVAC Equipment</v>
          </cell>
          <cell r="D26" t="str">
            <v>CH - EO GSHP TIER 3</v>
          </cell>
        </row>
        <row r="27">
          <cell r="B27" t="str">
            <v>Cool Homes Heat Pump</v>
          </cell>
          <cell r="C27" t="str">
            <v>Cooling - HVAC Equipment</v>
          </cell>
          <cell r="D27" t="str">
            <v>CH - EO HP ER CF TIER 1</v>
          </cell>
        </row>
        <row r="28">
          <cell r="A28" t="str">
            <v>Early Retirement Ducted ASHP Tier I</v>
          </cell>
          <cell r="B28" t="str">
            <v>Cool Homes Heat Pump</v>
          </cell>
          <cell r="C28" t="str">
            <v>Cooling - HVAC Equipment</v>
          </cell>
          <cell r="D28" t="str">
            <v>CH - EO HP ER TIER 1</v>
          </cell>
        </row>
        <row r="29">
          <cell r="A29" t="str">
            <v>Early Retirement Ducted ASHP Tier II</v>
          </cell>
          <cell r="B29" t="str">
            <v>Cool Homes Heat Pump</v>
          </cell>
          <cell r="C29" t="str">
            <v>Cooling - HVAC Equipment</v>
          </cell>
          <cell r="D29" t="str">
            <v>CH - EO HP ER TIER 2</v>
          </cell>
        </row>
        <row r="30">
          <cell r="B30" t="str">
            <v>Cool Homes Heat Pump</v>
          </cell>
          <cell r="C30" t="str">
            <v>Cooling - HVAC Equipment</v>
          </cell>
          <cell r="D30" t="str">
            <v>CH - EO HP New CF TIER 1</v>
          </cell>
        </row>
        <row r="31">
          <cell r="A31" t="str">
            <v>New Ducted ASHP Tier I</v>
          </cell>
          <cell r="B31" t="str">
            <v>Cool Homes Heat Pump</v>
          </cell>
          <cell r="C31" t="str">
            <v>Cooling - HVAC Equipment</v>
          </cell>
          <cell r="D31" t="str">
            <v>CH - EO HP New TIER 1</v>
          </cell>
        </row>
        <row r="32">
          <cell r="A32" t="str">
            <v>New Ducted ASHP Tier II</v>
          </cell>
          <cell r="B32" t="str">
            <v>Cool Homes Heat Pump</v>
          </cell>
          <cell r="C32" t="str">
            <v>Cooling - HVAC Equipment</v>
          </cell>
          <cell r="D32" t="str">
            <v>CH - EO HP New TIER 2</v>
          </cell>
        </row>
        <row r="33">
          <cell r="B33" t="str">
            <v>Cool Homes Heat Pump</v>
          </cell>
          <cell r="C33" t="str">
            <v>Cooling - HVAC Equipment</v>
          </cell>
          <cell r="D33" t="str">
            <v>CH - EO HP Retrofit CF TIER 1</v>
          </cell>
        </row>
        <row r="34">
          <cell r="A34" t="str">
            <v>Retrofit Ducted ASHP Tier I</v>
          </cell>
          <cell r="B34" t="str">
            <v>Cool Homes Heat Pump</v>
          </cell>
          <cell r="C34" t="str">
            <v>Cooling - HVAC Equipment</v>
          </cell>
          <cell r="D34" t="str">
            <v>CH - EO HP Retrofit TIER 1</v>
          </cell>
        </row>
        <row r="35">
          <cell r="A35" t="str">
            <v>Retrofit Ducted ASHP Tier II</v>
          </cell>
          <cell r="B35" t="str">
            <v>Cool Homes Heat Pump</v>
          </cell>
          <cell r="C35" t="str">
            <v>Cooling - HVAC Equipment</v>
          </cell>
          <cell r="D35" t="str">
            <v>CH - EO HP Retrofit TIER 2</v>
          </cell>
        </row>
        <row r="36">
          <cell r="B36" t="str">
            <v>Residential HVAC - Other</v>
          </cell>
          <cell r="C36" t="str">
            <v>Cooling - HVAC Equipment</v>
          </cell>
          <cell r="D36" t="str">
            <v>CH - EO Furnace Fan</v>
          </cell>
        </row>
        <row r="37">
          <cell r="A37" t="str">
            <v xml:space="preserve">Early Retirement Split CAC w/Furnace </v>
          </cell>
          <cell r="B37" t="str">
            <v>Residential HVAC - Other</v>
          </cell>
          <cell r="C37" t="str">
            <v>Cooling - HVAC Equipment</v>
          </cell>
          <cell r="D37" t="str">
            <v>CH - EO CAC New TIER 1 With Furance Fan</v>
          </cell>
        </row>
        <row r="38">
          <cell r="A38" t="str">
            <v xml:space="preserve">Retrofit Split CAC w/Furnace </v>
          </cell>
          <cell r="B38" t="str">
            <v>Residential HVAC - Other</v>
          </cell>
          <cell r="C38" t="str">
            <v>Cooling - HVAC Equipment</v>
          </cell>
          <cell r="D38" t="str">
            <v>CH - EO CAC Retrofit TIER 1 With Furnace Fan</v>
          </cell>
        </row>
        <row r="39">
          <cell r="A39" t="str">
            <v xml:space="preserve">Early Retirement Split CAC w/Furnace </v>
          </cell>
          <cell r="B39" t="str">
            <v>Residential HVAC - Other</v>
          </cell>
          <cell r="C39" t="str">
            <v>Cooling - HVAC Equipment</v>
          </cell>
          <cell r="D39" t="str">
            <v>CH - EO CAC ER TIER 1 With Furnace Fan</v>
          </cell>
        </row>
        <row r="40">
          <cell r="B40" t="str">
            <v>Residential HVAC - Other</v>
          </cell>
          <cell r="C40" t="str">
            <v>Cooling - HVAC Equipment</v>
          </cell>
          <cell r="D40" t="str">
            <v>CH - EO HP New TIER 1 With Furnace Fan</v>
          </cell>
        </row>
        <row r="41">
          <cell r="A41" t="str">
            <v>Retrofit ASHP w/Furnace Tier I</v>
          </cell>
          <cell r="B41" t="str">
            <v>Residential HVAC - Other</v>
          </cell>
          <cell r="C41" t="str">
            <v>Cooling - HVAC Equipment</v>
          </cell>
          <cell r="D41" t="str">
            <v>CH - EO HP Retrofit TIER 1 With Furnace Fan</v>
          </cell>
        </row>
        <row r="42">
          <cell r="A42" t="str">
            <v xml:space="preserve">Early Retirement ASHP w/Furnace </v>
          </cell>
          <cell r="B42" t="str">
            <v>Heat Pump</v>
          </cell>
          <cell r="C42" t="str">
            <v>Cooling - HVAC Equipment</v>
          </cell>
          <cell r="D42" t="str">
            <v>CH - EO HP ER TIER 1 With Furnace Fan</v>
          </cell>
        </row>
        <row r="43">
          <cell r="A43" t="str">
            <v>Retrofit Geothermal, DGX Tier I</v>
          </cell>
          <cell r="B43" t="str">
            <v>Cool Homes Heat Pump</v>
          </cell>
          <cell r="C43" t="str">
            <v>Cooling - HVAC Equipment</v>
          </cell>
          <cell r="D43" t="str">
            <v>CH - EO GSHP DGX Retrofit Tier 1</v>
          </cell>
        </row>
        <row r="44">
          <cell r="A44" t="str">
            <v>Retrofit Geothermal, DGX Tier II</v>
          </cell>
          <cell r="B44" t="str">
            <v>Cool Homes Heat Pump</v>
          </cell>
          <cell r="C44" t="str">
            <v>Cooling - HVAC Equipment</v>
          </cell>
          <cell r="D44" t="str">
            <v>CH - EO GSHP DGX Retrofit Tier 2</v>
          </cell>
        </row>
        <row r="45">
          <cell r="A45" t="str">
            <v>Retrofit Geothermal, Water to Air - Closed Tier I</v>
          </cell>
          <cell r="B45" t="str">
            <v>Cool Homes Heat Pump</v>
          </cell>
          <cell r="C45" t="str">
            <v>Cooling - HVAC Equipment</v>
          </cell>
          <cell r="D45" t="str">
            <v>CH - EO GSHP WTA Closed Retrofit Tier 1</v>
          </cell>
        </row>
        <row r="46">
          <cell r="A46" t="str">
            <v>Retrofit Geothermal, Water to Air - Closed Tier II</v>
          </cell>
          <cell r="B46" t="str">
            <v>Cool Homes Heat Pump</v>
          </cell>
          <cell r="C46" t="str">
            <v>Cooling - HVAC Equipment</v>
          </cell>
          <cell r="D46" t="str">
            <v>CH - EO GSHP WTA Closed Retrofit Tier 2</v>
          </cell>
        </row>
      </sheetData>
      <sheetData sheetId="8" refreshError="1"/>
      <sheetData sheetId="9" refreshError="1"/>
      <sheetData sheetId="10" refreshError="1"/>
      <sheetData sheetId="11" refreshError="1"/>
      <sheetData sheetId="12"/>
      <sheetData sheetId="1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pplication"/>
      <sheetName val="Terms and Conditions EB"/>
      <sheetName val="Worksheet"/>
      <sheetName val="ProposedEquipment0"/>
      <sheetName val="Inspection Form"/>
      <sheetName val="Pre Approval"/>
      <sheetName val="Admin"/>
      <sheetName val="References"/>
      <sheetName val="Calculations"/>
      <sheetName val="Development"/>
    </sheetNames>
    <sheetDataSet>
      <sheetData sheetId="0"/>
      <sheetData sheetId="1"/>
      <sheetData sheetId="2"/>
      <sheetData sheetId="3"/>
      <sheetData sheetId="4"/>
      <sheetData sheetId="5"/>
      <sheetData sheetId="6"/>
      <sheetData sheetId="7">
        <row r="2">
          <cell r="K2" t="str">
            <v>Standard</v>
          </cell>
        </row>
        <row r="3">
          <cell r="A3" t="str">
            <v>CFL</v>
          </cell>
          <cell r="B3" t="str">
            <v>T8</v>
          </cell>
          <cell r="C3" t="str">
            <v>T5</v>
          </cell>
          <cell r="D3" t="str">
            <v>T5</v>
          </cell>
          <cell r="E3" t="str">
            <v>Incandescent</v>
          </cell>
          <cell r="F3" t="str">
            <v>MH</v>
          </cell>
          <cell r="G3" t="str">
            <v>Biax</v>
          </cell>
          <cell r="H3" t="str">
            <v>T8</v>
          </cell>
          <cell r="K3" t="str">
            <v>Premium</v>
          </cell>
        </row>
        <row r="4">
          <cell r="A4" t="str">
            <v>Halogen</v>
          </cell>
          <cell r="B4" t="str">
            <v>T12</v>
          </cell>
          <cell r="C4" t="str">
            <v>T8</v>
          </cell>
          <cell r="D4" t="str">
            <v>T8</v>
          </cell>
          <cell r="E4" t="str">
            <v>CFL</v>
          </cell>
          <cell r="F4" t="str">
            <v>HPS</v>
          </cell>
          <cell r="G4" t="str">
            <v>T8</v>
          </cell>
          <cell r="H4" t="str">
            <v>T12</v>
          </cell>
        </row>
        <row r="5">
          <cell r="A5" t="str">
            <v>Incandescent</v>
          </cell>
          <cell r="B5" t="str">
            <v>New Install</v>
          </cell>
          <cell r="C5" t="str">
            <v>T12</v>
          </cell>
          <cell r="D5" t="str">
            <v>T12</v>
          </cell>
          <cell r="E5" t="str">
            <v>Halogen</v>
          </cell>
          <cell r="F5" t="str">
            <v>T5</v>
          </cell>
          <cell r="G5" t="str">
            <v>T12</v>
          </cell>
        </row>
        <row r="6">
          <cell r="A6" t="str">
            <v>New Install</v>
          </cell>
          <cell r="C6" t="str">
            <v>New Install</v>
          </cell>
          <cell r="D6" t="str">
            <v>Biax</v>
          </cell>
          <cell r="E6" t="str">
            <v>HPS</v>
          </cell>
          <cell r="F6" t="str">
            <v>T8</v>
          </cell>
        </row>
        <row r="7">
          <cell r="D7" t="str">
            <v>New Install</v>
          </cell>
          <cell r="E7" t="str">
            <v>MH</v>
          </cell>
          <cell r="F7" t="str">
            <v>T12</v>
          </cell>
        </row>
        <row r="8">
          <cell r="E8" t="str">
            <v>New Install</v>
          </cell>
          <cell r="F8" t="str">
            <v>New Install</v>
          </cell>
        </row>
      </sheetData>
      <sheetData sheetId="8"/>
      <sheetData sheetId="9"/>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SSL Eligibility Table"/>
      <sheetName val="Device Code Legend"/>
      <sheetName val="Wattage Table"/>
      <sheetName val="AccountEquipment0"/>
      <sheetName val="References"/>
      <sheetName val="ProposedEquipment0"/>
      <sheetName val="LightingProducts"/>
      <sheetName val="Classes"/>
      <sheetName val="Calculations"/>
      <sheetName val="Development"/>
      <sheetName val="Pre_Inspection_Form"/>
      <sheetName val="Post_Inspection_Form"/>
      <sheetName val="Match_Table"/>
      <sheetName val="ADMIN"/>
      <sheetName val="ADMIN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SSL Eligibility Table"/>
      <sheetName val="Device Code Legend"/>
      <sheetName val="Wattage Table"/>
      <sheetName val="AccountEquipment0"/>
      <sheetName val="References"/>
      <sheetName val="ProposedEquipment0"/>
      <sheetName val="LightingProducts"/>
      <sheetName val="Classes"/>
      <sheetName val="Calculations"/>
      <sheetName val="Development"/>
      <sheetName val="Pre_Inspection_Form"/>
      <sheetName val="Post_Inspection_Form"/>
      <sheetName val="Match_Table"/>
      <sheetName val="ADMIN"/>
      <sheetName val="ADMIN 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ignmentForm"/>
      <sheetName val="Required Documents EB"/>
      <sheetName val="Customer Information EB"/>
      <sheetName val="Application"/>
      <sheetName val="Worksheet"/>
      <sheetName val="References"/>
      <sheetName val="Tables"/>
      <sheetName val="Guidelines "/>
      <sheetName val="ProposedEquipment0"/>
      <sheetName val="Naming"/>
      <sheetName val="Ts and Cs"/>
      <sheetName val="Required Documents"/>
      <sheetName val="AIRFLOW FORM"/>
      <sheetName val="AIRFLOW FORM 2"/>
      <sheetName val="AIRFLOW FORM 3"/>
      <sheetName val="Project Completion Form"/>
      <sheetName val="Development"/>
    </sheetNames>
    <sheetDataSet>
      <sheetData sheetId="0"/>
      <sheetData sheetId="1"/>
      <sheetData sheetId="2"/>
      <sheetData sheetId="3" refreshError="1"/>
      <sheetData sheetId="4" refreshError="1">
        <row r="30">
          <cell r="I30" t="str">
            <v xml:space="preserve"> </v>
          </cell>
        </row>
        <row r="44">
          <cell r="I44" t="str">
            <v xml:space="preserve"> </v>
          </cell>
        </row>
        <row r="51">
          <cell r="I51" t="str">
            <v xml:space="preserve"> </v>
          </cell>
        </row>
        <row r="58">
          <cell r="I58" t="str">
            <v xml:space="preserve"> </v>
          </cell>
        </row>
      </sheetData>
      <sheetData sheetId="5">
        <row r="2">
          <cell r="F2" t="str">
            <v>Retrofit</v>
          </cell>
        </row>
      </sheetData>
      <sheetData sheetId="6" refreshError="1"/>
      <sheetData sheetId="7" refreshError="1"/>
      <sheetData sheetId="8" refreshError="1"/>
      <sheetData sheetId="9">
        <row r="3">
          <cell r="B3" t="str">
            <v>Cooling - HVAC Equipment</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ment"/>
      <sheetName val="Instructions"/>
      <sheetName val="Customer Inputs"/>
      <sheetName val="Fluorescent Eligibility Table"/>
      <sheetName val="LED Eligibility Table"/>
      <sheetName val="Summary"/>
      <sheetName val="Wattage Table"/>
      <sheetName val="Device Code Legend"/>
      <sheetName val="References"/>
      <sheetName val="ProposedEquipment0"/>
      <sheetName val="LightingProducts"/>
      <sheetName val="Calculations"/>
      <sheetName val="Pre_Inspection_Form"/>
      <sheetName val="Post_Inspection_Form"/>
      <sheetName val="ADMIN"/>
      <sheetName val="ADMIN REF"/>
    </sheetNames>
    <sheetDataSet>
      <sheetData sheetId="0" refreshError="1">
        <row r="4">
          <cell r="B4" t="str">
            <v>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S_Calculations"/>
      <sheetName val="References"/>
      <sheetName val="Development"/>
      <sheetName val="ProposedEquipment0"/>
      <sheetName val="Customer Information"/>
      <sheetName val="Terms and Conditions"/>
      <sheetName val="Guidelines"/>
      <sheetName val="Required Documents"/>
      <sheetName val="Thermal Storage"/>
      <sheetName val="TES Collection Form"/>
      <sheetName val="Cool Roof"/>
      <sheetName val="CR Inspect"/>
      <sheetName val="Compressed Air"/>
      <sheetName val="CA Inspect"/>
      <sheetName val="VFD"/>
      <sheetName val="VFD Inspect"/>
      <sheetName val="Refrigeration"/>
      <sheetName val="Refrigeration Inspect"/>
      <sheetName val="Custom"/>
      <sheetName val="Chiller EB"/>
    </sheetNames>
    <sheetDataSet>
      <sheetData sheetId="0" refreshError="1"/>
      <sheetData sheetId="1">
        <row r="4">
          <cell r="F4">
            <v>2</v>
          </cell>
        </row>
      </sheetData>
      <sheetData sheetId="2"/>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s>
    <sheetDataSet>
      <sheetData sheetId="0"/>
      <sheetData sheetId="1"/>
      <sheetData sheetId="2"/>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Form"/>
      <sheetName val="Development"/>
      <sheetName val="Customer Information"/>
      <sheetName val="HC - Ts and Cs"/>
      <sheetName val="AssignmentForm"/>
      <sheetName val="Ts and Cs"/>
      <sheetName val="Required Documents"/>
      <sheetName val="Guidelines "/>
      <sheetName val="Integrated Controls"/>
      <sheetName val="In Unit HVAC Worksheet"/>
      <sheetName val="Smart T-Stats"/>
      <sheetName val="In Unit HVAC Pre Inspection"/>
      <sheetName val="In Unit HVAC Post Inspection"/>
      <sheetName val="Worksheet Common HVAC"/>
      <sheetName val="Common HVAC Inspection"/>
      <sheetName val="Elevator Modernization"/>
      <sheetName val="Elevator Inspect"/>
      <sheetName val="Worksheet Common Pool"/>
      <sheetName val="Pool Equip Inspect"/>
      <sheetName val="Worksheet Common VFD Motors"/>
      <sheetName val="VFD Motor Inspect"/>
      <sheetName val="Space Heating Worksheet"/>
      <sheetName val="Dedicated Water Heating"/>
      <sheetName val="Loop Field Cx Form"/>
      <sheetName val="Qualifying_Index"/>
      <sheetName val="HPwES"/>
      <sheetName val="HPwES H&amp;S"/>
      <sheetName val="Air Flow References"/>
      <sheetName val="Tables"/>
      <sheetName val="ProposedEquipment0"/>
      <sheetName val="EFS Pre-Approval"/>
      <sheetName val="AIRFLOW FORM"/>
      <sheetName val="AIRFLOW FORM 2"/>
      <sheetName val="AIRFLOW FORM 3"/>
      <sheetName val="AIRFLOW FORM 4"/>
      <sheetName val="AIRFLOW FORM 5"/>
      <sheetName val="AIRFLOW FORM 6"/>
      <sheetName val="AIRFLOW FORM 7"/>
      <sheetName val="AIRFLOW FORM 8"/>
      <sheetName val="AIRFLOW FORM 9"/>
      <sheetName val="AIRFLOW FORM 10"/>
      <sheetName val="Project Completion Form"/>
      <sheetName val="Project Completion Form HPwES"/>
      <sheetName val="Common Lighting References"/>
      <sheetName val="Common HVAC Calculation"/>
      <sheetName val="Appliances References"/>
      <sheetName val="Geothermal Pre Inspection Form"/>
      <sheetName val="Geothermal Post Inspection Form"/>
      <sheetName val="Worksheet Common Lighting"/>
      <sheetName val="Common Lighting Inspection"/>
      <sheetName val="Worksheet Appliances"/>
      <sheetName val="Appliances Inspection Form"/>
      <sheetName val="Common HVAC References"/>
      <sheetName val="Elevator Mod Calculations"/>
      <sheetName val="References"/>
      <sheetName val="Admi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row r="22">
          <cell r="AC22">
            <v>8</v>
          </cell>
        </row>
      </sheetData>
      <sheetData sheetId="46"/>
      <sheetData sheetId="47"/>
      <sheetData sheetId="48"/>
      <sheetData sheetId="49"/>
      <sheetData sheetId="50"/>
      <sheetData sheetId="51"/>
      <sheetData sheetId="52"/>
      <sheetData sheetId="53"/>
      <sheetData sheetId="54"/>
      <sheetData sheetId="5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evelopment"/>
      <sheetName val="Customer Information"/>
      <sheetName val="AssignmentForm"/>
      <sheetName val="Terms and Conditions"/>
      <sheetName val="Guidelines "/>
      <sheetName val="Required Documents"/>
      <sheetName val="Space Heating Worksheet"/>
      <sheetName val="Dedicated Water Heating"/>
      <sheetName val="ProposedEquipment0_old"/>
      <sheetName val="AIRFLOW FORM 2"/>
      <sheetName val="AIRFLOW FORM 3"/>
      <sheetName val="AIRFLOW FORM 4"/>
      <sheetName val="AIRFLOW FORM 5"/>
      <sheetName val="AIRFLOW FORM 6"/>
      <sheetName val="AIRFLOW FORM 7"/>
      <sheetName val="AIRFLOW FORM 8"/>
      <sheetName val="AIRFLOW FORM 9"/>
      <sheetName val="AIRFLOW FORM 10"/>
      <sheetName val="ProposedEquipment0"/>
      <sheetName val="GSHP Costs"/>
      <sheetName val="Loop Field Cx Form"/>
      <sheetName val="Calculations"/>
      <sheetName val="Qualifying_Index"/>
      <sheetName val="References"/>
      <sheetName val="Pre-Inspection Form"/>
      <sheetName val="Inspection Form"/>
      <sheetName val="Admin"/>
      <sheetName val="Project Completion Form"/>
      <sheetName val="Naming"/>
      <sheetName val="Tables"/>
    </sheetNames>
    <sheetDataSet>
      <sheetData sheetId="0">
        <row r="2">
          <cell r="A2" t="str">
            <v>2.0</v>
          </cell>
        </row>
      </sheetData>
      <sheetData sheetId="1"/>
      <sheetData sheetId="2" refreshError="1"/>
      <sheetData sheetId="3" refreshError="1"/>
      <sheetData sheetId="4" refreshError="1"/>
      <sheetData sheetId="5" refreshError="1"/>
      <sheetData sheetId="6">
        <row r="33">
          <cell r="B33">
            <v>1</v>
          </cell>
        </row>
        <row r="52">
          <cell r="L52" t="str">
            <v/>
          </cell>
        </row>
        <row r="53">
          <cell r="L53" t="str">
            <v/>
          </cell>
        </row>
        <row r="54">
          <cell r="L54" t="str">
            <v/>
          </cell>
        </row>
        <row r="55">
          <cell r="L55" t="str">
            <v/>
          </cell>
        </row>
        <row r="56">
          <cell r="L56" t="str">
            <v/>
          </cell>
        </row>
        <row r="57">
          <cell r="L57" t="str">
            <v/>
          </cell>
        </row>
        <row r="58">
          <cell r="L58" t="str">
            <v/>
          </cell>
        </row>
        <row r="59">
          <cell r="L59" t="str">
            <v/>
          </cell>
        </row>
        <row r="60">
          <cell r="L60" t="str">
            <v/>
          </cell>
        </row>
        <row r="61">
          <cell r="L61" t="str">
            <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ow r="2">
          <cell r="A2" t="str">
            <v>Ducted Split CAC</v>
          </cell>
          <cell r="C2" t="str">
            <v>YES</v>
          </cell>
          <cell r="I2" t="str">
            <v>Geothermal System</v>
          </cell>
          <cell r="N2" t="str">
            <v>Geothermal System Geothermal, DGX Tier I</v>
          </cell>
          <cell r="O2">
            <v>1000</v>
          </cell>
          <cell r="P2">
            <v>200</v>
          </cell>
          <cell r="S2" t="str">
            <v>Geothermal System</v>
          </cell>
          <cell r="T2" t="str">
            <v>Geothermal HP</v>
          </cell>
          <cell r="U2" t="str">
            <v>Geothermal System</v>
          </cell>
          <cell r="V2" t="str">
            <v>Geothermal HP</v>
          </cell>
        </row>
        <row r="3">
          <cell r="A3" t="str">
            <v>Ducted ASHP</v>
          </cell>
          <cell r="C3" t="str">
            <v>NO</v>
          </cell>
          <cell r="I3" t="str">
            <v>Geothermal HP</v>
          </cell>
          <cell r="N3" t="str">
            <v>Geothermal System Geothermal, DGX Tier II</v>
          </cell>
          <cell r="O3">
            <v>2000</v>
          </cell>
          <cell r="P3">
            <v>200</v>
          </cell>
        </row>
        <row r="4">
          <cell r="A4" t="str">
            <v>Ductless Mini Split</v>
          </cell>
          <cell r="N4" t="str">
            <v>Geothermal System Geothermal, Water to Air - Closed Tier I</v>
          </cell>
          <cell r="O4">
            <v>1000</v>
          </cell>
          <cell r="P4">
            <v>200</v>
          </cell>
          <cell r="S4" t="str">
            <v>None</v>
          </cell>
        </row>
        <row r="5">
          <cell r="A5" t="str">
            <v>Geothermal</v>
          </cell>
          <cell r="N5" t="str">
            <v>Geothermal System Geothermal, Water to Air - Closed Tier II</v>
          </cell>
          <cell r="O5">
            <v>2000</v>
          </cell>
          <cell r="P5">
            <v>200</v>
          </cell>
          <cell r="S5" t="str">
            <v>Ductless Mini Split</v>
          </cell>
        </row>
        <row r="6">
          <cell r="N6" t="str">
            <v>Geothermal System Geothermal, Water to Air - Open Tier I</v>
          </cell>
          <cell r="O6">
            <v>1000</v>
          </cell>
          <cell r="P6">
            <v>200</v>
          </cell>
          <cell r="S6" t="str">
            <v>CAC</v>
          </cell>
        </row>
        <row r="7">
          <cell r="N7" t="str">
            <v>Geothermal System Geothermal, Water to Air - Open Tier II</v>
          </cell>
          <cell r="O7">
            <v>2000</v>
          </cell>
          <cell r="P7">
            <v>200</v>
          </cell>
          <cell r="S7" t="str">
            <v>ASHP</v>
          </cell>
        </row>
        <row r="8">
          <cell r="N8" t="str">
            <v>Geothermal System Geothermal, Water to Water - Closed Tier I</v>
          </cell>
          <cell r="O8">
            <v>1000</v>
          </cell>
          <cell r="P8">
            <v>200</v>
          </cell>
          <cell r="S8" t="str">
            <v>Room AC</v>
          </cell>
        </row>
        <row r="10">
          <cell r="I10" t="str">
            <v>Space Heating</v>
          </cell>
        </row>
        <row r="11">
          <cell r="I11" t="str">
            <v>Space &amp; Water Heating</v>
          </cell>
        </row>
        <row r="12">
          <cell r="A12" t="str">
            <v>Ducted ASHP</v>
          </cell>
          <cell r="B12">
            <v>15</v>
          </cell>
          <cell r="C12">
            <v>16</v>
          </cell>
        </row>
        <row r="13">
          <cell r="A13" t="str">
            <v>Ducted Split CAC</v>
          </cell>
          <cell r="B13">
            <v>16</v>
          </cell>
          <cell r="C13">
            <v>17</v>
          </cell>
        </row>
        <row r="14">
          <cell r="A14" t="str">
            <v>Ductless Mini Split - AC Only</v>
          </cell>
          <cell r="B14">
            <v>18</v>
          </cell>
        </row>
        <row r="15">
          <cell r="A15" t="str">
            <v>Ductless Mini Split - HP</v>
          </cell>
          <cell r="B15">
            <v>18</v>
          </cell>
        </row>
        <row r="16">
          <cell r="A16" t="str">
            <v>Geothermal, Water to Air - Closed</v>
          </cell>
          <cell r="D16">
            <v>17.100000000000001</v>
          </cell>
          <cell r="E16">
            <v>20</v>
          </cell>
        </row>
        <row r="17">
          <cell r="A17" t="str">
            <v>Geothermal, Water to Air - Open</v>
          </cell>
        </row>
        <row r="18">
          <cell r="A18" t="str">
            <v>Geothermal, Water to Water - Closed</v>
          </cell>
        </row>
        <row r="19">
          <cell r="A19" t="str">
            <v>Geothermal, Water to Water - Open</v>
          </cell>
          <cell r="J19">
            <v>630</v>
          </cell>
        </row>
        <row r="20">
          <cell r="A20" t="str">
            <v>Geothermal, DGX</v>
          </cell>
          <cell r="J20">
            <v>934</v>
          </cell>
        </row>
        <row r="25">
          <cell r="C25" t="str">
            <v>Residential</v>
          </cell>
        </row>
        <row r="30">
          <cell r="C30">
            <v>0</v>
          </cell>
        </row>
        <row r="44">
          <cell r="B44" t="str">
            <v>Single Stage</v>
          </cell>
          <cell r="D44" t="str">
            <v>Variable Pumping</v>
          </cell>
        </row>
        <row r="45">
          <cell r="B45" t="str">
            <v>Dual Stage</v>
          </cell>
          <cell r="D45" t="str">
            <v>Staged Pumping</v>
          </cell>
        </row>
        <row r="46">
          <cell r="B46" t="str">
            <v>Multi-Stage</v>
          </cell>
          <cell r="D46" t="str">
            <v>Constant Pumping</v>
          </cell>
        </row>
        <row r="47">
          <cell r="B47" t="str">
            <v>Variable Speed</v>
          </cell>
        </row>
        <row r="56">
          <cell r="S56" t="str">
            <v>Geothermal System</v>
          </cell>
          <cell r="T56" t="str">
            <v>Geothermal HP</v>
          </cell>
        </row>
        <row r="67">
          <cell r="N67" t="str">
            <v/>
          </cell>
          <cell r="O67" t="str">
            <v/>
          </cell>
          <cell r="P67" t="e">
            <v>#REF!</v>
          </cell>
        </row>
        <row r="68">
          <cell r="N68" t="e">
            <v>#REF!</v>
          </cell>
          <cell r="O68" t="e">
            <v>#REF!</v>
          </cell>
          <cell r="P68" t="e">
            <v>#REF!</v>
          </cell>
        </row>
        <row r="69">
          <cell r="N69" t="e">
            <v>#REF!</v>
          </cell>
          <cell r="O69" t="e">
            <v>#REF!</v>
          </cell>
          <cell r="P69" t="e">
            <v>#REF!</v>
          </cell>
        </row>
        <row r="70">
          <cell r="N70" t="e">
            <v>#REF!</v>
          </cell>
          <cell r="O70" t="e">
            <v>#REF!</v>
          </cell>
          <cell r="P70" t="e">
            <v>#REF!</v>
          </cell>
        </row>
        <row r="71">
          <cell r="N71" t="e">
            <v>#REF!</v>
          </cell>
          <cell r="O71" t="e">
            <v>#REF!</v>
          </cell>
          <cell r="P71" t="e">
            <v>#REF!</v>
          </cell>
        </row>
      </sheetData>
      <sheetData sheetId="24" refreshError="1"/>
      <sheetData sheetId="25" refreshError="1"/>
      <sheetData sheetId="26">
        <row r="3">
          <cell r="C3" t="str">
            <v>Row Number</v>
          </cell>
          <cell r="D3" t="str">
            <v>Product Line</v>
          </cell>
          <cell r="E3" t="str">
            <v>Class Name</v>
          </cell>
          <cell r="F3" t="str">
            <v>Product Name</v>
          </cell>
          <cell r="G3" t="str">
            <v>Measure Code</v>
          </cell>
          <cell r="H3" t="str">
            <v>Application ID</v>
          </cell>
          <cell r="I3" t="str">
            <v>Application Version</v>
          </cell>
          <cell r="P3" t="str">
            <v>Utility Gross Summer Peak kW</v>
          </cell>
          <cell r="Q3" t="str">
            <v>Utility Gross kWh</v>
          </cell>
          <cell r="AL3" t="str">
            <v>Total CO2 Savings</v>
          </cell>
          <cell r="AO3" t="str">
            <v>Total MMBTU Savings</v>
          </cell>
          <cell r="AP3" t="str">
            <v>Equipment Cost</v>
          </cell>
          <cell r="AQ3" t="str">
            <v>Labor Cost</v>
          </cell>
          <cell r="AR3" t="str">
            <v>Total Cost</v>
          </cell>
          <cell r="AS3" t="str">
            <v>Elec Util Cust Incentive</v>
          </cell>
          <cell r="AT3" t="str">
            <v>Total Elec Util Cust Incentive</v>
          </cell>
          <cell r="AU3" t="str">
            <v>Contractor Incentive</v>
          </cell>
        </row>
        <row r="4">
          <cell r="C4">
            <v>1</v>
          </cell>
          <cell r="D4" t="str">
            <v/>
          </cell>
          <cell r="E4" t="str">
            <v/>
          </cell>
          <cell r="F4" t="str">
            <v/>
          </cell>
          <cell r="G4" t="str">
            <v/>
          </cell>
          <cell r="H4" t="str">
            <v/>
          </cell>
          <cell r="I4" t="str">
            <v/>
          </cell>
          <cell r="P4" t="str">
            <v/>
          </cell>
          <cell r="Q4" t="str">
            <v/>
          </cell>
          <cell r="AL4" t="str">
            <v/>
          </cell>
          <cell r="AO4" t="str">
            <v/>
          </cell>
          <cell r="AR4" t="str">
            <v/>
          </cell>
          <cell r="AS4" t="str">
            <v/>
          </cell>
          <cell r="AT4" t="str">
            <v/>
          </cell>
          <cell r="AU4" t="str">
            <v/>
          </cell>
        </row>
        <row r="5">
          <cell r="C5">
            <v>2</v>
          </cell>
          <cell r="D5" t="str">
            <v/>
          </cell>
          <cell r="E5" t="str">
            <v/>
          </cell>
          <cell r="F5" t="str">
            <v/>
          </cell>
          <cell r="G5" t="str">
            <v/>
          </cell>
          <cell r="H5" t="str">
            <v/>
          </cell>
          <cell r="I5" t="str">
            <v/>
          </cell>
          <cell r="P5" t="str">
            <v/>
          </cell>
          <cell r="Q5" t="str">
            <v/>
          </cell>
          <cell r="AL5" t="str">
            <v/>
          </cell>
          <cell r="AO5" t="str">
            <v/>
          </cell>
          <cell r="AR5" t="str">
            <v/>
          </cell>
          <cell r="AS5" t="str">
            <v/>
          </cell>
          <cell r="AT5" t="str">
            <v/>
          </cell>
          <cell r="AU5" t="str">
            <v/>
          </cell>
        </row>
        <row r="6">
          <cell r="C6">
            <v>3</v>
          </cell>
          <cell r="D6" t="str">
            <v/>
          </cell>
          <cell r="E6" t="str">
            <v/>
          </cell>
          <cell r="F6" t="str">
            <v/>
          </cell>
          <cell r="G6" t="str">
            <v/>
          </cell>
          <cell r="H6" t="str">
            <v/>
          </cell>
          <cell r="I6" t="str">
            <v/>
          </cell>
          <cell r="P6" t="str">
            <v/>
          </cell>
          <cell r="Q6" t="str">
            <v/>
          </cell>
          <cell r="AL6" t="str">
            <v/>
          </cell>
          <cell r="AO6" t="str">
            <v/>
          </cell>
          <cell r="AR6" t="str">
            <v/>
          </cell>
          <cell r="AS6" t="str">
            <v/>
          </cell>
          <cell r="AT6" t="str">
            <v/>
          </cell>
          <cell r="AU6" t="str">
            <v/>
          </cell>
        </row>
        <row r="7">
          <cell r="C7">
            <v>4</v>
          </cell>
          <cell r="D7" t="str">
            <v/>
          </cell>
          <cell r="E7" t="str">
            <v/>
          </cell>
          <cell r="F7" t="str">
            <v/>
          </cell>
          <cell r="G7" t="str">
            <v/>
          </cell>
          <cell r="H7" t="str">
            <v/>
          </cell>
          <cell r="I7" t="str">
            <v/>
          </cell>
          <cell r="P7" t="str">
            <v/>
          </cell>
          <cell r="Q7" t="str">
            <v/>
          </cell>
          <cell r="AL7" t="str">
            <v/>
          </cell>
          <cell r="AO7" t="str">
            <v/>
          </cell>
          <cell r="AR7" t="str">
            <v/>
          </cell>
          <cell r="AS7" t="str">
            <v/>
          </cell>
          <cell r="AT7" t="str">
            <v/>
          </cell>
          <cell r="AU7" t="str">
            <v/>
          </cell>
        </row>
        <row r="8">
          <cell r="C8">
            <v>5</v>
          </cell>
          <cell r="D8" t="str">
            <v/>
          </cell>
          <cell r="E8" t="str">
            <v/>
          </cell>
          <cell r="F8" t="str">
            <v/>
          </cell>
          <cell r="G8" t="str">
            <v/>
          </cell>
          <cell r="H8" t="str">
            <v/>
          </cell>
          <cell r="I8" t="str">
            <v/>
          </cell>
          <cell r="P8" t="str">
            <v/>
          </cell>
          <cell r="Q8" t="str">
            <v/>
          </cell>
          <cell r="AL8" t="str">
            <v/>
          </cell>
          <cell r="AO8" t="str">
            <v/>
          </cell>
          <cell r="AR8" t="str">
            <v/>
          </cell>
          <cell r="AS8" t="str">
            <v/>
          </cell>
          <cell r="AT8" t="str">
            <v/>
          </cell>
          <cell r="AU8" t="str">
            <v/>
          </cell>
        </row>
        <row r="9">
          <cell r="C9">
            <v>6</v>
          </cell>
          <cell r="D9" t="str">
            <v/>
          </cell>
          <cell r="E9" t="str">
            <v/>
          </cell>
          <cell r="F9" t="str">
            <v/>
          </cell>
          <cell r="G9" t="str">
            <v/>
          </cell>
          <cell r="H9" t="str">
            <v/>
          </cell>
          <cell r="I9" t="str">
            <v/>
          </cell>
          <cell r="P9" t="str">
            <v/>
          </cell>
          <cell r="Q9" t="str">
            <v/>
          </cell>
          <cell r="AL9" t="str">
            <v/>
          </cell>
          <cell r="AO9" t="str">
            <v/>
          </cell>
          <cell r="AR9" t="str">
            <v/>
          </cell>
          <cell r="AS9" t="str">
            <v/>
          </cell>
          <cell r="AT9" t="str">
            <v/>
          </cell>
          <cell r="AU9" t="str">
            <v/>
          </cell>
        </row>
        <row r="10">
          <cell r="C10">
            <v>7</v>
          </cell>
          <cell r="D10" t="str">
            <v/>
          </cell>
          <cell r="E10" t="str">
            <v/>
          </cell>
          <cell r="F10" t="str">
            <v/>
          </cell>
          <cell r="G10" t="str">
            <v/>
          </cell>
          <cell r="H10" t="str">
            <v/>
          </cell>
          <cell r="I10" t="str">
            <v/>
          </cell>
          <cell r="P10" t="str">
            <v/>
          </cell>
          <cell r="Q10" t="str">
            <v/>
          </cell>
          <cell r="AL10" t="str">
            <v/>
          </cell>
          <cell r="AO10" t="str">
            <v/>
          </cell>
          <cell r="AR10" t="str">
            <v/>
          </cell>
          <cell r="AS10" t="str">
            <v/>
          </cell>
          <cell r="AT10" t="str">
            <v/>
          </cell>
          <cell r="AU10" t="str">
            <v/>
          </cell>
        </row>
        <row r="11">
          <cell r="C11">
            <v>8</v>
          </cell>
          <cell r="D11" t="str">
            <v/>
          </cell>
          <cell r="E11" t="str">
            <v/>
          </cell>
          <cell r="F11" t="str">
            <v/>
          </cell>
          <cell r="G11" t="str">
            <v/>
          </cell>
          <cell r="H11" t="str">
            <v/>
          </cell>
          <cell r="I11" t="str">
            <v/>
          </cell>
          <cell r="P11" t="str">
            <v/>
          </cell>
          <cell r="Q11" t="str">
            <v/>
          </cell>
          <cell r="AL11" t="str">
            <v/>
          </cell>
          <cell r="AO11" t="str">
            <v/>
          </cell>
          <cell r="AR11" t="str">
            <v/>
          </cell>
          <cell r="AS11" t="str">
            <v/>
          </cell>
          <cell r="AT11" t="str">
            <v/>
          </cell>
          <cell r="AU11" t="str">
            <v/>
          </cell>
        </row>
        <row r="12">
          <cell r="C12">
            <v>9</v>
          </cell>
          <cell r="D12" t="str">
            <v/>
          </cell>
          <cell r="E12" t="str">
            <v/>
          </cell>
          <cell r="F12" t="str">
            <v/>
          </cell>
          <cell r="G12" t="str">
            <v/>
          </cell>
          <cell r="H12" t="str">
            <v/>
          </cell>
          <cell r="I12" t="str">
            <v/>
          </cell>
          <cell r="P12" t="str">
            <v/>
          </cell>
          <cell r="Q12" t="str">
            <v/>
          </cell>
          <cell r="AL12" t="str">
            <v/>
          </cell>
          <cell r="AO12" t="str">
            <v/>
          </cell>
          <cell r="AR12" t="str">
            <v/>
          </cell>
          <cell r="AS12" t="str">
            <v/>
          </cell>
          <cell r="AT12" t="str">
            <v/>
          </cell>
          <cell r="AU12" t="str">
            <v/>
          </cell>
        </row>
        <row r="13">
          <cell r="C13">
            <v>10</v>
          </cell>
          <cell r="D13" t="str">
            <v/>
          </cell>
          <cell r="E13" t="str">
            <v/>
          </cell>
          <cell r="F13" t="str">
            <v/>
          </cell>
          <cell r="G13" t="str">
            <v/>
          </cell>
          <cell r="H13" t="str">
            <v/>
          </cell>
          <cell r="I13" t="str">
            <v/>
          </cell>
          <cell r="P13" t="str">
            <v/>
          </cell>
          <cell r="Q13" t="str">
            <v/>
          </cell>
          <cell r="AL13" t="str">
            <v/>
          </cell>
          <cell r="AO13" t="str">
            <v/>
          </cell>
          <cell r="AR13" t="str">
            <v/>
          </cell>
          <cell r="AS13" t="str">
            <v/>
          </cell>
          <cell r="AT13" t="str">
            <v/>
          </cell>
          <cell r="AU13" t="str">
            <v/>
          </cell>
        </row>
      </sheetData>
      <sheetData sheetId="27" refreshError="1"/>
      <sheetData sheetId="28">
        <row r="3">
          <cell r="A3" t="str">
            <v>Geothermal System Geothermal, DGX Tier I</v>
          </cell>
          <cell r="B3" t="str">
            <v>Geothermal System Geothermal, DGX Tier I</v>
          </cell>
          <cell r="C3" t="str">
            <v>Geothermal Heat Pump</v>
          </cell>
          <cell r="D3" t="str">
            <v>Cooling - HVAC Equipment</v>
          </cell>
          <cell r="E3" t="str">
            <v>GEO - GSHP DGX New Tier 1</v>
          </cell>
        </row>
        <row r="4">
          <cell r="A4" t="str">
            <v>Geothermal System Geothermal, DGX Tier II</v>
          </cell>
          <cell r="B4" t="str">
            <v>Geothermal System Geothermal, DGX Tier II</v>
          </cell>
          <cell r="C4" t="str">
            <v>Geothermal Heat Pump</v>
          </cell>
          <cell r="D4" t="str">
            <v>Cooling - HVAC Equipment</v>
          </cell>
          <cell r="E4" t="str">
            <v>GEO - GSHP DGX New Tier 2</v>
          </cell>
        </row>
        <row r="5">
          <cell r="A5" t="str">
            <v>Geothermal System Geothermal, Water to Air - Closed Tier I</v>
          </cell>
          <cell r="B5" t="str">
            <v>Geothermal System Geothermal, Water to Air - Closed Tier I</v>
          </cell>
          <cell r="C5" t="str">
            <v>Geothermal Heat Pump</v>
          </cell>
          <cell r="D5" t="str">
            <v>Cooling - HVAC Equipment</v>
          </cell>
          <cell r="E5" t="str">
            <v>GEO - GSHP WTA Closed New Tier 1</v>
          </cell>
        </row>
        <row r="6">
          <cell r="A6" t="str">
            <v>Geothermal System Geothermal, Water to Air - Closed Tier II</v>
          </cell>
          <cell r="B6" t="str">
            <v>Geothermal System Geothermal, Water to Air - Closed Tier II</v>
          </cell>
          <cell r="C6" t="str">
            <v>Geothermal Heat Pump</v>
          </cell>
          <cell r="D6" t="str">
            <v>Cooling - HVAC Equipment</v>
          </cell>
          <cell r="E6" t="str">
            <v>GEO - GSHP WTA Closed New Tier 2</v>
          </cell>
        </row>
        <row r="7">
          <cell r="A7" t="str">
            <v>Geothermal System Geothermal, Water to Air - Open Tier I</v>
          </cell>
          <cell r="B7" t="str">
            <v>Geothermal System Geothermal, Water to Air - Open Tier I</v>
          </cell>
          <cell r="C7" t="str">
            <v>Geothermal Heat Pump</v>
          </cell>
          <cell r="D7" t="str">
            <v>Cooling - HVAC Equipment</v>
          </cell>
          <cell r="E7" t="str">
            <v>GEO - GSHP WTA Open New Tier 1</v>
          </cell>
        </row>
        <row r="8">
          <cell r="A8" t="str">
            <v>Geothermal System Geothermal, Water to Air - Open Tier II</v>
          </cell>
          <cell r="B8" t="str">
            <v>Geothermal System Geothermal, Water to Air - Open Tier II</v>
          </cell>
          <cell r="C8" t="str">
            <v>Geothermal Heat Pump</v>
          </cell>
          <cell r="D8" t="str">
            <v>Cooling - HVAC Equipment</v>
          </cell>
          <cell r="E8" t="str">
            <v>GEO - GSHP WTA Open New Tier 2</v>
          </cell>
        </row>
        <row r="9">
          <cell r="A9" t="str">
            <v>Geothermal System Geothermal, Water to Water - Closed Tier I</v>
          </cell>
          <cell r="B9" t="str">
            <v>Geothermal System Geothermal, Water to Water - Closed Tier I</v>
          </cell>
          <cell r="C9" t="str">
            <v>Geothermal Heat Pump</v>
          </cell>
          <cell r="D9" t="str">
            <v>Cooling - HVAC Equipment</v>
          </cell>
          <cell r="E9" t="str">
            <v>GEO - GSHP WTW Closed New Tier 1</v>
          </cell>
        </row>
        <row r="10">
          <cell r="A10" t="str">
            <v>Geothermal System Geothermal, Water to Water - Closed Tier II</v>
          </cell>
          <cell r="B10" t="str">
            <v>Geothermal System Geothermal, Water to Water - Closed Tier II</v>
          </cell>
          <cell r="C10" t="str">
            <v>Geothermal Heat Pump</v>
          </cell>
          <cell r="D10" t="str">
            <v>Cooling - HVAC Equipment</v>
          </cell>
          <cell r="E10" t="str">
            <v>GEO - GSHP WTW Closed New Tier 2</v>
          </cell>
        </row>
        <row r="11">
          <cell r="A11" t="str">
            <v>Geothermal System Geothermal, Water to Water - Open Tier I</v>
          </cell>
          <cell r="B11" t="str">
            <v>Geothermal System Geothermal, Water to Water - Open Tier I</v>
          </cell>
          <cell r="C11" t="str">
            <v>Geothermal Heat Pump</v>
          </cell>
          <cell r="D11" t="str">
            <v>Cooling - HVAC Equipment</v>
          </cell>
          <cell r="E11" t="str">
            <v>GEO - GSHP WTW Open New Tier 1</v>
          </cell>
        </row>
        <row r="12">
          <cell r="A12" t="str">
            <v>Geothermal System Geothermal, Water to Water - Open Tier II</v>
          </cell>
          <cell r="B12" t="str">
            <v>Geothermal System Geothermal, Water to Water - Open Tier II</v>
          </cell>
          <cell r="C12" t="str">
            <v>Geothermal Heat Pump</v>
          </cell>
          <cell r="D12" t="str">
            <v>Cooling - HVAC Equipment</v>
          </cell>
          <cell r="E12" t="str">
            <v>GEO - GSHP WTW Open New Tier 2</v>
          </cell>
        </row>
        <row r="13">
          <cell r="A13" t="str">
            <v>Geothermal HP Geothermal, DGX Tier I</v>
          </cell>
          <cell r="B13" t="str">
            <v>Geothermal HP Geothermal, DGX Tier I</v>
          </cell>
          <cell r="C13" t="str">
            <v>Geothermal Heat Pump</v>
          </cell>
          <cell r="D13" t="str">
            <v>Cooling - HVAC Equipment</v>
          </cell>
          <cell r="E13" t="str">
            <v>GEO - GSHP DGX Retrofit Tier 1</v>
          </cell>
        </row>
        <row r="14">
          <cell r="A14" t="str">
            <v>Geothermal HP Geothermal, DGX Tier II</v>
          </cell>
          <cell r="B14" t="str">
            <v>Geothermal HP Geothermal, DGX Tier II</v>
          </cell>
          <cell r="C14" t="str">
            <v>Geothermal Heat Pump</v>
          </cell>
          <cell r="D14" t="str">
            <v>Cooling - HVAC Equipment</v>
          </cell>
          <cell r="E14" t="str">
            <v>GEO - GSHP DGX Retrofit Tier 2</v>
          </cell>
        </row>
        <row r="15">
          <cell r="A15" t="str">
            <v>Geothermal HP Geothermal, Water to Air - Closed Tier I</v>
          </cell>
          <cell r="B15" t="str">
            <v>Geothermal HP Geothermal, Water to Air - Closed Tier I</v>
          </cell>
          <cell r="C15" t="str">
            <v>Geothermal Heat Pump</v>
          </cell>
          <cell r="D15" t="str">
            <v>Cooling - HVAC Equipment</v>
          </cell>
          <cell r="E15" t="str">
            <v>GEO - GSHP WTA Closed Retrofit Tier 1</v>
          </cell>
        </row>
        <row r="16">
          <cell r="A16" t="str">
            <v>Geothermal HP Geothermal, Water to Air - Closed Tier II</v>
          </cell>
          <cell r="B16" t="str">
            <v>Geothermal HP Geothermal, Water to Air - Closed Tier II</v>
          </cell>
          <cell r="C16" t="str">
            <v>Geothermal Heat Pump</v>
          </cell>
          <cell r="D16" t="str">
            <v>Cooling - HVAC Equipment</v>
          </cell>
          <cell r="E16" t="str">
            <v>GEO - GSHP WTA Closed Retrofit Tier 2</v>
          </cell>
        </row>
        <row r="17">
          <cell r="A17" t="str">
            <v>Geothermal HP Geothermal, Water to Air - Open Tier I</v>
          </cell>
          <cell r="B17" t="str">
            <v>Geothermal HP Geothermal, Water to Air - Open Tier I</v>
          </cell>
          <cell r="C17" t="str">
            <v>Geothermal Heat Pump</v>
          </cell>
          <cell r="D17" t="str">
            <v>Cooling - HVAC Equipment</v>
          </cell>
          <cell r="E17" t="str">
            <v>GEO - GSHP WTA Open Retrofit Tier 1</v>
          </cell>
        </row>
        <row r="18">
          <cell r="A18" t="str">
            <v>Geothermal HP Geothermal, Water to Air - Open Tier II</v>
          </cell>
          <cell r="B18" t="str">
            <v>Geothermal HP Geothermal, Water to Air - Open Tier II</v>
          </cell>
          <cell r="C18" t="str">
            <v>Geothermal Heat Pump</v>
          </cell>
          <cell r="D18" t="str">
            <v>Cooling - HVAC Equipment</v>
          </cell>
          <cell r="E18" t="str">
            <v>GEO - GSHP WTA Open Retrofit Tier 2</v>
          </cell>
        </row>
        <row r="19">
          <cell r="A19" t="str">
            <v>Geothermal HP Geothermal, Water to Water - Closed Tier I</v>
          </cell>
          <cell r="B19" t="str">
            <v>Geothermal HP Geothermal, Water to Water - Closed Tier I</v>
          </cell>
          <cell r="C19" t="str">
            <v>Geothermal Heat Pump</v>
          </cell>
          <cell r="D19" t="str">
            <v>Cooling - HVAC Equipment</v>
          </cell>
          <cell r="E19" t="str">
            <v>GEO - GSHP WTW Closed Retrofit Tier 1</v>
          </cell>
        </row>
        <row r="20">
          <cell r="A20" t="str">
            <v>Geothermal HP Geothermal, Water to Water - Closed Tier II</v>
          </cell>
          <cell r="B20" t="str">
            <v>Geothermal HP Geothermal, Water to Water - Closed Tier II</v>
          </cell>
          <cell r="C20" t="str">
            <v>Geothermal Heat Pump</v>
          </cell>
          <cell r="D20" t="str">
            <v>Cooling - HVAC Equipment</v>
          </cell>
          <cell r="E20" t="str">
            <v>GEO - GSHP WTW Closed Retrofit Tier 2</v>
          </cell>
        </row>
        <row r="21">
          <cell r="A21" t="str">
            <v>Geothermal HP Geothermal, Water to Water - Open Tier I</v>
          </cell>
          <cell r="B21" t="str">
            <v>Geothermal HP Geothermal, Water to Water - Open Tier I</v>
          </cell>
          <cell r="C21" t="str">
            <v>Geothermal Heat Pump</v>
          </cell>
          <cell r="D21" t="str">
            <v>Cooling - HVAC Equipment</v>
          </cell>
          <cell r="E21" t="str">
            <v>GEO - GSHP WTW Open Retrofit Tier 1</v>
          </cell>
        </row>
        <row r="22">
          <cell r="A22" t="str">
            <v>Geothermal HP Geothermal, Water to Water - Open Tier II</v>
          </cell>
          <cell r="B22" t="str">
            <v>Geothermal HP Geothermal, Water to Water - Open Tier II</v>
          </cell>
          <cell r="C22" t="str">
            <v>Geothermal Heat Pump</v>
          </cell>
          <cell r="D22" t="str">
            <v>Cooling - HVAC Equipment</v>
          </cell>
          <cell r="E22" t="str">
            <v>GEO - GSHP WTW Open Retrofit Tier 2</v>
          </cell>
        </row>
        <row r="23">
          <cell r="A23" t="str">
            <v>Geothermal System Water Heater Geothermal, Water to Water - Closed</v>
          </cell>
          <cell r="B23" t="str">
            <v>Geothermal System Water Heater Geothermal, Water to Water - Closed</v>
          </cell>
          <cell r="C23" t="str">
            <v>Geothermal Heat Pump</v>
          </cell>
          <cell r="D23" t="str">
            <v>Cooling - HVAC Equipment</v>
          </cell>
          <cell r="E23" t="str">
            <v>GEO - GSHPWH WTW Closed New</v>
          </cell>
        </row>
        <row r="24">
          <cell r="A24" t="str">
            <v>Geothermal System Water Heater Geothermal, Water to Water - Open</v>
          </cell>
          <cell r="B24" t="str">
            <v>Geothermal System Water Heater Geothermal, Water to Water - Open</v>
          </cell>
          <cell r="C24" t="str">
            <v>Geothermal Heat Pump</v>
          </cell>
          <cell r="D24" t="str">
            <v>Cooling - HVAC Equipment</v>
          </cell>
          <cell r="E24" t="str">
            <v>GEO - GSHPWH WTW Open New</v>
          </cell>
        </row>
        <row r="25">
          <cell r="A25" t="str">
            <v>Geothermal HP Water Heater Geothermal, Water to Water - Closed</v>
          </cell>
          <cell r="B25" t="str">
            <v>Geothermal HP Water Heater Geothermal, Water to Water - Closed</v>
          </cell>
          <cell r="C25" t="str">
            <v>Geothermal Heat Pump</v>
          </cell>
          <cell r="D25" t="str">
            <v>Cooling - HVAC Equipment</v>
          </cell>
          <cell r="E25" t="str">
            <v>GEO - GSHPWH WTW Closed Retrofit</v>
          </cell>
        </row>
        <row r="26">
          <cell r="A26" t="str">
            <v>Geothermal HP Water Heater Geothermal, Water to Water - Open</v>
          </cell>
          <cell r="B26" t="str">
            <v>Geothermal HP Water Heater Geothermal, Water to Water - Open</v>
          </cell>
          <cell r="C26" t="str">
            <v>Geothermal Heat Pump</v>
          </cell>
          <cell r="D26" t="str">
            <v>Cooling - HVAC Equipment</v>
          </cell>
          <cell r="E26" t="str">
            <v>GEO - GSHPWH WTW Open Retrofit</v>
          </cell>
        </row>
        <row r="27">
          <cell r="A27" t="str">
            <v>Geothermal System Geothermal, DGX Tier I, Desuperheater</v>
          </cell>
          <cell r="B27" t="str">
            <v>Geothermal System Geothermal, DGX Tier I, Desuperheater</v>
          </cell>
          <cell r="C27" t="str">
            <v>Geothermal Heat Pump</v>
          </cell>
          <cell r="D27" t="str">
            <v>Cooling - HVAC Equipment</v>
          </cell>
          <cell r="E27" t="str">
            <v>GEO - GSHP DGX New Tier 1 w/ Desuperheater</v>
          </cell>
        </row>
        <row r="28">
          <cell r="A28" t="str">
            <v>Geothermal System Geothermal, DGX Tier II, Desuperheater</v>
          </cell>
          <cell r="B28" t="str">
            <v>Geothermal System Geothermal, DGX Tier II, Desuperheater</v>
          </cell>
          <cell r="C28" t="str">
            <v>Geothermal Heat Pump</v>
          </cell>
          <cell r="D28" t="str">
            <v>Cooling - HVAC Equipment</v>
          </cell>
          <cell r="E28" t="str">
            <v>GEO - GSHP DGX New Tier 2 w/ Desuperheater</v>
          </cell>
        </row>
        <row r="29">
          <cell r="A29" t="str">
            <v>Geothermal System Geothermal, Water to Air - Closed Tier I, Desuperheater</v>
          </cell>
          <cell r="B29" t="str">
            <v>Geothermal System Geothermal, Water to Air - Closed Tier I, Desuperheater</v>
          </cell>
          <cell r="C29" t="str">
            <v>Geothermal Heat Pump</v>
          </cell>
          <cell r="D29" t="str">
            <v>Cooling - HVAC Equipment</v>
          </cell>
          <cell r="E29" t="str">
            <v>GEO - GSHP WTA Closed New Tier 1 w/ Desuperheater</v>
          </cell>
        </row>
        <row r="30">
          <cell r="A30" t="str">
            <v>Geothermal System Geothermal, Water to Air - Closed Tier II, Desuperheater</v>
          </cell>
          <cell r="B30" t="str">
            <v>Geothermal System Geothermal, Water to Air - Closed Tier II, Desuperheater</v>
          </cell>
          <cell r="C30" t="str">
            <v>Geothermal Heat Pump</v>
          </cell>
          <cell r="D30" t="str">
            <v>Cooling - HVAC Equipment</v>
          </cell>
          <cell r="E30" t="str">
            <v>GEO - GSHP WTA Closed New Tier 2 w/ Desuperheater</v>
          </cell>
        </row>
        <row r="31">
          <cell r="A31" t="str">
            <v>Geothermal System Geothermal, Water to Air - Open Tier I, Desuperheater</v>
          </cell>
          <cell r="B31" t="str">
            <v>Geothermal System Geothermal, Water to Air - Open Tier I, Desuperheater</v>
          </cell>
          <cell r="C31" t="str">
            <v>Geothermal Heat Pump</v>
          </cell>
          <cell r="D31" t="str">
            <v>Cooling - HVAC Equipment</v>
          </cell>
          <cell r="E31" t="str">
            <v>GEO - GSHP WTA Open New Tier 1 w/ Desuperheater</v>
          </cell>
        </row>
        <row r="32">
          <cell r="A32" t="str">
            <v>Geothermal System Geothermal, Water to Air - Open Tier II, Desuperheater</v>
          </cell>
          <cell r="B32" t="str">
            <v>Geothermal System Geothermal, Water to Air - Open Tier II, Desuperheater</v>
          </cell>
          <cell r="C32" t="str">
            <v>Geothermal Heat Pump</v>
          </cell>
          <cell r="D32" t="str">
            <v>Cooling - HVAC Equipment</v>
          </cell>
          <cell r="E32" t="str">
            <v>GEO - GSHP WTA Open New Tier 2 w/ Desuperheater</v>
          </cell>
        </row>
        <row r="33">
          <cell r="A33" t="str">
            <v>Geothermal System Geothermal, Water to Water - Closed Tier I, Desuperheater</v>
          </cell>
          <cell r="B33" t="str">
            <v>Geothermal System Geothermal, Water to Water - Closed Tier I, Desuperheater</v>
          </cell>
          <cell r="C33" t="str">
            <v>Geothermal Heat Pump</v>
          </cell>
          <cell r="D33" t="str">
            <v>Cooling - HVAC Equipment</v>
          </cell>
          <cell r="E33" t="str">
            <v>GEO - GSHP WTW Closed New Tier 1 w/ Desuperheater</v>
          </cell>
        </row>
        <row r="34">
          <cell r="A34" t="str">
            <v>Geothermal System Geothermal, Water to Water - Closed Tier II, Desuperheater</v>
          </cell>
          <cell r="B34" t="str">
            <v>Geothermal System Geothermal, Water to Water - Closed Tier II, Desuperheater</v>
          </cell>
          <cell r="C34" t="str">
            <v>Geothermal Heat Pump</v>
          </cell>
          <cell r="D34" t="str">
            <v>Cooling - HVAC Equipment</v>
          </cell>
          <cell r="E34" t="str">
            <v>GEO - GSHP WTW Closed New Tier 2 w/ Desuperheater</v>
          </cell>
        </row>
        <row r="35">
          <cell r="A35" t="str">
            <v>Geothermal System Geothermal, Water to Water - Open Tier I, Desuperheater</v>
          </cell>
          <cell r="B35" t="str">
            <v>Geothermal System Geothermal, Water to Water - Open Tier I, Desuperheater</v>
          </cell>
          <cell r="C35" t="str">
            <v>Geothermal Heat Pump</v>
          </cell>
          <cell r="D35" t="str">
            <v>Cooling - HVAC Equipment</v>
          </cell>
          <cell r="E35" t="str">
            <v>GEO - GSHP WTW Open New Tier 1 w/ Desuperheater</v>
          </cell>
        </row>
        <row r="36">
          <cell r="A36" t="str">
            <v>Geothermal System Geothermal, Water to Water - Open Tier II, Desuperheater</v>
          </cell>
          <cell r="B36" t="str">
            <v>Geothermal System Geothermal, Water to Water - Open Tier II, Desuperheater</v>
          </cell>
          <cell r="C36" t="str">
            <v>Geothermal Heat Pump</v>
          </cell>
          <cell r="D36" t="str">
            <v>Cooling - HVAC Equipment</v>
          </cell>
          <cell r="E36" t="str">
            <v>GEO - GSHP WTW Open New Tier 2 w/ Desuperheater</v>
          </cell>
        </row>
        <row r="37">
          <cell r="A37" t="str">
            <v>Geothermal HP Geothermal, DGX Tier I, Desuperheater</v>
          </cell>
          <cell r="B37" t="str">
            <v>Geothermal HP Geothermal, DGX Tier I, Desuperheater</v>
          </cell>
          <cell r="C37" t="str">
            <v>Geothermal Heat Pump</v>
          </cell>
          <cell r="D37" t="str">
            <v>Cooling - HVAC Equipment</v>
          </cell>
          <cell r="E37" t="str">
            <v>GEO - GSHP DGX Retrofit Tier 1 w/ Desuperheater</v>
          </cell>
        </row>
        <row r="38">
          <cell r="A38" t="str">
            <v>Geothermal HP Geothermal, DGX Tier II, Desuperheater</v>
          </cell>
          <cell r="B38" t="str">
            <v>Geothermal HP Geothermal, DGX Tier II, Desuperheater</v>
          </cell>
          <cell r="C38" t="str">
            <v>Geothermal Heat Pump</v>
          </cell>
          <cell r="D38" t="str">
            <v>Cooling - HVAC Equipment</v>
          </cell>
          <cell r="E38" t="str">
            <v>GEO - GSHP DGX Retrofit Tier 2 w/ Desuperheater</v>
          </cell>
        </row>
        <row r="39">
          <cell r="A39" t="str">
            <v>Geothermal HP Geothermal, Water to Air - Closed Tier I, Desuperheater</v>
          </cell>
          <cell r="B39" t="str">
            <v>Geothermal HP Geothermal, Water to Air - Closed Tier I, Desuperheater</v>
          </cell>
          <cell r="C39" t="str">
            <v>Geothermal Heat Pump</v>
          </cell>
          <cell r="D39" t="str">
            <v>Cooling - HVAC Equipment</v>
          </cell>
          <cell r="E39" t="str">
            <v>GEO - GSHP WTA Closed Retrofit Tier 1 w/ Desuperheater</v>
          </cell>
        </row>
        <row r="40">
          <cell r="A40" t="str">
            <v>Geothermal HP Geothermal, Water to Air - Closed Tier II, Desuperheater</v>
          </cell>
          <cell r="B40" t="str">
            <v>Geothermal HP Geothermal, Water to Air - Closed Tier II, Desuperheater</v>
          </cell>
          <cell r="C40" t="str">
            <v>Geothermal Heat Pump</v>
          </cell>
          <cell r="D40" t="str">
            <v>Cooling - HVAC Equipment</v>
          </cell>
          <cell r="E40" t="str">
            <v>GEO - GSHP WTA Closed Retrofit Tier 2 w/ Desuperheater</v>
          </cell>
        </row>
        <row r="41">
          <cell r="A41" t="str">
            <v>Geothermal HP Geothermal, Water to Air - Open Tier I, Desuperheater</v>
          </cell>
          <cell r="B41" t="str">
            <v>Geothermal HP Geothermal, Water to Air - Open Tier I, Desuperheater</v>
          </cell>
          <cell r="C41" t="str">
            <v>Geothermal Heat Pump</v>
          </cell>
          <cell r="D41" t="str">
            <v>Cooling - HVAC Equipment</v>
          </cell>
          <cell r="E41" t="str">
            <v>GEO - GSHP WTA Open Retrofit Tier 1 w/ Desuperheater</v>
          </cell>
        </row>
        <row r="42">
          <cell r="A42" t="str">
            <v>Geothermal HP Geothermal, Water to Air - Open Tier II, Desuperheater</v>
          </cell>
          <cell r="B42" t="str">
            <v>Geothermal HP Geothermal, Water to Air - Open Tier II, Desuperheater</v>
          </cell>
          <cell r="C42" t="str">
            <v>Geothermal Heat Pump</v>
          </cell>
          <cell r="D42" t="str">
            <v>Cooling - HVAC Equipment</v>
          </cell>
          <cell r="E42" t="str">
            <v>GEO - GSHP WTA Open Retrofit Tier 2 w/ Desuperheater</v>
          </cell>
        </row>
        <row r="43">
          <cell r="A43" t="str">
            <v>Geothermal HP Geothermal, Water to Water - Closed Tier I, Desuperheater</v>
          </cell>
          <cell r="B43" t="str">
            <v>Geothermal HP Geothermal, Water to Water - Closed Tier I, Desuperheater</v>
          </cell>
          <cell r="C43" t="str">
            <v>Geothermal Heat Pump</v>
          </cell>
          <cell r="D43" t="str">
            <v>Cooling - HVAC Equipment</v>
          </cell>
          <cell r="E43" t="str">
            <v>GEO - GSHP WTW Closed Retrofit Tier 1 w/ Desuperheater</v>
          </cell>
        </row>
        <row r="44">
          <cell r="A44" t="str">
            <v>Geothermal HP Geothermal, Water to Water - Closed Tier II, Desuperheater</v>
          </cell>
          <cell r="B44" t="str">
            <v>Geothermal HP Geothermal, Water to Water - Closed Tier II, Desuperheater</v>
          </cell>
          <cell r="C44" t="str">
            <v>Geothermal Heat Pump</v>
          </cell>
          <cell r="D44" t="str">
            <v>Cooling - HVAC Equipment</v>
          </cell>
          <cell r="E44" t="str">
            <v>GEO - GSHP WTW Closed Retrofit Tier 2 w/ Desuperheater</v>
          </cell>
        </row>
        <row r="45">
          <cell r="A45" t="str">
            <v>Geothermal HP Geothermal, Water to Water - Open Tier I, Desuperheater</v>
          </cell>
          <cell r="B45" t="str">
            <v>Geothermal HP Geothermal, Water to Water - Open Tier I, Desuperheater</v>
          </cell>
          <cell r="C45" t="str">
            <v>Geothermal Heat Pump</v>
          </cell>
          <cell r="D45" t="str">
            <v>Cooling - HVAC Equipment</v>
          </cell>
          <cell r="E45" t="str">
            <v>GEO - GSHP WTW Open Retrofit Tier 1 w/ Desuperheater</v>
          </cell>
        </row>
        <row r="46">
          <cell r="A46" t="str">
            <v>Geothermal HP Geothermal, Water to Water - Open Tier II, Desuperheater</v>
          </cell>
          <cell r="B46" t="str">
            <v>Geothermal HP Geothermal, Water to Water - Open Tier II, Desuperheater</v>
          </cell>
          <cell r="C46" t="str">
            <v>Geothermal Heat Pump</v>
          </cell>
          <cell r="D46" t="str">
            <v>Cooling - HVAC Equipment</v>
          </cell>
          <cell r="E46" t="str">
            <v>GEO - GSHP WTW Open Retrofit Tier 2 w/ Desuperheater</v>
          </cell>
        </row>
      </sheetData>
      <sheetData sheetId="2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Form"/>
      <sheetName val="Instructions"/>
      <sheetName val="Customer Information"/>
      <sheetName val="Contractor Information"/>
      <sheetName val="Site Information"/>
      <sheetName val="Equipment Selection"/>
      <sheetName val="Ts and Cs"/>
      <sheetName val="Required Documents"/>
      <sheetName val="AssignmentForm"/>
      <sheetName val="Guidelines "/>
      <sheetName val="Eligibility Table "/>
      <sheetName val="Appliances Worksheet"/>
      <sheetName val="Appliance Calculations"/>
      <sheetName val="Appliances References"/>
      <sheetName val="Appliances Inspection Form"/>
      <sheetName val="ASHP Equipment Information"/>
      <sheetName val="ASHP Load Calculations"/>
      <sheetName val="Integrated Controls"/>
      <sheetName val="Smart T-Stats"/>
      <sheetName val="AIRFLOW FORM"/>
      <sheetName val="Tune Up Worksheet"/>
      <sheetName val="Water Heating Worksheet"/>
      <sheetName val="HPwES"/>
      <sheetName val="HPwES H&amp;S"/>
      <sheetName val="Completion Information Form"/>
      <sheetName val="Heat Pump Costs"/>
      <sheetName val="Pre Inspection Form"/>
      <sheetName val="Post Inspection Form"/>
      <sheetName val="Qualifying_Index"/>
      <sheetName val="Air Flow References"/>
      <sheetName val="References"/>
      <sheetName val="Space Heating Worksheet"/>
      <sheetName val="Dedicated Water Heating"/>
      <sheetName val="Loop Field Cx Form"/>
      <sheetName val="GSHP Costs"/>
      <sheetName val="Pre-Inspection Form"/>
      <sheetName val="Inspection Form"/>
      <sheetName val="Tables"/>
      <sheetName val="ProposedEquipment0"/>
      <sheetName val="Project Review"/>
      <sheetName val="Admin"/>
      <sheetName val="EFS Pre-Approval"/>
      <sheetName val="AIRFLOW FORM 2"/>
      <sheetName val="AIRFLOW FORM 3"/>
      <sheetName val="AIRFLOW FORM 4"/>
      <sheetName val="AIRFLOW FORM 5"/>
      <sheetName val="AIRFLOW FORM 6"/>
      <sheetName val="AIRFLOW FORM 7"/>
      <sheetName val="AIRFLOW FORM 8"/>
      <sheetName val="AIRFLOW FORM 9"/>
      <sheetName val="AIRFLOW FORM 10"/>
      <sheetName val="Project Completion Form"/>
      <sheetName val="Development"/>
      <sheetName val="PSEGLI_2023 All Electric Homes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7">
          <cell r="B7" t="str">
            <v>Select…</v>
          </cell>
          <cell r="C7" t="str">
            <v>Select…</v>
          </cell>
        </row>
        <row r="8">
          <cell r="B8" t="str">
            <v>≤ 55 Gallons</v>
          </cell>
          <cell r="C8" t="str">
            <v>&lt; 12kW</v>
          </cell>
        </row>
        <row r="9">
          <cell r="B9" t="str">
            <v>&gt; 55 Gallons</v>
          </cell>
          <cell r="C9" t="str">
            <v>≥ 12 kW</v>
          </cell>
        </row>
        <row r="193">
          <cell r="H193" t="str">
            <v>Select…</v>
          </cell>
        </row>
        <row r="194">
          <cell r="H194" t="str">
            <v>&lt; 150</v>
          </cell>
        </row>
        <row r="195">
          <cell r="H195" t="str">
            <v>&gt; 150</v>
          </cell>
        </row>
      </sheetData>
      <sheetData sheetId="14"/>
      <sheetData sheetId="15">
        <row r="25">
          <cell r="C25" t="str">
            <v>Coil/Air Handler Serial Number:</v>
          </cell>
          <cell r="F25" t="str">
            <v>HSPF:</v>
          </cell>
        </row>
        <row r="26">
          <cell r="F26" t="str">
            <v>*All Cold Climate systems must be NEEP listed</v>
          </cell>
        </row>
        <row r="29">
          <cell r="C29" t="str">
            <v>Heating and Cooling System 2</v>
          </cell>
        </row>
        <row r="30">
          <cell r="C30" t="str">
            <v>New Equipment Type:</v>
          </cell>
          <cell r="F30" t="str">
            <v>Existing Equipment Type:</v>
          </cell>
        </row>
        <row r="32">
          <cell r="C32" t="str">
            <v>Rating Method:</v>
          </cell>
          <cell r="F32" t="str">
            <v>AHRI Reference Number:</v>
          </cell>
        </row>
        <row r="34">
          <cell r="C34" t="str">
            <v>Condenser Manufacturer:</v>
          </cell>
          <cell r="F34" t="str">
            <v>AHRI Cooling Capacity (BTUh):</v>
          </cell>
        </row>
        <row r="36">
          <cell r="C36" t="str">
            <v>Condenser Model Number:</v>
          </cell>
          <cell r="F36" t="str">
            <v>AHRI Heating Capacity (BTUh)*:
*@17⁰F Rated</v>
          </cell>
        </row>
        <row r="49">
          <cell r="C49" t="str">
            <v>New Equipment Type:</v>
          </cell>
          <cell r="F49" t="str">
            <v>Existing Equipment Type:</v>
          </cell>
        </row>
        <row r="51">
          <cell r="C51" t="str">
            <v>Rating Method:</v>
          </cell>
          <cell r="F51" t="str">
            <v>AHRI Reference Number:</v>
          </cell>
        </row>
        <row r="53">
          <cell r="C53" t="str">
            <v>Condenser Manufacturer:</v>
          </cell>
          <cell r="F53" t="str">
            <v>AHRI Cooling Capacity (BTUh):</v>
          </cell>
        </row>
        <row r="55">
          <cell r="C55" t="str">
            <v>Condenser Model Number:</v>
          </cell>
          <cell r="F55" t="str">
            <v>AHRI Heating Capacity (BTUh)*:
*@17⁰F Rated</v>
          </cell>
        </row>
        <row r="57">
          <cell r="C57" t="str">
            <v>Condenser Serial Number:</v>
          </cell>
          <cell r="F57" t="str">
            <v>Heating Capacity (BTUh)*:
*@17⁰F Maximum (NEEP)</v>
          </cell>
        </row>
        <row r="59">
          <cell r="C59" t="str">
            <v>Coil/Air Handler Manufacturer:</v>
          </cell>
          <cell r="F59" t="str">
            <v>SEER:</v>
          </cell>
        </row>
      </sheetData>
      <sheetData sheetId="16">
        <row r="13">
          <cell r="G13" t="str">
            <v>Unit 1</v>
          </cell>
        </row>
        <row r="26">
          <cell r="G26" t="str">
            <v>Unit 1</v>
          </cell>
        </row>
        <row r="39">
          <cell r="G39" t="str">
            <v>Unit 1</v>
          </cell>
        </row>
        <row r="52">
          <cell r="G52" t="str">
            <v>Unit 1</v>
          </cell>
        </row>
        <row r="65">
          <cell r="G65" t="str">
            <v>Unit 1</v>
          </cell>
        </row>
        <row r="78">
          <cell r="G78" t="str">
            <v>Unit 1</v>
          </cell>
        </row>
        <row r="91">
          <cell r="G91" t="str">
            <v>Unit 1</v>
          </cell>
        </row>
        <row r="104">
          <cell r="G104" t="str">
            <v>Unit 1</v>
          </cell>
        </row>
        <row r="117">
          <cell r="G117" t="str">
            <v>Unit 1</v>
          </cell>
        </row>
        <row r="130">
          <cell r="G130" t="str">
            <v>Unit 1</v>
          </cell>
        </row>
      </sheetData>
      <sheetData sheetId="17"/>
      <sheetData sheetId="18"/>
      <sheetData sheetId="19"/>
      <sheetData sheetId="20"/>
      <sheetData sheetId="21"/>
      <sheetData sheetId="22">
        <row r="54">
          <cell r="D54" t="str">
            <v>Select…</v>
          </cell>
        </row>
        <row r="107">
          <cell r="D107" t="str">
            <v>Select…</v>
          </cell>
        </row>
        <row r="146">
          <cell r="D146" t="str">
            <v>Select…</v>
          </cell>
        </row>
      </sheetData>
      <sheetData sheetId="23"/>
      <sheetData sheetId="24"/>
      <sheetData sheetId="25"/>
      <sheetData sheetId="26"/>
      <sheetData sheetId="27"/>
      <sheetData sheetId="28">
        <row r="27">
          <cell r="BP27" t="str">
            <v/>
          </cell>
          <cell r="BR27" t="str">
            <v/>
          </cell>
        </row>
      </sheetData>
      <sheetData sheetId="29">
        <row r="34">
          <cell r="T34" t="str">
            <v>+-5</v>
          </cell>
        </row>
      </sheetData>
      <sheetData sheetId="30">
        <row r="3">
          <cell r="Q3" t="str">
            <v>Select…</v>
          </cell>
          <cell r="BD3" t="str">
            <v>- Please Select -</v>
          </cell>
        </row>
        <row r="4">
          <cell r="Q4" t="str">
            <v>Existing Building</v>
          </cell>
          <cell r="BD4" t="str">
            <v>Heating &amp; Cooling (1)</v>
          </cell>
        </row>
        <row r="5">
          <cell r="Q5" t="str">
            <v>New Construction</v>
          </cell>
          <cell r="BD5" t="str">
            <v>Heating &amp; Cooling (1&amp;2)</v>
          </cell>
        </row>
        <row r="6">
          <cell r="BB6" t="str">
            <v>Unconditioned Attic</v>
          </cell>
          <cell r="BD6" t="str">
            <v>Heating &amp; Cooling (2)</v>
          </cell>
        </row>
        <row r="7">
          <cell r="S7" t="str">
            <v>Ducted ccASHP</v>
          </cell>
          <cell r="BB7" t="str">
            <v>Unconditioned Basement</v>
          </cell>
          <cell r="BD7" t="str">
            <v>Heating (1)</v>
          </cell>
        </row>
        <row r="8">
          <cell r="S8" t="str">
            <v>Ductless Mini Split - ccASHP</v>
          </cell>
          <cell r="BB8" t="str">
            <v>Unconditioned Crawl Space</v>
          </cell>
          <cell r="BD8" t="str">
            <v>Cooling (1)</v>
          </cell>
        </row>
        <row r="9">
          <cell r="O9" t="str">
            <v>Select…</v>
          </cell>
          <cell r="Q9" t="str">
            <v>Select…</v>
          </cell>
          <cell r="S9" t="str">
            <v>Ductless Multi Split - ccASHP</v>
          </cell>
          <cell r="BB9" t="str">
            <v>Unconditioned Garage</v>
          </cell>
          <cell r="BD9" t="str">
            <v>Heating (2)</v>
          </cell>
        </row>
        <row r="10">
          <cell r="O10" t="str">
            <v>Check</v>
          </cell>
          <cell r="Q10" t="str">
            <v>Whole House</v>
          </cell>
          <cell r="S10" t="str">
            <v>Ducted ASHP</v>
          </cell>
          <cell r="BD10" t="str">
            <v>Cooling (2)</v>
          </cell>
        </row>
        <row r="11">
          <cell r="O11" t="str">
            <v>Bill Credit</v>
          </cell>
          <cell r="Q11" t="str">
            <v>Not Applicable</v>
          </cell>
          <cell r="S11" t="str">
            <v>Ductless Mini Split - ASHP</v>
          </cell>
          <cell r="AX11" t="str">
            <v>Attic</v>
          </cell>
          <cell r="BD11" t="str">
            <v>Heating (1&amp;2)</v>
          </cell>
          <cell r="CI11" t="str">
            <v>Space Heating</v>
          </cell>
        </row>
        <row r="12">
          <cell r="O12" t="str">
            <v>Assigned to Contractor</v>
          </cell>
          <cell r="S12" t="str">
            <v>Packaged Terminal Heat Pump</v>
          </cell>
          <cell r="AX12" t="str">
            <v>Attic 2</v>
          </cell>
          <cell r="BD12" t="str">
            <v>Cooling (1&amp;2)</v>
          </cell>
          <cell r="CI12" t="str">
            <v>Space &amp; Water Heating</v>
          </cell>
        </row>
        <row r="13">
          <cell r="S13" t="str">
            <v>Ducted ASHP EH</v>
          </cell>
          <cell r="AX13" t="str">
            <v>Exterior Walls</v>
          </cell>
        </row>
        <row r="14">
          <cell r="S14" t="str">
            <v>Ducted ccASHP EH</v>
          </cell>
          <cell r="AX14" t="str">
            <v>Garage/Overhang</v>
          </cell>
        </row>
        <row r="15">
          <cell r="S15" t="str">
            <v>Ductless Mini Split - ASHP EH</v>
          </cell>
          <cell r="AX15" t="str">
            <v>Basement Ceiling</v>
          </cell>
        </row>
        <row r="16">
          <cell r="Q16" t="str">
            <v>Select…</v>
          </cell>
          <cell r="S16" t="str">
            <v>Ductless Multi Split - ccASHP EH</v>
          </cell>
        </row>
        <row r="17">
          <cell r="Q17" t="str">
            <v>Home Performance</v>
          </cell>
          <cell r="S17" t="str">
            <v>Ductless Mini Split - ccASHP EH</v>
          </cell>
        </row>
        <row r="18">
          <cell r="Q18" t="str">
            <v>Not Applicable</v>
          </cell>
        </row>
        <row r="19">
          <cell r="CA19" t="str">
            <v>Geothermal, Water to Water - Closed</v>
          </cell>
        </row>
        <row r="20">
          <cell r="CA20" t="str">
            <v>Geothermal, Water to Water - Open</v>
          </cell>
        </row>
        <row r="21">
          <cell r="AX21" t="str">
            <v>Furnace</v>
          </cell>
          <cell r="AZ21" t="str">
            <v>Natural</v>
          </cell>
          <cell r="BB21" t="str">
            <v>Oil</v>
          </cell>
          <cell r="BD21" t="str">
            <v>Forced Hot Air</v>
          </cell>
        </row>
        <row r="22">
          <cell r="Q22" t="str">
            <v>Select…</v>
          </cell>
          <cell r="AX22" t="str">
            <v>Boiler</v>
          </cell>
          <cell r="AZ22" t="str">
            <v>Induced</v>
          </cell>
          <cell r="BB22" t="str">
            <v>Natural Gas</v>
          </cell>
          <cell r="BD22" t="str">
            <v>Baseboard</v>
          </cell>
        </row>
        <row r="23">
          <cell r="Q23" t="str">
            <v>Yes</v>
          </cell>
          <cell r="AX23" t="str">
            <v>Heat Pump</v>
          </cell>
          <cell r="AZ23" t="str">
            <v xml:space="preserve">Power Vented </v>
          </cell>
          <cell r="BB23" t="str">
            <v>Electric</v>
          </cell>
          <cell r="BD23" t="str">
            <v>Radiator</v>
          </cell>
        </row>
        <row r="24">
          <cell r="Q24" t="str">
            <v>No</v>
          </cell>
          <cell r="AX24" t="str">
            <v>Geothermal</v>
          </cell>
          <cell r="AZ24" t="str">
            <v>Sealed</v>
          </cell>
          <cell r="BB24" t="str">
            <v>Propane</v>
          </cell>
        </row>
        <row r="25">
          <cell r="B25">
            <v>788</v>
          </cell>
          <cell r="T25">
            <v>1.5939999999999999E-3</v>
          </cell>
          <cell r="V25">
            <v>0.05</v>
          </cell>
          <cell r="AX25" t="str">
            <v>Electric Baseboard</v>
          </cell>
          <cell r="BB25" t="str">
            <v>Other</v>
          </cell>
        </row>
        <row r="26">
          <cell r="B26">
            <v>1329</v>
          </cell>
          <cell r="CC26" t="str">
            <v>Residential</v>
          </cell>
        </row>
        <row r="28">
          <cell r="AX28" t="str">
            <v>Electric</v>
          </cell>
        </row>
        <row r="29">
          <cell r="AX29" t="str">
            <v>Direct Storage</v>
          </cell>
        </row>
        <row r="30">
          <cell r="AX30" t="str">
            <v>Indirect Storage</v>
          </cell>
        </row>
        <row r="31">
          <cell r="AX31" t="str">
            <v>Tankless</v>
          </cell>
          <cell r="CC31" t="str">
            <v>Existing Building</v>
          </cell>
        </row>
        <row r="32">
          <cell r="A32" t="str">
            <v>GSHP</v>
          </cell>
        </row>
        <row r="33">
          <cell r="A33" t="str">
            <v>Ducted ccASHP</v>
          </cell>
        </row>
        <row r="34">
          <cell r="A34" t="str">
            <v>Ductless Mini Split - ccASHP</v>
          </cell>
        </row>
        <row r="35">
          <cell r="A35" t="str">
            <v>Ducted ASHP</v>
          </cell>
        </row>
        <row r="36">
          <cell r="A36" t="str">
            <v>Ductless Mini Split - ASHP</v>
          </cell>
        </row>
        <row r="37">
          <cell r="A37" t="str">
            <v>Ducted Split CAC</v>
          </cell>
        </row>
        <row r="38">
          <cell r="A38" t="str">
            <v>Ductless Mini Split - AC Only</v>
          </cell>
        </row>
        <row r="44">
          <cell r="Q44" t="str">
            <v>Select…</v>
          </cell>
        </row>
        <row r="45">
          <cell r="Q45" t="str">
            <v>New Construction</v>
          </cell>
          <cell r="CB45" t="str">
            <v>Single Stage</v>
          </cell>
          <cell r="CD45" t="str">
            <v>Variable Pumping</v>
          </cell>
        </row>
        <row r="46">
          <cell r="Q46" t="str">
            <v>None</v>
          </cell>
          <cell r="AZ46" t="str">
            <v>Home Comfort Heat Pump</v>
          </cell>
          <cell r="CB46" t="str">
            <v>Dual Stage</v>
          </cell>
          <cell r="CD46" t="str">
            <v>Staged Pumping</v>
          </cell>
        </row>
        <row r="47">
          <cell r="A47" t="str">
            <v>Alarm.com</v>
          </cell>
          <cell r="Q47" t="str">
            <v>Oil Boiler</v>
          </cell>
          <cell r="AZ47" t="str">
            <v>Existing Primary System</v>
          </cell>
          <cell r="CB47" t="str">
            <v>Multi-Stage</v>
          </cell>
          <cell r="CD47" t="str">
            <v>Constant Pumping</v>
          </cell>
        </row>
        <row r="48">
          <cell r="A48" t="str">
            <v>Ecobee</v>
          </cell>
          <cell r="Q48" t="str">
            <v>Electric Boiler</v>
          </cell>
          <cell r="AZ48" t="str">
            <v>Existing Secondary System</v>
          </cell>
          <cell r="CB48" t="str">
            <v>Variable Speed</v>
          </cell>
        </row>
        <row r="49">
          <cell r="A49" t="str">
            <v xml:space="preserve">Emerson </v>
          </cell>
          <cell r="Q49" t="str">
            <v>Propane Boiler</v>
          </cell>
          <cell r="BF49" t="str">
            <v>Select…</v>
          </cell>
          <cell r="BG49" t="str">
            <v>Select…</v>
          </cell>
        </row>
        <row r="50">
          <cell r="A50" t="str">
            <v>Honeywell Home</v>
          </cell>
          <cell r="Q50" t="str">
            <v>Oil Furnace</v>
          </cell>
          <cell r="BF50" t="str">
            <v>Insulated</v>
          </cell>
          <cell r="BG50" t="str">
            <v>Insulated Floor</v>
          </cell>
        </row>
        <row r="51">
          <cell r="A51" t="str">
            <v>Lux</v>
          </cell>
          <cell r="Q51" t="str">
            <v>Electric Furnace</v>
          </cell>
          <cell r="BF51" t="str">
            <v>Uninsulated</v>
          </cell>
          <cell r="BG51" t="str">
            <v>Insulated Floor &amp; Walls</v>
          </cell>
        </row>
        <row r="52">
          <cell r="A52" t="str">
            <v>Google Nest</v>
          </cell>
          <cell r="Q52" t="str">
            <v>Propane Furnace</v>
          </cell>
          <cell r="BG52" t="str">
            <v>Uninsulated</v>
          </cell>
        </row>
        <row r="53">
          <cell r="A53" t="str">
            <v>Radio Thermostat</v>
          </cell>
          <cell r="Q53" t="str">
            <v>Electric Resistance</v>
          </cell>
        </row>
        <row r="54">
          <cell r="A54" t="str">
            <v>Vivint</v>
          </cell>
          <cell r="Q54" t="str">
            <v>Electric ASHP</v>
          </cell>
        </row>
        <row r="55">
          <cell r="Q55" t="str">
            <v>Oil Other</v>
          </cell>
          <cell r="AZ55" t="str">
            <v>Select…</v>
          </cell>
        </row>
        <row r="56">
          <cell r="Q56" t="str">
            <v>Electric Other</v>
          </cell>
          <cell r="AZ56" t="str">
            <v>Pass</v>
          </cell>
        </row>
        <row r="57">
          <cell r="A57" t="str">
            <v>Alarm.com</v>
          </cell>
          <cell r="B57" t="str">
            <v>Ecobee</v>
          </cell>
          <cell r="C57" t="str">
            <v>Honeywell Home</v>
          </cell>
          <cell r="D57" t="str">
            <v>Lux</v>
          </cell>
          <cell r="E57" t="str">
            <v>Google Nest</v>
          </cell>
          <cell r="F57" t="str">
            <v>Radio Thermostat</v>
          </cell>
          <cell r="G57" t="str">
            <v xml:space="preserve">Emerson </v>
          </cell>
          <cell r="H57" t="str">
            <v>Vivint</v>
          </cell>
          <cell r="Q57" t="str">
            <v>Propane Other</v>
          </cell>
          <cell r="AZ57" t="str">
            <v>Fail</v>
          </cell>
        </row>
        <row r="58">
          <cell r="Q58" t="str">
            <v>PTHP</v>
          </cell>
        </row>
        <row r="59">
          <cell r="Q59" t="str">
            <v>Natural Gas Boiler</v>
          </cell>
        </row>
        <row r="60">
          <cell r="Q60" t="str">
            <v>Natural Gas Furnace</v>
          </cell>
        </row>
        <row r="61">
          <cell r="Q61" t="str">
            <v>Natural Gas Other</v>
          </cell>
        </row>
        <row r="62">
          <cell r="CS62" t="str">
            <v>Geothermal System</v>
          </cell>
          <cell r="CT62" t="str">
            <v>Geothermal HP</v>
          </cell>
        </row>
        <row r="65">
          <cell r="Q65" t="str">
            <v>Select…</v>
          </cell>
        </row>
        <row r="66">
          <cell r="Q66" t="str">
            <v>New Construction</v>
          </cell>
        </row>
        <row r="67">
          <cell r="Q67" t="str">
            <v>None</v>
          </cell>
        </row>
        <row r="68">
          <cell r="Q68" t="str">
            <v>Oil Boiler</v>
          </cell>
        </row>
        <row r="69">
          <cell r="A69" t="str">
            <v>Alarm.com</v>
          </cell>
          <cell r="B69" t="str">
            <v>Ecobee</v>
          </cell>
          <cell r="C69" t="str">
            <v>Honeywell Lyric</v>
          </cell>
          <cell r="D69" t="str">
            <v>Honeywell TCC</v>
          </cell>
          <cell r="E69" t="str">
            <v>Lux</v>
          </cell>
          <cell r="F69" t="str">
            <v>Nest</v>
          </cell>
          <cell r="G69" t="str">
            <v>Radio Thermostat</v>
          </cell>
          <cell r="H69" t="str">
            <v xml:space="preserve">Emerson </v>
          </cell>
          <cell r="I69" t="str">
            <v>Vivint GoControl</v>
          </cell>
          <cell r="Q69" t="str">
            <v>Electric Boiler</v>
          </cell>
        </row>
        <row r="70">
          <cell r="Q70" t="str">
            <v>Propane Boiler</v>
          </cell>
        </row>
        <row r="71">
          <cell r="Q71" t="str">
            <v>Oil Furnace</v>
          </cell>
        </row>
        <row r="72">
          <cell r="Q72" t="str">
            <v>Electric Furnace</v>
          </cell>
        </row>
        <row r="73">
          <cell r="Q73" t="str">
            <v>Propane Furnace</v>
          </cell>
        </row>
        <row r="74">
          <cell r="Q74" t="str">
            <v>Electric Resistance</v>
          </cell>
        </row>
        <row r="75">
          <cell r="Q75" t="str">
            <v>Electric ASHP</v>
          </cell>
        </row>
        <row r="76">
          <cell r="Q76" t="str">
            <v>Oil Other</v>
          </cell>
        </row>
        <row r="77">
          <cell r="Q77" t="str">
            <v>Electric Other</v>
          </cell>
        </row>
        <row r="78">
          <cell r="Q78" t="str">
            <v>Propane Other</v>
          </cell>
        </row>
        <row r="79">
          <cell r="Q79" t="str">
            <v>PTHP</v>
          </cell>
        </row>
        <row r="80">
          <cell r="Q80" t="str">
            <v>Natural Gas Boiler</v>
          </cell>
        </row>
        <row r="81">
          <cell r="Q81" t="str">
            <v>Natural Gas Furnace</v>
          </cell>
        </row>
        <row r="82">
          <cell r="Q82" t="str">
            <v>Natural Gas Other</v>
          </cell>
        </row>
        <row r="85">
          <cell r="A85">
            <v>1</v>
          </cell>
        </row>
        <row r="86">
          <cell r="A86">
            <v>2</v>
          </cell>
        </row>
        <row r="87">
          <cell r="A87">
            <v>3</v>
          </cell>
        </row>
        <row r="88">
          <cell r="A88">
            <v>4</v>
          </cell>
        </row>
        <row r="89">
          <cell r="A89">
            <v>5</v>
          </cell>
        </row>
        <row r="90">
          <cell r="A90">
            <v>6</v>
          </cell>
          <cell r="Q90" t="str">
            <v>Select…</v>
          </cell>
        </row>
        <row r="91">
          <cell r="A91">
            <v>7</v>
          </cell>
          <cell r="Q91" t="str">
            <v>New Construction</v>
          </cell>
        </row>
        <row r="92">
          <cell r="A92">
            <v>8</v>
          </cell>
          <cell r="Q92" t="str">
            <v>None</v>
          </cell>
        </row>
        <row r="93">
          <cell r="A93">
            <v>9</v>
          </cell>
          <cell r="Q93" t="str">
            <v>Ducted Air Source HP</v>
          </cell>
        </row>
        <row r="94">
          <cell r="A94">
            <v>10</v>
          </cell>
          <cell r="Q94" t="str">
            <v>Central Air Conditioner</v>
          </cell>
        </row>
        <row r="95">
          <cell r="Q95" t="str">
            <v>Ductless Mini Split - AC</v>
          </cell>
        </row>
        <row r="96">
          <cell r="Q96" t="str">
            <v>Ductless Mini Split - HP</v>
          </cell>
        </row>
        <row r="97">
          <cell r="Q97" t="str">
            <v>PTHP</v>
          </cell>
        </row>
        <row r="104">
          <cell r="Q104" t="str">
            <v>Select…</v>
          </cell>
          <cell r="S104" t="str">
            <v>Select…</v>
          </cell>
        </row>
        <row r="105">
          <cell r="Q105" t="str">
            <v>New Construction</v>
          </cell>
          <cell r="S105" t="str">
            <v>Yes</v>
          </cell>
        </row>
        <row r="106">
          <cell r="Q106" t="str">
            <v>None</v>
          </cell>
          <cell r="S106" t="str">
            <v>No</v>
          </cell>
        </row>
        <row r="107">
          <cell r="Q107" t="str">
            <v>Ducted Air Source HP</v>
          </cell>
          <cell r="S107" t="str">
            <v>New Construction</v>
          </cell>
        </row>
        <row r="108">
          <cell r="Q108" t="str">
            <v>Central Air Conditioner</v>
          </cell>
        </row>
        <row r="109">
          <cell r="Q109" t="str">
            <v>Ductless Mini Split - AC</v>
          </cell>
        </row>
        <row r="110">
          <cell r="Q110" t="str">
            <v>Ductless Mini Split - HP</v>
          </cell>
        </row>
        <row r="111">
          <cell r="Q111" t="str">
            <v>PTHP</v>
          </cell>
        </row>
        <row r="115">
          <cell r="Q115" t="str">
            <v>Select…</v>
          </cell>
        </row>
        <row r="116">
          <cell r="Q116" t="str">
            <v>SEER/EER/HSPF</v>
          </cell>
        </row>
        <row r="117">
          <cell r="Q117" t="str">
            <v>SEER2/EER2/HSPF2</v>
          </cell>
        </row>
        <row r="203">
          <cell r="A203" t="str">
            <v>Select…</v>
          </cell>
          <cell r="C203" t="str">
            <v>Select…</v>
          </cell>
          <cell r="E203" t="str">
            <v>Select…</v>
          </cell>
          <cell r="J203" t="str">
            <v>Select…</v>
          </cell>
        </row>
        <row r="204">
          <cell r="A204" t="str">
            <v>Gas Storage Water Heater</v>
          </cell>
          <cell r="C204" t="str">
            <v>Tankless Water Heater &lt; 12 kW</v>
          </cell>
          <cell r="E204" t="str">
            <v>Yes</v>
          </cell>
          <cell r="J204" t="str">
            <v>Central Air Conditioner</v>
          </cell>
        </row>
        <row r="205">
          <cell r="A205" t="str">
            <v>Oil Storage Water Heater</v>
          </cell>
          <cell r="C205" t="str">
            <v>Tankless Water Heater ≥ 12 kW</v>
          </cell>
          <cell r="E205" t="str">
            <v>Not Applicable</v>
          </cell>
          <cell r="J205" t="str">
            <v>Air Source Heat Pump</v>
          </cell>
        </row>
        <row r="206">
          <cell r="A206" t="str">
            <v>Propane Storage Water Heater</v>
          </cell>
          <cell r="C206" t="str">
            <v>Heat Pump Water Heater &lt; 55 Gallons</v>
          </cell>
        </row>
        <row r="207">
          <cell r="A207" t="str">
            <v>Electric Storage Water Heater</v>
          </cell>
          <cell r="C207" t="str">
            <v>Heat Pump Water Heater &gt; 55 Gallons</v>
          </cell>
        </row>
        <row r="208">
          <cell r="A208" t="str">
            <v>Gas Tankless Water Heater</v>
          </cell>
        </row>
        <row r="209">
          <cell r="A209" t="str">
            <v>Electric Tankless Water Heater</v>
          </cell>
        </row>
        <row r="210">
          <cell r="A210" t="str">
            <v>Heat Pump Water Heater</v>
          </cell>
        </row>
        <row r="211">
          <cell r="A211" t="str">
            <v>None</v>
          </cell>
        </row>
      </sheetData>
      <sheetData sheetId="31"/>
      <sheetData sheetId="32"/>
      <sheetData sheetId="33"/>
      <sheetData sheetId="34"/>
      <sheetData sheetId="35"/>
      <sheetData sheetId="36"/>
      <sheetData sheetId="37"/>
      <sheetData sheetId="38"/>
      <sheetData sheetId="39">
        <row r="67">
          <cell r="B67" t="str">
            <v>Product Name</v>
          </cell>
          <cell r="C67" t="str">
            <v>Product Quantity</v>
          </cell>
          <cell r="D67" t="str">
            <v>Measure Code</v>
          </cell>
          <cell r="E67" t="str">
            <v>Application ID</v>
          </cell>
          <cell r="F67" t="str">
            <v>Baseline EER</v>
          </cell>
          <cell r="G67" t="str">
            <v>Baseline SEER</v>
          </cell>
          <cell r="H67" t="str">
            <v>Baseline COP</v>
          </cell>
          <cell r="P67" t="str">
            <v>Cooling Source</v>
          </cell>
          <cell r="Q67" t="str">
            <v>Gross kW</v>
          </cell>
        </row>
        <row r="68">
          <cell r="B68" t="str">
            <v/>
          </cell>
          <cell r="C68" t="str">
            <v/>
          </cell>
          <cell r="D68" t="str">
            <v/>
          </cell>
          <cell r="E68" t="str">
            <v/>
          </cell>
          <cell r="F68" t="str">
            <v/>
          </cell>
          <cell r="G68" t="str">
            <v/>
          </cell>
          <cell r="H68" t="str">
            <v/>
          </cell>
          <cell r="P68" t="str">
            <v/>
          </cell>
          <cell r="Q68" t="str">
            <v/>
          </cell>
        </row>
        <row r="69">
          <cell r="B69" t="str">
            <v/>
          </cell>
          <cell r="C69" t="str">
            <v/>
          </cell>
          <cell r="D69" t="str">
            <v/>
          </cell>
          <cell r="E69" t="str">
            <v/>
          </cell>
          <cell r="F69" t="str">
            <v/>
          </cell>
          <cell r="G69" t="str">
            <v/>
          </cell>
          <cell r="H69" t="str">
            <v/>
          </cell>
          <cell r="P69" t="str">
            <v/>
          </cell>
          <cell r="Q69" t="str">
            <v/>
          </cell>
        </row>
        <row r="70">
          <cell r="B70" t="str">
            <v/>
          </cell>
          <cell r="C70" t="str">
            <v/>
          </cell>
          <cell r="D70" t="str">
            <v/>
          </cell>
          <cell r="E70" t="str">
            <v/>
          </cell>
          <cell r="F70" t="str">
            <v/>
          </cell>
          <cell r="G70" t="str">
            <v/>
          </cell>
          <cell r="H70" t="str">
            <v/>
          </cell>
          <cell r="P70" t="str">
            <v/>
          </cell>
          <cell r="Q70" t="str">
            <v/>
          </cell>
        </row>
        <row r="71">
          <cell r="B71" t="str">
            <v/>
          </cell>
          <cell r="C71" t="str">
            <v/>
          </cell>
          <cell r="D71" t="str">
            <v/>
          </cell>
          <cell r="E71" t="str">
            <v/>
          </cell>
          <cell r="F71" t="str">
            <v/>
          </cell>
          <cell r="G71" t="str">
            <v/>
          </cell>
          <cell r="H71" t="str">
            <v/>
          </cell>
          <cell r="P71" t="str">
            <v/>
          </cell>
          <cell r="Q71" t="str">
            <v/>
          </cell>
        </row>
        <row r="72">
          <cell r="B72" t="str">
            <v/>
          </cell>
          <cell r="C72" t="str">
            <v/>
          </cell>
          <cell r="D72" t="str">
            <v/>
          </cell>
          <cell r="E72" t="str">
            <v/>
          </cell>
          <cell r="F72" t="str">
            <v/>
          </cell>
          <cell r="G72" t="str">
            <v/>
          </cell>
          <cell r="H72" t="str">
            <v/>
          </cell>
          <cell r="P72" t="str">
            <v/>
          </cell>
          <cell r="Q72" t="str">
            <v/>
          </cell>
        </row>
        <row r="73">
          <cell r="B73" t="str">
            <v/>
          </cell>
          <cell r="C73" t="str">
            <v/>
          </cell>
          <cell r="D73" t="str">
            <v/>
          </cell>
          <cell r="E73" t="str">
            <v/>
          </cell>
          <cell r="F73" t="str">
            <v/>
          </cell>
          <cell r="G73" t="str">
            <v/>
          </cell>
          <cell r="H73" t="str">
            <v/>
          </cell>
          <cell r="P73" t="str">
            <v/>
          </cell>
          <cell r="Q73" t="str">
            <v/>
          </cell>
        </row>
        <row r="74">
          <cell r="B74" t="str">
            <v/>
          </cell>
          <cell r="C74" t="str">
            <v/>
          </cell>
          <cell r="D74" t="str">
            <v/>
          </cell>
          <cell r="E74" t="str">
            <v/>
          </cell>
          <cell r="F74" t="str">
            <v/>
          </cell>
          <cell r="G74" t="str">
            <v/>
          </cell>
          <cell r="H74" t="str">
            <v/>
          </cell>
          <cell r="P74" t="str">
            <v/>
          </cell>
          <cell r="Q74" t="str">
            <v/>
          </cell>
        </row>
        <row r="75">
          <cell r="B75" t="str">
            <v/>
          </cell>
          <cell r="C75" t="str">
            <v/>
          </cell>
          <cell r="D75" t="str">
            <v/>
          </cell>
          <cell r="E75" t="str">
            <v/>
          </cell>
          <cell r="F75" t="str">
            <v/>
          </cell>
          <cell r="G75" t="str">
            <v/>
          </cell>
          <cell r="H75" t="str">
            <v/>
          </cell>
          <cell r="P75" t="str">
            <v/>
          </cell>
          <cell r="Q75" t="str">
            <v/>
          </cell>
        </row>
        <row r="76">
          <cell r="B76" t="str">
            <v/>
          </cell>
          <cell r="C76" t="str">
            <v/>
          </cell>
          <cell r="D76" t="str">
            <v/>
          </cell>
          <cell r="E76" t="str">
            <v/>
          </cell>
          <cell r="F76" t="str">
            <v/>
          </cell>
          <cell r="G76" t="str">
            <v/>
          </cell>
          <cell r="H76" t="str">
            <v/>
          </cell>
          <cell r="P76" t="str">
            <v/>
          </cell>
          <cell r="Q76" t="str">
            <v/>
          </cell>
        </row>
        <row r="77">
          <cell r="B77" t="str">
            <v/>
          </cell>
          <cell r="C77" t="str">
            <v/>
          </cell>
          <cell r="D77" t="str">
            <v/>
          </cell>
          <cell r="E77" t="str">
            <v/>
          </cell>
          <cell r="F77" t="str">
            <v/>
          </cell>
          <cell r="G77" t="str">
            <v/>
          </cell>
          <cell r="H77" t="str">
            <v/>
          </cell>
          <cell r="P77" t="str">
            <v/>
          </cell>
          <cell r="Q77" t="str">
            <v/>
          </cell>
        </row>
      </sheetData>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TES_Calculations"/>
      <sheetName val="References"/>
      <sheetName val="Calculations"/>
      <sheetName val="Development"/>
      <sheetName val="ProposedEquipment0"/>
      <sheetName val="Customer Information"/>
      <sheetName val="Guidelines"/>
      <sheetName val="Terms and Conditions"/>
      <sheetName val="Required Documents"/>
      <sheetName val="TES Collection Form"/>
      <sheetName val="Cool Roof"/>
      <sheetName val="CR Inspect"/>
      <sheetName val="Compressed Air"/>
      <sheetName val="CA Inspect"/>
      <sheetName val="Non Road EV Equipment"/>
      <sheetName val="Non Road EV Inspect"/>
      <sheetName val="Lawn Equipment"/>
      <sheetName val="Lawn Equipment Inspect"/>
      <sheetName val="Elevator Modernization"/>
      <sheetName val="Elevator Inspect"/>
      <sheetName val="Kitchen Equipment"/>
      <sheetName val="Worksheet"/>
      <sheetName val="KE Inspect"/>
      <sheetName val="Pool Equipment"/>
      <sheetName val="Pool Equip Inspect"/>
      <sheetName val="VFD Motors"/>
      <sheetName val="VFD Motor Inspect"/>
      <sheetName val="Refrigeration Inspect"/>
      <sheetName val="Custom"/>
    </sheetNames>
    <sheetDataSet>
      <sheetData sheetId="0" refreshError="1"/>
      <sheetData sheetId="1">
        <row r="5">
          <cell r="AV5" t="str">
            <v>Geared System</v>
          </cell>
        </row>
        <row r="6">
          <cell r="AV6" t="str">
            <v>Gearless System</v>
          </cell>
        </row>
        <row r="9">
          <cell r="AV9" t="str">
            <v>Silicon Controlled Rectifier Drive (SCR6)</v>
          </cell>
          <cell r="BG9" t="str">
            <v>Not Applicable</v>
          </cell>
        </row>
        <row r="10">
          <cell r="AV10" t="str">
            <v>Silicon Controlled Rectifier Drive (SCR12)</v>
          </cell>
        </row>
        <row r="11">
          <cell r="E11" t="str">
            <v>Select…</v>
          </cell>
          <cell r="AV11" t="str">
            <v>Pulse Width Modulation Drive (PWM)</v>
          </cell>
        </row>
        <row r="12">
          <cell r="E12" t="str">
            <v>Government</v>
          </cell>
        </row>
        <row r="13">
          <cell r="E13" t="str">
            <v>Not Incorporated</v>
          </cell>
        </row>
        <row r="14">
          <cell r="E14" t="str">
            <v>Incorporated</v>
          </cell>
          <cell r="BC14" t="str">
            <v>Yes</v>
          </cell>
        </row>
        <row r="15">
          <cell r="E15" t="str">
            <v>Not for Profit</v>
          </cell>
          <cell r="BC15" t="str">
            <v>No</v>
          </cell>
        </row>
        <row r="18">
          <cell r="AV18" t="str">
            <v>Silicon Controlled Rectifier Drive (SCR6)</v>
          </cell>
          <cell r="AZ18" t="str">
            <v>Timer Incorporated</v>
          </cell>
        </row>
        <row r="19">
          <cell r="N19" t="str">
            <v>BEF</v>
          </cell>
          <cell r="O19" t="str">
            <v>CTF</v>
          </cell>
          <cell r="P19" t="str">
            <v>CWP</v>
          </cell>
          <cell r="Q19" t="str">
            <v>RFA</v>
          </cell>
          <cell r="R19" t="str">
            <v>SFA</v>
          </cell>
          <cell r="S19" t="str">
            <v>WHP</v>
          </cell>
          <cell r="T19" t="str">
            <v>HWP</v>
          </cell>
          <cell r="U19" t="str">
            <v>BFWP</v>
          </cell>
          <cell r="V19" t="str">
            <v>BDF</v>
          </cell>
          <cell r="W19" t="str">
            <v>CNWP</v>
          </cell>
          <cell r="AV19" t="str">
            <v>Silicon Controlled Rectifier Drive (SCR12)</v>
          </cell>
          <cell r="AZ19" t="str">
            <v>No Timer</v>
          </cell>
        </row>
        <row r="20">
          <cell r="AV20" t="str">
            <v>Pulse Width Modulation Drive (PWM)</v>
          </cell>
          <cell r="AZ20" t="str">
            <v>Unknown</v>
          </cell>
        </row>
        <row r="21">
          <cell r="AV21" t="str">
            <v>Variable Voltage Variable Frequency Drive (VVVF)</v>
          </cell>
        </row>
        <row r="26">
          <cell r="J26" t="str">
            <v>Air Cooled Chiller</v>
          </cell>
        </row>
        <row r="27">
          <cell r="G27" t="str">
            <v>Select…</v>
          </cell>
          <cell r="J27" t="str">
            <v>Water Cooled Chiller</v>
          </cell>
        </row>
        <row r="28">
          <cell r="G28" t="str">
            <v>Existing Building</v>
          </cell>
          <cell r="J28" t="str">
            <v>Other</v>
          </cell>
        </row>
        <row r="29">
          <cell r="G29" t="str">
            <v>New Construction</v>
          </cell>
          <cell r="K29" t="str">
            <v>Electric</v>
          </cell>
        </row>
        <row r="30">
          <cell r="K30" t="str">
            <v>Gas</v>
          </cell>
        </row>
        <row r="31">
          <cell r="K31" t="str">
            <v>Oil</v>
          </cell>
        </row>
        <row r="32">
          <cell r="K32" t="str">
            <v>Propane</v>
          </cell>
        </row>
        <row r="33">
          <cell r="K33" t="str">
            <v>Other</v>
          </cell>
        </row>
        <row r="34">
          <cell r="K34" t="str">
            <v>None</v>
          </cell>
        </row>
        <row r="39">
          <cell r="K39" t="str">
            <v>Propane</v>
          </cell>
        </row>
        <row r="40">
          <cell r="K40" t="str">
            <v>Electric</v>
          </cell>
        </row>
        <row r="41">
          <cell r="K41" t="str">
            <v>New Construction (Electric)</v>
          </cell>
        </row>
        <row r="49">
          <cell r="B49" t="str">
            <v>College</v>
          </cell>
        </row>
        <row r="50">
          <cell r="B50" t="str">
            <v>Grocery</v>
          </cell>
        </row>
        <row r="51">
          <cell r="B51" t="str">
            <v>Health</v>
          </cell>
        </row>
        <row r="52">
          <cell r="B52" t="str">
            <v>Hospitals</v>
          </cell>
        </row>
        <row r="53">
          <cell r="B53" t="str">
            <v>Hotels/Motels</v>
          </cell>
        </row>
        <row r="54">
          <cell r="B54" t="str">
            <v>Manufacturing</v>
          </cell>
        </row>
        <row r="55">
          <cell r="B55" t="str">
            <v>Office</v>
          </cell>
        </row>
        <row r="56">
          <cell r="B56" t="str">
            <v>Other/Miscellaneous</v>
          </cell>
        </row>
        <row r="57">
          <cell r="B57" t="str">
            <v>Religious</v>
          </cell>
        </row>
        <row r="58">
          <cell r="B58" t="str">
            <v>Restaurant</v>
          </cell>
        </row>
        <row r="59">
          <cell r="B59" t="str">
            <v>Retail</v>
          </cell>
        </row>
        <row r="60">
          <cell r="B60" t="str">
            <v>School</v>
          </cell>
        </row>
        <row r="61">
          <cell r="B61" t="str">
            <v>Warehouse</v>
          </cell>
        </row>
        <row r="95">
          <cell r="S95" t="str">
            <v>Notched Belt</v>
          </cell>
        </row>
        <row r="96">
          <cell r="S96" t="str">
            <v>Synchronous Belt</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refreshError="1"/>
      <sheetData sheetId="20" refreshError="1"/>
      <sheetData sheetId="21"/>
      <sheetData sheetId="22" refreshError="1"/>
      <sheetData sheetId="23"/>
      <sheetData sheetId="24" refreshError="1"/>
      <sheetData sheetId="25"/>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sheetName val="Terms and Conditions"/>
      <sheetName val="Worksheet"/>
      <sheetName val="Calculations"/>
      <sheetName val="References"/>
      <sheetName val="Inspection Form"/>
      <sheetName val="Pre Approval"/>
      <sheetName val="Admin"/>
      <sheetName val="Development"/>
      <sheetName val="ProposedEquipment0"/>
    </sheetNames>
    <sheetDataSet>
      <sheetData sheetId="0"/>
      <sheetData sheetId="1"/>
      <sheetData sheetId="2"/>
      <sheetData sheetId="3"/>
      <sheetData sheetId="4">
        <row r="2">
          <cell r="K2" t="str">
            <v>Standard</v>
          </cell>
          <cell r="M2" t="str">
            <v>Select…</v>
          </cell>
        </row>
        <row r="3">
          <cell r="A3" t="str">
            <v>CFL</v>
          </cell>
          <cell r="B3" t="str">
            <v>T8</v>
          </cell>
          <cell r="C3" t="str">
            <v>T5</v>
          </cell>
          <cell r="D3" t="str">
            <v>T5</v>
          </cell>
          <cell r="E3" t="str">
            <v>Incandescent</v>
          </cell>
          <cell r="F3" t="str">
            <v>MH</v>
          </cell>
          <cell r="G3" t="str">
            <v>Biax</v>
          </cell>
          <cell r="H3" t="str">
            <v>T8</v>
          </cell>
          <cell r="K3" t="str">
            <v>Premium</v>
          </cell>
          <cell r="M3" t="str">
            <v>Office</v>
          </cell>
        </row>
        <row r="4">
          <cell r="A4" t="str">
            <v>Halogen</v>
          </cell>
          <cell r="B4" t="str">
            <v>T12</v>
          </cell>
          <cell r="C4" t="str">
            <v>T8</v>
          </cell>
          <cell r="D4" t="str">
            <v>T8</v>
          </cell>
          <cell r="E4" t="str">
            <v>CFL</v>
          </cell>
          <cell r="F4" t="str">
            <v>HPS</v>
          </cell>
          <cell r="G4" t="str">
            <v>T8</v>
          </cell>
          <cell r="H4" t="str">
            <v>T12</v>
          </cell>
          <cell r="M4" t="str">
            <v>Restaurant</v>
          </cell>
        </row>
        <row r="5">
          <cell r="A5" t="str">
            <v>Incandescent</v>
          </cell>
          <cell r="B5" t="str">
            <v>New Install</v>
          </cell>
          <cell r="C5" t="str">
            <v>T12</v>
          </cell>
          <cell r="D5" t="str">
            <v>T12</v>
          </cell>
          <cell r="E5" t="str">
            <v>Halogen</v>
          </cell>
          <cell r="F5" t="str">
            <v>T5</v>
          </cell>
          <cell r="G5" t="str">
            <v>T12</v>
          </cell>
          <cell r="M5" t="str">
            <v>Retail</v>
          </cell>
        </row>
        <row r="6">
          <cell r="A6" t="str">
            <v>New Install</v>
          </cell>
          <cell r="C6" t="str">
            <v>New Install</v>
          </cell>
          <cell r="D6" t="str">
            <v>Biax</v>
          </cell>
          <cell r="E6" t="str">
            <v>HPS</v>
          </cell>
          <cell r="F6" t="str">
            <v>T8</v>
          </cell>
          <cell r="M6" t="str">
            <v>Grocery</v>
          </cell>
        </row>
        <row r="7">
          <cell r="D7" t="str">
            <v>New Install</v>
          </cell>
          <cell r="E7" t="str">
            <v>MH</v>
          </cell>
          <cell r="F7" t="str">
            <v>T12</v>
          </cell>
          <cell r="M7" t="str">
            <v>Warehouse</v>
          </cell>
        </row>
        <row r="8">
          <cell r="E8" t="str">
            <v>New Install</v>
          </cell>
          <cell r="F8" t="str">
            <v>New Install</v>
          </cell>
          <cell r="M8" t="str">
            <v>School</v>
          </cell>
        </row>
        <row r="9">
          <cell r="M9" t="str">
            <v>College</v>
          </cell>
        </row>
        <row r="10">
          <cell r="M10" t="str">
            <v>Health</v>
          </cell>
        </row>
        <row r="11">
          <cell r="M11" t="str">
            <v>Hospitals</v>
          </cell>
        </row>
        <row r="12">
          <cell r="M12" t="str">
            <v>Hotels/Motels</v>
          </cell>
        </row>
        <row r="13">
          <cell r="F13" t="str">
            <v>LR100</v>
          </cell>
          <cell r="G13" t="str">
            <v>LED Interior Parking Garage Lighting Fixtures</v>
          </cell>
          <cell r="M13" t="str">
            <v>Manufacturing</v>
          </cell>
        </row>
        <row r="14">
          <cell r="F14" t="str">
            <v>LR100-P</v>
          </cell>
          <cell r="G14" t="str">
            <v>LED Interior Parking Garage Lighting Fixtures</v>
          </cell>
          <cell r="M14" t="str">
            <v>Religious</v>
          </cell>
        </row>
        <row r="15">
          <cell r="F15" t="str">
            <v>LR410</v>
          </cell>
          <cell r="G15" t="str">
            <v>LED Lamps</v>
          </cell>
          <cell r="M15" t="str">
            <v>Other/Miscellaneous</v>
          </cell>
        </row>
        <row r="16">
          <cell r="F16" t="str">
            <v>LR600</v>
          </cell>
          <cell r="G16" t="str">
            <v>LED Downlights &lt; 1,000 Lumens</v>
          </cell>
        </row>
        <row r="17">
          <cell r="F17" t="str">
            <v>LR610</v>
          </cell>
          <cell r="G17" t="str">
            <v>LED Downlights &gt; 1,000 Lumens</v>
          </cell>
        </row>
        <row r="18">
          <cell r="F18" t="str">
            <v>LR620</v>
          </cell>
          <cell r="G18" t="str">
            <v>Recessed LED Retrofit Kits</v>
          </cell>
        </row>
        <row r="19">
          <cell r="F19" t="str">
            <v>LR700</v>
          </cell>
          <cell r="G19" t="str">
            <v>LED 1 x 4 Linear Panel</v>
          </cell>
        </row>
        <row r="20">
          <cell r="F20" t="str">
            <v>LR700-P</v>
          </cell>
          <cell r="G20" t="str">
            <v>LED 1 x 4 Linear Panel</v>
          </cell>
        </row>
        <row r="21">
          <cell r="F21" t="str">
            <v>LR710</v>
          </cell>
          <cell r="G21" t="str">
            <v>LED 2 x 4 Linear Panel</v>
          </cell>
        </row>
        <row r="22">
          <cell r="F22" t="str">
            <v>LR710-P</v>
          </cell>
          <cell r="G22" t="str">
            <v>LED 2 x 4 Linear Panel</v>
          </cell>
        </row>
        <row r="23">
          <cell r="F23" t="str">
            <v>LR720</v>
          </cell>
          <cell r="G23" t="str">
            <v>LED 2 x 2 Linear Panel</v>
          </cell>
        </row>
        <row r="24">
          <cell r="F24" t="str">
            <v>LR720-P</v>
          </cell>
          <cell r="G24" t="str">
            <v>LED 2 x 2 Linear Panel</v>
          </cell>
        </row>
        <row r="25">
          <cell r="F25" t="str">
            <v>LR732</v>
          </cell>
          <cell r="G25" t="str">
            <v>2' Linear Ambient LED Luminaire</v>
          </cell>
        </row>
        <row r="26">
          <cell r="F26" t="str">
            <v>LR732-P</v>
          </cell>
          <cell r="G26" t="str">
            <v>2' Linear Ambient LED Luminaire</v>
          </cell>
        </row>
        <row r="27">
          <cell r="F27" t="str">
            <v>LR734</v>
          </cell>
          <cell r="G27" t="str">
            <v>4' Linear Ambient LED Luminaire</v>
          </cell>
        </row>
        <row r="28">
          <cell r="F28" t="str">
            <v>LR734-P</v>
          </cell>
          <cell r="G28" t="str">
            <v>4' Linear Ambient LED Luminaire</v>
          </cell>
        </row>
        <row r="29">
          <cell r="F29" t="str">
            <v>LR738</v>
          </cell>
          <cell r="G29" t="str">
            <v>8' Linear Ambient LED Luminaire</v>
          </cell>
        </row>
        <row r="30">
          <cell r="F30" t="str">
            <v>LR738-P</v>
          </cell>
          <cell r="G30" t="str">
            <v>8' Linear Ambient LED Luminaire</v>
          </cell>
        </row>
        <row r="31">
          <cell r="F31" t="str">
            <v>LR742</v>
          </cell>
          <cell r="G31" t="str">
            <v>LED Two Foot Linear Replacements</v>
          </cell>
        </row>
        <row r="32">
          <cell r="F32" t="str">
            <v>LR744</v>
          </cell>
          <cell r="G32" t="str">
            <v>LED Four Foot Linear Replacements</v>
          </cell>
        </row>
        <row r="33">
          <cell r="F33" t="str">
            <v>LR748</v>
          </cell>
          <cell r="G33" t="str">
            <v>LED Eight Foot Linear Replacements</v>
          </cell>
        </row>
        <row r="34">
          <cell r="F34" t="str">
            <v>LR750</v>
          </cell>
          <cell r="G34" t="str">
            <v>Retrofit Kits for 2x2 Luminaires</v>
          </cell>
        </row>
        <row r="35">
          <cell r="F35" t="str">
            <v>LR750-P</v>
          </cell>
          <cell r="G35" t="str">
            <v>Retrofit Kits for 2x2 Luminaires</v>
          </cell>
        </row>
        <row r="36">
          <cell r="F36" t="str">
            <v>LR760</v>
          </cell>
          <cell r="G36" t="str">
            <v>Retrofit Kits for 2x4 Luminaires</v>
          </cell>
        </row>
        <row r="37">
          <cell r="F37" t="str">
            <v>LR760-P</v>
          </cell>
          <cell r="G37" t="str">
            <v>Retrofit Kits for 2x4 Luminaires</v>
          </cell>
        </row>
        <row r="38">
          <cell r="F38" t="str">
            <v>LR810</v>
          </cell>
          <cell r="G38" t="str">
            <v>LED  Low Bay Fixtures</v>
          </cell>
        </row>
        <row r="39">
          <cell r="F39" t="str">
            <v>LR810-P</v>
          </cell>
          <cell r="G39" t="str">
            <v>LED  Low Bay Fixtures</v>
          </cell>
        </row>
        <row r="40">
          <cell r="F40" t="str">
            <v>LR820</v>
          </cell>
          <cell r="G40" t="str">
            <v>LED High Bay Fixtures</v>
          </cell>
        </row>
        <row r="41">
          <cell r="F41" t="str">
            <v>LR820-P</v>
          </cell>
          <cell r="G41" t="str">
            <v>LED High Bay Fixtures</v>
          </cell>
        </row>
        <row r="42">
          <cell r="F42" t="str">
            <v>RC101</v>
          </cell>
          <cell r="G42" t="str">
            <v>Refrigerated Case Lighting</v>
          </cell>
        </row>
        <row r="43">
          <cell r="F43" t="str">
            <v>RC101-P</v>
          </cell>
          <cell r="G43" t="str">
            <v>Refrigerated Case Lighting</v>
          </cell>
        </row>
        <row r="44">
          <cell r="F44" t="str">
            <v>LRC100</v>
          </cell>
          <cell r="G44" t="str">
            <v xml:space="preserve">Wall Mounted </v>
          </cell>
        </row>
        <row r="45">
          <cell r="F45" t="str">
            <v>LRC200</v>
          </cell>
          <cell r="G45" t="str">
            <v xml:space="preserve">Ceiling/Remote Mounted </v>
          </cell>
        </row>
        <row r="46">
          <cell r="F46" t="str">
            <v>LRC300</v>
          </cell>
          <cell r="G46" t="str">
            <v>Fixture mounted</v>
          </cell>
        </row>
        <row r="47">
          <cell r="F47" t="str">
            <v>LRC400</v>
          </cell>
          <cell r="G47" t="str">
            <v xml:space="preserve">Day lighting Controlled Dimming </v>
          </cell>
        </row>
        <row r="48">
          <cell r="F48" t="str">
            <v>LRC700</v>
          </cell>
          <cell r="G48" t="str">
            <v xml:space="preserve">Fixture mounted daylight </v>
          </cell>
        </row>
        <row r="59">
          <cell r="M59" t="str">
            <v>Select…</v>
          </cell>
        </row>
        <row r="60">
          <cell r="M60" t="str">
            <v>Government</v>
          </cell>
        </row>
        <row r="61">
          <cell r="M61" t="str">
            <v>Not Incorporated</v>
          </cell>
        </row>
        <row r="62">
          <cell r="M62" t="str">
            <v>Incorporated</v>
          </cell>
        </row>
        <row r="63">
          <cell r="M63" t="str">
            <v>Not for Profit</v>
          </cell>
        </row>
        <row r="66">
          <cell r="M66" t="str">
            <v>Select…</v>
          </cell>
        </row>
        <row r="67">
          <cell r="M67" t="str">
            <v xml:space="preserve">Existing Building </v>
          </cell>
        </row>
        <row r="68">
          <cell r="M68" t="str">
            <v>New Construction</v>
          </cell>
        </row>
      </sheetData>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Customer Inputs"/>
      <sheetName val="Summary"/>
      <sheetName val="Eligibility Table"/>
      <sheetName val="Eligibility Table (T12)"/>
      <sheetName val="Wattage Table"/>
      <sheetName val="Device Code Legend"/>
      <sheetName val="AccountEquipment0"/>
      <sheetName val="ProposedEquipment0"/>
      <sheetName val="LightingProducts"/>
      <sheetName val="Classes"/>
      <sheetName val="References"/>
      <sheetName val="Calculations"/>
      <sheetName val="Develop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Instructions"/>
      <sheetName val="Customer Information"/>
      <sheetName val="Terms and Conditions"/>
      <sheetName val="Guidelines"/>
      <sheetName val="Required Documents"/>
      <sheetName val="Eligibility Table"/>
      <sheetName val="Whole Building ccASHP Worksheet"/>
      <sheetName val="Inspection Form"/>
      <sheetName val="ccASHP Inspection Form"/>
      <sheetName val="HVAC Worksheet"/>
      <sheetName val="ERV-HRV Inspection Form"/>
      <sheetName val="HVLS Inspection Form"/>
      <sheetName val="Development"/>
      <sheetName val="Calculations"/>
      <sheetName val="Ventilation"/>
      <sheetName val="Summary"/>
      <sheetName val="ProposedEquipment0"/>
      <sheetName val="HVAC Types"/>
      <sheetName val="Old Summary"/>
      <sheetName val="References"/>
      <sheetName val="CEE Comparison"/>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ow r="7">
          <cell r="G7" t="str">
            <v>Select …</v>
          </cell>
        </row>
      </sheetData>
      <sheetData sheetId="10" refreshError="1"/>
      <sheetData sheetId="11" refreshError="1"/>
      <sheetData sheetId="12" refreshError="1"/>
      <sheetData sheetId="13" refreshError="1"/>
      <sheetData sheetId="14"/>
      <sheetData sheetId="15">
        <row r="5">
          <cell r="B5" t="str">
            <v>Measure Code</v>
          </cell>
          <cell r="C5" t="str">
            <v>Quantity</v>
          </cell>
          <cell r="D5" t="str">
            <v>Gross kW Savings per Unit</v>
          </cell>
          <cell r="E5" t="str">
            <v>Gross kWh Savings per Unit</v>
          </cell>
          <cell r="H5" t="str">
            <v>Total kW Savings</v>
          </cell>
          <cell r="I5" t="str">
            <v>Total EE kWh Savings</v>
          </cell>
          <cell r="J5" t="str">
            <v>Total MMBtu Savings</v>
          </cell>
          <cell r="K5" t="str">
            <v>Total Rebate</v>
          </cell>
        </row>
        <row r="95">
          <cell r="B95" t="str">
            <v>HVAC Worksheet Totals</v>
          </cell>
        </row>
      </sheetData>
      <sheetData sheetId="16" refreshError="1"/>
      <sheetData sheetId="17" refreshError="1"/>
      <sheetData sheetId="18" refreshError="1"/>
      <sheetData sheetId="19">
        <row r="3">
          <cell r="D3" t="str">
            <v>Room Air Conditioners</v>
          </cell>
          <cell r="E3" t="str">
            <v>Ductless Mini-Split AC</v>
          </cell>
          <cell r="F3" t="str">
            <v>Air Conditioners - Air Cooled</v>
          </cell>
          <cell r="G3" t="str">
            <v>Air Conditioners - Water &amp; Evaporatively Cooled</v>
          </cell>
          <cell r="H3" t="str">
            <v>Geothermal Heat Pumps</v>
          </cell>
          <cell r="I3" t="str">
            <v>Ductless Mini-Split Heat Pumps</v>
          </cell>
          <cell r="J3" t="str">
            <v>Air Cooled Heat Pumps</v>
          </cell>
          <cell r="K3" t="str">
            <v>Water Source Heat Pumps</v>
          </cell>
          <cell r="L3" t="str">
            <v>VRF Air Cooled Heat Pumps</v>
          </cell>
          <cell r="M3" t="str">
            <v>VRF Water Source Heat Pumps</v>
          </cell>
          <cell r="N3" t="str">
            <v>Packaged Terminal Air Conditioners</v>
          </cell>
          <cell r="O3" t="str">
            <v>Packaged Terminal Heat Pumps</v>
          </cell>
          <cell r="P3" t="str">
            <v>Cold Climate Air Source Heat Pumps</v>
          </cell>
          <cell r="Q3" t="str">
            <v>Ductless Mini-Split Cold Climate Heat Pumps</v>
          </cell>
          <cell r="R3" t="str">
            <v>Ductless Multi-Split Cold Climate Heat Pumps</v>
          </cell>
        </row>
        <row r="4">
          <cell r="T4" t="str">
            <v>Room Air Conditioners &lt; 2.5 Tons All Types</v>
          </cell>
          <cell r="Z4" t="str">
            <v>Room Air Conditioner</v>
          </cell>
          <cell r="AA4" t="str">
            <v>None</v>
          </cell>
          <cell r="AY4" t="str">
            <v>Room Air Conditioners &lt; 2.5 Tons All Types</v>
          </cell>
          <cell r="BA4">
            <v>10.4</v>
          </cell>
          <cell r="BD4">
            <v>0.55000000000000004</v>
          </cell>
        </row>
        <row r="5">
          <cell r="T5" t="str">
            <v>Ductless Mini-Split AC &lt; 5.4 Tons All Types</v>
          </cell>
          <cell r="Z5" t="str">
            <v>Room Air Conditioner</v>
          </cell>
          <cell r="AA5" t="str">
            <v>Ductless Mini-Split AC</v>
          </cell>
          <cell r="AB5" t="str">
            <v>None</v>
          </cell>
          <cell r="AY5" t="str">
            <v>Ductless Mini-Split AC &lt; 5.4 tons All Types</v>
          </cell>
          <cell r="AZ5">
            <v>15</v>
          </cell>
          <cell r="BA5">
            <v>12.5</v>
          </cell>
          <cell r="BD5">
            <v>0.55000000000000004</v>
          </cell>
          <cell r="BE5">
            <v>16</v>
          </cell>
          <cell r="BF5">
            <v>13</v>
          </cell>
          <cell r="BI5">
            <v>230</v>
          </cell>
          <cell r="BL5">
            <v>13</v>
          </cell>
          <cell r="BM5">
            <v>11.180000000000003</v>
          </cell>
        </row>
        <row r="6">
          <cell r="T6" t="str">
            <v>Air Conditioners - Air Cooled &lt; 5.4 Tons Split System</v>
          </cell>
          <cell r="Z6" t="str">
            <v>Room Air Conditioner</v>
          </cell>
          <cell r="AA6" t="str">
            <v>Split System AC</v>
          </cell>
          <cell r="AB6" t="str">
            <v>None</v>
          </cell>
          <cell r="AY6" t="str">
            <v>Air Conditioners - Air Cooled &lt; 5.4 Tons Split System</v>
          </cell>
          <cell r="AZ6">
            <v>16</v>
          </cell>
          <cell r="BA6">
            <v>13</v>
          </cell>
          <cell r="BD6">
            <v>0.55000000000000004</v>
          </cell>
          <cell r="BE6">
            <v>18</v>
          </cell>
          <cell r="BF6">
            <v>13</v>
          </cell>
          <cell r="BI6">
            <v>230</v>
          </cell>
          <cell r="BL6">
            <v>13</v>
          </cell>
          <cell r="BM6">
            <v>11.180000000000003</v>
          </cell>
        </row>
        <row r="7">
          <cell r="T7" t="str">
            <v>Air Conditioners - Air Cooled &lt; 5.4 Tons Single Package</v>
          </cell>
          <cell r="Z7" t="str">
            <v>Room Air Conditioner</v>
          </cell>
          <cell r="AA7" t="str">
            <v>Single Package AC</v>
          </cell>
          <cell r="AB7" t="str">
            <v>None</v>
          </cell>
          <cell r="AY7" t="str">
            <v>Air Conditioners - Air Cooled &lt; 5.4 Tons Single Package</v>
          </cell>
          <cell r="AZ7">
            <v>16</v>
          </cell>
          <cell r="BA7">
            <v>12</v>
          </cell>
          <cell r="BD7">
            <v>0.55000000000000004</v>
          </cell>
          <cell r="BE7">
            <v>17</v>
          </cell>
          <cell r="BF7">
            <v>12.5</v>
          </cell>
          <cell r="BI7">
            <v>230</v>
          </cell>
          <cell r="BL7">
            <v>14</v>
          </cell>
          <cell r="BM7">
            <v>11.760000000000002</v>
          </cell>
        </row>
        <row r="8">
          <cell r="B8" t="str">
            <v>PSEGLI_2023 HVAC Worksheet_VERSION 1.0.xlsm</v>
          </cell>
          <cell r="T8" t="str">
            <v>Air Conditioners - Air Cooled ≥ 5.4 &amp; &lt; 11.25 Tons Split System</v>
          </cell>
          <cell r="Z8" t="str">
            <v>Room Air Conditioner</v>
          </cell>
          <cell r="AA8" t="str">
            <v>Split System AC</v>
          </cell>
          <cell r="AB8" t="str">
            <v>None</v>
          </cell>
          <cell r="AY8" t="str">
            <v>Air Conditioners - Air Cooled ≥ 5.4 &amp; &lt; 11.25 Tons Split System</v>
          </cell>
          <cell r="AZ8">
            <v>14.6</v>
          </cell>
          <cell r="BA8">
            <v>12</v>
          </cell>
          <cell r="BD8">
            <v>0.55000000000000004</v>
          </cell>
          <cell r="BE8">
            <v>17.8</v>
          </cell>
          <cell r="BF8">
            <v>12.4</v>
          </cell>
          <cell r="BI8">
            <v>110</v>
          </cell>
          <cell r="BL8">
            <v>12.7</v>
          </cell>
          <cell r="BM8">
            <v>11</v>
          </cell>
        </row>
        <row r="9">
          <cell r="T9" t="str">
            <v>Air Conditioners - Air Cooled ≥ 5.4 &amp; &lt; 11.25 Tons Single Package</v>
          </cell>
          <cell r="Z9" t="str">
            <v>Room Air Conditioner</v>
          </cell>
          <cell r="AA9" t="str">
            <v>Split System AC</v>
          </cell>
          <cell r="AB9" t="str">
            <v>Single Package AC</v>
          </cell>
          <cell r="AC9" t="str">
            <v>None</v>
          </cell>
          <cell r="AY9" t="str">
            <v>Air Conditioners - Air Cooled ≥ 5.4 &amp; &lt; 11.25 Tons Single Package</v>
          </cell>
          <cell r="AZ9">
            <v>14.6</v>
          </cell>
          <cell r="BA9">
            <v>12</v>
          </cell>
          <cell r="BD9">
            <v>0.55000000000000004</v>
          </cell>
          <cell r="BE9">
            <v>17.8</v>
          </cell>
          <cell r="BF9">
            <v>12.4</v>
          </cell>
          <cell r="BI9">
            <v>110</v>
          </cell>
          <cell r="BL9">
            <v>12.7</v>
          </cell>
          <cell r="BM9">
            <v>11</v>
          </cell>
        </row>
        <row r="10">
          <cell r="D10" t="str">
            <v>Room Air Conditioners</v>
          </cell>
          <cell r="E10" t="str">
            <v>Ductless Mini-Split AC</v>
          </cell>
          <cell r="F10" t="str">
            <v>Air Conditioners - Air Cooled</v>
          </cell>
          <cell r="G10" t="str">
            <v>Air Conditioners - Water &amp; Evaporatively Cooled</v>
          </cell>
          <cell r="H10" t="str">
            <v>Geothermal Heat Pumps</v>
          </cell>
          <cell r="I10" t="str">
            <v>Ductless Mini-Split Heat Pumps</v>
          </cell>
          <cell r="J10" t="str">
            <v>Air Cooled Heat Pumps</v>
          </cell>
          <cell r="K10" t="str">
            <v>Water Source Heat Pumps</v>
          </cell>
          <cell r="L10" t="str">
            <v>VRF Air Cooled Heat Pumps</v>
          </cell>
          <cell r="M10" t="str">
            <v>VRF Water Source Heat Pumps</v>
          </cell>
          <cell r="N10" t="str">
            <v>Packaged Terminal Air Conditioners</v>
          </cell>
          <cell r="O10" t="str">
            <v>Packaged Terminal Heat Pumps</v>
          </cell>
          <cell r="P10" t="str">
            <v>Cold Climate Air Source Heat Pumps</v>
          </cell>
          <cell r="Q10" t="str">
            <v>Ductless Mini-Split Cold Climate Heat Pumps</v>
          </cell>
          <cell r="R10" t="str">
            <v>Ductless Multi-Split Cold Climate Heat Pumps</v>
          </cell>
          <cell r="T10" t="str">
            <v>Air Conditioners - Air Cooled ≥ 11.25 &amp; &lt; 20 Tons Split System</v>
          </cell>
          <cell r="Z10" t="str">
            <v>Room Air Conditioner</v>
          </cell>
          <cell r="AA10" t="str">
            <v>Split System AC</v>
          </cell>
          <cell r="AB10" t="str">
            <v>Single Package AC</v>
          </cell>
          <cell r="AC10" t="str">
            <v>None</v>
          </cell>
          <cell r="AY10" t="str">
            <v>Air Conditioners - Air Cooled ≥ 11.25 &amp; &lt; 20 Tons Split System</v>
          </cell>
          <cell r="AZ10">
            <v>14</v>
          </cell>
          <cell r="BA10">
            <v>12</v>
          </cell>
          <cell r="BD10">
            <v>0.55000000000000004</v>
          </cell>
          <cell r="BE10">
            <v>16.8</v>
          </cell>
          <cell r="BF10">
            <v>12</v>
          </cell>
          <cell r="BI10">
            <v>100</v>
          </cell>
          <cell r="BL10">
            <v>12.2</v>
          </cell>
          <cell r="BM10">
            <v>10.8</v>
          </cell>
        </row>
        <row r="11">
          <cell r="T11" t="str">
            <v>Air Conditioners - Air Cooled ≥ 11.25 &amp; &lt; 20 Tons Single Package</v>
          </cell>
          <cell r="Z11" t="str">
            <v>Room Air Conditioner</v>
          </cell>
          <cell r="AA11" t="str">
            <v>Split SystemAC</v>
          </cell>
          <cell r="AB11" t="str">
            <v>Single Package AC</v>
          </cell>
          <cell r="AC11" t="str">
            <v>None</v>
          </cell>
          <cell r="AY11" t="str">
            <v>Air Conditioners - Air Cooled ≥ 11.25 &amp; &lt; 20 Tons Single Package</v>
          </cell>
          <cell r="AZ11">
            <v>14</v>
          </cell>
          <cell r="BA11">
            <v>12</v>
          </cell>
          <cell r="BD11">
            <v>0.55000000000000004</v>
          </cell>
          <cell r="BE11">
            <v>16.8</v>
          </cell>
          <cell r="BF11">
            <v>12</v>
          </cell>
          <cell r="BI11">
            <v>100</v>
          </cell>
          <cell r="BL11">
            <v>12.2</v>
          </cell>
          <cell r="BM11">
            <v>10.8</v>
          </cell>
        </row>
        <row r="12">
          <cell r="T12" t="str">
            <v>Air Conditioners - Air Cooled ≥ 20 &amp; &lt; 63 Tons Split System</v>
          </cell>
          <cell r="Z12" t="str">
            <v>Room Air Conditioner</v>
          </cell>
          <cell r="AA12" t="str">
            <v>Split SystemAC</v>
          </cell>
          <cell r="AB12" t="str">
            <v>Single Package AC</v>
          </cell>
          <cell r="AC12" t="str">
            <v>None</v>
          </cell>
          <cell r="AY12" t="str">
            <v>Air Conditioners - Air Cooled ≥ 20 &amp; &lt; 63 Tons Split System</v>
          </cell>
          <cell r="AZ12">
            <v>13</v>
          </cell>
          <cell r="BA12">
            <v>10.6</v>
          </cell>
          <cell r="BD12">
            <v>0.55000000000000004</v>
          </cell>
          <cell r="BE12">
            <v>14.3</v>
          </cell>
          <cell r="BF12">
            <v>10.6</v>
          </cell>
          <cell r="BI12">
            <v>90</v>
          </cell>
          <cell r="BL12">
            <v>11.4</v>
          </cell>
          <cell r="BM12">
            <v>9.8000000000000007</v>
          </cell>
        </row>
        <row r="13">
          <cell r="T13" t="str">
            <v>Air Conditioners - Air Cooled ≥ 20 &amp; &lt; 63 Tons Single Package</v>
          </cell>
          <cell r="Z13" t="str">
            <v>Room Air Conditioner</v>
          </cell>
          <cell r="AA13" t="str">
            <v>Split System AC</v>
          </cell>
          <cell r="AB13" t="str">
            <v>Single Package AC</v>
          </cell>
          <cell r="AC13" t="str">
            <v>None</v>
          </cell>
          <cell r="AY13" t="str">
            <v>Air Conditioners - Air Cooled ≥ 20 &amp; &lt; 63 Tons Single Package</v>
          </cell>
          <cell r="AZ13">
            <v>13</v>
          </cell>
          <cell r="BA13">
            <v>10.6</v>
          </cell>
          <cell r="BD13">
            <v>0.55000000000000004</v>
          </cell>
          <cell r="BE13">
            <v>14.3</v>
          </cell>
          <cell r="BF13">
            <v>10.6</v>
          </cell>
          <cell r="BI13">
            <v>90</v>
          </cell>
          <cell r="BL13">
            <v>11.4</v>
          </cell>
          <cell r="BM13">
            <v>9.8000000000000007</v>
          </cell>
        </row>
        <row r="14">
          <cell r="T14" t="str">
            <v>Air Conditioners - Air Cooled ≥ 63 Tons Split System</v>
          </cell>
          <cell r="Z14" t="str">
            <v>Room Air Conditioner</v>
          </cell>
          <cell r="AA14" t="str">
            <v>Split System AC</v>
          </cell>
          <cell r="AB14" t="str">
            <v>Single Package AC</v>
          </cell>
          <cell r="AC14" t="str">
            <v>None</v>
          </cell>
          <cell r="AY14" t="str">
            <v>Air Conditioners - Air Cooled ≥ 63 Tons Split System</v>
          </cell>
          <cell r="AZ14">
            <v>11.4</v>
          </cell>
          <cell r="BA14">
            <v>9.6999999999999993</v>
          </cell>
          <cell r="BD14">
            <v>0.55000000000000004</v>
          </cell>
          <cell r="BE14">
            <v>12.1</v>
          </cell>
          <cell r="BF14">
            <v>10.199999999999999</v>
          </cell>
          <cell r="BI14">
            <v>50</v>
          </cell>
          <cell r="BL14">
            <v>11</v>
          </cell>
          <cell r="BM14">
            <v>9.5</v>
          </cell>
        </row>
        <row r="15">
          <cell r="T15" t="str">
            <v>Air Conditioners - Air Cooled ≥ 63 Tons Single Package</v>
          </cell>
          <cell r="Z15" t="str">
            <v>Room Air Conditioner</v>
          </cell>
          <cell r="AA15" t="str">
            <v>Split System AC</v>
          </cell>
          <cell r="AB15" t="str">
            <v>Single Package AC</v>
          </cell>
          <cell r="AC15" t="str">
            <v>None</v>
          </cell>
          <cell r="AY15" t="str">
            <v>Air Conditioners - Air Cooled ≥ 63 Tons Single Package</v>
          </cell>
          <cell r="AZ15">
            <v>11.4</v>
          </cell>
          <cell r="BA15">
            <v>9.6999999999999993</v>
          </cell>
          <cell r="BD15">
            <v>0.55000000000000004</v>
          </cell>
          <cell r="BE15">
            <v>12.1</v>
          </cell>
          <cell r="BF15">
            <v>10.199999999999999</v>
          </cell>
          <cell r="BI15">
            <v>50</v>
          </cell>
          <cell r="BL15">
            <v>11</v>
          </cell>
          <cell r="BM15">
            <v>9.5</v>
          </cell>
        </row>
        <row r="16">
          <cell r="T16" t="str">
            <v>Air Conditioners - Water &amp; Evaporatively Cooled All Sizes Split System</v>
          </cell>
          <cell r="Z16" t="str">
            <v>Split System AC</v>
          </cell>
          <cell r="AA16" t="str">
            <v>Single Package AC</v>
          </cell>
          <cell r="AB16" t="str">
            <v>None</v>
          </cell>
          <cell r="AY16" t="str">
            <v>Air Conditioners - Water &amp; Evaporatively Cooled All Sizes Split System</v>
          </cell>
          <cell r="BA16">
            <v>14</v>
          </cell>
          <cell r="BD16">
            <v>0.55000000000000004</v>
          </cell>
          <cell r="BE16" t="str">
            <v>N/A</v>
          </cell>
          <cell r="BF16" t="str">
            <v>N/A</v>
          </cell>
          <cell r="BG16" t="str">
            <v>N/A</v>
          </cell>
          <cell r="BH16" t="str">
            <v>N/A</v>
          </cell>
          <cell r="BI16" t="str">
            <v>N/A</v>
          </cell>
          <cell r="BM16">
            <v>12.1</v>
          </cell>
        </row>
        <row r="17">
          <cell r="T17" t="str">
            <v>Air Conditioners - Water &amp; Evaporatively Cooled All Sizes Single Package</v>
          </cell>
          <cell r="Z17" t="str">
            <v>Split System AC</v>
          </cell>
          <cell r="AA17" t="str">
            <v>Single Package AC</v>
          </cell>
          <cell r="AB17" t="str">
            <v>None</v>
          </cell>
          <cell r="AY17" t="str">
            <v>Air Conditioners - Water &amp; Evaporatively Cooled All Sizes Single Package</v>
          </cell>
          <cell r="BA17">
            <v>14</v>
          </cell>
          <cell r="BD17">
            <v>0.55000000000000004</v>
          </cell>
          <cell r="BE17" t="str">
            <v>N/A</v>
          </cell>
          <cell r="BF17" t="str">
            <v>N/A</v>
          </cell>
          <cell r="BG17" t="str">
            <v>N/A</v>
          </cell>
          <cell r="BH17" t="str">
            <v>N/A</v>
          </cell>
          <cell r="BI17" t="str">
            <v>N/A</v>
          </cell>
          <cell r="BM17">
            <v>12.1</v>
          </cell>
        </row>
        <row r="18">
          <cell r="T18" t="str">
            <v>Ductless Mini-Split Heat Pumps &lt; 5.4 tons All Types</v>
          </cell>
          <cell r="Z18" t="str">
            <v>Room Air Conditioner</v>
          </cell>
          <cell r="AA18" t="str">
            <v>Ductless Mini-Split AC</v>
          </cell>
          <cell r="AB18" t="str">
            <v>Ductless Mini-Split HP</v>
          </cell>
          <cell r="AC18" t="str">
            <v>None</v>
          </cell>
          <cell r="AY18" t="str">
            <v>Ductless Mini-Split Heat Pumps &lt; 5.4 tons All Types</v>
          </cell>
          <cell r="AZ18">
            <v>15</v>
          </cell>
          <cell r="BA18">
            <v>12.5</v>
          </cell>
          <cell r="BB18">
            <v>8.5</v>
          </cell>
          <cell r="BD18">
            <v>2</v>
          </cell>
          <cell r="BE18">
            <v>16</v>
          </cell>
          <cell r="BF18">
            <v>13</v>
          </cell>
          <cell r="BG18">
            <v>9</v>
          </cell>
          <cell r="BI18">
            <v>230</v>
          </cell>
          <cell r="BL18">
            <v>14</v>
          </cell>
          <cell r="BM18">
            <v>11.760000000000002</v>
          </cell>
          <cell r="BN18">
            <v>8.1999999999999993</v>
          </cell>
          <cell r="BO18">
            <v>2.4032825322391558</v>
          </cell>
        </row>
        <row r="19">
          <cell r="T19" t="str">
            <v>Air Cooled Heat Pumps &lt; 5.4 Tons Split System</v>
          </cell>
          <cell r="Z19" t="str">
            <v>Split System AC</v>
          </cell>
          <cell r="AA19" t="str">
            <v>Split System HP</v>
          </cell>
          <cell r="AB19" t="str">
            <v>None</v>
          </cell>
          <cell r="AY19" t="str">
            <v>Packaged Terminal Air Conditioners &lt; 0.75 Tons All Types</v>
          </cell>
          <cell r="BA19">
            <v>12.2</v>
          </cell>
          <cell r="BD19">
            <v>0.55000000000000004</v>
          </cell>
          <cell r="BE19" t="str">
            <v>N/A</v>
          </cell>
          <cell r="BF19" t="str">
            <v>N/A</v>
          </cell>
          <cell r="BG19" t="str">
            <v>N/A</v>
          </cell>
          <cell r="BH19" t="str">
            <v>N/A</v>
          </cell>
          <cell r="BI19" t="str">
            <v>N/A</v>
          </cell>
          <cell r="BM19">
            <v>14</v>
          </cell>
        </row>
        <row r="20">
          <cell r="T20" t="str">
            <v>Air Cooled Heat Pumps &lt; 5.4 Tons Single Package</v>
          </cell>
          <cell r="Z20" t="str">
            <v>Single Package AC</v>
          </cell>
          <cell r="AA20" t="str">
            <v>Single Package HP</v>
          </cell>
          <cell r="AB20" t="str">
            <v>None</v>
          </cell>
          <cell r="AY20" t="str">
            <v>Packaged Terminal Air Conditioners ≥ 0.75 Tons &amp; &lt; 1 Ton All Types</v>
          </cell>
          <cell r="BA20">
            <v>11.4</v>
          </cell>
          <cell r="BD20">
            <v>0.55000000000000004</v>
          </cell>
          <cell r="BE20" t="str">
            <v>N/A</v>
          </cell>
          <cell r="BF20" t="str">
            <v>N/A</v>
          </cell>
          <cell r="BG20" t="str">
            <v>N/A</v>
          </cell>
          <cell r="BH20" t="str">
            <v>N/A</v>
          </cell>
          <cell r="BI20" t="str">
            <v>N/A</v>
          </cell>
          <cell r="BM20">
            <v>14</v>
          </cell>
        </row>
        <row r="21">
          <cell r="G21" t="str">
            <v>Select …</v>
          </cell>
          <cell r="T21" t="str">
            <v>Air Cooled Heat Pumps ≥ 5.4 &amp; &lt; 11.25 Tons Split System</v>
          </cell>
          <cell r="Z21" t="str">
            <v>Split System AC</v>
          </cell>
          <cell r="AA21" t="str">
            <v>Single Package AC</v>
          </cell>
          <cell r="AB21" t="str">
            <v>Split System HP</v>
          </cell>
          <cell r="AC21" t="str">
            <v>Single Package HP</v>
          </cell>
          <cell r="AY21" t="str">
            <v>Packaged Terminal Air Conditioners ≥ 1 Tons All Types</v>
          </cell>
          <cell r="BA21">
            <v>10.4</v>
          </cell>
          <cell r="BD21">
            <v>0.55000000000000004</v>
          </cell>
          <cell r="BE21" t="str">
            <v>N/A</v>
          </cell>
          <cell r="BF21" t="str">
            <v>N/A</v>
          </cell>
          <cell r="BG21" t="str">
            <v>N/A</v>
          </cell>
          <cell r="BH21" t="str">
            <v>N/A</v>
          </cell>
          <cell r="BI21" t="str">
            <v>N/A</v>
          </cell>
          <cell r="BM21">
            <v>14</v>
          </cell>
        </row>
        <row r="22">
          <cell r="G22" t="str">
            <v>Assembly</v>
          </cell>
          <cell r="T22" t="str">
            <v>Air Cooled Heat Pumps ≥ 5.4 &amp; &lt; 11.25 Tons Single Package</v>
          </cell>
          <cell r="Z22" t="str">
            <v>Split System AC</v>
          </cell>
          <cell r="AA22" t="str">
            <v>Single Package AC</v>
          </cell>
          <cell r="AB22" t="str">
            <v>Split System HP</v>
          </cell>
          <cell r="AC22" t="str">
            <v>Single Package HP</v>
          </cell>
          <cell r="AY22" t="str">
            <v>Air Cooled Heat Pumps &lt; 5.4 Tons Split System</v>
          </cell>
          <cell r="AZ22">
            <v>15</v>
          </cell>
          <cell r="BA22">
            <v>12.5</v>
          </cell>
          <cell r="BB22">
            <v>8.5</v>
          </cell>
          <cell r="BD22">
            <v>2</v>
          </cell>
          <cell r="BE22">
            <v>16</v>
          </cell>
          <cell r="BF22">
            <v>13</v>
          </cell>
          <cell r="BG22">
            <v>9</v>
          </cell>
          <cell r="BI22">
            <v>230</v>
          </cell>
          <cell r="BL22">
            <v>14</v>
          </cell>
          <cell r="BM22">
            <v>11.760000000000002</v>
          </cell>
          <cell r="BN22">
            <v>8.1999999999999993</v>
          </cell>
          <cell r="BO22">
            <v>2.4032825322391558</v>
          </cell>
        </row>
        <row r="23">
          <cell r="G23" t="str">
            <v>Auto Repair</v>
          </cell>
          <cell r="T23" t="str">
            <v>Air Cooled Heat Pumps ≥ 11.25 &amp; &lt; 20 Tons Split System</v>
          </cell>
          <cell r="Z23" t="str">
            <v>Split System AC</v>
          </cell>
          <cell r="AA23" t="str">
            <v>Single Package AC</v>
          </cell>
          <cell r="AB23" t="str">
            <v>Split System HP</v>
          </cell>
          <cell r="AC23" t="str">
            <v>Single Package HP</v>
          </cell>
          <cell r="AY23" t="str">
            <v>Air Cooled Heat Pumps &lt; 5.4 Tons Single Package</v>
          </cell>
          <cell r="AZ23">
            <v>15</v>
          </cell>
          <cell r="BA23">
            <v>12</v>
          </cell>
          <cell r="BB23">
            <v>8.1999999999999993</v>
          </cell>
          <cell r="BD23">
            <v>2</v>
          </cell>
          <cell r="BE23">
            <v>16</v>
          </cell>
          <cell r="BF23">
            <v>12</v>
          </cell>
          <cell r="BG23">
            <v>8.1999999999999993</v>
          </cell>
          <cell r="BI23">
            <v>230</v>
          </cell>
          <cell r="BL23">
            <v>14</v>
          </cell>
          <cell r="BM23">
            <v>11.760000000000002</v>
          </cell>
          <cell r="BN23">
            <v>8</v>
          </cell>
          <cell r="BO23">
            <v>2.3446658851113718</v>
          </cell>
        </row>
        <row r="24">
          <cell r="G24" t="str">
            <v>Big Box Retail</v>
          </cell>
          <cell r="T24" t="str">
            <v>Air Cooled Heat Pumps ≥ 11.25 &amp; &lt; 20 Tons Single Package</v>
          </cell>
          <cell r="Z24" t="str">
            <v>Split System AC</v>
          </cell>
          <cell r="AA24" t="str">
            <v>Single Package AC</v>
          </cell>
          <cell r="AB24" t="str">
            <v>Split System HP</v>
          </cell>
          <cell r="AC24" t="str">
            <v>Single Package HP</v>
          </cell>
          <cell r="AY24" t="str">
            <v>Air Cooled Heat Pumps ≥ 5.4 &amp; &lt; 11.25 Tons Split System</v>
          </cell>
          <cell r="AZ24">
            <v>13.4</v>
          </cell>
          <cell r="BA24">
            <v>11.6</v>
          </cell>
          <cell r="BC24">
            <v>3.4</v>
          </cell>
          <cell r="BD24">
            <v>2</v>
          </cell>
          <cell r="BE24" t="str">
            <v>N/A</v>
          </cell>
          <cell r="BF24" t="str">
            <v>N/A</v>
          </cell>
          <cell r="BG24" t="str">
            <v>N/A</v>
          </cell>
          <cell r="BH24" t="str">
            <v>N/A</v>
          </cell>
          <cell r="BI24" t="str">
            <v>N/A</v>
          </cell>
          <cell r="BL24">
            <v>12</v>
          </cell>
          <cell r="BM24">
            <v>10.8</v>
          </cell>
          <cell r="BO24">
            <v>3.3</v>
          </cell>
        </row>
        <row r="25">
          <cell r="G25" t="str">
            <v>Community College</v>
          </cell>
          <cell r="T25" t="str">
            <v>Air Cooled Heat Pumps ≥ 20 &amp; &lt; 63 Tons Split System</v>
          </cell>
          <cell r="Z25" t="str">
            <v>Split System AC</v>
          </cell>
          <cell r="AA25" t="str">
            <v>Single Package AC</v>
          </cell>
          <cell r="AB25" t="str">
            <v>Split System HP</v>
          </cell>
          <cell r="AC25" t="str">
            <v>Single Package HP</v>
          </cell>
          <cell r="AY25" t="str">
            <v>Air Cooled Heat Pumps ≥ 5.4 &amp; &lt; 11.25 Tons Single Package</v>
          </cell>
          <cell r="AZ25">
            <v>13.4</v>
          </cell>
          <cell r="BA25">
            <v>11.6</v>
          </cell>
          <cell r="BC25">
            <v>3.4</v>
          </cell>
          <cell r="BD25">
            <v>2</v>
          </cell>
          <cell r="BE25" t="str">
            <v>N/A</v>
          </cell>
          <cell r="BF25" t="str">
            <v>N/A</v>
          </cell>
          <cell r="BG25" t="str">
            <v>N/A</v>
          </cell>
          <cell r="BH25" t="str">
            <v>N/A</v>
          </cell>
          <cell r="BI25" t="str">
            <v>N/A</v>
          </cell>
          <cell r="BL25">
            <v>12</v>
          </cell>
          <cell r="BM25">
            <v>10.8</v>
          </cell>
          <cell r="BO25">
            <v>3.3</v>
          </cell>
        </row>
        <row r="26">
          <cell r="G26" t="str">
            <v>Fast Food Restaurant</v>
          </cell>
          <cell r="T26" t="str">
            <v>Air Cooled Heat Pumps ≥ 20 &amp; &lt; 63 Tons Single Package</v>
          </cell>
          <cell r="Z26" t="str">
            <v>Split System AC</v>
          </cell>
          <cell r="AA26" t="str">
            <v>Single Package AC</v>
          </cell>
          <cell r="AB26" t="str">
            <v>Split System HP</v>
          </cell>
          <cell r="AC26" t="str">
            <v>Single Package HP</v>
          </cell>
          <cell r="AY26" t="str">
            <v>Air Cooled Heat Pumps ≥ 11.25 &amp; &lt; 20 Tons Split System</v>
          </cell>
          <cell r="AZ26">
            <v>12.6</v>
          </cell>
          <cell r="BA26">
            <v>10.7</v>
          </cell>
          <cell r="BC26">
            <v>3.3</v>
          </cell>
          <cell r="BD26">
            <v>2</v>
          </cell>
          <cell r="BE26" t="str">
            <v>N/A</v>
          </cell>
          <cell r="BF26" t="str">
            <v>N/A</v>
          </cell>
          <cell r="BG26" t="str">
            <v>N/A</v>
          </cell>
          <cell r="BH26" t="str">
            <v>N/A</v>
          </cell>
          <cell r="BI26" t="str">
            <v>N/A</v>
          </cell>
          <cell r="BL26">
            <v>11.4</v>
          </cell>
          <cell r="BM26">
            <v>10.4</v>
          </cell>
          <cell r="BO26">
            <v>3.2</v>
          </cell>
        </row>
        <row r="27">
          <cell r="G27" t="str">
            <v>Full Service Restaurant</v>
          </cell>
          <cell r="T27" t="str">
            <v>Geothermal Heat Pumps &lt; 11.25 Tons Closed Loop</v>
          </cell>
          <cell r="AY27" t="str">
            <v>Air Cooled Heat Pumps ≥ 11.25 &amp; &lt; 20 Tons Single Package</v>
          </cell>
          <cell r="AZ27">
            <v>12.6</v>
          </cell>
          <cell r="BA27">
            <v>10.7</v>
          </cell>
          <cell r="BC27">
            <v>3.3</v>
          </cell>
          <cell r="BD27">
            <v>2</v>
          </cell>
          <cell r="BE27" t="str">
            <v>N/A</v>
          </cell>
          <cell r="BF27" t="str">
            <v>N/A</v>
          </cell>
          <cell r="BG27" t="str">
            <v>N/A</v>
          </cell>
          <cell r="BH27" t="str">
            <v>N/A</v>
          </cell>
          <cell r="BI27" t="str">
            <v>N/A</v>
          </cell>
          <cell r="BL27">
            <v>11.4</v>
          </cell>
          <cell r="BM27">
            <v>10.4</v>
          </cell>
          <cell r="BO27">
            <v>3.2</v>
          </cell>
        </row>
        <row r="28">
          <cell r="G28" t="str">
            <v xml:space="preserve">Grocery </v>
          </cell>
          <cell r="T28" t="str">
            <v>Geothermal Heat Pumps &lt; 11.25 Tons Open Loop</v>
          </cell>
          <cell r="AY28" t="str">
            <v>Air Cooled Heat Pumps ≥ 20 &amp; &lt; 63 Tons Split System</v>
          </cell>
          <cell r="AZ28">
            <v>11.6</v>
          </cell>
          <cell r="BA28">
            <v>10.1</v>
          </cell>
          <cell r="BC28">
            <v>3.3</v>
          </cell>
          <cell r="BD28">
            <v>2</v>
          </cell>
          <cell r="BE28" t="str">
            <v>N/A</v>
          </cell>
          <cell r="BF28" t="str">
            <v>N/A</v>
          </cell>
          <cell r="BG28" t="str">
            <v>N/A</v>
          </cell>
          <cell r="BH28" t="str">
            <v>N/A</v>
          </cell>
          <cell r="BI28" t="str">
            <v>N/A</v>
          </cell>
          <cell r="BL28">
            <v>10.4</v>
          </cell>
          <cell r="BM28">
            <v>9.3000000000000007</v>
          </cell>
          <cell r="BO28">
            <v>3.2</v>
          </cell>
        </row>
        <row r="29">
          <cell r="G29" t="str">
            <v>High School</v>
          </cell>
          <cell r="T29" t="str">
            <v>Geothermal Heat Pumps &lt; 11.25 Tons Direct Exchange (DX)</v>
          </cell>
          <cell r="AY29" t="str">
            <v>Air Cooled Heat Pumps ≥ 20 &amp; &lt; 63 Tons Single Package</v>
          </cell>
          <cell r="AZ29">
            <v>11.6</v>
          </cell>
          <cell r="BA29">
            <v>10.1</v>
          </cell>
          <cell r="BC29">
            <v>3.3</v>
          </cell>
          <cell r="BD29">
            <v>2</v>
          </cell>
          <cell r="BE29" t="str">
            <v>N/A</v>
          </cell>
          <cell r="BF29" t="str">
            <v>N/A</v>
          </cell>
          <cell r="BG29" t="str">
            <v>N/A</v>
          </cell>
          <cell r="BH29" t="str">
            <v>N/A</v>
          </cell>
          <cell r="BI29" t="str">
            <v>N/A</v>
          </cell>
          <cell r="BL29">
            <v>10.4</v>
          </cell>
          <cell r="BM29">
            <v>9.3000000000000007</v>
          </cell>
          <cell r="BO29">
            <v>3.2</v>
          </cell>
        </row>
        <row r="30">
          <cell r="G30" t="str">
            <v>Hospital</v>
          </cell>
          <cell r="T30" t="str">
            <v>Water Source Heat Pumps &lt; 11.25 Tons All Types</v>
          </cell>
          <cell r="Z30" t="str">
            <v>Water Source Heat Pump</v>
          </cell>
          <cell r="AA30" t="str">
            <v>None</v>
          </cell>
          <cell r="AY30" t="str">
            <v>Geothermal Heat Pumps &lt; 11.25 Tons Closed Loop</v>
          </cell>
          <cell r="BA30">
            <v>17</v>
          </cell>
          <cell r="BC30">
            <v>3.5</v>
          </cell>
          <cell r="BD30">
            <v>2</v>
          </cell>
          <cell r="BF30">
            <v>18</v>
          </cell>
          <cell r="BH30">
            <v>3.9</v>
          </cell>
          <cell r="BI30">
            <v>1500</v>
          </cell>
          <cell r="BM30">
            <v>10.8</v>
          </cell>
          <cell r="BO30">
            <v>3.3</v>
          </cell>
        </row>
        <row r="31">
          <cell r="D31" t="str">
            <v>Ductless Multi-Split Cold Climate Heat Pumps</v>
          </cell>
          <cell r="G31" t="str">
            <v>Hotel</v>
          </cell>
          <cell r="T31" t="str">
            <v>Packaged Terminal Air Conditioners &lt; 0.75 Tons All Types</v>
          </cell>
          <cell r="Z31" t="str">
            <v>Packaged Terminal AC</v>
          </cell>
          <cell r="AA31" t="str">
            <v>None</v>
          </cell>
          <cell r="AY31" t="str">
            <v>Geothermal Heat Pumps &lt; 11.25 Tons Open Loop</v>
          </cell>
          <cell r="BA31">
            <v>20</v>
          </cell>
          <cell r="BC31">
            <v>4.2</v>
          </cell>
          <cell r="BD31">
            <v>2</v>
          </cell>
          <cell r="BF31">
            <v>23</v>
          </cell>
          <cell r="BH31">
            <v>4.5</v>
          </cell>
          <cell r="BI31">
            <v>1500</v>
          </cell>
          <cell r="BM31">
            <v>10.8</v>
          </cell>
          <cell r="BO31">
            <v>3.3</v>
          </cell>
        </row>
        <row r="32">
          <cell r="G32" t="str">
            <v>Large Office</v>
          </cell>
          <cell r="T32" t="str">
            <v>Packaged Terminal Air Conditioners ≥ 0.75 Tons &amp; &lt; 1 Ton All Types</v>
          </cell>
          <cell r="Z32" t="str">
            <v>Packaged Terminal AC</v>
          </cell>
          <cell r="AA32" t="str">
            <v>None</v>
          </cell>
          <cell r="AY32" t="str">
            <v>Geothermal Heat Pumps &lt; 11.25 Tons Direct Exchange (DX)</v>
          </cell>
          <cell r="BA32">
            <v>17</v>
          </cell>
          <cell r="BC32">
            <v>3.5</v>
          </cell>
          <cell r="BD32">
            <v>2</v>
          </cell>
          <cell r="BF32">
            <v>20</v>
          </cell>
          <cell r="BH32">
            <v>4</v>
          </cell>
          <cell r="BI32">
            <v>1500</v>
          </cell>
          <cell r="BM32">
            <v>10.8</v>
          </cell>
          <cell r="BO32">
            <v>3.3</v>
          </cell>
        </row>
        <row r="33">
          <cell r="G33" t="str">
            <v>Large Retail</v>
          </cell>
          <cell r="T33" t="str">
            <v>Packaged Terminal Air Conditioners ≥ 1 Tons All Types</v>
          </cell>
          <cell r="Z33" t="str">
            <v>Packaged Terminal AC</v>
          </cell>
          <cell r="AA33" t="str">
            <v>None</v>
          </cell>
          <cell r="AY33" t="str">
            <v>Water Source Heat Pumps &lt; 11.25 Tons All Types</v>
          </cell>
          <cell r="BA33">
            <v>14</v>
          </cell>
          <cell r="BC33">
            <v>4.5999999999999996</v>
          </cell>
          <cell r="BD33">
            <v>2</v>
          </cell>
          <cell r="BE33" t="str">
            <v>N/A</v>
          </cell>
          <cell r="BF33" t="str">
            <v>N/A</v>
          </cell>
          <cell r="BG33" t="str">
            <v>N/A</v>
          </cell>
          <cell r="BH33" t="str">
            <v>N/A</v>
          </cell>
          <cell r="BI33" t="str">
            <v>N/A</v>
          </cell>
          <cell r="BM33">
            <v>12.2</v>
          </cell>
          <cell r="BO33">
            <v>4.3</v>
          </cell>
        </row>
        <row r="34">
          <cell r="G34" t="str">
            <v>Light Industrial</v>
          </cell>
          <cell r="T34" t="str">
            <v>Packaged Terminal Heat Pumps &lt; 0.75 Tons All Types</v>
          </cell>
          <cell r="Z34" t="str">
            <v>Packaged Terminal HP</v>
          </cell>
          <cell r="AA34" t="str">
            <v>Packaged Terminal AC</v>
          </cell>
          <cell r="AB34" t="str">
            <v>None</v>
          </cell>
          <cell r="AY34" t="str">
            <v>Packaged Terminal Heat Pumps &lt; 0.75 Tons All Types</v>
          </cell>
          <cell r="BA34">
            <v>12.2</v>
          </cell>
          <cell r="BC34">
            <v>3.5</v>
          </cell>
          <cell r="BD34">
            <v>2</v>
          </cell>
          <cell r="BE34" t="str">
            <v>N/A</v>
          </cell>
          <cell r="BF34" t="str">
            <v>N/A</v>
          </cell>
          <cell r="BG34" t="str">
            <v>N/A</v>
          </cell>
          <cell r="BH34" t="str">
            <v>N/A</v>
          </cell>
          <cell r="BI34" t="str">
            <v>N/A</v>
          </cell>
          <cell r="BM34">
            <v>14</v>
          </cell>
          <cell r="BN34">
            <v>3.7</v>
          </cell>
          <cell r="BO34">
            <v>5.1999999999999998E-2</v>
          </cell>
        </row>
        <row r="35">
          <cell r="G35" t="str">
            <v>Motel</v>
          </cell>
          <cell r="T35" t="str">
            <v>Packaged Terminal Heat Pumps ≥ 0.75 Tons &amp; &lt; 1 Ton All Types</v>
          </cell>
          <cell r="Z35" t="str">
            <v>Packaged Terminal HP</v>
          </cell>
          <cell r="AA35" t="str">
            <v>Packaged Terminal AC</v>
          </cell>
          <cell r="AB35" t="str">
            <v>None</v>
          </cell>
          <cell r="AY35" t="str">
            <v>Packaged Terminal Heat Pumps ≥ 0.75 Tons &amp; &lt; 1 Ton All Types</v>
          </cell>
          <cell r="BA35">
            <v>11.4</v>
          </cell>
          <cell r="BC35">
            <v>3.3</v>
          </cell>
          <cell r="BD35">
            <v>2</v>
          </cell>
          <cell r="BE35" t="str">
            <v>N/A</v>
          </cell>
          <cell r="BF35" t="str">
            <v>N/A</v>
          </cell>
          <cell r="BG35" t="str">
            <v>N/A</v>
          </cell>
          <cell r="BH35" t="str">
            <v>N/A</v>
          </cell>
          <cell r="BI35" t="str">
            <v>N/A</v>
          </cell>
          <cell r="BM35">
            <v>14</v>
          </cell>
          <cell r="BN35">
            <v>3.7</v>
          </cell>
          <cell r="BO35">
            <v>5.1999999999999998E-2</v>
          </cell>
        </row>
        <row r="36">
          <cell r="G36" t="str">
            <v>Primary School</v>
          </cell>
          <cell r="T36" t="str">
            <v>Packaged Terminal Heat Pumps ≥ 1 Tons All Types</v>
          </cell>
          <cell r="Z36" t="str">
            <v>Packaged Terminal HP</v>
          </cell>
          <cell r="AA36" t="str">
            <v>Packaged Terminal AC</v>
          </cell>
          <cell r="AB36" t="str">
            <v>None</v>
          </cell>
          <cell r="AY36" t="str">
            <v>Packaged Terminal Heat Pumps ≥ 1 Tons All Types</v>
          </cell>
          <cell r="BA36">
            <v>10.4</v>
          </cell>
          <cell r="BC36">
            <v>3.1</v>
          </cell>
          <cell r="BD36">
            <v>2</v>
          </cell>
          <cell r="BE36" t="str">
            <v>N/A</v>
          </cell>
          <cell r="BF36" t="str">
            <v>N/A</v>
          </cell>
          <cell r="BG36" t="str">
            <v>N/A</v>
          </cell>
          <cell r="BH36" t="str">
            <v>N/A</v>
          </cell>
          <cell r="BI36" t="str">
            <v>N/A</v>
          </cell>
          <cell r="BM36">
            <v>14</v>
          </cell>
          <cell r="BN36">
            <v>3.7</v>
          </cell>
          <cell r="BO36">
            <v>5.1999999999999998E-2</v>
          </cell>
        </row>
        <row r="37">
          <cell r="G37" t="str">
            <v>Religious</v>
          </cell>
          <cell r="T37" t="str">
            <v>VRF Air Cooled Heat Pumps &lt; 5.4 Tons Multisplit System</v>
          </cell>
          <cell r="Z37" t="str">
            <v>Multisplit System</v>
          </cell>
          <cell r="AA37" t="str">
            <v>None</v>
          </cell>
          <cell r="AY37" t="str">
            <v>VRF Air Cooled Heat Pumps &lt; 5.4 Tons Multisplit System</v>
          </cell>
          <cell r="AZ37">
            <v>15</v>
          </cell>
          <cell r="BA37">
            <v>12.5</v>
          </cell>
          <cell r="BB37">
            <v>8.5</v>
          </cell>
          <cell r="BD37">
            <v>2</v>
          </cell>
          <cell r="BE37">
            <v>16</v>
          </cell>
          <cell r="BF37">
            <v>13</v>
          </cell>
          <cell r="BG37">
            <v>9</v>
          </cell>
          <cell r="BI37">
            <v>230</v>
          </cell>
          <cell r="BL37">
            <v>13</v>
          </cell>
          <cell r="BM37">
            <v>11.18</v>
          </cell>
          <cell r="BN37">
            <v>7.7</v>
          </cell>
        </row>
        <row r="38">
          <cell r="G38" t="str">
            <v>Small Office</v>
          </cell>
          <cell r="T38" t="str">
            <v>VRF Air Cooled Heat Pumps ≥ 5.4 &amp; &lt; 11.25 Tons Multisplit System</v>
          </cell>
          <cell r="Z38" t="str">
            <v>Multisplit System</v>
          </cell>
          <cell r="AA38" t="str">
            <v>None</v>
          </cell>
          <cell r="AY38" t="str">
            <v>VRF Air Cooled Heat Pumps ≥ 5.4 &amp; &lt; 11.25 Tons Multisplit System</v>
          </cell>
          <cell r="AZ38">
            <v>14.6</v>
          </cell>
          <cell r="BA38">
            <v>11.3</v>
          </cell>
          <cell r="BC38">
            <v>3.4</v>
          </cell>
          <cell r="BD38">
            <v>2</v>
          </cell>
          <cell r="BE38" t="str">
            <v>N/A</v>
          </cell>
          <cell r="BF38" t="str">
            <v>N/A</v>
          </cell>
          <cell r="BG38" t="str">
            <v>N/A</v>
          </cell>
          <cell r="BH38" t="str">
            <v>N/A</v>
          </cell>
          <cell r="BI38" t="str">
            <v>N/A</v>
          </cell>
          <cell r="BL38">
            <v>14.6</v>
          </cell>
          <cell r="BM38">
            <v>11</v>
          </cell>
          <cell r="BO38">
            <v>3.3</v>
          </cell>
        </row>
        <row r="39">
          <cell r="G39" t="str">
            <v>Small Retail</v>
          </cell>
          <cell r="T39" t="str">
            <v>VRF Air Cooled Heat Pumps ≥ 11.25 &amp; &lt; 20 Tons Multisplit System</v>
          </cell>
          <cell r="Z39" t="str">
            <v>Multisplit System</v>
          </cell>
          <cell r="AA39" t="str">
            <v>None</v>
          </cell>
          <cell r="AY39" t="str">
            <v>VRF Air Cooled Heat Pumps ≥ 11.25 &amp; &lt; 20 Tons Multisplit System</v>
          </cell>
          <cell r="AZ39">
            <v>13.9</v>
          </cell>
          <cell r="BA39">
            <v>10.9</v>
          </cell>
          <cell r="BC39">
            <v>3.2</v>
          </cell>
          <cell r="BD39">
            <v>2</v>
          </cell>
          <cell r="BE39" t="str">
            <v>N/A</v>
          </cell>
          <cell r="BF39" t="str">
            <v>N/A</v>
          </cell>
          <cell r="BG39" t="str">
            <v>N/A</v>
          </cell>
          <cell r="BH39" t="str">
            <v>N/A</v>
          </cell>
          <cell r="BI39" t="str">
            <v>N/A</v>
          </cell>
          <cell r="BL39">
            <v>13.9</v>
          </cell>
          <cell r="BM39">
            <v>10.6</v>
          </cell>
          <cell r="BO39">
            <v>3.2</v>
          </cell>
        </row>
        <row r="40">
          <cell r="G40" t="str">
            <v>University</v>
          </cell>
          <cell r="T40" t="str">
            <v>VRF Air Cooled Heat Pumps ≥ 20 Tons Multisplit System</v>
          </cell>
          <cell r="Z40" t="str">
            <v>Multisplit System</v>
          </cell>
          <cell r="AA40" t="str">
            <v>None</v>
          </cell>
          <cell r="AY40" t="str">
            <v>VRF Air Cooled Heat Pumps ≥ 20 Tons Multisplit System</v>
          </cell>
          <cell r="AZ40">
            <v>12.7</v>
          </cell>
          <cell r="BA40">
            <v>10.3</v>
          </cell>
          <cell r="BC40">
            <v>3.2</v>
          </cell>
          <cell r="BD40">
            <v>2</v>
          </cell>
          <cell r="BE40" t="str">
            <v>N/A</v>
          </cell>
          <cell r="BF40" t="str">
            <v>N/A</v>
          </cell>
          <cell r="BG40" t="str">
            <v>N/A</v>
          </cell>
          <cell r="BH40" t="str">
            <v>N/A</v>
          </cell>
          <cell r="BI40" t="str">
            <v>N/A</v>
          </cell>
          <cell r="BL40">
            <v>12.7</v>
          </cell>
          <cell r="BM40">
            <v>9.5</v>
          </cell>
          <cell r="BO40">
            <v>3.2</v>
          </cell>
        </row>
        <row r="41">
          <cell r="G41" t="str">
            <v>Warehouse</v>
          </cell>
          <cell r="T41" t="str">
            <v>VRF Water Source Heat Pumps &lt; 11.25 Tons Multisplit System</v>
          </cell>
          <cell r="Z41" t="str">
            <v>Multisplit System</v>
          </cell>
          <cell r="AA41" t="str">
            <v>None</v>
          </cell>
          <cell r="AY41" t="str">
            <v>VRF Water Source Heat Pumps &lt; 11.25 Tons Multisplit System</v>
          </cell>
          <cell r="BA41">
            <v>14</v>
          </cell>
          <cell r="BC41">
            <v>4.5999999999999996</v>
          </cell>
          <cell r="BD41">
            <v>2</v>
          </cell>
          <cell r="BE41" t="str">
            <v>N/A</v>
          </cell>
          <cell r="BF41" t="str">
            <v>N/A</v>
          </cell>
          <cell r="BG41" t="str">
            <v>N/A</v>
          </cell>
          <cell r="BH41" t="str">
            <v>N/A</v>
          </cell>
          <cell r="BI41" t="str">
            <v>N/A</v>
          </cell>
          <cell r="BM41">
            <v>12</v>
          </cell>
          <cell r="BO41">
            <v>4.3</v>
          </cell>
        </row>
        <row r="42">
          <cell r="G42" t="str">
            <v>Other</v>
          </cell>
          <cell r="T42" t="str">
            <v>Cold Climate Air Source Heat Pumps All Sizes All Types</v>
          </cell>
          <cell r="Z42" t="str">
            <v>Split System AC</v>
          </cell>
          <cell r="AA42" t="str">
            <v>Single Package AC</v>
          </cell>
          <cell r="AB42" t="str">
            <v>Split System HP</v>
          </cell>
          <cell r="AC42" t="str">
            <v>Single Package HP</v>
          </cell>
          <cell r="AY42" t="str">
            <v>Cold Climate Air Source Heat Pumps All Sizes All Types</v>
          </cell>
          <cell r="AZ42">
            <v>17</v>
          </cell>
          <cell r="BA42">
            <v>11.76</v>
          </cell>
          <cell r="BB42">
            <v>10</v>
          </cell>
          <cell r="BD42">
            <v>2</v>
          </cell>
          <cell r="BE42" t="str">
            <v>N/A</v>
          </cell>
          <cell r="BF42" t="str">
            <v>N/A</v>
          </cell>
          <cell r="BG42" t="str">
            <v>N/A</v>
          </cell>
          <cell r="BH42" t="str">
            <v>N/A</v>
          </cell>
          <cell r="BI42">
            <v>1000</v>
          </cell>
          <cell r="BJ42">
            <v>2500</v>
          </cell>
          <cell r="BK42">
            <v>2500</v>
          </cell>
          <cell r="BL42">
            <v>14</v>
          </cell>
          <cell r="BM42">
            <v>11.760000000000002</v>
          </cell>
          <cell r="BN42">
            <v>8.1999999999999993</v>
          </cell>
          <cell r="BO42">
            <v>2.4032825322391558</v>
          </cell>
        </row>
        <row r="43">
          <cell r="T43" t="str">
            <v>Ductless Multi-Split Cold Climate Heat Pumps All Sizes All Types</v>
          </cell>
          <cell r="AY43" t="str">
            <v>Ductless Multi-Split Cold Climate Heat Pumps All Sizes All Types</v>
          </cell>
          <cell r="AZ43">
            <v>18</v>
          </cell>
          <cell r="BA43">
            <v>11.76</v>
          </cell>
          <cell r="BB43">
            <v>10</v>
          </cell>
          <cell r="BD43">
            <v>2</v>
          </cell>
          <cell r="BE43" t="str">
            <v>N/A</v>
          </cell>
          <cell r="BF43" t="str">
            <v>N/A</v>
          </cell>
          <cell r="BG43" t="str">
            <v>N/A</v>
          </cell>
          <cell r="BH43" t="str">
            <v>N/A</v>
          </cell>
          <cell r="BI43">
            <v>1000</v>
          </cell>
          <cell r="BJ43">
            <v>2500</v>
          </cell>
          <cell r="BK43">
            <v>2500</v>
          </cell>
          <cell r="BL43">
            <v>14</v>
          </cell>
          <cell r="BM43">
            <v>11.760000000000002</v>
          </cell>
          <cell r="BN43">
            <v>8.1999999999999993</v>
          </cell>
          <cell r="BO43">
            <v>2.4032825322391558</v>
          </cell>
        </row>
        <row r="44">
          <cell r="T44" t="str">
            <v>Ductless Mini-Split Cold Climate Heat Pumps All Sizes All Types</v>
          </cell>
          <cell r="AY44" t="str">
            <v>Ductless Mini-Split Cold Climate Heat Pumps All Sizes All Types</v>
          </cell>
          <cell r="AZ44">
            <v>18</v>
          </cell>
          <cell r="BA44">
            <v>11.76</v>
          </cell>
          <cell r="BB44">
            <v>10</v>
          </cell>
          <cell r="BD44">
            <v>2</v>
          </cell>
          <cell r="BE44" t="str">
            <v>N/A</v>
          </cell>
          <cell r="BF44" t="str">
            <v>N/A</v>
          </cell>
          <cell r="BG44" t="str">
            <v>N/A</v>
          </cell>
          <cell r="BH44" t="str">
            <v>N/A</v>
          </cell>
          <cell r="BI44">
            <v>1000</v>
          </cell>
          <cell r="BJ44">
            <v>2500</v>
          </cell>
          <cell r="BK44">
            <v>2500</v>
          </cell>
          <cell r="BL44">
            <v>14</v>
          </cell>
          <cell r="BM44">
            <v>11.760000000000002</v>
          </cell>
          <cell r="BN44">
            <v>8.1999999999999993</v>
          </cell>
          <cell r="BO44">
            <v>2.4032825322391558</v>
          </cell>
        </row>
        <row r="54">
          <cell r="B54" t="str">
            <v>Select…</v>
          </cell>
        </row>
        <row r="55">
          <cell r="B55" t="str">
            <v>Government</v>
          </cell>
        </row>
        <row r="56">
          <cell r="B56" t="str">
            <v>Not Incorporated</v>
          </cell>
        </row>
        <row r="57">
          <cell r="B57" t="str">
            <v>Incorporated</v>
          </cell>
        </row>
        <row r="58">
          <cell r="B58" t="str">
            <v>Not for Profit</v>
          </cell>
        </row>
        <row r="149">
          <cell r="G149" t="str">
            <v>16 Feet HVLS</v>
          </cell>
          <cell r="H149" t="str">
            <v>Existing Building</v>
          </cell>
          <cell r="I149" t="str">
            <v>24" - 35" Diameter</v>
          </cell>
        </row>
        <row r="150">
          <cell r="G150" t="str">
            <v>17 Feet HVLS</v>
          </cell>
          <cell r="H150" t="str">
            <v>New Construction</v>
          </cell>
          <cell r="I150" t="str">
            <v>36" - 47" Diameter</v>
          </cell>
        </row>
        <row r="151">
          <cell r="G151" t="str">
            <v>18 Feet HVLS</v>
          </cell>
          <cell r="I151" t="str">
            <v>48" - 52" Diameter</v>
          </cell>
        </row>
        <row r="152">
          <cell r="G152" t="str">
            <v>19 Feet HVLS</v>
          </cell>
          <cell r="I152" t="str">
            <v>53" - 62" Diameter</v>
          </cell>
        </row>
        <row r="153">
          <cell r="G153" t="str">
            <v>20 Feet HVLS</v>
          </cell>
          <cell r="I153" t="str">
            <v>63" - 72" Diameter</v>
          </cell>
        </row>
        <row r="154">
          <cell r="G154" t="str">
            <v>21 Feet HVLS</v>
          </cell>
        </row>
        <row r="155">
          <cell r="G155" t="str">
            <v>22 Feet HVLS</v>
          </cell>
        </row>
        <row r="156">
          <cell r="G156" t="str">
            <v>23 Feet HVLS</v>
          </cell>
        </row>
        <row r="157">
          <cell r="G157" t="str">
            <v>24 Feet HVLS</v>
          </cell>
        </row>
        <row r="190">
          <cell r="D190" t="str">
            <v>Air Conditioners - Air Cooled &lt; 5.4 Tons</v>
          </cell>
          <cell r="E190">
            <v>14</v>
          </cell>
        </row>
        <row r="191">
          <cell r="D191" t="str">
            <v>Air Conditioners - Air Cooled ≥ 5.4 &amp; &lt; 11.25 Tons</v>
          </cell>
          <cell r="E191">
            <v>12.7</v>
          </cell>
        </row>
        <row r="192">
          <cell r="D192" t="str">
            <v>Air Conditioners - Air Cooled ≥ 11.25 &amp; &lt; 20 Tons</v>
          </cell>
          <cell r="E192">
            <v>12.2</v>
          </cell>
        </row>
        <row r="193">
          <cell r="D193" t="str">
            <v>Air Conditioners - Air Cooled ≥ 20 &amp; &lt; 63 Tons</v>
          </cell>
          <cell r="E193">
            <v>11.4</v>
          </cell>
        </row>
        <row r="194">
          <cell r="D194" t="str">
            <v>Air Conditioners - Water Cooled &lt; 5.4 Tons</v>
          </cell>
          <cell r="E194">
            <v>12.3</v>
          </cell>
        </row>
        <row r="195">
          <cell r="D195" t="str">
            <v>Air Conditioners - Water Cooled ≥ 5.4 &amp; &lt; 11.25 Tons</v>
          </cell>
          <cell r="E195">
            <v>13.7</v>
          </cell>
        </row>
        <row r="196">
          <cell r="D196" t="str">
            <v>Air Conditioners - Water Cooled ≥ 11.25 &amp; &lt; 20 Tons</v>
          </cell>
          <cell r="E196">
            <v>13.7</v>
          </cell>
        </row>
        <row r="197">
          <cell r="D197" t="str">
            <v>Air Conditioners - Water Cooled ≥ 20 &amp; &lt; 63 Tons</v>
          </cell>
          <cell r="E197">
            <v>13.4</v>
          </cell>
        </row>
        <row r="198">
          <cell r="D198" t="str">
            <v>Make-Up Air Unit &lt; 5.4 Tons</v>
          </cell>
          <cell r="E198">
            <v>14</v>
          </cell>
        </row>
        <row r="199">
          <cell r="D199" t="str">
            <v>Make-Up Air Unit ≥ 5.4 &amp; &lt; 11.25 Tons</v>
          </cell>
          <cell r="E199">
            <v>12.7</v>
          </cell>
        </row>
        <row r="200">
          <cell r="D200" t="str">
            <v>Make-Up Air Unit ≥ 11.25 &amp; &lt; 20 Tons</v>
          </cell>
          <cell r="E200">
            <v>12.2</v>
          </cell>
        </row>
        <row r="201">
          <cell r="D201" t="str">
            <v>Make-Up Air Unit ≥ 20 &amp; &lt; 63 Tons</v>
          </cell>
          <cell r="E201">
            <v>11.4</v>
          </cell>
        </row>
      </sheetData>
      <sheetData sheetId="2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ferences"/>
      <sheetName val="NC"/>
      <sheetName val="ERR"/>
      <sheetName val="Development"/>
      <sheetName val="Customer Information NC"/>
      <sheetName val="Ts and Cs NC"/>
      <sheetName val="Guidelines NC"/>
      <sheetName val="Required Documents NC"/>
      <sheetName val="HVAC NC"/>
      <sheetName val="Cool Roofs NC"/>
      <sheetName val="Compressed Air NC"/>
      <sheetName val="Lighting NC"/>
      <sheetName val="Kitchen NC"/>
      <sheetName val="VFD NC"/>
      <sheetName val="Refrigeration NC"/>
      <sheetName val="Chiller NC"/>
      <sheetName val="LPD NC"/>
      <sheetName val="Custom WB Eligibility"/>
      <sheetName val="LEEDGenEligibilityNC"/>
      <sheetName val="LEEDNC"/>
      <sheetName val="LEEDRetailMajorReno"/>
      <sheetName val="LEEDHealthcare"/>
      <sheetName val="LEEDInteriors"/>
      <sheetName val="LEEDCoreShell"/>
      <sheetName val="LEEDSchools"/>
      <sheetName val="Add Proposed 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15">
          <cell r="B15" t="str">
            <v>Water Cooled, positive displacement &lt; 75</v>
          </cell>
        </row>
        <row r="16">
          <cell r="B16" t="str">
            <v>Water Cooled, positive displacement ≥ 75 and &lt; 150</v>
          </cell>
        </row>
        <row r="17">
          <cell r="B17" t="str">
            <v>Water Cooled, positive displacement ≥ 150 and &lt; 300</v>
          </cell>
        </row>
      </sheetData>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Application Form"/>
      <sheetName val="Instructions"/>
      <sheetName val="Customer Information"/>
      <sheetName val="Site Information"/>
      <sheetName val="Ts and Cs"/>
      <sheetName val="Guidelines "/>
      <sheetName val="Required Documents"/>
      <sheetName val="AssignmentForm"/>
      <sheetName val="Eligibility Table "/>
      <sheetName val="ASHP Equipment Information"/>
      <sheetName val="Integrated Controls"/>
      <sheetName val="Smart T-Stats"/>
      <sheetName val="ASHP Load Calculations"/>
      <sheetName val="Heat Pump Costs"/>
      <sheetName val="AIRFLOW FORM"/>
      <sheetName val="Tune Up Worksheet"/>
      <sheetName val="Water Heating Worksheet"/>
      <sheetName val="HPwES"/>
      <sheetName val="References"/>
      <sheetName val="HPwES H&amp;S"/>
      <sheetName val="Development"/>
      <sheetName val="Completion Information Form"/>
      <sheetName val="Pre Inspection Form"/>
      <sheetName val="Post Inspection Form"/>
      <sheetName val="Air Flow References"/>
      <sheetName val="Qualifying_Index"/>
      <sheetName val="Tables"/>
      <sheetName val="ProposedEquipment0"/>
      <sheetName val="Project Review"/>
      <sheetName val="EFS Pre-Approval"/>
      <sheetName val="AIRFLOW FORM 2"/>
      <sheetName val="AIRFLOW FORM 3"/>
      <sheetName val="AIRFLOW FORM 4"/>
      <sheetName val="AIRFLOW FORM 5"/>
      <sheetName val="AIRFLOW FORM 6"/>
      <sheetName val="AIRFLOW FORM 7"/>
      <sheetName val="AIRFLOW FORM 8"/>
      <sheetName val="AIRFLOW FORM 9"/>
      <sheetName val="AIRFLOW FORM 10"/>
      <sheetName val="Project Completion For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5">
          <cell r="C25" t="str">
            <v>Coil/Air Handler Serial Number:</v>
          </cell>
          <cell r="F25" t="str">
            <v>HSPF:</v>
          </cell>
        </row>
        <row r="26">
          <cell r="F26" t="str">
            <v>*All Cold Climate systems must be NEEP listed</v>
          </cell>
        </row>
        <row r="29">
          <cell r="C29" t="str">
            <v>Heating and Cooling System 2</v>
          </cell>
        </row>
        <row r="30">
          <cell r="C30" t="str">
            <v>New Equipment Type:</v>
          </cell>
          <cell r="F30" t="str">
            <v>Existing Equipment Type:</v>
          </cell>
        </row>
        <row r="32">
          <cell r="C32" t="str">
            <v>Rating Method:</v>
          </cell>
          <cell r="F32" t="str">
            <v>AHRI Reference Number:</v>
          </cell>
        </row>
        <row r="34">
          <cell r="C34" t="str">
            <v>Condenser Manufacturer:</v>
          </cell>
          <cell r="F34" t="str">
            <v>AHRI Cooling Capacity (BTUh):</v>
          </cell>
        </row>
        <row r="49">
          <cell r="C49" t="str">
            <v>New Equipment Type:</v>
          </cell>
          <cell r="F49" t="str">
            <v>Existing Equipment Type:</v>
          </cell>
        </row>
        <row r="51">
          <cell r="C51" t="str">
            <v>Rating Method:</v>
          </cell>
          <cell r="F51" t="str">
            <v>AHRI Reference Number:</v>
          </cell>
        </row>
        <row r="53">
          <cell r="C53" t="str">
            <v>Condenser Manufacturer:</v>
          </cell>
          <cell r="F53" t="str">
            <v>AHRI Cooling Capacity (BTUh):</v>
          </cell>
        </row>
        <row r="55">
          <cell r="C55" t="str">
            <v>Condenser Model Number:</v>
          </cell>
          <cell r="F55" t="str">
            <v>AHRI Heating Capacity (BTUh)*:
*@17⁰F Rated for Cold Climate Units</v>
          </cell>
        </row>
        <row r="57">
          <cell r="C57" t="str">
            <v>Condenser Serial Number:</v>
          </cell>
          <cell r="F57" t="str">
            <v>Heating Capacity (BTUh)*:
*@17⁰F Maximum (NEEP)</v>
          </cell>
        </row>
        <row r="59">
          <cell r="C59" t="str">
            <v>Coil/Air Handler Manufacturer:</v>
          </cell>
          <cell r="F59" t="str">
            <v>SEER:</v>
          </cell>
        </row>
      </sheetData>
      <sheetData sheetId="10" refreshError="1"/>
      <sheetData sheetId="11" refreshError="1"/>
      <sheetData sheetId="12"/>
      <sheetData sheetId="13" refreshError="1"/>
      <sheetData sheetId="14" refreshError="1"/>
      <sheetData sheetId="15" refreshError="1"/>
      <sheetData sheetId="16">
        <row r="21">
          <cell r="D21" t="str">
            <v>Select…</v>
          </cell>
          <cell r="G21" t="str">
            <v>Select…</v>
          </cell>
        </row>
      </sheetData>
      <sheetData sheetId="17">
        <row r="54">
          <cell r="D54" t="str">
            <v>Select…</v>
          </cell>
        </row>
        <row r="107">
          <cell r="D107" t="str">
            <v>Select…</v>
          </cell>
        </row>
        <row r="146">
          <cell r="D146" t="str">
            <v>Select…</v>
          </cell>
        </row>
      </sheetData>
      <sheetData sheetId="18">
        <row r="3">
          <cell r="Q3" t="str">
            <v>Select…</v>
          </cell>
          <cell r="BD3" t="str">
            <v>- Please Select -</v>
          </cell>
        </row>
        <row r="4">
          <cell r="Q4" t="str">
            <v>Existing Building</v>
          </cell>
          <cell r="BD4" t="str">
            <v>Heating &amp; Cooling (1)</v>
          </cell>
        </row>
        <row r="5">
          <cell r="Q5" t="str">
            <v>New Construction</v>
          </cell>
          <cell r="BD5" t="str">
            <v>Heating &amp; Cooling (1&amp;2)</v>
          </cell>
        </row>
        <row r="6">
          <cell r="BB6" t="str">
            <v>Unconditioned Attic</v>
          </cell>
          <cell r="BD6" t="str">
            <v>Heating &amp; Cooling (2)</v>
          </cell>
        </row>
        <row r="7">
          <cell r="S7" t="str">
            <v>Ducted ccASHP</v>
          </cell>
          <cell r="T7" t="str">
            <v>N/A</v>
          </cell>
          <cell r="U7">
            <v>15</v>
          </cell>
          <cell r="V7" t="str">
            <v>N/A</v>
          </cell>
          <cell r="W7" t="str">
            <v>N/A</v>
          </cell>
          <cell r="X7">
            <v>9</v>
          </cell>
          <cell r="BB7" t="str">
            <v>Unconditioned Basement</v>
          </cell>
          <cell r="BD7" t="str">
            <v>Heating (1)</v>
          </cell>
        </row>
        <row r="8">
          <cell r="A8" t="str">
            <v>YES</v>
          </cell>
          <cell r="S8" t="str">
            <v>Ductless Mini Split - ccASHP</v>
          </cell>
          <cell r="T8" t="str">
            <v>N/A</v>
          </cell>
          <cell r="U8">
            <v>15</v>
          </cell>
          <cell r="V8" t="str">
            <v>N/A</v>
          </cell>
          <cell r="W8" t="str">
            <v>N/A</v>
          </cell>
          <cell r="X8">
            <v>10</v>
          </cell>
          <cell r="BB8" t="str">
            <v>Unconditioned Crawl Space</v>
          </cell>
          <cell r="BD8" t="str">
            <v>Cooling (1)</v>
          </cell>
        </row>
        <row r="9">
          <cell r="A9" t="str">
            <v>NO</v>
          </cell>
          <cell r="O9" t="str">
            <v>Select…</v>
          </cell>
          <cell r="Q9" t="str">
            <v>Select…</v>
          </cell>
          <cell r="S9" t="str">
            <v>Ductless Multi Split - ccASHP</v>
          </cell>
          <cell r="T9" t="str">
            <v>N/A</v>
          </cell>
          <cell r="U9">
            <v>15</v>
          </cell>
          <cell r="V9" t="str">
            <v>N/A</v>
          </cell>
          <cell r="W9" t="str">
            <v>N/A</v>
          </cell>
          <cell r="X9">
            <v>10</v>
          </cell>
          <cell r="BB9" t="str">
            <v>Unconditioned Garage</v>
          </cell>
          <cell r="BD9" t="str">
            <v>Heating (2)</v>
          </cell>
        </row>
        <row r="10">
          <cell r="O10" t="str">
            <v>Check</v>
          </cell>
          <cell r="Q10" t="str">
            <v>Partial House</v>
          </cell>
          <cell r="S10" t="str">
            <v>Ducted ASHP</v>
          </cell>
          <cell r="T10">
            <v>15</v>
          </cell>
          <cell r="U10" t="str">
            <v>N/A</v>
          </cell>
          <cell r="V10" t="str">
            <v>N/A</v>
          </cell>
          <cell r="W10">
            <v>8.5</v>
          </cell>
          <cell r="X10">
            <v>8.5</v>
          </cell>
          <cell r="BD10" t="str">
            <v>Cooling (2)</v>
          </cell>
        </row>
        <row r="11">
          <cell r="O11" t="str">
            <v>Bill Credit</v>
          </cell>
          <cell r="Q11" t="str">
            <v>Whole House</v>
          </cell>
          <cell r="S11" t="str">
            <v>Ductless Mini Split - ASHP</v>
          </cell>
          <cell r="T11">
            <v>18</v>
          </cell>
          <cell r="U11" t="str">
            <v>N/A</v>
          </cell>
          <cell r="V11" t="str">
            <v>N/A</v>
          </cell>
          <cell r="W11">
            <v>8.5</v>
          </cell>
          <cell r="X11" t="str">
            <v>N/A</v>
          </cell>
          <cell r="AX11" t="str">
            <v>Attic</v>
          </cell>
          <cell r="BD11" t="str">
            <v>Heating (1&amp;2)</v>
          </cell>
        </row>
        <row r="12">
          <cell r="O12" t="str">
            <v>Assigned to Contractor</v>
          </cell>
          <cell r="Q12" t="str">
            <v>Not Applicable</v>
          </cell>
          <cell r="S12" t="str">
            <v>Packaged Terminal Heat Pump</v>
          </cell>
          <cell r="AX12" t="str">
            <v>Attic 2</v>
          </cell>
          <cell r="BD12" t="str">
            <v>Cooling (1&amp;2)</v>
          </cell>
        </row>
        <row r="13">
          <cell r="S13" t="str">
            <v>Ducted ASHP EH</v>
          </cell>
          <cell r="AX13" t="str">
            <v>Exterior Walls</v>
          </cell>
        </row>
        <row r="14">
          <cell r="S14" t="str">
            <v>Ducted ccASHP EH</v>
          </cell>
          <cell r="AX14" t="str">
            <v>Garage/Overhang</v>
          </cell>
        </row>
        <row r="15">
          <cell r="E15" t="str">
            <v>Retrofit</v>
          </cell>
          <cell r="S15" t="str">
            <v>Ductless Mini Split - ASHP EH</v>
          </cell>
          <cell r="AX15" t="str">
            <v>Basement Ceiling</v>
          </cell>
        </row>
        <row r="16">
          <cell r="E16" t="str">
            <v>New</v>
          </cell>
          <cell r="Q16" t="str">
            <v>Select…</v>
          </cell>
          <cell r="S16" t="str">
            <v>Ductless Multi Split - ccASHP EH</v>
          </cell>
        </row>
        <row r="17">
          <cell r="Q17" t="str">
            <v>Home Performance</v>
          </cell>
          <cell r="S17" t="str">
            <v>Ductless Mini Split - ccASHP EH</v>
          </cell>
        </row>
        <row r="18">
          <cell r="Q18" t="str">
            <v>Not Applicable</v>
          </cell>
        </row>
        <row r="21">
          <cell r="AX21" t="str">
            <v>Furnace</v>
          </cell>
          <cell r="AZ21" t="str">
            <v>Natural</v>
          </cell>
          <cell r="BB21" t="str">
            <v>Oil</v>
          </cell>
          <cell r="BD21" t="str">
            <v>Forced Hot Air</v>
          </cell>
        </row>
        <row r="22">
          <cell r="Q22" t="str">
            <v>Select…</v>
          </cell>
          <cell r="AX22" t="str">
            <v>Boiler</v>
          </cell>
          <cell r="AZ22" t="str">
            <v>Induced</v>
          </cell>
          <cell r="BB22" t="str">
            <v>Natural Gas</v>
          </cell>
          <cell r="BD22" t="str">
            <v>Baseboard</v>
          </cell>
        </row>
        <row r="23">
          <cell r="Q23" t="str">
            <v>Yes</v>
          </cell>
          <cell r="AX23" t="str">
            <v>Heat Pump</v>
          </cell>
          <cell r="AZ23" t="str">
            <v xml:space="preserve">Power Vented </v>
          </cell>
          <cell r="BB23" t="str">
            <v>Electric</v>
          </cell>
          <cell r="BD23" t="str">
            <v>Radiator</v>
          </cell>
        </row>
        <row r="24">
          <cell r="Q24" t="str">
            <v>No</v>
          </cell>
          <cell r="AX24" t="str">
            <v>Geothermal</v>
          </cell>
          <cell r="AZ24" t="str">
            <v>Sealed</v>
          </cell>
          <cell r="BB24" t="str">
            <v>Propane</v>
          </cell>
        </row>
        <row r="25">
          <cell r="B25">
            <v>788</v>
          </cell>
          <cell r="T25">
            <v>1.5939999999999999E-3</v>
          </cell>
          <cell r="V25">
            <v>0.05</v>
          </cell>
          <cell r="AX25" t="str">
            <v>Electric Baseboard</v>
          </cell>
          <cell r="BB25" t="str">
            <v>Other</v>
          </cell>
        </row>
        <row r="26">
          <cell r="B26">
            <v>1329</v>
          </cell>
          <cell r="H26" t="str">
            <v>Electric Furnace</v>
          </cell>
        </row>
        <row r="28">
          <cell r="AX28" t="str">
            <v>Electric</v>
          </cell>
        </row>
        <row r="29">
          <cell r="AE29" t="str">
            <v>Retrofit Ductless Mini Split - ccASHP Tier II</v>
          </cell>
          <cell r="AF29" t="str">
            <v>CH220-R</v>
          </cell>
          <cell r="AG29" t="str">
            <v>Cool Homes Ductless</v>
          </cell>
          <cell r="AH29" t="str">
            <v>Cooling - HVAC Equipment</v>
          </cell>
          <cell r="AI29" t="str">
            <v>CH - DUCTLESS ccASHP Retrofit</v>
          </cell>
          <cell r="AJ29">
            <v>350</v>
          </cell>
          <cell r="AK29">
            <v>350</v>
          </cell>
          <cell r="AL29">
            <v>250</v>
          </cell>
          <cell r="AX29" t="str">
            <v>Direct Storage</v>
          </cell>
        </row>
        <row r="30">
          <cell r="AE30" t="str">
            <v>Retrofit Ductless Multi Split - ccASHP Tier II</v>
          </cell>
          <cell r="AF30" t="str">
            <v>CH222-R</v>
          </cell>
          <cell r="AG30" t="str">
            <v>Cool Homes Ductless</v>
          </cell>
          <cell r="AH30" t="str">
            <v>Cooling - HVAC Equipment</v>
          </cell>
          <cell r="AI30" t="str">
            <v>CH - DUCTLESS ccASHP Retrofit</v>
          </cell>
          <cell r="AJ30">
            <v>350</v>
          </cell>
          <cell r="AK30">
            <v>350</v>
          </cell>
          <cell r="AL30">
            <v>250</v>
          </cell>
          <cell r="AX30" t="str">
            <v>Indirect Storage</v>
          </cell>
        </row>
        <row r="31">
          <cell r="AE31" t="str">
            <v>New Packaged Terminal Heat Pump Tier I</v>
          </cell>
          <cell r="AF31" t="str">
            <v>CH217-N</v>
          </cell>
          <cell r="AG31" t="str">
            <v>Cool Homes Heat Pump</v>
          </cell>
          <cell r="AH31" t="str">
            <v>Cooling - HVAC Equipment</v>
          </cell>
          <cell r="AI31" t="str">
            <v>CH - PTHP New TIER 1</v>
          </cell>
          <cell r="AJ31">
            <v>100</v>
          </cell>
          <cell r="AK31">
            <v>100</v>
          </cell>
          <cell r="AL31">
            <v>200</v>
          </cell>
          <cell r="AX31" t="str">
            <v>Tankless</v>
          </cell>
        </row>
        <row r="32">
          <cell r="A32" t="str">
            <v>GSHP</v>
          </cell>
        </row>
        <row r="33">
          <cell r="A33" t="str">
            <v>Ducted ccASHP</v>
          </cell>
        </row>
        <row r="34">
          <cell r="A34" t="str">
            <v>Ductless Mini Split - ccASHP</v>
          </cell>
        </row>
        <row r="35">
          <cell r="A35" t="str">
            <v>Ducted ASHP</v>
          </cell>
        </row>
        <row r="36">
          <cell r="A36" t="str">
            <v>Ductless Mini Split - ASHP</v>
          </cell>
        </row>
        <row r="37">
          <cell r="A37" t="str">
            <v>Ducted Split CAC</v>
          </cell>
        </row>
        <row r="38">
          <cell r="A38" t="str">
            <v>Ductless Mini Split - AC Only</v>
          </cell>
        </row>
        <row r="44">
          <cell r="Q44" t="str">
            <v>Select…</v>
          </cell>
        </row>
        <row r="45">
          <cell r="Q45" t="str">
            <v>Natural Gas Boiler</v>
          </cell>
        </row>
        <row r="46">
          <cell r="Q46" t="str">
            <v>Oil Boiler</v>
          </cell>
          <cell r="AZ46" t="str">
            <v>Home Comfort Heat Pump</v>
          </cell>
        </row>
        <row r="47">
          <cell r="A47" t="str">
            <v>Alarm.com</v>
          </cell>
          <cell r="Q47" t="str">
            <v>Electric Boiler</v>
          </cell>
          <cell r="AZ47" t="str">
            <v>Existing Primary System</v>
          </cell>
        </row>
        <row r="48">
          <cell r="A48" t="str">
            <v>Ecobee</v>
          </cell>
          <cell r="Q48" t="str">
            <v>Propane Boiler</v>
          </cell>
          <cell r="AZ48" t="str">
            <v>Existing Secondary System</v>
          </cell>
        </row>
        <row r="49">
          <cell r="A49" t="str">
            <v xml:space="preserve">Emerson </v>
          </cell>
          <cell r="Q49" t="str">
            <v>Natural Gas Furnace</v>
          </cell>
          <cell r="BF49" t="str">
            <v>Select…</v>
          </cell>
          <cell r="BG49" t="str">
            <v>Select…</v>
          </cell>
        </row>
        <row r="50">
          <cell r="A50" t="str">
            <v>Honeywell Home</v>
          </cell>
          <cell r="Q50" t="str">
            <v>Oil Furnace</v>
          </cell>
          <cell r="BF50" t="str">
            <v>Insulated</v>
          </cell>
          <cell r="BG50" t="str">
            <v>Insulated Floor</v>
          </cell>
        </row>
        <row r="51">
          <cell r="A51" t="str">
            <v>Lux</v>
          </cell>
          <cell r="Q51" t="str">
            <v>Electric Furnace</v>
          </cell>
          <cell r="BF51" t="str">
            <v>Uninsulated</v>
          </cell>
          <cell r="BG51" t="str">
            <v>Insulated Floor &amp; Walls</v>
          </cell>
        </row>
        <row r="52">
          <cell r="A52" t="str">
            <v>Google Nest</v>
          </cell>
          <cell r="Q52" t="str">
            <v>Propane Furnace</v>
          </cell>
          <cell r="BG52" t="str">
            <v>Uninsulated</v>
          </cell>
        </row>
        <row r="53">
          <cell r="A53" t="str">
            <v>Radio Thermostat</v>
          </cell>
          <cell r="Q53" t="str">
            <v>Electric Resistance</v>
          </cell>
        </row>
        <row r="54">
          <cell r="A54" t="str">
            <v>Vivint</v>
          </cell>
          <cell r="Q54" t="str">
            <v>Electric ASHP</v>
          </cell>
        </row>
        <row r="55">
          <cell r="Q55" t="str">
            <v>Natural Gas Other</v>
          </cell>
          <cell r="AZ55" t="str">
            <v>Select…</v>
          </cell>
        </row>
        <row r="56">
          <cell r="Q56" t="str">
            <v>Oil Other</v>
          </cell>
          <cell r="AZ56" t="str">
            <v>Pass</v>
          </cell>
        </row>
        <row r="57">
          <cell r="A57" t="str">
            <v>Alarm.com</v>
          </cell>
          <cell r="B57" t="str">
            <v>Ecobee</v>
          </cell>
          <cell r="C57" t="str">
            <v>Honeywell Home</v>
          </cell>
          <cell r="D57" t="str">
            <v>Lux</v>
          </cell>
          <cell r="E57" t="str">
            <v>Google Nest</v>
          </cell>
          <cell r="F57" t="str">
            <v>Radio Thermostat</v>
          </cell>
          <cell r="G57" t="str">
            <v xml:space="preserve">Emerson </v>
          </cell>
          <cell r="H57" t="str">
            <v>Vivint</v>
          </cell>
          <cell r="Q57" t="str">
            <v>Electric Other</v>
          </cell>
          <cell r="AZ57" t="str">
            <v>Fail</v>
          </cell>
        </row>
        <row r="58">
          <cell r="Q58" t="str">
            <v>Propane Other</v>
          </cell>
        </row>
        <row r="59">
          <cell r="Q59" t="str">
            <v>PTHP</v>
          </cell>
        </row>
        <row r="60">
          <cell r="Q60" t="str">
            <v>None</v>
          </cell>
        </row>
        <row r="61">
          <cell r="Q61" t="str">
            <v>New Construction</v>
          </cell>
        </row>
        <row r="65">
          <cell r="Q65" t="str">
            <v>Select…</v>
          </cell>
        </row>
        <row r="66">
          <cell r="Q66" t="str">
            <v>Natural Gas Boiler</v>
          </cell>
        </row>
        <row r="67">
          <cell r="Q67" t="str">
            <v>Oil Boiler</v>
          </cell>
        </row>
        <row r="68">
          <cell r="Q68" t="str">
            <v>Electric Boiler</v>
          </cell>
        </row>
        <row r="69">
          <cell r="A69" t="str">
            <v>Alarm.com</v>
          </cell>
          <cell r="B69" t="str">
            <v>Ecobee</v>
          </cell>
          <cell r="C69" t="str">
            <v>Honeywell Lyric</v>
          </cell>
          <cell r="D69" t="str">
            <v>Honeywell TCC</v>
          </cell>
          <cell r="E69" t="str">
            <v>Lux</v>
          </cell>
          <cell r="F69" t="str">
            <v>Nest</v>
          </cell>
          <cell r="G69" t="str">
            <v>Radio Thermostat</v>
          </cell>
          <cell r="H69" t="str">
            <v xml:space="preserve">Emerson </v>
          </cell>
          <cell r="I69" t="str">
            <v>Vivint GoControl</v>
          </cell>
          <cell r="Q69" t="str">
            <v>Propane Boiler</v>
          </cell>
        </row>
        <row r="70">
          <cell r="Q70" t="str">
            <v>Natural Gas Furnace</v>
          </cell>
        </row>
        <row r="71">
          <cell r="Q71" t="str">
            <v>Oil Furnace</v>
          </cell>
        </row>
        <row r="72">
          <cell r="Q72" t="str">
            <v>Electric Furnace</v>
          </cell>
        </row>
        <row r="73">
          <cell r="Q73" t="str">
            <v>Propane Furnace</v>
          </cell>
        </row>
        <row r="74">
          <cell r="Q74" t="str">
            <v>Electric Resistance</v>
          </cell>
        </row>
        <row r="75">
          <cell r="Q75" t="str">
            <v>Electric ASHP</v>
          </cell>
        </row>
        <row r="76">
          <cell r="Q76" t="str">
            <v>Natural Gas Other</v>
          </cell>
        </row>
        <row r="77">
          <cell r="Q77" t="str">
            <v>Oil Other</v>
          </cell>
        </row>
        <row r="78">
          <cell r="Q78" t="str">
            <v>Electric Other</v>
          </cell>
        </row>
        <row r="79">
          <cell r="Q79" t="str">
            <v>Propane Other</v>
          </cell>
        </row>
        <row r="80">
          <cell r="Q80" t="str">
            <v>PTHP</v>
          </cell>
        </row>
        <row r="81">
          <cell r="Q81" t="str">
            <v>None</v>
          </cell>
        </row>
        <row r="82">
          <cell r="Q82" t="str">
            <v>New Construction</v>
          </cell>
        </row>
        <row r="85">
          <cell r="A85">
            <v>1</v>
          </cell>
        </row>
        <row r="86">
          <cell r="A86">
            <v>2</v>
          </cell>
        </row>
        <row r="87">
          <cell r="A87">
            <v>3</v>
          </cell>
        </row>
        <row r="88">
          <cell r="A88">
            <v>4</v>
          </cell>
        </row>
        <row r="89">
          <cell r="A89">
            <v>5</v>
          </cell>
        </row>
        <row r="90">
          <cell r="A90">
            <v>6</v>
          </cell>
          <cell r="Q90" t="str">
            <v>Select…</v>
          </cell>
        </row>
        <row r="91">
          <cell r="A91">
            <v>7</v>
          </cell>
          <cell r="Q91" t="str">
            <v>Ducted Air Source HP</v>
          </cell>
        </row>
        <row r="92">
          <cell r="A92">
            <v>8</v>
          </cell>
          <cell r="Q92" t="str">
            <v>Central Air Conditioner</v>
          </cell>
        </row>
        <row r="93">
          <cell r="A93">
            <v>9</v>
          </cell>
          <cell r="Q93" t="str">
            <v>Ductless Mini Split - AC</v>
          </cell>
        </row>
        <row r="94">
          <cell r="A94">
            <v>10</v>
          </cell>
          <cell r="Q94" t="str">
            <v>Ductless Mini Split - HP</v>
          </cell>
        </row>
        <row r="95">
          <cell r="Q95" t="str">
            <v>PTHP</v>
          </cell>
        </row>
        <row r="96">
          <cell r="Q96" t="str">
            <v>Other</v>
          </cell>
        </row>
        <row r="97">
          <cell r="Q97" t="str">
            <v>None</v>
          </cell>
        </row>
        <row r="104">
          <cell r="Q104" t="str">
            <v>Select…</v>
          </cell>
        </row>
        <row r="105">
          <cell r="Q105" t="str">
            <v>Ducted Air Source HP</v>
          </cell>
        </row>
        <row r="106">
          <cell r="Q106" t="str">
            <v>Central Air Conditioner</v>
          </cell>
        </row>
        <row r="107">
          <cell r="Q107" t="str">
            <v>Ductless Mini Split - AC</v>
          </cell>
        </row>
        <row r="108">
          <cell r="Q108" t="str">
            <v>Ductless Mini Split - HP</v>
          </cell>
        </row>
        <row r="109">
          <cell r="Q109" t="str">
            <v>PTHP</v>
          </cell>
        </row>
        <row r="110">
          <cell r="Q110" t="str">
            <v>Other</v>
          </cell>
        </row>
        <row r="111">
          <cell r="Q111" t="str">
            <v>None</v>
          </cell>
        </row>
        <row r="203">
          <cell r="A203" t="str">
            <v>Select…</v>
          </cell>
          <cell r="C203" t="str">
            <v>Select…</v>
          </cell>
          <cell r="E203" t="str">
            <v>Select…</v>
          </cell>
          <cell r="H203" t="str">
            <v>Select…</v>
          </cell>
          <cell r="J203" t="str">
            <v>Select…</v>
          </cell>
        </row>
        <row r="204">
          <cell r="A204" t="str">
            <v>Gas Storage Water Heater</v>
          </cell>
          <cell r="C204" t="str">
            <v>Tankless Water Heater &lt; 12 kW</v>
          </cell>
          <cell r="E204" t="str">
            <v>Yes</v>
          </cell>
          <cell r="H204" t="str">
            <v>Yes</v>
          </cell>
          <cell r="J204" t="str">
            <v>Central Air Conditioner</v>
          </cell>
        </row>
        <row r="205">
          <cell r="A205" t="str">
            <v>Oil Storage Water Heater</v>
          </cell>
          <cell r="C205" t="str">
            <v>Tankless Water Heater ≥ 12 kW</v>
          </cell>
          <cell r="E205" t="str">
            <v>Not Applicable</v>
          </cell>
          <cell r="H205" t="str">
            <v>Not Applicable</v>
          </cell>
          <cell r="J205" t="str">
            <v>Air Source Heat Pump</v>
          </cell>
        </row>
        <row r="206">
          <cell r="A206" t="str">
            <v>Propane Storage Water Heater</v>
          </cell>
          <cell r="C206" t="str">
            <v>Heat Pump Water Heater &lt; 55 Gallons</v>
          </cell>
        </row>
        <row r="207">
          <cell r="A207" t="str">
            <v>Electric Storage Water Heater</v>
          </cell>
          <cell r="C207" t="str">
            <v>Heat Pump Water Heater &gt; 55 Gallons</v>
          </cell>
        </row>
        <row r="208">
          <cell r="A208" t="str">
            <v>Gas Tankless Water Heater</v>
          </cell>
        </row>
        <row r="209">
          <cell r="A209" t="str">
            <v>Electric Tankless Water Heater</v>
          </cell>
        </row>
        <row r="210">
          <cell r="A210" t="str">
            <v>Heat Pump Water Heater</v>
          </cell>
        </row>
        <row r="211">
          <cell r="A211" t="str">
            <v>None</v>
          </cell>
        </row>
      </sheetData>
      <sheetData sheetId="19" refreshError="1"/>
      <sheetData sheetId="20" refreshError="1"/>
      <sheetData sheetId="21" refreshError="1"/>
      <sheetData sheetId="22" refreshError="1"/>
      <sheetData sheetId="23" refreshError="1"/>
      <sheetData sheetId="24">
        <row r="34">
          <cell r="T34" t="str">
            <v>+-5</v>
          </cell>
        </row>
      </sheetData>
      <sheetData sheetId="25">
        <row r="27">
          <cell r="BP27" t="str">
            <v/>
          </cell>
          <cell r="BQ27" t="str">
            <v/>
          </cell>
          <cell r="BR27" t="str">
            <v/>
          </cell>
        </row>
        <row r="28">
          <cell r="BP28" t="str">
            <v/>
          </cell>
          <cell r="BQ28" t="str">
            <v/>
          </cell>
          <cell r="BR28" t="str">
            <v/>
          </cell>
        </row>
        <row r="29">
          <cell r="BP29" t="str">
            <v/>
          </cell>
          <cell r="BQ29" t="str">
            <v/>
          </cell>
          <cell r="BR29" t="str">
            <v/>
          </cell>
        </row>
        <row r="30">
          <cell r="BP30" t="str">
            <v/>
          </cell>
          <cell r="BQ30" t="str">
            <v/>
          </cell>
          <cell r="BR30" t="str">
            <v/>
          </cell>
        </row>
        <row r="31">
          <cell r="BP31" t="str">
            <v/>
          </cell>
          <cell r="BQ31" t="str">
            <v/>
          </cell>
          <cell r="BR31" t="str">
            <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persons/person.xml><?xml version="1.0" encoding="utf-8"?>
<personList xmlns="http://schemas.microsoft.com/office/spreadsheetml/2018/threadedcomments" xmlns:x="http://schemas.openxmlformats.org/spreadsheetml/2006/main">
  <person displayName="Rush, Meaghan C (US)" id="{B32FC163-0908-4066-A8C3-9467E351481D}" userId="Rush, Meaghan C (US)" providerId="None"/>
  <person displayName="Dean, Evelyn" id="{BDF97C44-4E77-4F29-921A-4469B1539B7E}" userId="S::EDean@trcsolutions.com::dd24e339-d7df-473c-9918-62011036316c" providerId="AD"/>
  <person displayName="Rush, Meaghan" id="{83F7BB49-BAA9-4BC3-8209-6BFDDC40564B}" userId="S::MRush@trcsolutions.com::9b01920c-af91-4abd-8adc-891c4c2f3a54"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486" dT="2020-07-15T14:05:27.88" personId="{83F7BB49-BAA9-4BC3-8209-6BFDDC40564B}" id="{E5A40DFD-50DD-463A-9460-BB3827A3CEE9}">
    <text>Smart thermostat savings from this tab are specifically from the units installed through the Home Comfort tab. There should be no more than one thermostat per unit, it would mess up savings.</text>
  </threadedComment>
</ThreadedComments>
</file>

<file path=xl/threadedComments/threadedComment2.xml><?xml version="1.0" encoding="utf-8"?>
<ThreadedComments xmlns="http://schemas.microsoft.com/office/spreadsheetml/2018/threadedcomments" xmlns:x="http://schemas.openxmlformats.org/spreadsheetml/2006/main">
  <threadedComment ref="AF8" dT="2020-05-07T17:28:31.45" personId="{BDF97C44-4E77-4F29-921A-4469B1539B7E}" id="{01CC2E3D-B59F-45D2-9047-F48BF9E851A8}">
    <text>validate lpw for T8 and T5 systems</text>
  </threadedComment>
</ThreadedComments>
</file>

<file path=xl/threadedComments/threadedComment3.xml><?xml version="1.0" encoding="utf-8"?>
<ThreadedComments xmlns="http://schemas.microsoft.com/office/spreadsheetml/2018/threadedcomments" xmlns:x="http://schemas.openxmlformats.org/spreadsheetml/2006/main">
  <threadedComment ref="CC49" dT="2020-10-14T16:31:09.49" personId="{83F7BB49-BAA9-4BC3-8209-6BFDDC40564B}" id="{268ED2DB-9063-4C12-93BA-2FECB5D7783D}">
    <text>Correction for 9% change in EER as entering fluid temperature decreases from 77F to 68F -NYS TRM</text>
  </threadedComment>
  <threadedComment ref="CC50" dT="2020-10-14T16:31:37.80" personId="{83F7BB49-BAA9-4BC3-8209-6BFDDC40564B}" id="{F82AB769-4C7F-4042-A233-175D8A5ADB2E}">
    <text>Correction for 8% change in COP as entering fluid temperature increases from 32F to 40F - NYS TRM</text>
  </threadedComment>
  <threadedComment ref="AX76" dT="2019-12-11T17:21:46.80" personId="{B32FC163-0908-4066-A8C3-9467E351481D}" id="{B6CAE899-28A6-42A0-857E-E6829BB8C4E2}">
    <text>If no difference is specified in TRM assume = attic</text>
  </threadedComment>
  <threadedComment ref="AX77" dT="2019-11-27T15:05:57.98" personId="{B32FC163-0908-4066-A8C3-9467E351481D}" id="{D097C49E-E7E8-4D8C-9254-087D41D7AC20}">
    <text>Per Steve W.-Crawl spaces will be have to be vented if unconditioned</text>
  </threadedComment>
</ThreadedComments>
</file>

<file path=xl/worksheets/_rels/sheet1.xml.rels><?xml version="1.0" encoding="UTF-8" standalone="yes"?>
<Relationships xmlns="http://schemas.openxmlformats.org/package/2006/relationships"><Relationship Id="rId8" Type="http://schemas.openxmlformats.org/officeDocument/2006/relationships/control" Target="../activeX/activeX3.xml"/><Relationship Id="rId13" Type="http://schemas.openxmlformats.org/officeDocument/2006/relationships/image" Target="../media/image5.emf"/><Relationship Id="rId18" Type="http://schemas.openxmlformats.org/officeDocument/2006/relationships/control" Target="../activeX/activeX8.xml"/><Relationship Id="rId3" Type="http://schemas.openxmlformats.org/officeDocument/2006/relationships/vmlDrawing" Target="../drawings/vmlDrawing1.vml"/><Relationship Id="rId21" Type="http://schemas.openxmlformats.org/officeDocument/2006/relationships/image" Target="../media/image9.emf"/><Relationship Id="rId7" Type="http://schemas.openxmlformats.org/officeDocument/2006/relationships/image" Target="../media/image2.emf"/><Relationship Id="rId12" Type="http://schemas.openxmlformats.org/officeDocument/2006/relationships/control" Target="../activeX/activeX5.xml"/><Relationship Id="rId17" Type="http://schemas.openxmlformats.org/officeDocument/2006/relationships/image" Target="../media/image7.emf"/><Relationship Id="rId2" Type="http://schemas.openxmlformats.org/officeDocument/2006/relationships/drawing" Target="../drawings/drawing1.xml"/><Relationship Id="rId16" Type="http://schemas.openxmlformats.org/officeDocument/2006/relationships/control" Target="../activeX/activeX7.xml"/><Relationship Id="rId20" Type="http://schemas.openxmlformats.org/officeDocument/2006/relationships/control" Target="../activeX/activeX9.xml"/><Relationship Id="rId1" Type="http://schemas.openxmlformats.org/officeDocument/2006/relationships/printerSettings" Target="../printerSettings/printerSettings1.bin"/><Relationship Id="rId6" Type="http://schemas.openxmlformats.org/officeDocument/2006/relationships/control" Target="../activeX/activeX2.xml"/><Relationship Id="rId11" Type="http://schemas.openxmlformats.org/officeDocument/2006/relationships/image" Target="../media/image4.emf"/><Relationship Id="rId5" Type="http://schemas.openxmlformats.org/officeDocument/2006/relationships/image" Target="../media/image1.emf"/><Relationship Id="rId15" Type="http://schemas.openxmlformats.org/officeDocument/2006/relationships/image" Target="../media/image6.emf"/><Relationship Id="rId10" Type="http://schemas.openxmlformats.org/officeDocument/2006/relationships/control" Target="../activeX/activeX4.xml"/><Relationship Id="rId19" Type="http://schemas.openxmlformats.org/officeDocument/2006/relationships/image" Target="../media/image8.emf"/><Relationship Id="rId4" Type="http://schemas.openxmlformats.org/officeDocument/2006/relationships/control" Target="../activeX/activeX1.xml"/><Relationship Id="rId9" Type="http://schemas.openxmlformats.org/officeDocument/2006/relationships/image" Target="../media/image3.emf"/><Relationship Id="rId14" Type="http://schemas.openxmlformats.org/officeDocument/2006/relationships/control" Target="../activeX/activeX6.xml"/></Relationships>
</file>

<file path=xl/worksheets/_rels/sheet10.xml.rels><?xml version="1.0" encoding="UTF-8" standalone="yes"?>
<Relationships xmlns="http://schemas.openxmlformats.org/package/2006/relationships"><Relationship Id="rId3" Type="http://schemas.openxmlformats.org/officeDocument/2006/relationships/hyperlink" Target="http://www.pseglinyportal.com/" TargetMode="External"/><Relationship Id="rId2" Type="http://schemas.openxmlformats.org/officeDocument/2006/relationships/hyperlink" Target="https://www.psegliny.com/businessandcontractorservices/businessandcommercialsavings/rebates" TargetMode="External"/><Relationship Id="rId1" Type="http://schemas.openxmlformats.org/officeDocument/2006/relationships/hyperlink" Target="https://www.psegliny.com/businessandcontractorservices/businessandcommercialsavings/rebates" TargetMode="External"/><Relationship Id="rId6" Type="http://schemas.openxmlformats.org/officeDocument/2006/relationships/drawing" Target="../drawings/drawing10.xml"/><Relationship Id="rId5" Type="http://schemas.openxmlformats.org/officeDocument/2006/relationships/printerSettings" Target="../printerSettings/printerSettings10.bin"/><Relationship Id="rId4" Type="http://schemas.openxmlformats.org/officeDocument/2006/relationships/hyperlink" Target="mailto:psegpartnersupport@trccompanies.com" TargetMode="Externa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3.xml"/><Relationship Id="rId13" Type="http://schemas.openxmlformats.org/officeDocument/2006/relationships/ctrlProp" Target="../ctrlProps/ctrlProp48.xml"/><Relationship Id="rId18" Type="http://schemas.openxmlformats.org/officeDocument/2006/relationships/ctrlProp" Target="../ctrlProps/ctrlProp53.xml"/><Relationship Id="rId3" Type="http://schemas.openxmlformats.org/officeDocument/2006/relationships/printerSettings" Target="../printerSettings/printerSettings11.bin"/><Relationship Id="rId7" Type="http://schemas.openxmlformats.org/officeDocument/2006/relationships/ctrlProp" Target="../ctrlProps/ctrlProp42.xml"/><Relationship Id="rId12" Type="http://schemas.openxmlformats.org/officeDocument/2006/relationships/ctrlProp" Target="../ctrlProps/ctrlProp47.xml"/><Relationship Id="rId17" Type="http://schemas.openxmlformats.org/officeDocument/2006/relationships/ctrlProp" Target="../ctrlProps/ctrlProp52.xml"/><Relationship Id="rId2" Type="http://schemas.openxmlformats.org/officeDocument/2006/relationships/hyperlink" Target="https://www.nyserda.ny.gov/ny/disadvantaged-communities" TargetMode="External"/><Relationship Id="rId16" Type="http://schemas.openxmlformats.org/officeDocument/2006/relationships/ctrlProp" Target="../ctrlProps/ctrlProp51.xml"/><Relationship Id="rId1" Type="http://schemas.openxmlformats.org/officeDocument/2006/relationships/hyperlink" Target="https://www.nyserda.ny.gov/ny/disadvantaged-communities" TargetMode="External"/><Relationship Id="rId6" Type="http://schemas.openxmlformats.org/officeDocument/2006/relationships/ctrlProp" Target="../ctrlProps/ctrlProp41.xml"/><Relationship Id="rId11" Type="http://schemas.openxmlformats.org/officeDocument/2006/relationships/ctrlProp" Target="../ctrlProps/ctrlProp46.xml"/><Relationship Id="rId5" Type="http://schemas.openxmlformats.org/officeDocument/2006/relationships/vmlDrawing" Target="../drawings/vmlDrawing5.vml"/><Relationship Id="rId15" Type="http://schemas.openxmlformats.org/officeDocument/2006/relationships/ctrlProp" Target="../ctrlProps/ctrlProp50.xml"/><Relationship Id="rId10" Type="http://schemas.openxmlformats.org/officeDocument/2006/relationships/ctrlProp" Target="../ctrlProps/ctrlProp45.xml"/><Relationship Id="rId4" Type="http://schemas.openxmlformats.org/officeDocument/2006/relationships/drawing" Target="../drawings/drawing11.xml"/><Relationship Id="rId9" Type="http://schemas.openxmlformats.org/officeDocument/2006/relationships/ctrlProp" Target="../ctrlProps/ctrlProp44.xml"/><Relationship Id="rId14" Type="http://schemas.openxmlformats.org/officeDocument/2006/relationships/ctrlProp" Target="../ctrlProps/ctrlProp4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2.xml"/><Relationship Id="rId1" Type="http://schemas.openxmlformats.org/officeDocument/2006/relationships/printerSettings" Target="../printerSettings/printerSettings12.bin"/><Relationship Id="rId5" Type="http://schemas.openxmlformats.org/officeDocument/2006/relationships/image" Target="../media/image34.emf"/><Relationship Id="rId4" Type="http://schemas.openxmlformats.org/officeDocument/2006/relationships/control" Target="../activeX/activeX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54.xml"/><Relationship Id="rId13" Type="http://schemas.openxmlformats.org/officeDocument/2006/relationships/ctrlProp" Target="../ctrlProps/ctrlProp59.xml"/><Relationship Id="rId3" Type="http://schemas.openxmlformats.org/officeDocument/2006/relationships/vmlDrawing" Target="../drawings/vmlDrawing7.vml"/><Relationship Id="rId7" Type="http://schemas.openxmlformats.org/officeDocument/2006/relationships/image" Target="../media/image36.emf"/><Relationship Id="rId12" Type="http://schemas.openxmlformats.org/officeDocument/2006/relationships/ctrlProp" Target="../ctrlProps/ctrlProp58.xml"/><Relationship Id="rId17" Type="http://schemas.openxmlformats.org/officeDocument/2006/relationships/ctrlProp" Target="../ctrlProps/ctrlProp63.xml"/><Relationship Id="rId2" Type="http://schemas.openxmlformats.org/officeDocument/2006/relationships/drawing" Target="../drawings/drawing14.xml"/><Relationship Id="rId16" Type="http://schemas.openxmlformats.org/officeDocument/2006/relationships/ctrlProp" Target="../ctrlProps/ctrlProp62.xml"/><Relationship Id="rId1" Type="http://schemas.openxmlformats.org/officeDocument/2006/relationships/printerSettings" Target="../printerSettings/printerSettings14.bin"/><Relationship Id="rId6" Type="http://schemas.openxmlformats.org/officeDocument/2006/relationships/control" Target="../activeX/activeX12.xml"/><Relationship Id="rId11" Type="http://schemas.openxmlformats.org/officeDocument/2006/relationships/ctrlProp" Target="../ctrlProps/ctrlProp57.xml"/><Relationship Id="rId5" Type="http://schemas.openxmlformats.org/officeDocument/2006/relationships/image" Target="../media/image35.emf"/><Relationship Id="rId15" Type="http://schemas.openxmlformats.org/officeDocument/2006/relationships/ctrlProp" Target="../ctrlProps/ctrlProp61.xml"/><Relationship Id="rId10" Type="http://schemas.openxmlformats.org/officeDocument/2006/relationships/ctrlProp" Target="../ctrlProps/ctrlProp56.xml"/><Relationship Id="rId4" Type="http://schemas.openxmlformats.org/officeDocument/2006/relationships/control" Target="../activeX/activeX11.xml"/><Relationship Id="rId9" Type="http://schemas.openxmlformats.org/officeDocument/2006/relationships/ctrlProp" Target="../ctrlProps/ctrlProp55.xml"/><Relationship Id="rId14" Type="http://schemas.openxmlformats.org/officeDocument/2006/relationships/ctrlProp" Target="../ctrlProps/ctrlProp60.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64.xml"/><Relationship Id="rId13" Type="http://schemas.openxmlformats.org/officeDocument/2006/relationships/ctrlProp" Target="../ctrlProps/ctrlProp69.xml"/><Relationship Id="rId18" Type="http://schemas.openxmlformats.org/officeDocument/2006/relationships/ctrlProp" Target="../ctrlProps/ctrlProp74.xml"/><Relationship Id="rId3" Type="http://schemas.openxmlformats.org/officeDocument/2006/relationships/vmlDrawing" Target="../drawings/vmlDrawing8.vml"/><Relationship Id="rId7" Type="http://schemas.openxmlformats.org/officeDocument/2006/relationships/image" Target="../media/image38.emf"/><Relationship Id="rId12" Type="http://schemas.openxmlformats.org/officeDocument/2006/relationships/ctrlProp" Target="../ctrlProps/ctrlProp68.xml"/><Relationship Id="rId17" Type="http://schemas.openxmlformats.org/officeDocument/2006/relationships/ctrlProp" Target="../ctrlProps/ctrlProp73.xml"/><Relationship Id="rId2" Type="http://schemas.openxmlformats.org/officeDocument/2006/relationships/drawing" Target="../drawings/drawing15.xml"/><Relationship Id="rId16" Type="http://schemas.openxmlformats.org/officeDocument/2006/relationships/ctrlProp" Target="../ctrlProps/ctrlProp72.xml"/><Relationship Id="rId1" Type="http://schemas.openxmlformats.org/officeDocument/2006/relationships/printerSettings" Target="../printerSettings/printerSettings15.bin"/><Relationship Id="rId6" Type="http://schemas.openxmlformats.org/officeDocument/2006/relationships/control" Target="../activeX/activeX14.xml"/><Relationship Id="rId11" Type="http://schemas.openxmlformats.org/officeDocument/2006/relationships/ctrlProp" Target="../ctrlProps/ctrlProp67.xml"/><Relationship Id="rId5" Type="http://schemas.openxmlformats.org/officeDocument/2006/relationships/image" Target="../media/image37.emf"/><Relationship Id="rId15" Type="http://schemas.openxmlformats.org/officeDocument/2006/relationships/ctrlProp" Target="../ctrlProps/ctrlProp71.xml"/><Relationship Id="rId10" Type="http://schemas.openxmlformats.org/officeDocument/2006/relationships/ctrlProp" Target="../ctrlProps/ctrlProp66.xml"/><Relationship Id="rId19" Type="http://schemas.openxmlformats.org/officeDocument/2006/relationships/ctrlProp" Target="../ctrlProps/ctrlProp75.xml"/><Relationship Id="rId4" Type="http://schemas.openxmlformats.org/officeDocument/2006/relationships/control" Target="../activeX/activeX13.xml"/><Relationship Id="rId9" Type="http://schemas.openxmlformats.org/officeDocument/2006/relationships/ctrlProp" Target="../ctrlProps/ctrlProp65.xml"/><Relationship Id="rId14" Type="http://schemas.openxmlformats.org/officeDocument/2006/relationships/ctrlProp" Target="../ctrlProps/ctrlProp70.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enrollmythermostat.com/faqs/pseg-long-island-faq/"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7.xml"/><Relationship Id="rId1" Type="http://schemas.openxmlformats.org/officeDocument/2006/relationships/printerSettings" Target="../printerSettings/printerSettings17.bin"/><Relationship Id="rId4" Type="http://schemas.openxmlformats.org/officeDocument/2006/relationships/ctrlProp" Target="../ctrlProps/ctrlProp7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81.xml"/><Relationship Id="rId3" Type="http://schemas.openxmlformats.org/officeDocument/2006/relationships/vmlDrawing" Target="../drawings/vmlDrawing10.vml"/><Relationship Id="rId7" Type="http://schemas.openxmlformats.org/officeDocument/2006/relationships/ctrlProp" Target="../ctrlProps/ctrlProp80.xml"/><Relationship Id="rId2" Type="http://schemas.openxmlformats.org/officeDocument/2006/relationships/drawing" Target="../drawings/drawing18.xml"/><Relationship Id="rId1" Type="http://schemas.openxmlformats.org/officeDocument/2006/relationships/printerSettings" Target="../printerSettings/printerSettings18.bin"/><Relationship Id="rId6" Type="http://schemas.openxmlformats.org/officeDocument/2006/relationships/ctrlProp" Target="../ctrlProps/ctrlProp79.xml"/><Relationship Id="rId5" Type="http://schemas.openxmlformats.org/officeDocument/2006/relationships/ctrlProp" Target="../ctrlProps/ctrlProp78.xml"/><Relationship Id="rId4" Type="http://schemas.openxmlformats.org/officeDocument/2006/relationships/ctrlProp" Target="../ctrlProps/ctrlProp77.xml"/><Relationship Id="rId9" Type="http://schemas.openxmlformats.org/officeDocument/2006/relationships/ctrlProp" Target="../ctrlProps/ctrlProp82.xml"/></Relationships>
</file>

<file path=xl/worksheets/_rels/sheet19.xml.rels><?xml version="1.0" encoding="UTF-8" standalone="yes"?>
<Relationships xmlns="http://schemas.openxmlformats.org/package/2006/relationships"><Relationship Id="rId13" Type="http://schemas.openxmlformats.org/officeDocument/2006/relationships/ctrlProp" Target="../ctrlProps/ctrlProp92.xml"/><Relationship Id="rId18" Type="http://schemas.openxmlformats.org/officeDocument/2006/relationships/ctrlProp" Target="../ctrlProps/ctrlProp97.xml"/><Relationship Id="rId26" Type="http://schemas.openxmlformats.org/officeDocument/2006/relationships/ctrlProp" Target="../ctrlProps/ctrlProp105.xml"/><Relationship Id="rId39" Type="http://schemas.openxmlformats.org/officeDocument/2006/relationships/ctrlProp" Target="../ctrlProps/ctrlProp118.xml"/><Relationship Id="rId21" Type="http://schemas.openxmlformats.org/officeDocument/2006/relationships/ctrlProp" Target="../ctrlProps/ctrlProp100.xml"/><Relationship Id="rId34" Type="http://schemas.openxmlformats.org/officeDocument/2006/relationships/ctrlProp" Target="../ctrlProps/ctrlProp113.xml"/><Relationship Id="rId42" Type="http://schemas.openxmlformats.org/officeDocument/2006/relationships/ctrlProp" Target="../ctrlProps/ctrlProp121.xml"/><Relationship Id="rId7" Type="http://schemas.openxmlformats.org/officeDocument/2006/relationships/ctrlProp" Target="../ctrlProps/ctrlProp86.xml"/><Relationship Id="rId2" Type="http://schemas.openxmlformats.org/officeDocument/2006/relationships/drawing" Target="../drawings/drawing19.xml"/><Relationship Id="rId16" Type="http://schemas.openxmlformats.org/officeDocument/2006/relationships/ctrlProp" Target="../ctrlProps/ctrlProp95.xml"/><Relationship Id="rId29" Type="http://schemas.openxmlformats.org/officeDocument/2006/relationships/ctrlProp" Target="../ctrlProps/ctrlProp108.xml"/><Relationship Id="rId1" Type="http://schemas.openxmlformats.org/officeDocument/2006/relationships/printerSettings" Target="../printerSettings/printerSettings19.bin"/><Relationship Id="rId6" Type="http://schemas.openxmlformats.org/officeDocument/2006/relationships/ctrlProp" Target="../ctrlProps/ctrlProp85.xml"/><Relationship Id="rId11" Type="http://schemas.openxmlformats.org/officeDocument/2006/relationships/ctrlProp" Target="../ctrlProps/ctrlProp90.xml"/><Relationship Id="rId24" Type="http://schemas.openxmlformats.org/officeDocument/2006/relationships/ctrlProp" Target="../ctrlProps/ctrlProp103.xml"/><Relationship Id="rId32" Type="http://schemas.openxmlformats.org/officeDocument/2006/relationships/ctrlProp" Target="../ctrlProps/ctrlProp111.xml"/><Relationship Id="rId37" Type="http://schemas.openxmlformats.org/officeDocument/2006/relationships/ctrlProp" Target="../ctrlProps/ctrlProp116.xml"/><Relationship Id="rId40" Type="http://schemas.openxmlformats.org/officeDocument/2006/relationships/ctrlProp" Target="../ctrlProps/ctrlProp119.xml"/><Relationship Id="rId45" Type="http://schemas.openxmlformats.org/officeDocument/2006/relationships/ctrlProp" Target="../ctrlProps/ctrlProp124.xml"/><Relationship Id="rId5" Type="http://schemas.openxmlformats.org/officeDocument/2006/relationships/ctrlProp" Target="../ctrlProps/ctrlProp84.xml"/><Relationship Id="rId15" Type="http://schemas.openxmlformats.org/officeDocument/2006/relationships/ctrlProp" Target="../ctrlProps/ctrlProp94.xml"/><Relationship Id="rId23" Type="http://schemas.openxmlformats.org/officeDocument/2006/relationships/ctrlProp" Target="../ctrlProps/ctrlProp102.xml"/><Relationship Id="rId28" Type="http://schemas.openxmlformats.org/officeDocument/2006/relationships/ctrlProp" Target="../ctrlProps/ctrlProp107.xml"/><Relationship Id="rId36" Type="http://schemas.openxmlformats.org/officeDocument/2006/relationships/ctrlProp" Target="../ctrlProps/ctrlProp115.xml"/><Relationship Id="rId10" Type="http://schemas.openxmlformats.org/officeDocument/2006/relationships/ctrlProp" Target="../ctrlProps/ctrlProp89.xml"/><Relationship Id="rId19" Type="http://schemas.openxmlformats.org/officeDocument/2006/relationships/ctrlProp" Target="../ctrlProps/ctrlProp98.xml"/><Relationship Id="rId31" Type="http://schemas.openxmlformats.org/officeDocument/2006/relationships/ctrlProp" Target="../ctrlProps/ctrlProp110.xml"/><Relationship Id="rId44" Type="http://schemas.openxmlformats.org/officeDocument/2006/relationships/ctrlProp" Target="../ctrlProps/ctrlProp123.xml"/><Relationship Id="rId4" Type="http://schemas.openxmlformats.org/officeDocument/2006/relationships/ctrlProp" Target="../ctrlProps/ctrlProp83.xml"/><Relationship Id="rId9" Type="http://schemas.openxmlformats.org/officeDocument/2006/relationships/ctrlProp" Target="../ctrlProps/ctrlProp88.xml"/><Relationship Id="rId14" Type="http://schemas.openxmlformats.org/officeDocument/2006/relationships/ctrlProp" Target="../ctrlProps/ctrlProp93.xml"/><Relationship Id="rId22" Type="http://schemas.openxmlformats.org/officeDocument/2006/relationships/ctrlProp" Target="../ctrlProps/ctrlProp101.xml"/><Relationship Id="rId27" Type="http://schemas.openxmlformats.org/officeDocument/2006/relationships/ctrlProp" Target="../ctrlProps/ctrlProp106.xml"/><Relationship Id="rId30" Type="http://schemas.openxmlformats.org/officeDocument/2006/relationships/ctrlProp" Target="../ctrlProps/ctrlProp109.xml"/><Relationship Id="rId35" Type="http://schemas.openxmlformats.org/officeDocument/2006/relationships/ctrlProp" Target="../ctrlProps/ctrlProp114.xml"/><Relationship Id="rId43" Type="http://schemas.openxmlformats.org/officeDocument/2006/relationships/ctrlProp" Target="../ctrlProps/ctrlProp122.xml"/><Relationship Id="rId8" Type="http://schemas.openxmlformats.org/officeDocument/2006/relationships/ctrlProp" Target="../ctrlProps/ctrlProp87.xml"/><Relationship Id="rId3" Type="http://schemas.openxmlformats.org/officeDocument/2006/relationships/vmlDrawing" Target="../drawings/vmlDrawing11.vml"/><Relationship Id="rId12" Type="http://schemas.openxmlformats.org/officeDocument/2006/relationships/ctrlProp" Target="../ctrlProps/ctrlProp91.xml"/><Relationship Id="rId17" Type="http://schemas.openxmlformats.org/officeDocument/2006/relationships/ctrlProp" Target="../ctrlProps/ctrlProp96.xml"/><Relationship Id="rId25" Type="http://schemas.openxmlformats.org/officeDocument/2006/relationships/ctrlProp" Target="../ctrlProps/ctrlProp104.xml"/><Relationship Id="rId33" Type="http://schemas.openxmlformats.org/officeDocument/2006/relationships/ctrlProp" Target="../ctrlProps/ctrlProp112.xml"/><Relationship Id="rId38" Type="http://schemas.openxmlformats.org/officeDocument/2006/relationships/ctrlProp" Target="../ctrlProps/ctrlProp117.xml"/><Relationship Id="rId20" Type="http://schemas.openxmlformats.org/officeDocument/2006/relationships/ctrlProp" Target="../ctrlProps/ctrlProp99.xml"/><Relationship Id="rId41" Type="http://schemas.openxmlformats.org/officeDocument/2006/relationships/ctrlProp" Target="../ctrlProps/ctrlProp120.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21.xml"/><Relationship Id="rId1" Type="http://schemas.openxmlformats.org/officeDocument/2006/relationships/printerSettings" Target="../printerSettings/printerSettings20.bin"/><Relationship Id="rId5" Type="http://schemas.openxmlformats.org/officeDocument/2006/relationships/ctrlProp" Target="../ctrlProps/ctrlProp126.xml"/><Relationship Id="rId4" Type="http://schemas.openxmlformats.org/officeDocument/2006/relationships/ctrlProp" Target="../ctrlProps/ctrlProp125.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3.xml"/><Relationship Id="rId1" Type="http://schemas.openxmlformats.org/officeDocument/2006/relationships/printerSettings" Target="../printerSettings/printerSettings21.bin"/><Relationship Id="rId5" Type="http://schemas.openxmlformats.org/officeDocument/2006/relationships/ctrlProp" Target="../ctrlProps/ctrlProp128.xml"/><Relationship Id="rId4" Type="http://schemas.openxmlformats.org/officeDocument/2006/relationships/ctrlProp" Target="../ctrlProps/ctrlProp127.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6.xml"/><Relationship Id="rId1" Type="http://schemas.openxmlformats.org/officeDocument/2006/relationships/printerSettings" Target="../printerSettings/printerSettings23.bin"/><Relationship Id="rId5" Type="http://schemas.openxmlformats.org/officeDocument/2006/relationships/image" Target="../media/image77.emf"/><Relationship Id="rId4" Type="http://schemas.openxmlformats.org/officeDocument/2006/relationships/control" Target="../activeX/activeX15.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8" Type="http://schemas.openxmlformats.org/officeDocument/2006/relationships/ctrlProp" Target="../ctrlProps/ctrlProp133.xml"/><Relationship Id="rId13" Type="http://schemas.openxmlformats.org/officeDocument/2006/relationships/ctrlProp" Target="../ctrlProps/ctrlProp138.xml"/><Relationship Id="rId3" Type="http://schemas.openxmlformats.org/officeDocument/2006/relationships/vmlDrawing" Target="../drawings/vmlDrawing15.vml"/><Relationship Id="rId7" Type="http://schemas.openxmlformats.org/officeDocument/2006/relationships/ctrlProp" Target="../ctrlProps/ctrlProp132.xml"/><Relationship Id="rId12" Type="http://schemas.openxmlformats.org/officeDocument/2006/relationships/ctrlProp" Target="../ctrlProps/ctrlProp137.xml"/><Relationship Id="rId2" Type="http://schemas.openxmlformats.org/officeDocument/2006/relationships/drawing" Target="../drawings/drawing28.xml"/><Relationship Id="rId1" Type="http://schemas.openxmlformats.org/officeDocument/2006/relationships/printerSettings" Target="../printerSettings/printerSettings25.bin"/><Relationship Id="rId6" Type="http://schemas.openxmlformats.org/officeDocument/2006/relationships/ctrlProp" Target="../ctrlProps/ctrlProp131.xml"/><Relationship Id="rId11" Type="http://schemas.openxmlformats.org/officeDocument/2006/relationships/ctrlProp" Target="../ctrlProps/ctrlProp136.xml"/><Relationship Id="rId5" Type="http://schemas.openxmlformats.org/officeDocument/2006/relationships/ctrlProp" Target="../ctrlProps/ctrlProp130.xml"/><Relationship Id="rId10" Type="http://schemas.openxmlformats.org/officeDocument/2006/relationships/ctrlProp" Target="../ctrlProps/ctrlProp135.xml"/><Relationship Id="rId4" Type="http://schemas.openxmlformats.org/officeDocument/2006/relationships/ctrlProp" Target="../ctrlProps/ctrlProp129.xml"/><Relationship Id="rId9" Type="http://schemas.openxmlformats.org/officeDocument/2006/relationships/ctrlProp" Target="../ctrlProps/ctrlProp134.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nyserda.ny.gov/ny/disadvantaged-communities" TargetMode="External"/></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9.xml"/><Relationship Id="rId1" Type="http://schemas.openxmlformats.org/officeDocument/2006/relationships/printerSettings" Target="../printerSettings/printerSettings27.bin"/><Relationship Id="rId5" Type="http://schemas.openxmlformats.org/officeDocument/2006/relationships/image" Target="../media/image79.emf"/><Relationship Id="rId4" Type="http://schemas.openxmlformats.org/officeDocument/2006/relationships/control" Target="../activeX/activeX16.xml"/></Relationships>
</file>

<file path=xl/worksheets/_rels/sheet31.xml.rels><?xml version="1.0" encoding="UTF-8" standalone="yes"?>
<Relationships xmlns="http://schemas.openxmlformats.org/package/2006/relationships"><Relationship Id="rId13" Type="http://schemas.openxmlformats.org/officeDocument/2006/relationships/ctrlProp" Target="../ctrlProps/ctrlProp148.xml"/><Relationship Id="rId18" Type="http://schemas.openxmlformats.org/officeDocument/2006/relationships/ctrlProp" Target="../ctrlProps/ctrlProp153.xml"/><Relationship Id="rId26" Type="http://schemas.openxmlformats.org/officeDocument/2006/relationships/ctrlProp" Target="../ctrlProps/ctrlProp161.xml"/><Relationship Id="rId39" Type="http://schemas.openxmlformats.org/officeDocument/2006/relationships/ctrlProp" Target="../ctrlProps/ctrlProp174.xml"/><Relationship Id="rId21" Type="http://schemas.openxmlformats.org/officeDocument/2006/relationships/ctrlProp" Target="../ctrlProps/ctrlProp156.xml"/><Relationship Id="rId34" Type="http://schemas.openxmlformats.org/officeDocument/2006/relationships/ctrlProp" Target="../ctrlProps/ctrlProp169.xml"/><Relationship Id="rId42" Type="http://schemas.openxmlformats.org/officeDocument/2006/relationships/ctrlProp" Target="../ctrlProps/ctrlProp177.xml"/><Relationship Id="rId7" Type="http://schemas.openxmlformats.org/officeDocument/2006/relationships/ctrlProp" Target="../ctrlProps/ctrlProp142.xml"/><Relationship Id="rId2" Type="http://schemas.openxmlformats.org/officeDocument/2006/relationships/drawing" Target="../drawings/drawing30.xml"/><Relationship Id="rId16" Type="http://schemas.openxmlformats.org/officeDocument/2006/relationships/ctrlProp" Target="../ctrlProps/ctrlProp151.xml"/><Relationship Id="rId20" Type="http://schemas.openxmlformats.org/officeDocument/2006/relationships/ctrlProp" Target="../ctrlProps/ctrlProp155.xml"/><Relationship Id="rId29" Type="http://schemas.openxmlformats.org/officeDocument/2006/relationships/ctrlProp" Target="../ctrlProps/ctrlProp164.xml"/><Relationship Id="rId41" Type="http://schemas.openxmlformats.org/officeDocument/2006/relationships/ctrlProp" Target="../ctrlProps/ctrlProp176.xml"/><Relationship Id="rId1" Type="http://schemas.openxmlformats.org/officeDocument/2006/relationships/printerSettings" Target="../printerSettings/printerSettings28.bin"/><Relationship Id="rId6" Type="http://schemas.openxmlformats.org/officeDocument/2006/relationships/ctrlProp" Target="../ctrlProps/ctrlProp141.xml"/><Relationship Id="rId11" Type="http://schemas.openxmlformats.org/officeDocument/2006/relationships/ctrlProp" Target="../ctrlProps/ctrlProp146.xml"/><Relationship Id="rId24" Type="http://schemas.openxmlformats.org/officeDocument/2006/relationships/ctrlProp" Target="../ctrlProps/ctrlProp159.xml"/><Relationship Id="rId32" Type="http://schemas.openxmlformats.org/officeDocument/2006/relationships/ctrlProp" Target="../ctrlProps/ctrlProp167.xml"/><Relationship Id="rId37" Type="http://schemas.openxmlformats.org/officeDocument/2006/relationships/ctrlProp" Target="../ctrlProps/ctrlProp172.xml"/><Relationship Id="rId40" Type="http://schemas.openxmlformats.org/officeDocument/2006/relationships/ctrlProp" Target="../ctrlProps/ctrlProp175.xml"/><Relationship Id="rId5" Type="http://schemas.openxmlformats.org/officeDocument/2006/relationships/ctrlProp" Target="../ctrlProps/ctrlProp140.xml"/><Relationship Id="rId15" Type="http://schemas.openxmlformats.org/officeDocument/2006/relationships/ctrlProp" Target="../ctrlProps/ctrlProp150.xml"/><Relationship Id="rId23" Type="http://schemas.openxmlformats.org/officeDocument/2006/relationships/ctrlProp" Target="../ctrlProps/ctrlProp158.xml"/><Relationship Id="rId28" Type="http://schemas.openxmlformats.org/officeDocument/2006/relationships/ctrlProp" Target="../ctrlProps/ctrlProp163.xml"/><Relationship Id="rId36" Type="http://schemas.openxmlformats.org/officeDocument/2006/relationships/ctrlProp" Target="../ctrlProps/ctrlProp171.xml"/><Relationship Id="rId10" Type="http://schemas.openxmlformats.org/officeDocument/2006/relationships/ctrlProp" Target="../ctrlProps/ctrlProp145.xml"/><Relationship Id="rId19" Type="http://schemas.openxmlformats.org/officeDocument/2006/relationships/ctrlProp" Target="../ctrlProps/ctrlProp154.xml"/><Relationship Id="rId31" Type="http://schemas.openxmlformats.org/officeDocument/2006/relationships/ctrlProp" Target="../ctrlProps/ctrlProp166.xml"/><Relationship Id="rId44" Type="http://schemas.openxmlformats.org/officeDocument/2006/relationships/ctrlProp" Target="../ctrlProps/ctrlProp179.xml"/><Relationship Id="rId4" Type="http://schemas.openxmlformats.org/officeDocument/2006/relationships/ctrlProp" Target="../ctrlProps/ctrlProp139.xml"/><Relationship Id="rId9" Type="http://schemas.openxmlformats.org/officeDocument/2006/relationships/ctrlProp" Target="../ctrlProps/ctrlProp144.xml"/><Relationship Id="rId14" Type="http://schemas.openxmlformats.org/officeDocument/2006/relationships/ctrlProp" Target="../ctrlProps/ctrlProp149.xml"/><Relationship Id="rId22" Type="http://schemas.openxmlformats.org/officeDocument/2006/relationships/ctrlProp" Target="../ctrlProps/ctrlProp157.xml"/><Relationship Id="rId27" Type="http://schemas.openxmlformats.org/officeDocument/2006/relationships/ctrlProp" Target="../ctrlProps/ctrlProp162.xml"/><Relationship Id="rId30" Type="http://schemas.openxmlformats.org/officeDocument/2006/relationships/ctrlProp" Target="../ctrlProps/ctrlProp165.xml"/><Relationship Id="rId35" Type="http://schemas.openxmlformats.org/officeDocument/2006/relationships/ctrlProp" Target="../ctrlProps/ctrlProp170.xml"/><Relationship Id="rId43" Type="http://schemas.openxmlformats.org/officeDocument/2006/relationships/ctrlProp" Target="../ctrlProps/ctrlProp178.xml"/><Relationship Id="rId8" Type="http://schemas.openxmlformats.org/officeDocument/2006/relationships/ctrlProp" Target="../ctrlProps/ctrlProp143.xml"/><Relationship Id="rId3" Type="http://schemas.openxmlformats.org/officeDocument/2006/relationships/vmlDrawing" Target="../drawings/vmlDrawing18.vml"/><Relationship Id="rId12" Type="http://schemas.openxmlformats.org/officeDocument/2006/relationships/ctrlProp" Target="../ctrlProps/ctrlProp147.xml"/><Relationship Id="rId17" Type="http://schemas.openxmlformats.org/officeDocument/2006/relationships/ctrlProp" Target="../ctrlProps/ctrlProp152.xml"/><Relationship Id="rId25" Type="http://schemas.openxmlformats.org/officeDocument/2006/relationships/ctrlProp" Target="../ctrlProps/ctrlProp160.xml"/><Relationship Id="rId33" Type="http://schemas.openxmlformats.org/officeDocument/2006/relationships/ctrlProp" Target="../ctrlProps/ctrlProp168.xml"/><Relationship Id="rId38" Type="http://schemas.openxmlformats.org/officeDocument/2006/relationships/ctrlProp" Target="../ctrlProps/ctrlProp173.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13" Type="http://schemas.openxmlformats.org/officeDocument/2006/relationships/ctrlProp" Target="../ctrlProps/ctrlProp187.xml"/><Relationship Id="rId18" Type="http://schemas.openxmlformats.org/officeDocument/2006/relationships/ctrlProp" Target="../ctrlProps/ctrlProp192.xml"/><Relationship Id="rId26" Type="http://schemas.openxmlformats.org/officeDocument/2006/relationships/ctrlProp" Target="../ctrlProps/ctrlProp200.xml"/><Relationship Id="rId3" Type="http://schemas.openxmlformats.org/officeDocument/2006/relationships/vmlDrawing" Target="../drawings/vmlDrawing20.vml"/><Relationship Id="rId21" Type="http://schemas.openxmlformats.org/officeDocument/2006/relationships/ctrlProp" Target="../ctrlProps/ctrlProp195.xml"/><Relationship Id="rId7" Type="http://schemas.openxmlformats.org/officeDocument/2006/relationships/ctrlProp" Target="../ctrlProps/ctrlProp181.xml"/><Relationship Id="rId12" Type="http://schemas.openxmlformats.org/officeDocument/2006/relationships/ctrlProp" Target="../ctrlProps/ctrlProp186.xml"/><Relationship Id="rId17" Type="http://schemas.openxmlformats.org/officeDocument/2006/relationships/ctrlProp" Target="../ctrlProps/ctrlProp191.xml"/><Relationship Id="rId25" Type="http://schemas.openxmlformats.org/officeDocument/2006/relationships/ctrlProp" Target="../ctrlProps/ctrlProp199.xml"/><Relationship Id="rId33" Type="http://schemas.openxmlformats.org/officeDocument/2006/relationships/ctrlProp" Target="../ctrlProps/ctrlProp207.xml"/><Relationship Id="rId2" Type="http://schemas.openxmlformats.org/officeDocument/2006/relationships/drawing" Target="../drawings/drawing32.xml"/><Relationship Id="rId16" Type="http://schemas.openxmlformats.org/officeDocument/2006/relationships/ctrlProp" Target="../ctrlProps/ctrlProp190.xml"/><Relationship Id="rId20" Type="http://schemas.openxmlformats.org/officeDocument/2006/relationships/ctrlProp" Target="../ctrlProps/ctrlProp194.xml"/><Relationship Id="rId29" Type="http://schemas.openxmlformats.org/officeDocument/2006/relationships/ctrlProp" Target="../ctrlProps/ctrlProp203.xml"/><Relationship Id="rId1" Type="http://schemas.openxmlformats.org/officeDocument/2006/relationships/printerSettings" Target="../printerSettings/printerSettings32.bin"/><Relationship Id="rId6" Type="http://schemas.openxmlformats.org/officeDocument/2006/relationships/ctrlProp" Target="../ctrlProps/ctrlProp180.xml"/><Relationship Id="rId11" Type="http://schemas.openxmlformats.org/officeDocument/2006/relationships/ctrlProp" Target="../ctrlProps/ctrlProp185.xml"/><Relationship Id="rId24" Type="http://schemas.openxmlformats.org/officeDocument/2006/relationships/ctrlProp" Target="../ctrlProps/ctrlProp198.xml"/><Relationship Id="rId32" Type="http://schemas.openxmlformats.org/officeDocument/2006/relationships/ctrlProp" Target="../ctrlProps/ctrlProp206.xml"/><Relationship Id="rId5" Type="http://schemas.openxmlformats.org/officeDocument/2006/relationships/image" Target="../media/image94.emf"/><Relationship Id="rId15" Type="http://schemas.openxmlformats.org/officeDocument/2006/relationships/ctrlProp" Target="../ctrlProps/ctrlProp189.xml"/><Relationship Id="rId23" Type="http://schemas.openxmlformats.org/officeDocument/2006/relationships/ctrlProp" Target="../ctrlProps/ctrlProp197.xml"/><Relationship Id="rId28" Type="http://schemas.openxmlformats.org/officeDocument/2006/relationships/ctrlProp" Target="../ctrlProps/ctrlProp202.xml"/><Relationship Id="rId10" Type="http://schemas.openxmlformats.org/officeDocument/2006/relationships/ctrlProp" Target="../ctrlProps/ctrlProp184.xml"/><Relationship Id="rId19" Type="http://schemas.openxmlformats.org/officeDocument/2006/relationships/ctrlProp" Target="../ctrlProps/ctrlProp193.xml"/><Relationship Id="rId31" Type="http://schemas.openxmlformats.org/officeDocument/2006/relationships/ctrlProp" Target="../ctrlProps/ctrlProp205.xml"/><Relationship Id="rId4" Type="http://schemas.openxmlformats.org/officeDocument/2006/relationships/control" Target="../activeX/activeX17.xml"/><Relationship Id="rId9" Type="http://schemas.openxmlformats.org/officeDocument/2006/relationships/ctrlProp" Target="../ctrlProps/ctrlProp183.xml"/><Relationship Id="rId14" Type="http://schemas.openxmlformats.org/officeDocument/2006/relationships/ctrlProp" Target="../ctrlProps/ctrlProp188.xml"/><Relationship Id="rId22" Type="http://schemas.openxmlformats.org/officeDocument/2006/relationships/ctrlProp" Target="../ctrlProps/ctrlProp196.xml"/><Relationship Id="rId27" Type="http://schemas.openxmlformats.org/officeDocument/2006/relationships/ctrlProp" Target="../ctrlProps/ctrlProp201.xml"/><Relationship Id="rId30" Type="http://schemas.openxmlformats.org/officeDocument/2006/relationships/ctrlProp" Target="../ctrlProps/ctrlProp204.xml"/><Relationship Id="rId8" Type="http://schemas.openxmlformats.org/officeDocument/2006/relationships/ctrlProp" Target="../ctrlProps/ctrlProp182.xml"/></Relationships>
</file>

<file path=xl/worksheets/_rels/sheet37.xml.rels><?xml version="1.0" encoding="UTF-8" standalone="yes"?>
<Relationships xmlns="http://schemas.openxmlformats.org/package/2006/relationships"><Relationship Id="rId13" Type="http://schemas.openxmlformats.org/officeDocument/2006/relationships/image" Target="../media/image99.emf"/><Relationship Id="rId18" Type="http://schemas.openxmlformats.org/officeDocument/2006/relationships/ctrlProp" Target="../ctrlProps/ctrlProp212.xml"/><Relationship Id="rId26" Type="http://schemas.openxmlformats.org/officeDocument/2006/relationships/ctrlProp" Target="../ctrlProps/ctrlProp220.xml"/><Relationship Id="rId39" Type="http://schemas.openxmlformats.org/officeDocument/2006/relationships/ctrlProp" Target="../ctrlProps/ctrlProp233.xml"/><Relationship Id="rId21" Type="http://schemas.openxmlformats.org/officeDocument/2006/relationships/ctrlProp" Target="../ctrlProps/ctrlProp215.xml"/><Relationship Id="rId34" Type="http://schemas.openxmlformats.org/officeDocument/2006/relationships/ctrlProp" Target="../ctrlProps/ctrlProp228.xml"/><Relationship Id="rId42" Type="http://schemas.openxmlformats.org/officeDocument/2006/relationships/ctrlProp" Target="../ctrlProps/ctrlProp236.xml"/><Relationship Id="rId47" Type="http://schemas.openxmlformats.org/officeDocument/2006/relationships/ctrlProp" Target="../ctrlProps/ctrlProp241.xml"/><Relationship Id="rId7" Type="http://schemas.openxmlformats.org/officeDocument/2006/relationships/image" Target="../media/image96.emf"/><Relationship Id="rId2" Type="http://schemas.openxmlformats.org/officeDocument/2006/relationships/drawing" Target="../drawings/drawing33.xml"/><Relationship Id="rId16" Type="http://schemas.openxmlformats.org/officeDocument/2006/relationships/ctrlProp" Target="../ctrlProps/ctrlProp210.xml"/><Relationship Id="rId29" Type="http://schemas.openxmlformats.org/officeDocument/2006/relationships/ctrlProp" Target="../ctrlProps/ctrlProp223.xml"/><Relationship Id="rId1" Type="http://schemas.openxmlformats.org/officeDocument/2006/relationships/printerSettings" Target="../printerSettings/printerSettings33.bin"/><Relationship Id="rId6" Type="http://schemas.openxmlformats.org/officeDocument/2006/relationships/control" Target="../activeX/activeX19.xml"/><Relationship Id="rId11" Type="http://schemas.openxmlformats.org/officeDocument/2006/relationships/image" Target="../media/image98.emf"/><Relationship Id="rId24" Type="http://schemas.openxmlformats.org/officeDocument/2006/relationships/ctrlProp" Target="../ctrlProps/ctrlProp218.xml"/><Relationship Id="rId32" Type="http://schemas.openxmlformats.org/officeDocument/2006/relationships/ctrlProp" Target="../ctrlProps/ctrlProp226.xml"/><Relationship Id="rId37" Type="http://schemas.openxmlformats.org/officeDocument/2006/relationships/ctrlProp" Target="../ctrlProps/ctrlProp231.xml"/><Relationship Id="rId40" Type="http://schemas.openxmlformats.org/officeDocument/2006/relationships/ctrlProp" Target="../ctrlProps/ctrlProp234.xml"/><Relationship Id="rId45" Type="http://schemas.openxmlformats.org/officeDocument/2006/relationships/ctrlProp" Target="../ctrlProps/ctrlProp239.xml"/><Relationship Id="rId5" Type="http://schemas.openxmlformats.org/officeDocument/2006/relationships/image" Target="../media/image95.emf"/><Relationship Id="rId15" Type="http://schemas.openxmlformats.org/officeDocument/2006/relationships/ctrlProp" Target="../ctrlProps/ctrlProp209.xml"/><Relationship Id="rId23" Type="http://schemas.openxmlformats.org/officeDocument/2006/relationships/ctrlProp" Target="../ctrlProps/ctrlProp217.xml"/><Relationship Id="rId28" Type="http://schemas.openxmlformats.org/officeDocument/2006/relationships/ctrlProp" Target="../ctrlProps/ctrlProp222.xml"/><Relationship Id="rId36" Type="http://schemas.openxmlformats.org/officeDocument/2006/relationships/ctrlProp" Target="../ctrlProps/ctrlProp230.xml"/><Relationship Id="rId10" Type="http://schemas.openxmlformats.org/officeDocument/2006/relationships/control" Target="../activeX/activeX21.xml"/><Relationship Id="rId19" Type="http://schemas.openxmlformats.org/officeDocument/2006/relationships/ctrlProp" Target="../ctrlProps/ctrlProp213.xml"/><Relationship Id="rId31" Type="http://schemas.openxmlformats.org/officeDocument/2006/relationships/ctrlProp" Target="../ctrlProps/ctrlProp225.xml"/><Relationship Id="rId44" Type="http://schemas.openxmlformats.org/officeDocument/2006/relationships/ctrlProp" Target="../ctrlProps/ctrlProp238.xml"/><Relationship Id="rId4" Type="http://schemas.openxmlformats.org/officeDocument/2006/relationships/control" Target="../activeX/activeX18.xml"/><Relationship Id="rId9" Type="http://schemas.openxmlformats.org/officeDocument/2006/relationships/image" Target="../media/image97.emf"/><Relationship Id="rId14" Type="http://schemas.openxmlformats.org/officeDocument/2006/relationships/ctrlProp" Target="../ctrlProps/ctrlProp208.xml"/><Relationship Id="rId22" Type="http://schemas.openxmlformats.org/officeDocument/2006/relationships/ctrlProp" Target="../ctrlProps/ctrlProp216.xml"/><Relationship Id="rId27" Type="http://schemas.openxmlformats.org/officeDocument/2006/relationships/ctrlProp" Target="../ctrlProps/ctrlProp221.xml"/><Relationship Id="rId30" Type="http://schemas.openxmlformats.org/officeDocument/2006/relationships/ctrlProp" Target="../ctrlProps/ctrlProp224.xml"/><Relationship Id="rId35" Type="http://schemas.openxmlformats.org/officeDocument/2006/relationships/ctrlProp" Target="../ctrlProps/ctrlProp229.xml"/><Relationship Id="rId43" Type="http://schemas.openxmlformats.org/officeDocument/2006/relationships/ctrlProp" Target="../ctrlProps/ctrlProp237.xml"/><Relationship Id="rId48" Type="http://schemas.openxmlformats.org/officeDocument/2006/relationships/ctrlProp" Target="../ctrlProps/ctrlProp242.xml"/><Relationship Id="rId8" Type="http://schemas.openxmlformats.org/officeDocument/2006/relationships/control" Target="../activeX/activeX20.xml"/><Relationship Id="rId3" Type="http://schemas.openxmlformats.org/officeDocument/2006/relationships/vmlDrawing" Target="../drawings/vmlDrawing21.vml"/><Relationship Id="rId12" Type="http://schemas.openxmlformats.org/officeDocument/2006/relationships/control" Target="../activeX/activeX22.xml"/><Relationship Id="rId17" Type="http://schemas.openxmlformats.org/officeDocument/2006/relationships/ctrlProp" Target="../ctrlProps/ctrlProp211.xml"/><Relationship Id="rId25" Type="http://schemas.openxmlformats.org/officeDocument/2006/relationships/ctrlProp" Target="../ctrlProps/ctrlProp219.xml"/><Relationship Id="rId33" Type="http://schemas.openxmlformats.org/officeDocument/2006/relationships/ctrlProp" Target="../ctrlProps/ctrlProp227.xml"/><Relationship Id="rId38" Type="http://schemas.openxmlformats.org/officeDocument/2006/relationships/ctrlProp" Target="../ctrlProps/ctrlProp232.xml"/><Relationship Id="rId46" Type="http://schemas.openxmlformats.org/officeDocument/2006/relationships/ctrlProp" Target="../ctrlProps/ctrlProp240.xml"/><Relationship Id="rId20" Type="http://schemas.openxmlformats.org/officeDocument/2006/relationships/ctrlProp" Target="../ctrlProps/ctrlProp214.xml"/><Relationship Id="rId41" Type="http://schemas.openxmlformats.org/officeDocument/2006/relationships/ctrlProp" Target="../ctrlProps/ctrlProp235.xml"/></Relationships>
</file>

<file path=xl/worksheets/_rels/sheet38.xml.rels><?xml version="1.0" encoding="UTF-8" standalone="yes"?>
<Relationships xmlns="http://schemas.openxmlformats.org/package/2006/relationships"><Relationship Id="rId13" Type="http://schemas.openxmlformats.org/officeDocument/2006/relationships/image" Target="../media/image104.emf"/><Relationship Id="rId18" Type="http://schemas.openxmlformats.org/officeDocument/2006/relationships/ctrlProp" Target="../ctrlProps/ctrlProp247.xml"/><Relationship Id="rId26" Type="http://schemas.openxmlformats.org/officeDocument/2006/relationships/ctrlProp" Target="../ctrlProps/ctrlProp255.xml"/><Relationship Id="rId3" Type="http://schemas.openxmlformats.org/officeDocument/2006/relationships/vmlDrawing" Target="../drawings/vmlDrawing22.vml"/><Relationship Id="rId21" Type="http://schemas.openxmlformats.org/officeDocument/2006/relationships/ctrlProp" Target="../ctrlProps/ctrlProp250.xml"/><Relationship Id="rId34" Type="http://schemas.openxmlformats.org/officeDocument/2006/relationships/ctrlProp" Target="../ctrlProps/ctrlProp263.xml"/><Relationship Id="rId7" Type="http://schemas.openxmlformats.org/officeDocument/2006/relationships/image" Target="../media/image101.emf"/><Relationship Id="rId12" Type="http://schemas.openxmlformats.org/officeDocument/2006/relationships/control" Target="../activeX/activeX27.xml"/><Relationship Id="rId17" Type="http://schemas.openxmlformats.org/officeDocument/2006/relationships/ctrlProp" Target="../ctrlProps/ctrlProp246.xml"/><Relationship Id="rId25" Type="http://schemas.openxmlformats.org/officeDocument/2006/relationships/ctrlProp" Target="../ctrlProps/ctrlProp254.xml"/><Relationship Id="rId33" Type="http://schemas.openxmlformats.org/officeDocument/2006/relationships/ctrlProp" Target="../ctrlProps/ctrlProp262.xml"/><Relationship Id="rId2" Type="http://schemas.openxmlformats.org/officeDocument/2006/relationships/drawing" Target="../drawings/drawing34.xml"/><Relationship Id="rId16" Type="http://schemas.openxmlformats.org/officeDocument/2006/relationships/ctrlProp" Target="../ctrlProps/ctrlProp245.xml"/><Relationship Id="rId20" Type="http://schemas.openxmlformats.org/officeDocument/2006/relationships/ctrlProp" Target="../ctrlProps/ctrlProp249.xml"/><Relationship Id="rId29" Type="http://schemas.openxmlformats.org/officeDocument/2006/relationships/ctrlProp" Target="../ctrlProps/ctrlProp258.xml"/><Relationship Id="rId1" Type="http://schemas.openxmlformats.org/officeDocument/2006/relationships/printerSettings" Target="../printerSettings/printerSettings34.bin"/><Relationship Id="rId6" Type="http://schemas.openxmlformats.org/officeDocument/2006/relationships/control" Target="../activeX/activeX24.xml"/><Relationship Id="rId11" Type="http://schemas.openxmlformats.org/officeDocument/2006/relationships/image" Target="../media/image103.emf"/><Relationship Id="rId24" Type="http://schemas.openxmlformats.org/officeDocument/2006/relationships/ctrlProp" Target="../ctrlProps/ctrlProp253.xml"/><Relationship Id="rId32" Type="http://schemas.openxmlformats.org/officeDocument/2006/relationships/ctrlProp" Target="../ctrlProps/ctrlProp261.xml"/><Relationship Id="rId5" Type="http://schemas.openxmlformats.org/officeDocument/2006/relationships/image" Target="../media/image100.emf"/><Relationship Id="rId15" Type="http://schemas.openxmlformats.org/officeDocument/2006/relationships/ctrlProp" Target="../ctrlProps/ctrlProp244.xml"/><Relationship Id="rId23" Type="http://schemas.openxmlformats.org/officeDocument/2006/relationships/ctrlProp" Target="../ctrlProps/ctrlProp252.xml"/><Relationship Id="rId28" Type="http://schemas.openxmlformats.org/officeDocument/2006/relationships/ctrlProp" Target="../ctrlProps/ctrlProp257.xml"/><Relationship Id="rId10" Type="http://schemas.openxmlformats.org/officeDocument/2006/relationships/control" Target="../activeX/activeX26.xml"/><Relationship Id="rId19" Type="http://schemas.openxmlformats.org/officeDocument/2006/relationships/ctrlProp" Target="../ctrlProps/ctrlProp248.xml"/><Relationship Id="rId31" Type="http://schemas.openxmlformats.org/officeDocument/2006/relationships/ctrlProp" Target="../ctrlProps/ctrlProp260.xml"/><Relationship Id="rId4" Type="http://schemas.openxmlformats.org/officeDocument/2006/relationships/control" Target="../activeX/activeX23.xml"/><Relationship Id="rId9" Type="http://schemas.openxmlformats.org/officeDocument/2006/relationships/image" Target="../media/image102.emf"/><Relationship Id="rId14" Type="http://schemas.openxmlformats.org/officeDocument/2006/relationships/ctrlProp" Target="../ctrlProps/ctrlProp243.xml"/><Relationship Id="rId22" Type="http://schemas.openxmlformats.org/officeDocument/2006/relationships/ctrlProp" Target="../ctrlProps/ctrlProp251.xml"/><Relationship Id="rId27" Type="http://schemas.openxmlformats.org/officeDocument/2006/relationships/ctrlProp" Target="../ctrlProps/ctrlProp256.xml"/><Relationship Id="rId30" Type="http://schemas.openxmlformats.org/officeDocument/2006/relationships/ctrlProp" Target="../ctrlProps/ctrlProp259.xml"/><Relationship Id="rId8" Type="http://schemas.openxmlformats.org/officeDocument/2006/relationships/control" Target="../activeX/activeX25.xml"/></Relationships>
</file>

<file path=xl/worksheets/_rels/sheet39.xml.rels><?xml version="1.0" encoding="UTF-8" standalone="yes"?>
<Relationships xmlns="http://schemas.openxmlformats.org/package/2006/relationships"><Relationship Id="rId13" Type="http://schemas.openxmlformats.org/officeDocument/2006/relationships/image" Target="../media/image109.emf"/><Relationship Id="rId18" Type="http://schemas.openxmlformats.org/officeDocument/2006/relationships/ctrlProp" Target="../ctrlProps/ctrlProp268.xml"/><Relationship Id="rId26" Type="http://schemas.openxmlformats.org/officeDocument/2006/relationships/ctrlProp" Target="../ctrlProps/ctrlProp276.xml"/><Relationship Id="rId39" Type="http://schemas.openxmlformats.org/officeDocument/2006/relationships/ctrlProp" Target="../ctrlProps/ctrlProp289.xml"/><Relationship Id="rId21" Type="http://schemas.openxmlformats.org/officeDocument/2006/relationships/ctrlProp" Target="../ctrlProps/ctrlProp271.xml"/><Relationship Id="rId34" Type="http://schemas.openxmlformats.org/officeDocument/2006/relationships/ctrlProp" Target="../ctrlProps/ctrlProp284.xml"/><Relationship Id="rId42" Type="http://schemas.openxmlformats.org/officeDocument/2006/relationships/ctrlProp" Target="../ctrlProps/ctrlProp292.xml"/><Relationship Id="rId7" Type="http://schemas.openxmlformats.org/officeDocument/2006/relationships/image" Target="../media/image106.emf"/><Relationship Id="rId2" Type="http://schemas.openxmlformats.org/officeDocument/2006/relationships/drawing" Target="../drawings/drawing35.xml"/><Relationship Id="rId16" Type="http://schemas.openxmlformats.org/officeDocument/2006/relationships/ctrlProp" Target="../ctrlProps/ctrlProp266.xml"/><Relationship Id="rId20" Type="http://schemas.openxmlformats.org/officeDocument/2006/relationships/ctrlProp" Target="../ctrlProps/ctrlProp270.xml"/><Relationship Id="rId29" Type="http://schemas.openxmlformats.org/officeDocument/2006/relationships/ctrlProp" Target="../ctrlProps/ctrlProp279.xml"/><Relationship Id="rId41" Type="http://schemas.openxmlformats.org/officeDocument/2006/relationships/ctrlProp" Target="../ctrlProps/ctrlProp291.xml"/><Relationship Id="rId1" Type="http://schemas.openxmlformats.org/officeDocument/2006/relationships/printerSettings" Target="../printerSettings/printerSettings35.bin"/><Relationship Id="rId6" Type="http://schemas.openxmlformats.org/officeDocument/2006/relationships/control" Target="../activeX/activeX29.xml"/><Relationship Id="rId11" Type="http://schemas.openxmlformats.org/officeDocument/2006/relationships/image" Target="../media/image108.emf"/><Relationship Id="rId24" Type="http://schemas.openxmlformats.org/officeDocument/2006/relationships/ctrlProp" Target="../ctrlProps/ctrlProp274.xml"/><Relationship Id="rId32" Type="http://schemas.openxmlformats.org/officeDocument/2006/relationships/ctrlProp" Target="../ctrlProps/ctrlProp282.xml"/><Relationship Id="rId37" Type="http://schemas.openxmlformats.org/officeDocument/2006/relationships/ctrlProp" Target="../ctrlProps/ctrlProp287.xml"/><Relationship Id="rId40" Type="http://schemas.openxmlformats.org/officeDocument/2006/relationships/ctrlProp" Target="../ctrlProps/ctrlProp290.xml"/><Relationship Id="rId5" Type="http://schemas.openxmlformats.org/officeDocument/2006/relationships/image" Target="../media/image105.emf"/><Relationship Id="rId15" Type="http://schemas.openxmlformats.org/officeDocument/2006/relationships/ctrlProp" Target="../ctrlProps/ctrlProp265.xml"/><Relationship Id="rId23" Type="http://schemas.openxmlformats.org/officeDocument/2006/relationships/ctrlProp" Target="../ctrlProps/ctrlProp273.xml"/><Relationship Id="rId28" Type="http://schemas.openxmlformats.org/officeDocument/2006/relationships/ctrlProp" Target="../ctrlProps/ctrlProp278.xml"/><Relationship Id="rId36" Type="http://schemas.openxmlformats.org/officeDocument/2006/relationships/ctrlProp" Target="../ctrlProps/ctrlProp286.xml"/><Relationship Id="rId10" Type="http://schemas.openxmlformats.org/officeDocument/2006/relationships/control" Target="../activeX/activeX31.xml"/><Relationship Id="rId19" Type="http://schemas.openxmlformats.org/officeDocument/2006/relationships/ctrlProp" Target="../ctrlProps/ctrlProp269.xml"/><Relationship Id="rId31" Type="http://schemas.openxmlformats.org/officeDocument/2006/relationships/ctrlProp" Target="../ctrlProps/ctrlProp281.xml"/><Relationship Id="rId4" Type="http://schemas.openxmlformats.org/officeDocument/2006/relationships/control" Target="../activeX/activeX28.xml"/><Relationship Id="rId9" Type="http://schemas.openxmlformats.org/officeDocument/2006/relationships/image" Target="../media/image107.emf"/><Relationship Id="rId14" Type="http://schemas.openxmlformats.org/officeDocument/2006/relationships/ctrlProp" Target="../ctrlProps/ctrlProp264.xml"/><Relationship Id="rId22" Type="http://schemas.openxmlformats.org/officeDocument/2006/relationships/ctrlProp" Target="../ctrlProps/ctrlProp272.xml"/><Relationship Id="rId27" Type="http://schemas.openxmlformats.org/officeDocument/2006/relationships/ctrlProp" Target="../ctrlProps/ctrlProp277.xml"/><Relationship Id="rId30" Type="http://schemas.openxmlformats.org/officeDocument/2006/relationships/ctrlProp" Target="../ctrlProps/ctrlProp280.xml"/><Relationship Id="rId35" Type="http://schemas.openxmlformats.org/officeDocument/2006/relationships/ctrlProp" Target="../ctrlProps/ctrlProp285.xml"/><Relationship Id="rId8" Type="http://schemas.openxmlformats.org/officeDocument/2006/relationships/control" Target="../activeX/activeX30.xml"/><Relationship Id="rId3" Type="http://schemas.openxmlformats.org/officeDocument/2006/relationships/vmlDrawing" Target="../drawings/vmlDrawing23.vml"/><Relationship Id="rId12" Type="http://schemas.openxmlformats.org/officeDocument/2006/relationships/control" Target="../activeX/activeX32.xml"/><Relationship Id="rId17" Type="http://schemas.openxmlformats.org/officeDocument/2006/relationships/ctrlProp" Target="../ctrlProps/ctrlProp267.xml"/><Relationship Id="rId25" Type="http://schemas.openxmlformats.org/officeDocument/2006/relationships/ctrlProp" Target="../ctrlProps/ctrlProp275.xml"/><Relationship Id="rId33" Type="http://schemas.openxmlformats.org/officeDocument/2006/relationships/ctrlProp" Target="../ctrlProps/ctrlProp283.xml"/><Relationship Id="rId38" Type="http://schemas.openxmlformats.org/officeDocument/2006/relationships/ctrlProp" Target="../ctrlProps/ctrlProp288.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3" Type="http://schemas.openxmlformats.org/officeDocument/2006/relationships/image" Target="../media/image114.emf"/><Relationship Id="rId18" Type="http://schemas.openxmlformats.org/officeDocument/2006/relationships/ctrlProp" Target="../ctrlProps/ctrlProp297.xml"/><Relationship Id="rId26" Type="http://schemas.openxmlformats.org/officeDocument/2006/relationships/ctrlProp" Target="../ctrlProps/ctrlProp305.xml"/><Relationship Id="rId39" Type="http://schemas.openxmlformats.org/officeDocument/2006/relationships/ctrlProp" Target="../ctrlProps/ctrlProp318.xml"/><Relationship Id="rId21" Type="http://schemas.openxmlformats.org/officeDocument/2006/relationships/ctrlProp" Target="../ctrlProps/ctrlProp300.xml"/><Relationship Id="rId34" Type="http://schemas.openxmlformats.org/officeDocument/2006/relationships/ctrlProp" Target="../ctrlProps/ctrlProp313.xml"/><Relationship Id="rId42" Type="http://schemas.openxmlformats.org/officeDocument/2006/relationships/ctrlProp" Target="../ctrlProps/ctrlProp321.xml"/><Relationship Id="rId7" Type="http://schemas.openxmlformats.org/officeDocument/2006/relationships/image" Target="../media/image111.emf"/><Relationship Id="rId2" Type="http://schemas.openxmlformats.org/officeDocument/2006/relationships/drawing" Target="../drawings/drawing36.xml"/><Relationship Id="rId16" Type="http://schemas.openxmlformats.org/officeDocument/2006/relationships/ctrlProp" Target="../ctrlProps/ctrlProp295.xml"/><Relationship Id="rId20" Type="http://schemas.openxmlformats.org/officeDocument/2006/relationships/ctrlProp" Target="../ctrlProps/ctrlProp299.xml"/><Relationship Id="rId29" Type="http://schemas.openxmlformats.org/officeDocument/2006/relationships/ctrlProp" Target="../ctrlProps/ctrlProp308.xml"/><Relationship Id="rId41" Type="http://schemas.openxmlformats.org/officeDocument/2006/relationships/ctrlProp" Target="../ctrlProps/ctrlProp320.xml"/><Relationship Id="rId1" Type="http://schemas.openxmlformats.org/officeDocument/2006/relationships/printerSettings" Target="../printerSettings/printerSettings36.bin"/><Relationship Id="rId6" Type="http://schemas.openxmlformats.org/officeDocument/2006/relationships/control" Target="../activeX/activeX34.xml"/><Relationship Id="rId11" Type="http://schemas.openxmlformats.org/officeDocument/2006/relationships/image" Target="../media/image113.emf"/><Relationship Id="rId24" Type="http://schemas.openxmlformats.org/officeDocument/2006/relationships/ctrlProp" Target="../ctrlProps/ctrlProp303.xml"/><Relationship Id="rId32" Type="http://schemas.openxmlformats.org/officeDocument/2006/relationships/ctrlProp" Target="../ctrlProps/ctrlProp311.xml"/><Relationship Id="rId37" Type="http://schemas.openxmlformats.org/officeDocument/2006/relationships/ctrlProp" Target="../ctrlProps/ctrlProp316.xml"/><Relationship Id="rId40" Type="http://schemas.openxmlformats.org/officeDocument/2006/relationships/ctrlProp" Target="../ctrlProps/ctrlProp319.xml"/><Relationship Id="rId5" Type="http://schemas.openxmlformats.org/officeDocument/2006/relationships/image" Target="../media/image110.emf"/><Relationship Id="rId15" Type="http://schemas.openxmlformats.org/officeDocument/2006/relationships/ctrlProp" Target="../ctrlProps/ctrlProp294.xml"/><Relationship Id="rId23" Type="http://schemas.openxmlformats.org/officeDocument/2006/relationships/ctrlProp" Target="../ctrlProps/ctrlProp302.xml"/><Relationship Id="rId28" Type="http://schemas.openxmlformats.org/officeDocument/2006/relationships/ctrlProp" Target="../ctrlProps/ctrlProp307.xml"/><Relationship Id="rId36" Type="http://schemas.openxmlformats.org/officeDocument/2006/relationships/ctrlProp" Target="../ctrlProps/ctrlProp315.xml"/><Relationship Id="rId10" Type="http://schemas.openxmlformats.org/officeDocument/2006/relationships/control" Target="../activeX/activeX36.xml"/><Relationship Id="rId19" Type="http://schemas.openxmlformats.org/officeDocument/2006/relationships/ctrlProp" Target="../ctrlProps/ctrlProp298.xml"/><Relationship Id="rId31" Type="http://schemas.openxmlformats.org/officeDocument/2006/relationships/ctrlProp" Target="../ctrlProps/ctrlProp310.xml"/><Relationship Id="rId4" Type="http://schemas.openxmlformats.org/officeDocument/2006/relationships/control" Target="../activeX/activeX33.xml"/><Relationship Id="rId9" Type="http://schemas.openxmlformats.org/officeDocument/2006/relationships/image" Target="../media/image112.emf"/><Relationship Id="rId14" Type="http://schemas.openxmlformats.org/officeDocument/2006/relationships/ctrlProp" Target="../ctrlProps/ctrlProp293.xml"/><Relationship Id="rId22" Type="http://schemas.openxmlformats.org/officeDocument/2006/relationships/ctrlProp" Target="../ctrlProps/ctrlProp301.xml"/><Relationship Id="rId27" Type="http://schemas.openxmlformats.org/officeDocument/2006/relationships/ctrlProp" Target="../ctrlProps/ctrlProp306.xml"/><Relationship Id="rId30" Type="http://schemas.openxmlformats.org/officeDocument/2006/relationships/ctrlProp" Target="../ctrlProps/ctrlProp309.xml"/><Relationship Id="rId35" Type="http://schemas.openxmlformats.org/officeDocument/2006/relationships/ctrlProp" Target="../ctrlProps/ctrlProp314.xml"/><Relationship Id="rId8" Type="http://schemas.openxmlformats.org/officeDocument/2006/relationships/control" Target="../activeX/activeX35.xml"/><Relationship Id="rId3" Type="http://schemas.openxmlformats.org/officeDocument/2006/relationships/vmlDrawing" Target="../drawings/vmlDrawing24.vml"/><Relationship Id="rId12" Type="http://schemas.openxmlformats.org/officeDocument/2006/relationships/control" Target="../activeX/activeX37.xml"/><Relationship Id="rId17" Type="http://schemas.openxmlformats.org/officeDocument/2006/relationships/ctrlProp" Target="../ctrlProps/ctrlProp296.xml"/><Relationship Id="rId25" Type="http://schemas.openxmlformats.org/officeDocument/2006/relationships/ctrlProp" Target="../ctrlProps/ctrlProp304.xml"/><Relationship Id="rId33" Type="http://schemas.openxmlformats.org/officeDocument/2006/relationships/ctrlProp" Target="../ctrlProps/ctrlProp312.xml"/><Relationship Id="rId38" Type="http://schemas.openxmlformats.org/officeDocument/2006/relationships/ctrlProp" Target="../ctrlProps/ctrlProp317.xml"/></Relationships>
</file>

<file path=xl/worksheets/_rels/sheet41.xml.rels><?xml version="1.0" encoding="UTF-8" standalone="yes"?>
<Relationships xmlns="http://schemas.openxmlformats.org/package/2006/relationships"><Relationship Id="rId13" Type="http://schemas.openxmlformats.org/officeDocument/2006/relationships/image" Target="../media/image119.emf"/><Relationship Id="rId18" Type="http://schemas.openxmlformats.org/officeDocument/2006/relationships/ctrlProp" Target="../ctrlProps/ctrlProp326.xml"/><Relationship Id="rId26" Type="http://schemas.openxmlformats.org/officeDocument/2006/relationships/ctrlProp" Target="../ctrlProps/ctrlProp334.xml"/><Relationship Id="rId39" Type="http://schemas.openxmlformats.org/officeDocument/2006/relationships/ctrlProp" Target="../ctrlProps/ctrlProp347.xml"/><Relationship Id="rId21" Type="http://schemas.openxmlformats.org/officeDocument/2006/relationships/ctrlProp" Target="../ctrlProps/ctrlProp329.xml"/><Relationship Id="rId34" Type="http://schemas.openxmlformats.org/officeDocument/2006/relationships/ctrlProp" Target="../ctrlProps/ctrlProp342.xml"/><Relationship Id="rId42" Type="http://schemas.openxmlformats.org/officeDocument/2006/relationships/ctrlProp" Target="../ctrlProps/ctrlProp350.xml"/><Relationship Id="rId7" Type="http://schemas.openxmlformats.org/officeDocument/2006/relationships/image" Target="../media/image116.emf"/><Relationship Id="rId2" Type="http://schemas.openxmlformats.org/officeDocument/2006/relationships/drawing" Target="../drawings/drawing37.xml"/><Relationship Id="rId16" Type="http://schemas.openxmlformats.org/officeDocument/2006/relationships/ctrlProp" Target="../ctrlProps/ctrlProp324.xml"/><Relationship Id="rId20" Type="http://schemas.openxmlformats.org/officeDocument/2006/relationships/ctrlProp" Target="../ctrlProps/ctrlProp328.xml"/><Relationship Id="rId29" Type="http://schemas.openxmlformats.org/officeDocument/2006/relationships/ctrlProp" Target="../ctrlProps/ctrlProp337.xml"/><Relationship Id="rId41" Type="http://schemas.openxmlformats.org/officeDocument/2006/relationships/ctrlProp" Target="../ctrlProps/ctrlProp349.xml"/><Relationship Id="rId1" Type="http://schemas.openxmlformats.org/officeDocument/2006/relationships/printerSettings" Target="../printerSettings/printerSettings37.bin"/><Relationship Id="rId6" Type="http://schemas.openxmlformats.org/officeDocument/2006/relationships/control" Target="../activeX/activeX39.xml"/><Relationship Id="rId11" Type="http://schemas.openxmlformats.org/officeDocument/2006/relationships/image" Target="../media/image118.emf"/><Relationship Id="rId24" Type="http://schemas.openxmlformats.org/officeDocument/2006/relationships/ctrlProp" Target="../ctrlProps/ctrlProp332.xml"/><Relationship Id="rId32" Type="http://schemas.openxmlformats.org/officeDocument/2006/relationships/ctrlProp" Target="../ctrlProps/ctrlProp340.xml"/><Relationship Id="rId37" Type="http://schemas.openxmlformats.org/officeDocument/2006/relationships/ctrlProp" Target="../ctrlProps/ctrlProp345.xml"/><Relationship Id="rId40" Type="http://schemas.openxmlformats.org/officeDocument/2006/relationships/ctrlProp" Target="../ctrlProps/ctrlProp348.xml"/><Relationship Id="rId5" Type="http://schemas.openxmlformats.org/officeDocument/2006/relationships/image" Target="../media/image115.emf"/><Relationship Id="rId15" Type="http://schemas.openxmlformats.org/officeDocument/2006/relationships/ctrlProp" Target="../ctrlProps/ctrlProp323.xml"/><Relationship Id="rId23" Type="http://schemas.openxmlformats.org/officeDocument/2006/relationships/ctrlProp" Target="../ctrlProps/ctrlProp331.xml"/><Relationship Id="rId28" Type="http://schemas.openxmlformats.org/officeDocument/2006/relationships/ctrlProp" Target="../ctrlProps/ctrlProp336.xml"/><Relationship Id="rId36" Type="http://schemas.openxmlformats.org/officeDocument/2006/relationships/ctrlProp" Target="../ctrlProps/ctrlProp344.xml"/><Relationship Id="rId10" Type="http://schemas.openxmlformats.org/officeDocument/2006/relationships/control" Target="../activeX/activeX41.xml"/><Relationship Id="rId19" Type="http://schemas.openxmlformats.org/officeDocument/2006/relationships/ctrlProp" Target="../ctrlProps/ctrlProp327.xml"/><Relationship Id="rId31" Type="http://schemas.openxmlformats.org/officeDocument/2006/relationships/ctrlProp" Target="../ctrlProps/ctrlProp339.xml"/><Relationship Id="rId4" Type="http://schemas.openxmlformats.org/officeDocument/2006/relationships/control" Target="../activeX/activeX38.xml"/><Relationship Id="rId9" Type="http://schemas.openxmlformats.org/officeDocument/2006/relationships/image" Target="../media/image117.emf"/><Relationship Id="rId14" Type="http://schemas.openxmlformats.org/officeDocument/2006/relationships/ctrlProp" Target="../ctrlProps/ctrlProp322.xml"/><Relationship Id="rId22" Type="http://schemas.openxmlformats.org/officeDocument/2006/relationships/ctrlProp" Target="../ctrlProps/ctrlProp330.xml"/><Relationship Id="rId27" Type="http://schemas.openxmlformats.org/officeDocument/2006/relationships/ctrlProp" Target="../ctrlProps/ctrlProp335.xml"/><Relationship Id="rId30" Type="http://schemas.openxmlformats.org/officeDocument/2006/relationships/ctrlProp" Target="../ctrlProps/ctrlProp338.xml"/><Relationship Id="rId35" Type="http://schemas.openxmlformats.org/officeDocument/2006/relationships/ctrlProp" Target="../ctrlProps/ctrlProp343.xml"/><Relationship Id="rId8" Type="http://schemas.openxmlformats.org/officeDocument/2006/relationships/control" Target="../activeX/activeX40.xml"/><Relationship Id="rId3" Type="http://schemas.openxmlformats.org/officeDocument/2006/relationships/vmlDrawing" Target="../drawings/vmlDrawing25.vml"/><Relationship Id="rId12" Type="http://schemas.openxmlformats.org/officeDocument/2006/relationships/control" Target="../activeX/activeX42.xml"/><Relationship Id="rId17" Type="http://schemas.openxmlformats.org/officeDocument/2006/relationships/ctrlProp" Target="../ctrlProps/ctrlProp325.xml"/><Relationship Id="rId25" Type="http://schemas.openxmlformats.org/officeDocument/2006/relationships/ctrlProp" Target="../ctrlProps/ctrlProp333.xml"/><Relationship Id="rId33" Type="http://schemas.openxmlformats.org/officeDocument/2006/relationships/ctrlProp" Target="../ctrlProps/ctrlProp341.xml"/><Relationship Id="rId38" Type="http://schemas.openxmlformats.org/officeDocument/2006/relationships/ctrlProp" Target="../ctrlProps/ctrlProp346.xml"/></Relationships>
</file>

<file path=xl/worksheets/_rels/sheet42.xml.rels><?xml version="1.0" encoding="UTF-8" standalone="yes"?>
<Relationships xmlns="http://schemas.openxmlformats.org/package/2006/relationships"><Relationship Id="rId13" Type="http://schemas.openxmlformats.org/officeDocument/2006/relationships/image" Target="../media/image124.emf"/><Relationship Id="rId18" Type="http://schemas.openxmlformats.org/officeDocument/2006/relationships/ctrlProp" Target="../ctrlProps/ctrlProp355.xml"/><Relationship Id="rId26" Type="http://schemas.openxmlformats.org/officeDocument/2006/relationships/ctrlProp" Target="../ctrlProps/ctrlProp363.xml"/><Relationship Id="rId39" Type="http://schemas.openxmlformats.org/officeDocument/2006/relationships/ctrlProp" Target="../ctrlProps/ctrlProp376.xml"/><Relationship Id="rId21" Type="http://schemas.openxmlformats.org/officeDocument/2006/relationships/ctrlProp" Target="../ctrlProps/ctrlProp358.xml"/><Relationship Id="rId34" Type="http://schemas.openxmlformats.org/officeDocument/2006/relationships/ctrlProp" Target="../ctrlProps/ctrlProp371.xml"/><Relationship Id="rId42" Type="http://schemas.openxmlformats.org/officeDocument/2006/relationships/ctrlProp" Target="../ctrlProps/ctrlProp379.xml"/><Relationship Id="rId7" Type="http://schemas.openxmlformats.org/officeDocument/2006/relationships/image" Target="../media/image121.emf"/><Relationship Id="rId2" Type="http://schemas.openxmlformats.org/officeDocument/2006/relationships/drawing" Target="../drawings/drawing38.xml"/><Relationship Id="rId16" Type="http://schemas.openxmlformats.org/officeDocument/2006/relationships/ctrlProp" Target="../ctrlProps/ctrlProp353.xml"/><Relationship Id="rId20" Type="http://schemas.openxmlformats.org/officeDocument/2006/relationships/ctrlProp" Target="../ctrlProps/ctrlProp357.xml"/><Relationship Id="rId29" Type="http://schemas.openxmlformats.org/officeDocument/2006/relationships/ctrlProp" Target="../ctrlProps/ctrlProp366.xml"/><Relationship Id="rId41" Type="http://schemas.openxmlformats.org/officeDocument/2006/relationships/ctrlProp" Target="../ctrlProps/ctrlProp378.xml"/><Relationship Id="rId1" Type="http://schemas.openxmlformats.org/officeDocument/2006/relationships/printerSettings" Target="../printerSettings/printerSettings38.bin"/><Relationship Id="rId6" Type="http://schemas.openxmlformats.org/officeDocument/2006/relationships/control" Target="../activeX/activeX44.xml"/><Relationship Id="rId11" Type="http://schemas.openxmlformats.org/officeDocument/2006/relationships/image" Target="../media/image123.emf"/><Relationship Id="rId24" Type="http://schemas.openxmlformats.org/officeDocument/2006/relationships/ctrlProp" Target="../ctrlProps/ctrlProp361.xml"/><Relationship Id="rId32" Type="http://schemas.openxmlformats.org/officeDocument/2006/relationships/ctrlProp" Target="../ctrlProps/ctrlProp369.xml"/><Relationship Id="rId37" Type="http://schemas.openxmlformats.org/officeDocument/2006/relationships/ctrlProp" Target="../ctrlProps/ctrlProp374.xml"/><Relationship Id="rId40" Type="http://schemas.openxmlformats.org/officeDocument/2006/relationships/ctrlProp" Target="../ctrlProps/ctrlProp377.xml"/><Relationship Id="rId5" Type="http://schemas.openxmlformats.org/officeDocument/2006/relationships/image" Target="../media/image120.emf"/><Relationship Id="rId15" Type="http://schemas.openxmlformats.org/officeDocument/2006/relationships/ctrlProp" Target="../ctrlProps/ctrlProp352.xml"/><Relationship Id="rId23" Type="http://schemas.openxmlformats.org/officeDocument/2006/relationships/ctrlProp" Target="../ctrlProps/ctrlProp360.xml"/><Relationship Id="rId28" Type="http://schemas.openxmlformats.org/officeDocument/2006/relationships/ctrlProp" Target="../ctrlProps/ctrlProp365.xml"/><Relationship Id="rId36" Type="http://schemas.openxmlformats.org/officeDocument/2006/relationships/ctrlProp" Target="../ctrlProps/ctrlProp373.xml"/><Relationship Id="rId10" Type="http://schemas.openxmlformats.org/officeDocument/2006/relationships/control" Target="../activeX/activeX46.xml"/><Relationship Id="rId19" Type="http://schemas.openxmlformats.org/officeDocument/2006/relationships/ctrlProp" Target="../ctrlProps/ctrlProp356.xml"/><Relationship Id="rId31" Type="http://schemas.openxmlformats.org/officeDocument/2006/relationships/ctrlProp" Target="../ctrlProps/ctrlProp368.xml"/><Relationship Id="rId4" Type="http://schemas.openxmlformats.org/officeDocument/2006/relationships/control" Target="../activeX/activeX43.xml"/><Relationship Id="rId9" Type="http://schemas.openxmlformats.org/officeDocument/2006/relationships/image" Target="../media/image122.emf"/><Relationship Id="rId14" Type="http://schemas.openxmlformats.org/officeDocument/2006/relationships/ctrlProp" Target="../ctrlProps/ctrlProp351.xml"/><Relationship Id="rId22" Type="http://schemas.openxmlformats.org/officeDocument/2006/relationships/ctrlProp" Target="../ctrlProps/ctrlProp359.xml"/><Relationship Id="rId27" Type="http://schemas.openxmlformats.org/officeDocument/2006/relationships/ctrlProp" Target="../ctrlProps/ctrlProp364.xml"/><Relationship Id="rId30" Type="http://schemas.openxmlformats.org/officeDocument/2006/relationships/ctrlProp" Target="../ctrlProps/ctrlProp367.xml"/><Relationship Id="rId35" Type="http://schemas.openxmlformats.org/officeDocument/2006/relationships/ctrlProp" Target="../ctrlProps/ctrlProp372.xml"/><Relationship Id="rId8" Type="http://schemas.openxmlformats.org/officeDocument/2006/relationships/control" Target="../activeX/activeX45.xml"/><Relationship Id="rId3" Type="http://schemas.openxmlformats.org/officeDocument/2006/relationships/vmlDrawing" Target="../drawings/vmlDrawing26.vml"/><Relationship Id="rId12" Type="http://schemas.openxmlformats.org/officeDocument/2006/relationships/control" Target="../activeX/activeX47.xml"/><Relationship Id="rId17" Type="http://schemas.openxmlformats.org/officeDocument/2006/relationships/ctrlProp" Target="../ctrlProps/ctrlProp354.xml"/><Relationship Id="rId25" Type="http://schemas.openxmlformats.org/officeDocument/2006/relationships/ctrlProp" Target="../ctrlProps/ctrlProp362.xml"/><Relationship Id="rId33" Type="http://schemas.openxmlformats.org/officeDocument/2006/relationships/ctrlProp" Target="../ctrlProps/ctrlProp370.xml"/><Relationship Id="rId38" Type="http://schemas.openxmlformats.org/officeDocument/2006/relationships/ctrlProp" Target="../ctrlProps/ctrlProp375.xml"/></Relationships>
</file>

<file path=xl/worksheets/_rels/sheet43.xml.rels><?xml version="1.0" encoding="UTF-8" standalone="yes"?>
<Relationships xmlns="http://schemas.openxmlformats.org/package/2006/relationships"><Relationship Id="rId13" Type="http://schemas.openxmlformats.org/officeDocument/2006/relationships/image" Target="../media/image129.emf"/><Relationship Id="rId18" Type="http://schemas.openxmlformats.org/officeDocument/2006/relationships/ctrlProp" Target="../ctrlProps/ctrlProp384.xml"/><Relationship Id="rId26" Type="http://schemas.openxmlformats.org/officeDocument/2006/relationships/ctrlProp" Target="../ctrlProps/ctrlProp392.xml"/><Relationship Id="rId39" Type="http://schemas.openxmlformats.org/officeDocument/2006/relationships/ctrlProp" Target="../ctrlProps/ctrlProp405.xml"/><Relationship Id="rId21" Type="http://schemas.openxmlformats.org/officeDocument/2006/relationships/ctrlProp" Target="../ctrlProps/ctrlProp387.xml"/><Relationship Id="rId34" Type="http://schemas.openxmlformats.org/officeDocument/2006/relationships/ctrlProp" Target="../ctrlProps/ctrlProp400.xml"/><Relationship Id="rId42" Type="http://schemas.openxmlformats.org/officeDocument/2006/relationships/ctrlProp" Target="../ctrlProps/ctrlProp408.xml"/><Relationship Id="rId7" Type="http://schemas.openxmlformats.org/officeDocument/2006/relationships/image" Target="../media/image126.emf"/><Relationship Id="rId2" Type="http://schemas.openxmlformats.org/officeDocument/2006/relationships/drawing" Target="../drawings/drawing39.xml"/><Relationship Id="rId16" Type="http://schemas.openxmlformats.org/officeDocument/2006/relationships/ctrlProp" Target="../ctrlProps/ctrlProp382.xml"/><Relationship Id="rId20" Type="http://schemas.openxmlformats.org/officeDocument/2006/relationships/ctrlProp" Target="../ctrlProps/ctrlProp386.xml"/><Relationship Id="rId29" Type="http://schemas.openxmlformats.org/officeDocument/2006/relationships/ctrlProp" Target="../ctrlProps/ctrlProp395.xml"/><Relationship Id="rId41" Type="http://schemas.openxmlformats.org/officeDocument/2006/relationships/ctrlProp" Target="../ctrlProps/ctrlProp407.xml"/><Relationship Id="rId1" Type="http://schemas.openxmlformats.org/officeDocument/2006/relationships/printerSettings" Target="../printerSettings/printerSettings39.bin"/><Relationship Id="rId6" Type="http://schemas.openxmlformats.org/officeDocument/2006/relationships/control" Target="../activeX/activeX49.xml"/><Relationship Id="rId11" Type="http://schemas.openxmlformats.org/officeDocument/2006/relationships/image" Target="../media/image128.emf"/><Relationship Id="rId24" Type="http://schemas.openxmlformats.org/officeDocument/2006/relationships/ctrlProp" Target="../ctrlProps/ctrlProp390.xml"/><Relationship Id="rId32" Type="http://schemas.openxmlformats.org/officeDocument/2006/relationships/ctrlProp" Target="../ctrlProps/ctrlProp398.xml"/><Relationship Id="rId37" Type="http://schemas.openxmlformats.org/officeDocument/2006/relationships/ctrlProp" Target="../ctrlProps/ctrlProp403.xml"/><Relationship Id="rId40" Type="http://schemas.openxmlformats.org/officeDocument/2006/relationships/ctrlProp" Target="../ctrlProps/ctrlProp406.xml"/><Relationship Id="rId5" Type="http://schemas.openxmlformats.org/officeDocument/2006/relationships/image" Target="../media/image125.emf"/><Relationship Id="rId15" Type="http://schemas.openxmlformats.org/officeDocument/2006/relationships/ctrlProp" Target="../ctrlProps/ctrlProp381.xml"/><Relationship Id="rId23" Type="http://schemas.openxmlformats.org/officeDocument/2006/relationships/ctrlProp" Target="../ctrlProps/ctrlProp389.xml"/><Relationship Id="rId28" Type="http://schemas.openxmlformats.org/officeDocument/2006/relationships/ctrlProp" Target="../ctrlProps/ctrlProp394.xml"/><Relationship Id="rId36" Type="http://schemas.openxmlformats.org/officeDocument/2006/relationships/ctrlProp" Target="../ctrlProps/ctrlProp402.xml"/><Relationship Id="rId10" Type="http://schemas.openxmlformats.org/officeDocument/2006/relationships/control" Target="../activeX/activeX51.xml"/><Relationship Id="rId19" Type="http://schemas.openxmlformats.org/officeDocument/2006/relationships/ctrlProp" Target="../ctrlProps/ctrlProp385.xml"/><Relationship Id="rId31" Type="http://schemas.openxmlformats.org/officeDocument/2006/relationships/ctrlProp" Target="../ctrlProps/ctrlProp397.xml"/><Relationship Id="rId4" Type="http://schemas.openxmlformats.org/officeDocument/2006/relationships/control" Target="../activeX/activeX48.xml"/><Relationship Id="rId9" Type="http://schemas.openxmlformats.org/officeDocument/2006/relationships/image" Target="../media/image127.emf"/><Relationship Id="rId14" Type="http://schemas.openxmlformats.org/officeDocument/2006/relationships/ctrlProp" Target="../ctrlProps/ctrlProp380.xml"/><Relationship Id="rId22" Type="http://schemas.openxmlformats.org/officeDocument/2006/relationships/ctrlProp" Target="../ctrlProps/ctrlProp388.xml"/><Relationship Id="rId27" Type="http://schemas.openxmlformats.org/officeDocument/2006/relationships/ctrlProp" Target="../ctrlProps/ctrlProp393.xml"/><Relationship Id="rId30" Type="http://schemas.openxmlformats.org/officeDocument/2006/relationships/ctrlProp" Target="../ctrlProps/ctrlProp396.xml"/><Relationship Id="rId35" Type="http://schemas.openxmlformats.org/officeDocument/2006/relationships/ctrlProp" Target="../ctrlProps/ctrlProp401.xml"/><Relationship Id="rId8" Type="http://schemas.openxmlformats.org/officeDocument/2006/relationships/control" Target="../activeX/activeX50.xml"/><Relationship Id="rId3" Type="http://schemas.openxmlformats.org/officeDocument/2006/relationships/vmlDrawing" Target="../drawings/vmlDrawing27.vml"/><Relationship Id="rId12" Type="http://schemas.openxmlformats.org/officeDocument/2006/relationships/control" Target="../activeX/activeX52.xml"/><Relationship Id="rId17" Type="http://schemas.openxmlformats.org/officeDocument/2006/relationships/ctrlProp" Target="../ctrlProps/ctrlProp383.xml"/><Relationship Id="rId25" Type="http://schemas.openxmlformats.org/officeDocument/2006/relationships/ctrlProp" Target="../ctrlProps/ctrlProp391.xml"/><Relationship Id="rId33" Type="http://schemas.openxmlformats.org/officeDocument/2006/relationships/ctrlProp" Target="../ctrlProps/ctrlProp399.xml"/><Relationship Id="rId38" Type="http://schemas.openxmlformats.org/officeDocument/2006/relationships/ctrlProp" Target="../ctrlProps/ctrlProp404.xml"/></Relationships>
</file>

<file path=xl/worksheets/_rels/sheet44.xml.rels><?xml version="1.0" encoding="UTF-8" standalone="yes"?>
<Relationships xmlns="http://schemas.openxmlformats.org/package/2006/relationships"><Relationship Id="rId13" Type="http://schemas.openxmlformats.org/officeDocument/2006/relationships/image" Target="../media/image134.emf"/><Relationship Id="rId18" Type="http://schemas.openxmlformats.org/officeDocument/2006/relationships/ctrlProp" Target="../ctrlProps/ctrlProp413.xml"/><Relationship Id="rId26" Type="http://schemas.openxmlformats.org/officeDocument/2006/relationships/ctrlProp" Target="../ctrlProps/ctrlProp421.xml"/><Relationship Id="rId39" Type="http://schemas.openxmlformats.org/officeDocument/2006/relationships/ctrlProp" Target="../ctrlProps/ctrlProp434.xml"/><Relationship Id="rId21" Type="http://schemas.openxmlformats.org/officeDocument/2006/relationships/ctrlProp" Target="../ctrlProps/ctrlProp416.xml"/><Relationship Id="rId34" Type="http://schemas.openxmlformats.org/officeDocument/2006/relationships/ctrlProp" Target="../ctrlProps/ctrlProp429.xml"/><Relationship Id="rId42" Type="http://schemas.openxmlformats.org/officeDocument/2006/relationships/ctrlProp" Target="../ctrlProps/ctrlProp437.xml"/><Relationship Id="rId7" Type="http://schemas.openxmlformats.org/officeDocument/2006/relationships/image" Target="../media/image131.emf"/><Relationship Id="rId2" Type="http://schemas.openxmlformats.org/officeDocument/2006/relationships/drawing" Target="../drawings/drawing40.xml"/><Relationship Id="rId16" Type="http://schemas.openxmlformats.org/officeDocument/2006/relationships/ctrlProp" Target="../ctrlProps/ctrlProp411.xml"/><Relationship Id="rId20" Type="http://schemas.openxmlformats.org/officeDocument/2006/relationships/ctrlProp" Target="../ctrlProps/ctrlProp415.xml"/><Relationship Id="rId29" Type="http://schemas.openxmlformats.org/officeDocument/2006/relationships/ctrlProp" Target="../ctrlProps/ctrlProp424.xml"/><Relationship Id="rId41" Type="http://schemas.openxmlformats.org/officeDocument/2006/relationships/ctrlProp" Target="../ctrlProps/ctrlProp436.xml"/><Relationship Id="rId1" Type="http://schemas.openxmlformats.org/officeDocument/2006/relationships/printerSettings" Target="../printerSettings/printerSettings40.bin"/><Relationship Id="rId6" Type="http://schemas.openxmlformats.org/officeDocument/2006/relationships/control" Target="../activeX/activeX54.xml"/><Relationship Id="rId11" Type="http://schemas.openxmlformats.org/officeDocument/2006/relationships/image" Target="../media/image133.emf"/><Relationship Id="rId24" Type="http://schemas.openxmlformats.org/officeDocument/2006/relationships/ctrlProp" Target="../ctrlProps/ctrlProp419.xml"/><Relationship Id="rId32" Type="http://schemas.openxmlformats.org/officeDocument/2006/relationships/ctrlProp" Target="../ctrlProps/ctrlProp427.xml"/><Relationship Id="rId37" Type="http://schemas.openxmlformats.org/officeDocument/2006/relationships/ctrlProp" Target="../ctrlProps/ctrlProp432.xml"/><Relationship Id="rId40" Type="http://schemas.openxmlformats.org/officeDocument/2006/relationships/ctrlProp" Target="../ctrlProps/ctrlProp435.xml"/><Relationship Id="rId5" Type="http://schemas.openxmlformats.org/officeDocument/2006/relationships/image" Target="../media/image130.emf"/><Relationship Id="rId15" Type="http://schemas.openxmlformats.org/officeDocument/2006/relationships/ctrlProp" Target="../ctrlProps/ctrlProp410.xml"/><Relationship Id="rId23" Type="http://schemas.openxmlformats.org/officeDocument/2006/relationships/ctrlProp" Target="../ctrlProps/ctrlProp418.xml"/><Relationship Id="rId28" Type="http://schemas.openxmlformats.org/officeDocument/2006/relationships/ctrlProp" Target="../ctrlProps/ctrlProp423.xml"/><Relationship Id="rId36" Type="http://schemas.openxmlformats.org/officeDocument/2006/relationships/ctrlProp" Target="../ctrlProps/ctrlProp431.xml"/><Relationship Id="rId10" Type="http://schemas.openxmlformats.org/officeDocument/2006/relationships/control" Target="../activeX/activeX56.xml"/><Relationship Id="rId19" Type="http://schemas.openxmlformats.org/officeDocument/2006/relationships/ctrlProp" Target="../ctrlProps/ctrlProp414.xml"/><Relationship Id="rId31" Type="http://schemas.openxmlformats.org/officeDocument/2006/relationships/ctrlProp" Target="../ctrlProps/ctrlProp426.xml"/><Relationship Id="rId4" Type="http://schemas.openxmlformats.org/officeDocument/2006/relationships/control" Target="../activeX/activeX53.xml"/><Relationship Id="rId9" Type="http://schemas.openxmlformats.org/officeDocument/2006/relationships/image" Target="../media/image132.emf"/><Relationship Id="rId14" Type="http://schemas.openxmlformats.org/officeDocument/2006/relationships/ctrlProp" Target="../ctrlProps/ctrlProp409.xml"/><Relationship Id="rId22" Type="http://schemas.openxmlformats.org/officeDocument/2006/relationships/ctrlProp" Target="../ctrlProps/ctrlProp417.xml"/><Relationship Id="rId27" Type="http://schemas.openxmlformats.org/officeDocument/2006/relationships/ctrlProp" Target="../ctrlProps/ctrlProp422.xml"/><Relationship Id="rId30" Type="http://schemas.openxmlformats.org/officeDocument/2006/relationships/ctrlProp" Target="../ctrlProps/ctrlProp425.xml"/><Relationship Id="rId35" Type="http://schemas.openxmlformats.org/officeDocument/2006/relationships/ctrlProp" Target="../ctrlProps/ctrlProp430.xml"/><Relationship Id="rId8" Type="http://schemas.openxmlformats.org/officeDocument/2006/relationships/control" Target="../activeX/activeX55.xml"/><Relationship Id="rId3" Type="http://schemas.openxmlformats.org/officeDocument/2006/relationships/vmlDrawing" Target="../drawings/vmlDrawing28.vml"/><Relationship Id="rId12" Type="http://schemas.openxmlformats.org/officeDocument/2006/relationships/control" Target="../activeX/activeX57.xml"/><Relationship Id="rId17" Type="http://schemas.openxmlformats.org/officeDocument/2006/relationships/ctrlProp" Target="../ctrlProps/ctrlProp412.xml"/><Relationship Id="rId25" Type="http://schemas.openxmlformats.org/officeDocument/2006/relationships/ctrlProp" Target="../ctrlProps/ctrlProp420.xml"/><Relationship Id="rId33" Type="http://schemas.openxmlformats.org/officeDocument/2006/relationships/ctrlProp" Target="../ctrlProps/ctrlProp428.xml"/><Relationship Id="rId38" Type="http://schemas.openxmlformats.org/officeDocument/2006/relationships/ctrlProp" Target="../ctrlProps/ctrlProp433.xml"/></Relationships>
</file>

<file path=xl/worksheets/_rels/sheet45.xml.rels><?xml version="1.0" encoding="UTF-8" standalone="yes"?>
<Relationships xmlns="http://schemas.openxmlformats.org/package/2006/relationships"><Relationship Id="rId13" Type="http://schemas.openxmlformats.org/officeDocument/2006/relationships/ctrlProp" Target="../ctrlProps/ctrlProp439.xml"/><Relationship Id="rId18" Type="http://schemas.openxmlformats.org/officeDocument/2006/relationships/ctrlProp" Target="../ctrlProps/ctrlProp444.xml"/><Relationship Id="rId26" Type="http://schemas.openxmlformats.org/officeDocument/2006/relationships/ctrlProp" Target="../ctrlProps/ctrlProp452.xml"/><Relationship Id="rId39" Type="http://schemas.openxmlformats.org/officeDocument/2006/relationships/ctrlProp" Target="../ctrlProps/ctrlProp465.xml"/><Relationship Id="rId21" Type="http://schemas.openxmlformats.org/officeDocument/2006/relationships/ctrlProp" Target="../ctrlProps/ctrlProp447.xml"/><Relationship Id="rId34" Type="http://schemas.openxmlformats.org/officeDocument/2006/relationships/ctrlProp" Target="../ctrlProps/ctrlProp460.xml"/><Relationship Id="rId7" Type="http://schemas.openxmlformats.org/officeDocument/2006/relationships/image" Target="../media/image136.emf"/><Relationship Id="rId2" Type="http://schemas.openxmlformats.org/officeDocument/2006/relationships/drawing" Target="../drawings/drawing41.xml"/><Relationship Id="rId16" Type="http://schemas.openxmlformats.org/officeDocument/2006/relationships/ctrlProp" Target="../ctrlProps/ctrlProp442.xml"/><Relationship Id="rId20" Type="http://schemas.openxmlformats.org/officeDocument/2006/relationships/ctrlProp" Target="../ctrlProps/ctrlProp446.xml"/><Relationship Id="rId29" Type="http://schemas.openxmlformats.org/officeDocument/2006/relationships/ctrlProp" Target="../ctrlProps/ctrlProp455.xml"/><Relationship Id="rId41" Type="http://schemas.openxmlformats.org/officeDocument/2006/relationships/ctrlProp" Target="../ctrlProps/ctrlProp467.xml"/><Relationship Id="rId1" Type="http://schemas.openxmlformats.org/officeDocument/2006/relationships/printerSettings" Target="../printerSettings/printerSettings41.bin"/><Relationship Id="rId6" Type="http://schemas.openxmlformats.org/officeDocument/2006/relationships/control" Target="../activeX/activeX59.xml"/><Relationship Id="rId11" Type="http://schemas.openxmlformats.org/officeDocument/2006/relationships/image" Target="../media/image138.emf"/><Relationship Id="rId24" Type="http://schemas.openxmlformats.org/officeDocument/2006/relationships/ctrlProp" Target="../ctrlProps/ctrlProp450.xml"/><Relationship Id="rId32" Type="http://schemas.openxmlformats.org/officeDocument/2006/relationships/ctrlProp" Target="../ctrlProps/ctrlProp458.xml"/><Relationship Id="rId37" Type="http://schemas.openxmlformats.org/officeDocument/2006/relationships/ctrlProp" Target="../ctrlProps/ctrlProp463.xml"/><Relationship Id="rId40" Type="http://schemas.openxmlformats.org/officeDocument/2006/relationships/ctrlProp" Target="../ctrlProps/ctrlProp466.xml"/><Relationship Id="rId5" Type="http://schemas.openxmlformats.org/officeDocument/2006/relationships/image" Target="../media/image135.emf"/><Relationship Id="rId15" Type="http://schemas.openxmlformats.org/officeDocument/2006/relationships/ctrlProp" Target="../ctrlProps/ctrlProp441.xml"/><Relationship Id="rId23" Type="http://schemas.openxmlformats.org/officeDocument/2006/relationships/ctrlProp" Target="../ctrlProps/ctrlProp449.xml"/><Relationship Id="rId28" Type="http://schemas.openxmlformats.org/officeDocument/2006/relationships/ctrlProp" Target="../ctrlProps/ctrlProp454.xml"/><Relationship Id="rId36" Type="http://schemas.openxmlformats.org/officeDocument/2006/relationships/ctrlProp" Target="../ctrlProps/ctrlProp462.xml"/><Relationship Id="rId10" Type="http://schemas.openxmlformats.org/officeDocument/2006/relationships/control" Target="../activeX/activeX61.xml"/><Relationship Id="rId19" Type="http://schemas.openxmlformats.org/officeDocument/2006/relationships/ctrlProp" Target="../ctrlProps/ctrlProp445.xml"/><Relationship Id="rId31" Type="http://schemas.openxmlformats.org/officeDocument/2006/relationships/ctrlProp" Target="../ctrlProps/ctrlProp457.xml"/><Relationship Id="rId4" Type="http://schemas.openxmlformats.org/officeDocument/2006/relationships/control" Target="../activeX/activeX58.xml"/><Relationship Id="rId9" Type="http://schemas.openxmlformats.org/officeDocument/2006/relationships/image" Target="../media/image137.emf"/><Relationship Id="rId14" Type="http://schemas.openxmlformats.org/officeDocument/2006/relationships/ctrlProp" Target="../ctrlProps/ctrlProp440.xml"/><Relationship Id="rId22" Type="http://schemas.openxmlformats.org/officeDocument/2006/relationships/ctrlProp" Target="../ctrlProps/ctrlProp448.xml"/><Relationship Id="rId27" Type="http://schemas.openxmlformats.org/officeDocument/2006/relationships/ctrlProp" Target="../ctrlProps/ctrlProp453.xml"/><Relationship Id="rId30" Type="http://schemas.openxmlformats.org/officeDocument/2006/relationships/ctrlProp" Target="../ctrlProps/ctrlProp456.xml"/><Relationship Id="rId35" Type="http://schemas.openxmlformats.org/officeDocument/2006/relationships/ctrlProp" Target="../ctrlProps/ctrlProp461.xml"/><Relationship Id="rId8" Type="http://schemas.openxmlformats.org/officeDocument/2006/relationships/control" Target="../activeX/activeX60.xml"/><Relationship Id="rId3" Type="http://schemas.openxmlformats.org/officeDocument/2006/relationships/vmlDrawing" Target="../drawings/vmlDrawing29.vml"/><Relationship Id="rId12" Type="http://schemas.openxmlformats.org/officeDocument/2006/relationships/ctrlProp" Target="../ctrlProps/ctrlProp438.xml"/><Relationship Id="rId17" Type="http://schemas.openxmlformats.org/officeDocument/2006/relationships/ctrlProp" Target="../ctrlProps/ctrlProp443.xml"/><Relationship Id="rId25" Type="http://schemas.openxmlformats.org/officeDocument/2006/relationships/ctrlProp" Target="../ctrlProps/ctrlProp451.xml"/><Relationship Id="rId33" Type="http://schemas.openxmlformats.org/officeDocument/2006/relationships/ctrlProp" Target="../ctrlProps/ctrlProp459.xml"/><Relationship Id="rId38" Type="http://schemas.openxmlformats.org/officeDocument/2006/relationships/ctrlProp" Target="../ctrlProps/ctrlProp464.xml"/></Relationships>
</file>

<file path=xl/worksheets/_rels/sheet46.xml.rels><?xml version="1.0" encoding="UTF-8" standalone="yes"?>
<Relationships xmlns="http://schemas.openxmlformats.org/package/2006/relationships"><Relationship Id="rId8" Type="http://schemas.openxmlformats.org/officeDocument/2006/relationships/ctrlProp" Target="../ctrlProps/ctrlProp471.xml"/><Relationship Id="rId3" Type="http://schemas.openxmlformats.org/officeDocument/2006/relationships/drawing" Target="../drawings/drawing42.xml"/><Relationship Id="rId7" Type="http://schemas.openxmlformats.org/officeDocument/2006/relationships/ctrlProp" Target="../ctrlProps/ctrlProp470.xml"/><Relationship Id="rId2" Type="http://schemas.openxmlformats.org/officeDocument/2006/relationships/printerSettings" Target="../printerSettings/printerSettings42.bin"/><Relationship Id="rId1" Type="http://schemas.openxmlformats.org/officeDocument/2006/relationships/hyperlink" Target="mailto:HomeComfortLI@pseg.com" TargetMode="External"/><Relationship Id="rId6" Type="http://schemas.openxmlformats.org/officeDocument/2006/relationships/ctrlProp" Target="../ctrlProps/ctrlProp469.xml"/><Relationship Id="rId5" Type="http://schemas.openxmlformats.org/officeDocument/2006/relationships/ctrlProp" Target="../ctrlProps/ctrlProp468.xml"/><Relationship Id="rId4" Type="http://schemas.openxmlformats.org/officeDocument/2006/relationships/vmlDrawing" Target="../drawings/vmlDrawing30.vml"/><Relationship Id="rId9" Type="http://schemas.openxmlformats.org/officeDocument/2006/relationships/ctrlProp" Target="../ctrlProps/ctrlProp472.xml"/></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31.vml"/><Relationship Id="rId7" Type="http://schemas.openxmlformats.org/officeDocument/2006/relationships/ctrlProp" Target="../ctrlProps/ctrlProp476.xml"/><Relationship Id="rId2" Type="http://schemas.openxmlformats.org/officeDocument/2006/relationships/drawing" Target="../drawings/drawing43.xml"/><Relationship Id="rId1" Type="http://schemas.openxmlformats.org/officeDocument/2006/relationships/printerSettings" Target="../printerSettings/printerSettings43.bin"/><Relationship Id="rId6" Type="http://schemas.openxmlformats.org/officeDocument/2006/relationships/ctrlProp" Target="../ctrlProps/ctrlProp475.xml"/><Relationship Id="rId5" Type="http://schemas.openxmlformats.org/officeDocument/2006/relationships/ctrlProp" Target="../ctrlProps/ctrlProp474.xml"/><Relationship Id="rId4" Type="http://schemas.openxmlformats.org/officeDocument/2006/relationships/ctrlProp" Target="../ctrlProps/ctrlProp473.xml"/></Relationships>
</file>

<file path=xl/worksheets/_rels/sheet48.xml.rels><?xml version="1.0" encoding="UTF-8" standalone="yes"?>
<Relationships xmlns="http://schemas.openxmlformats.org/package/2006/relationships"><Relationship Id="rId3" Type="http://schemas.microsoft.com/office/2017/10/relationships/threadedComment" Target="../threadedComments/threadedComment2.xml"/><Relationship Id="rId2" Type="http://schemas.openxmlformats.org/officeDocument/2006/relationships/comments" Target="../comments4.xml"/><Relationship Id="rId1" Type="http://schemas.openxmlformats.org/officeDocument/2006/relationships/vmlDrawing" Target="../drawings/vmlDrawing32.vml"/></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33.vml"/><Relationship Id="rId1" Type="http://schemas.openxmlformats.org/officeDocument/2006/relationships/printerSettings" Target="../printerSettings/printerSettings45.bin"/></Relationships>
</file>

<file path=xl/worksheets/_rels/sheet51.xml.rels><?xml version="1.0" encoding="UTF-8" standalone="yes"?>
<Relationships xmlns="http://schemas.openxmlformats.org/package/2006/relationships"><Relationship Id="rId8" Type="http://schemas.openxmlformats.org/officeDocument/2006/relationships/ctrlProp" Target="../ctrlProps/ctrlProp481.xml"/><Relationship Id="rId3" Type="http://schemas.openxmlformats.org/officeDocument/2006/relationships/vmlDrawing" Target="../drawings/vmlDrawing34.vml"/><Relationship Id="rId7" Type="http://schemas.openxmlformats.org/officeDocument/2006/relationships/ctrlProp" Target="../ctrlProps/ctrlProp480.xml"/><Relationship Id="rId2" Type="http://schemas.openxmlformats.org/officeDocument/2006/relationships/drawing" Target="../drawings/drawing44.xml"/><Relationship Id="rId1" Type="http://schemas.openxmlformats.org/officeDocument/2006/relationships/printerSettings" Target="../printerSettings/printerSettings46.bin"/><Relationship Id="rId6" Type="http://schemas.openxmlformats.org/officeDocument/2006/relationships/ctrlProp" Target="../ctrlProps/ctrlProp479.xml"/><Relationship Id="rId5" Type="http://schemas.openxmlformats.org/officeDocument/2006/relationships/ctrlProp" Target="../ctrlProps/ctrlProp478.xml"/><Relationship Id="rId4" Type="http://schemas.openxmlformats.org/officeDocument/2006/relationships/ctrlProp" Target="../ctrlProps/ctrlProp477.xml"/><Relationship Id="rId9" Type="http://schemas.openxmlformats.org/officeDocument/2006/relationships/ctrlProp" Target="../ctrlProps/ctrlProp482.xml"/></Relationships>
</file>

<file path=xl/worksheets/_rels/sheet52.xml.rels><?xml version="1.0" encoding="UTF-8" standalone="yes"?>
<Relationships xmlns="http://schemas.openxmlformats.org/package/2006/relationships"><Relationship Id="rId8" Type="http://schemas.openxmlformats.org/officeDocument/2006/relationships/ctrlProp" Target="../ctrlProps/ctrlProp487.xml"/><Relationship Id="rId13" Type="http://schemas.openxmlformats.org/officeDocument/2006/relationships/ctrlProp" Target="../ctrlProps/ctrlProp492.xml"/><Relationship Id="rId3" Type="http://schemas.openxmlformats.org/officeDocument/2006/relationships/vmlDrawing" Target="../drawings/vmlDrawing35.vml"/><Relationship Id="rId7" Type="http://schemas.openxmlformats.org/officeDocument/2006/relationships/ctrlProp" Target="../ctrlProps/ctrlProp486.xml"/><Relationship Id="rId12" Type="http://schemas.openxmlformats.org/officeDocument/2006/relationships/ctrlProp" Target="../ctrlProps/ctrlProp491.xml"/><Relationship Id="rId2" Type="http://schemas.openxmlformats.org/officeDocument/2006/relationships/drawing" Target="../drawings/drawing45.xml"/><Relationship Id="rId1" Type="http://schemas.openxmlformats.org/officeDocument/2006/relationships/printerSettings" Target="../printerSettings/printerSettings47.bin"/><Relationship Id="rId6" Type="http://schemas.openxmlformats.org/officeDocument/2006/relationships/ctrlProp" Target="../ctrlProps/ctrlProp485.xml"/><Relationship Id="rId11" Type="http://schemas.openxmlformats.org/officeDocument/2006/relationships/ctrlProp" Target="../ctrlProps/ctrlProp490.xml"/><Relationship Id="rId5" Type="http://schemas.openxmlformats.org/officeDocument/2006/relationships/ctrlProp" Target="../ctrlProps/ctrlProp484.xml"/><Relationship Id="rId15" Type="http://schemas.openxmlformats.org/officeDocument/2006/relationships/ctrlProp" Target="../ctrlProps/ctrlProp494.xml"/><Relationship Id="rId10" Type="http://schemas.openxmlformats.org/officeDocument/2006/relationships/ctrlProp" Target="../ctrlProps/ctrlProp489.xml"/><Relationship Id="rId4" Type="http://schemas.openxmlformats.org/officeDocument/2006/relationships/ctrlProp" Target="../ctrlProps/ctrlProp483.xml"/><Relationship Id="rId9" Type="http://schemas.openxmlformats.org/officeDocument/2006/relationships/ctrlProp" Target="../ctrlProps/ctrlProp488.xml"/><Relationship Id="rId14" Type="http://schemas.openxmlformats.org/officeDocument/2006/relationships/ctrlProp" Target="../ctrlProps/ctrlProp493.xml"/></Relationships>
</file>

<file path=xl/worksheets/_rels/sheet53.xml.rels><?xml version="1.0" encoding="UTF-8" standalone="yes"?>
<Relationships xmlns="http://schemas.openxmlformats.org/package/2006/relationships"><Relationship Id="rId8" Type="http://schemas.openxmlformats.org/officeDocument/2006/relationships/ctrlProp" Target="../ctrlProps/ctrlProp499.xml"/><Relationship Id="rId3" Type="http://schemas.openxmlformats.org/officeDocument/2006/relationships/vmlDrawing" Target="../drawings/vmlDrawing36.vml"/><Relationship Id="rId7" Type="http://schemas.openxmlformats.org/officeDocument/2006/relationships/ctrlProp" Target="../ctrlProps/ctrlProp498.xml"/><Relationship Id="rId12" Type="http://schemas.openxmlformats.org/officeDocument/2006/relationships/ctrlProp" Target="../ctrlProps/ctrlProp503.xml"/><Relationship Id="rId2" Type="http://schemas.openxmlformats.org/officeDocument/2006/relationships/drawing" Target="../drawings/drawing46.xml"/><Relationship Id="rId1" Type="http://schemas.openxmlformats.org/officeDocument/2006/relationships/printerSettings" Target="../printerSettings/printerSettings48.bin"/><Relationship Id="rId6" Type="http://schemas.openxmlformats.org/officeDocument/2006/relationships/ctrlProp" Target="../ctrlProps/ctrlProp497.xml"/><Relationship Id="rId11" Type="http://schemas.openxmlformats.org/officeDocument/2006/relationships/ctrlProp" Target="../ctrlProps/ctrlProp502.xml"/><Relationship Id="rId5" Type="http://schemas.openxmlformats.org/officeDocument/2006/relationships/ctrlProp" Target="../ctrlProps/ctrlProp496.xml"/><Relationship Id="rId10" Type="http://schemas.openxmlformats.org/officeDocument/2006/relationships/ctrlProp" Target="../ctrlProps/ctrlProp501.xml"/><Relationship Id="rId4" Type="http://schemas.openxmlformats.org/officeDocument/2006/relationships/ctrlProp" Target="../ctrlProps/ctrlProp495.xml"/><Relationship Id="rId9" Type="http://schemas.openxmlformats.org/officeDocument/2006/relationships/ctrlProp" Target="../ctrlProps/ctrlProp500.xml"/></Relationships>
</file>

<file path=xl/worksheets/_rels/sheet54.xml.rels><?xml version="1.0" encoding="UTF-8" standalone="yes"?>
<Relationships xmlns="http://schemas.openxmlformats.org/package/2006/relationships"><Relationship Id="rId8" Type="http://schemas.openxmlformats.org/officeDocument/2006/relationships/ctrlProp" Target="../ctrlProps/ctrlProp508.xml"/><Relationship Id="rId3" Type="http://schemas.openxmlformats.org/officeDocument/2006/relationships/vmlDrawing" Target="../drawings/vmlDrawing37.vml"/><Relationship Id="rId7" Type="http://schemas.openxmlformats.org/officeDocument/2006/relationships/ctrlProp" Target="../ctrlProps/ctrlProp507.xml"/><Relationship Id="rId12" Type="http://schemas.openxmlformats.org/officeDocument/2006/relationships/ctrlProp" Target="../ctrlProps/ctrlProp512.xml"/><Relationship Id="rId2" Type="http://schemas.openxmlformats.org/officeDocument/2006/relationships/drawing" Target="../drawings/drawing47.xml"/><Relationship Id="rId1" Type="http://schemas.openxmlformats.org/officeDocument/2006/relationships/printerSettings" Target="../printerSettings/printerSettings49.bin"/><Relationship Id="rId6" Type="http://schemas.openxmlformats.org/officeDocument/2006/relationships/ctrlProp" Target="../ctrlProps/ctrlProp506.xml"/><Relationship Id="rId11" Type="http://schemas.openxmlformats.org/officeDocument/2006/relationships/ctrlProp" Target="../ctrlProps/ctrlProp511.xml"/><Relationship Id="rId5" Type="http://schemas.openxmlformats.org/officeDocument/2006/relationships/ctrlProp" Target="../ctrlProps/ctrlProp505.xml"/><Relationship Id="rId10" Type="http://schemas.openxmlformats.org/officeDocument/2006/relationships/ctrlProp" Target="../ctrlProps/ctrlProp510.xml"/><Relationship Id="rId4" Type="http://schemas.openxmlformats.org/officeDocument/2006/relationships/ctrlProp" Target="../ctrlProps/ctrlProp504.xml"/><Relationship Id="rId9" Type="http://schemas.openxmlformats.org/officeDocument/2006/relationships/ctrlProp" Target="../ctrlProps/ctrlProp509.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38.vml"/><Relationship Id="rId1" Type="http://schemas.openxmlformats.org/officeDocument/2006/relationships/printerSettings" Target="../printerSettings/printerSettings50.bin"/></Relationships>
</file>

<file path=xl/worksheets/_rels/sheet57.xml.rels><?xml version="1.0" encoding="UTF-8" standalone="yes"?>
<Relationships xmlns="http://schemas.openxmlformats.org/package/2006/relationships"><Relationship Id="rId3" Type="http://schemas.openxmlformats.org/officeDocument/2006/relationships/hyperlink" Target="http://www.metric-conversions.org/weight/pounds-to-metric-tons.htm" TargetMode="External"/><Relationship Id="rId7" Type="http://schemas.microsoft.com/office/2017/10/relationships/threadedComment" Target="../threadedComments/threadedComment3.xml"/><Relationship Id="rId2" Type="http://schemas.openxmlformats.org/officeDocument/2006/relationships/hyperlink" Target="https://www.epa.gov/sites/production/files/2015-07/documents/emission-factors_2014.pdf" TargetMode="External"/><Relationship Id="rId1" Type="http://schemas.openxmlformats.org/officeDocument/2006/relationships/hyperlink" Target="https://www.ecfr.gov/cgi-bin/text-idx?SID=86e70cbc87e5af18caca2e5c205bd107&amp;mc=true&amp;node=se10.3.430_132&amp;rgn=div8" TargetMode="External"/><Relationship Id="rId6" Type="http://schemas.openxmlformats.org/officeDocument/2006/relationships/comments" Target="../comments7.xml"/><Relationship Id="rId5" Type="http://schemas.openxmlformats.org/officeDocument/2006/relationships/vmlDrawing" Target="../drawings/vmlDrawing39.vml"/><Relationship Id="rId4" Type="http://schemas.openxmlformats.org/officeDocument/2006/relationships/printerSettings" Target="../printerSettings/printerSettings51.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3.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7.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7.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24.xml"/><Relationship Id="rId13" Type="http://schemas.openxmlformats.org/officeDocument/2006/relationships/ctrlProp" Target="../ctrlProps/ctrlProp29.xml"/><Relationship Id="rId18" Type="http://schemas.openxmlformats.org/officeDocument/2006/relationships/ctrlProp" Target="../ctrlProps/ctrlProp34.xml"/><Relationship Id="rId3" Type="http://schemas.openxmlformats.org/officeDocument/2006/relationships/vmlDrawing" Target="../drawings/vmlDrawing4.vml"/><Relationship Id="rId21" Type="http://schemas.openxmlformats.org/officeDocument/2006/relationships/ctrlProp" Target="../ctrlProps/ctrlProp37.xml"/><Relationship Id="rId7" Type="http://schemas.openxmlformats.org/officeDocument/2006/relationships/ctrlProp" Target="../ctrlProps/ctrlProp23.xml"/><Relationship Id="rId12" Type="http://schemas.openxmlformats.org/officeDocument/2006/relationships/ctrlProp" Target="../ctrlProps/ctrlProp28.xml"/><Relationship Id="rId17" Type="http://schemas.openxmlformats.org/officeDocument/2006/relationships/ctrlProp" Target="../ctrlProps/ctrlProp33.xml"/><Relationship Id="rId2" Type="http://schemas.openxmlformats.org/officeDocument/2006/relationships/drawing" Target="../drawings/drawing8.xml"/><Relationship Id="rId16" Type="http://schemas.openxmlformats.org/officeDocument/2006/relationships/ctrlProp" Target="../ctrlProps/ctrlProp32.xml"/><Relationship Id="rId20" Type="http://schemas.openxmlformats.org/officeDocument/2006/relationships/ctrlProp" Target="../ctrlProps/ctrlProp36.xml"/><Relationship Id="rId1" Type="http://schemas.openxmlformats.org/officeDocument/2006/relationships/printerSettings" Target="../printerSettings/printerSettings8.bin"/><Relationship Id="rId6" Type="http://schemas.openxmlformats.org/officeDocument/2006/relationships/ctrlProp" Target="../ctrlProps/ctrlProp22.xml"/><Relationship Id="rId11" Type="http://schemas.openxmlformats.org/officeDocument/2006/relationships/ctrlProp" Target="../ctrlProps/ctrlProp27.xml"/><Relationship Id="rId24" Type="http://schemas.openxmlformats.org/officeDocument/2006/relationships/ctrlProp" Target="../ctrlProps/ctrlProp40.xml"/><Relationship Id="rId5" Type="http://schemas.openxmlformats.org/officeDocument/2006/relationships/ctrlProp" Target="../ctrlProps/ctrlProp21.xml"/><Relationship Id="rId15" Type="http://schemas.openxmlformats.org/officeDocument/2006/relationships/ctrlProp" Target="../ctrlProps/ctrlProp31.xml"/><Relationship Id="rId23" Type="http://schemas.openxmlformats.org/officeDocument/2006/relationships/ctrlProp" Target="../ctrlProps/ctrlProp39.xml"/><Relationship Id="rId10" Type="http://schemas.openxmlformats.org/officeDocument/2006/relationships/ctrlProp" Target="../ctrlProps/ctrlProp26.xml"/><Relationship Id="rId19" Type="http://schemas.openxmlformats.org/officeDocument/2006/relationships/ctrlProp" Target="../ctrlProps/ctrlProp35.xml"/><Relationship Id="rId4" Type="http://schemas.openxmlformats.org/officeDocument/2006/relationships/ctrlProp" Target="../ctrlProps/ctrlProp20.xml"/><Relationship Id="rId9" Type="http://schemas.openxmlformats.org/officeDocument/2006/relationships/ctrlProp" Target="../ctrlProps/ctrlProp25.xml"/><Relationship Id="rId14" Type="http://schemas.openxmlformats.org/officeDocument/2006/relationships/ctrlProp" Target="../ctrlProps/ctrlProp30.xml"/><Relationship Id="rId22" Type="http://schemas.openxmlformats.org/officeDocument/2006/relationships/ctrlProp" Target="../ctrlProps/ctrlProp38.xml"/></Relationships>
</file>

<file path=xl/worksheets/_rels/sheet9.xml.rels><?xml version="1.0" encoding="UTF-8" standalone="yes"?>
<Relationships xmlns="http://schemas.openxmlformats.org/package/2006/relationships"><Relationship Id="rId3" Type="http://schemas.openxmlformats.org/officeDocument/2006/relationships/hyperlink" Target="http://www.pseglinyportal.com/" TargetMode="External"/><Relationship Id="rId2" Type="http://schemas.openxmlformats.org/officeDocument/2006/relationships/hyperlink" Target="mailto:CEPLI@pseg.com" TargetMode="External"/><Relationship Id="rId1" Type="http://schemas.openxmlformats.org/officeDocument/2006/relationships/hyperlink" Target="http://www.neep.org/" TargetMode="External"/><Relationship Id="rId5" Type="http://schemas.openxmlformats.org/officeDocument/2006/relationships/drawing" Target="../drawings/drawing9.xml"/><Relationship Id="rId4"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6">
    <pageSetUpPr fitToPage="1"/>
  </sheetPr>
  <dimension ref="A1:IU211"/>
  <sheetViews>
    <sheetView showGridLines="0" zoomScaleNormal="100" workbookViewId="0"/>
  </sheetViews>
  <sheetFormatPr defaultColWidth="0" defaultRowHeight="14.5"/>
  <cols>
    <col min="1" max="2" width="3.54296875" customWidth="1"/>
    <col min="3" max="3" width="2.453125" customWidth="1"/>
    <col min="4" max="4" width="22.54296875" customWidth="1"/>
    <col min="5" max="7" width="15.54296875" customWidth="1"/>
    <col min="8" max="8" width="26.54296875" customWidth="1"/>
    <col min="9" max="9" width="22.453125" customWidth="1"/>
    <col min="10" max="10" width="18.54296875" customWidth="1"/>
    <col min="11" max="11" width="15.54296875" customWidth="1"/>
    <col min="12" max="12" width="3.54296875" customWidth="1"/>
    <col min="13" max="255" width="8.81640625" hidden="1" customWidth="1"/>
    <col min="256" max="16384" width="2.1796875" hidden="1"/>
  </cols>
  <sheetData>
    <row r="1" spans="2:11" ht="55.4" customHeight="1">
      <c r="B1" s="2100" t="str">
        <f>Development!A3&amp;" Residential Rebate Application Form"</f>
        <v>2024 Residential Rebate Application Form</v>
      </c>
      <c r="C1" s="2100"/>
      <c r="D1" s="2100"/>
      <c r="E1" s="2100"/>
      <c r="F1" s="2100"/>
      <c r="G1" s="2100"/>
      <c r="H1" s="2100"/>
      <c r="I1" s="2100"/>
      <c r="J1" s="2100"/>
      <c r="K1" s="2100"/>
    </row>
    <row r="2" spans="2:11" ht="55.4" customHeight="1">
      <c r="C2" s="2101" t="s">
        <v>298</v>
      </c>
      <c r="D2" s="2101"/>
      <c r="E2" s="2101"/>
      <c r="F2" s="2101"/>
      <c r="G2" s="2101"/>
      <c r="H2" s="2101"/>
      <c r="I2" s="2101"/>
      <c r="J2" s="120"/>
    </row>
    <row r="3" spans="2:11" s="1" customFormat="1" ht="14"/>
    <row r="4" spans="2:11" s="1" customFormat="1" ht="18">
      <c r="B4" s="2097" t="s">
        <v>299</v>
      </c>
      <c r="C4" s="2098"/>
      <c r="D4" s="2098"/>
      <c r="E4" s="2098"/>
      <c r="F4" s="2098"/>
      <c r="G4" s="2098"/>
      <c r="H4" s="2098"/>
      <c r="I4" s="2098"/>
      <c r="J4" s="2098"/>
      <c r="K4" s="2099"/>
    </row>
    <row r="5" spans="2:11" s="1" customFormat="1" ht="14"/>
    <row r="6" spans="2:11" s="1" customFormat="1" ht="18">
      <c r="B6" s="121" t="s">
        <v>300</v>
      </c>
      <c r="C6" s="121"/>
    </row>
    <row r="7" spans="2:11" s="1" customFormat="1" ht="15.5">
      <c r="B7" s="122" t="s">
        <v>23</v>
      </c>
      <c r="C7" s="123" t="s">
        <v>301</v>
      </c>
      <c r="D7" s="123"/>
      <c r="E7" s="123"/>
      <c r="F7" s="123"/>
      <c r="G7" s="123"/>
      <c r="H7" s="123"/>
      <c r="I7" s="123"/>
      <c r="J7" s="123"/>
      <c r="K7" s="123"/>
    </row>
    <row r="8" spans="2:11" s="1" customFormat="1" ht="15.5">
      <c r="B8" s="122" t="s">
        <v>24</v>
      </c>
      <c r="C8" s="123" t="s">
        <v>302</v>
      </c>
      <c r="D8" s="123"/>
      <c r="E8" s="123"/>
      <c r="F8" s="123"/>
      <c r="G8" s="123"/>
      <c r="H8" s="123"/>
      <c r="I8" s="123"/>
      <c r="J8" s="123"/>
      <c r="K8" s="123"/>
    </row>
    <row r="9" spans="2:11" s="1" customFormat="1" ht="15.5">
      <c r="B9" s="122" t="s">
        <v>25</v>
      </c>
      <c r="C9" s="123" t="str">
        <f>"Customer fills out and signs the "&amp;Development!A3&amp;" Residential Rebate Application Form."</f>
        <v>Customer fills out and signs the 2024 Residential Rebate Application Form.</v>
      </c>
      <c r="D9" s="123"/>
      <c r="E9" s="123"/>
      <c r="F9" s="123"/>
      <c r="G9" s="123"/>
      <c r="H9" s="123"/>
      <c r="I9" s="123"/>
      <c r="J9" s="123"/>
      <c r="K9" s="123"/>
    </row>
    <row r="10" spans="2:11" s="1" customFormat="1" ht="15.5">
      <c r="B10" s="124" t="s">
        <v>26</v>
      </c>
      <c r="C10" s="2102" t="str">
        <f>"Customer submits "&amp;Development!A3&amp;" Residential Rebate Application Form and all required documentation listed below. Copy all forms prior to submission/keep a copy for your records."</f>
        <v>Customer submits 2024 Residential Rebate Application Form and all required documentation listed below. Copy all forms prior to submission/keep a copy for your records.</v>
      </c>
      <c r="D10" s="2102"/>
      <c r="E10" s="2102"/>
      <c r="F10" s="2102"/>
      <c r="G10" s="2102"/>
      <c r="H10" s="2102"/>
      <c r="I10" s="2102"/>
      <c r="J10" s="2102"/>
      <c r="K10" s="2102"/>
    </row>
    <row r="11" spans="2:11" s="1" customFormat="1" ht="15.5">
      <c r="B11" s="122" t="s">
        <v>27</v>
      </c>
      <c r="C11" s="123" t="s">
        <v>303</v>
      </c>
      <c r="D11" s="123"/>
      <c r="E11" s="123"/>
      <c r="F11" s="123"/>
      <c r="G11" s="123"/>
      <c r="H11" s="123"/>
      <c r="I11" s="123"/>
      <c r="J11" s="123"/>
      <c r="K11" s="123"/>
    </row>
    <row r="12" spans="2:11" s="1" customFormat="1" ht="14"/>
    <row r="13" spans="2:11" s="1" customFormat="1" ht="15.5">
      <c r="B13" s="123" t="s">
        <v>304</v>
      </c>
    </row>
    <row r="14" spans="2:11" s="1" customFormat="1" ht="14"/>
    <row r="15" spans="2:11" s="1" customFormat="1" ht="14"/>
    <row r="16" spans="2:11" s="1" customFormat="1" ht="14"/>
    <row r="17" spans="3:4" s="1" customFormat="1" ht="14"/>
    <row r="18" spans="3:4" s="1" customFormat="1" ht="18.5">
      <c r="C18" s="125" t="s">
        <v>305</v>
      </c>
      <c r="D18" s="123" t="s">
        <v>306</v>
      </c>
    </row>
    <row r="19" spans="3:4" s="1" customFormat="1" ht="18.5">
      <c r="C19" s="125" t="s">
        <v>305</v>
      </c>
      <c r="D19" s="123" t="s">
        <v>307</v>
      </c>
    </row>
    <row r="20" spans="3:4" s="1" customFormat="1" ht="18.5">
      <c r="C20" s="125" t="s">
        <v>305</v>
      </c>
      <c r="D20" s="123" t="s">
        <v>308</v>
      </c>
    </row>
    <row r="21" spans="3:4" s="1" customFormat="1" ht="18.5">
      <c r="C21" s="125" t="s">
        <v>305</v>
      </c>
      <c r="D21" s="123" t="s">
        <v>309</v>
      </c>
    </row>
    <row r="22" spans="3:4" s="1" customFormat="1" ht="18.5">
      <c r="C22" s="125" t="s">
        <v>305</v>
      </c>
      <c r="D22" s="123" t="s">
        <v>310</v>
      </c>
    </row>
    <row r="23" spans="3:4" s="1" customFormat="1" ht="14"/>
    <row r="24" spans="3:4" s="1" customFormat="1" ht="14"/>
    <row r="25" spans="3:4" s="1" customFormat="1" ht="18">
      <c r="C25" s="121" t="s">
        <v>311</v>
      </c>
    </row>
    <row r="26" spans="3:4" s="1" customFormat="1" ht="14"/>
    <row r="27" spans="3:4" s="1" customFormat="1" ht="14"/>
    <row r="28" spans="3:4" s="1" customFormat="1" ht="14"/>
    <row r="29" spans="3:4" s="1" customFormat="1" ht="14"/>
    <row r="30" spans="3:4" s="1" customFormat="1" ht="14"/>
    <row r="31" spans="3:4" s="1" customFormat="1" ht="14"/>
    <row r="32" spans="3:4" s="1" customFormat="1" ht="14"/>
    <row r="33" spans="2:11" s="1" customFormat="1" ht="14"/>
    <row r="34" spans="2:11" s="1" customFormat="1" ht="14"/>
    <row r="35" spans="2:11" s="1" customFormat="1" ht="14"/>
    <row r="36" spans="2:11" s="1" customFormat="1" ht="14"/>
    <row r="37" spans="2:11" s="1" customFormat="1" ht="14"/>
    <row r="38" spans="2:11" s="1" customFormat="1" ht="14"/>
    <row r="39" spans="2:11" s="1" customFormat="1" ht="14"/>
    <row r="40" spans="2:11" s="1" customFormat="1" ht="18">
      <c r="B40" s="121" t="s">
        <v>312</v>
      </c>
    </row>
    <row r="41" spans="2:11" s="1" customFormat="1" ht="18" customHeight="1">
      <c r="B41" s="122" t="s">
        <v>23</v>
      </c>
      <c r="C41" s="126" t="s">
        <v>313</v>
      </c>
      <c r="D41" s="126"/>
      <c r="E41" s="126"/>
      <c r="F41" s="126"/>
      <c r="G41" s="126"/>
      <c r="H41" s="126"/>
      <c r="I41" s="126"/>
      <c r="J41" s="126"/>
      <c r="K41" s="126"/>
    </row>
    <row r="42" spans="2:11" s="1" customFormat="1" ht="18" customHeight="1">
      <c r="B42" s="122" t="s">
        <v>24</v>
      </c>
      <c r="C42" s="126" t="str">
        <f>"Unit(s) must be purchased and installed between "&amp;TEXT(DATE(Development!A3,1,1),"M/D/YY")&amp;" and "&amp;TEXT(DATE(Development!A3,12,31),"M/D/YY")&amp;"."</f>
        <v>Unit(s) must be purchased and installed between 1/1/24 and 12/31/24.</v>
      </c>
      <c r="D42" s="126"/>
      <c r="E42" s="126"/>
      <c r="F42" s="126"/>
      <c r="G42" s="126"/>
      <c r="H42" s="126"/>
      <c r="I42" s="126"/>
      <c r="J42" s="126"/>
      <c r="K42" s="126"/>
    </row>
    <row r="43" spans="2:11" s="1" customFormat="1" ht="18" customHeight="1">
      <c r="B43" s="122" t="s">
        <v>25</v>
      </c>
      <c r="C43" s="126" t="str">
        <f>"Rebate application must be submitted within 90 days of purchase and postmarked no later than "&amp;TEXT(DATE(Development!A3,12,31),"M/D/YY")&amp;"."</f>
        <v>Rebate application must be submitted within 90 days of purchase and postmarked no later than 12/31/24.</v>
      </c>
      <c r="D43" s="126"/>
      <c r="E43" s="126"/>
      <c r="F43" s="126"/>
      <c r="G43" s="126"/>
      <c r="H43" s="126"/>
      <c r="I43" s="126"/>
      <c r="J43" s="126"/>
      <c r="K43" s="126"/>
    </row>
    <row r="44" spans="2:11" s="1" customFormat="1" ht="18" customHeight="1">
      <c r="B44" s="124" t="s">
        <v>26</v>
      </c>
      <c r="C44" s="126" t="s">
        <v>314</v>
      </c>
      <c r="D44" s="126"/>
      <c r="E44" s="126"/>
      <c r="F44" s="126"/>
      <c r="G44" s="126"/>
      <c r="H44" s="126"/>
      <c r="I44" s="126"/>
      <c r="J44" s="126"/>
      <c r="K44" s="126"/>
    </row>
    <row r="45" spans="2:11" s="1" customFormat="1" ht="18" customHeight="1">
      <c r="B45" s="124" t="s">
        <v>27</v>
      </c>
      <c r="C45" s="126" t="s">
        <v>356</v>
      </c>
      <c r="D45" s="126"/>
      <c r="E45" s="126"/>
      <c r="F45" s="126"/>
      <c r="G45" s="126"/>
      <c r="H45" s="126"/>
      <c r="I45" s="126"/>
      <c r="J45" s="126"/>
      <c r="K45" s="126"/>
    </row>
    <row r="46" spans="2:11" s="1" customFormat="1" ht="33" customHeight="1">
      <c r="B46" s="124" t="s">
        <v>28</v>
      </c>
      <c r="C46" s="2103" t="s">
        <v>315</v>
      </c>
      <c r="D46" s="2103"/>
      <c r="E46" s="2103"/>
      <c r="F46" s="2103"/>
      <c r="G46" s="2103"/>
      <c r="H46" s="2103"/>
      <c r="I46" s="2103"/>
      <c r="J46" s="2103"/>
      <c r="K46" s="2103"/>
    </row>
    <row r="47" spans="2:11" s="1" customFormat="1" ht="33" customHeight="1">
      <c r="B47" s="124" t="s">
        <v>119</v>
      </c>
      <c r="C47" s="2103" t="s">
        <v>316</v>
      </c>
      <c r="D47" s="2103"/>
      <c r="E47" s="2103"/>
      <c r="F47" s="2103"/>
      <c r="G47" s="2103"/>
      <c r="H47" s="2103"/>
      <c r="I47" s="2103"/>
      <c r="J47" s="2103"/>
      <c r="K47" s="2103"/>
    </row>
    <row r="48" spans="2:11" s="1" customFormat="1" ht="50.15" customHeight="1">
      <c r="B48" s="124" t="s">
        <v>122</v>
      </c>
      <c r="C48" s="2103" t="s">
        <v>317</v>
      </c>
      <c r="D48" s="2103"/>
      <c r="E48" s="2103"/>
      <c r="F48" s="2103"/>
      <c r="G48" s="2103"/>
      <c r="H48" s="2103"/>
      <c r="I48" s="2103"/>
      <c r="J48" s="2103"/>
      <c r="K48" s="2103"/>
    </row>
    <row r="49" spans="2:11" s="1" customFormat="1" ht="35.15" customHeight="1">
      <c r="B49" s="124" t="s">
        <v>123</v>
      </c>
      <c r="C49" s="2103" t="s">
        <v>318</v>
      </c>
      <c r="D49" s="2103"/>
      <c r="E49" s="2103"/>
      <c r="F49" s="2103"/>
      <c r="G49" s="2103"/>
      <c r="H49" s="2103"/>
      <c r="I49" s="2103"/>
      <c r="J49" s="2103"/>
      <c r="K49" s="2103"/>
    </row>
    <row r="50" spans="2:11" s="1" customFormat="1" ht="18" customHeight="1">
      <c r="B50" s="124" t="s">
        <v>124</v>
      </c>
      <c r="C50" s="126" t="s">
        <v>319</v>
      </c>
      <c r="D50" s="126"/>
      <c r="E50" s="126"/>
      <c r="F50" s="126"/>
      <c r="G50" s="126"/>
      <c r="H50" s="126"/>
      <c r="I50" s="126"/>
      <c r="J50" s="126"/>
      <c r="K50" s="126"/>
    </row>
    <row r="51" spans="2:11" s="1" customFormat="1" ht="18" customHeight="1">
      <c r="B51" s="124" t="s">
        <v>125</v>
      </c>
      <c r="C51" s="126" t="s">
        <v>320</v>
      </c>
      <c r="D51" s="126"/>
      <c r="E51" s="126"/>
      <c r="F51" s="126"/>
      <c r="G51" s="126"/>
      <c r="H51" s="126"/>
      <c r="I51" s="126"/>
      <c r="J51" s="126"/>
      <c r="K51" s="126"/>
    </row>
    <row r="52" spans="2:11" s="1" customFormat="1" ht="18" customHeight="1">
      <c r="B52" s="124" t="s">
        <v>126</v>
      </c>
      <c r="C52" s="126" t="s">
        <v>321</v>
      </c>
      <c r="D52" s="126"/>
      <c r="E52" s="126"/>
      <c r="F52" s="126"/>
      <c r="G52" s="126"/>
      <c r="H52" s="126"/>
      <c r="I52" s="126"/>
      <c r="J52" s="126"/>
      <c r="K52" s="126"/>
    </row>
    <row r="53" spans="2:11" s="1" customFormat="1" ht="14"/>
    <row r="54" spans="2:11" s="1" customFormat="1" ht="18">
      <c r="B54" s="121" t="s">
        <v>322</v>
      </c>
    </row>
    <row r="55" spans="2:11" s="1" customFormat="1" ht="15.5">
      <c r="C55" s="123" t="s">
        <v>323</v>
      </c>
      <c r="D55" s="123"/>
      <c r="E55" s="123"/>
      <c r="F55" s="123"/>
      <c r="G55" s="123"/>
    </row>
    <row r="56" spans="2:11" s="1" customFormat="1" ht="15.5">
      <c r="C56" s="123" t="s">
        <v>357</v>
      </c>
      <c r="D56" s="123"/>
      <c r="E56" s="123"/>
      <c r="F56" s="123"/>
      <c r="G56" s="123"/>
    </row>
    <row r="57" spans="2:11" s="1" customFormat="1" ht="15.5">
      <c r="C57" s="123"/>
      <c r="D57" s="123" t="s">
        <v>324</v>
      </c>
      <c r="E57" s="123"/>
      <c r="F57" s="123"/>
      <c r="G57" s="123"/>
    </row>
    <row r="58" spans="2:11" s="1" customFormat="1" ht="14"/>
    <row r="59" spans="2:11" s="1" customFormat="1" ht="14"/>
    <row r="60" spans="2:11" s="1" customFormat="1" ht="14"/>
    <row r="61" spans="2:11" s="1" customFormat="1" ht="14">
      <c r="B61" s="2104" t="s">
        <v>325</v>
      </c>
      <c r="C61" s="2104"/>
      <c r="D61" s="2104"/>
      <c r="E61" s="2104"/>
      <c r="F61" s="2104"/>
      <c r="G61" s="2104"/>
      <c r="H61" s="2104"/>
      <c r="I61" s="2104"/>
      <c r="J61" s="2104"/>
      <c r="K61" s="2104"/>
    </row>
    <row r="62" spans="2:11" s="1" customFormat="1" ht="14">
      <c r="B62" s="62"/>
      <c r="C62" s="62"/>
      <c r="D62" s="62"/>
      <c r="E62" s="62"/>
      <c r="F62" s="62"/>
      <c r="G62" s="62"/>
      <c r="H62" s="62"/>
      <c r="I62" s="62"/>
      <c r="J62" s="62"/>
      <c r="K62" s="62"/>
    </row>
    <row r="63" spans="2:11" s="1" customFormat="1" ht="14">
      <c r="B63" s="62"/>
      <c r="C63" s="62"/>
      <c r="D63" s="62"/>
      <c r="E63" s="62"/>
      <c r="F63" s="62"/>
      <c r="G63" s="62"/>
      <c r="H63" s="62"/>
      <c r="I63" s="62"/>
      <c r="J63" s="62"/>
      <c r="K63" s="62"/>
    </row>
    <row r="64" spans="2:11" s="1" customFormat="1" ht="14">
      <c r="B64" s="62"/>
      <c r="C64" s="62"/>
      <c r="D64" s="62"/>
      <c r="E64" s="62"/>
      <c r="F64" s="62"/>
      <c r="G64" s="62"/>
      <c r="H64" s="62"/>
      <c r="I64" s="62"/>
      <c r="J64" s="62"/>
      <c r="K64" s="62"/>
    </row>
    <row r="65" spans="2:11" s="1" customFormat="1" ht="14">
      <c r="B65" s="62"/>
      <c r="C65" s="62"/>
      <c r="D65" s="62"/>
      <c r="E65" s="62"/>
      <c r="F65" s="62"/>
      <c r="G65" s="62"/>
      <c r="H65" s="62"/>
      <c r="I65" s="62"/>
      <c r="J65" s="62"/>
      <c r="K65" s="62"/>
    </row>
    <row r="66" spans="2:11" s="1" customFormat="1" ht="55.4" customHeight="1">
      <c r="B66" s="2100" t="str">
        <f>Development!A3&amp;" Residential Rebate Application Form"</f>
        <v>2024 Residential Rebate Application Form</v>
      </c>
      <c r="C66" s="2100"/>
      <c r="D66" s="2100"/>
      <c r="E66" s="2100"/>
      <c r="F66" s="2100"/>
      <c r="G66" s="2100"/>
      <c r="H66" s="2100"/>
      <c r="I66" s="2100"/>
      <c r="J66" s="2100"/>
      <c r="K66" s="2100"/>
    </row>
    <row r="67" spans="2:11" s="1" customFormat="1" ht="55.4" customHeight="1">
      <c r="B67"/>
      <c r="C67" s="2101" t="s">
        <v>298</v>
      </c>
      <c r="D67" s="2101"/>
      <c r="E67" s="2101"/>
      <c r="F67" s="2101"/>
      <c r="G67" s="2101"/>
      <c r="H67" s="2101"/>
      <c r="I67" s="2101"/>
      <c r="J67" s="120"/>
      <c r="K67"/>
    </row>
    <row r="68" spans="2:11" s="1" customFormat="1" ht="14">
      <c r="I68" s="127"/>
    </row>
    <row r="69" spans="2:11" s="1" customFormat="1" ht="18">
      <c r="B69" s="2097" t="s">
        <v>326</v>
      </c>
      <c r="C69" s="2098"/>
      <c r="D69" s="2098"/>
      <c r="E69" s="2098"/>
      <c r="F69" s="2098"/>
      <c r="G69" s="2098"/>
      <c r="H69" s="2098"/>
      <c r="I69" s="2098"/>
      <c r="J69" s="2098"/>
      <c r="K69" s="2099"/>
    </row>
    <row r="70" spans="2:11" s="1" customFormat="1" ht="14"/>
    <row r="71" spans="2:11" s="1" customFormat="1" ht="20.149999999999999" customHeight="1">
      <c r="B71" s="1" t="s">
        <v>327</v>
      </c>
      <c r="H71" s="2108"/>
      <c r="I71" s="2108"/>
      <c r="J71" s="2108"/>
    </row>
    <row r="72" spans="2:11" s="1" customFormat="1" ht="20.149999999999999" customHeight="1"/>
    <row r="73" spans="2:11" s="1" customFormat="1" ht="20.149999999999999" customHeight="1">
      <c r="B73" s="1" t="s">
        <v>328</v>
      </c>
      <c r="E73" s="2108"/>
      <c r="F73" s="2108"/>
      <c r="G73" s="2108"/>
      <c r="H73" s="128" t="s">
        <v>329</v>
      </c>
      <c r="I73" s="2109"/>
      <c r="J73" s="2109"/>
    </row>
    <row r="74" spans="2:11" s="1" customFormat="1" ht="20.149999999999999" customHeight="1"/>
    <row r="75" spans="2:11" s="1" customFormat="1" ht="20.149999999999999" customHeight="1">
      <c r="B75" s="1" t="s">
        <v>330</v>
      </c>
      <c r="E75" s="2108"/>
      <c r="F75" s="2108"/>
      <c r="G75" s="2108"/>
    </row>
    <row r="76" spans="2:11" s="1" customFormat="1" ht="20.149999999999999" customHeight="1"/>
    <row r="77" spans="2:11" s="1" customFormat="1" ht="20.149999999999999" customHeight="1">
      <c r="B77" s="1" t="s">
        <v>0</v>
      </c>
      <c r="E77" s="2108"/>
      <c r="F77" s="2108"/>
      <c r="G77" s="128" t="s">
        <v>331</v>
      </c>
      <c r="H77" s="119"/>
      <c r="I77" s="128" t="s">
        <v>1</v>
      </c>
      <c r="J77" s="119"/>
    </row>
    <row r="78" spans="2:11" s="1" customFormat="1" ht="20.149999999999999" customHeight="1"/>
    <row r="79" spans="2:11" s="1" customFormat="1" ht="20.149999999999999" customHeight="1">
      <c r="B79" s="1" t="s">
        <v>332</v>
      </c>
      <c r="E79" s="2108"/>
      <c r="F79" s="2108"/>
      <c r="G79" s="128" t="s">
        <v>333</v>
      </c>
      <c r="H79" s="119"/>
    </row>
    <row r="80" spans="2:11" s="1" customFormat="1" ht="20.149999999999999" customHeight="1"/>
    <row r="81" spans="2:11" s="1" customFormat="1" ht="20.149999999999999" customHeight="1">
      <c r="B81" s="1" t="s">
        <v>334</v>
      </c>
      <c r="E81" s="2108"/>
      <c r="F81" s="2108"/>
      <c r="G81" s="2108"/>
    </row>
    <row r="82" spans="2:11" s="1" customFormat="1" ht="20.149999999999999" customHeight="1"/>
    <row r="83" spans="2:11" s="1" customFormat="1" ht="20.149999999999999" customHeight="1">
      <c r="B83" s="1" t="s">
        <v>0</v>
      </c>
      <c r="E83" s="2108"/>
      <c r="F83" s="2108"/>
      <c r="G83" s="128" t="s">
        <v>331</v>
      </c>
      <c r="H83" s="119"/>
      <c r="I83" s="128" t="s">
        <v>1</v>
      </c>
      <c r="J83" s="119"/>
    </row>
    <row r="84" spans="2:11" s="1" customFormat="1" ht="20.149999999999999" customHeight="1"/>
    <row r="85" spans="2:11" s="1" customFormat="1" ht="20.149999999999999" customHeight="1">
      <c r="B85" s="1" t="s">
        <v>335</v>
      </c>
      <c r="E85" s="2108"/>
      <c r="F85" s="2108"/>
      <c r="G85" s="2108"/>
      <c r="I85" s="1" t="s">
        <v>336</v>
      </c>
      <c r="J85" s="119"/>
    </row>
    <row r="86" spans="2:11" s="1" customFormat="1" ht="20.149999999999999" customHeight="1"/>
    <row r="87" spans="2:11" s="1" customFormat="1" ht="20.149999999999999" customHeight="1">
      <c r="B87" s="1" t="s">
        <v>337</v>
      </c>
      <c r="E87" s="2108"/>
      <c r="F87" s="2108"/>
    </row>
    <row r="88" spans="2:11" s="1" customFormat="1" ht="14"/>
    <row r="89" spans="2:11" s="1" customFormat="1" ht="18">
      <c r="B89" s="2097" t="s">
        <v>338</v>
      </c>
      <c r="C89" s="2098"/>
      <c r="D89" s="2098"/>
      <c r="E89" s="2098"/>
      <c r="F89" s="2098"/>
      <c r="G89" s="2098"/>
      <c r="H89" s="2098"/>
      <c r="I89" s="2098"/>
      <c r="J89" s="2098"/>
      <c r="K89" s="2099"/>
    </row>
    <row r="90" spans="2:11" s="1" customFormat="1" ht="14"/>
    <row r="91" spans="2:11" s="1" customFormat="1" ht="18">
      <c r="B91" s="121" t="s">
        <v>339</v>
      </c>
    </row>
    <row r="92" spans="2:11" s="1" customFormat="1" ht="14"/>
    <row r="93" spans="2:11" s="1" customFormat="1" ht="19.399999999999999" customHeight="1">
      <c r="B93" s="2105" t="s">
        <v>340</v>
      </c>
      <c r="C93" s="2106"/>
      <c r="D93" s="2106"/>
      <c r="E93" s="2106"/>
      <c r="F93" s="2106"/>
      <c r="G93" s="2106"/>
      <c r="H93" s="2106"/>
      <c r="I93" s="2106"/>
      <c r="J93" s="2107"/>
    </row>
    <row r="94" spans="2:11" s="1" customFormat="1" ht="20.149999999999999" customHeight="1">
      <c r="B94" s="2110" t="s">
        <v>341</v>
      </c>
      <c r="C94" s="2110"/>
      <c r="D94" s="2110"/>
      <c r="E94" s="2111"/>
      <c r="F94" s="2111"/>
      <c r="G94" s="2111"/>
      <c r="H94" s="129" t="s">
        <v>342</v>
      </c>
      <c r="I94" s="2111"/>
      <c r="J94" s="2111"/>
    </row>
    <row r="95" spans="2:11" s="1" customFormat="1" ht="20.149999999999999" customHeight="1">
      <c r="B95" s="2110" t="s">
        <v>343</v>
      </c>
      <c r="C95" s="2110"/>
      <c r="D95" s="2110"/>
      <c r="E95" s="2111"/>
      <c r="F95" s="2111"/>
      <c r="G95" s="2111"/>
      <c r="H95" s="129" t="s">
        <v>344</v>
      </c>
      <c r="I95" s="2111"/>
      <c r="J95" s="2111"/>
    </row>
    <row r="96" spans="2:11" s="1" customFormat="1" ht="20.149999999999999" customHeight="1">
      <c r="B96" s="2110" t="s">
        <v>345</v>
      </c>
      <c r="C96" s="2110"/>
      <c r="D96" s="2110"/>
      <c r="E96" s="2111"/>
      <c r="F96" s="2111"/>
      <c r="G96" s="2111"/>
      <c r="H96" s="129" t="s">
        <v>346</v>
      </c>
      <c r="I96" s="2111"/>
      <c r="J96" s="2111"/>
    </row>
    <row r="97" spans="2:10" s="1" customFormat="1" ht="20.149999999999999" customHeight="1">
      <c r="B97" s="2110" t="s">
        <v>347</v>
      </c>
      <c r="C97" s="2110"/>
      <c r="D97" s="2110"/>
      <c r="E97" s="2111"/>
      <c r="F97" s="2111"/>
      <c r="G97" s="2111"/>
      <c r="H97" s="129" t="s">
        <v>348</v>
      </c>
      <c r="I97" s="2111"/>
      <c r="J97" s="2111"/>
    </row>
    <row r="98" spans="2:10" s="1" customFormat="1" ht="20.149999999999999" customHeight="1">
      <c r="B98" s="2110" t="s">
        <v>349</v>
      </c>
      <c r="C98" s="2110"/>
      <c r="D98" s="2110"/>
      <c r="E98" s="2111"/>
      <c r="F98" s="2111"/>
      <c r="G98" s="2111"/>
      <c r="H98" s="129" t="s">
        <v>350</v>
      </c>
      <c r="I98" s="2111"/>
      <c r="J98" s="2111"/>
    </row>
    <row r="99" spans="2:10" s="1" customFormat="1" ht="5.15" customHeight="1">
      <c r="B99" s="67"/>
      <c r="C99" s="67"/>
      <c r="D99" s="67"/>
      <c r="E99" s="67"/>
      <c r="F99" s="67"/>
      <c r="G99" s="67"/>
      <c r="H99" s="67"/>
      <c r="I99" s="67"/>
      <c r="J99" s="67"/>
    </row>
    <row r="100" spans="2:10" s="1" customFormat="1" ht="15.5">
      <c r="B100" s="2105" t="s">
        <v>73</v>
      </c>
      <c r="C100" s="2106"/>
      <c r="D100" s="2106"/>
      <c r="E100" s="2106"/>
      <c r="F100" s="2106"/>
      <c r="G100" s="2106"/>
      <c r="H100" s="2106"/>
      <c r="I100" s="2106"/>
      <c r="J100" s="2107"/>
    </row>
    <row r="101" spans="2:10" s="1" customFormat="1" ht="20.149999999999999" customHeight="1">
      <c r="B101" s="2110" t="s">
        <v>341</v>
      </c>
      <c r="C101" s="2110"/>
      <c r="D101" s="2110"/>
      <c r="E101" s="2111"/>
      <c r="F101" s="2111"/>
      <c r="G101" s="2111"/>
      <c r="H101" s="129" t="s">
        <v>344</v>
      </c>
      <c r="I101" s="2111"/>
      <c r="J101" s="2111"/>
    </row>
    <row r="102" spans="2:10" s="1" customFormat="1" ht="20.149999999999999" customHeight="1">
      <c r="B102" s="2110" t="s">
        <v>343</v>
      </c>
      <c r="C102" s="2110"/>
      <c r="D102" s="2110"/>
      <c r="E102" s="2111"/>
      <c r="F102" s="2111"/>
      <c r="G102" s="2111"/>
      <c r="H102" s="129" t="s">
        <v>346</v>
      </c>
      <c r="I102" s="2111"/>
      <c r="J102" s="2111"/>
    </row>
    <row r="103" spans="2:10" s="1" customFormat="1" ht="20.149999999999999" customHeight="1">
      <c r="B103" s="2110" t="s">
        <v>347</v>
      </c>
      <c r="C103" s="2110"/>
      <c r="D103" s="2110"/>
      <c r="E103" s="2111"/>
      <c r="F103" s="2111"/>
      <c r="G103" s="2111"/>
      <c r="H103" s="129" t="s">
        <v>350</v>
      </c>
      <c r="I103" s="2111"/>
      <c r="J103" s="2111"/>
    </row>
    <row r="104" spans="2:10" s="1" customFormat="1" ht="14"/>
    <row r="105" spans="2:10" s="1" customFormat="1" ht="33" customHeight="1">
      <c r="B105" s="2112" t="s">
        <v>351</v>
      </c>
      <c r="C105" s="2112"/>
      <c r="D105" s="2112"/>
    </row>
    <row r="106" spans="2:10" s="1" customFormat="1" ht="15.5">
      <c r="B106" s="2105" t="s">
        <v>340</v>
      </c>
      <c r="C106" s="2106"/>
      <c r="D106" s="2106"/>
      <c r="E106" s="2106"/>
      <c r="F106" s="2106"/>
      <c r="G106" s="2106"/>
      <c r="H106" s="2106"/>
      <c r="I106" s="2106"/>
      <c r="J106" s="2107"/>
    </row>
    <row r="107" spans="2:10" s="1" customFormat="1" ht="20.149999999999999" customHeight="1">
      <c r="B107" s="2110" t="s">
        <v>341</v>
      </c>
      <c r="C107" s="2110"/>
      <c r="D107" s="2110"/>
      <c r="E107" s="2111"/>
      <c r="F107" s="2111"/>
      <c r="G107" s="2111"/>
      <c r="H107" s="129" t="s">
        <v>342</v>
      </c>
      <c r="I107" s="2111"/>
      <c r="J107" s="2111"/>
    </row>
    <row r="108" spans="2:10" s="1" customFormat="1" ht="20.149999999999999" customHeight="1">
      <c r="B108" s="2110" t="s">
        <v>343</v>
      </c>
      <c r="C108" s="2110"/>
      <c r="D108" s="2110"/>
      <c r="E108" s="2111"/>
      <c r="F108" s="2111"/>
      <c r="G108" s="2111"/>
      <c r="H108" s="129" t="s">
        <v>344</v>
      </c>
      <c r="I108" s="2111"/>
      <c r="J108" s="2111"/>
    </row>
    <row r="109" spans="2:10" s="1" customFormat="1" ht="20.149999999999999" customHeight="1">
      <c r="B109" s="2110" t="s">
        <v>345</v>
      </c>
      <c r="C109" s="2110"/>
      <c r="D109" s="2110"/>
      <c r="E109" s="2111"/>
      <c r="F109" s="2111"/>
      <c r="G109" s="2111"/>
      <c r="H109" s="129" t="s">
        <v>346</v>
      </c>
      <c r="I109" s="2111"/>
      <c r="J109" s="2111"/>
    </row>
    <row r="110" spans="2:10" s="1" customFormat="1" ht="20.149999999999999" customHeight="1">
      <c r="B110" s="2110" t="s">
        <v>347</v>
      </c>
      <c r="C110" s="2110"/>
      <c r="D110" s="2110"/>
      <c r="E110" s="2111"/>
      <c r="F110" s="2111"/>
      <c r="G110" s="2111"/>
      <c r="H110" s="129" t="s">
        <v>348</v>
      </c>
      <c r="I110" s="2111"/>
      <c r="J110" s="2111"/>
    </row>
    <row r="111" spans="2:10" s="1" customFormat="1" ht="20.149999999999999" customHeight="1">
      <c r="B111" s="2110" t="s">
        <v>349</v>
      </c>
      <c r="C111" s="2110"/>
      <c r="D111" s="2110"/>
      <c r="E111" s="2111"/>
      <c r="F111" s="2111"/>
      <c r="G111" s="2111"/>
      <c r="H111" s="129" t="s">
        <v>350</v>
      </c>
      <c r="I111" s="2111"/>
      <c r="J111" s="2111"/>
    </row>
    <row r="112" spans="2:10" s="1" customFormat="1" ht="14">
      <c r="B112" s="67"/>
      <c r="C112" s="67"/>
      <c r="D112" s="67"/>
      <c r="E112" s="67"/>
      <c r="F112" s="67"/>
      <c r="G112" s="67"/>
      <c r="H112" s="67"/>
      <c r="I112" s="67"/>
      <c r="J112" s="67"/>
    </row>
    <row r="113" spans="2:11" s="1" customFormat="1" ht="15.5">
      <c r="B113" s="2105" t="s">
        <v>73</v>
      </c>
      <c r="C113" s="2106"/>
      <c r="D113" s="2106"/>
      <c r="E113" s="2106"/>
      <c r="F113" s="2106"/>
      <c r="G113" s="2106"/>
      <c r="H113" s="2106"/>
      <c r="I113" s="2106"/>
      <c r="J113" s="2107"/>
    </row>
    <row r="114" spans="2:11" s="1" customFormat="1" ht="20.149999999999999" customHeight="1">
      <c r="B114" s="2110" t="s">
        <v>341</v>
      </c>
      <c r="C114" s="2110"/>
      <c r="D114" s="2110"/>
      <c r="E114" s="2111"/>
      <c r="F114" s="2111"/>
      <c r="G114" s="2111"/>
      <c r="H114" s="129" t="s">
        <v>344</v>
      </c>
      <c r="I114" s="2111"/>
      <c r="J114" s="2111"/>
    </row>
    <row r="115" spans="2:11" s="1" customFormat="1" ht="20.149999999999999" customHeight="1">
      <c r="B115" s="2110" t="s">
        <v>343</v>
      </c>
      <c r="C115" s="2110"/>
      <c r="D115" s="2110"/>
      <c r="E115" s="2111"/>
      <c r="F115" s="2111"/>
      <c r="G115" s="2111"/>
      <c r="H115" s="129" t="s">
        <v>346</v>
      </c>
      <c r="I115" s="2111"/>
      <c r="J115" s="2111"/>
    </row>
    <row r="116" spans="2:11" s="1" customFormat="1" ht="20.149999999999999" customHeight="1">
      <c r="B116" s="2110" t="s">
        <v>347</v>
      </c>
      <c r="C116" s="2110"/>
      <c r="D116" s="2110"/>
      <c r="E116" s="2111"/>
      <c r="F116" s="2111"/>
      <c r="G116" s="2111"/>
      <c r="H116" s="129" t="s">
        <v>350</v>
      </c>
      <c r="I116" s="2111"/>
      <c r="J116" s="2111"/>
    </row>
    <row r="117" spans="2:11" s="1" customFormat="1" ht="14"/>
    <row r="118" spans="2:11" s="1" customFormat="1" ht="21.65" customHeight="1">
      <c r="I118" s="128" t="s">
        <v>352</v>
      </c>
      <c r="J118" s="130"/>
    </row>
    <row r="119" spans="2:11" s="1" customFormat="1" ht="14"/>
    <row r="120" spans="2:11" s="1" customFormat="1" ht="14">
      <c r="B120" s="2113" t="s">
        <v>353</v>
      </c>
      <c r="C120" s="2114"/>
      <c r="D120" s="2114"/>
      <c r="E120" s="2114"/>
      <c r="F120" s="2114"/>
      <c r="G120" s="2114"/>
      <c r="H120" s="2114"/>
      <c r="I120" s="2114"/>
      <c r="J120" s="2114"/>
      <c r="K120" s="2115"/>
    </row>
    <row r="121" spans="2:11" s="1" customFormat="1" ht="14">
      <c r="B121" s="113"/>
      <c r="K121" s="131"/>
    </row>
    <row r="122" spans="2:11" s="1" customFormat="1" ht="25.4" customHeight="1">
      <c r="B122" s="113" t="s">
        <v>354</v>
      </c>
      <c r="E122" s="2116"/>
      <c r="F122" s="2116"/>
      <c r="G122" s="2116"/>
      <c r="I122" s="1" t="s">
        <v>9</v>
      </c>
      <c r="J122" s="119"/>
      <c r="K122" s="131"/>
    </row>
    <row r="123" spans="2:11" s="1" customFormat="1" ht="14">
      <c r="B123" s="132"/>
      <c r="C123" s="68"/>
      <c r="D123" s="68"/>
      <c r="E123" s="68"/>
      <c r="F123" s="68"/>
      <c r="G123" s="68"/>
      <c r="H123" s="68"/>
      <c r="I123" s="68"/>
      <c r="J123" s="68"/>
      <c r="K123" s="133"/>
    </row>
    <row r="124" spans="2:11" s="1" customFormat="1" ht="14"/>
    <row r="125" spans="2:11" s="1" customFormat="1" ht="14">
      <c r="B125" s="2117" t="s">
        <v>355</v>
      </c>
      <c r="C125" s="2117"/>
      <c r="D125" s="2117"/>
      <c r="E125" s="2117"/>
      <c r="F125" s="2117"/>
      <c r="G125" s="2117"/>
      <c r="H125" s="2117"/>
      <c r="I125" s="2117"/>
      <c r="J125" s="2117"/>
      <c r="K125" s="2117"/>
    </row>
    <row r="126" spans="2:11" s="1" customFormat="1" ht="14"/>
    <row r="127" spans="2:11" s="1" customFormat="1" ht="14">
      <c r="B127" s="2117" t="s">
        <v>325</v>
      </c>
      <c r="C127" s="2117"/>
      <c r="D127" s="2117"/>
      <c r="E127" s="2117"/>
      <c r="F127" s="2117"/>
      <c r="G127" s="2117"/>
      <c r="H127" s="2117"/>
      <c r="I127" s="2117"/>
      <c r="J127" s="2117"/>
      <c r="K127" s="2117"/>
    </row>
    <row r="128" spans="2:11" s="1" customFormat="1" ht="14"/>
    <row r="129" s="1" customFormat="1" ht="14"/>
    <row r="130" s="1" customFormat="1" ht="14"/>
    <row r="131" s="1" customFormat="1" ht="14"/>
    <row r="132" s="1" customFormat="1" ht="14"/>
    <row r="133" s="1" customFormat="1" ht="14"/>
    <row r="134" s="1" customFormat="1" ht="14"/>
    <row r="135" s="1" customFormat="1" ht="14"/>
    <row r="136" s="1" customFormat="1" ht="14"/>
    <row r="137" s="1" customFormat="1" ht="14"/>
    <row r="138" s="1" customFormat="1" ht="14"/>
    <row r="139" s="1" customFormat="1" ht="14"/>
    <row r="140" s="1" customFormat="1" ht="14"/>
    <row r="141" s="1" customFormat="1" ht="14"/>
    <row r="142" s="1" customFormat="1" ht="14"/>
    <row r="143" s="1" customFormat="1" ht="14"/>
    <row r="144" s="1" customFormat="1" ht="14"/>
    <row r="145" s="1" customFormat="1" ht="14"/>
    <row r="146" s="1" customFormat="1" ht="14"/>
    <row r="147" s="1" customFormat="1" ht="14"/>
    <row r="148" s="1" customFormat="1" ht="14"/>
    <row r="149" s="1" customFormat="1" ht="14"/>
    <row r="150" s="1" customFormat="1" ht="14"/>
    <row r="151" s="1" customFormat="1" ht="14"/>
    <row r="152" s="1" customFormat="1" ht="14"/>
    <row r="153" s="1" customFormat="1" ht="14"/>
    <row r="154" s="1" customFormat="1" ht="14"/>
    <row r="155" s="1" customFormat="1" ht="14"/>
    <row r="156" s="1" customFormat="1" ht="14"/>
    <row r="157" s="1" customFormat="1" ht="14"/>
    <row r="158" s="1" customFormat="1" ht="14"/>
    <row r="159" s="1" customFormat="1" ht="14"/>
    <row r="160" s="1" customFormat="1" ht="14"/>
    <row r="161" s="1" customFormat="1" ht="14"/>
    <row r="162" s="1" customFormat="1" ht="14"/>
    <row r="163" s="1" customFormat="1" ht="14"/>
    <row r="164" s="1" customFormat="1" ht="14"/>
    <row r="165" s="1" customFormat="1" ht="14"/>
    <row r="166" s="1" customFormat="1" ht="14"/>
    <row r="167" s="1" customFormat="1" ht="14"/>
    <row r="168" s="1" customFormat="1" ht="14"/>
    <row r="169" s="1" customFormat="1" ht="14"/>
    <row r="170" s="1" customFormat="1" ht="14"/>
    <row r="171" s="1" customFormat="1" ht="14"/>
    <row r="172" s="1" customFormat="1" ht="14"/>
    <row r="173" s="1" customFormat="1" ht="14"/>
    <row r="174" s="1" customFormat="1" ht="14"/>
    <row r="175" s="1" customFormat="1" ht="14"/>
    <row r="176" s="1" customFormat="1" ht="14"/>
    <row r="177" s="1" customFormat="1" ht="14"/>
    <row r="178" s="1" customFormat="1" ht="14"/>
    <row r="179" s="1" customFormat="1" ht="14"/>
    <row r="180" s="1" customFormat="1" ht="14"/>
    <row r="181" s="1" customFormat="1" ht="14"/>
    <row r="182" s="1" customFormat="1" ht="14"/>
    <row r="183" s="1" customFormat="1" ht="14"/>
    <row r="184" s="1" customFormat="1" ht="14"/>
    <row r="185" s="1" customFormat="1" ht="14"/>
    <row r="186" s="1" customFormat="1" ht="14"/>
    <row r="187" s="1" customFormat="1" ht="14"/>
    <row r="188" s="1" customFormat="1" ht="14"/>
    <row r="189" s="1" customFormat="1" ht="14"/>
    <row r="190" s="1" customFormat="1" ht="14"/>
    <row r="191" s="1" customFormat="1" ht="14"/>
    <row r="192" s="1" customFormat="1" ht="14"/>
    <row r="193" s="1" customFormat="1" ht="14"/>
    <row r="194" s="1" customFormat="1" ht="14"/>
    <row r="195" s="1" customFormat="1" ht="14"/>
    <row r="196" s="1" customFormat="1" ht="14"/>
    <row r="197" s="1" customFormat="1" ht="14"/>
    <row r="198" s="1" customFormat="1" ht="14"/>
    <row r="199" s="1" customFormat="1" ht="14"/>
    <row r="200" s="1" customFormat="1" ht="14"/>
    <row r="201" s="1" customFormat="1" ht="14"/>
    <row r="202" s="1" customFormat="1" ht="14"/>
    <row r="203" s="1" customFormat="1" ht="14"/>
    <row r="204" s="1" customFormat="1" ht="14"/>
    <row r="205" s="1" customFormat="1" ht="14"/>
    <row r="206" s="1" customFormat="1" ht="14"/>
    <row r="207" s="1" customFormat="1" ht="14"/>
    <row r="208" s="1" customFormat="1" ht="14"/>
    <row r="209" s="1" customFormat="1" ht="14"/>
    <row r="210" s="1" customFormat="1" ht="14"/>
    <row r="211" s="1" customFormat="1" ht="14"/>
  </sheetData>
  <sheetProtection password="A36A" sheet="1" objects="1"/>
  <mergeCells count="80">
    <mergeCell ref="B120:K120"/>
    <mergeCell ref="E122:G122"/>
    <mergeCell ref="B125:K125"/>
    <mergeCell ref="B127:K127"/>
    <mergeCell ref="B115:D115"/>
    <mergeCell ref="E115:G115"/>
    <mergeCell ref="I115:J115"/>
    <mergeCell ref="B116:D116"/>
    <mergeCell ref="E116:G116"/>
    <mergeCell ref="I116:J116"/>
    <mergeCell ref="B111:D111"/>
    <mergeCell ref="E111:G111"/>
    <mergeCell ref="I111:J111"/>
    <mergeCell ref="B113:J113"/>
    <mergeCell ref="B114:D114"/>
    <mergeCell ref="E114:G114"/>
    <mergeCell ref="I114:J114"/>
    <mergeCell ref="B109:D109"/>
    <mergeCell ref="E109:G109"/>
    <mergeCell ref="I109:J109"/>
    <mergeCell ref="B110:D110"/>
    <mergeCell ref="E110:G110"/>
    <mergeCell ref="I110:J110"/>
    <mergeCell ref="B108:D108"/>
    <mergeCell ref="E108:G108"/>
    <mergeCell ref="I108:J108"/>
    <mergeCell ref="B102:D102"/>
    <mergeCell ref="E102:G102"/>
    <mergeCell ref="I102:J102"/>
    <mergeCell ref="B103:D103"/>
    <mergeCell ref="E103:G103"/>
    <mergeCell ref="I103:J103"/>
    <mergeCell ref="B105:D105"/>
    <mergeCell ref="B106:J106"/>
    <mergeCell ref="B107:D107"/>
    <mergeCell ref="E107:G107"/>
    <mergeCell ref="I107:J107"/>
    <mergeCell ref="B98:D98"/>
    <mergeCell ref="E98:G98"/>
    <mergeCell ref="I98:J98"/>
    <mergeCell ref="B100:J100"/>
    <mergeCell ref="B101:D101"/>
    <mergeCell ref="E101:G101"/>
    <mergeCell ref="I101:J101"/>
    <mergeCell ref="B96:D96"/>
    <mergeCell ref="E96:G96"/>
    <mergeCell ref="I96:J96"/>
    <mergeCell ref="B97:D97"/>
    <mergeCell ref="E97:G97"/>
    <mergeCell ref="I97:J97"/>
    <mergeCell ref="B94:D94"/>
    <mergeCell ref="E94:G94"/>
    <mergeCell ref="I94:J94"/>
    <mergeCell ref="B95:D95"/>
    <mergeCell ref="E95:G95"/>
    <mergeCell ref="I95:J95"/>
    <mergeCell ref="B93:J93"/>
    <mergeCell ref="H71:J71"/>
    <mergeCell ref="E73:G73"/>
    <mergeCell ref="I73:J73"/>
    <mergeCell ref="E75:G75"/>
    <mergeCell ref="E77:F77"/>
    <mergeCell ref="E79:F79"/>
    <mergeCell ref="E81:G81"/>
    <mergeCell ref="E83:F83"/>
    <mergeCell ref="E85:G85"/>
    <mergeCell ref="E87:F87"/>
    <mergeCell ref="B89:K89"/>
    <mergeCell ref="B69:K69"/>
    <mergeCell ref="B1:K1"/>
    <mergeCell ref="C2:I2"/>
    <mergeCell ref="B4:K4"/>
    <mergeCell ref="C10:K10"/>
    <mergeCell ref="C46:K46"/>
    <mergeCell ref="C47:K47"/>
    <mergeCell ref="C48:K48"/>
    <mergeCell ref="C49:K49"/>
    <mergeCell ref="B61:K61"/>
    <mergeCell ref="B66:K66"/>
    <mergeCell ref="C67:I67"/>
  </mergeCells>
  <printOptions horizontalCentered="1"/>
  <pageMargins left="0" right="0" top="0.75" bottom="0.75" header="0.3" footer="0.3"/>
  <pageSetup scale="56" fitToHeight="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5" min="1" max="10" man="1"/>
  </rowBreaks>
  <drawing r:id="rId2"/>
  <legacyDrawing r:id="rId3"/>
  <controls>
    <mc:AlternateContent xmlns:mc="http://schemas.openxmlformats.org/markup-compatibility/2006">
      <mc:Choice Requires="x14">
        <control shapeId="81921" r:id="rId4" name="CheckBox1">
          <controlPr defaultSize="0" autoLine="0" r:id="rId5">
            <anchor moveWithCells="1">
              <from>
                <xdr:col>1</xdr:col>
                <xdr:colOff>107950</xdr:colOff>
                <xdr:row>14</xdr:row>
                <xdr:rowOff>0</xdr:rowOff>
              </from>
              <to>
                <xdr:col>4</xdr:col>
                <xdr:colOff>1079500</xdr:colOff>
                <xdr:row>15</xdr:row>
                <xdr:rowOff>69850</xdr:rowOff>
              </to>
            </anchor>
          </controlPr>
        </control>
      </mc:Choice>
      <mc:Fallback>
        <control shapeId="81921" r:id="rId4" name="CheckBox1"/>
      </mc:Fallback>
    </mc:AlternateContent>
    <mc:AlternateContent xmlns:mc="http://schemas.openxmlformats.org/markup-compatibility/2006">
      <mc:Choice Requires="x14">
        <control shapeId="81922" r:id="rId6" name="CheckBox2">
          <controlPr defaultSize="0" autoLine="0" r:id="rId7">
            <anchor moveWithCells="1">
              <from>
                <xdr:col>1</xdr:col>
                <xdr:colOff>107950</xdr:colOff>
                <xdr:row>15</xdr:row>
                <xdr:rowOff>69850</xdr:rowOff>
              </from>
              <to>
                <xdr:col>4</xdr:col>
                <xdr:colOff>1079500</xdr:colOff>
                <xdr:row>16</xdr:row>
                <xdr:rowOff>139700</xdr:rowOff>
              </to>
            </anchor>
          </controlPr>
        </control>
      </mc:Choice>
      <mc:Fallback>
        <control shapeId="81922" r:id="rId6" name="CheckBox2"/>
      </mc:Fallback>
    </mc:AlternateContent>
    <mc:AlternateContent xmlns:mc="http://schemas.openxmlformats.org/markup-compatibility/2006">
      <mc:Choice Requires="x14">
        <control shapeId="81923" r:id="rId8" name="CheckBox3">
          <controlPr defaultSize="0" autoLine="0" r:id="rId9">
            <anchor moveWithCells="1">
              <from>
                <xdr:col>1</xdr:col>
                <xdr:colOff>107950</xdr:colOff>
                <xdr:row>22</xdr:row>
                <xdr:rowOff>38100</xdr:rowOff>
              </from>
              <to>
                <xdr:col>6</xdr:col>
                <xdr:colOff>628650</xdr:colOff>
                <xdr:row>23</xdr:row>
                <xdr:rowOff>107950</xdr:rowOff>
              </to>
            </anchor>
          </controlPr>
        </control>
      </mc:Choice>
      <mc:Fallback>
        <control shapeId="81923" r:id="rId8" name="CheckBox3"/>
      </mc:Fallback>
    </mc:AlternateContent>
    <mc:AlternateContent xmlns:mc="http://schemas.openxmlformats.org/markup-compatibility/2006">
      <mc:Choice Requires="x14">
        <control shapeId="81924" r:id="rId10" name="CheckBox4">
          <controlPr defaultSize="0" autoLine="0" r:id="rId11">
            <anchor moveWithCells="1">
              <from>
                <xdr:col>4</xdr:col>
                <xdr:colOff>0</xdr:colOff>
                <xdr:row>90</xdr:row>
                <xdr:rowOff>0</xdr:rowOff>
              </from>
              <to>
                <xdr:col>5</xdr:col>
                <xdr:colOff>704850</xdr:colOff>
                <xdr:row>91</xdr:row>
                <xdr:rowOff>19050</xdr:rowOff>
              </to>
            </anchor>
          </controlPr>
        </control>
      </mc:Choice>
      <mc:Fallback>
        <control shapeId="81924" r:id="rId10" name="CheckBox4"/>
      </mc:Fallback>
    </mc:AlternateContent>
    <mc:AlternateContent xmlns:mc="http://schemas.openxmlformats.org/markup-compatibility/2006">
      <mc:Choice Requires="x14">
        <control shapeId="81925" r:id="rId12" name="CheckBox5">
          <controlPr defaultSize="0" autoLine="0" r:id="rId13">
            <anchor moveWithCells="1">
              <from>
                <xdr:col>6</xdr:col>
                <xdr:colOff>0</xdr:colOff>
                <xdr:row>90</xdr:row>
                <xdr:rowOff>0</xdr:rowOff>
              </from>
              <to>
                <xdr:col>7</xdr:col>
                <xdr:colOff>819150</xdr:colOff>
                <xdr:row>91</xdr:row>
                <xdr:rowOff>19050</xdr:rowOff>
              </to>
            </anchor>
          </controlPr>
        </control>
      </mc:Choice>
      <mc:Fallback>
        <control shapeId="81925" r:id="rId12" name="CheckBox5"/>
      </mc:Fallback>
    </mc:AlternateContent>
    <mc:AlternateContent xmlns:mc="http://schemas.openxmlformats.org/markup-compatibility/2006">
      <mc:Choice Requires="x14">
        <control shapeId="81926" r:id="rId14" name="CheckBox6">
          <controlPr defaultSize="0" autoLine="0" r:id="rId15">
            <anchor moveWithCells="1">
              <from>
                <xdr:col>7</xdr:col>
                <xdr:colOff>641350</xdr:colOff>
                <xdr:row>90</xdr:row>
                <xdr:rowOff>0</xdr:rowOff>
              </from>
              <to>
                <xdr:col>8</xdr:col>
                <xdr:colOff>558800</xdr:colOff>
                <xdr:row>91</xdr:row>
                <xdr:rowOff>19050</xdr:rowOff>
              </to>
            </anchor>
          </controlPr>
        </control>
      </mc:Choice>
      <mc:Fallback>
        <control shapeId="81926" r:id="rId14" name="CheckBox6"/>
      </mc:Fallback>
    </mc:AlternateContent>
    <mc:AlternateContent xmlns:mc="http://schemas.openxmlformats.org/markup-compatibility/2006">
      <mc:Choice Requires="x14">
        <control shapeId="81927" r:id="rId16" name="CheckBox7">
          <controlPr defaultSize="0" autoLine="0" r:id="rId17">
            <anchor moveWithCells="1">
              <from>
                <xdr:col>4</xdr:col>
                <xdr:colOff>0</xdr:colOff>
                <xdr:row>104</xdr:row>
                <xdr:rowOff>0</xdr:rowOff>
              </from>
              <to>
                <xdr:col>5</xdr:col>
                <xdr:colOff>704850</xdr:colOff>
                <xdr:row>104</xdr:row>
                <xdr:rowOff>247650</xdr:rowOff>
              </to>
            </anchor>
          </controlPr>
        </control>
      </mc:Choice>
      <mc:Fallback>
        <control shapeId="81927" r:id="rId16" name="CheckBox7"/>
      </mc:Fallback>
    </mc:AlternateContent>
    <mc:AlternateContent xmlns:mc="http://schemas.openxmlformats.org/markup-compatibility/2006">
      <mc:Choice Requires="x14">
        <control shapeId="81928" r:id="rId18" name="CheckBox8">
          <controlPr defaultSize="0" autoLine="0" r:id="rId19">
            <anchor moveWithCells="1">
              <from>
                <xdr:col>6</xdr:col>
                <xdr:colOff>0</xdr:colOff>
                <xdr:row>104</xdr:row>
                <xdr:rowOff>0</xdr:rowOff>
              </from>
              <to>
                <xdr:col>7</xdr:col>
                <xdr:colOff>819150</xdr:colOff>
                <xdr:row>104</xdr:row>
                <xdr:rowOff>247650</xdr:rowOff>
              </to>
            </anchor>
          </controlPr>
        </control>
      </mc:Choice>
      <mc:Fallback>
        <control shapeId="81928" r:id="rId18" name="CheckBox8"/>
      </mc:Fallback>
    </mc:AlternateContent>
    <mc:AlternateContent xmlns:mc="http://schemas.openxmlformats.org/markup-compatibility/2006">
      <mc:Choice Requires="x14">
        <control shapeId="81929" r:id="rId20" name="CheckBox9">
          <controlPr defaultSize="0" autoLine="0" r:id="rId21">
            <anchor moveWithCells="1">
              <from>
                <xdr:col>7</xdr:col>
                <xdr:colOff>641350</xdr:colOff>
                <xdr:row>104</xdr:row>
                <xdr:rowOff>0</xdr:rowOff>
              </from>
              <to>
                <xdr:col>8</xdr:col>
                <xdr:colOff>558800</xdr:colOff>
                <xdr:row>104</xdr:row>
                <xdr:rowOff>247650</xdr:rowOff>
              </to>
            </anchor>
          </controlPr>
        </control>
      </mc:Choice>
      <mc:Fallback>
        <control shapeId="81929" r:id="rId20" name="CheckBox9"/>
      </mc:Fallback>
    </mc:AlternateContent>
  </control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AF6D14-6E60-4AC0-86B4-F5927C8073EA}">
  <sheetPr codeName="Sheet56">
    <tabColor rgb="FF00B050"/>
  </sheetPr>
  <dimension ref="A1:IV115"/>
  <sheetViews>
    <sheetView showGridLines="0" zoomScale="110" zoomScaleNormal="110" workbookViewId="0"/>
  </sheetViews>
  <sheetFormatPr defaultColWidth="0" defaultRowHeight="52" customHeight="1" zeroHeight="1"/>
  <cols>
    <col min="1" max="1" width="4.54296875" style="764" customWidth="1"/>
    <col min="2" max="2" width="11.453125" style="157" customWidth="1"/>
    <col min="3" max="3" width="22.81640625" style="157" customWidth="1"/>
    <col min="4" max="4" width="18.81640625" style="157" customWidth="1"/>
    <col min="5" max="5" width="14.54296875" style="157" customWidth="1"/>
    <col min="6" max="6" width="13.81640625" style="157" customWidth="1"/>
    <col min="7" max="7" width="63.453125" style="157" customWidth="1"/>
    <col min="8" max="11" width="11.453125" style="157" customWidth="1"/>
    <col min="12" max="12" width="21.453125" style="157" customWidth="1"/>
    <col min="13" max="16384" width="0" style="157" hidden="1"/>
  </cols>
  <sheetData>
    <row r="1" spans="1:256" s="192" customFormat="1" ht="60" customHeight="1">
      <c r="A1" s="1891" t="str">
        <f>Development!$A$3&amp;" Multi-Family Program"</f>
        <v>2024 Multi-Family Program</v>
      </c>
      <c r="B1" s="1892"/>
      <c r="C1" s="1892"/>
      <c r="D1" s="1892"/>
      <c r="E1" s="1892"/>
      <c r="F1" s="1892"/>
      <c r="G1" s="1892"/>
      <c r="H1" s="1897"/>
      <c r="I1" s="1895"/>
      <c r="J1" s="1895"/>
      <c r="K1" s="1895"/>
      <c r="L1" s="1895"/>
      <c r="M1" s="10"/>
      <c r="N1" s="10"/>
      <c r="O1" s="10"/>
      <c r="P1" s="10"/>
      <c r="Q1" s="10"/>
      <c r="R1" s="10"/>
      <c r="S1" s="10"/>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6" s="192" customFormat="1" ht="48" customHeight="1" thickBot="1">
      <c r="A2" s="1894" t="str">
        <f>'Customer Information'!A2</f>
        <v>Multi-Family 
Rebate Application, Version 2.0</v>
      </c>
      <c r="B2" s="1892"/>
      <c r="C2" s="1892"/>
      <c r="D2" s="1892"/>
      <c r="E2" s="1892"/>
      <c r="F2" s="1892"/>
      <c r="G2" s="1893"/>
      <c r="H2" s="1898"/>
      <c r="I2" s="1898"/>
      <c r="J2" s="1898"/>
      <c r="K2" s="1898"/>
      <c r="L2" s="1898"/>
      <c r="M2" s="1564"/>
      <c r="N2" s="1564"/>
      <c r="O2" s="1564"/>
      <c r="P2" s="1564"/>
      <c r="Q2" s="1564"/>
      <c r="R2" s="1564"/>
      <c r="S2" s="1564"/>
      <c r="T2" s="1565"/>
      <c r="U2" s="1565"/>
      <c r="V2" s="2188"/>
      <c r="W2" s="2188"/>
      <c r="X2" s="2188"/>
      <c r="Y2" s="2188"/>
      <c r="Z2" s="2188"/>
      <c r="AA2" s="2188"/>
      <c r="AB2" s="2188"/>
      <c r="AC2" s="2188"/>
      <c r="AD2" s="2188"/>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8"/>
      <c r="BC2" s="2188"/>
      <c r="BD2" s="2188"/>
      <c r="BE2" s="2188"/>
      <c r="BF2" s="2188"/>
      <c r="BG2" s="2188"/>
      <c r="BH2" s="2188"/>
      <c r="BI2" s="2188"/>
      <c r="BJ2" s="2188"/>
      <c r="BK2" s="2188"/>
      <c r="BL2" s="2188"/>
      <c r="BM2" s="2188"/>
      <c r="BN2" s="2188"/>
      <c r="BO2" s="2188"/>
      <c r="BP2" s="2188"/>
      <c r="BQ2" s="2188"/>
      <c r="BR2" s="2188"/>
      <c r="BS2" s="2188"/>
      <c r="BT2" s="2188"/>
      <c r="BU2" s="2188"/>
      <c r="BV2" s="2188"/>
      <c r="BW2" s="2188"/>
      <c r="BX2" s="2188"/>
      <c r="BY2" s="2188"/>
      <c r="BZ2" s="2188"/>
      <c r="CA2" s="2188"/>
      <c r="CB2" s="2188"/>
      <c r="CC2" s="2188"/>
      <c r="CD2" s="2188"/>
      <c r="CE2" s="2188"/>
      <c r="CF2" s="2188"/>
      <c r="CG2" s="2188"/>
      <c r="CH2" s="2188"/>
      <c r="CI2" s="2188"/>
      <c r="CJ2" s="2188"/>
      <c r="CK2" s="2188"/>
      <c r="CL2" s="2188"/>
      <c r="CM2" s="2188"/>
      <c r="CN2" s="2188"/>
      <c r="CO2" s="2188"/>
      <c r="CP2" s="2188"/>
      <c r="CQ2" s="2188"/>
      <c r="CR2" s="2188"/>
      <c r="CS2" s="2188"/>
      <c r="CT2" s="2188"/>
      <c r="CU2" s="2188"/>
      <c r="CV2" s="2188"/>
      <c r="CW2" s="2188"/>
      <c r="CX2" s="2188"/>
      <c r="CY2" s="2188"/>
      <c r="CZ2" s="2188"/>
      <c r="DA2" s="2188"/>
      <c r="DB2" s="2188"/>
      <c r="DC2" s="2188"/>
      <c r="DD2" s="2188"/>
      <c r="DE2" s="2188"/>
      <c r="DF2" s="2188"/>
      <c r="DG2" s="2188"/>
      <c r="DH2" s="2188"/>
      <c r="DI2" s="2188"/>
      <c r="DJ2" s="2188"/>
      <c r="DK2" s="2188"/>
      <c r="DL2" s="2188"/>
      <c r="DM2" s="2188"/>
      <c r="DN2" s="2188"/>
      <c r="DO2" s="2188"/>
      <c r="DP2" s="2188"/>
      <c r="DQ2" s="2188"/>
      <c r="DR2" s="2188"/>
      <c r="DS2" s="2188"/>
      <c r="DT2" s="2188"/>
      <c r="DU2" s="2188"/>
      <c r="DV2" s="2188"/>
      <c r="DW2" s="2188"/>
      <c r="DX2" s="2188"/>
      <c r="DY2" s="2188"/>
      <c r="DZ2" s="2188"/>
      <c r="EA2" s="2188"/>
      <c r="EB2" s="2188"/>
      <c r="EC2" s="2188"/>
      <c r="ED2" s="2188"/>
      <c r="EE2" s="2188"/>
      <c r="EF2" s="2188"/>
      <c r="EG2" s="2188"/>
      <c r="EH2" s="2188"/>
      <c r="EI2" s="2188"/>
      <c r="EJ2" s="2188"/>
      <c r="EK2" s="2188"/>
      <c r="EL2" s="2188"/>
      <c r="EM2" s="2188"/>
      <c r="EN2" s="2188"/>
      <c r="EO2" s="2188"/>
      <c r="EP2" s="2188"/>
      <c r="EQ2" s="2188"/>
      <c r="ER2" s="2188"/>
      <c r="ES2" s="2188"/>
      <c r="ET2" s="2188"/>
      <c r="EU2" s="2188"/>
      <c r="EV2" s="2188"/>
      <c r="EW2" s="2188"/>
      <c r="EX2" s="2188"/>
      <c r="EY2" s="2188"/>
      <c r="EZ2" s="2188"/>
      <c r="FA2" s="2188"/>
      <c r="FB2" s="2188"/>
      <c r="FC2" s="2188"/>
      <c r="FD2" s="2188"/>
      <c r="FE2" s="2188"/>
      <c r="FF2" s="2188"/>
      <c r="FG2" s="2188"/>
      <c r="FH2" s="2188"/>
      <c r="FI2" s="2188"/>
      <c r="FJ2" s="2188"/>
      <c r="FK2" s="2188"/>
      <c r="FL2" s="2188"/>
      <c r="FM2" s="2188"/>
      <c r="FN2" s="2188"/>
      <c r="FO2" s="2188"/>
      <c r="FP2" s="2188"/>
      <c r="FQ2" s="2188"/>
      <c r="FR2" s="2188"/>
      <c r="FS2" s="2188"/>
      <c r="FT2" s="2188"/>
      <c r="FU2" s="2188"/>
      <c r="FV2" s="2188"/>
      <c r="FW2" s="2188"/>
      <c r="FX2" s="2188"/>
      <c r="FY2" s="2188"/>
      <c r="FZ2" s="2188"/>
      <c r="GA2" s="2188"/>
      <c r="GB2" s="2188"/>
      <c r="GC2" s="2188"/>
      <c r="GD2" s="2188"/>
      <c r="GE2" s="2188"/>
      <c r="GF2" s="2188"/>
      <c r="GG2" s="2188"/>
      <c r="GH2" s="2188"/>
      <c r="GI2" s="2188"/>
      <c r="GJ2" s="2188"/>
      <c r="GK2" s="2188"/>
      <c r="GL2" s="2188"/>
      <c r="GM2" s="2188"/>
      <c r="GN2" s="2188"/>
      <c r="GO2" s="2188"/>
      <c r="GP2" s="2188"/>
      <c r="GQ2" s="2188"/>
      <c r="GR2" s="2188"/>
      <c r="GS2" s="2188"/>
      <c r="GT2" s="2188"/>
      <c r="GU2" s="2188"/>
      <c r="GV2" s="2188"/>
      <c r="GW2" s="2188"/>
      <c r="GX2" s="2188"/>
      <c r="GY2" s="2188"/>
      <c r="GZ2" s="2188"/>
      <c r="HA2" s="2188"/>
      <c r="HB2" s="2188"/>
      <c r="HC2" s="2188"/>
      <c r="HD2" s="2188"/>
      <c r="HE2" s="2188"/>
      <c r="HF2" s="2188"/>
      <c r="HG2" s="2188"/>
      <c r="HH2" s="2188"/>
      <c r="HI2" s="2188"/>
      <c r="HJ2" s="2188"/>
      <c r="HK2" s="2188"/>
      <c r="HL2" s="2188"/>
      <c r="HM2" s="2188"/>
      <c r="HN2" s="2188"/>
      <c r="HO2" s="2188"/>
      <c r="HP2" s="2188"/>
      <c r="HQ2" s="2188"/>
      <c r="HR2" s="2188"/>
      <c r="HS2" s="2188"/>
      <c r="HT2" s="2188"/>
      <c r="HU2" s="2188"/>
      <c r="HV2" s="2188"/>
      <c r="HW2" s="2188"/>
      <c r="HX2" s="2188"/>
      <c r="HY2" s="2188"/>
      <c r="HZ2" s="2188"/>
      <c r="IA2" s="2188"/>
      <c r="IB2" s="2188"/>
      <c r="IC2" s="2188"/>
      <c r="ID2" s="2188"/>
      <c r="IE2" s="2188"/>
      <c r="IF2" s="2188"/>
      <c r="IG2" s="2188"/>
      <c r="IH2" s="2188"/>
      <c r="II2" s="2188"/>
      <c r="IJ2" s="2188"/>
      <c r="IK2" s="2188"/>
      <c r="IL2" s="2188"/>
      <c r="IM2" s="2188"/>
      <c r="IN2" s="2188"/>
      <c r="IO2" s="2188"/>
      <c r="IP2" s="2188"/>
      <c r="IQ2" s="2188"/>
      <c r="IR2" s="2188"/>
      <c r="IS2" s="2188"/>
      <c r="IT2" s="2188"/>
      <c r="IU2" s="2188"/>
      <c r="IV2" s="2188"/>
    </row>
    <row r="3" spans="1:256" s="192" customFormat="1" ht="14.15" customHeight="1" thickTop="1">
      <c r="A3" s="1073"/>
      <c r="B3" s="1073"/>
      <c r="C3" s="1073"/>
      <c r="D3" s="1073"/>
      <c r="E3" s="1073"/>
      <c r="F3" s="1073"/>
      <c r="G3" s="1073"/>
      <c r="H3" s="1073"/>
      <c r="I3" s="1073"/>
      <c r="J3" s="1073"/>
      <c r="K3" s="1073"/>
      <c r="L3" s="1073"/>
      <c r="M3" s="1564"/>
      <c r="N3" s="1564"/>
      <c r="O3" s="1564"/>
      <c r="P3" s="1564"/>
      <c r="Q3" s="1564"/>
      <c r="R3" s="1564"/>
      <c r="S3" s="1564"/>
      <c r="T3" s="1565"/>
      <c r="U3" s="156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c r="AT3" s="1325"/>
      <c r="AU3" s="1325"/>
      <c r="AV3" s="1325"/>
      <c r="AW3" s="1325"/>
      <c r="AX3" s="1325"/>
      <c r="AY3" s="1325"/>
      <c r="AZ3" s="1325"/>
      <c r="BA3" s="1325"/>
      <c r="BB3" s="1325"/>
      <c r="BC3" s="1325"/>
      <c r="BD3" s="1325"/>
      <c r="BE3" s="1325"/>
      <c r="BF3" s="1325"/>
      <c r="BG3" s="1325"/>
      <c r="BH3" s="1325"/>
      <c r="BI3" s="1325"/>
      <c r="BJ3" s="1325"/>
      <c r="BK3" s="1325"/>
      <c r="BL3" s="1325"/>
      <c r="BM3" s="1325"/>
      <c r="BN3" s="1325"/>
      <c r="BO3" s="1325"/>
      <c r="BP3" s="1325"/>
      <c r="BQ3" s="1325"/>
      <c r="BR3" s="1325"/>
      <c r="BS3" s="1325"/>
      <c r="BT3" s="1325"/>
      <c r="BU3" s="1325"/>
      <c r="BV3" s="1325"/>
      <c r="BW3" s="1325"/>
      <c r="BX3" s="1325"/>
      <c r="BY3" s="1325"/>
      <c r="BZ3" s="1325"/>
      <c r="CA3" s="1325"/>
      <c r="CB3" s="1325"/>
      <c r="CC3" s="1325"/>
      <c r="CD3" s="1325"/>
      <c r="CE3" s="1325"/>
      <c r="CF3" s="1325"/>
      <c r="CG3" s="1325"/>
      <c r="CH3" s="1325"/>
      <c r="CI3" s="1325"/>
      <c r="CJ3" s="1325"/>
      <c r="CK3" s="1325"/>
      <c r="CL3" s="1325"/>
      <c r="CM3" s="1325"/>
      <c r="CN3" s="1325"/>
      <c r="CO3" s="1325"/>
      <c r="CP3" s="1325"/>
      <c r="CQ3" s="1325"/>
      <c r="CR3" s="1325"/>
      <c r="CS3" s="1325"/>
      <c r="CT3" s="1325"/>
      <c r="CU3" s="1325"/>
      <c r="CV3" s="1325"/>
      <c r="CW3" s="1325"/>
      <c r="CX3" s="1325"/>
      <c r="CY3" s="1325"/>
      <c r="CZ3" s="1325"/>
      <c r="DA3" s="1325"/>
      <c r="DB3" s="1325"/>
      <c r="DC3" s="1325"/>
      <c r="DD3" s="1325"/>
      <c r="DE3" s="1325"/>
      <c r="DF3" s="1325"/>
      <c r="DG3" s="1325"/>
      <c r="DH3" s="1325"/>
      <c r="DI3" s="1325"/>
      <c r="DJ3" s="1325"/>
      <c r="DK3" s="1325"/>
      <c r="DL3" s="1325"/>
      <c r="DM3" s="1325"/>
      <c r="DN3" s="1325"/>
      <c r="DO3" s="1325"/>
      <c r="DP3" s="1325"/>
      <c r="DQ3" s="1325"/>
      <c r="DR3" s="1325"/>
      <c r="DS3" s="1325"/>
      <c r="DT3" s="1325"/>
      <c r="DU3" s="1325"/>
      <c r="DV3" s="1325"/>
      <c r="DW3" s="1325"/>
      <c r="DX3" s="1325"/>
      <c r="DY3" s="1325"/>
      <c r="DZ3" s="1325"/>
      <c r="EA3" s="1325"/>
      <c r="EB3" s="1325"/>
      <c r="EC3" s="1325"/>
      <c r="ED3" s="1325"/>
      <c r="EE3" s="1325"/>
      <c r="EF3" s="1325"/>
      <c r="EG3" s="1325"/>
      <c r="EH3" s="1325"/>
      <c r="EI3" s="1325"/>
      <c r="EJ3" s="1325"/>
      <c r="EK3" s="1325"/>
      <c r="EL3" s="1325"/>
      <c r="EM3" s="1325"/>
      <c r="EN3" s="1325"/>
      <c r="EO3" s="1325"/>
      <c r="EP3" s="1325"/>
      <c r="EQ3" s="1325"/>
      <c r="ER3" s="1325"/>
      <c r="ES3" s="1325"/>
      <c r="ET3" s="1325"/>
      <c r="EU3" s="1325"/>
      <c r="EV3" s="1325"/>
      <c r="EW3" s="1325"/>
      <c r="EX3" s="1325"/>
      <c r="EY3" s="1325"/>
      <c r="EZ3" s="1325"/>
      <c r="FA3" s="1325"/>
      <c r="FB3" s="1325"/>
      <c r="FC3" s="1325"/>
      <c r="FD3" s="1325"/>
      <c r="FE3" s="1325"/>
      <c r="FF3" s="1325"/>
      <c r="FG3" s="1325"/>
      <c r="FH3" s="1325"/>
      <c r="FI3" s="1325"/>
      <c r="FJ3" s="1325"/>
      <c r="FK3" s="1325"/>
      <c r="FL3" s="1325"/>
      <c r="FM3" s="1325"/>
      <c r="FN3" s="1325"/>
      <c r="FO3" s="1325"/>
      <c r="FP3" s="1325"/>
      <c r="FQ3" s="1325"/>
      <c r="FR3" s="1325"/>
      <c r="FS3" s="1325"/>
      <c r="FT3" s="1325"/>
      <c r="FU3" s="1325"/>
      <c r="FV3" s="1325"/>
      <c r="FW3" s="1325"/>
      <c r="FX3" s="1325"/>
      <c r="FY3" s="1325"/>
      <c r="FZ3" s="1325"/>
      <c r="GA3" s="1325"/>
      <c r="GB3" s="1325"/>
      <c r="GC3" s="1325"/>
      <c r="GD3" s="1325"/>
      <c r="GE3" s="1325"/>
      <c r="GF3" s="1325"/>
      <c r="GG3" s="1325"/>
      <c r="GH3" s="1325"/>
      <c r="GI3" s="1325"/>
      <c r="GJ3" s="1325"/>
      <c r="GK3" s="1325"/>
      <c r="GL3" s="1325"/>
      <c r="GM3" s="1325"/>
      <c r="GN3" s="1325"/>
      <c r="GO3" s="1325"/>
      <c r="GP3" s="1325"/>
      <c r="GQ3" s="1325"/>
      <c r="GR3" s="1325"/>
      <c r="GS3" s="1325"/>
      <c r="GT3" s="1325"/>
      <c r="GU3" s="1325"/>
      <c r="GV3" s="1325"/>
      <c r="GW3" s="1325"/>
      <c r="GX3" s="1325"/>
      <c r="GY3" s="1325"/>
      <c r="GZ3" s="1325"/>
      <c r="HA3" s="1325"/>
      <c r="HB3" s="1325"/>
      <c r="HC3" s="1325"/>
      <c r="HD3" s="1325"/>
      <c r="HE3" s="1325"/>
      <c r="HF3" s="1325"/>
      <c r="HG3" s="1325"/>
      <c r="HH3" s="1325"/>
      <c r="HI3" s="1325"/>
      <c r="HJ3" s="1325"/>
      <c r="HK3" s="1325"/>
      <c r="HL3" s="1325"/>
      <c r="HM3" s="1325"/>
      <c r="HN3" s="1325"/>
      <c r="HO3" s="1325"/>
      <c r="HP3" s="1325"/>
      <c r="HQ3" s="1325"/>
      <c r="HR3" s="1325"/>
      <c r="HS3" s="1325"/>
      <c r="HT3" s="1325"/>
      <c r="HU3" s="1325"/>
      <c r="HV3" s="1325"/>
      <c r="HW3" s="1325"/>
      <c r="HX3" s="1325"/>
      <c r="HY3" s="1325"/>
      <c r="HZ3" s="1325"/>
      <c r="IA3" s="1325"/>
      <c r="IB3" s="1325"/>
      <c r="IC3" s="1325"/>
      <c r="ID3" s="1325"/>
      <c r="IE3" s="1325"/>
      <c r="IF3" s="1325"/>
      <c r="IG3" s="1325"/>
      <c r="IH3" s="1325"/>
      <c r="II3" s="1325"/>
      <c r="IJ3" s="1325"/>
      <c r="IK3" s="1325"/>
      <c r="IL3" s="1325"/>
      <c r="IM3" s="1325"/>
      <c r="IN3" s="1325"/>
      <c r="IO3" s="1325"/>
      <c r="IP3" s="1325"/>
      <c r="IQ3" s="1325"/>
      <c r="IR3" s="1325"/>
      <c r="IS3" s="1325"/>
      <c r="IT3" s="1325"/>
      <c r="IU3" s="1325"/>
      <c r="IV3" s="1325"/>
    </row>
    <row r="4" spans="1:256" s="1567" customFormat="1" ht="18.5" thickBot="1">
      <c r="A4" s="402" t="s">
        <v>5596</v>
      </c>
      <c r="B4" s="1544"/>
      <c r="C4" s="1544"/>
      <c r="D4" s="1544"/>
      <c r="E4" s="1544"/>
      <c r="F4" s="1544"/>
      <c r="G4" s="1544"/>
      <c r="H4" s="1544"/>
      <c r="I4" s="1544"/>
      <c r="J4" s="1544"/>
      <c r="K4" s="1544"/>
      <c r="L4" s="1544"/>
      <c r="M4" s="1566"/>
      <c r="N4" s="1566"/>
      <c r="O4" s="1566"/>
    </row>
    <row r="5" spans="1:256" s="186" customFormat="1" ht="14.5">
      <c r="A5" s="2031" t="s">
        <v>35</v>
      </c>
      <c r="B5" s="2190" t="s">
        <v>5588</v>
      </c>
      <c r="C5" s="2190"/>
      <c r="D5" s="2190"/>
      <c r="E5" s="2190"/>
      <c r="F5" s="2190"/>
      <c r="G5" s="2190"/>
      <c r="H5" s="2190"/>
      <c r="I5" s="2190"/>
      <c r="J5" s="2190"/>
      <c r="K5" s="2190"/>
      <c r="L5" s="2201"/>
      <c r="M5" s="42"/>
      <c r="N5" s="42"/>
      <c r="O5" s="42"/>
    </row>
    <row r="6" spans="1:256" s="186" customFormat="1" ht="14.5">
      <c r="A6" s="2031"/>
      <c r="B6" s="2063" t="s">
        <v>5589</v>
      </c>
      <c r="C6" s="1573"/>
      <c r="D6" s="1573"/>
      <c r="E6" s="1573"/>
      <c r="F6" s="1573"/>
      <c r="G6" s="1573"/>
      <c r="H6" s="1573"/>
      <c r="I6" s="1573"/>
      <c r="J6" s="1573"/>
      <c r="K6" s="1573"/>
      <c r="L6" s="2032"/>
      <c r="M6" s="42"/>
      <c r="N6" s="42"/>
      <c r="O6" s="42"/>
    </row>
    <row r="7" spans="1:256" s="1542" customFormat="1" ht="16.5" customHeight="1">
      <c r="A7" s="2031" t="s">
        <v>35</v>
      </c>
      <c r="B7" s="2190" t="s">
        <v>5590</v>
      </c>
      <c r="C7" s="2190"/>
      <c r="D7" s="2190"/>
      <c r="E7" s="2190"/>
      <c r="F7" s="2190"/>
      <c r="G7" s="2190"/>
      <c r="H7" s="2190"/>
      <c r="I7" s="2190"/>
      <c r="J7" s="2190"/>
      <c r="K7" s="2190"/>
      <c r="L7" s="2201"/>
      <c r="M7" s="684"/>
      <c r="N7" s="684"/>
      <c r="O7" s="684"/>
    </row>
    <row r="8" spans="1:256" s="1542" customFormat="1" ht="16.5" customHeight="1">
      <c r="A8" s="2031" t="s">
        <v>35</v>
      </c>
      <c r="B8" s="1573" t="s">
        <v>5722</v>
      </c>
      <c r="C8" s="1573"/>
      <c r="D8" s="1573"/>
      <c r="E8" s="1573"/>
      <c r="F8" s="1573"/>
      <c r="G8" s="1573"/>
      <c r="H8" s="1573"/>
      <c r="I8" s="1573"/>
      <c r="J8" s="1573"/>
      <c r="K8" s="1573"/>
      <c r="L8" s="2032"/>
      <c r="M8" s="684"/>
      <c r="N8" s="684"/>
      <c r="O8" s="684"/>
    </row>
    <row r="9" spans="1:256" s="2068" customFormat="1" ht="14.5" customHeight="1">
      <c r="A9" s="2033" t="s">
        <v>35</v>
      </c>
      <c r="B9" s="2157" t="s">
        <v>5702</v>
      </c>
      <c r="C9" s="2157"/>
      <c r="D9" s="2157"/>
      <c r="E9" s="2157"/>
      <c r="F9" s="2157"/>
      <c r="G9" s="2157"/>
      <c r="H9" s="2157"/>
      <c r="I9" s="2157"/>
      <c r="J9" s="2157"/>
      <c r="K9" s="2157"/>
      <c r="L9" s="2198"/>
      <c r="M9" s="2067"/>
      <c r="N9" s="2067"/>
      <c r="O9" s="2067"/>
    </row>
    <row r="10" spans="1:256" s="1542" customFormat="1" ht="16.5" hidden="1" customHeight="1">
      <c r="A10" s="2033" t="s">
        <v>537</v>
      </c>
      <c r="B10" s="2071"/>
      <c r="C10" s="1541"/>
      <c r="D10" s="1541"/>
      <c r="E10" s="1541"/>
      <c r="F10" s="1541"/>
      <c r="G10" s="1541"/>
      <c r="H10" s="1541"/>
      <c r="I10" s="1541"/>
      <c r="J10" s="1541"/>
      <c r="K10" s="1541"/>
      <c r="L10" s="2034"/>
      <c r="M10" s="684"/>
      <c r="N10" s="684"/>
      <c r="O10" s="684"/>
    </row>
    <row r="11" spans="1:256" s="2068" customFormat="1" ht="16.5" customHeight="1">
      <c r="A11" s="2031" t="s">
        <v>35</v>
      </c>
      <c r="B11" s="2190" t="s">
        <v>5639</v>
      </c>
      <c r="C11" s="2190"/>
      <c r="D11" s="2190"/>
      <c r="E11" s="2190"/>
      <c r="F11" s="2190"/>
      <c r="G11" s="2190"/>
      <c r="H11" s="2190"/>
      <c r="I11" s="2190"/>
      <c r="J11" s="2190"/>
      <c r="K11" s="2190"/>
      <c r="L11" s="2201"/>
      <c r="M11" s="2067"/>
      <c r="N11" s="2067"/>
      <c r="O11" s="2067"/>
    </row>
    <row r="12" spans="1:256" s="2068" customFormat="1" ht="16.5" hidden="1" customHeight="1">
      <c r="A12" s="2031" t="s">
        <v>35</v>
      </c>
      <c r="B12" s="2161" t="s">
        <v>5640</v>
      </c>
      <c r="C12" s="2161"/>
      <c r="D12" s="2161"/>
      <c r="E12" s="2161"/>
      <c r="F12" s="2161"/>
      <c r="G12" s="2161"/>
      <c r="H12" s="2161"/>
      <c r="I12" s="2161"/>
      <c r="J12" s="2161"/>
      <c r="K12" s="2161"/>
      <c r="L12" s="2202"/>
      <c r="M12" s="2067"/>
      <c r="N12" s="2067"/>
      <c r="O12" s="2067"/>
    </row>
    <row r="13" spans="1:256" s="1542" customFormat="1" ht="16.5" customHeight="1">
      <c r="A13" s="2033" t="s">
        <v>35</v>
      </c>
      <c r="B13" s="2157" t="s">
        <v>5591</v>
      </c>
      <c r="C13" s="2157"/>
      <c r="D13" s="2157"/>
      <c r="E13" s="2157"/>
      <c r="F13" s="2157"/>
      <c r="G13" s="2157"/>
      <c r="H13" s="2157"/>
      <c r="I13" s="2157"/>
      <c r="J13" s="2157"/>
      <c r="K13" s="2157"/>
      <c r="L13" s="2198"/>
      <c r="M13" s="684"/>
      <c r="N13" s="684"/>
      <c r="O13" s="684"/>
    </row>
    <row r="14" spans="1:256" ht="17.149999999999999" customHeight="1">
      <c r="A14" s="2033" t="s">
        <v>35</v>
      </c>
      <c r="B14" s="1541" t="s">
        <v>5592</v>
      </c>
      <c r="C14" s="1541"/>
      <c r="D14" s="1541"/>
      <c r="E14" s="1541"/>
      <c r="F14" s="1541"/>
      <c r="G14" s="1541"/>
      <c r="H14" s="1541"/>
      <c r="I14" s="1541"/>
      <c r="J14" s="1541"/>
      <c r="K14" s="1541"/>
      <c r="L14" s="2034"/>
      <c r="M14" s="42"/>
      <c r="N14" s="42"/>
      <c r="O14" s="42"/>
    </row>
    <row r="15" spans="1:256" s="1542" customFormat="1" ht="16.5" customHeight="1">
      <c r="A15" s="2033"/>
      <c r="B15" s="2063" t="s">
        <v>5589</v>
      </c>
      <c r="C15" s="1541"/>
      <c r="D15" s="1541"/>
      <c r="E15" s="1541"/>
      <c r="F15" s="1541"/>
      <c r="G15" s="1541"/>
      <c r="H15" s="1541"/>
      <c r="I15" s="1541"/>
      <c r="J15" s="1541"/>
      <c r="K15" s="1541"/>
      <c r="L15" s="2034"/>
      <c r="M15" s="684"/>
      <c r="N15" s="684"/>
      <c r="O15" s="684"/>
    </row>
    <row r="16" spans="1:256" s="1542" customFormat="1" ht="16.5" customHeight="1">
      <c r="A16" s="2033" t="s">
        <v>35</v>
      </c>
      <c r="B16" s="2161" t="s">
        <v>5593</v>
      </c>
      <c r="C16" s="2157"/>
      <c r="D16" s="2157"/>
      <c r="E16" s="2157"/>
      <c r="F16" s="2157"/>
      <c r="G16" s="2157"/>
      <c r="H16" s="2157"/>
      <c r="I16" s="2157"/>
      <c r="J16" s="2157"/>
      <c r="K16" s="2157"/>
      <c r="L16" s="2198"/>
      <c r="M16" s="684"/>
      <c r="N16" s="684"/>
      <c r="O16" s="684"/>
    </row>
    <row r="17" spans="1:15" s="1542" customFormat="1" ht="16" customHeight="1">
      <c r="A17" s="2031" t="s">
        <v>35</v>
      </c>
      <c r="B17" s="2190" t="s">
        <v>5594</v>
      </c>
      <c r="C17" s="2190"/>
      <c r="D17" s="2190"/>
      <c r="E17" s="2190"/>
      <c r="F17" s="2190"/>
      <c r="G17" s="2190"/>
      <c r="H17" s="2190"/>
      <c r="I17" s="2190"/>
      <c r="J17" s="2190"/>
      <c r="K17" s="2190"/>
      <c r="L17" s="2201"/>
      <c r="M17" s="684"/>
      <c r="N17" s="684"/>
      <c r="O17" s="684"/>
    </row>
    <row r="18" spans="1:15" s="1542" customFormat="1" ht="17.149999999999999" customHeight="1">
      <c r="A18" s="2031" t="s">
        <v>35</v>
      </c>
      <c r="B18" s="1541" t="s">
        <v>5595</v>
      </c>
      <c r="C18" s="2035"/>
      <c r="D18" s="2035"/>
      <c r="E18" s="2035"/>
      <c r="F18" s="2035"/>
      <c r="G18" s="2035"/>
      <c r="H18" s="2035"/>
      <c r="I18" s="2035"/>
      <c r="J18" s="2035"/>
      <c r="K18" s="2035"/>
      <c r="L18" s="2036"/>
      <c r="M18" s="684"/>
      <c r="N18" s="684"/>
      <c r="O18" s="684"/>
    </row>
    <row r="19" spans="1:15" s="1542" customFormat="1" ht="17.149999999999999" customHeight="1">
      <c r="A19" s="2031" t="s">
        <v>35</v>
      </c>
      <c r="B19" s="2161" t="s">
        <v>5161</v>
      </c>
      <c r="C19" s="2161"/>
      <c r="D19" s="2161"/>
      <c r="E19" s="2161"/>
      <c r="F19" s="2161"/>
      <c r="G19" s="2161"/>
      <c r="H19" s="2161"/>
      <c r="I19" s="2161"/>
      <c r="J19" s="2035"/>
      <c r="K19" s="2035"/>
      <c r="L19" s="2036"/>
      <c r="M19" s="684"/>
      <c r="N19" s="684"/>
      <c r="O19" s="684"/>
    </row>
    <row r="20" spans="1:15" s="1572" customFormat="1" ht="16.5" customHeight="1">
      <c r="A20" s="2064" t="s">
        <v>35</v>
      </c>
      <c r="B20" s="2161" t="s">
        <v>5162</v>
      </c>
      <c r="C20" s="2161"/>
      <c r="D20" s="2161"/>
      <c r="E20" s="2161"/>
      <c r="F20" s="2161"/>
      <c r="G20" s="2161"/>
      <c r="H20" s="1540"/>
      <c r="I20" s="1540"/>
      <c r="J20" s="1540"/>
      <c r="K20" s="1540"/>
      <c r="L20" s="1540"/>
      <c r="M20" s="42"/>
      <c r="N20" s="42"/>
      <c r="O20" s="42"/>
    </row>
    <row r="21" spans="1:15" s="1572" customFormat="1" ht="16.5" customHeight="1">
      <c r="A21" s="1425" t="s">
        <v>35</v>
      </c>
      <c r="B21" s="2190" t="s">
        <v>5163</v>
      </c>
      <c r="C21" s="2190"/>
      <c r="D21" s="2190"/>
      <c r="E21" s="2190"/>
      <c r="F21" s="2190"/>
      <c r="G21" s="2190"/>
      <c r="H21" s="2190"/>
      <c r="I21" s="2190"/>
      <c r="J21" s="2190"/>
      <c r="K21" s="2190"/>
      <c r="L21" s="2190"/>
      <c r="M21" s="42"/>
      <c r="N21" s="42"/>
      <c r="O21" s="42"/>
    </row>
    <row r="22" spans="1:15" s="1572" customFormat="1" ht="16.5" customHeight="1">
      <c r="A22" s="2065" t="s">
        <v>35</v>
      </c>
      <c r="B22" s="1573" t="s">
        <v>5164</v>
      </c>
      <c r="C22" s="1573"/>
      <c r="D22" s="1573"/>
      <c r="E22" s="1573"/>
      <c r="F22" s="1573"/>
      <c r="G22" s="33"/>
      <c r="H22" s="1573"/>
      <c r="I22" s="1573"/>
      <c r="J22" s="1573"/>
      <c r="K22" s="1573"/>
      <c r="L22" s="1573"/>
      <c r="M22" s="42"/>
      <c r="N22" s="42"/>
      <c r="O22" s="42"/>
    </row>
    <row r="23" spans="1:15" s="1572" customFormat="1" ht="16.5" customHeight="1">
      <c r="A23" s="2065" t="s">
        <v>35</v>
      </c>
      <c r="B23" s="1573" t="s">
        <v>5165</v>
      </c>
      <c r="C23" s="1573"/>
      <c r="D23" s="1573"/>
      <c r="E23" s="1573"/>
      <c r="F23" s="1573"/>
      <c r="G23" s="33"/>
      <c r="H23" s="1573"/>
      <c r="I23" s="1573"/>
      <c r="J23" s="1573"/>
      <c r="K23" s="1573"/>
      <c r="L23" s="1573"/>
      <c r="M23" s="42"/>
      <c r="N23" s="42"/>
      <c r="O23" s="42"/>
    </row>
    <row r="24" spans="1:15" s="1572" customFormat="1" ht="16.5" customHeight="1">
      <c r="A24" s="2066" t="s">
        <v>35</v>
      </c>
      <c r="B24" s="1573" t="s">
        <v>5166</v>
      </c>
      <c r="C24" s="1573"/>
      <c r="D24" s="1573"/>
      <c r="E24" s="1573"/>
      <c r="F24" s="1573"/>
      <c r="G24" s="33"/>
      <c r="H24" s="1573"/>
      <c r="I24" s="1573"/>
      <c r="J24" s="1573"/>
      <c r="K24" s="1573"/>
      <c r="L24" s="1573"/>
      <c r="M24" s="42"/>
      <c r="N24" s="42"/>
      <c r="O24" s="42"/>
    </row>
    <row r="25" spans="1:15" s="1572" customFormat="1" ht="18.649999999999999" customHeight="1">
      <c r="A25" s="2066" t="s">
        <v>35</v>
      </c>
      <c r="B25" s="1573" t="s">
        <v>5167</v>
      </c>
      <c r="C25" s="1573"/>
      <c r="D25" s="1573"/>
      <c r="E25" s="1573"/>
      <c r="F25" s="1573"/>
      <c r="G25" s="33"/>
      <c r="H25" s="1573"/>
      <c r="I25" s="1573"/>
      <c r="J25" s="1573"/>
      <c r="K25" s="1573"/>
      <c r="L25" s="1573"/>
      <c r="M25" s="42"/>
      <c r="N25" s="42"/>
      <c r="O25" s="42"/>
    </row>
    <row r="26" spans="1:15" s="1572" customFormat="1" ht="18.649999999999999" customHeight="1">
      <c r="A26" s="2043" t="s">
        <v>35</v>
      </c>
      <c r="B26" s="1573" t="s">
        <v>5168</v>
      </c>
      <c r="C26" s="1573"/>
      <c r="D26" s="1573"/>
      <c r="E26" s="1573"/>
      <c r="F26" s="33"/>
      <c r="G26" s="33"/>
      <c r="H26" s="1573"/>
      <c r="I26" s="1573"/>
      <c r="J26" s="1573"/>
      <c r="K26" s="1573"/>
      <c r="L26" s="1573"/>
      <c r="M26" s="42"/>
      <c r="N26" s="42"/>
      <c r="O26" s="42"/>
    </row>
    <row r="27" spans="1:15" s="1572" customFormat="1" ht="27.65" customHeight="1" thickBot="1">
      <c r="A27" s="402" t="s">
        <v>5597</v>
      </c>
      <c r="B27" s="402"/>
      <c r="C27" s="1544"/>
      <c r="D27" s="1544"/>
      <c r="E27" s="1544"/>
      <c r="F27" s="1544"/>
      <c r="G27" s="1544"/>
      <c r="H27" s="1544"/>
      <c r="I27" s="1544"/>
      <c r="J27" s="1544"/>
      <c r="K27" s="1544"/>
      <c r="L27" s="1544"/>
      <c r="M27" s="42"/>
      <c r="N27" s="42"/>
      <c r="O27" s="42"/>
    </row>
    <row r="28" spans="1:15" s="1572" customFormat="1" ht="16.5" customHeight="1">
      <c r="A28" s="1624" t="s">
        <v>35</v>
      </c>
      <c r="B28" s="2199" t="s">
        <v>5602</v>
      </c>
      <c r="C28" s="2199"/>
      <c r="D28" s="2199"/>
      <c r="E28" s="2199"/>
      <c r="F28" s="2199"/>
      <c r="G28" s="2199"/>
      <c r="H28" s="2199"/>
      <c r="I28" s="2199"/>
      <c r="J28" s="2199"/>
      <c r="K28" s="2199"/>
      <c r="L28" s="2199"/>
      <c r="M28" s="42"/>
      <c r="N28" s="42"/>
      <c r="O28" s="42"/>
    </row>
    <row r="29" spans="1:15" s="1572" customFormat="1" ht="16.5" customHeight="1">
      <c r="A29" s="1624" t="s">
        <v>35</v>
      </c>
      <c r="B29" s="2200" t="s">
        <v>5600</v>
      </c>
      <c r="C29" s="2200"/>
      <c r="D29" s="2200"/>
      <c r="E29" s="2200"/>
      <c r="F29" s="2200"/>
      <c r="G29" s="2200"/>
      <c r="H29" s="2200"/>
      <c r="I29" s="2200"/>
      <c r="J29" s="2200"/>
      <c r="K29" s="2200"/>
      <c r="L29" s="2200"/>
      <c r="M29" s="42"/>
      <c r="N29" s="42"/>
      <c r="O29" s="42"/>
    </row>
    <row r="30" spans="1:15" s="1572" customFormat="1" ht="16.5" customHeight="1">
      <c r="A30" s="1624"/>
      <c r="B30" s="1577" t="s">
        <v>5676</v>
      </c>
      <c r="C30" s="1577"/>
      <c r="D30" s="1577"/>
      <c r="E30" s="1577"/>
      <c r="F30" s="1577"/>
      <c r="G30" s="1577"/>
      <c r="H30" s="1577"/>
      <c r="I30" s="1577"/>
      <c r="J30" s="1577"/>
      <c r="K30" s="1577"/>
      <c r="L30" s="1577"/>
      <c r="M30" s="42"/>
      <c r="N30" s="42"/>
      <c r="O30" s="42"/>
    </row>
    <row r="31" spans="1:15" s="1572" customFormat="1" ht="16.5" customHeight="1">
      <c r="A31" s="1624" t="s">
        <v>35</v>
      </c>
      <c r="B31" s="2203" t="s">
        <v>5601</v>
      </c>
      <c r="C31" s="2203"/>
      <c r="D31" s="2203"/>
      <c r="E31" s="2203"/>
      <c r="F31" s="2203"/>
      <c r="G31" s="2203"/>
      <c r="H31" s="2203"/>
      <c r="I31" s="2203"/>
      <c r="J31" s="2203"/>
      <c r="K31" s="2203"/>
      <c r="L31" s="2203"/>
      <c r="M31" s="42"/>
      <c r="N31" s="42"/>
      <c r="O31" s="42"/>
    </row>
    <row r="32" spans="1:15" s="1572" customFormat="1" ht="16.5" customHeight="1">
      <c r="A32" s="1624" t="s">
        <v>35</v>
      </c>
      <c r="B32" s="2200" t="s">
        <v>5603</v>
      </c>
      <c r="C32" s="2200"/>
      <c r="D32" s="2200"/>
      <c r="E32" s="2200"/>
      <c r="F32" s="2200"/>
      <c r="G32" s="2200"/>
      <c r="H32" s="2200"/>
      <c r="I32" s="2200"/>
      <c r="J32" s="2200"/>
      <c r="K32" s="2200"/>
      <c r="L32" s="2200"/>
      <c r="M32" s="42"/>
      <c r="N32" s="42"/>
      <c r="O32" s="42"/>
    </row>
    <row r="33" spans="1:15" ht="16.5" customHeight="1">
      <c r="A33" s="1624" t="s">
        <v>35</v>
      </c>
      <c r="B33" s="2200" t="s">
        <v>5604</v>
      </c>
      <c r="C33" s="2200"/>
      <c r="D33" s="2200"/>
      <c r="E33" s="2200"/>
      <c r="F33" s="2200"/>
      <c r="G33" s="2200"/>
      <c r="H33" s="2200"/>
      <c r="I33" s="2200"/>
      <c r="J33" s="2200"/>
      <c r="K33" s="2200"/>
      <c r="L33" s="2200"/>
    </row>
    <row r="34" spans="1:15" s="1572" customFormat="1" ht="16.5" customHeight="1">
      <c r="A34" s="1624" t="s">
        <v>35</v>
      </c>
      <c r="B34" s="2203" t="s">
        <v>5605</v>
      </c>
      <c r="C34" s="2203"/>
      <c r="D34" s="2203"/>
      <c r="E34" s="2203"/>
      <c r="F34" s="2203"/>
      <c r="G34" s="2203"/>
      <c r="H34" s="2203"/>
      <c r="I34" s="2203"/>
      <c r="J34" s="2203"/>
      <c r="K34" s="2203"/>
      <c r="L34" s="2203"/>
      <c r="M34" s="42"/>
      <c r="N34" s="42"/>
      <c r="O34" s="42"/>
    </row>
    <row r="35" spans="1:15" s="1572" customFormat="1" ht="16.5" customHeight="1">
      <c r="A35" s="1624" t="s">
        <v>35</v>
      </c>
      <c r="B35" s="2200" t="s">
        <v>5606</v>
      </c>
      <c r="C35" s="2200"/>
      <c r="D35" s="2200"/>
      <c r="E35" s="2200"/>
      <c r="F35" s="2200"/>
      <c r="G35" s="2200"/>
      <c r="H35" s="2200"/>
      <c r="I35" s="2200"/>
      <c r="J35" s="2200"/>
      <c r="K35" s="2200"/>
      <c r="L35" s="2200"/>
      <c r="M35" s="42"/>
      <c r="N35" s="42"/>
      <c r="O35" s="42"/>
    </row>
    <row r="36" spans="1:15" s="1572" customFormat="1" ht="16.5" customHeight="1">
      <c r="A36" s="1624" t="s">
        <v>35</v>
      </c>
      <c r="B36" s="2200" t="s">
        <v>5607</v>
      </c>
      <c r="C36" s="2200"/>
      <c r="D36" s="2200"/>
      <c r="E36" s="2200"/>
      <c r="F36" s="2200"/>
      <c r="G36" s="2200"/>
      <c r="H36" s="2200"/>
      <c r="I36" s="2200"/>
      <c r="J36" s="2200"/>
      <c r="K36" s="2200"/>
      <c r="L36" s="2200"/>
      <c r="M36" s="42"/>
      <c r="N36" s="42"/>
      <c r="O36" s="42"/>
    </row>
    <row r="37" spans="1:15" s="1572" customFormat="1" ht="16.5" customHeight="1">
      <c r="A37" s="1624" t="s">
        <v>35</v>
      </c>
      <c r="B37" s="1577" t="s">
        <v>5608</v>
      </c>
      <c r="C37" s="157"/>
      <c r="D37" s="42"/>
      <c r="E37" s="42"/>
      <c r="F37" s="42"/>
      <c r="G37" s="42"/>
      <c r="H37" s="42"/>
      <c r="I37" s="42"/>
      <c r="J37" s="42"/>
      <c r="K37" s="42"/>
      <c r="L37" s="42"/>
      <c r="M37" s="42"/>
      <c r="N37" s="42"/>
      <c r="O37" s="42"/>
    </row>
    <row r="38" spans="1:15" s="1572" customFormat="1" ht="16.5" customHeight="1">
      <c r="A38" s="1624" t="s">
        <v>35</v>
      </c>
      <c r="B38" s="1577" t="s">
        <v>5609</v>
      </c>
      <c r="C38" s="157"/>
      <c r="D38" s="42"/>
      <c r="E38" s="42"/>
      <c r="F38" s="42"/>
      <c r="G38" s="42"/>
      <c r="H38" s="42"/>
      <c r="I38" s="42"/>
      <c r="J38" s="42"/>
      <c r="K38" s="42"/>
      <c r="L38" s="42"/>
      <c r="M38" s="42"/>
      <c r="N38" s="42"/>
      <c r="O38" s="42"/>
    </row>
    <row r="39" spans="1:15" s="1572" customFormat="1" ht="16.5" customHeight="1">
      <c r="A39" s="1624" t="s">
        <v>35</v>
      </c>
      <c r="B39" s="1577" t="s">
        <v>5610</v>
      </c>
      <c r="C39" s="157"/>
      <c r="D39" s="2037"/>
      <c r="E39" s="2037"/>
      <c r="F39" s="2037"/>
      <c r="G39" s="2037"/>
      <c r="H39" s="2037"/>
      <c r="I39" s="2037"/>
      <c r="J39" s="2037"/>
      <c r="K39" s="2037"/>
      <c r="L39" s="2037"/>
      <c r="M39" s="42"/>
      <c r="N39" s="42"/>
      <c r="O39" s="42"/>
    </row>
    <row r="40" spans="1:15" s="1572" customFormat="1" ht="16.5" customHeight="1">
      <c r="A40" s="1624"/>
      <c r="B40" s="1577" t="s">
        <v>5598</v>
      </c>
      <c r="C40" s="2038"/>
      <c r="D40" s="42"/>
      <c r="E40" s="42"/>
      <c r="F40" s="42"/>
      <c r="G40" s="42"/>
      <c r="H40" s="42"/>
      <c r="I40" s="42"/>
      <c r="J40" s="42"/>
      <c r="K40" s="42"/>
      <c r="L40" s="42"/>
      <c r="M40" s="42"/>
      <c r="N40" s="42"/>
      <c r="O40" s="42"/>
    </row>
    <row r="41" spans="1:15" s="1572" customFormat="1" ht="16.5" customHeight="1">
      <c r="A41" s="1624" t="s">
        <v>35</v>
      </c>
      <c r="B41" s="1577" t="s">
        <v>5611</v>
      </c>
      <c r="C41" s="2037"/>
      <c r="D41" s="42"/>
      <c r="E41" s="42"/>
      <c r="F41" s="42"/>
      <c r="G41" s="42"/>
      <c r="H41" s="42"/>
      <c r="I41" s="42"/>
      <c r="J41" s="42"/>
      <c r="K41" s="42"/>
      <c r="L41" s="42"/>
      <c r="M41" s="42"/>
      <c r="N41" s="42"/>
      <c r="O41" s="42"/>
    </row>
    <row r="42" spans="1:15" s="1572" customFormat="1" ht="16.5" customHeight="1">
      <c r="A42" s="1624"/>
      <c r="B42" s="1577" t="s">
        <v>5599</v>
      </c>
      <c r="C42" s="2038"/>
      <c r="D42" s="42"/>
      <c r="E42" s="42"/>
      <c r="F42" s="42"/>
      <c r="G42" s="42"/>
      <c r="H42" s="42"/>
      <c r="I42" s="42"/>
      <c r="J42" s="42"/>
      <c r="K42" s="42"/>
      <c r="L42" s="42"/>
      <c r="M42" s="42"/>
      <c r="N42" s="42"/>
      <c r="O42" s="42"/>
    </row>
    <row r="43" spans="1:15" s="1040" customFormat="1" ht="16.5" customHeight="1">
      <c r="A43" s="1624" t="s">
        <v>35</v>
      </c>
      <c r="B43" s="1577" t="s">
        <v>5612</v>
      </c>
      <c r="C43" s="2038"/>
      <c r="D43" s="42"/>
      <c r="E43" s="42"/>
      <c r="F43" s="42"/>
      <c r="G43" s="42"/>
      <c r="H43" s="42"/>
      <c r="I43" s="42"/>
      <c r="J43" s="42"/>
      <c r="K43" s="42"/>
      <c r="L43" s="42"/>
      <c r="M43" s="1576"/>
      <c r="N43" s="1576"/>
      <c r="O43" s="1576"/>
    </row>
    <row r="44" spans="1:15" s="1040" customFormat="1" ht="33" hidden="1" customHeight="1" thickBot="1">
      <c r="A44" s="2189" t="s">
        <v>5179</v>
      </c>
      <c r="B44" s="2189"/>
      <c r="C44" s="2189"/>
      <c r="D44" s="2189"/>
      <c r="E44" s="2189"/>
      <c r="F44" s="2189"/>
      <c r="G44" s="2189"/>
      <c r="H44" s="2189"/>
      <c r="I44" s="2189"/>
      <c r="J44" s="2189"/>
      <c r="K44" s="2189"/>
      <c r="L44" s="2189"/>
      <c r="M44" s="1576"/>
      <c r="N44" s="1576"/>
      <c r="O44" s="1576"/>
    </row>
    <row r="45" spans="1:15" s="1040" customFormat="1" ht="19" hidden="1" customHeight="1">
      <c r="A45" s="1571" t="s">
        <v>35</v>
      </c>
      <c r="B45" s="2172" t="s">
        <v>5180</v>
      </c>
      <c r="C45" s="2190"/>
      <c r="D45" s="2190"/>
      <c r="E45" s="2190"/>
      <c r="F45" s="2190"/>
      <c r="G45" s="2190"/>
      <c r="H45" s="2190"/>
      <c r="I45" s="2190"/>
      <c r="J45" s="2190"/>
      <c r="K45" s="2190"/>
      <c r="L45" s="2190"/>
      <c r="M45" s="1576"/>
      <c r="N45" s="1576"/>
      <c r="O45" s="1576"/>
    </row>
    <row r="46" spans="1:15" s="1040" customFormat="1" ht="19" hidden="1" customHeight="1">
      <c r="A46" s="1571" t="s">
        <v>35</v>
      </c>
      <c r="B46" s="2172" t="s">
        <v>5181</v>
      </c>
      <c r="C46" s="2190"/>
      <c r="D46" s="2190"/>
      <c r="E46" s="2190"/>
      <c r="F46" s="2190"/>
      <c r="G46" s="2190"/>
      <c r="H46" s="2190"/>
      <c r="I46" s="2190"/>
      <c r="J46" s="2190"/>
      <c r="K46" s="2190"/>
      <c r="L46" s="2190"/>
      <c r="M46" s="1576"/>
      <c r="N46" s="1576"/>
      <c r="O46" s="1576"/>
    </row>
    <row r="47" spans="1:15" s="1040" customFormat="1" ht="19" hidden="1" customHeight="1">
      <c r="A47" s="1571" t="s">
        <v>35</v>
      </c>
      <c r="B47" s="1573" t="s">
        <v>5182</v>
      </c>
      <c r="C47" s="1572"/>
      <c r="D47" s="1572"/>
      <c r="E47" s="1572"/>
      <c r="F47" s="1572"/>
      <c r="G47" s="1572"/>
      <c r="H47" s="1572"/>
      <c r="I47" s="1572"/>
      <c r="J47" s="1572"/>
      <c r="K47" s="1572"/>
      <c r="L47" s="1572"/>
      <c r="M47" s="1576"/>
      <c r="N47" s="1576"/>
      <c r="O47" s="1576"/>
    </row>
    <row r="48" spans="1:15" s="1040" customFormat="1" ht="19" hidden="1" customHeight="1">
      <c r="A48" s="1571" t="s">
        <v>35</v>
      </c>
      <c r="B48" s="1573" t="s">
        <v>5183</v>
      </c>
      <c r="C48" s="1573"/>
      <c r="D48" s="1573"/>
      <c r="E48" s="1573"/>
      <c r="F48" s="1573"/>
      <c r="G48" s="1573"/>
      <c r="H48" s="1573"/>
      <c r="I48" s="1573"/>
      <c r="J48" s="1573"/>
      <c r="K48" s="1573"/>
      <c r="L48" s="1573"/>
      <c r="M48" s="1576"/>
      <c r="N48" s="1576"/>
      <c r="O48" s="1576"/>
    </row>
    <row r="49" spans="1:15" s="1040" customFormat="1" ht="19" hidden="1" customHeight="1">
      <c r="A49" s="1571"/>
      <c r="B49" s="1577" t="s">
        <v>5184</v>
      </c>
      <c r="C49" s="1573"/>
      <c r="D49" s="1573"/>
      <c r="E49" s="1573"/>
      <c r="F49" s="1573"/>
      <c r="G49" s="1573"/>
      <c r="H49" s="1573"/>
      <c r="I49" s="1573"/>
      <c r="J49" s="1573"/>
      <c r="K49" s="1573"/>
      <c r="L49" s="1573"/>
      <c r="M49" s="1576"/>
      <c r="N49" s="1576"/>
      <c r="O49" s="1576"/>
    </row>
    <row r="50" spans="1:15" s="1040" customFormat="1" ht="19" hidden="1" customHeight="1">
      <c r="A50" s="1571" t="s">
        <v>35</v>
      </c>
      <c r="B50" s="1573" t="s">
        <v>5185</v>
      </c>
      <c r="C50" s="1573"/>
      <c r="D50" s="1573"/>
      <c r="E50" s="1573"/>
      <c r="F50" s="1573"/>
      <c r="G50" s="1573"/>
      <c r="H50" s="1573"/>
      <c r="I50" s="1573"/>
      <c r="J50" s="1573"/>
      <c r="K50" s="1573"/>
      <c r="L50" s="1573"/>
      <c r="M50" s="1576"/>
      <c r="N50" s="1576"/>
      <c r="O50" s="1576"/>
    </row>
    <row r="51" spans="1:15" s="1040" customFormat="1" ht="19" hidden="1" customHeight="1">
      <c r="A51" s="1571" t="s">
        <v>35</v>
      </c>
      <c r="B51" s="1573" t="s">
        <v>5186</v>
      </c>
      <c r="C51" s="1573"/>
      <c r="D51" s="1573"/>
      <c r="E51" s="1573"/>
      <c r="F51" s="1573"/>
      <c r="G51" s="1573"/>
      <c r="H51" s="1573"/>
      <c r="I51" s="1573"/>
      <c r="J51" s="1573"/>
      <c r="K51" s="1573"/>
      <c r="L51" s="1573"/>
      <c r="M51" s="1576"/>
      <c r="N51" s="1576"/>
      <c r="O51" s="1576"/>
    </row>
    <row r="52" spans="1:15" s="1040" customFormat="1" ht="19" hidden="1" customHeight="1">
      <c r="A52" s="1571" t="s">
        <v>35</v>
      </c>
      <c r="B52" s="1578" t="s">
        <v>5187</v>
      </c>
      <c r="C52" s="1579"/>
      <c r="D52" s="1579"/>
      <c r="E52" s="1579"/>
      <c r="F52" s="1579"/>
      <c r="G52" s="1573"/>
      <c r="H52" s="1573"/>
      <c r="I52" s="1573"/>
      <c r="J52" s="1573"/>
      <c r="K52" s="1573"/>
      <c r="L52" s="1573"/>
      <c r="M52" s="1576"/>
      <c r="N52" s="1576"/>
      <c r="O52" s="1576"/>
    </row>
    <row r="53" spans="1:15" s="1040" customFormat="1" ht="19" hidden="1" customHeight="1">
      <c r="A53" s="1571" t="s">
        <v>35</v>
      </c>
      <c r="B53" s="1578" t="s">
        <v>5188</v>
      </c>
      <c r="C53" s="1580"/>
      <c r="D53" s="1580"/>
      <c r="E53" s="1580"/>
      <c r="F53" s="1580"/>
      <c r="G53" s="1573"/>
      <c r="H53" s="1573"/>
      <c r="I53" s="1573"/>
      <c r="J53" s="1573"/>
      <c r="K53" s="1573"/>
      <c r="L53" s="1573"/>
      <c r="M53" s="1576"/>
      <c r="N53" s="1576"/>
      <c r="O53" s="1576"/>
    </row>
    <row r="54" spans="1:15" s="1040" customFormat="1" ht="19" hidden="1" customHeight="1">
      <c r="A54" s="1571" t="s">
        <v>35</v>
      </c>
      <c r="B54" s="1578" t="s">
        <v>5189</v>
      </c>
      <c r="C54" s="1579"/>
      <c r="D54" s="1579"/>
      <c r="E54" s="1579"/>
      <c r="F54" s="1580"/>
      <c r="G54" s="1573"/>
      <c r="H54" s="1573"/>
      <c r="I54" s="1573"/>
      <c r="J54" s="1573"/>
      <c r="K54" s="1573"/>
      <c r="L54" s="1573"/>
      <c r="M54" s="1576"/>
      <c r="N54" s="1576"/>
      <c r="O54" s="1576"/>
    </row>
    <row r="55" spans="1:15" s="1040" customFormat="1" ht="19" hidden="1" customHeight="1">
      <c r="A55" s="1575"/>
      <c r="B55" s="1578" t="s">
        <v>5190</v>
      </c>
      <c r="C55" s="1579"/>
      <c r="D55" s="1579"/>
      <c r="E55" s="1579"/>
      <c r="F55" s="1580"/>
      <c r="G55" s="1573"/>
      <c r="H55" s="1573"/>
      <c r="I55" s="1573"/>
      <c r="J55" s="1573"/>
      <c r="K55" s="1573"/>
      <c r="L55" s="1573"/>
      <c r="M55" s="1576"/>
      <c r="N55" s="1576"/>
      <c r="O55" s="1576"/>
    </row>
    <row r="56" spans="1:15" s="1040" customFormat="1" ht="19" hidden="1" customHeight="1">
      <c r="A56" s="1575"/>
      <c r="B56" s="1578" t="s">
        <v>5191</v>
      </c>
      <c r="C56" s="1579"/>
      <c r="D56" s="1579"/>
      <c r="E56" s="1579"/>
      <c r="F56" s="1580"/>
      <c r="G56" s="1573"/>
      <c r="H56" s="1573"/>
      <c r="I56" s="1573"/>
      <c r="J56" s="1573"/>
      <c r="K56" s="1573"/>
      <c r="L56" s="1573"/>
      <c r="M56" s="1576"/>
      <c r="N56" s="1576"/>
      <c r="O56" s="1576"/>
    </row>
    <row r="57" spans="1:15" s="1040" customFormat="1" ht="19" hidden="1" customHeight="1">
      <c r="A57" s="1571" t="s">
        <v>35</v>
      </c>
      <c r="B57" s="1578" t="s">
        <v>5192</v>
      </c>
      <c r="C57" s="1580"/>
      <c r="D57" s="1580"/>
      <c r="E57" s="1580"/>
      <c r="F57" s="1580"/>
      <c r="G57" s="1573"/>
      <c r="H57" s="1573"/>
      <c r="I57" s="1573"/>
      <c r="J57" s="1573"/>
      <c r="K57" s="1573"/>
      <c r="L57" s="1573"/>
      <c r="M57" s="1576"/>
      <c r="N57" s="1576"/>
      <c r="O57" s="1576"/>
    </row>
    <row r="58" spans="1:15" s="1040" customFormat="1" ht="19" hidden="1" customHeight="1">
      <c r="A58" s="1571" t="s">
        <v>35</v>
      </c>
      <c r="B58" s="1578" t="s">
        <v>5266</v>
      </c>
      <c r="C58" s="1580"/>
      <c r="D58" s="1580"/>
      <c r="E58" s="1580"/>
      <c r="F58" s="1580"/>
      <c r="G58" s="1573"/>
      <c r="H58" s="1573"/>
      <c r="I58" s="1573"/>
      <c r="J58" s="1573"/>
      <c r="K58" s="1573"/>
      <c r="L58" s="1573"/>
      <c r="M58" s="1576"/>
      <c r="N58" s="1576"/>
      <c r="O58" s="1576"/>
    </row>
    <row r="59" spans="1:15" s="1040" customFormat="1" ht="19" hidden="1" customHeight="1">
      <c r="A59" s="1571"/>
      <c r="B59" s="268"/>
      <c r="C59" s="1580"/>
      <c r="D59" s="1580"/>
      <c r="E59" s="1580"/>
      <c r="F59" s="1580"/>
      <c r="G59" s="1573"/>
      <c r="H59" s="1573"/>
      <c r="I59" s="1573"/>
      <c r="J59" s="1573"/>
      <c r="K59" s="1573"/>
      <c r="L59" s="1573"/>
      <c r="M59" s="1576"/>
      <c r="N59" s="1576"/>
      <c r="O59" s="1576"/>
    </row>
    <row r="60" spans="1:15" s="1572" customFormat="1" ht="28" customHeight="1" thickBot="1">
      <c r="A60" s="402" t="s">
        <v>5585</v>
      </c>
      <c r="B60" s="1544"/>
      <c r="C60" s="1544"/>
      <c r="D60" s="1544"/>
      <c r="E60" s="1544"/>
      <c r="F60" s="1544"/>
      <c r="G60" s="1544"/>
      <c r="H60" s="1544"/>
      <c r="I60" s="1544"/>
      <c r="J60" s="1544"/>
      <c r="K60" s="1544"/>
      <c r="L60" s="1544"/>
      <c r="M60" s="42"/>
      <c r="N60" s="42"/>
      <c r="O60" s="42"/>
    </row>
    <row r="61" spans="1:15" ht="14.15" customHeight="1">
      <c r="A61" s="1569" t="s">
        <v>35</v>
      </c>
      <c r="B61" s="2172" t="s">
        <v>5586</v>
      </c>
      <c r="C61" s="2172"/>
      <c r="D61" s="2172"/>
      <c r="E61" s="2172"/>
      <c r="F61" s="2172"/>
      <c r="G61" s="2172"/>
    </row>
    <row r="62" spans="1:15" ht="14.15" customHeight="1">
      <c r="A62" s="1569"/>
      <c r="B62" s="2172" t="s">
        <v>5193</v>
      </c>
      <c r="C62" s="2172"/>
      <c r="D62" s="2172"/>
      <c r="E62" s="2172"/>
      <c r="F62" s="2172"/>
      <c r="G62" s="2172"/>
      <c r="H62" s="2172"/>
      <c r="I62" s="2172"/>
      <c r="J62" s="2172"/>
      <c r="K62" s="2172"/>
    </row>
    <row r="63" spans="1:15" s="192" customFormat="1" ht="14.15" customHeight="1">
      <c r="A63" s="1568" t="s">
        <v>35</v>
      </c>
      <c r="B63" s="2172" t="s">
        <v>5629</v>
      </c>
      <c r="C63" s="2172"/>
      <c r="D63" s="2172"/>
      <c r="E63" s="2172"/>
      <c r="F63" s="2172"/>
      <c r="G63" s="2172"/>
    </row>
    <row r="64" spans="1:15" s="1542" customFormat="1" ht="13.5" customHeight="1">
      <c r="A64" s="1571" t="s">
        <v>35</v>
      </c>
      <c r="B64" s="1542" t="s">
        <v>5195</v>
      </c>
    </row>
    <row r="65" spans="1:256" ht="14.5" customHeight="1">
      <c r="A65" s="764" t="s">
        <v>35</v>
      </c>
      <c r="B65" s="157" t="s">
        <v>5196</v>
      </c>
    </row>
    <row r="66" spans="1:256" ht="14.5" customHeight="1"/>
    <row r="67" spans="1:256" s="1583" customFormat="1" ht="28" customHeight="1" thickBot="1">
      <c r="A67" s="2196" t="s">
        <v>5197</v>
      </c>
      <c r="B67" s="2196"/>
      <c r="C67" s="2196"/>
      <c r="D67" s="2196"/>
      <c r="E67" s="2196"/>
      <c r="F67" s="2196"/>
      <c r="G67" s="2196"/>
      <c r="H67" s="2196"/>
      <c r="I67" s="2196"/>
      <c r="J67" s="2196"/>
      <c r="K67" s="2196"/>
      <c r="L67" s="2196"/>
      <c r="M67" s="1582"/>
      <c r="N67" s="1582"/>
      <c r="O67" s="1582"/>
    </row>
    <row r="68" spans="1:256" s="1586" customFormat="1" ht="16.5" customHeight="1">
      <c r="A68" s="2039" t="s">
        <v>35</v>
      </c>
      <c r="B68" s="1542" t="s">
        <v>5613</v>
      </c>
      <c r="C68" s="1572"/>
      <c r="D68" s="1572"/>
      <c r="E68" s="1572"/>
      <c r="F68" s="1572"/>
      <c r="G68" s="1572"/>
      <c r="H68" s="1572"/>
      <c r="I68" s="1572"/>
      <c r="J68" s="1572"/>
      <c r="K68" s="1572"/>
      <c r="L68" s="2040"/>
      <c r="M68" s="1585"/>
      <c r="N68" s="1585"/>
      <c r="O68" s="1585"/>
    </row>
    <row r="69" spans="1:256" s="1542" customFormat="1" ht="16.5" customHeight="1">
      <c r="A69" s="2039" t="s">
        <v>35</v>
      </c>
      <c r="B69" s="2172" t="s">
        <v>5614</v>
      </c>
      <c r="C69" s="2172"/>
      <c r="D69" s="2172"/>
      <c r="E69" s="2172"/>
      <c r="F69" s="2172"/>
      <c r="G69" s="2172"/>
      <c r="H69" s="2172"/>
      <c r="I69" s="2172"/>
      <c r="J69" s="2172"/>
      <c r="K69" s="2172"/>
      <c r="L69" s="2204"/>
      <c r="M69" s="684"/>
      <c r="N69" s="684"/>
      <c r="O69" s="684"/>
    </row>
    <row r="70" spans="1:256" s="1542" customFormat="1" ht="16.5" customHeight="1">
      <c r="A70" s="2039" t="s">
        <v>35</v>
      </c>
      <c r="B70" s="2190" t="s">
        <v>5615</v>
      </c>
      <c r="C70" s="2190"/>
      <c r="D70" s="2190"/>
      <c r="E70" s="2190"/>
      <c r="F70" s="2190"/>
      <c r="G70" s="2190"/>
      <c r="H70" s="2190"/>
      <c r="I70" s="2190"/>
      <c r="J70" s="2190"/>
      <c r="K70" s="2190"/>
      <c r="L70" s="2201"/>
      <c r="M70" s="684"/>
      <c r="N70" s="684"/>
      <c r="O70" s="684"/>
    </row>
    <row r="71" spans="1:256" s="18" customFormat="1" ht="16.5" customHeight="1">
      <c r="A71" s="2039"/>
      <c r="B71" s="1573" t="s">
        <v>5616</v>
      </c>
      <c r="C71" s="1573"/>
      <c r="D71" s="1573"/>
      <c r="E71" s="1573"/>
      <c r="F71" s="1573"/>
      <c r="G71" s="1573"/>
      <c r="H71" s="1573"/>
      <c r="I71" s="1573"/>
      <c r="J71" s="1573"/>
      <c r="K71" s="1573"/>
      <c r="L71" s="2032"/>
      <c r="M71" s="684"/>
      <c r="N71" s="684"/>
      <c r="O71" s="684"/>
    </row>
    <row r="72" spans="1:256" s="18" customFormat="1" ht="16.5" customHeight="1">
      <c r="A72" s="2039"/>
      <c r="B72" s="1573"/>
      <c r="C72" s="1573" t="s">
        <v>5617</v>
      </c>
      <c r="D72" s="1573"/>
      <c r="E72" s="1573"/>
      <c r="F72" s="1573"/>
      <c r="G72" s="1573"/>
      <c r="H72" s="1573"/>
      <c r="I72" s="1573"/>
      <c r="J72" s="1573"/>
      <c r="K72" s="1573"/>
      <c r="L72" s="2032"/>
      <c r="M72" s="684"/>
      <c r="N72" s="684"/>
      <c r="O72" s="684"/>
    </row>
    <row r="73" spans="1:256" s="1594" customFormat="1" ht="16.5" customHeight="1">
      <c r="A73" s="2039"/>
      <c r="B73" s="2041"/>
      <c r="C73" s="157"/>
      <c r="D73" s="2042" t="s">
        <v>5208</v>
      </c>
      <c r="E73" s="2043"/>
      <c r="F73" s="2043"/>
      <c r="G73" s="2043"/>
      <c r="H73" s="2043"/>
      <c r="I73" s="2043"/>
      <c r="J73" s="2043"/>
      <c r="K73" s="2043"/>
      <c r="L73" s="2044"/>
      <c r="M73" s="1593"/>
      <c r="N73" s="1593"/>
      <c r="O73" s="1593"/>
    </row>
    <row r="74" spans="1:256" ht="16.5" customHeight="1">
      <c r="A74" s="2039"/>
      <c r="B74" s="2041"/>
      <c r="C74" s="2045"/>
      <c r="D74" s="2046" t="s">
        <v>5618</v>
      </c>
      <c r="E74" s="2046"/>
      <c r="F74" s="2046"/>
      <c r="G74" s="2046"/>
      <c r="H74" s="2046"/>
      <c r="I74" s="2046"/>
      <c r="J74" s="2046"/>
      <c r="K74" s="2046"/>
      <c r="L74" s="2047"/>
      <c r="M74" s="42"/>
      <c r="N74" s="42"/>
      <c r="O74" s="42"/>
    </row>
    <row r="75" spans="1:256" ht="16.5" customHeight="1">
      <c r="A75" s="2048"/>
      <c r="B75" s="1542"/>
      <c r="C75" s="192"/>
      <c r="D75" s="2049" t="s">
        <v>5638</v>
      </c>
      <c r="E75" s="2050"/>
      <c r="F75" s="2050"/>
      <c r="G75" s="2050"/>
      <c r="H75" s="2050"/>
      <c r="I75" s="2051"/>
      <c r="J75" s="2051"/>
      <c r="K75" s="2051"/>
      <c r="L75" s="2052"/>
      <c r="M75" s="42"/>
      <c r="N75" s="42"/>
      <c r="O75" s="42"/>
    </row>
    <row r="76" spans="1:256" ht="16.5" customHeight="1">
      <c r="A76" s="2053"/>
      <c r="B76" s="37" t="s">
        <v>5619</v>
      </c>
      <c r="D76" s="2049"/>
      <c r="E76" s="2051"/>
      <c r="F76" s="2051"/>
      <c r="G76" s="2051"/>
      <c r="H76" s="2051"/>
      <c r="I76" s="2051"/>
      <c r="J76" s="2051"/>
      <c r="K76" s="2051"/>
      <c r="L76" s="2051"/>
      <c r="M76" s="42"/>
      <c r="N76" s="42"/>
      <c r="O76" s="42"/>
    </row>
    <row r="77" spans="1:256" ht="16.5" customHeight="1">
      <c r="A77" s="2053"/>
      <c r="B77" s="1572"/>
      <c r="D77" s="2049"/>
      <c r="E77" s="2051"/>
      <c r="F77" s="2051"/>
      <c r="G77" s="2051"/>
      <c r="H77" s="2051"/>
      <c r="I77" s="2051"/>
      <c r="J77" s="2051"/>
      <c r="K77" s="2051"/>
      <c r="L77" s="2051"/>
      <c r="M77" s="42"/>
      <c r="N77" s="42"/>
      <c r="O77" s="42"/>
    </row>
    <row r="78" spans="1:256" ht="16.5" customHeight="1">
      <c r="A78" s="2053"/>
      <c r="B78" s="1572"/>
      <c r="C78" s="157" t="s">
        <v>5620</v>
      </c>
      <c r="D78" s="272" t="s">
        <v>5224</v>
      </c>
      <c r="E78" s="2051"/>
      <c r="F78" s="2051"/>
      <c r="G78" s="2051"/>
      <c r="H78" s="2051"/>
      <c r="I78" s="2051"/>
      <c r="J78" s="2051"/>
      <c r="K78" s="2051"/>
      <c r="L78" s="2051"/>
      <c r="M78" s="42"/>
      <c r="N78" s="42"/>
      <c r="O78" s="42"/>
    </row>
    <row r="79" spans="1:256" s="192" customFormat="1" ht="16.5" customHeight="1">
      <c r="A79" s="2053"/>
      <c r="B79" s="1572"/>
      <c r="C79" s="157"/>
      <c r="D79" s="272" t="s">
        <v>5621</v>
      </c>
      <c r="E79" s="2051"/>
      <c r="F79" s="2051"/>
      <c r="G79" s="2051"/>
      <c r="H79" s="2051"/>
      <c r="I79" s="2051"/>
      <c r="J79" s="2051"/>
      <c r="K79" s="2051"/>
      <c r="L79" s="2051"/>
      <c r="M79" s="684"/>
      <c r="N79" s="684"/>
      <c r="O79" s="684"/>
    </row>
    <row r="80" spans="1:256" s="764" customFormat="1" ht="16.5" customHeight="1">
      <c r="A80" s="2041"/>
      <c r="B80" s="1572"/>
      <c r="C80" s="1542" t="s">
        <v>5622</v>
      </c>
      <c r="D80" s="1572"/>
      <c r="E80" s="1572"/>
      <c r="F80" s="1572"/>
      <c r="G80" s="1572"/>
      <c r="H80" s="1572"/>
      <c r="I80" s="1572"/>
      <c r="J80" s="1572"/>
      <c r="K80" s="1572"/>
      <c r="L80" s="1572"/>
      <c r="M80" s="42"/>
      <c r="N80" s="42"/>
      <c r="O80" s="42"/>
      <c r="P80" s="157"/>
      <c r="Q80" s="157"/>
      <c r="R80" s="157"/>
      <c r="S80" s="157"/>
      <c r="T80" s="157"/>
      <c r="U80" s="157"/>
      <c r="V80" s="157"/>
      <c r="W80" s="157"/>
      <c r="X80" s="157"/>
      <c r="Y80" s="157"/>
      <c r="Z80" s="157"/>
      <c r="AA80" s="157"/>
      <c r="AB80" s="157"/>
      <c r="AC80" s="157"/>
      <c r="AD80" s="157"/>
      <c r="AE80" s="157"/>
      <c r="AF80" s="157"/>
      <c r="AG80" s="157"/>
      <c r="AH80" s="157"/>
      <c r="AI80" s="157"/>
      <c r="AJ80" s="157"/>
      <c r="AK80" s="157"/>
      <c r="AL80" s="157"/>
      <c r="AM80" s="157"/>
      <c r="AN80" s="157"/>
      <c r="AO80" s="157"/>
      <c r="AP80" s="157"/>
      <c r="AQ80" s="157"/>
      <c r="AR80" s="157"/>
      <c r="AS80" s="157"/>
      <c r="AT80" s="157"/>
      <c r="AU80" s="157"/>
      <c r="AV80" s="157"/>
      <c r="AW80" s="157"/>
      <c r="AX80" s="157"/>
      <c r="AY80" s="157"/>
      <c r="AZ80" s="157"/>
      <c r="BA80" s="157"/>
      <c r="BB80" s="157"/>
      <c r="BC80" s="157"/>
      <c r="BD80" s="157"/>
      <c r="BE80" s="157"/>
      <c r="BF80" s="157"/>
      <c r="BG80" s="157"/>
      <c r="BH80" s="157"/>
      <c r="BI80" s="157"/>
      <c r="BJ80" s="157"/>
      <c r="BK80" s="157"/>
      <c r="BL80" s="157"/>
      <c r="BM80" s="157"/>
      <c r="BN80" s="157"/>
      <c r="BO80" s="157"/>
      <c r="BP80" s="157"/>
      <c r="BQ80" s="157"/>
      <c r="BR80" s="157"/>
      <c r="BS80" s="157"/>
      <c r="BT80" s="157"/>
      <c r="BU80" s="157"/>
      <c r="BV80" s="157"/>
      <c r="BW80" s="157"/>
      <c r="BX80" s="157"/>
      <c r="BY80" s="157"/>
      <c r="BZ80" s="157"/>
      <c r="CA80" s="157"/>
      <c r="CB80" s="157"/>
      <c r="CC80" s="157"/>
      <c r="CD80" s="157"/>
      <c r="CE80" s="157"/>
      <c r="CF80" s="157"/>
      <c r="CG80" s="157"/>
      <c r="CH80" s="157"/>
      <c r="CI80" s="157"/>
      <c r="CJ80" s="157"/>
      <c r="CK80" s="157"/>
      <c r="CL80" s="157"/>
      <c r="CM80" s="157"/>
      <c r="CN80" s="157"/>
      <c r="CO80" s="157"/>
      <c r="CP80" s="157"/>
      <c r="CQ80" s="157"/>
      <c r="CR80" s="157"/>
      <c r="CS80" s="157"/>
      <c r="CT80" s="157"/>
      <c r="CU80" s="157"/>
      <c r="CV80" s="157"/>
      <c r="CW80" s="157"/>
      <c r="CX80" s="157"/>
      <c r="CY80" s="157"/>
      <c r="CZ80" s="157"/>
      <c r="DA80" s="157"/>
      <c r="DB80" s="157"/>
      <c r="DC80" s="157"/>
      <c r="DD80" s="157"/>
      <c r="DE80" s="157"/>
      <c r="DF80" s="157"/>
      <c r="DG80" s="157"/>
      <c r="DH80" s="157"/>
      <c r="DI80" s="157"/>
      <c r="DJ80" s="157"/>
      <c r="DK80" s="157"/>
      <c r="DL80" s="157"/>
      <c r="DM80" s="157"/>
      <c r="DN80" s="157"/>
      <c r="DO80" s="157"/>
      <c r="DP80" s="157"/>
      <c r="DQ80" s="157"/>
      <c r="DR80" s="157"/>
      <c r="DS80" s="157"/>
      <c r="DT80" s="157"/>
      <c r="DU80" s="157"/>
      <c r="DV80" s="157"/>
      <c r="DW80" s="157"/>
      <c r="DX80" s="157"/>
      <c r="DY80" s="157"/>
      <c r="DZ80" s="157"/>
      <c r="EA80" s="157"/>
      <c r="EB80" s="157"/>
      <c r="EC80" s="157"/>
      <c r="ED80" s="157"/>
      <c r="EE80" s="157"/>
      <c r="EF80" s="157"/>
      <c r="EG80" s="157"/>
      <c r="EH80" s="157"/>
      <c r="EI80" s="157"/>
      <c r="EJ80" s="157"/>
      <c r="EK80" s="157"/>
      <c r="EL80" s="157"/>
      <c r="EM80" s="157"/>
      <c r="EN80" s="157"/>
      <c r="EO80" s="157"/>
      <c r="EP80" s="157"/>
      <c r="EQ80" s="157"/>
      <c r="ER80" s="157"/>
      <c r="ES80" s="157"/>
      <c r="ET80" s="157"/>
      <c r="EU80" s="157"/>
      <c r="EV80" s="157"/>
      <c r="EW80" s="157"/>
      <c r="EX80" s="157"/>
      <c r="EY80" s="157"/>
      <c r="EZ80" s="157"/>
      <c r="FA80" s="157"/>
      <c r="FB80" s="157"/>
      <c r="FC80" s="157"/>
      <c r="FD80" s="157"/>
      <c r="FE80" s="157"/>
      <c r="FF80" s="157"/>
      <c r="FG80" s="157"/>
      <c r="FH80" s="157"/>
      <c r="FI80" s="157"/>
      <c r="FJ80" s="157"/>
      <c r="FK80" s="157"/>
      <c r="FL80" s="157"/>
      <c r="FM80" s="157"/>
      <c r="FN80" s="157"/>
      <c r="FO80" s="157"/>
      <c r="FP80" s="157"/>
      <c r="FQ80" s="157"/>
      <c r="FR80" s="157"/>
      <c r="FS80" s="157"/>
      <c r="FT80" s="157"/>
      <c r="FU80" s="157"/>
      <c r="FV80" s="157"/>
      <c r="FW80" s="157"/>
      <c r="FX80" s="157"/>
      <c r="FY80" s="157"/>
      <c r="FZ80" s="157"/>
      <c r="GA80" s="157"/>
      <c r="GB80" s="157"/>
      <c r="GC80" s="157"/>
      <c r="GD80" s="157"/>
      <c r="GE80" s="157"/>
      <c r="GF80" s="157"/>
      <c r="GG80" s="157"/>
      <c r="GH80" s="157"/>
      <c r="GI80" s="157"/>
      <c r="GJ80" s="157"/>
      <c r="GK80" s="157"/>
      <c r="GL80" s="157"/>
      <c r="GM80" s="157"/>
      <c r="GN80" s="157"/>
      <c r="GO80" s="157"/>
      <c r="GP80" s="157"/>
      <c r="GQ80" s="157"/>
      <c r="GR80" s="157"/>
      <c r="GS80" s="157"/>
      <c r="GT80" s="157"/>
      <c r="GU80" s="157"/>
      <c r="GV80" s="157"/>
      <c r="GW80" s="157"/>
      <c r="GX80" s="157"/>
      <c r="GY80" s="157"/>
      <c r="GZ80" s="157"/>
      <c r="HA80" s="157"/>
      <c r="HB80" s="157"/>
      <c r="HC80" s="157"/>
      <c r="HD80" s="157"/>
      <c r="HE80" s="157"/>
      <c r="HF80" s="157"/>
      <c r="HG80" s="157"/>
      <c r="HH80" s="157"/>
      <c r="HI80" s="157"/>
      <c r="HJ80" s="157"/>
      <c r="HK80" s="157"/>
      <c r="HL80" s="157"/>
      <c r="HM80" s="157"/>
      <c r="HN80" s="157"/>
      <c r="HO80" s="157"/>
      <c r="HP80" s="157"/>
      <c r="HQ80" s="157"/>
      <c r="HR80" s="157"/>
      <c r="HS80" s="157"/>
      <c r="HT80" s="157"/>
      <c r="HU80" s="157"/>
      <c r="HV80" s="157"/>
      <c r="HW80" s="157"/>
      <c r="HX80" s="157"/>
      <c r="HY80" s="157"/>
      <c r="HZ80" s="157"/>
      <c r="IA80" s="157"/>
      <c r="IB80" s="157"/>
      <c r="IC80" s="157"/>
      <c r="ID80" s="157"/>
      <c r="IE80" s="157"/>
      <c r="IF80" s="157"/>
      <c r="IG80" s="157"/>
      <c r="IH80" s="157"/>
      <c r="II80" s="157"/>
      <c r="IJ80" s="157"/>
      <c r="IK80" s="157"/>
      <c r="IL80" s="157"/>
      <c r="IM80" s="157"/>
      <c r="IN80" s="157"/>
      <c r="IO80" s="157"/>
      <c r="IP80" s="157"/>
      <c r="IQ80" s="157"/>
      <c r="IR80" s="157"/>
      <c r="IS80" s="157"/>
      <c r="IT80" s="157"/>
      <c r="IU80" s="157"/>
      <c r="IV80" s="157"/>
    </row>
    <row r="81" spans="1:256" s="764" customFormat="1" ht="16.5" customHeight="1">
      <c r="A81" s="2041"/>
      <c r="B81" s="1572"/>
      <c r="C81" s="1542"/>
      <c r="D81" s="1572"/>
      <c r="E81" s="1572"/>
      <c r="F81" s="1572"/>
      <c r="G81" s="1572"/>
      <c r="H81" s="1572"/>
      <c r="I81" s="1572"/>
      <c r="J81" s="1572"/>
      <c r="K81" s="1572"/>
      <c r="L81" s="1572"/>
      <c r="M81" s="42"/>
      <c r="N81" s="42"/>
      <c r="O81" s="42"/>
      <c r="P81" s="157"/>
      <c r="Q81" s="157"/>
      <c r="R81" s="157"/>
      <c r="S81" s="157"/>
      <c r="T81" s="157"/>
      <c r="U81" s="157"/>
      <c r="V81" s="157"/>
      <c r="W81" s="157"/>
      <c r="X81" s="157"/>
      <c r="Y81" s="157"/>
      <c r="Z81" s="157"/>
      <c r="AA81" s="157"/>
      <c r="AB81" s="157"/>
      <c r="AC81" s="157"/>
      <c r="AD81" s="157"/>
      <c r="AE81" s="157"/>
      <c r="AF81" s="157"/>
      <c r="AG81" s="157"/>
      <c r="AH81" s="157"/>
      <c r="AI81" s="157"/>
      <c r="AJ81" s="157"/>
      <c r="AK81" s="157"/>
      <c r="AL81" s="157"/>
      <c r="AM81" s="157"/>
      <c r="AN81" s="157"/>
      <c r="AO81" s="157"/>
      <c r="AP81" s="157"/>
      <c r="AQ81" s="157"/>
      <c r="AR81" s="157"/>
      <c r="AS81" s="157"/>
      <c r="AT81" s="157"/>
      <c r="AU81" s="157"/>
      <c r="AV81" s="157"/>
      <c r="AW81" s="157"/>
      <c r="AX81" s="157"/>
      <c r="AY81" s="157"/>
      <c r="AZ81" s="157"/>
      <c r="BA81" s="157"/>
      <c r="BB81" s="157"/>
      <c r="BC81" s="157"/>
      <c r="BD81" s="157"/>
      <c r="BE81" s="157"/>
      <c r="BF81" s="157"/>
      <c r="BG81" s="157"/>
      <c r="BH81" s="157"/>
      <c r="BI81" s="157"/>
      <c r="BJ81" s="157"/>
      <c r="BK81" s="157"/>
      <c r="BL81" s="157"/>
      <c r="BM81" s="157"/>
      <c r="BN81" s="157"/>
      <c r="BO81" s="157"/>
      <c r="BP81" s="157"/>
      <c r="BQ81" s="157"/>
      <c r="BR81" s="157"/>
      <c r="BS81" s="157"/>
      <c r="BT81" s="157"/>
      <c r="BU81" s="157"/>
      <c r="BV81" s="157"/>
      <c r="BW81" s="157"/>
      <c r="BX81" s="157"/>
      <c r="BY81" s="157"/>
      <c r="BZ81" s="157"/>
      <c r="CA81" s="157"/>
      <c r="CB81" s="157"/>
      <c r="CC81" s="157"/>
      <c r="CD81" s="157"/>
      <c r="CE81" s="157"/>
      <c r="CF81" s="157"/>
      <c r="CG81" s="157"/>
      <c r="CH81" s="157"/>
      <c r="CI81" s="157"/>
      <c r="CJ81" s="157"/>
      <c r="CK81" s="157"/>
      <c r="CL81" s="157"/>
      <c r="CM81" s="157"/>
      <c r="CN81" s="157"/>
      <c r="CO81" s="157"/>
      <c r="CP81" s="157"/>
      <c r="CQ81" s="157"/>
      <c r="CR81" s="157"/>
      <c r="CS81" s="157"/>
      <c r="CT81" s="157"/>
      <c r="CU81" s="157"/>
      <c r="CV81" s="157"/>
      <c r="CW81" s="157"/>
      <c r="CX81" s="157"/>
      <c r="CY81" s="157"/>
      <c r="CZ81" s="157"/>
      <c r="DA81" s="157"/>
      <c r="DB81" s="157"/>
      <c r="DC81" s="157"/>
      <c r="DD81" s="157"/>
      <c r="DE81" s="157"/>
      <c r="DF81" s="157"/>
      <c r="DG81" s="157"/>
      <c r="DH81" s="157"/>
      <c r="DI81" s="157"/>
      <c r="DJ81" s="157"/>
      <c r="DK81" s="157"/>
      <c r="DL81" s="157"/>
      <c r="DM81" s="157"/>
      <c r="DN81" s="157"/>
      <c r="DO81" s="157"/>
      <c r="DP81" s="157"/>
      <c r="DQ81" s="157"/>
      <c r="DR81" s="157"/>
      <c r="DS81" s="157"/>
      <c r="DT81" s="157"/>
      <c r="DU81" s="157"/>
      <c r="DV81" s="157"/>
      <c r="DW81" s="157"/>
      <c r="DX81" s="157"/>
      <c r="DY81" s="157"/>
      <c r="DZ81" s="157"/>
      <c r="EA81" s="157"/>
      <c r="EB81" s="157"/>
      <c r="EC81" s="157"/>
      <c r="ED81" s="157"/>
      <c r="EE81" s="157"/>
      <c r="EF81" s="157"/>
      <c r="EG81" s="157"/>
      <c r="EH81" s="157"/>
      <c r="EI81" s="157"/>
      <c r="EJ81" s="157"/>
      <c r="EK81" s="157"/>
      <c r="EL81" s="157"/>
      <c r="EM81" s="157"/>
      <c r="EN81" s="157"/>
      <c r="EO81" s="157"/>
      <c r="EP81" s="157"/>
      <c r="EQ81" s="157"/>
      <c r="ER81" s="157"/>
      <c r="ES81" s="157"/>
      <c r="ET81" s="157"/>
      <c r="EU81" s="157"/>
      <c r="EV81" s="157"/>
      <c r="EW81" s="157"/>
      <c r="EX81" s="157"/>
      <c r="EY81" s="157"/>
      <c r="EZ81" s="157"/>
      <c r="FA81" s="157"/>
      <c r="FB81" s="157"/>
      <c r="FC81" s="157"/>
      <c r="FD81" s="157"/>
      <c r="FE81" s="157"/>
      <c r="FF81" s="157"/>
      <c r="FG81" s="157"/>
      <c r="FH81" s="157"/>
      <c r="FI81" s="157"/>
      <c r="FJ81" s="157"/>
      <c r="FK81" s="157"/>
      <c r="FL81" s="157"/>
      <c r="FM81" s="157"/>
      <c r="FN81" s="157"/>
      <c r="FO81" s="157"/>
      <c r="FP81" s="157"/>
      <c r="FQ81" s="157"/>
      <c r="FR81" s="157"/>
      <c r="FS81" s="157"/>
      <c r="FT81" s="157"/>
      <c r="FU81" s="157"/>
      <c r="FV81" s="157"/>
      <c r="FW81" s="157"/>
      <c r="FX81" s="157"/>
      <c r="FY81" s="157"/>
      <c r="FZ81" s="157"/>
      <c r="GA81" s="157"/>
      <c r="GB81" s="157"/>
      <c r="GC81" s="157"/>
      <c r="GD81" s="157"/>
      <c r="GE81" s="157"/>
      <c r="GF81" s="157"/>
      <c r="GG81" s="157"/>
      <c r="GH81" s="157"/>
      <c r="GI81" s="157"/>
      <c r="GJ81" s="157"/>
      <c r="GK81" s="157"/>
      <c r="GL81" s="157"/>
      <c r="GM81" s="157"/>
      <c r="GN81" s="157"/>
      <c r="GO81" s="157"/>
      <c r="GP81" s="157"/>
      <c r="GQ81" s="157"/>
      <c r="GR81" s="157"/>
      <c r="GS81" s="157"/>
      <c r="GT81" s="157"/>
      <c r="GU81" s="157"/>
      <c r="GV81" s="157"/>
      <c r="GW81" s="157"/>
      <c r="GX81" s="157"/>
      <c r="GY81" s="157"/>
      <c r="GZ81" s="157"/>
      <c r="HA81" s="157"/>
      <c r="HB81" s="157"/>
      <c r="HC81" s="157"/>
      <c r="HD81" s="157"/>
      <c r="HE81" s="157"/>
      <c r="HF81" s="157"/>
      <c r="HG81" s="157"/>
      <c r="HH81" s="157"/>
      <c r="HI81" s="157"/>
      <c r="HJ81" s="157"/>
      <c r="HK81" s="157"/>
      <c r="HL81" s="157"/>
      <c r="HM81" s="157"/>
      <c r="HN81" s="157"/>
      <c r="HO81" s="157"/>
      <c r="HP81" s="157"/>
      <c r="HQ81" s="157"/>
      <c r="HR81" s="157"/>
      <c r="HS81" s="157"/>
      <c r="HT81" s="157"/>
      <c r="HU81" s="157"/>
      <c r="HV81" s="157"/>
      <c r="HW81" s="157"/>
      <c r="HX81" s="157"/>
      <c r="HY81" s="157"/>
      <c r="HZ81" s="157"/>
      <c r="IA81" s="157"/>
      <c r="IB81" s="157"/>
      <c r="IC81" s="157"/>
      <c r="ID81" s="157"/>
      <c r="IE81" s="157"/>
      <c r="IF81" s="157"/>
      <c r="IG81" s="157"/>
      <c r="IH81" s="157"/>
      <c r="II81" s="157"/>
      <c r="IJ81" s="157"/>
      <c r="IK81" s="157"/>
      <c r="IL81" s="157"/>
      <c r="IM81" s="157"/>
      <c r="IN81" s="157"/>
      <c r="IO81" s="157"/>
      <c r="IP81" s="157"/>
      <c r="IQ81" s="157"/>
      <c r="IR81" s="157"/>
      <c r="IS81" s="157"/>
      <c r="IT81" s="157"/>
      <c r="IU81" s="157"/>
      <c r="IV81" s="157"/>
    </row>
    <row r="82" spans="1:256" s="764" customFormat="1" ht="16.5" customHeight="1">
      <c r="A82" s="2054" t="s">
        <v>35</v>
      </c>
      <c r="B82" s="2055" t="s">
        <v>5623</v>
      </c>
      <c r="C82" s="1572"/>
      <c r="D82" s="1572"/>
      <c r="E82" s="1572"/>
      <c r="F82" s="1572"/>
      <c r="G82" s="1572"/>
      <c r="H82" s="1572"/>
      <c r="I82" s="1572"/>
      <c r="J82" s="1572"/>
      <c r="K82" s="1572"/>
      <c r="L82" s="2040"/>
      <c r="M82" s="42"/>
      <c r="N82" s="42"/>
      <c r="O82" s="42"/>
      <c r="P82" s="157"/>
      <c r="Q82" s="157"/>
      <c r="R82" s="157"/>
      <c r="S82" s="157"/>
      <c r="T82" s="157"/>
      <c r="U82" s="157"/>
      <c r="V82" s="157"/>
      <c r="W82" s="157"/>
      <c r="X82" s="157"/>
      <c r="Y82" s="157"/>
      <c r="Z82" s="157"/>
      <c r="AA82" s="157"/>
      <c r="AB82" s="157"/>
      <c r="AC82" s="157"/>
      <c r="AD82" s="157"/>
      <c r="AE82" s="157"/>
      <c r="AF82" s="157"/>
      <c r="AG82" s="157"/>
      <c r="AH82" s="157"/>
      <c r="AI82" s="157"/>
      <c r="AJ82" s="157"/>
      <c r="AK82" s="157"/>
      <c r="AL82" s="157"/>
      <c r="AM82" s="157"/>
      <c r="AN82" s="157"/>
      <c r="AO82" s="157"/>
      <c r="AP82" s="157"/>
      <c r="AQ82" s="157"/>
      <c r="AR82" s="157"/>
      <c r="AS82" s="157"/>
      <c r="AT82" s="157"/>
      <c r="AU82" s="157"/>
      <c r="AV82" s="157"/>
      <c r="AW82" s="157"/>
      <c r="AX82" s="157"/>
      <c r="AY82" s="157"/>
      <c r="AZ82" s="157"/>
      <c r="BA82" s="157"/>
      <c r="BB82" s="157"/>
      <c r="BC82" s="157"/>
      <c r="BD82" s="157"/>
      <c r="BE82" s="157"/>
      <c r="BF82" s="157"/>
      <c r="BG82" s="157"/>
      <c r="BH82" s="157"/>
      <c r="BI82" s="157"/>
      <c r="BJ82" s="157"/>
      <c r="BK82" s="157"/>
      <c r="BL82" s="157"/>
      <c r="BM82" s="157"/>
      <c r="BN82" s="157"/>
      <c r="BO82" s="157"/>
      <c r="BP82" s="157"/>
      <c r="BQ82" s="157"/>
      <c r="BR82" s="157"/>
      <c r="BS82" s="157"/>
      <c r="BT82" s="157"/>
      <c r="BU82" s="157"/>
      <c r="BV82" s="157"/>
      <c r="BW82" s="157"/>
      <c r="BX82" s="157"/>
      <c r="BY82" s="157"/>
      <c r="BZ82" s="157"/>
      <c r="CA82" s="157"/>
      <c r="CB82" s="157"/>
      <c r="CC82" s="157"/>
      <c r="CD82" s="157"/>
      <c r="CE82" s="157"/>
      <c r="CF82" s="157"/>
      <c r="CG82" s="157"/>
      <c r="CH82" s="157"/>
      <c r="CI82" s="157"/>
      <c r="CJ82" s="157"/>
      <c r="CK82" s="157"/>
      <c r="CL82" s="157"/>
      <c r="CM82" s="157"/>
      <c r="CN82" s="157"/>
      <c r="CO82" s="157"/>
      <c r="CP82" s="157"/>
      <c r="CQ82" s="157"/>
      <c r="CR82" s="157"/>
      <c r="CS82" s="157"/>
      <c r="CT82" s="157"/>
      <c r="CU82" s="157"/>
      <c r="CV82" s="157"/>
      <c r="CW82" s="157"/>
      <c r="CX82" s="157"/>
      <c r="CY82" s="157"/>
      <c r="CZ82" s="157"/>
      <c r="DA82" s="157"/>
      <c r="DB82" s="157"/>
      <c r="DC82" s="157"/>
      <c r="DD82" s="157"/>
      <c r="DE82" s="157"/>
      <c r="DF82" s="157"/>
      <c r="DG82" s="157"/>
      <c r="DH82" s="157"/>
      <c r="DI82" s="157"/>
      <c r="DJ82" s="157"/>
      <c r="DK82" s="157"/>
      <c r="DL82" s="157"/>
      <c r="DM82" s="157"/>
      <c r="DN82" s="157"/>
      <c r="DO82" s="157"/>
      <c r="DP82" s="157"/>
      <c r="DQ82" s="157"/>
      <c r="DR82" s="157"/>
      <c r="DS82" s="157"/>
      <c r="DT82" s="157"/>
      <c r="DU82" s="157"/>
      <c r="DV82" s="157"/>
      <c r="DW82" s="157"/>
      <c r="DX82" s="157"/>
      <c r="DY82" s="157"/>
      <c r="DZ82" s="157"/>
      <c r="EA82" s="157"/>
      <c r="EB82" s="157"/>
      <c r="EC82" s="157"/>
      <c r="ED82" s="157"/>
      <c r="EE82" s="157"/>
      <c r="EF82" s="157"/>
      <c r="EG82" s="157"/>
      <c r="EH82" s="157"/>
      <c r="EI82" s="157"/>
      <c r="EJ82" s="157"/>
      <c r="EK82" s="157"/>
      <c r="EL82" s="157"/>
      <c r="EM82" s="157"/>
      <c r="EN82" s="157"/>
      <c r="EO82" s="157"/>
      <c r="EP82" s="157"/>
      <c r="EQ82" s="157"/>
      <c r="ER82" s="157"/>
      <c r="ES82" s="157"/>
      <c r="ET82" s="157"/>
      <c r="EU82" s="157"/>
      <c r="EV82" s="157"/>
      <c r="EW82" s="157"/>
      <c r="EX82" s="157"/>
      <c r="EY82" s="157"/>
      <c r="EZ82" s="157"/>
      <c r="FA82" s="157"/>
      <c r="FB82" s="157"/>
      <c r="FC82" s="157"/>
      <c r="FD82" s="157"/>
      <c r="FE82" s="157"/>
      <c r="FF82" s="157"/>
      <c r="FG82" s="157"/>
      <c r="FH82" s="157"/>
      <c r="FI82" s="157"/>
      <c r="FJ82" s="157"/>
      <c r="FK82" s="157"/>
      <c r="FL82" s="157"/>
      <c r="FM82" s="157"/>
      <c r="FN82" s="157"/>
      <c r="FO82" s="157"/>
      <c r="FP82" s="157"/>
      <c r="FQ82" s="157"/>
      <c r="FR82" s="157"/>
      <c r="FS82" s="157"/>
      <c r="FT82" s="157"/>
      <c r="FU82" s="157"/>
      <c r="FV82" s="157"/>
      <c r="FW82" s="157"/>
      <c r="FX82" s="157"/>
      <c r="FY82" s="157"/>
      <c r="FZ82" s="157"/>
      <c r="GA82" s="157"/>
      <c r="GB82" s="157"/>
      <c r="GC82" s="157"/>
      <c r="GD82" s="157"/>
      <c r="GE82" s="157"/>
      <c r="GF82" s="157"/>
      <c r="GG82" s="157"/>
      <c r="GH82" s="157"/>
      <c r="GI82" s="157"/>
      <c r="GJ82" s="157"/>
      <c r="GK82" s="157"/>
      <c r="GL82" s="157"/>
      <c r="GM82" s="157"/>
      <c r="GN82" s="157"/>
      <c r="GO82" s="157"/>
      <c r="GP82" s="157"/>
      <c r="GQ82" s="157"/>
      <c r="GR82" s="157"/>
      <c r="GS82" s="157"/>
      <c r="GT82" s="157"/>
      <c r="GU82" s="157"/>
      <c r="GV82" s="157"/>
      <c r="GW82" s="157"/>
      <c r="GX82" s="157"/>
      <c r="GY82" s="157"/>
      <c r="GZ82" s="157"/>
      <c r="HA82" s="157"/>
      <c r="HB82" s="157"/>
      <c r="HC82" s="157"/>
      <c r="HD82" s="157"/>
      <c r="HE82" s="157"/>
      <c r="HF82" s="157"/>
      <c r="HG82" s="157"/>
      <c r="HH82" s="157"/>
      <c r="HI82" s="157"/>
      <c r="HJ82" s="157"/>
      <c r="HK82" s="157"/>
      <c r="HL82" s="157"/>
      <c r="HM82" s="157"/>
      <c r="HN82" s="157"/>
      <c r="HO82" s="157"/>
      <c r="HP82" s="157"/>
      <c r="HQ82" s="157"/>
      <c r="HR82" s="157"/>
      <c r="HS82" s="157"/>
      <c r="HT82" s="157"/>
      <c r="HU82" s="157"/>
      <c r="HV82" s="157"/>
      <c r="HW82" s="157"/>
      <c r="HX82" s="157"/>
      <c r="HY82" s="157"/>
      <c r="HZ82" s="157"/>
      <c r="IA82" s="157"/>
      <c r="IB82" s="157"/>
      <c r="IC82" s="157"/>
      <c r="ID82" s="157"/>
      <c r="IE82" s="157"/>
      <c r="IF82" s="157"/>
      <c r="IG82" s="157"/>
      <c r="IH82" s="157"/>
      <c r="II82" s="157"/>
      <c r="IJ82" s="157"/>
      <c r="IK82" s="157"/>
      <c r="IL82" s="157"/>
      <c r="IM82" s="157"/>
      <c r="IN82" s="157"/>
      <c r="IO82" s="157"/>
      <c r="IP82" s="157"/>
      <c r="IQ82" s="157"/>
      <c r="IR82" s="157"/>
      <c r="IS82" s="157"/>
      <c r="IT82" s="157"/>
      <c r="IU82" s="157"/>
      <c r="IV82" s="157"/>
    </row>
    <row r="83" spans="1:256" ht="16.5" customHeight="1">
      <c r="A83" s="2039"/>
      <c r="B83" s="2055"/>
      <c r="C83" s="1572"/>
      <c r="D83" s="1572"/>
      <c r="E83" s="1572"/>
      <c r="F83" s="1572"/>
      <c r="G83" s="1572"/>
      <c r="H83" s="1572"/>
      <c r="I83" s="1572"/>
      <c r="J83" s="1572"/>
      <c r="K83" s="1572"/>
      <c r="L83" s="2040"/>
      <c r="M83" s="42"/>
      <c r="N83" s="42"/>
      <c r="O83" s="42"/>
    </row>
    <row r="84" spans="1:256" ht="16.5" customHeight="1">
      <c r="A84" s="2039" t="s">
        <v>35</v>
      </c>
      <c r="B84" s="2056" t="s">
        <v>5624</v>
      </c>
      <c r="C84" s="1542"/>
      <c r="D84" s="1542"/>
      <c r="E84" s="1542"/>
      <c r="F84" s="1542"/>
      <c r="G84" s="1542"/>
      <c r="H84" s="1542"/>
      <c r="I84" s="1542"/>
      <c r="J84" s="1542"/>
      <c r="K84" s="1542"/>
      <c r="L84" s="2057"/>
    </row>
    <row r="85" spans="1:256" ht="16.5" customHeight="1">
      <c r="A85" s="2058" t="s">
        <v>35</v>
      </c>
      <c r="B85" s="1542" t="s">
        <v>5625</v>
      </c>
      <c r="C85" s="1542"/>
      <c r="D85" s="1542"/>
      <c r="E85" s="1542"/>
      <c r="F85" s="1542"/>
      <c r="G85" s="1542"/>
      <c r="H85" s="1542"/>
      <c r="I85" s="1542"/>
      <c r="J85" s="1542"/>
      <c r="K85" s="1542"/>
      <c r="L85" s="2057"/>
    </row>
    <row r="86" spans="1:256" ht="16.5" customHeight="1">
      <c r="A86" s="2039" t="s">
        <v>35</v>
      </c>
      <c r="B86" s="1542" t="s">
        <v>5626</v>
      </c>
      <c r="C86" s="1542"/>
      <c r="D86" s="1542"/>
      <c r="E86" s="1542"/>
      <c r="F86" s="1542"/>
      <c r="G86" s="1542"/>
      <c r="H86" s="1542"/>
      <c r="I86" s="1542"/>
      <c r="J86" s="1542"/>
      <c r="K86" s="1542"/>
      <c r="L86" s="2057"/>
    </row>
    <row r="87" spans="1:256" ht="16.5" customHeight="1">
      <c r="A87" s="2039" t="s">
        <v>35</v>
      </c>
      <c r="B87" s="2161" t="s">
        <v>5627</v>
      </c>
      <c r="C87" s="2161"/>
      <c r="D87" s="2161"/>
      <c r="E87" s="2161"/>
      <c r="F87" s="2161"/>
      <c r="G87" s="2161"/>
      <c r="H87" s="2161"/>
      <c r="I87" s="2161"/>
      <c r="J87" s="2161"/>
      <c r="K87" s="2161"/>
      <c r="L87" s="2202"/>
    </row>
    <row r="88" spans="1:256" ht="16.5" customHeight="1">
      <c r="A88" s="2059"/>
      <c r="B88" s="2060"/>
      <c r="L88" s="2061"/>
    </row>
    <row r="89" spans="1:256" ht="16.5" customHeight="1">
      <c r="A89" s="2062"/>
      <c r="B89" s="157" t="s">
        <v>5628</v>
      </c>
      <c r="C89" s="42"/>
      <c r="D89" s="42"/>
      <c r="E89" s="42"/>
      <c r="F89" s="355"/>
      <c r="G89" s="194" t="s">
        <v>3528</v>
      </c>
      <c r="H89" s="42"/>
      <c r="I89" s="42"/>
      <c r="J89" s="42"/>
      <c r="K89" s="42"/>
      <c r="L89" s="377"/>
    </row>
    <row r="90" spans="1:256" ht="16.5" customHeight="1"/>
    <row r="91" spans="1:256" ht="16.5" customHeight="1">
      <c r="D91" s="1602"/>
    </row>
    <row r="92" spans="1:256" ht="16.5" customHeight="1">
      <c r="A92" s="80" t="s">
        <v>223</v>
      </c>
      <c r="B92" s="83"/>
      <c r="C92" s="668" t="str">
        <f>Development!$A$2</f>
        <v>2.0</v>
      </c>
      <c r="D92" s="2136"/>
      <c r="E92" s="2136"/>
      <c r="F92" s="2136"/>
      <c r="G92" s="2137"/>
      <c r="H92" s="2137"/>
      <c r="I92" s="2137"/>
      <c r="J92" s="83"/>
      <c r="K92" s="84" t="s">
        <v>225</v>
      </c>
      <c r="L92" s="85" t="str">
        <f>Development!$A$4</f>
        <v>4.01.2024</v>
      </c>
    </row>
    <row r="93" spans="1:256" ht="16.5" customHeight="1"/>
    <row r="94" spans="1:256" s="764" customFormat="1" ht="52" hidden="1" customHeight="1">
      <c r="B94" s="157"/>
      <c r="C94" s="157"/>
      <c r="D94" s="157"/>
      <c r="E94" s="157"/>
      <c r="F94" s="157"/>
      <c r="G94" s="157"/>
      <c r="H94" s="157"/>
      <c r="I94" s="157"/>
      <c r="J94" s="157"/>
      <c r="K94" s="157"/>
      <c r="L94" s="157"/>
      <c r="M94" s="157"/>
      <c r="N94" s="157"/>
      <c r="O94" s="157"/>
      <c r="P94" s="157"/>
      <c r="Q94" s="157"/>
      <c r="R94" s="157"/>
      <c r="S94" s="157"/>
      <c r="T94" s="157"/>
      <c r="U94" s="157"/>
      <c r="V94" s="157"/>
      <c r="W94" s="157"/>
      <c r="X94" s="157"/>
      <c r="Y94" s="157"/>
      <c r="Z94" s="157"/>
      <c r="AA94" s="157"/>
      <c r="AB94" s="157"/>
      <c r="AC94" s="157"/>
      <c r="AD94" s="157"/>
      <c r="AE94" s="157"/>
      <c r="AF94" s="157"/>
      <c r="AG94" s="157"/>
      <c r="AH94" s="157"/>
      <c r="AI94" s="157"/>
      <c r="AJ94" s="157"/>
      <c r="AK94" s="157"/>
      <c r="AL94" s="157"/>
      <c r="AM94" s="157"/>
      <c r="AN94" s="157"/>
      <c r="AO94" s="157"/>
      <c r="AP94" s="157"/>
      <c r="AQ94" s="157"/>
      <c r="AR94" s="157"/>
      <c r="AS94" s="157"/>
      <c r="AT94" s="157"/>
      <c r="AU94" s="157"/>
      <c r="AV94" s="157"/>
      <c r="AW94" s="157"/>
      <c r="AX94" s="157"/>
      <c r="AY94" s="157"/>
      <c r="AZ94" s="157"/>
      <c r="BA94" s="157"/>
      <c r="BB94" s="157"/>
      <c r="BC94" s="157"/>
      <c r="BD94" s="157"/>
      <c r="BE94" s="157"/>
      <c r="BF94" s="157"/>
      <c r="BG94" s="157"/>
      <c r="BH94" s="157"/>
      <c r="BI94" s="157"/>
      <c r="BJ94" s="157"/>
      <c r="BK94" s="157"/>
      <c r="BL94" s="157"/>
      <c r="BM94" s="157"/>
      <c r="BN94" s="157"/>
      <c r="BO94" s="157"/>
      <c r="BP94" s="157"/>
      <c r="BQ94" s="157"/>
      <c r="BR94" s="157"/>
      <c r="BS94" s="157"/>
      <c r="BT94" s="157"/>
      <c r="BU94" s="157"/>
      <c r="BV94" s="157"/>
      <c r="BW94" s="157"/>
      <c r="BX94" s="157"/>
      <c r="BY94" s="157"/>
      <c r="BZ94" s="157"/>
      <c r="CA94" s="157"/>
      <c r="CB94" s="157"/>
      <c r="CC94" s="157"/>
      <c r="CD94" s="157"/>
      <c r="CE94" s="157"/>
      <c r="CF94" s="157"/>
      <c r="CG94" s="157"/>
      <c r="CH94" s="157"/>
      <c r="CI94" s="157"/>
      <c r="CJ94" s="157"/>
      <c r="CK94" s="157"/>
      <c r="CL94" s="157"/>
      <c r="CM94" s="157"/>
      <c r="CN94" s="157"/>
      <c r="CO94" s="157"/>
      <c r="CP94" s="157"/>
      <c r="CQ94" s="157"/>
      <c r="CR94" s="157"/>
      <c r="CS94" s="157"/>
      <c r="CT94" s="157"/>
      <c r="CU94" s="157"/>
      <c r="CV94" s="157"/>
      <c r="CW94" s="157"/>
      <c r="CX94" s="157"/>
      <c r="CY94" s="157"/>
      <c r="CZ94" s="157"/>
      <c r="DA94" s="157"/>
      <c r="DB94" s="157"/>
      <c r="DC94" s="157"/>
      <c r="DD94" s="157"/>
      <c r="DE94" s="157"/>
      <c r="DF94" s="157"/>
      <c r="DG94" s="157"/>
      <c r="DH94" s="157"/>
      <c r="DI94" s="157"/>
      <c r="DJ94" s="157"/>
      <c r="DK94" s="157"/>
      <c r="DL94" s="157"/>
      <c r="DM94" s="157"/>
      <c r="DN94" s="157"/>
      <c r="DO94" s="157"/>
      <c r="DP94" s="157"/>
      <c r="DQ94" s="157"/>
      <c r="DR94" s="157"/>
      <c r="DS94" s="157"/>
      <c r="DT94" s="157"/>
      <c r="DU94" s="157"/>
      <c r="DV94" s="157"/>
      <c r="DW94" s="157"/>
      <c r="DX94" s="157"/>
      <c r="DY94" s="157"/>
      <c r="DZ94" s="157"/>
      <c r="EA94" s="157"/>
      <c r="EB94" s="157"/>
      <c r="EC94" s="157"/>
      <c r="ED94" s="157"/>
      <c r="EE94" s="157"/>
      <c r="EF94" s="157"/>
      <c r="EG94" s="157"/>
      <c r="EH94" s="157"/>
      <c r="EI94" s="157"/>
      <c r="EJ94" s="157"/>
      <c r="EK94" s="157"/>
      <c r="EL94" s="157"/>
      <c r="EM94" s="157"/>
      <c r="EN94" s="157"/>
      <c r="EO94" s="157"/>
      <c r="EP94" s="157"/>
      <c r="EQ94" s="157"/>
      <c r="ER94" s="157"/>
      <c r="ES94" s="157"/>
      <c r="ET94" s="157"/>
      <c r="EU94" s="157"/>
      <c r="EV94" s="157"/>
      <c r="EW94" s="157"/>
      <c r="EX94" s="157"/>
      <c r="EY94" s="157"/>
      <c r="EZ94" s="157"/>
      <c r="FA94" s="157"/>
      <c r="FB94" s="157"/>
      <c r="FC94" s="157"/>
      <c r="FD94" s="157"/>
      <c r="FE94" s="157"/>
      <c r="FF94" s="157"/>
      <c r="FG94" s="157"/>
      <c r="FH94" s="157"/>
      <c r="FI94" s="157"/>
      <c r="FJ94" s="157"/>
      <c r="FK94" s="157"/>
      <c r="FL94" s="157"/>
      <c r="FM94" s="157"/>
      <c r="FN94" s="157"/>
      <c r="FO94" s="157"/>
      <c r="FP94" s="157"/>
      <c r="FQ94" s="157"/>
      <c r="FR94" s="157"/>
      <c r="FS94" s="157"/>
      <c r="FT94" s="157"/>
      <c r="FU94" s="157"/>
      <c r="FV94" s="157"/>
      <c r="FW94" s="157"/>
      <c r="FX94" s="157"/>
      <c r="FY94" s="157"/>
      <c r="FZ94" s="157"/>
      <c r="GA94" s="157"/>
      <c r="GB94" s="157"/>
      <c r="GC94" s="157"/>
      <c r="GD94" s="157"/>
      <c r="GE94" s="157"/>
      <c r="GF94" s="157"/>
      <c r="GG94" s="157"/>
      <c r="GH94" s="157"/>
      <c r="GI94" s="157"/>
      <c r="GJ94" s="157"/>
      <c r="GK94" s="157"/>
      <c r="GL94" s="157"/>
      <c r="GM94" s="157"/>
      <c r="GN94" s="157"/>
      <c r="GO94" s="157"/>
      <c r="GP94" s="157"/>
      <c r="GQ94" s="157"/>
      <c r="GR94" s="157"/>
      <c r="GS94" s="157"/>
      <c r="GT94" s="157"/>
      <c r="GU94" s="157"/>
      <c r="GV94" s="157"/>
      <c r="GW94" s="157"/>
      <c r="GX94" s="157"/>
      <c r="GY94" s="157"/>
      <c r="GZ94" s="157"/>
      <c r="HA94" s="157"/>
      <c r="HB94" s="157"/>
      <c r="HC94" s="157"/>
      <c r="HD94" s="157"/>
      <c r="HE94" s="157"/>
      <c r="HF94" s="157"/>
      <c r="HG94" s="157"/>
      <c r="HH94" s="157"/>
      <c r="HI94" s="157"/>
      <c r="HJ94" s="157"/>
      <c r="HK94" s="157"/>
      <c r="HL94" s="157"/>
      <c r="HM94" s="157"/>
      <c r="HN94" s="157"/>
      <c r="HO94" s="157"/>
      <c r="HP94" s="157"/>
      <c r="HQ94" s="157"/>
      <c r="HR94" s="157"/>
      <c r="HS94" s="157"/>
      <c r="HT94" s="157"/>
      <c r="HU94" s="157"/>
      <c r="HV94" s="157"/>
      <c r="HW94" s="157"/>
      <c r="HX94" s="157"/>
      <c r="HY94" s="157"/>
      <c r="HZ94" s="157"/>
      <c r="IA94" s="157"/>
      <c r="IB94" s="157"/>
      <c r="IC94" s="157"/>
      <c r="ID94" s="157"/>
      <c r="IE94" s="157"/>
      <c r="IF94" s="157"/>
      <c r="IG94" s="157"/>
      <c r="IH94" s="157"/>
      <c r="II94" s="157"/>
      <c r="IJ94" s="157"/>
      <c r="IK94" s="157"/>
      <c r="IL94" s="157"/>
      <c r="IM94" s="157"/>
      <c r="IN94" s="157"/>
      <c r="IO94" s="157"/>
      <c r="IP94" s="157"/>
      <c r="IQ94" s="157"/>
      <c r="IR94" s="157"/>
      <c r="IS94" s="157"/>
      <c r="IT94" s="157"/>
      <c r="IU94" s="157"/>
      <c r="IV94" s="157"/>
    </row>
    <row r="95" spans="1:256" s="764" customFormat="1" ht="52" hidden="1" customHeight="1">
      <c r="B95" s="157"/>
      <c r="C95" s="157"/>
      <c r="D95" s="157"/>
      <c r="E95" s="157"/>
      <c r="F95" s="157"/>
      <c r="G95" s="157"/>
      <c r="H95" s="157"/>
      <c r="I95" s="157"/>
      <c r="J95" s="157"/>
      <c r="K95" s="157"/>
      <c r="L95" s="157"/>
      <c r="M95" s="157"/>
      <c r="N95" s="157"/>
      <c r="O95" s="157"/>
      <c r="P95" s="157"/>
      <c r="Q95" s="157"/>
      <c r="R95" s="157"/>
      <c r="S95" s="157"/>
      <c r="T95" s="157"/>
      <c r="U95" s="157"/>
      <c r="V95" s="157"/>
      <c r="W95" s="157"/>
      <c r="X95" s="157"/>
      <c r="Y95" s="157"/>
      <c r="Z95" s="157"/>
      <c r="AA95" s="157"/>
      <c r="AB95" s="157"/>
      <c r="AC95" s="157"/>
      <c r="AD95" s="157"/>
      <c r="AE95" s="157"/>
      <c r="AF95" s="157"/>
      <c r="AG95" s="157"/>
      <c r="AH95" s="157"/>
      <c r="AI95" s="157"/>
      <c r="AJ95" s="157"/>
      <c r="AK95" s="157"/>
      <c r="AL95" s="157"/>
      <c r="AM95" s="157"/>
      <c r="AN95" s="157"/>
      <c r="AO95" s="157"/>
      <c r="AP95" s="157"/>
      <c r="AQ95" s="157"/>
      <c r="AR95" s="157"/>
      <c r="AS95" s="157"/>
      <c r="AT95" s="157"/>
      <c r="AU95" s="157"/>
      <c r="AV95" s="157"/>
      <c r="AW95" s="157"/>
      <c r="AX95" s="157"/>
      <c r="AY95" s="157"/>
      <c r="AZ95" s="157"/>
      <c r="BA95" s="157"/>
      <c r="BB95" s="157"/>
      <c r="BC95" s="157"/>
      <c r="BD95" s="157"/>
      <c r="BE95" s="157"/>
      <c r="BF95" s="157"/>
      <c r="BG95" s="157"/>
      <c r="BH95" s="157"/>
      <c r="BI95" s="157"/>
      <c r="BJ95" s="157"/>
      <c r="BK95" s="157"/>
      <c r="BL95" s="157"/>
      <c r="BM95" s="157"/>
      <c r="BN95" s="157"/>
      <c r="BO95" s="157"/>
      <c r="BP95" s="157"/>
      <c r="BQ95" s="157"/>
      <c r="BR95" s="157"/>
      <c r="BS95" s="157"/>
      <c r="BT95" s="157"/>
      <c r="BU95" s="157"/>
      <c r="BV95" s="157"/>
      <c r="BW95" s="157"/>
      <c r="BX95" s="157"/>
      <c r="BY95" s="157"/>
      <c r="BZ95" s="157"/>
      <c r="CA95" s="157"/>
      <c r="CB95" s="157"/>
      <c r="CC95" s="157"/>
      <c r="CD95" s="157"/>
      <c r="CE95" s="157"/>
      <c r="CF95" s="157"/>
      <c r="CG95" s="157"/>
      <c r="CH95" s="157"/>
      <c r="CI95" s="157"/>
      <c r="CJ95" s="157"/>
      <c r="CK95" s="157"/>
      <c r="CL95" s="157"/>
      <c r="CM95" s="157"/>
      <c r="CN95" s="157"/>
      <c r="CO95" s="157"/>
      <c r="CP95" s="157"/>
      <c r="CQ95" s="157"/>
      <c r="CR95" s="157"/>
      <c r="CS95" s="157"/>
      <c r="CT95" s="157"/>
      <c r="CU95" s="157"/>
      <c r="CV95" s="157"/>
      <c r="CW95" s="157"/>
      <c r="CX95" s="157"/>
      <c r="CY95" s="157"/>
      <c r="CZ95" s="157"/>
      <c r="DA95" s="157"/>
      <c r="DB95" s="157"/>
      <c r="DC95" s="157"/>
      <c r="DD95" s="157"/>
      <c r="DE95" s="157"/>
      <c r="DF95" s="157"/>
      <c r="DG95" s="157"/>
      <c r="DH95" s="157"/>
      <c r="DI95" s="157"/>
      <c r="DJ95" s="157"/>
      <c r="DK95" s="157"/>
      <c r="DL95" s="157"/>
      <c r="DM95" s="157"/>
      <c r="DN95" s="157"/>
      <c r="DO95" s="157"/>
      <c r="DP95" s="157"/>
      <c r="DQ95" s="157"/>
      <c r="DR95" s="157"/>
      <c r="DS95" s="157"/>
      <c r="DT95" s="157"/>
      <c r="DU95" s="157"/>
      <c r="DV95" s="157"/>
      <c r="DW95" s="157"/>
      <c r="DX95" s="157"/>
      <c r="DY95" s="157"/>
      <c r="DZ95" s="157"/>
      <c r="EA95" s="157"/>
      <c r="EB95" s="157"/>
      <c r="EC95" s="157"/>
      <c r="ED95" s="157"/>
      <c r="EE95" s="157"/>
      <c r="EF95" s="157"/>
      <c r="EG95" s="157"/>
      <c r="EH95" s="157"/>
      <c r="EI95" s="157"/>
      <c r="EJ95" s="157"/>
      <c r="EK95" s="157"/>
      <c r="EL95" s="157"/>
      <c r="EM95" s="157"/>
      <c r="EN95" s="157"/>
      <c r="EO95" s="157"/>
      <c r="EP95" s="157"/>
      <c r="EQ95" s="157"/>
      <c r="ER95" s="157"/>
      <c r="ES95" s="157"/>
      <c r="ET95" s="157"/>
      <c r="EU95" s="157"/>
      <c r="EV95" s="157"/>
      <c r="EW95" s="157"/>
      <c r="EX95" s="157"/>
      <c r="EY95" s="157"/>
      <c r="EZ95" s="157"/>
      <c r="FA95" s="157"/>
      <c r="FB95" s="157"/>
      <c r="FC95" s="157"/>
      <c r="FD95" s="157"/>
      <c r="FE95" s="157"/>
      <c r="FF95" s="157"/>
      <c r="FG95" s="157"/>
      <c r="FH95" s="157"/>
      <c r="FI95" s="157"/>
      <c r="FJ95" s="157"/>
      <c r="FK95" s="157"/>
      <c r="FL95" s="157"/>
      <c r="FM95" s="157"/>
      <c r="FN95" s="157"/>
      <c r="FO95" s="157"/>
      <c r="FP95" s="157"/>
      <c r="FQ95" s="157"/>
      <c r="FR95" s="157"/>
      <c r="FS95" s="157"/>
      <c r="FT95" s="157"/>
      <c r="FU95" s="157"/>
      <c r="FV95" s="157"/>
      <c r="FW95" s="157"/>
      <c r="FX95" s="157"/>
      <c r="FY95" s="157"/>
      <c r="FZ95" s="157"/>
      <c r="GA95" s="157"/>
      <c r="GB95" s="157"/>
      <c r="GC95" s="157"/>
      <c r="GD95" s="157"/>
      <c r="GE95" s="157"/>
      <c r="GF95" s="157"/>
      <c r="GG95" s="157"/>
      <c r="GH95" s="157"/>
      <c r="GI95" s="157"/>
      <c r="GJ95" s="157"/>
      <c r="GK95" s="157"/>
      <c r="GL95" s="157"/>
      <c r="GM95" s="157"/>
      <c r="GN95" s="157"/>
      <c r="GO95" s="157"/>
      <c r="GP95" s="157"/>
      <c r="GQ95" s="157"/>
      <c r="GR95" s="157"/>
      <c r="GS95" s="157"/>
      <c r="GT95" s="157"/>
      <c r="GU95" s="157"/>
      <c r="GV95" s="157"/>
      <c r="GW95" s="157"/>
      <c r="GX95" s="157"/>
      <c r="GY95" s="157"/>
      <c r="GZ95" s="157"/>
      <c r="HA95" s="157"/>
      <c r="HB95" s="157"/>
      <c r="HC95" s="157"/>
      <c r="HD95" s="157"/>
      <c r="HE95" s="157"/>
      <c r="HF95" s="157"/>
      <c r="HG95" s="157"/>
      <c r="HH95" s="157"/>
      <c r="HI95" s="157"/>
      <c r="HJ95" s="157"/>
      <c r="HK95" s="157"/>
      <c r="HL95" s="157"/>
      <c r="HM95" s="157"/>
      <c r="HN95" s="157"/>
      <c r="HO95" s="157"/>
      <c r="HP95" s="157"/>
      <c r="HQ95" s="157"/>
      <c r="HR95" s="157"/>
      <c r="HS95" s="157"/>
      <c r="HT95" s="157"/>
      <c r="HU95" s="157"/>
      <c r="HV95" s="157"/>
      <c r="HW95" s="157"/>
      <c r="HX95" s="157"/>
      <c r="HY95" s="157"/>
      <c r="HZ95" s="157"/>
      <c r="IA95" s="157"/>
      <c r="IB95" s="157"/>
      <c r="IC95" s="157"/>
      <c r="ID95" s="157"/>
      <c r="IE95" s="157"/>
      <c r="IF95" s="157"/>
      <c r="IG95" s="157"/>
      <c r="IH95" s="157"/>
      <c r="II95" s="157"/>
      <c r="IJ95" s="157"/>
      <c r="IK95" s="157"/>
      <c r="IL95" s="157"/>
      <c r="IM95" s="157"/>
      <c r="IN95" s="157"/>
      <c r="IO95" s="157"/>
      <c r="IP95" s="157"/>
      <c r="IQ95" s="157"/>
      <c r="IR95" s="157"/>
      <c r="IS95" s="157"/>
      <c r="IT95" s="157"/>
      <c r="IU95" s="157"/>
      <c r="IV95" s="157"/>
    </row>
    <row r="96" spans="1:256" s="764" customFormat="1" ht="52" hidden="1" customHeight="1">
      <c r="B96" s="157"/>
      <c r="C96" s="157"/>
      <c r="D96" s="157"/>
      <c r="E96" s="157"/>
      <c r="F96" s="157"/>
      <c r="G96" s="157"/>
      <c r="H96" s="157"/>
      <c r="I96" s="157"/>
      <c r="J96" s="157"/>
      <c r="K96" s="157"/>
      <c r="L96" s="157"/>
      <c r="M96" s="157"/>
      <c r="N96" s="157"/>
      <c r="O96" s="157"/>
      <c r="P96" s="157"/>
      <c r="Q96" s="157"/>
      <c r="R96" s="157"/>
      <c r="S96" s="157"/>
      <c r="T96" s="157"/>
      <c r="U96" s="157"/>
      <c r="V96" s="157"/>
      <c r="W96" s="157"/>
      <c r="X96" s="157"/>
      <c r="Y96" s="157"/>
      <c r="Z96" s="157"/>
      <c r="AA96" s="157"/>
      <c r="AB96" s="157"/>
      <c r="AC96" s="157"/>
      <c r="AD96" s="157"/>
      <c r="AE96" s="157"/>
      <c r="AF96" s="157"/>
      <c r="AG96" s="157"/>
      <c r="AH96" s="157"/>
      <c r="AI96" s="157"/>
      <c r="AJ96" s="157"/>
      <c r="AK96" s="157"/>
      <c r="AL96" s="157"/>
      <c r="AM96" s="157"/>
      <c r="AN96" s="157"/>
      <c r="AO96" s="157"/>
      <c r="AP96" s="157"/>
      <c r="AQ96" s="157"/>
      <c r="AR96" s="157"/>
      <c r="AS96" s="157"/>
      <c r="AT96" s="157"/>
      <c r="AU96" s="157"/>
      <c r="AV96" s="157"/>
      <c r="AW96" s="157"/>
      <c r="AX96" s="157"/>
      <c r="AY96" s="157"/>
      <c r="AZ96" s="157"/>
      <c r="BA96" s="157"/>
      <c r="BB96" s="157"/>
      <c r="BC96" s="157"/>
      <c r="BD96" s="157"/>
      <c r="BE96" s="157"/>
      <c r="BF96" s="157"/>
      <c r="BG96" s="157"/>
      <c r="BH96" s="157"/>
      <c r="BI96" s="157"/>
      <c r="BJ96" s="157"/>
      <c r="BK96" s="157"/>
      <c r="BL96" s="157"/>
      <c r="BM96" s="157"/>
      <c r="BN96" s="157"/>
      <c r="BO96" s="157"/>
      <c r="BP96" s="157"/>
      <c r="BQ96" s="157"/>
      <c r="BR96" s="157"/>
      <c r="BS96" s="157"/>
      <c r="BT96" s="157"/>
      <c r="BU96" s="157"/>
      <c r="BV96" s="157"/>
      <c r="BW96" s="157"/>
      <c r="BX96" s="157"/>
      <c r="BY96" s="157"/>
      <c r="BZ96" s="157"/>
      <c r="CA96" s="157"/>
      <c r="CB96" s="157"/>
      <c r="CC96" s="157"/>
      <c r="CD96" s="157"/>
      <c r="CE96" s="157"/>
      <c r="CF96" s="157"/>
      <c r="CG96" s="157"/>
      <c r="CH96" s="157"/>
      <c r="CI96" s="157"/>
      <c r="CJ96" s="157"/>
      <c r="CK96" s="157"/>
      <c r="CL96" s="157"/>
      <c r="CM96" s="157"/>
      <c r="CN96" s="157"/>
      <c r="CO96" s="157"/>
      <c r="CP96" s="157"/>
      <c r="CQ96" s="157"/>
      <c r="CR96" s="157"/>
      <c r="CS96" s="157"/>
      <c r="CT96" s="157"/>
      <c r="CU96" s="157"/>
      <c r="CV96" s="157"/>
      <c r="CW96" s="157"/>
      <c r="CX96" s="157"/>
      <c r="CY96" s="157"/>
      <c r="CZ96" s="157"/>
      <c r="DA96" s="157"/>
      <c r="DB96" s="157"/>
      <c r="DC96" s="157"/>
      <c r="DD96" s="157"/>
      <c r="DE96" s="157"/>
      <c r="DF96" s="157"/>
      <c r="DG96" s="157"/>
      <c r="DH96" s="157"/>
      <c r="DI96" s="157"/>
      <c r="DJ96" s="157"/>
      <c r="DK96" s="157"/>
      <c r="DL96" s="157"/>
      <c r="DM96" s="157"/>
      <c r="DN96" s="157"/>
      <c r="DO96" s="157"/>
      <c r="DP96" s="157"/>
      <c r="DQ96" s="157"/>
      <c r="DR96" s="157"/>
      <c r="DS96" s="157"/>
      <c r="DT96" s="157"/>
      <c r="DU96" s="157"/>
      <c r="DV96" s="157"/>
      <c r="DW96" s="157"/>
      <c r="DX96" s="157"/>
      <c r="DY96" s="157"/>
      <c r="DZ96" s="157"/>
      <c r="EA96" s="157"/>
      <c r="EB96" s="157"/>
      <c r="EC96" s="157"/>
      <c r="ED96" s="157"/>
      <c r="EE96" s="157"/>
      <c r="EF96" s="157"/>
      <c r="EG96" s="157"/>
      <c r="EH96" s="157"/>
      <c r="EI96" s="157"/>
      <c r="EJ96" s="157"/>
      <c r="EK96" s="157"/>
      <c r="EL96" s="157"/>
      <c r="EM96" s="157"/>
      <c r="EN96" s="157"/>
      <c r="EO96" s="157"/>
      <c r="EP96" s="157"/>
      <c r="EQ96" s="157"/>
      <c r="ER96" s="157"/>
      <c r="ES96" s="157"/>
      <c r="ET96" s="157"/>
      <c r="EU96" s="157"/>
      <c r="EV96" s="157"/>
      <c r="EW96" s="157"/>
      <c r="EX96" s="157"/>
      <c r="EY96" s="157"/>
      <c r="EZ96" s="157"/>
      <c r="FA96" s="157"/>
      <c r="FB96" s="157"/>
      <c r="FC96" s="157"/>
      <c r="FD96" s="157"/>
      <c r="FE96" s="157"/>
      <c r="FF96" s="157"/>
      <c r="FG96" s="157"/>
      <c r="FH96" s="157"/>
      <c r="FI96" s="157"/>
      <c r="FJ96" s="157"/>
      <c r="FK96" s="157"/>
      <c r="FL96" s="157"/>
      <c r="FM96" s="157"/>
      <c r="FN96" s="157"/>
      <c r="FO96" s="157"/>
      <c r="FP96" s="157"/>
      <c r="FQ96" s="157"/>
      <c r="FR96" s="157"/>
      <c r="FS96" s="157"/>
      <c r="FT96" s="157"/>
      <c r="FU96" s="157"/>
      <c r="FV96" s="157"/>
      <c r="FW96" s="157"/>
      <c r="FX96" s="157"/>
      <c r="FY96" s="157"/>
      <c r="FZ96" s="157"/>
      <c r="GA96" s="157"/>
      <c r="GB96" s="157"/>
      <c r="GC96" s="157"/>
      <c r="GD96" s="157"/>
      <c r="GE96" s="157"/>
      <c r="GF96" s="157"/>
      <c r="GG96" s="157"/>
      <c r="GH96" s="157"/>
      <c r="GI96" s="157"/>
      <c r="GJ96" s="157"/>
      <c r="GK96" s="157"/>
      <c r="GL96" s="157"/>
      <c r="GM96" s="157"/>
      <c r="GN96" s="157"/>
      <c r="GO96" s="157"/>
      <c r="GP96" s="157"/>
      <c r="GQ96" s="157"/>
      <c r="GR96" s="157"/>
      <c r="GS96" s="157"/>
      <c r="GT96" s="157"/>
      <c r="GU96" s="157"/>
      <c r="GV96" s="157"/>
      <c r="GW96" s="157"/>
      <c r="GX96" s="157"/>
      <c r="GY96" s="157"/>
      <c r="GZ96" s="157"/>
      <c r="HA96" s="157"/>
      <c r="HB96" s="157"/>
      <c r="HC96" s="157"/>
      <c r="HD96" s="157"/>
      <c r="HE96" s="157"/>
      <c r="HF96" s="157"/>
      <c r="HG96" s="157"/>
      <c r="HH96" s="157"/>
      <c r="HI96" s="157"/>
      <c r="HJ96" s="157"/>
      <c r="HK96" s="157"/>
      <c r="HL96" s="157"/>
      <c r="HM96" s="157"/>
      <c r="HN96" s="157"/>
      <c r="HO96" s="157"/>
      <c r="HP96" s="157"/>
      <c r="HQ96" s="157"/>
      <c r="HR96" s="157"/>
      <c r="HS96" s="157"/>
      <c r="HT96" s="157"/>
      <c r="HU96" s="157"/>
      <c r="HV96" s="157"/>
      <c r="HW96" s="157"/>
      <c r="HX96" s="157"/>
      <c r="HY96" s="157"/>
      <c r="HZ96" s="157"/>
      <c r="IA96" s="157"/>
      <c r="IB96" s="157"/>
      <c r="IC96" s="157"/>
      <c r="ID96" s="157"/>
      <c r="IE96" s="157"/>
      <c r="IF96" s="157"/>
      <c r="IG96" s="157"/>
      <c r="IH96" s="157"/>
      <c r="II96" s="157"/>
      <c r="IJ96" s="157"/>
      <c r="IK96" s="157"/>
      <c r="IL96" s="157"/>
      <c r="IM96" s="157"/>
      <c r="IN96" s="157"/>
      <c r="IO96" s="157"/>
      <c r="IP96" s="157"/>
      <c r="IQ96" s="157"/>
      <c r="IR96" s="157"/>
      <c r="IS96" s="157"/>
      <c r="IT96" s="157"/>
      <c r="IU96" s="157"/>
      <c r="IV96" s="157"/>
    </row>
    <row r="97" spans="2:256" s="764" customFormat="1" ht="52" hidden="1" customHeight="1">
      <c r="B97" s="157"/>
      <c r="C97" s="157"/>
      <c r="D97" s="157"/>
      <c r="E97" s="157"/>
      <c r="F97" s="157"/>
      <c r="G97" s="157"/>
      <c r="H97" s="157"/>
      <c r="I97" s="157"/>
      <c r="J97" s="157"/>
      <c r="K97" s="157"/>
      <c r="L97" s="157"/>
      <c r="M97" s="157"/>
      <c r="N97" s="157"/>
      <c r="O97" s="157"/>
      <c r="P97" s="157"/>
      <c r="Q97" s="157"/>
      <c r="R97" s="157"/>
      <c r="S97" s="157"/>
      <c r="T97" s="157"/>
      <c r="U97" s="157"/>
      <c r="V97" s="157"/>
      <c r="W97" s="157"/>
      <c r="X97" s="157"/>
      <c r="Y97" s="157"/>
      <c r="Z97" s="157"/>
      <c r="AA97" s="157"/>
      <c r="AB97" s="157"/>
      <c r="AC97" s="157"/>
      <c r="AD97" s="157"/>
      <c r="AE97" s="157"/>
      <c r="AF97" s="157"/>
      <c r="AG97" s="157"/>
      <c r="AH97" s="157"/>
      <c r="AI97" s="157"/>
      <c r="AJ97" s="157"/>
      <c r="AK97" s="157"/>
      <c r="AL97" s="157"/>
      <c r="AM97" s="157"/>
      <c r="AN97" s="157"/>
      <c r="AO97" s="157"/>
      <c r="AP97" s="157"/>
      <c r="AQ97" s="157"/>
      <c r="AR97" s="157"/>
      <c r="AS97" s="157"/>
      <c r="AT97" s="157"/>
      <c r="AU97" s="157"/>
      <c r="AV97" s="157"/>
      <c r="AW97" s="157"/>
      <c r="AX97" s="157"/>
      <c r="AY97" s="157"/>
      <c r="AZ97" s="157"/>
      <c r="BA97" s="157"/>
      <c r="BB97" s="157"/>
      <c r="BC97" s="157"/>
      <c r="BD97" s="157"/>
      <c r="BE97" s="157"/>
      <c r="BF97" s="157"/>
      <c r="BG97" s="157"/>
      <c r="BH97" s="157"/>
      <c r="BI97" s="157"/>
      <c r="BJ97" s="157"/>
      <c r="BK97" s="157"/>
      <c r="BL97" s="157"/>
      <c r="BM97" s="157"/>
      <c r="BN97" s="157"/>
      <c r="BO97" s="157"/>
      <c r="BP97" s="157"/>
      <c r="BQ97" s="157"/>
      <c r="BR97" s="157"/>
      <c r="BS97" s="157"/>
      <c r="BT97" s="157"/>
      <c r="BU97" s="157"/>
      <c r="BV97" s="157"/>
      <c r="BW97" s="157"/>
      <c r="BX97" s="157"/>
      <c r="BY97" s="157"/>
      <c r="BZ97" s="157"/>
      <c r="CA97" s="157"/>
      <c r="CB97" s="157"/>
      <c r="CC97" s="157"/>
      <c r="CD97" s="157"/>
      <c r="CE97" s="157"/>
      <c r="CF97" s="157"/>
      <c r="CG97" s="157"/>
      <c r="CH97" s="157"/>
      <c r="CI97" s="157"/>
      <c r="CJ97" s="157"/>
      <c r="CK97" s="157"/>
      <c r="CL97" s="157"/>
      <c r="CM97" s="157"/>
      <c r="CN97" s="157"/>
      <c r="CO97" s="157"/>
      <c r="CP97" s="157"/>
      <c r="CQ97" s="157"/>
      <c r="CR97" s="157"/>
      <c r="CS97" s="157"/>
      <c r="CT97" s="157"/>
      <c r="CU97" s="157"/>
      <c r="CV97" s="157"/>
      <c r="CW97" s="157"/>
      <c r="CX97" s="157"/>
      <c r="CY97" s="157"/>
      <c r="CZ97" s="157"/>
      <c r="DA97" s="157"/>
      <c r="DB97" s="157"/>
      <c r="DC97" s="157"/>
      <c r="DD97" s="157"/>
      <c r="DE97" s="157"/>
      <c r="DF97" s="157"/>
      <c r="DG97" s="157"/>
      <c r="DH97" s="157"/>
      <c r="DI97" s="157"/>
      <c r="DJ97" s="157"/>
      <c r="DK97" s="157"/>
      <c r="DL97" s="157"/>
      <c r="DM97" s="157"/>
      <c r="DN97" s="157"/>
      <c r="DO97" s="157"/>
      <c r="DP97" s="157"/>
      <c r="DQ97" s="157"/>
      <c r="DR97" s="157"/>
      <c r="DS97" s="157"/>
      <c r="DT97" s="157"/>
      <c r="DU97" s="157"/>
      <c r="DV97" s="157"/>
      <c r="DW97" s="157"/>
      <c r="DX97" s="157"/>
      <c r="DY97" s="157"/>
      <c r="DZ97" s="157"/>
      <c r="EA97" s="157"/>
      <c r="EB97" s="157"/>
      <c r="EC97" s="157"/>
      <c r="ED97" s="157"/>
      <c r="EE97" s="157"/>
      <c r="EF97" s="157"/>
      <c r="EG97" s="157"/>
      <c r="EH97" s="157"/>
      <c r="EI97" s="157"/>
      <c r="EJ97" s="157"/>
      <c r="EK97" s="157"/>
      <c r="EL97" s="157"/>
      <c r="EM97" s="157"/>
      <c r="EN97" s="157"/>
      <c r="EO97" s="157"/>
      <c r="EP97" s="157"/>
      <c r="EQ97" s="157"/>
      <c r="ER97" s="157"/>
      <c r="ES97" s="157"/>
      <c r="ET97" s="157"/>
      <c r="EU97" s="157"/>
      <c r="EV97" s="157"/>
      <c r="EW97" s="157"/>
      <c r="EX97" s="157"/>
      <c r="EY97" s="157"/>
      <c r="EZ97" s="157"/>
      <c r="FA97" s="157"/>
      <c r="FB97" s="157"/>
      <c r="FC97" s="157"/>
      <c r="FD97" s="157"/>
      <c r="FE97" s="157"/>
      <c r="FF97" s="157"/>
      <c r="FG97" s="157"/>
      <c r="FH97" s="157"/>
      <c r="FI97" s="157"/>
      <c r="FJ97" s="157"/>
      <c r="FK97" s="157"/>
      <c r="FL97" s="157"/>
      <c r="FM97" s="157"/>
      <c r="FN97" s="157"/>
      <c r="FO97" s="157"/>
      <c r="FP97" s="157"/>
      <c r="FQ97" s="157"/>
      <c r="FR97" s="157"/>
      <c r="FS97" s="157"/>
      <c r="FT97" s="157"/>
      <c r="FU97" s="157"/>
      <c r="FV97" s="157"/>
      <c r="FW97" s="157"/>
      <c r="FX97" s="157"/>
      <c r="FY97" s="157"/>
      <c r="FZ97" s="157"/>
      <c r="GA97" s="157"/>
      <c r="GB97" s="157"/>
      <c r="GC97" s="157"/>
      <c r="GD97" s="157"/>
      <c r="GE97" s="157"/>
      <c r="GF97" s="157"/>
      <c r="GG97" s="157"/>
      <c r="GH97" s="157"/>
      <c r="GI97" s="157"/>
      <c r="GJ97" s="157"/>
      <c r="GK97" s="157"/>
      <c r="GL97" s="157"/>
      <c r="GM97" s="157"/>
      <c r="GN97" s="157"/>
      <c r="GO97" s="157"/>
      <c r="GP97" s="157"/>
      <c r="GQ97" s="157"/>
      <c r="GR97" s="157"/>
      <c r="GS97" s="157"/>
      <c r="GT97" s="157"/>
      <c r="GU97" s="157"/>
      <c r="GV97" s="157"/>
      <c r="GW97" s="157"/>
      <c r="GX97" s="157"/>
      <c r="GY97" s="157"/>
      <c r="GZ97" s="157"/>
      <c r="HA97" s="157"/>
      <c r="HB97" s="157"/>
      <c r="HC97" s="157"/>
      <c r="HD97" s="157"/>
      <c r="HE97" s="157"/>
      <c r="HF97" s="157"/>
      <c r="HG97" s="157"/>
      <c r="HH97" s="157"/>
      <c r="HI97" s="157"/>
      <c r="HJ97" s="157"/>
      <c r="HK97" s="157"/>
      <c r="HL97" s="157"/>
      <c r="HM97" s="157"/>
      <c r="HN97" s="157"/>
      <c r="HO97" s="157"/>
      <c r="HP97" s="157"/>
      <c r="HQ97" s="157"/>
      <c r="HR97" s="157"/>
      <c r="HS97" s="157"/>
      <c r="HT97" s="157"/>
      <c r="HU97" s="157"/>
      <c r="HV97" s="157"/>
      <c r="HW97" s="157"/>
      <c r="HX97" s="157"/>
      <c r="HY97" s="157"/>
      <c r="HZ97" s="157"/>
      <c r="IA97" s="157"/>
      <c r="IB97" s="157"/>
      <c r="IC97" s="157"/>
      <c r="ID97" s="157"/>
      <c r="IE97" s="157"/>
      <c r="IF97" s="157"/>
      <c r="IG97" s="157"/>
      <c r="IH97" s="157"/>
      <c r="II97" s="157"/>
      <c r="IJ97" s="157"/>
      <c r="IK97" s="157"/>
      <c r="IL97" s="157"/>
      <c r="IM97" s="157"/>
      <c r="IN97" s="157"/>
      <c r="IO97" s="157"/>
      <c r="IP97" s="157"/>
      <c r="IQ97" s="157"/>
      <c r="IR97" s="157"/>
      <c r="IS97" s="157"/>
      <c r="IT97" s="157"/>
      <c r="IU97" s="157"/>
      <c r="IV97" s="157"/>
    </row>
    <row r="98" spans="2:256" s="764" customFormat="1" ht="52" hidden="1" customHeight="1">
      <c r="B98" s="157"/>
      <c r="C98" s="157"/>
      <c r="D98" s="157"/>
      <c r="E98" s="157"/>
      <c r="F98" s="157"/>
      <c r="G98" s="157"/>
      <c r="H98" s="157"/>
      <c r="I98" s="157"/>
      <c r="J98" s="157"/>
      <c r="K98" s="157"/>
      <c r="L98" s="157"/>
      <c r="M98" s="157"/>
      <c r="N98" s="157"/>
      <c r="O98" s="157"/>
      <c r="P98" s="157"/>
      <c r="Q98" s="157"/>
      <c r="R98" s="157"/>
      <c r="S98" s="157"/>
      <c r="T98" s="157"/>
      <c r="U98" s="157"/>
      <c r="V98" s="157"/>
      <c r="W98" s="157"/>
      <c r="X98" s="157"/>
      <c r="Y98" s="157"/>
      <c r="Z98" s="157"/>
      <c r="AA98" s="157"/>
      <c r="AB98" s="157"/>
      <c r="AC98" s="157"/>
      <c r="AD98" s="157"/>
      <c r="AE98" s="157"/>
      <c r="AF98" s="157"/>
      <c r="AG98" s="157"/>
      <c r="AH98" s="157"/>
      <c r="AI98" s="157"/>
      <c r="AJ98" s="157"/>
      <c r="AK98" s="157"/>
      <c r="AL98" s="157"/>
      <c r="AM98" s="157"/>
      <c r="AN98" s="157"/>
      <c r="AO98" s="157"/>
      <c r="AP98" s="157"/>
      <c r="AQ98" s="157"/>
      <c r="AR98" s="157"/>
      <c r="AS98" s="157"/>
      <c r="AT98" s="157"/>
      <c r="AU98" s="157"/>
      <c r="AV98" s="157"/>
      <c r="AW98" s="157"/>
      <c r="AX98" s="157"/>
      <c r="AY98" s="157"/>
      <c r="AZ98" s="157"/>
      <c r="BA98" s="157"/>
      <c r="BB98" s="157"/>
      <c r="BC98" s="157"/>
      <c r="BD98" s="157"/>
      <c r="BE98" s="157"/>
      <c r="BF98" s="157"/>
      <c r="BG98" s="157"/>
      <c r="BH98" s="157"/>
      <c r="BI98" s="157"/>
      <c r="BJ98" s="157"/>
      <c r="BK98" s="157"/>
      <c r="BL98" s="157"/>
      <c r="BM98" s="157"/>
      <c r="BN98" s="157"/>
      <c r="BO98" s="157"/>
      <c r="BP98" s="157"/>
      <c r="BQ98" s="157"/>
      <c r="BR98" s="157"/>
      <c r="BS98" s="157"/>
      <c r="BT98" s="157"/>
      <c r="BU98" s="157"/>
      <c r="BV98" s="157"/>
      <c r="BW98" s="157"/>
      <c r="BX98" s="157"/>
      <c r="BY98" s="157"/>
      <c r="BZ98" s="157"/>
      <c r="CA98" s="157"/>
      <c r="CB98" s="157"/>
      <c r="CC98" s="157"/>
      <c r="CD98" s="157"/>
      <c r="CE98" s="157"/>
      <c r="CF98" s="157"/>
      <c r="CG98" s="157"/>
      <c r="CH98" s="157"/>
      <c r="CI98" s="157"/>
      <c r="CJ98" s="157"/>
      <c r="CK98" s="157"/>
      <c r="CL98" s="157"/>
      <c r="CM98" s="157"/>
      <c r="CN98" s="157"/>
      <c r="CO98" s="157"/>
      <c r="CP98" s="157"/>
      <c r="CQ98" s="157"/>
      <c r="CR98" s="157"/>
      <c r="CS98" s="157"/>
      <c r="CT98" s="157"/>
      <c r="CU98" s="157"/>
      <c r="CV98" s="157"/>
      <c r="CW98" s="157"/>
      <c r="CX98" s="157"/>
      <c r="CY98" s="157"/>
      <c r="CZ98" s="157"/>
      <c r="DA98" s="157"/>
      <c r="DB98" s="157"/>
      <c r="DC98" s="157"/>
      <c r="DD98" s="157"/>
      <c r="DE98" s="157"/>
      <c r="DF98" s="157"/>
      <c r="DG98" s="157"/>
      <c r="DH98" s="157"/>
      <c r="DI98" s="157"/>
      <c r="DJ98" s="157"/>
      <c r="DK98" s="157"/>
      <c r="DL98" s="157"/>
      <c r="DM98" s="157"/>
      <c r="DN98" s="157"/>
      <c r="DO98" s="157"/>
      <c r="DP98" s="157"/>
      <c r="DQ98" s="157"/>
      <c r="DR98" s="157"/>
      <c r="DS98" s="157"/>
      <c r="DT98" s="157"/>
      <c r="DU98" s="157"/>
      <c r="DV98" s="157"/>
      <c r="DW98" s="157"/>
      <c r="DX98" s="157"/>
      <c r="DY98" s="157"/>
      <c r="DZ98" s="157"/>
      <c r="EA98" s="157"/>
      <c r="EB98" s="157"/>
      <c r="EC98" s="157"/>
      <c r="ED98" s="157"/>
      <c r="EE98" s="157"/>
      <c r="EF98" s="157"/>
      <c r="EG98" s="157"/>
      <c r="EH98" s="157"/>
      <c r="EI98" s="157"/>
      <c r="EJ98" s="157"/>
      <c r="EK98" s="157"/>
      <c r="EL98" s="157"/>
      <c r="EM98" s="157"/>
      <c r="EN98" s="157"/>
      <c r="EO98" s="157"/>
      <c r="EP98" s="157"/>
      <c r="EQ98" s="157"/>
      <c r="ER98" s="157"/>
      <c r="ES98" s="157"/>
      <c r="ET98" s="157"/>
      <c r="EU98" s="157"/>
      <c r="EV98" s="157"/>
      <c r="EW98" s="157"/>
      <c r="EX98" s="157"/>
      <c r="EY98" s="157"/>
      <c r="EZ98" s="157"/>
      <c r="FA98" s="157"/>
      <c r="FB98" s="157"/>
      <c r="FC98" s="157"/>
      <c r="FD98" s="157"/>
      <c r="FE98" s="157"/>
      <c r="FF98" s="157"/>
      <c r="FG98" s="157"/>
      <c r="FH98" s="157"/>
      <c r="FI98" s="157"/>
      <c r="FJ98" s="157"/>
      <c r="FK98" s="157"/>
      <c r="FL98" s="157"/>
      <c r="FM98" s="157"/>
      <c r="FN98" s="157"/>
      <c r="FO98" s="157"/>
      <c r="FP98" s="157"/>
      <c r="FQ98" s="157"/>
      <c r="FR98" s="157"/>
      <c r="FS98" s="157"/>
      <c r="FT98" s="157"/>
      <c r="FU98" s="157"/>
      <c r="FV98" s="157"/>
      <c r="FW98" s="157"/>
      <c r="FX98" s="157"/>
      <c r="FY98" s="157"/>
      <c r="FZ98" s="157"/>
      <c r="GA98" s="157"/>
      <c r="GB98" s="157"/>
      <c r="GC98" s="157"/>
      <c r="GD98" s="157"/>
      <c r="GE98" s="157"/>
      <c r="GF98" s="157"/>
      <c r="GG98" s="157"/>
      <c r="GH98" s="157"/>
      <c r="GI98" s="157"/>
      <c r="GJ98" s="157"/>
      <c r="GK98" s="157"/>
      <c r="GL98" s="157"/>
      <c r="GM98" s="157"/>
      <c r="GN98" s="157"/>
      <c r="GO98" s="157"/>
      <c r="GP98" s="157"/>
      <c r="GQ98" s="157"/>
      <c r="GR98" s="157"/>
      <c r="GS98" s="157"/>
      <c r="GT98" s="157"/>
      <c r="GU98" s="157"/>
      <c r="GV98" s="157"/>
      <c r="GW98" s="157"/>
      <c r="GX98" s="157"/>
      <c r="GY98" s="157"/>
      <c r="GZ98" s="157"/>
      <c r="HA98" s="157"/>
      <c r="HB98" s="157"/>
      <c r="HC98" s="157"/>
      <c r="HD98" s="157"/>
      <c r="HE98" s="157"/>
      <c r="HF98" s="157"/>
      <c r="HG98" s="157"/>
      <c r="HH98" s="157"/>
      <c r="HI98" s="157"/>
      <c r="HJ98" s="157"/>
      <c r="HK98" s="157"/>
      <c r="HL98" s="157"/>
      <c r="HM98" s="157"/>
      <c r="HN98" s="157"/>
      <c r="HO98" s="157"/>
      <c r="HP98" s="157"/>
      <c r="HQ98" s="157"/>
      <c r="HR98" s="157"/>
      <c r="HS98" s="157"/>
      <c r="HT98" s="157"/>
      <c r="HU98" s="157"/>
      <c r="HV98" s="157"/>
      <c r="HW98" s="157"/>
      <c r="HX98" s="157"/>
      <c r="HY98" s="157"/>
      <c r="HZ98" s="157"/>
      <c r="IA98" s="157"/>
      <c r="IB98" s="157"/>
      <c r="IC98" s="157"/>
      <c r="ID98" s="157"/>
      <c r="IE98" s="157"/>
      <c r="IF98" s="157"/>
      <c r="IG98" s="157"/>
      <c r="IH98" s="157"/>
      <c r="II98" s="157"/>
      <c r="IJ98" s="157"/>
      <c r="IK98" s="157"/>
      <c r="IL98" s="157"/>
      <c r="IM98" s="157"/>
      <c r="IN98" s="157"/>
      <c r="IO98" s="157"/>
      <c r="IP98" s="157"/>
      <c r="IQ98" s="157"/>
      <c r="IR98" s="157"/>
      <c r="IS98" s="157"/>
      <c r="IT98" s="157"/>
      <c r="IU98" s="157"/>
      <c r="IV98" s="157"/>
    </row>
    <row r="99" spans="2:256" s="764" customFormat="1" ht="52" hidden="1" customHeight="1">
      <c r="B99" s="157"/>
      <c r="C99" s="157"/>
      <c r="D99" s="157"/>
      <c r="E99" s="157"/>
      <c r="F99" s="157"/>
      <c r="G99" s="157"/>
      <c r="H99" s="157"/>
      <c r="I99" s="157"/>
      <c r="J99" s="157"/>
      <c r="K99" s="157"/>
      <c r="L99" s="157"/>
      <c r="M99" s="157"/>
      <c r="N99" s="157"/>
      <c r="O99" s="157"/>
      <c r="P99" s="157"/>
      <c r="Q99" s="157"/>
      <c r="R99" s="157"/>
      <c r="S99" s="157"/>
      <c r="T99" s="157"/>
      <c r="U99" s="157"/>
      <c r="V99" s="157"/>
      <c r="W99" s="157"/>
      <c r="X99" s="157"/>
      <c r="Y99" s="157"/>
      <c r="Z99" s="157"/>
      <c r="AA99" s="157"/>
      <c r="AB99" s="157"/>
      <c r="AC99" s="157"/>
      <c r="AD99" s="157"/>
      <c r="AE99" s="157"/>
      <c r="AF99" s="157"/>
      <c r="AG99" s="157"/>
      <c r="AH99" s="157"/>
      <c r="AI99" s="157"/>
      <c r="AJ99" s="157"/>
      <c r="AK99" s="157"/>
      <c r="AL99" s="157"/>
      <c r="AM99" s="157"/>
      <c r="AN99" s="157"/>
      <c r="AO99" s="157"/>
      <c r="AP99" s="157"/>
      <c r="AQ99" s="157"/>
      <c r="AR99" s="157"/>
      <c r="AS99" s="157"/>
      <c r="AT99" s="157"/>
      <c r="AU99" s="157"/>
      <c r="AV99" s="157"/>
      <c r="AW99" s="157"/>
      <c r="AX99" s="157"/>
      <c r="AY99" s="157"/>
      <c r="AZ99" s="157"/>
      <c r="BA99" s="157"/>
      <c r="BB99" s="157"/>
      <c r="BC99" s="157"/>
      <c r="BD99" s="157"/>
      <c r="BE99" s="157"/>
      <c r="BF99" s="157"/>
      <c r="BG99" s="157"/>
      <c r="BH99" s="157"/>
      <c r="BI99" s="157"/>
      <c r="BJ99" s="157"/>
      <c r="BK99" s="157"/>
      <c r="BL99" s="157"/>
      <c r="BM99" s="157"/>
      <c r="BN99" s="157"/>
      <c r="BO99" s="157"/>
      <c r="BP99" s="157"/>
      <c r="BQ99" s="157"/>
      <c r="BR99" s="157"/>
      <c r="BS99" s="157"/>
      <c r="BT99" s="157"/>
      <c r="BU99" s="157"/>
      <c r="BV99" s="157"/>
      <c r="BW99" s="157"/>
      <c r="BX99" s="157"/>
      <c r="BY99" s="157"/>
      <c r="BZ99" s="157"/>
      <c r="CA99" s="157"/>
      <c r="CB99" s="157"/>
      <c r="CC99" s="157"/>
      <c r="CD99" s="157"/>
      <c r="CE99" s="157"/>
      <c r="CF99" s="157"/>
      <c r="CG99" s="157"/>
      <c r="CH99" s="157"/>
      <c r="CI99" s="157"/>
      <c r="CJ99" s="157"/>
      <c r="CK99" s="157"/>
      <c r="CL99" s="157"/>
      <c r="CM99" s="157"/>
      <c r="CN99" s="157"/>
      <c r="CO99" s="157"/>
      <c r="CP99" s="157"/>
      <c r="CQ99" s="157"/>
      <c r="CR99" s="157"/>
      <c r="CS99" s="157"/>
      <c r="CT99" s="157"/>
      <c r="CU99" s="157"/>
      <c r="CV99" s="157"/>
      <c r="CW99" s="157"/>
      <c r="CX99" s="157"/>
      <c r="CY99" s="157"/>
      <c r="CZ99" s="157"/>
      <c r="DA99" s="157"/>
      <c r="DB99" s="157"/>
      <c r="DC99" s="157"/>
      <c r="DD99" s="157"/>
      <c r="DE99" s="157"/>
      <c r="DF99" s="157"/>
      <c r="DG99" s="157"/>
      <c r="DH99" s="157"/>
      <c r="DI99" s="157"/>
      <c r="DJ99" s="157"/>
      <c r="DK99" s="157"/>
      <c r="DL99" s="157"/>
      <c r="DM99" s="157"/>
      <c r="DN99" s="157"/>
      <c r="DO99" s="157"/>
      <c r="DP99" s="157"/>
      <c r="DQ99" s="157"/>
      <c r="DR99" s="157"/>
      <c r="DS99" s="157"/>
      <c r="DT99" s="157"/>
      <c r="DU99" s="157"/>
      <c r="DV99" s="157"/>
      <c r="DW99" s="157"/>
      <c r="DX99" s="157"/>
      <c r="DY99" s="157"/>
      <c r="DZ99" s="157"/>
      <c r="EA99" s="157"/>
      <c r="EB99" s="157"/>
      <c r="EC99" s="157"/>
      <c r="ED99" s="157"/>
      <c r="EE99" s="157"/>
      <c r="EF99" s="157"/>
      <c r="EG99" s="157"/>
      <c r="EH99" s="157"/>
      <c r="EI99" s="157"/>
      <c r="EJ99" s="157"/>
      <c r="EK99" s="157"/>
      <c r="EL99" s="157"/>
      <c r="EM99" s="157"/>
      <c r="EN99" s="157"/>
      <c r="EO99" s="157"/>
      <c r="EP99" s="157"/>
      <c r="EQ99" s="157"/>
      <c r="ER99" s="157"/>
      <c r="ES99" s="157"/>
      <c r="ET99" s="157"/>
      <c r="EU99" s="157"/>
      <c r="EV99" s="157"/>
      <c r="EW99" s="157"/>
      <c r="EX99" s="157"/>
      <c r="EY99" s="157"/>
      <c r="EZ99" s="157"/>
      <c r="FA99" s="157"/>
      <c r="FB99" s="157"/>
      <c r="FC99" s="157"/>
      <c r="FD99" s="157"/>
      <c r="FE99" s="157"/>
      <c r="FF99" s="157"/>
      <c r="FG99" s="157"/>
      <c r="FH99" s="157"/>
      <c r="FI99" s="157"/>
      <c r="FJ99" s="157"/>
      <c r="FK99" s="157"/>
      <c r="FL99" s="157"/>
      <c r="FM99" s="157"/>
      <c r="FN99" s="157"/>
      <c r="FO99" s="157"/>
      <c r="FP99" s="157"/>
      <c r="FQ99" s="157"/>
      <c r="FR99" s="157"/>
      <c r="FS99" s="157"/>
      <c r="FT99" s="157"/>
      <c r="FU99" s="157"/>
      <c r="FV99" s="157"/>
      <c r="FW99" s="157"/>
      <c r="FX99" s="157"/>
      <c r="FY99" s="157"/>
      <c r="FZ99" s="157"/>
      <c r="GA99" s="157"/>
      <c r="GB99" s="157"/>
      <c r="GC99" s="157"/>
      <c r="GD99" s="157"/>
      <c r="GE99" s="157"/>
      <c r="GF99" s="157"/>
      <c r="GG99" s="157"/>
      <c r="GH99" s="157"/>
      <c r="GI99" s="157"/>
      <c r="GJ99" s="157"/>
      <c r="GK99" s="157"/>
      <c r="GL99" s="157"/>
      <c r="GM99" s="157"/>
      <c r="GN99" s="157"/>
      <c r="GO99" s="157"/>
      <c r="GP99" s="157"/>
      <c r="GQ99" s="157"/>
      <c r="GR99" s="157"/>
      <c r="GS99" s="157"/>
      <c r="GT99" s="157"/>
      <c r="GU99" s="157"/>
      <c r="GV99" s="157"/>
      <c r="GW99" s="157"/>
      <c r="GX99" s="157"/>
      <c r="GY99" s="157"/>
      <c r="GZ99" s="157"/>
      <c r="HA99" s="157"/>
      <c r="HB99" s="157"/>
      <c r="HC99" s="157"/>
      <c r="HD99" s="157"/>
      <c r="HE99" s="157"/>
      <c r="HF99" s="157"/>
      <c r="HG99" s="157"/>
      <c r="HH99" s="157"/>
      <c r="HI99" s="157"/>
      <c r="HJ99" s="157"/>
      <c r="HK99" s="157"/>
      <c r="HL99" s="157"/>
      <c r="HM99" s="157"/>
      <c r="HN99" s="157"/>
      <c r="HO99" s="157"/>
      <c r="HP99" s="157"/>
      <c r="HQ99" s="157"/>
      <c r="HR99" s="157"/>
      <c r="HS99" s="157"/>
      <c r="HT99" s="157"/>
      <c r="HU99" s="157"/>
      <c r="HV99" s="157"/>
      <c r="HW99" s="157"/>
      <c r="HX99" s="157"/>
      <c r="HY99" s="157"/>
      <c r="HZ99" s="157"/>
      <c r="IA99" s="157"/>
      <c r="IB99" s="157"/>
      <c r="IC99" s="157"/>
      <c r="ID99" s="157"/>
      <c r="IE99" s="157"/>
      <c r="IF99" s="157"/>
      <c r="IG99" s="157"/>
      <c r="IH99" s="157"/>
      <c r="II99" s="157"/>
      <c r="IJ99" s="157"/>
      <c r="IK99" s="157"/>
      <c r="IL99" s="157"/>
      <c r="IM99" s="157"/>
      <c r="IN99" s="157"/>
      <c r="IO99" s="157"/>
      <c r="IP99" s="157"/>
      <c r="IQ99" s="157"/>
      <c r="IR99" s="157"/>
      <c r="IS99" s="157"/>
      <c r="IT99" s="157"/>
      <c r="IU99" s="157"/>
      <c r="IV99" s="157"/>
    </row>
    <row r="100" spans="2:256" s="764" customFormat="1" ht="52" hidden="1" customHeight="1">
      <c r="B100" s="157"/>
      <c r="C100" s="157"/>
      <c r="D100" s="157"/>
      <c r="E100" s="157"/>
      <c r="F100" s="157"/>
      <c r="G100" s="157"/>
      <c r="H100" s="157"/>
      <c r="I100" s="157"/>
      <c r="J100" s="157"/>
      <c r="K100" s="157"/>
      <c r="L100" s="157"/>
      <c r="M100" s="157"/>
      <c r="N100" s="157"/>
      <c r="O100" s="157"/>
      <c r="P100" s="157"/>
      <c r="Q100" s="157"/>
      <c r="R100" s="157"/>
      <c r="S100" s="157"/>
      <c r="T100" s="157"/>
      <c r="U100" s="157"/>
      <c r="V100" s="157"/>
      <c r="W100" s="157"/>
      <c r="X100" s="157"/>
      <c r="Y100" s="157"/>
      <c r="Z100" s="157"/>
      <c r="AA100" s="157"/>
      <c r="AB100" s="157"/>
      <c r="AC100" s="157"/>
      <c r="AD100" s="157"/>
      <c r="AE100" s="157"/>
      <c r="AF100" s="157"/>
      <c r="AG100" s="157"/>
      <c r="AH100" s="157"/>
      <c r="AI100" s="157"/>
      <c r="AJ100" s="157"/>
      <c r="AK100" s="157"/>
      <c r="AL100" s="157"/>
      <c r="AM100" s="157"/>
      <c r="AN100" s="157"/>
      <c r="AO100" s="157"/>
      <c r="AP100" s="157"/>
      <c r="AQ100" s="157"/>
      <c r="AR100" s="157"/>
      <c r="AS100" s="157"/>
      <c r="AT100" s="157"/>
      <c r="AU100" s="157"/>
      <c r="AV100" s="157"/>
      <c r="AW100" s="157"/>
      <c r="AX100" s="157"/>
      <c r="AY100" s="157"/>
      <c r="AZ100" s="157"/>
      <c r="BA100" s="157"/>
      <c r="BB100" s="157"/>
      <c r="BC100" s="157"/>
      <c r="BD100" s="157"/>
      <c r="BE100" s="157"/>
      <c r="BF100" s="157"/>
      <c r="BG100" s="157"/>
      <c r="BH100" s="157"/>
      <c r="BI100" s="157"/>
      <c r="BJ100" s="157"/>
      <c r="BK100" s="157"/>
      <c r="BL100" s="157"/>
      <c r="BM100" s="157"/>
      <c r="BN100" s="157"/>
      <c r="BO100" s="157"/>
      <c r="BP100" s="157"/>
      <c r="BQ100" s="157"/>
      <c r="BR100" s="157"/>
      <c r="BS100" s="157"/>
      <c r="BT100" s="157"/>
      <c r="BU100" s="157"/>
      <c r="BV100" s="157"/>
      <c r="BW100" s="157"/>
      <c r="BX100" s="157"/>
      <c r="BY100" s="157"/>
      <c r="BZ100" s="157"/>
      <c r="CA100" s="157"/>
      <c r="CB100" s="157"/>
      <c r="CC100" s="157"/>
      <c r="CD100" s="157"/>
      <c r="CE100" s="157"/>
      <c r="CF100" s="157"/>
      <c r="CG100" s="157"/>
      <c r="CH100" s="157"/>
      <c r="CI100" s="157"/>
      <c r="CJ100" s="157"/>
      <c r="CK100" s="157"/>
      <c r="CL100" s="157"/>
      <c r="CM100" s="157"/>
      <c r="CN100" s="157"/>
      <c r="CO100" s="157"/>
      <c r="CP100" s="157"/>
      <c r="CQ100" s="157"/>
      <c r="CR100" s="157"/>
      <c r="CS100" s="157"/>
      <c r="CT100" s="157"/>
      <c r="CU100" s="157"/>
      <c r="CV100" s="157"/>
      <c r="CW100" s="157"/>
      <c r="CX100" s="157"/>
      <c r="CY100" s="157"/>
      <c r="CZ100" s="157"/>
      <c r="DA100" s="157"/>
      <c r="DB100" s="157"/>
      <c r="DC100" s="157"/>
      <c r="DD100" s="157"/>
      <c r="DE100" s="157"/>
      <c r="DF100" s="157"/>
      <c r="DG100" s="157"/>
      <c r="DH100" s="157"/>
      <c r="DI100" s="157"/>
      <c r="DJ100" s="157"/>
      <c r="DK100" s="157"/>
      <c r="DL100" s="157"/>
      <c r="DM100" s="157"/>
      <c r="DN100" s="157"/>
      <c r="DO100" s="157"/>
      <c r="DP100" s="157"/>
      <c r="DQ100" s="157"/>
      <c r="DR100" s="157"/>
      <c r="DS100" s="157"/>
      <c r="DT100" s="157"/>
      <c r="DU100" s="157"/>
      <c r="DV100" s="157"/>
      <c r="DW100" s="157"/>
      <c r="DX100" s="157"/>
      <c r="DY100" s="157"/>
      <c r="DZ100" s="157"/>
      <c r="EA100" s="157"/>
      <c r="EB100" s="157"/>
      <c r="EC100" s="157"/>
      <c r="ED100" s="157"/>
      <c r="EE100" s="157"/>
      <c r="EF100" s="157"/>
      <c r="EG100" s="157"/>
      <c r="EH100" s="157"/>
      <c r="EI100" s="157"/>
      <c r="EJ100" s="157"/>
      <c r="EK100" s="157"/>
      <c r="EL100" s="157"/>
      <c r="EM100" s="157"/>
      <c r="EN100" s="157"/>
      <c r="EO100" s="157"/>
      <c r="EP100" s="157"/>
      <c r="EQ100" s="157"/>
      <c r="ER100" s="157"/>
      <c r="ES100" s="157"/>
      <c r="ET100" s="157"/>
      <c r="EU100" s="157"/>
      <c r="EV100" s="157"/>
      <c r="EW100" s="157"/>
      <c r="EX100" s="157"/>
      <c r="EY100" s="157"/>
      <c r="EZ100" s="157"/>
      <c r="FA100" s="157"/>
      <c r="FB100" s="157"/>
      <c r="FC100" s="157"/>
      <c r="FD100" s="157"/>
      <c r="FE100" s="157"/>
      <c r="FF100" s="157"/>
      <c r="FG100" s="157"/>
      <c r="FH100" s="157"/>
      <c r="FI100" s="157"/>
      <c r="FJ100" s="157"/>
      <c r="FK100" s="157"/>
      <c r="FL100" s="157"/>
      <c r="FM100" s="157"/>
      <c r="FN100" s="157"/>
      <c r="FO100" s="157"/>
      <c r="FP100" s="157"/>
      <c r="FQ100" s="157"/>
      <c r="FR100" s="157"/>
      <c r="FS100" s="157"/>
      <c r="FT100" s="157"/>
      <c r="FU100" s="157"/>
      <c r="FV100" s="157"/>
      <c r="FW100" s="157"/>
      <c r="FX100" s="157"/>
      <c r="FY100" s="157"/>
      <c r="FZ100" s="157"/>
      <c r="GA100" s="157"/>
      <c r="GB100" s="157"/>
      <c r="GC100" s="157"/>
      <c r="GD100" s="157"/>
      <c r="GE100" s="157"/>
      <c r="GF100" s="157"/>
      <c r="GG100" s="157"/>
      <c r="GH100" s="157"/>
      <c r="GI100" s="157"/>
      <c r="GJ100" s="157"/>
      <c r="GK100" s="157"/>
      <c r="GL100" s="157"/>
      <c r="GM100" s="157"/>
      <c r="GN100" s="157"/>
      <c r="GO100" s="157"/>
      <c r="GP100" s="157"/>
      <c r="GQ100" s="157"/>
      <c r="GR100" s="157"/>
      <c r="GS100" s="157"/>
      <c r="GT100" s="157"/>
      <c r="GU100" s="157"/>
      <c r="GV100" s="157"/>
      <c r="GW100" s="157"/>
      <c r="GX100" s="157"/>
      <c r="GY100" s="157"/>
      <c r="GZ100" s="157"/>
      <c r="HA100" s="157"/>
      <c r="HB100" s="157"/>
      <c r="HC100" s="157"/>
      <c r="HD100" s="157"/>
      <c r="HE100" s="157"/>
      <c r="HF100" s="157"/>
      <c r="HG100" s="157"/>
      <c r="HH100" s="157"/>
      <c r="HI100" s="157"/>
      <c r="HJ100" s="157"/>
      <c r="HK100" s="157"/>
      <c r="HL100" s="157"/>
      <c r="HM100" s="157"/>
      <c r="HN100" s="157"/>
      <c r="HO100" s="157"/>
      <c r="HP100" s="157"/>
      <c r="HQ100" s="157"/>
      <c r="HR100" s="157"/>
      <c r="HS100" s="157"/>
      <c r="HT100" s="157"/>
      <c r="HU100" s="157"/>
      <c r="HV100" s="157"/>
      <c r="HW100" s="157"/>
      <c r="HX100" s="157"/>
      <c r="HY100" s="157"/>
      <c r="HZ100" s="157"/>
      <c r="IA100" s="157"/>
      <c r="IB100" s="157"/>
      <c r="IC100" s="157"/>
      <c r="ID100" s="157"/>
      <c r="IE100" s="157"/>
      <c r="IF100" s="157"/>
      <c r="IG100" s="157"/>
      <c r="IH100" s="157"/>
      <c r="II100" s="157"/>
      <c r="IJ100" s="157"/>
      <c r="IK100" s="157"/>
      <c r="IL100" s="157"/>
      <c r="IM100" s="157"/>
      <c r="IN100" s="157"/>
      <c r="IO100" s="157"/>
      <c r="IP100" s="157"/>
      <c r="IQ100" s="157"/>
      <c r="IR100" s="157"/>
      <c r="IS100" s="157"/>
      <c r="IT100" s="157"/>
      <c r="IU100" s="157"/>
      <c r="IV100" s="157"/>
    </row>
    <row r="101" spans="2:256" s="764" customFormat="1" ht="52" hidden="1" customHeight="1">
      <c r="B101" s="157"/>
      <c r="C101" s="157"/>
      <c r="D101" s="157"/>
      <c r="E101" s="157"/>
      <c r="F101" s="157"/>
      <c r="G101" s="157"/>
      <c r="H101" s="157"/>
      <c r="I101" s="157"/>
      <c r="J101" s="157"/>
      <c r="K101" s="157"/>
      <c r="L101" s="157"/>
      <c r="M101" s="157"/>
      <c r="N101" s="157"/>
      <c r="O101" s="157"/>
      <c r="P101" s="157"/>
      <c r="Q101" s="157"/>
      <c r="R101" s="157"/>
      <c r="S101" s="157"/>
      <c r="T101" s="157"/>
      <c r="U101" s="157"/>
      <c r="V101" s="157"/>
      <c r="W101" s="157"/>
      <c r="X101" s="157"/>
      <c r="Y101" s="157"/>
      <c r="Z101" s="157"/>
      <c r="AA101" s="157"/>
      <c r="AB101" s="157"/>
      <c r="AC101" s="157"/>
      <c r="AD101" s="157"/>
      <c r="AE101" s="157"/>
      <c r="AF101" s="157"/>
      <c r="AG101" s="157"/>
      <c r="AH101" s="157"/>
      <c r="AI101" s="157"/>
      <c r="AJ101" s="157"/>
      <c r="AK101" s="157"/>
      <c r="AL101" s="157"/>
      <c r="AM101" s="157"/>
      <c r="AN101" s="157"/>
      <c r="AO101" s="157"/>
      <c r="AP101" s="157"/>
      <c r="AQ101" s="157"/>
      <c r="AR101" s="157"/>
      <c r="AS101" s="157"/>
      <c r="AT101" s="157"/>
      <c r="AU101" s="157"/>
      <c r="AV101" s="157"/>
      <c r="AW101" s="157"/>
      <c r="AX101" s="157"/>
      <c r="AY101" s="157"/>
      <c r="AZ101" s="157"/>
      <c r="BA101" s="157"/>
      <c r="BB101" s="157"/>
      <c r="BC101" s="157"/>
      <c r="BD101" s="157"/>
      <c r="BE101" s="157"/>
      <c r="BF101" s="157"/>
      <c r="BG101" s="157"/>
      <c r="BH101" s="157"/>
      <c r="BI101" s="157"/>
      <c r="BJ101" s="157"/>
      <c r="BK101" s="157"/>
      <c r="BL101" s="157"/>
      <c r="BM101" s="157"/>
      <c r="BN101" s="157"/>
      <c r="BO101" s="157"/>
      <c r="BP101" s="157"/>
      <c r="BQ101" s="157"/>
      <c r="BR101" s="157"/>
      <c r="BS101" s="157"/>
      <c r="BT101" s="157"/>
      <c r="BU101" s="157"/>
      <c r="BV101" s="157"/>
      <c r="BW101" s="157"/>
      <c r="BX101" s="157"/>
      <c r="BY101" s="157"/>
      <c r="BZ101" s="157"/>
      <c r="CA101" s="157"/>
      <c r="CB101" s="157"/>
      <c r="CC101" s="157"/>
      <c r="CD101" s="157"/>
      <c r="CE101" s="157"/>
      <c r="CF101" s="157"/>
      <c r="CG101" s="157"/>
      <c r="CH101" s="157"/>
      <c r="CI101" s="157"/>
      <c r="CJ101" s="157"/>
      <c r="CK101" s="157"/>
      <c r="CL101" s="157"/>
      <c r="CM101" s="157"/>
      <c r="CN101" s="157"/>
      <c r="CO101" s="157"/>
      <c r="CP101" s="157"/>
      <c r="CQ101" s="157"/>
      <c r="CR101" s="157"/>
      <c r="CS101" s="157"/>
      <c r="CT101" s="157"/>
      <c r="CU101" s="157"/>
      <c r="CV101" s="157"/>
      <c r="CW101" s="157"/>
      <c r="CX101" s="157"/>
      <c r="CY101" s="157"/>
      <c r="CZ101" s="157"/>
      <c r="DA101" s="157"/>
      <c r="DB101" s="157"/>
      <c r="DC101" s="157"/>
      <c r="DD101" s="157"/>
      <c r="DE101" s="157"/>
      <c r="DF101" s="157"/>
      <c r="DG101" s="157"/>
      <c r="DH101" s="157"/>
      <c r="DI101" s="157"/>
      <c r="DJ101" s="157"/>
      <c r="DK101" s="157"/>
      <c r="DL101" s="157"/>
      <c r="DM101" s="157"/>
      <c r="DN101" s="157"/>
      <c r="DO101" s="157"/>
      <c r="DP101" s="157"/>
      <c r="DQ101" s="157"/>
      <c r="DR101" s="157"/>
      <c r="DS101" s="157"/>
      <c r="DT101" s="157"/>
      <c r="DU101" s="157"/>
      <c r="DV101" s="157"/>
      <c r="DW101" s="157"/>
      <c r="DX101" s="157"/>
      <c r="DY101" s="157"/>
      <c r="DZ101" s="157"/>
      <c r="EA101" s="157"/>
      <c r="EB101" s="157"/>
      <c r="EC101" s="157"/>
      <c r="ED101" s="157"/>
      <c r="EE101" s="157"/>
      <c r="EF101" s="157"/>
      <c r="EG101" s="157"/>
      <c r="EH101" s="157"/>
      <c r="EI101" s="157"/>
      <c r="EJ101" s="157"/>
      <c r="EK101" s="157"/>
      <c r="EL101" s="157"/>
      <c r="EM101" s="157"/>
      <c r="EN101" s="157"/>
      <c r="EO101" s="157"/>
      <c r="EP101" s="157"/>
      <c r="EQ101" s="157"/>
      <c r="ER101" s="157"/>
      <c r="ES101" s="157"/>
      <c r="ET101" s="157"/>
      <c r="EU101" s="157"/>
      <c r="EV101" s="157"/>
      <c r="EW101" s="157"/>
      <c r="EX101" s="157"/>
      <c r="EY101" s="157"/>
      <c r="EZ101" s="157"/>
      <c r="FA101" s="157"/>
      <c r="FB101" s="157"/>
      <c r="FC101" s="157"/>
      <c r="FD101" s="157"/>
      <c r="FE101" s="157"/>
      <c r="FF101" s="157"/>
      <c r="FG101" s="157"/>
      <c r="FH101" s="157"/>
      <c r="FI101" s="157"/>
      <c r="FJ101" s="157"/>
      <c r="FK101" s="157"/>
      <c r="FL101" s="157"/>
      <c r="FM101" s="157"/>
      <c r="FN101" s="157"/>
      <c r="FO101" s="157"/>
      <c r="FP101" s="157"/>
      <c r="FQ101" s="157"/>
      <c r="FR101" s="157"/>
      <c r="FS101" s="157"/>
      <c r="FT101" s="157"/>
      <c r="FU101" s="157"/>
      <c r="FV101" s="157"/>
      <c r="FW101" s="157"/>
      <c r="FX101" s="157"/>
      <c r="FY101" s="157"/>
      <c r="FZ101" s="157"/>
      <c r="GA101" s="157"/>
      <c r="GB101" s="157"/>
      <c r="GC101" s="157"/>
      <c r="GD101" s="157"/>
      <c r="GE101" s="157"/>
      <c r="GF101" s="157"/>
      <c r="GG101" s="157"/>
      <c r="GH101" s="157"/>
      <c r="GI101" s="157"/>
      <c r="GJ101" s="157"/>
      <c r="GK101" s="157"/>
      <c r="GL101" s="157"/>
      <c r="GM101" s="157"/>
      <c r="GN101" s="157"/>
      <c r="GO101" s="157"/>
      <c r="GP101" s="157"/>
      <c r="GQ101" s="157"/>
      <c r="GR101" s="157"/>
      <c r="GS101" s="157"/>
      <c r="GT101" s="157"/>
      <c r="GU101" s="157"/>
      <c r="GV101" s="157"/>
      <c r="GW101" s="157"/>
      <c r="GX101" s="157"/>
      <c r="GY101" s="157"/>
      <c r="GZ101" s="157"/>
      <c r="HA101" s="157"/>
      <c r="HB101" s="157"/>
      <c r="HC101" s="157"/>
      <c r="HD101" s="157"/>
      <c r="HE101" s="157"/>
      <c r="HF101" s="157"/>
      <c r="HG101" s="157"/>
      <c r="HH101" s="157"/>
      <c r="HI101" s="157"/>
      <c r="HJ101" s="157"/>
      <c r="HK101" s="157"/>
      <c r="HL101" s="157"/>
      <c r="HM101" s="157"/>
      <c r="HN101" s="157"/>
      <c r="HO101" s="157"/>
      <c r="HP101" s="157"/>
      <c r="HQ101" s="157"/>
      <c r="HR101" s="157"/>
      <c r="HS101" s="157"/>
      <c r="HT101" s="157"/>
      <c r="HU101" s="157"/>
      <c r="HV101" s="157"/>
      <c r="HW101" s="157"/>
      <c r="HX101" s="157"/>
      <c r="HY101" s="157"/>
      <c r="HZ101" s="157"/>
      <c r="IA101" s="157"/>
      <c r="IB101" s="157"/>
      <c r="IC101" s="157"/>
      <c r="ID101" s="157"/>
      <c r="IE101" s="157"/>
      <c r="IF101" s="157"/>
      <c r="IG101" s="157"/>
      <c r="IH101" s="157"/>
      <c r="II101" s="157"/>
      <c r="IJ101" s="157"/>
      <c r="IK101" s="157"/>
      <c r="IL101" s="157"/>
      <c r="IM101" s="157"/>
      <c r="IN101" s="157"/>
      <c r="IO101" s="157"/>
      <c r="IP101" s="157"/>
      <c r="IQ101" s="157"/>
      <c r="IR101" s="157"/>
      <c r="IS101" s="157"/>
      <c r="IT101" s="157"/>
      <c r="IU101" s="157"/>
      <c r="IV101" s="157"/>
    </row>
    <row r="102" spans="2:256" s="764" customFormat="1" ht="52" hidden="1" customHeight="1">
      <c r="B102" s="157"/>
      <c r="C102" s="157"/>
      <c r="D102" s="157"/>
      <c r="E102" s="157"/>
      <c r="F102" s="157"/>
      <c r="G102" s="157"/>
      <c r="H102" s="157"/>
      <c r="I102" s="157"/>
      <c r="J102" s="157"/>
      <c r="K102" s="157"/>
      <c r="L102" s="157"/>
      <c r="M102" s="157"/>
      <c r="N102" s="157"/>
      <c r="O102" s="157"/>
      <c r="P102" s="157"/>
      <c r="Q102" s="157"/>
      <c r="R102" s="157"/>
      <c r="S102" s="157"/>
      <c r="T102" s="157"/>
      <c r="U102" s="157"/>
      <c r="V102" s="157"/>
      <c r="W102" s="157"/>
      <c r="X102" s="157"/>
      <c r="Y102" s="157"/>
      <c r="Z102" s="157"/>
      <c r="AA102" s="157"/>
      <c r="AB102" s="157"/>
      <c r="AC102" s="157"/>
      <c r="AD102" s="157"/>
      <c r="AE102" s="157"/>
      <c r="AF102" s="157"/>
      <c r="AG102" s="157"/>
      <c r="AH102" s="157"/>
      <c r="AI102" s="157"/>
      <c r="AJ102" s="157"/>
      <c r="AK102" s="157"/>
      <c r="AL102" s="157"/>
      <c r="AM102" s="157"/>
      <c r="AN102" s="157"/>
      <c r="AO102" s="157"/>
      <c r="AP102" s="157"/>
      <c r="AQ102" s="157"/>
      <c r="AR102" s="157"/>
      <c r="AS102" s="157"/>
      <c r="AT102" s="157"/>
      <c r="AU102" s="157"/>
      <c r="AV102" s="157"/>
      <c r="AW102" s="157"/>
      <c r="AX102" s="157"/>
      <c r="AY102" s="157"/>
      <c r="AZ102" s="157"/>
      <c r="BA102" s="157"/>
      <c r="BB102" s="157"/>
      <c r="BC102" s="157"/>
      <c r="BD102" s="157"/>
      <c r="BE102" s="157"/>
      <c r="BF102" s="157"/>
      <c r="BG102" s="157"/>
      <c r="BH102" s="157"/>
      <c r="BI102" s="157"/>
      <c r="BJ102" s="157"/>
      <c r="BK102" s="157"/>
      <c r="BL102" s="157"/>
      <c r="BM102" s="157"/>
      <c r="BN102" s="157"/>
      <c r="BO102" s="157"/>
      <c r="BP102" s="157"/>
      <c r="BQ102" s="157"/>
      <c r="BR102" s="157"/>
      <c r="BS102" s="157"/>
      <c r="BT102" s="157"/>
      <c r="BU102" s="157"/>
      <c r="BV102" s="157"/>
      <c r="BW102" s="157"/>
      <c r="BX102" s="157"/>
      <c r="BY102" s="157"/>
      <c r="BZ102" s="157"/>
      <c r="CA102" s="157"/>
      <c r="CB102" s="157"/>
      <c r="CC102" s="157"/>
      <c r="CD102" s="157"/>
      <c r="CE102" s="157"/>
      <c r="CF102" s="157"/>
      <c r="CG102" s="157"/>
      <c r="CH102" s="157"/>
      <c r="CI102" s="157"/>
      <c r="CJ102" s="157"/>
      <c r="CK102" s="157"/>
      <c r="CL102" s="157"/>
      <c r="CM102" s="157"/>
      <c r="CN102" s="157"/>
      <c r="CO102" s="157"/>
      <c r="CP102" s="157"/>
      <c r="CQ102" s="157"/>
      <c r="CR102" s="157"/>
      <c r="CS102" s="157"/>
      <c r="CT102" s="157"/>
      <c r="CU102" s="157"/>
      <c r="CV102" s="157"/>
      <c r="CW102" s="157"/>
      <c r="CX102" s="157"/>
      <c r="CY102" s="157"/>
      <c r="CZ102" s="157"/>
      <c r="DA102" s="157"/>
      <c r="DB102" s="157"/>
      <c r="DC102" s="157"/>
      <c r="DD102" s="157"/>
      <c r="DE102" s="157"/>
      <c r="DF102" s="157"/>
      <c r="DG102" s="157"/>
      <c r="DH102" s="157"/>
      <c r="DI102" s="157"/>
      <c r="DJ102" s="157"/>
      <c r="DK102" s="157"/>
      <c r="DL102" s="157"/>
      <c r="DM102" s="157"/>
      <c r="DN102" s="157"/>
      <c r="DO102" s="157"/>
      <c r="DP102" s="157"/>
      <c r="DQ102" s="157"/>
      <c r="DR102" s="157"/>
      <c r="DS102" s="157"/>
      <c r="DT102" s="157"/>
      <c r="DU102" s="157"/>
      <c r="DV102" s="157"/>
      <c r="DW102" s="157"/>
      <c r="DX102" s="157"/>
      <c r="DY102" s="157"/>
      <c r="DZ102" s="157"/>
      <c r="EA102" s="157"/>
      <c r="EB102" s="157"/>
      <c r="EC102" s="157"/>
      <c r="ED102" s="157"/>
      <c r="EE102" s="157"/>
      <c r="EF102" s="157"/>
      <c r="EG102" s="157"/>
      <c r="EH102" s="157"/>
      <c r="EI102" s="157"/>
      <c r="EJ102" s="157"/>
      <c r="EK102" s="157"/>
      <c r="EL102" s="157"/>
      <c r="EM102" s="157"/>
      <c r="EN102" s="157"/>
      <c r="EO102" s="157"/>
      <c r="EP102" s="157"/>
      <c r="EQ102" s="157"/>
      <c r="ER102" s="157"/>
      <c r="ES102" s="157"/>
      <c r="ET102" s="157"/>
      <c r="EU102" s="157"/>
      <c r="EV102" s="157"/>
      <c r="EW102" s="157"/>
      <c r="EX102" s="157"/>
      <c r="EY102" s="157"/>
      <c r="EZ102" s="157"/>
      <c r="FA102" s="157"/>
      <c r="FB102" s="157"/>
      <c r="FC102" s="157"/>
      <c r="FD102" s="157"/>
      <c r="FE102" s="157"/>
      <c r="FF102" s="157"/>
      <c r="FG102" s="157"/>
      <c r="FH102" s="157"/>
      <c r="FI102" s="157"/>
      <c r="FJ102" s="157"/>
      <c r="FK102" s="157"/>
      <c r="FL102" s="157"/>
      <c r="FM102" s="157"/>
      <c r="FN102" s="157"/>
      <c r="FO102" s="157"/>
      <c r="FP102" s="157"/>
      <c r="FQ102" s="157"/>
      <c r="FR102" s="157"/>
      <c r="FS102" s="157"/>
      <c r="FT102" s="157"/>
      <c r="FU102" s="157"/>
      <c r="FV102" s="157"/>
      <c r="FW102" s="157"/>
      <c r="FX102" s="157"/>
      <c r="FY102" s="157"/>
      <c r="FZ102" s="157"/>
      <c r="GA102" s="157"/>
      <c r="GB102" s="157"/>
      <c r="GC102" s="157"/>
      <c r="GD102" s="157"/>
      <c r="GE102" s="157"/>
      <c r="GF102" s="157"/>
      <c r="GG102" s="157"/>
      <c r="GH102" s="157"/>
      <c r="GI102" s="157"/>
      <c r="GJ102" s="157"/>
      <c r="GK102" s="157"/>
      <c r="GL102" s="157"/>
      <c r="GM102" s="157"/>
      <c r="GN102" s="157"/>
      <c r="GO102" s="157"/>
      <c r="GP102" s="157"/>
      <c r="GQ102" s="157"/>
      <c r="GR102" s="157"/>
      <c r="GS102" s="157"/>
      <c r="GT102" s="157"/>
      <c r="GU102" s="157"/>
      <c r="GV102" s="157"/>
      <c r="GW102" s="157"/>
      <c r="GX102" s="157"/>
      <c r="GY102" s="157"/>
      <c r="GZ102" s="157"/>
      <c r="HA102" s="157"/>
      <c r="HB102" s="157"/>
      <c r="HC102" s="157"/>
      <c r="HD102" s="157"/>
      <c r="HE102" s="157"/>
      <c r="HF102" s="157"/>
      <c r="HG102" s="157"/>
      <c r="HH102" s="157"/>
      <c r="HI102" s="157"/>
      <c r="HJ102" s="157"/>
      <c r="HK102" s="157"/>
      <c r="HL102" s="157"/>
      <c r="HM102" s="157"/>
      <c r="HN102" s="157"/>
      <c r="HO102" s="157"/>
      <c r="HP102" s="157"/>
      <c r="HQ102" s="157"/>
      <c r="HR102" s="157"/>
      <c r="HS102" s="157"/>
      <c r="HT102" s="157"/>
      <c r="HU102" s="157"/>
      <c r="HV102" s="157"/>
      <c r="HW102" s="157"/>
      <c r="HX102" s="157"/>
      <c r="HY102" s="157"/>
      <c r="HZ102" s="157"/>
      <c r="IA102" s="157"/>
      <c r="IB102" s="157"/>
      <c r="IC102" s="157"/>
      <c r="ID102" s="157"/>
      <c r="IE102" s="157"/>
      <c r="IF102" s="157"/>
      <c r="IG102" s="157"/>
      <c r="IH102" s="157"/>
      <c r="II102" s="157"/>
      <c r="IJ102" s="157"/>
      <c r="IK102" s="157"/>
      <c r="IL102" s="157"/>
      <c r="IM102" s="157"/>
      <c r="IN102" s="157"/>
      <c r="IO102" s="157"/>
      <c r="IP102" s="157"/>
      <c r="IQ102" s="157"/>
      <c r="IR102" s="157"/>
      <c r="IS102" s="157"/>
      <c r="IT102" s="157"/>
      <c r="IU102" s="157"/>
      <c r="IV102" s="157"/>
    </row>
    <row r="103" spans="2:256" s="764" customFormat="1" ht="52" hidden="1" customHeight="1">
      <c r="B103" s="157"/>
      <c r="C103" s="157"/>
      <c r="D103" s="157"/>
      <c r="E103" s="157"/>
      <c r="F103" s="157"/>
      <c r="G103" s="157"/>
      <c r="H103" s="157"/>
      <c r="I103" s="157"/>
      <c r="J103" s="157"/>
      <c r="K103" s="157"/>
      <c r="L103" s="157"/>
      <c r="M103" s="157"/>
      <c r="N103" s="157"/>
      <c r="O103" s="157"/>
      <c r="P103" s="157"/>
      <c r="Q103" s="157"/>
      <c r="R103" s="157"/>
      <c r="S103" s="157"/>
      <c r="T103" s="157"/>
      <c r="U103" s="157"/>
      <c r="V103" s="157"/>
      <c r="W103" s="157"/>
      <c r="X103" s="157"/>
      <c r="Y103" s="157"/>
      <c r="Z103" s="157"/>
      <c r="AA103" s="157"/>
      <c r="AB103" s="157"/>
      <c r="AC103" s="157"/>
      <c r="AD103" s="157"/>
      <c r="AE103" s="157"/>
      <c r="AF103" s="157"/>
      <c r="AG103" s="157"/>
      <c r="AH103" s="157"/>
      <c r="AI103" s="157"/>
      <c r="AJ103" s="157"/>
      <c r="AK103" s="157"/>
      <c r="AL103" s="157"/>
      <c r="AM103" s="157"/>
      <c r="AN103" s="157"/>
      <c r="AO103" s="157"/>
      <c r="AP103" s="157"/>
      <c r="AQ103" s="157"/>
      <c r="AR103" s="157"/>
      <c r="AS103" s="157"/>
      <c r="AT103" s="157"/>
      <c r="AU103" s="157"/>
      <c r="AV103" s="157"/>
      <c r="AW103" s="157"/>
      <c r="AX103" s="157"/>
      <c r="AY103" s="157"/>
      <c r="AZ103" s="157"/>
      <c r="BA103" s="157"/>
      <c r="BB103" s="157"/>
      <c r="BC103" s="157"/>
      <c r="BD103" s="157"/>
      <c r="BE103" s="157"/>
      <c r="BF103" s="157"/>
      <c r="BG103" s="157"/>
      <c r="BH103" s="157"/>
      <c r="BI103" s="157"/>
      <c r="BJ103" s="157"/>
      <c r="BK103" s="157"/>
      <c r="BL103" s="157"/>
      <c r="BM103" s="157"/>
      <c r="BN103" s="157"/>
      <c r="BO103" s="157"/>
      <c r="BP103" s="157"/>
      <c r="BQ103" s="157"/>
      <c r="BR103" s="157"/>
      <c r="BS103" s="157"/>
      <c r="BT103" s="157"/>
      <c r="BU103" s="157"/>
      <c r="BV103" s="157"/>
      <c r="BW103" s="157"/>
      <c r="BX103" s="157"/>
      <c r="BY103" s="157"/>
      <c r="BZ103" s="157"/>
      <c r="CA103" s="157"/>
      <c r="CB103" s="157"/>
      <c r="CC103" s="157"/>
      <c r="CD103" s="157"/>
      <c r="CE103" s="157"/>
      <c r="CF103" s="157"/>
      <c r="CG103" s="157"/>
      <c r="CH103" s="157"/>
      <c r="CI103" s="157"/>
      <c r="CJ103" s="157"/>
      <c r="CK103" s="157"/>
      <c r="CL103" s="157"/>
      <c r="CM103" s="157"/>
      <c r="CN103" s="157"/>
      <c r="CO103" s="157"/>
      <c r="CP103" s="157"/>
      <c r="CQ103" s="157"/>
      <c r="CR103" s="157"/>
      <c r="CS103" s="157"/>
      <c r="CT103" s="157"/>
      <c r="CU103" s="157"/>
      <c r="CV103" s="157"/>
      <c r="CW103" s="157"/>
      <c r="CX103" s="157"/>
      <c r="CY103" s="157"/>
      <c r="CZ103" s="157"/>
      <c r="DA103" s="157"/>
      <c r="DB103" s="157"/>
      <c r="DC103" s="157"/>
      <c r="DD103" s="157"/>
      <c r="DE103" s="157"/>
      <c r="DF103" s="157"/>
      <c r="DG103" s="157"/>
      <c r="DH103" s="157"/>
      <c r="DI103" s="157"/>
      <c r="DJ103" s="157"/>
      <c r="DK103" s="157"/>
      <c r="DL103" s="157"/>
      <c r="DM103" s="157"/>
      <c r="DN103" s="157"/>
      <c r="DO103" s="157"/>
      <c r="DP103" s="157"/>
      <c r="DQ103" s="157"/>
      <c r="DR103" s="157"/>
      <c r="DS103" s="157"/>
      <c r="DT103" s="157"/>
      <c r="DU103" s="157"/>
      <c r="DV103" s="157"/>
      <c r="DW103" s="157"/>
      <c r="DX103" s="157"/>
      <c r="DY103" s="157"/>
      <c r="DZ103" s="157"/>
      <c r="EA103" s="157"/>
      <c r="EB103" s="157"/>
      <c r="EC103" s="157"/>
      <c r="ED103" s="157"/>
      <c r="EE103" s="157"/>
      <c r="EF103" s="157"/>
      <c r="EG103" s="157"/>
      <c r="EH103" s="157"/>
      <c r="EI103" s="157"/>
      <c r="EJ103" s="157"/>
      <c r="EK103" s="157"/>
      <c r="EL103" s="157"/>
      <c r="EM103" s="157"/>
      <c r="EN103" s="157"/>
      <c r="EO103" s="157"/>
      <c r="EP103" s="157"/>
      <c r="EQ103" s="157"/>
      <c r="ER103" s="157"/>
      <c r="ES103" s="157"/>
      <c r="ET103" s="157"/>
      <c r="EU103" s="157"/>
      <c r="EV103" s="157"/>
      <c r="EW103" s="157"/>
      <c r="EX103" s="157"/>
      <c r="EY103" s="157"/>
      <c r="EZ103" s="157"/>
      <c r="FA103" s="157"/>
      <c r="FB103" s="157"/>
      <c r="FC103" s="157"/>
      <c r="FD103" s="157"/>
      <c r="FE103" s="157"/>
      <c r="FF103" s="157"/>
      <c r="FG103" s="157"/>
      <c r="FH103" s="157"/>
      <c r="FI103" s="157"/>
      <c r="FJ103" s="157"/>
      <c r="FK103" s="157"/>
      <c r="FL103" s="157"/>
      <c r="FM103" s="157"/>
      <c r="FN103" s="157"/>
      <c r="FO103" s="157"/>
      <c r="FP103" s="157"/>
      <c r="FQ103" s="157"/>
      <c r="FR103" s="157"/>
      <c r="FS103" s="157"/>
      <c r="FT103" s="157"/>
      <c r="FU103" s="157"/>
      <c r="FV103" s="157"/>
      <c r="FW103" s="157"/>
      <c r="FX103" s="157"/>
      <c r="FY103" s="157"/>
      <c r="FZ103" s="157"/>
      <c r="GA103" s="157"/>
      <c r="GB103" s="157"/>
      <c r="GC103" s="157"/>
      <c r="GD103" s="157"/>
      <c r="GE103" s="157"/>
      <c r="GF103" s="157"/>
      <c r="GG103" s="157"/>
      <c r="GH103" s="157"/>
      <c r="GI103" s="157"/>
      <c r="GJ103" s="157"/>
      <c r="GK103" s="157"/>
      <c r="GL103" s="157"/>
      <c r="GM103" s="157"/>
      <c r="GN103" s="157"/>
      <c r="GO103" s="157"/>
      <c r="GP103" s="157"/>
      <c r="GQ103" s="157"/>
      <c r="GR103" s="157"/>
      <c r="GS103" s="157"/>
      <c r="GT103" s="157"/>
      <c r="GU103" s="157"/>
      <c r="GV103" s="157"/>
      <c r="GW103" s="157"/>
      <c r="GX103" s="157"/>
      <c r="GY103" s="157"/>
      <c r="GZ103" s="157"/>
      <c r="HA103" s="157"/>
      <c r="HB103" s="157"/>
      <c r="HC103" s="157"/>
      <c r="HD103" s="157"/>
      <c r="HE103" s="157"/>
      <c r="HF103" s="157"/>
      <c r="HG103" s="157"/>
      <c r="HH103" s="157"/>
      <c r="HI103" s="157"/>
      <c r="HJ103" s="157"/>
      <c r="HK103" s="157"/>
      <c r="HL103" s="157"/>
      <c r="HM103" s="157"/>
      <c r="HN103" s="157"/>
      <c r="HO103" s="157"/>
      <c r="HP103" s="157"/>
      <c r="HQ103" s="157"/>
      <c r="HR103" s="157"/>
      <c r="HS103" s="157"/>
      <c r="HT103" s="157"/>
      <c r="HU103" s="157"/>
      <c r="HV103" s="157"/>
      <c r="HW103" s="157"/>
      <c r="HX103" s="157"/>
      <c r="HY103" s="157"/>
      <c r="HZ103" s="157"/>
      <c r="IA103" s="157"/>
      <c r="IB103" s="157"/>
      <c r="IC103" s="157"/>
      <c r="ID103" s="157"/>
      <c r="IE103" s="157"/>
      <c r="IF103" s="157"/>
      <c r="IG103" s="157"/>
      <c r="IH103" s="157"/>
      <c r="II103" s="157"/>
      <c r="IJ103" s="157"/>
      <c r="IK103" s="157"/>
      <c r="IL103" s="157"/>
      <c r="IM103" s="157"/>
      <c r="IN103" s="157"/>
      <c r="IO103" s="157"/>
      <c r="IP103" s="157"/>
      <c r="IQ103" s="157"/>
      <c r="IR103" s="157"/>
      <c r="IS103" s="157"/>
      <c r="IT103" s="157"/>
      <c r="IU103" s="157"/>
      <c r="IV103" s="157"/>
    </row>
    <row r="104" spans="2:256" s="764" customFormat="1" ht="52" hidden="1" customHeight="1">
      <c r="B104" s="157"/>
      <c r="C104" s="157"/>
      <c r="D104" s="157"/>
      <c r="E104" s="157"/>
      <c r="F104" s="157"/>
      <c r="G104" s="157"/>
      <c r="H104" s="157"/>
      <c r="I104" s="157"/>
      <c r="J104" s="157"/>
      <c r="K104" s="157"/>
      <c r="L104" s="157"/>
      <c r="M104" s="157"/>
      <c r="N104" s="157"/>
      <c r="O104" s="157"/>
      <c r="P104" s="157"/>
      <c r="Q104" s="157"/>
      <c r="R104" s="157"/>
      <c r="S104" s="157"/>
      <c r="T104" s="157"/>
      <c r="U104" s="157"/>
      <c r="V104" s="157"/>
      <c r="W104" s="157"/>
      <c r="X104" s="157"/>
      <c r="Y104" s="157"/>
      <c r="Z104" s="157"/>
      <c r="AA104" s="157"/>
      <c r="AB104" s="157"/>
      <c r="AC104" s="157"/>
      <c r="AD104" s="157"/>
      <c r="AE104" s="157"/>
      <c r="AF104" s="157"/>
      <c r="AG104" s="157"/>
      <c r="AH104" s="157"/>
      <c r="AI104" s="157"/>
      <c r="AJ104" s="157"/>
      <c r="AK104" s="157"/>
      <c r="AL104" s="157"/>
      <c r="AM104" s="157"/>
      <c r="AN104" s="157"/>
      <c r="AO104" s="157"/>
      <c r="AP104" s="157"/>
      <c r="AQ104" s="157"/>
      <c r="AR104" s="157"/>
      <c r="AS104" s="157"/>
      <c r="AT104" s="157"/>
      <c r="AU104" s="157"/>
      <c r="AV104" s="157"/>
      <c r="AW104" s="157"/>
      <c r="AX104" s="157"/>
      <c r="AY104" s="157"/>
      <c r="AZ104" s="157"/>
      <c r="BA104" s="157"/>
      <c r="BB104" s="157"/>
      <c r="BC104" s="157"/>
      <c r="BD104" s="157"/>
      <c r="BE104" s="157"/>
      <c r="BF104" s="157"/>
      <c r="BG104" s="157"/>
      <c r="BH104" s="157"/>
      <c r="BI104" s="157"/>
      <c r="BJ104" s="157"/>
      <c r="BK104" s="157"/>
      <c r="BL104" s="157"/>
      <c r="BM104" s="157"/>
      <c r="BN104" s="157"/>
      <c r="BO104" s="157"/>
      <c r="BP104" s="157"/>
      <c r="BQ104" s="157"/>
      <c r="BR104" s="157"/>
      <c r="BS104" s="157"/>
      <c r="BT104" s="157"/>
      <c r="BU104" s="157"/>
      <c r="BV104" s="157"/>
      <c r="BW104" s="157"/>
      <c r="BX104" s="157"/>
      <c r="BY104" s="157"/>
      <c r="BZ104" s="157"/>
      <c r="CA104" s="157"/>
      <c r="CB104" s="157"/>
      <c r="CC104" s="157"/>
      <c r="CD104" s="157"/>
      <c r="CE104" s="157"/>
      <c r="CF104" s="157"/>
      <c r="CG104" s="157"/>
      <c r="CH104" s="157"/>
      <c r="CI104" s="157"/>
      <c r="CJ104" s="157"/>
      <c r="CK104" s="157"/>
      <c r="CL104" s="157"/>
      <c r="CM104" s="157"/>
      <c r="CN104" s="157"/>
      <c r="CO104" s="157"/>
      <c r="CP104" s="157"/>
      <c r="CQ104" s="157"/>
      <c r="CR104" s="157"/>
      <c r="CS104" s="157"/>
      <c r="CT104" s="157"/>
      <c r="CU104" s="157"/>
      <c r="CV104" s="157"/>
      <c r="CW104" s="157"/>
      <c r="CX104" s="157"/>
      <c r="CY104" s="157"/>
      <c r="CZ104" s="157"/>
      <c r="DA104" s="157"/>
      <c r="DB104" s="157"/>
      <c r="DC104" s="157"/>
      <c r="DD104" s="157"/>
      <c r="DE104" s="157"/>
      <c r="DF104" s="157"/>
      <c r="DG104" s="157"/>
      <c r="DH104" s="157"/>
      <c r="DI104" s="157"/>
      <c r="DJ104" s="157"/>
      <c r="DK104" s="157"/>
      <c r="DL104" s="157"/>
      <c r="DM104" s="157"/>
      <c r="DN104" s="157"/>
      <c r="DO104" s="157"/>
      <c r="DP104" s="157"/>
      <c r="DQ104" s="157"/>
      <c r="DR104" s="157"/>
      <c r="DS104" s="157"/>
      <c r="DT104" s="157"/>
      <c r="DU104" s="157"/>
      <c r="DV104" s="157"/>
      <c r="DW104" s="157"/>
      <c r="DX104" s="157"/>
      <c r="DY104" s="157"/>
      <c r="DZ104" s="157"/>
      <c r="EA104" s="157"/>
      <c r="EB104" s="157"/>
      <c r="EC104" s="157"/>
      <c r="ED104" s="157"/>
      <c r="EE104" s="157"/>
      <c r="EF104" s="157"/>
      <c r="EG104" s="157"/>
      <c r="EH104" s="157"/>
      <c r="EI104" s="157"/>
      <c r="EJ104" s="157"/>
      <c r="EK104" s="157"/>
      <c r="EL104" s="157"/>
      <c r="EM104" s="157"/>
      <c r="EN104" s="157"/>
      <c r="EO104" s="157"/>
      <c r="EP104" s="157"/>
      <c r="EQ104" s="157"/>
      <c r="ER104" s="157"/>
      <c r="ES104" s="157"/>
      <c r="ET104" s="157"/>
      <c r="EU104" s="157"/>
      <c r="EV104" s="157"/>
      <c r="EW104" s="157"/>
      <c r="EX104" s="157"/>
      <c r="EY104" s="157"/>
      <c r="EZ104" s="157"/>
      <c r="FA104" s="157"/>
      <c r="FB104" s="157"/>
      <c r="FC104" s="157"/>
      <c r="FD104" s="157"/>
      <c r="FE104" s="157"/>
      <c r="FF104" s="157"/>
      <c r="FG104" s="157"/>
      <c r="FH104" s="157"/>
      <c r="FI104" s="157"/>
      <c r="FJ104" s="157"/>
      <c r="FK104" s="157"/>
      <c r="FL104" s="157"/>
      <c r="FM104" s="157"/>
      <c r="FN104" s="157"/>
      <c r="FO104" s="157"/>
      <c r="FP104" s="157"/>
      <c r="FQ104" s="157"/>
      <c r="FR104" s="157"/>
      <c r="FS104" s="157"/>
      <c r="FT104" s="157"/>
      <c r="FU104" s="157"/>
      <c r="FV104" s="157"/>
      <c r="FW104" s="157"/>
      <c r="FX104" s="157"/>
      <c r="FY104" s="157"/>
      <c r="FZ104" s="157"/>
      <c r="GA104" s="157"/>
      <c r="GB104" s="157"/>
      <c r="GC104" s="157"/>
      <c r="GD104" s="157"/>
      <c r="GE104" s="157"/>
      <c r="GF104" s="157"/>
      <c r="GG104" s="157"/>
      <c r="GH104" s="157"/>
      <c r="GI104" s="157"/>
      <c r="GJ104" s="157"/>
      <c r="GK104" s="157"/>
      <c r="GL104" s="157"/>
      <c r="GM104" s="157"/>
      <c r="GN104" s="157"/>
      <c r="GO104" s="157"/>
      <c r="GP104" s="157"/>
      <c r="GQ104" s="157"/>
      <c r="GR104" s="157"/>
      <c r="GS104" s="157"/>
      <c r="GT104" s="157"/>
      <c r="GU104" s="157"/>
      <c r="GV104" s="157"/>
      <c r="GW104" s="157"/>
      <c r="GX104" s="157"/>
      <c r="GY104" s="157"/>
      <c r="GZ104" s="157"/>
      <c r="HA104" s="157"/>
      <c r="HB104" s="157"/>
      <c r="HC104" s="157"/>
      <c r="HD104" s="157"/>
      <c r="HE104" s="157"/>
      <c r="HF104" s="157"/>
      <c r="HG104" s="157"/>
      <c r="HH104" s="157"/>
      <c r="HI104" s="157"/>
      <c r="HJ104" s="157"/>
      <c r="HK104" s="157"/>
      <c r="HL104" s="157"/>
      <c r="HM104" s="157"/>
      <c r="HN104" s="157"/>
      <c r="HO104" s="157"/>
      <c r="HP104" s="157"/>
      <c r="HQ104" s="157"/>
      <c r="HR104" s="157"/>
      <c r="HS104" s="157"/>
      <c r="HT104" s="157"/>
      <c r="HU104" s="157"/>
      <c r="HV104" s="157"/>
      <c r="HW104" s="157"/>
      <c r="HX104" s="157"/>
      <c r="HY104" s="157"/>
      <c r="HZ104" s="157"/>
      <c r="IA104" s="157"/>
      <c r="IB104" s="157"/>
      <c r="IC104" s="157"/>
      <c r="ID104" s="157"/>
      <c r="IE104" s="157"/>
      <c r="IF104" s="157"/>
      <c r="IG104" s="157"/>
      <c r="IH104" s="157"/>
      <c r="II104" s="157"/>
      <c r="IJ104" s="157"/>
      <c r="IK104" s="157"/>
      <c r="IL104" s="157"/>
      <c r="IM104" s="157"/>
      <c r="IN104" s="157"/>
      <c r="IO104" s="157"/>
      <c r="IP104" s="157"/>
      <c r="IQ104" s="157"/>
      <c r="IR104" s="157"/>
      <c r="IS104" s="157"/>
      <c r="IT104" s="157"/>
      <c r="IU104" s="157"/>
      <c r="IV104" s="157"/>
    </row>
    <row r="105" spans="2:256" s="764" customFormat="1" ht="52" hidden="1" customHeight="1">
      <c r="B105" s="157"/>
      <c r="C105" s="157"/>
      <c r="D105" s="157"/>
      <c r="E105" s="157"/>
      <c r="F105" s="157"/>
      <c r="G105" s="157"/>
      <c r="H105" s="157"/>
      <c r="I105" s="157"/>
      <c r="J105" s="157"/>
      <c r="K105" s="157"/>
      <c r="L105" s="157"/>
      <c r="M105" s="157"/>
      <c r="N105" s="157"/>
      <c r="O105" s="157"/>
      <c r="P105" s="157"/>
      <c r="Q105" s="157"/>
      <c r="R105" s="157"/>
      <c r="S105" s="157"/>
      <c r="T105" s="157"/>
      <c r="U105" s="157"/>
      <c r="V105" s="157"/>
      <c r="W105" s="157"/>
      <c r="X105" s="157"/>
      <c r="Y105" s="157"/>
      <c r="Z105" s="157"/>
      <c r="AA105" s="157"/>
      <c r="AB105" s="157"/>
      <c r="AC105" s="157"/>
      <c r="AD105" s="157"/>
      <c r="AE105" s="157"/>
      <c r="AF105" s="157"/>
      <c r="AG105" s="157"/>
      <c r="AH105" s="157"/>
      <c r="AI105" s="157"/>
      <c r="AJ105" s="157"/>
      <c r="AK105" s="157"/>
      <c r="AL105" s="157"/>
      <c r="AM105" s="157"/>
      <c r="AN105" s="157"/>
      <c r="AO105" s="157"/>
      <c r="AP105" s="157"/>
      <c r="AQ105" s="157"/>
      <c r="AR105" s="157"/>
      <c r="AS105" s="157"/>
      <c r="AT105" s="157"/>
      <c r="AU105" s="157"/>
      <c r="AV105" s="157"/>
      <c r="AW105" s="157"/>
      <c r="AX105" s="157"/>
      <c r="AY105" s="157"/>
      <c r="AZ105" s="157"/>
      <c r="BA105" s="157"/>
      <c r="BB105" s="157"/>
      <c r="BC105" s="157"/>
      <c r="BD105" s="157"/>
      <c r="BE105" s="157"/>
      <c r="BF105" s="157"/>
      <c r="BG105" s="157"/>
      <c r="BH105" s="157"/>
      <c r="BI105" s="157"/>
      <c r="BJ105" s="157"/>
      <c r="BK105" s="157"/>
      <c r="BL105" s="157"/>
      <c r="BM105" s="157"/>
      <c r="BN105" s="157"/>
      <c r="BO105" s="157"/>
      <c r="BP105" s="157"/>
      <c r="BQ105" s="157"/>
      <c r="BR105" s="157"/>
      <c r="BS105" s="157"/>
      <c r="BT105" s="157"/>
      <c r="BU105" s="157"/>
      <c r="BV105" s="157"/>
      <c r="BW105" s="157"/>
      <c r="BX105" s="157"/>
      <c r="BY105" s="157"/>
      <c r="BZ105" s="157"/>
      <c r="CA105" s="157"/>
      <c r="CB105" s="157"/>
      <c r="CC105" s="157"/>
      <c r="CD105" s="157"/>
      <c r="CE105" s="157"/>
      <c r="CF105" s="157"/>
      <c r="CG105" s="157"/>
      <c r="CH105" s="157"/>
      <c r="CI105" s="157"/>
      <c r="CJ105" s="157"/>
      <c r="CK105" s="157"/>
      <c r="CL105" s="157"/>
      <c r="CM105" s="157"/>
      <c r="CN105" s="157"/>
      <c r="CO105" s="157"/>
      <c r="CP105" s="157"/>
      <c r="CQ105" s="157"/>
      <c r="CR105" s="157"/>
      <c r="CS105" s="157"/>
      <c r="CT105" s="157"/>
      <c r="CU105" s="157"/>
      <c r="CV105" s="157"/>
      <c r="CW105" s="157"/>
      <c r="CX105" s="157"/>
      <c r="CY105" s="157"/>
      <c r="CZ105" s="157"/>
      <c r="DA105" s="157"/>
      <c r="DB105" s="157"/>
      <c r="DC105" s="157"/>
      <c r="DD105" s="157"/>
      <c r="DE105" s="157"/>
      <c r="DF105" s="157"/>
      <c r="DG105" s="157"/>
      <c r="DH105" s="157"/>
      <c r="DI105" s="157"/>
      <c r="DJ105" s="157"/>
      <c r="DK105" s="157"/>
      <c r="DL105" s="157"/>
      <c r="DM105" s="157"/>
      <c r="DN105" s="157"/>
      <c r="DO105" s="157"/>
      <c r="DP105" s="157"/>
      <c r="DQ105" s="157"/>
      <c r="DR105" s="157"/>
      <c r="DS105" s="157"/>
      <c r="DT105" s="157"/>
      <c r="DU105" s="157"/>
      <c r="DV105" s="157"/>
      <c r="DW105" s="157"/>
      <c r="DX105" s="157"/>
      <c r="DY105" s="157"/>
      <c r="DZ105" s="157"/>
      <c r="EA105" s="157"/>
      <c r="EB105" s="157"/>
      <c r="EC105" s="157"/>
      <c r="ED105" s="157"/>
      <c r="EE105" s="157"/>
      <c r="EF105" s="157"/>
      <c r="EG105" s="157"/>
      <c r="EH105" s="157"/>
      <c r="EI105" s="157"/>
      <c r="EJ105" s="157"/>
      <c r="EK105" s="157"/>
      <c r="EL105" s="157"/>
      <c r="EM105" s="157"/>
      <c r="EN105" s="157"/>
      <c r="EO105" s="157"/>
      <c r="EP105" s="157"/>
      <c r="EQ105" s="157"/>
      <c r="ER105" s="157"/>
      <c r="ES105" s="157"/>
      <c r="ET105" s="157"/>
      <c r="EU105" s="157"/>
      <c r="EV105" s="157"/>
      <c r="EW105" s="157"/>
      <c r="EX105" s="157"/>
      <c r="EY105" s="157"/>
      <c r="EZ105" s="157"/>
      <c r="FA105" s="157"/>
      <c r="FB105" s="157"/>
      <c r="FC105" s="157"/>
      <c r="FD105" s="157"/>
      <c r="FE105" s="157"/>
      <c r="FF105" s="157"/>
      <c r="FG105" s="157"/>
      <c r="FH105" s="157"/>
      <c r="FI105" s="157"/>
      <c r="FJ105" s="157"/>
      <c r="FK105" s="157"/>
      <c r="FL105" s="157"/>
      <c r="FM105" s="157"/>
      <c r="FN105" s="157"/>
      <c r="FO105" s="157"/>
      <c r="FP105" s="157"/>
      <c r="FQ105" s="157"/>
      <c r="FR105" s="157"/>
      <c r="FS105" s="157"/>
      <c r="FT105" s="157"/>
      <c r="FU105" s="157"/>
      <c r="FV105" s="157"/>
      <c r="FW105" s="157"/>
      <c r="FX105" s="157"/>
      <c r="FY105" s="157"/>
      <c r="FZ105" s="157"/>
      <c r="GA105" s="157"/>
      <c r="GB105" s="157"/>
      <c r="GC105" s="157"/>
      <c r="GD105" s="157"/>
      <c r="GE105" s="157"/>
      <c r="GF105" s="157"/>
      <c r="GG105" s="157"/>
      <c r="GH105" s="157"/>
      <c r="GI105" s="157"/>
      <c r="GJ105" s="157"/>
      <c r="GK105" s="157"/>
      <c r="GL105" s="157"/>
      <c r="GM105" s="157"/>
      <c r="GN105" s="157"/>
      <c r="GO105" s="157"/>
      <c r="GP105" s="157"/>
      <c r="GQ105" s="157"/>
      <c r="GR105" s="157"/>
      <c r="GS105" s="157"/>
      <c r="GT105" s="157"/>
      <c r="GU105" s="157"/>
      <c r="GV105" s="157"/>
      <c r="GW105" s="157"/>
      <c r="GX105" s="157"/>
      <c r="GY105" s="157"/>
      <c r="GZ105" s="157"/>
      <c r="HA105" s="157"/>
      <c r="HB105" s="157"/>
      <c r="HC105" s="157"/>
      <c r="HD105" s="157"/>
      <c r="HE105" s="157"/>
      <c r="HF105" s="157"/>
      <c r="HG105" s="157"/>
      <c r="HH105" s="157"/>
      <c r="HI105" s="157"/>
      <c r="HJ105" s="157"/>
      <c r="HK105" s="157"/>
      <c r="HL105" s="157"/>
      <c r="HM105" s="157"/>
      <c r="HN105" s="157"/>
      <c r="HO105" s="157"/>
      <c r="HP105" s="157"/>
      <c r="HQ105" s="157"/>
      <c r="HR105" s="157"/>
      <c r="HS105" s="157"/>
      <c r="HT105" s="157"/>
      <c r="HU105" s="157"/>
      <c r="HV105" s="157"/>
      <c r="HW105" s="157"/>
      <c r="HX105" s="157"/>
      <c r="HY105" s="157"/>
      <c r="HZ105" s="157"/>
      <c r="IA105" s="157"/>
      <c r="IB105" s="157"/>
      <c r="IC105" s="157"/>
      <c r="ID105" s="157"/>
      <c r="IE105" s="157"/>
      <c r="IF105" s="157"/>
      <c r="IG105" s="157"/>
      <c r="IH105" s="157"/>
      <c r="II105" s="157"/>
      <c r="IJ105" s="157"/>
      <c r="IK105" s="157"/>
      <c r="IL105" s="157"/>
      <c r="IM105" s="157"/>
      <c r="IN105" s="157"/>
      <c r="IO105" s="157"/>
      <c r="IP105" s="157"/>
      <c r="IQ105" s="157"/>
      <c r="IR105" s="157"/>
      <c r="IS105" s="157"/>
      <c r="IT105" s="157"/>
      <c r="IU105" s="157"/>
      <c r="IV105" s="157"/>
    </row>
    <row r="106" spans="2:256" s="764" customFormat="1" ht="52" hidden="1" customHeight="1">
      <c r="B106" s="157"/>
      <c r="C106" s="157"/>
      <c r="D106" s="157"/>
      <c r="E106" s="157"/>
      <c r="F106" s="157"/>
      <c r="G106" s="157"/>
      <c r="H106" s="157"/>
      <c r="I106" s="157"/>
      <c r="J106" s="157"/>
      <c r="K106" s="157"/>
      <c r="L106" s="157"/>
      <c r="M106" s="157"/>
      <c r="N106" s="157"/>
      <c r="O106" s="157"/>
      <c r="P106" s="157"/>
      <c r="Q106" s="157"/>
      <c r="R106" s="157"/>
      <c r="S106" s="157"/>
      <c r="T106" s="157"/>
      <c r="U106" s="157"/>
      <c r="V106" s="157"/>
      <c r="W106" s="157"/>
      <c r="X106" s="157"/>
      <c r="Y106" s="157"/>
      <c r="Z106" s="157"/>
      <c r="AA106" s="157"/>
      <c r="AB106" s="157"/>
      <c r="AC106" s="157"/>
      <c r="AD106" s="157"/>
      <c r="AE106" s="157"/>
      <c r="AF106" s="157"/>
      <c r="AG106" s="157"/>
      <c r="AH106" s="157"/>
      <c r="AI106" s="157"/>
      <c r="AJ106" s="157"/>
      <c r="AK106" s="157"/>
      <c r="AL106" s="157"/>
      <c r="AM106" s="157"/>
      <c r="AN106" s="157"/>
      <c r="AO106" s="157"/>
      <c r="AP106" s="157"/>
      <c r="AQ106" s="157"/>
      <c r="AR106" s="157"/>
      <c r="AS106" s="157"/>
      <c r="AT106" s="157"/>
      <c r="AU106" s="157"/>
      <c r="AV106" s="157"/>
      <c r="AW106" s="157"/>
      <c r="AX106" s="157"/>
      <c r="AY106" s="157"/>
      <c r="AZ106" s="157"/>
      <c r="BA106" s="157"/>
      <c r="BB106" s="157"/>
      <c r="BC106" s="157"/>
      <c r="BD106" s="157"/>
      <c r="BE106" s="157"/>
      <c r="BF106" s="157"/>
      <c r="BG106" s="157"/>
      <c r="BH106" s="157"/>
      <c r="BI106" s="157"/>
      <c r="BJ106" s="157"/>
      <c r="BK106" s="157"/>
      <c r="BL106" s="157"/>
      <c r="BM106" s="157"/>
      <c r="BN106" s="157"/>
      <c r="BO106" s="157"/>
      <c r="BP106" s="157"/>
      <c r="BQ106" s="157"/>
      <c r="BR106" s="157"/>
      <c r="BS106" s="157"/>
      <c r="BT106" s="157"/>
      <c r="BU106" s="157"/>
      <c r="BV106" s="157"/>
      <c r="BW106" s="157"/>
      <c r="BX106" s="157"/>
      <c r="BY106" s="157"/>
      <c r="BZ106" s="157"/>
      <c r="CA106" s="157"/>
      <c r="CB106" s="157"/>
      <c r="CC106" s="157"/>
      <c r="CD106" s="157"/>
      <c r="CE106" s="157"/>
      <c r="CF106" s="157"/>
      <c r="CG106" s="157"/>
      <c r="CH106" s="157"/>
      <c r="CI106" s="157"/>
      <c r="CJ106" s="157"/>
      <c r="CK106" s="157"/>
      <c r="CL106" s="157"/>
      <c r="CM106" s="157"/>
      <c r="CN106" s="157"/>
      <c r="CO106" s="157"/>
      <c r="CP106" s="157"/>
      <c r="CQ106" s="157"/>
      <c r="CR106" s="157"/>
      <c r="CS106" s="157"/>
      <c r="CT106" s="157"/>
      <c r="CU106" s="157"/>
      <c r="CV106" s="157"/>
      <c r="CW106" s="157"/>
      <c r="CX106" s="157"/>
      <c r="CY106" s="157"/>
      <c r="CZ106" s="157"/>
      <c r="DA106" s="157"/>
      <c r="DB106" s="157"/>
      <c r="DC106" s="157"/>
      <c r="DD106" s="157"/>
      <c r="DE106" s="157"/>
      <c r="DF106" s="157"/>
      <c r="DG106" s="157"/>
      <c r="DH106" s="157"/>
      <c r="DI106" s="157"/>
      <c r="DJ106" s="157"/>
      <c r="DK106" s="157"/>
      <c r="DL106" s="157"/>
      <c r="DM106" s="157"/>
      <c r="DN106" s="157"/>
      <c r="DO106" s="157"/>
      <c r="DP106" s="157"/>
      <c r="DQ106" s="157"/>
      <c r="DR106" s="157"/>
      <c r="DS106" s="157"/>
      <c r="DT106" s="157"/>
      <c r="DU106" s="157"/>
      <c r="DV106" s="157"/>
      <c r="DW106" s="157"/>
      <c r="DX106" s="157"/>
      <c r="DY106" s="157"/>
      <c r="DZ106" s="157"/>
      <c r="EA106" s="157"/>
      <c r="EB106" s="157"/>
      <c r="EC106" s="157"/>
      <c r="ED106" s="157"/>
      <c r="EE106" s="157"/>
      <c r="EF106" s="157"/>
      <c r="EG106" s="157"/>
      <c r="EH106" s="157"/>
      <c r="EI106" s="157"/>
      <c r="EJ106" s="157"/>
      <c r="EK106" s="157"/>
      <c r="EL106" s="157"/>
      <c r="EM106" s="157"/>
      <c r="EN106" s="157"/>
      <c r="EO106" s="157"/>
      <c r="EP106" s="157"/>
      <c r="EQ106" s="157"/>
      <c r="ER106" s="157"/>
      <c r="ES106" s="157"/>
      <c r="ET106" s="157"/>
      <c r="EU106" s="157"/>
      <c r="EV106" s="157"/>
      <c r="EW106" s="157"/>
      <c r="EX106" s="157"/>
      <c r="EY106" s="157"/>
      <c r="EZ106" s="157"/>
      <c r="FA106" s="157"/>
      <c r="FB106" s="157"/>
      <c r="FC106" s="157"/>
      <c r="FD106" s="157"/>
      <c r="FE106" s="157"/>
      <c r="FF106" s="157"/>
      <c r="FG106" s="157"/>
      <c r="FH106" s="157"/>
      <c r="FI106" s="157"/>
      <c r="FJ106" s="157"/>
      <c r="FK106" s="157"/>
      <c r="FL106" s="157"/>
      <c r="FM106" s="157"/>
      <c r="FN106" s="157"/>
      <c r="FO106" s="157"/>
      <c r="FP106" s="157"/>
      <c r="FQ106" s="157"/>
      <c r="FR106" s="157"/>
      <c r="FS106" s="157"/>
      <c r="FT106" s="157"/>
      <c r="FU106" s="157"/>
      <c r="FV106" s="157"/>
      <c r="FW106" s="157"/>
      <c r="FX106" s="157"/>
      <c r="FY106" s="157"/>
      <c r="FZ106" s="157"/>
      <c r="GA106" s="157"/>
      <c r="GB106" s="157"/>
      <c r="GC106" s="157"/>
      <c r="GD106" s="157"/>
      <c r="GE106" s="157"/>
      <c r="GF106" s="157"/>
      <c r="GG106" s="157"/>
      <c r="GH106" s="157"/>
      <c r="GI106" s="157"/>
      <c r="GJ106" s="157"/>
      <c r="GK106" s="157"/>
      <c r="GL106" s="157"/>
      <c r="GM106" s="157"/>
      <c r="GN106" s="157"/>
      <c r="GO106" s="157"/>
      <c r="GP106" s="157"/>
      <c r="GQ106" s="157"/>
      <c r="GR106" s="157"/>
      <c r="GS106" s="157"/>
      <c r="GT106" s="157"/>
      <c r="GU106" s="157"/>
      <c r="GV106" s="157"/>
      <c r="GW106" s="157"/>
      <c r="GX106" s="157"/>
      <c r="GY106" s="157"/>
      <c r="GZ106" s="157"/>
      <c r="HA106" s="157"/>
      <c r="HB106" s="157"/>
      <c r="HC106" s="157"/>
      <c r="HD106" s="157"/>
      <c r="HE106" s="157"/>
      <c r="HF106" s="157"/>
      <c r="HG106" s="157"/>
      <c r="HH106" s="157"/>
      <c r="HI106" s="157"/>
      <c r="HJ106" s="157"/>
      <c r="HK106" s="157"/>
      <c r="HL106" s="157"/>
      <c r="HM106" s="157"/>
      <c r="HN106" s="157"/>
      <c r="HO106" s="157"/>
      <c r="HP106" s="157"/>
      <c r="HQ106" s="157"/>
      <c r="HR106" s="157"/>
      <c r="HS106" s="157"/>
      <c r="HT106" s="157"/>
      <c r="HU106" s="157"/>
      <c r="HV106" s="157"/>
      <c r="HW106" s="157"/>
      <c r="HX106" s="157"/>
      <c r="HY106" s="157"/>
      <c r="HZ106" s="157"/>
      <c r="IA106" s="157"/>
      <c r="IB106" s="157"/>
      <c r="IC106" s="157"/>
      <c r="ID106" s="157"/>
      <c r="IE106" s="157"/>
      <c r="IF106" s="157"/>
      <c r="IG106" s="157"/>
      <c r="IH106" s="157"/>
      <c r="II106" s="157"/>
      <c r="IJ106" s="157"/>
      <c r="IK106" s="157"/>
      <c r="IL106" s="157"/>
      <c r="IM106" s="157"/>
      <c r="IN106" s="157"/>
      <c r="IO106" s="157"/>
      <c r="IP106" s="157"/>
      <c r="IQ106" s="157"/>
      <c r="IR106" s="157"/>
      <c r="IS106" s="157"/>
      <c r="IT106" s="157"/>
      <c r="IU106" s="157"/>
      <c r="IV106" s="157"/>
    </row>
    <row r="107" spans="2:256" s="764" customFormat="1" ht="52" hidden="1" customHeight="1">
      <c r="B107" s="157"/>
      <c r="C107" s="157"/>
      <c r="D107" s="157"/>
      <c r="E107" s="157"/>
      <c r="F107" s="157"/>
      <c r="G107" s="157"/>
      <c r="H107" s="157"/>
      <c r="I107" s="157"/>
      <c r="J107" s="157"/>
      <c r="K107" s="157"/>
      <c r="L107" s="157"/>
      <c r="M107" s="157"/>
      <c r="N107" s="157"/>
      <c r="O107" s="157"/>
      <c r="P107" s="157"/>
      <c r="Q107" s="157"/>
      <c r="R107" s="157"/>
      <c r="S107" s="157"/>
      <c r="T107" s="157"/>
      <c r="U107" s="157"/>
      <c r="V107" s="157"/>
      <c r="W107" s="157"/>
      <c r="X107" s="157"/>
      <c r="Y107" s="157"/>
      <c r="Z107" s="157"/>
      <c r="AA107" s="157"/>
      <c r="AB107" s="157"/>
      <c r="AC107" s="157"/>
      <c r="AD107" s="157"/>
      <c r="AE107" s="157"/>
      <c r="AF107" s="157"/>
      <c r="AG107" s="157"/>
      <c r="AH107" s="157"/>
      <c r="AI107" s="157"/>
      <c r="AJ107" s="157"/>
      <c r="AK107" s="157"/>
      <c r="AL107" s="157"/>
      <c r="AM107" s="157"/>
      <c r="AN107" s="157"/>
      <c r="AO107" s="157"/>
      <c r="AP107" s="157"/>
      <c r="AQ107" s="157"/>
      <c r="AR107" s="157"/>
      <c r="AS107" s="157"/>
      <c r="AT107" s="157"/>
      <c r="AU107" s="157"/>
      <c r="AV107" s="157"/>
      <c r="AW107" s="157"/>
      <c r="AX107" s="157"/>
      <c r="AY107" s="157"/>
      <c r="AZ107" s="157"/>
      <c r="BA107" s="157"/>
      <c r="BB107" s="157"/>
      <c r="BC107" s="157"/>
      <c r="BD107" s="157"/>
      <c r="BE107" s="157"/>
      <c r="BF107" s="157"/>
      <c r="BG107" s="157"/>
      <c r="BH107" s="157"/>
      <c r="BI107" s="157"/>
      <c r="BJ107" s="157"/>
      <c r="BK107" s="157"/>
      <c r="BL107" s="157"/>
      <c r="BM107" s="157"/>
      <c r="BN107" s="157"/>
      <c r="BO107" s="157"/>
      <c r="BP107" s="157"/>
      <c r="BQ107" s="157"/>
      <c r="BR107" s="157"/>
      <c r="BS107" s="157"/>
      <c r="BT107" s="157"/>
      <c r="BU107" s="157"/>
      <c r="BV107" s="157"/>
      <c r="BW107" s="157"/>
      <c r="BX107" s="157"/>
      <c r="BY107" s="157"/>
      <c r="BZ107" s="157"/>
      <c r="CA107" s="157"/>
      <c r="CB107" s="157"/>
      <c r="CC107" s="157"/>
      <c r="CD107" s="157"/>
      <c r="CE107" s="157"/>
      <c r="CF107" s="157"/>
      <c r="CG107" s="157"/>
      <c r="CH107" s="157"/>
      <c r="CI107" s="157"/>
      <c r="CJ107" s="157"/>
      <c r="CK107" s="157"/>
      <c r="CL107" s="157"/>
      <c r="CM107" s="157"/>
      <c r="CN107" s="157"/>
      <c r="CO107" s="157"/>
      <c r="CP107" s="157"/>
      <c r="CQ107" s="157"/>
      <c r="CR107" s="157"/>
      <c r="CS107" s="157"/>
      <c r="CT107" s="157"/>
      <c r="CU107" s="157"/>
      <c r="CV107" s="157"/>
      <c r="CW107" s="157"/>
      <c r="CX107" s="157"/>
      <c r="CY107" s="157"/>
      <c r="CZ107" s="157"/>
      <c r="DA107" s="157"/>
      <c r="DB107" s="157"/>
      <c r="DC107" s="157"/>
      <c r="DD107" s="157"/>
      <c r="DE107" s="157"/>
      <c r="DF107" s="157"/>
      <c r="DG107" s="157"/>
      <c r="DH107" s="157"/>
      <c r="DI107" s="157"/>
      <c r="DJ107" s="157"/>
      <c r="DK107" s="157"/>
      <c r="DL107" s="157"/>
      <c r="DM107" s="157"/>
      <c r="DN107" s="157"/>
      <c r="DO107" s="157"/>
      <c r="DP107" s="157"/>
      <c r="DQ107" s="157"/>
      <c r="DR107" s="157"/>
      <c r="DS107" s="157"/>
      <c r="DT107" s="157"/>
      <c r="DU107" s="157"/>
      <c r="DV107" s="157"/>
      <c r="DW107" s="157"/>
      <c r="DX107" s="157"/>
      <c r="DY107" s="157"/>
      <c r="DZ107" s="157"/>
      <c r="EA107" s="157"/>
      <c r="EB107" s="157"/>
      <c r="EC107" s="157"/>
      <c r="ED107" s="157"/>
      <c r="EE107" s="157"/>
      <c r="EF107" s="157"/>
      <c r="EG107" s="157"/>
      <c r="EH107" s="157"/>
      <c r="EI107" s="157"/>
      <c r="EJ107" s="157"/>
      <c r="EK107" s="157"/>
      <c r="EL107" s="157"/>
      <c r="EM107" s="157"/>
      <c r="EN107" s="157"/>
      <c r="EO107" s="157"/>
      <c r="EP107" s="157"/>
      <c r="EQ107" s="157"/>
      <c r="ER107" s="157"/>
      <c r="ES107" s="157"/>
      <c r="ET107" s="157"/>
      <c r="EU107" s="157"/>
      <c r="EV107" s="157"/>
      <c r="EW107" s="157"/>
      <c r="EX107" s="157"/>
      <c r="EY107" s="157"/>
      <c r="EZ107" s="157"/>
      <c r="FA107" s="157"/>
      <c r="FB107" s="157"/>
      <c r="FC107" s="157"/>
      <c r="FD107" s="157"/>
      <c r="FE107" s="157"/>
      <c r="FF107" s="157"/>
      <c r="FG107" s="157"/>
      <c r="FH107" s="157"/>
      <c r="FI107" s="157"/>
      <c r="FJ107" s="157"/>
      <c r="FK107" s="157"/>
      <c r="FL107" s="157"/>
      <c r="FM107" s="157"/>
      <c r="FN107" s="157"/>
      <c r="FO107" s="157"/>
      <c r="FP107" s="157"/>
      <c r="FQ107" s="157"/>
      <c r="FR107" s="157"/>
      <c r="FS107" s="157"/>
      <c r="FT107" s="157"/>
      <c r="FU107" s="157"/>
      <c r="FV107" s="157"/>
      <c r="FW107" s="157"/>
      <c r="FX107" s="157"/>
      <c r="FY107" s="157"/>
      <c r="FZ107" s="157"/>
      <c r="GA107" s="157"/>
      <c r="GB107" s="157"/>
      <c r="GC107" s="157"/>
      <c r="GD107" s="157"/>
      <c r="GE107" s="157"/>
      <c r="GF107" s="157"/>
      <c r="GG107" s="157"/>
      <c r="GH107" s="157"/>
      <c r="GI107" s="157"/>
      <c r="GJ107" s="157"/>
      <c r="GK107" s="157"/>
      <c r="GL107" s="157"/>
      <c r="GM107" s="157"/>
      <c r="GN107" s="157"/>
      <c r="GO107" s="157"/>
      <c r="GP107" s="157"/>
      <c r="GQ107" s="157"/>
      <c r="GR107" s="157"/>
      <c r="GS107" s="157"/>
      <c r="GT107" s="157"/>
      <c r="GU107" s="157"/>
      <c r="GV107" s="157"/>
      <c r="GW107" s="157"/>
      <c r="GX107" s="157"/>
      <c r="GY107" s="157"/>
      <c r="GZ107" s="157"/>
      <c r="HA107" s="157"/>
      <c r="HB107" s="157"/>
      <c r="HC107" s="157"/>
      <c r="HD107" s="157"/>
      <c r="HE107" s="157"/>
      <c r="HF107" s="157"/>
      <c r="HG107" s="157"/>
      <c r="HH107" s="157"/>
      <c r="HI107" s="157"/>
      <c r="HJ107" s="157"/>
      <c r="HK107" s="157"/>
      <c r="HL107" s="157"/>
      <c r="HM107" s="157"/>
      <c r="HN107" s="157"/>
      <c r="HO107" s="157"/>
      <c r="HP107" s="157"/>
      <c r="HQ107" s="157"/>
      <c r="HR107" s="157"/>
      <c r="HS107" s="157"/>
      <c r="HT107" s="157"/>
      <c r="HU107" s="157"/>
      <c r="HV107" s="157"/>
      <c r="HW107" s="157"/>
      <c r="HX107" s="157"/>
      <c r="HY107" s="157"/>
      <c r="HZ107" s="157"/>
      <c r="IA107" s="157"/>
      <c r="IB107" s="157"/>
      <c r="IC107" s="157"/>
      <c r="ID107" s="157"/>
      <c r="IE107" s="157"/>
      <c r="IF107" s="157"/>
      <c r="IG107" s="157"/>
      <c r="IH107" s="157"/>
      <c r="II107" s="157"/>
      <c r="IJ107" s="157"/>
      <c r="IK107" s="157"/>
      <c r="IL107" s="157"/>
      <c r="IM107" s="157"/>
      <c r="IN107" s="157"/>
      <c r="IO107" s="157"/>
      <c r="IP107" s="157"/>
      <c r="IQ107" s="157"/>
      <c r="IR107" s="157"/>
      <c r="IS107" s="157"/>
      <c r="IT107" s="157"/>
      <c r="IU107" s="157"/>
      <c r="IV107" s="157"/>
    </row>
    <row r="108" spans="2:256" s="764" customFormat="1" ht="52" hidden="1" customHeight="1">
      <c r="B108" s="157"/>
      <c r="C108" s="157"/>
      <c r="D108" s="157"/>
      <c r="E108" s="157"/>
      <c r="F108" s="157"/>
      <c r="G108" s="157"/>
      <c r="H108" s="157"/>
      <c r="I108" s="157"/>
      <c r="J108" s="157"/>
      <c r="K108" s="157"/>
      <c r="L108" s="157"/>
      <c r="M108" s="157"/>
      <c r="N108" s="157"/>
      <c r="O108" s="157"/>
      <c r="P108" s="157"/>
      <c r="Q108" s="157"/>
      <c r="R108" s="157"/>
      <c r="S108" s="157"/>
      <c r="T108" s="157"/>
      <c r="U108" s="157"/>
      <c r="V108" s="157"/>
      <c r="W108" s="157"/>
      <c r="X108" s="157"/>
      <c r="Y108" s="157"/>
      <c r="Z108" s="157"/>
      <c r="AA108" s="157"/>
      <c r="AB108" s="157"/>
      <c r="AC108" s="157"/>
      <c r="AD108" s="157"/>
      <c r="AE108" s="157"/>
      <c r="AF108" s="157"/>
      <c r="AG108" s="157"/>
      <c r="AH108" s="157"/>
      <c r="AI108" s="157"/>
      <c r="AJ108" s="157"/>
      <c r="AK108" s="157"/>
      <c r="AL108" s="157"/>
      <c r="AM108" s="157"/>
      <c r="AN108" s="157"/>
      <c r="AO108" s="157"/>
      <c r="AP108" s="157"/>
      <c r="AQ108" s="157"/>
      <c r="AR108" s="157"/>
      <c r="AS108" s="157"/>
      <c r="AT108" s="157"/>
      <c r="AU108" s="157"/>
      <c r="AV108" s="157"/>
      <c r="AW108" s="157"/>
      <c r="AX108" s="157"/>
      <c r="AY108" s="157"/>
      <c r="AZ108" s="157"/>
      <c r="BA108" s="157"/>
      <c r="BB108" s="157"/>
      <c r="BC108" s="157"/>
      <c r="BD108" s="157"/>
      <c r="BE108" s="157"/>
      <c r="BF108" s="157"/>
      <c r="BG108" s="157"/>
      <c r="BH108" s="157"/>
      <c r="BI108" s="157"/>
      <c r="BJ108" s="157"/>
      <c r="BK108" s="157"/>
      <c r="BL108" s="157"/>
      <c r="BM108" s="157"/>
      <c r="BN108" s="157"/>
      <c r="BO108" s="157"/>
      <c r="BP108" s="157"/>
      <c r="BQ108" s="157"/>
      <c r="BR108" s="157"/>
      <c r="BS108" s="157"/>
      <c r="BT108" s="157"/>
      <c r="BU108" s="157"/>
      <c r="BV108" s="157"/>
      <c r="BW108" s="157"/>
      <c r="BX108" s="157"/>
      <c r="BY108" s="157"/>
      <c r="BZ108" s="157"/>
      <c r="CA108" s="157"/>
      <c r="CB108" s="157"/>
      <c r="CC108" s="157"/>
      <c r="CD108" s="157"/>
      <c r="CE108" s="157"/>
      <c r="CF108" s="157"/>
      <c r="CG108" s="157"/>
      <c r="CH108" s="157"/>
      <c r="CI108" s="157"/>
      <c r="CJ108" s="157"/>
      <c r="CK108" s="157"/>
      <c r="CL108" s="157"/>
      <c r="CM108" s="157"/>
      <c r="CN108" s="157"/>
      <c r="CO108" s="157"/>
      <c r="CP108" s="157"/>
      <c r="CQ108" s="157"/>
      <c r="CR108" s="157"/>
      <c r="CS108" s="157"/>
      <c r="CT108" s="157"/>
      <c r="CU108" s="157"/>
      <c r="CV108" s="157"/>
      <c r="CW108" s="157"/>
      <c r="CX108" s="157"/>
      <c r="CY108" s="157"/>
      <c r="CZ108" s="157"/>
      <c r="DA108" s="157"/>
      <c r="DB108" s="157"/>
      <c r="DC108" s="157"/>
      <c r="DD108" s="157"/>
      <c r="DE108" s="157"/>
      <c r="DF108" s="157"/>
      <c r="DG108" s="157"/>
      <c r="DH108" s="157"/>
      <c r="DI108" s="157"/>
      <c r="DJ108" s="157"/>
      <c r="DK108" s="157"/>
      <c r="DL108" s="157"/>
      <c r="DM108" s="157"/>
      <c r="DN108" s="157"/>
      <c r="DO108" s="157"/>
      <c r="DP108" s="157"/>
      <c r="DQ108" s="157"/>
      <c r="DR108" s="157"/>
      <c r="DS108" s="157"/>
      <c r="DT108" s="157"/>
      <c r="DU108" s="157"/>
      <c r="DV108" s="157"/>
      <c r="DW108" s="157"/>
      <c r="DX108" s="157"/>
      <c r="DY108" s="157"/>
      <c r="DZ108" s="157"/>
      <c r="EA108" s="157"/>
      <c r="EB108" s="157"/>
      <c r="EC108" s="157"/>
      <c r="ED108" s="157"/>
      <c r="EE108" s="157"/>
      <c r="EF108" s="157"/>
      <c r="EG108" s="157"/>
      <c r="EH108" s="157"/>
      <c r="EI108" s="157"/>
      <c r="EJ108" s="157"/>
      <c r="EK108" s="157"/>
      <c r="EL108" s="157"/>
      <c r="EM108" s="157"/>
      <c r="EN108" s="157"/>
      <c r="EO108" s="157"/>
      <c r="EP108" s="157"/>
      <c r="EQ108" s="157"/>
      <c r="ER108" s="157"/>
      <c r="ES108" s="157"/>
      <c r="ET108" s="157"/>
      <c r="EU108" s="157"/>
      <c r="EV108" s="157"/>
      <c r="EW108" s="157"/>
      <c r="EX108" s="157"/>
      <c r="EY108" s="157"/>
      <c r="EZ108" s="157"/>
      <c r="FA108" s="157"/>
      <c r="FB108" s="157"/>
      <c r="FC108" s="157"/>
      <c r="FD108" s="157"/>
      <c r="FE108" s="157"/>
      <c r="FF108" s="157"/>
      <c r="FG108" s="157"/>
      <c r="FH108" s="157"/>
      <c r="FI108" s="157"/>
      <c r="FJ108" s="157"/>
      <c r="FK108" s="157"/>
      <c r="FL108" s="157"/>
      <c r="FM108" s="157"/>
      <c r="FN108" s="157"/>
      <c r="FO108" s="157"/>
      <c r="FP108" s="157"/>
      <c r="FQ108" s="157"/>
      <c r="FR108" s="157"/>
      <c r="FS108" s="157"/>
      <c r="FT108" s="157"/>
      <c r="FU108" s="157"/>
      <c r="FV108" s="157"/>
      <c r="FW108" s="157"/>
      <c r="FX108" s="157"/>
      <c r="FY108" s="157"/>
      <c r="FZ108" s="157"/>
      <c r="GA108" s="157"/>
      <c r="GB108" s="157"/>
      <c r="GC108" s="157"/>
      <c r="GD108" s="157"/>
      <c r="GE108" s="157"/>
      <c r="GF108" s="157"/>
      <c r="GG108" s="157"/>
      <c r="GH108" s="157"/>
      <c r="GI108" s="157"/>
      <c r="GJ108" s="157"/>
      <c r="GK108" s="157"/>
      <c r="GL108" s="157"/>
      <c r="GM108" s="157"/>
      <c r="GN108" s="157"/>
      <c r="GO108" s="157"/>
      <c r="GP108" s="157"/>
      <c r="GQ108" s="157"/>
      <c r="GR108" s="157"/>
      <c r="GS108" s="157"/>
      <c r="GT108" s="157"/>
      <c r="GU108" s="157"/>
      <c r="GV108" s="157"/>
      <c r="GW108" s="157"/>
      <c r="GX108" s="157"/>
      <c r="GY108" s="157"/>
      <c r="GZ108" s="157"/>
      <c r="HA108" s="157"/>
      <c r="HB108" s="157"/>
      <c r="HC108" s="157"/>
      <c r="HD108" s="157"/>
      <c r="HE108" s="157"/>
      <c r="HF108" s="157"/>
      <c r="HG108" s="157"/>
      <c r="HH108" s="157"/>
      <c r="HI108" s="157"/>
      <c r="HJ108" s="157"/>
      <c r="HK108" s="157"/>
      <c r="HL108" s="157"/>
      <c r="HM108" s="157"/>
      <c r="HN108" s="157"/>
      <c r="HO108" s="157"/>
      <c r="HP108" s="157"/>
      <c r="HQ108" s="157"/>
      <c r="HR108" s="157"/>
      <c r="HS108" s="157"/>
      <c r="HT108" s="157"/>
      <c r="HU108" s="157"/>
      <c r="HV108" s="157"/>
      <c r="HW108" s="157"/>
      <c r="HX108" s="157"/>
      <c r="HY108" s="157"/>
      <c r="HZ108" s="157"/>
      <c r="IA108" s="157"/>
      <c r="IB108" s="157"/>
      <c r="IC108" s="157"/>
      <c r="ID108" s="157"/>
      <c r="IE108" s="157"/>
      <c r="IF108" s="157"/>
      <c r="IG108" s="157"/>
      <c r="IH108" s="157"/>
      <c r="II108" s="157"/>
      <c r="IJ108" s="157"/>
      <c r="IK108" s="157"/>
      <c r="IL108" s="157"/>
      <c r="IM108" s="157"/>
      <c r="IN108" s="157"/>
      <c r="IO108" s="157"/>
      <c r="IP108" s="157"/>
      <c r="IQ108" s="157"/>
      <c r="IR108" s="157"/>
      <c r="IS108" s="157"/>
      <c r="IT108" s="157"/>
      <c r="IU108" s="157"/>
      <c r="IV108" s="157"/>
    </row>
    <row r="112" spans="2:256" ht="52" customHeight="1"/>
    <row r="113" ht="52" customHeight="1"/>
    <row r="114" ht="52" customHeight="1"/>
    <row r="115" ht="52" customHeight="1"/>
  </sheetData>
  <sheetProtection algorithmName="SHA-512" hashValue="y3t3UuowxZZ5/NnRid11feGMU2k0A7YOQfzTQdoU8Y0cpDxGX+luE0T49jdydb+fLAIusp1gdQPYUhy2LOA+Fg==" saltValue="LYcibNQ6HEo0pSWFXy7rJw==" spinCount="100000" sheet="1" objects="1" scenarios="1"/>
  <mergeCells count="79">
    <mergeCell ref="B87:L87"/>
    <mergeCell ref="D92:F92"/>
    <mergeCell ref="G92:I92"/>
    <mergeCell ref="B29:L29"/>
    <mergeCell ref="B31:L31"/>
    <mergeCell ref="B32:L32"/>
    <mergeCell ref="B33:L33"/>
    <mergeCell ref="B34:L34"/>
    <mergeCell ref="B36:L36"/>
    <mergeCell ref="B63:G63"/>
    <mergeCell ref="A67:L67"/>
    <mergeCell ref="B69:L69"/>
    <mergeCell ref="B70:L70"/>
    <mergeCell ref="A44:L44"/>
    <mergeCell ref="B45:L45"/>
    <mergeCell ref="B46:L46"/>
    <mergeCell ref="B5:L5"/>
    <mergeCell ref="B7:L7"/>
    <mergeCell ref="B9:L9"/>
    <mergeCell ref="B11:L11"/>
    <mergeCell ref="B12:L12"/>
    <mergeCell ref="B61:G61"/>
    <mergeCell ref="B62:K62"/>
    <mergeCell ref="B28:L28"/>
    <mergeCell ref="B35:L35"/>
    <mergeCell ref="B17:L17"/>
    <mergeCell ref="B21:L21"/>
    <mergeCell ref="B16:L16"/>
    <mergeCell ref="B19:I19"/>
    <mergeCell ref="B20:G20"/>
    <mergeCell ref="B13:L13"/>
    <mergeCell ref="GT2:HC2"/>
    <mergeCell ref="EL2:EU2"/>
    <mergeCell ref="EV2:FE2"/>
    <mergeCell ref="FF2:FO2"/>
    <mergeCell ref="FP2:FY2"/>
    <mergeCell ref="FZ2:GI2"/>
    <mergeCell ref="GJ2:GS2"/>
    <mergeCell ref="CD2:CM2"/>
    <mergeCell ref="CN2:CW2"/>
    <mergeCell ref="CX2:DG2"/>
    <mergeCell ref="DH2:DQ2"/>
    <mergeCell ref="DR2:EA2"/>
    <mergeCell ref="HD2:HM2"/>
    <mergeCell ref="HN2:HW2"/>
    <mergeCell ref="HX2:IG2"/>
    <mergeCell ref="IH2:IQ2"/>
    <mergeCell ref="IR2:IV2"/>
    <mergeCell ref="EB2:EK2"/>
    <mergeCell ref="V2:AE2"/>
    <mergeCell ref="AF2:AO2"/>
    <mergeCell ref="AP2:AY2"/>
    <mergeCell ref="AZ2:BI2"/>
    <mergeCell ref="BJ2:BS2"/>
    <mergeCell ref="BT2:CC2"/>
    <mergeCell ref="IR1:IV1"/>
    <mergeCell ref="EL1:EU1"/>
    <mergeCell ref="EV1:FE1"/>
    <mergeCell ref="FF1:FO1"/>
    <mergeCell ref="FP1:FY1"/>
    <mergeCell ref="FZ1:GI1"/>
    <mergeCell ref="GJ1:GS1"/>
    <mergeCell ref="GT1:HC1"/>
    <mergeCell ref="HD1:HM1"/>
    <mergeCell ref="HN1:HW1"/>
    <mergeCell ref="HX1:IG1"/>
    <mergeCell ref="IH1:IQ1"/>
    <mergeCell ref="EB1:EK1"/>
    <mergeCell ref="V1:AE1"/>
    <mergeCell ref="AF1:AO1"/>
    <mergeCell ref="AP1:AY1"/>
    <mergeCell ref="AZ1:BI1"/>
    <mergeCell ref="BJ1:BS1"/>
    <mergeCell ref="BT1:CC1"/>
    <mergeCell ref="CD1:CM1"/>
    <mergeCell ref="CN1:CW1"/>
    <mergeCell ref="CX1:DG1"/>
    <mergeCell ref="DH1:DQ1"/>
    <mergeCell ref="DR1:EA1"/>
  </mergeCells>
  <conditionalFormatting sqref="A1:L1">
    <cfRule type="cellIs" dxfId="93" priority="1" stopIfTrue="1" operator="equal">
      <formula>"Missing Info"</formula>
    </cfRule>
  </conditionalFormatting>
  <hyperlinks>
    <hyperlink ref="B6" r:id="rId1" xr:uid="{8482EB44-2806-4D31-B150-2EDA01FE3B99}"/>
    <hyperlink ref="B15" r:id="rId2" xr:uid="{4066108F-742A-4B7D-8F79-E4931550F832}"/>
    <hyperlink ref="D78" r:id="rId3" display="http://www.pseglinyportal.com/" xr:uid="{2E9841F8-3B60-4859-8A9A-5D68549323B1}"/>
    <hyperlink ref="D79" r:id="rId4" display="mailto:psegpartnersupport@trccompanies.com" xr:uid="{A661D817-08AB-41A6-A6B9-E29B54539D78}"/>
  </hyperlinks>
  <pageMargins left="0" right="0" top="0.25" bottom="0.25" header="0.3" footer="0.3"/>
  <pageSetup scale="50" fitToHeight="4" orientation="portrait" r:id="rId5"/>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colBreaks count="1" manualBreakCount="1">
    <brk id="12" max="1048575" man="1"/>
  </colBreaks>
  <drawing r:id="rId6"/>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0450B4-040F-4018-92C3-5296CACB519C}">
  <sheetPr codeName="Sheet34">
    <tabColor rgb="FF142C41"/>
  </sheetPr>
  <dimension ref="A1:AJ315"/>
  <sheetViews>
    <sheetView showGridLines="0" zoomScaleNormal="100" workbookViewId="0"/>
  </sheetViews>
  <sheetFormatPr defaultColWidth="0" defaultRowHeight="14.5"/>
  <cols>
    <col min="1" max="1" width="3.54296875" style="42" customWidth="1"/>
    <col min="2" max="3" width="8.7265625" style="42" customWidth="1"/>
    <col min="4" max="4" width="8.26953125" style="42" customWidth="1"/>
    <col min="5" max="5" width="11.453125" style="42" customWidth="1"/>
    <col min="6" max="6" width="32.81640625" style="42" customWidth="1"/>
    <col min="7" max="7" width="20.7265625" style="42" customWidth="1"/>
    <col min="8" max="8" width="16.81640625" style="42" customWidth="1"/>
    <col min="9" max="9" width="17.453125" style="42" customWidth="1"/>
    <col min="10" max="10" width="11.26953125" style="42" customWidth="1"/>
    <col min="11" max="11" width="19.81640625" style="42" customWidth="1"/>
    <col min="12" max="12" width="4.54296875" style="42" customWidth="1"/>
    <col min="13" max="13" width="19.1796875" style="42" customWidth="1"/>
    <col min="14" max="14" width="13.26953125" style="42" customWidth="1"/>
    <col min="15" max="15" width="4.54296875" style="42" customWidth="1"/>
    <col min="16" max="16" width="10" style="42" customWidth="1"/>
    <col min="17" max="17" width="12.54296875" style="42" customWidth="1"/>
    <col min="18" max="18" width="11.1796875" style="42" customWidth="1"/>
    <col min="19" max="19" width="6.81640625" style="42" customWidth="1"/>
    <col min="20" max="20" width="11.1796875" style="42" customWidth="1"/>
    <col min="21" max="21" width="10.54296875" style="42" customWidth="1"/>
    <col min="22" max="22" width="6" style="42" customWidth="1"/>
    <col min="23" max="23" width="4.54296875" style="172" customWidth="1"/>
    <col min="24" max="24" width="10.54296875" style="172" customWidth="1"/>
    <col min="25" max="25" width="4.54296875" style="172" customWidth="1"/>
    <col min="26" max="26" width="10.54296875" style="172" customWidth="1"/>
    <col min="27" max="27" width="4.54296875" style="172" customWidth="1"/>
    <col min="28" max="28" width="10.54296875" style="172" hidden="1" customWidth="1"/>
    <col min="29" max="29" width="4.54296875" style="172" hidden="1" customWidth="1"/>
    <col min="30" max="30" width="11.54296875" style="172" hidden="1" customWidth="1"/>
    <col min="31" max="31" width="8.7265625" style="172" hidden="1" customWidth="1"/>
    <col min="32" max="16384" width="8.7265625" style="42" hidden="1"/>
  </cols>
  <sheetData>
    <row r="1" spans="1:31" s="1895" customFormat="1" ht="49" customHeight="1">
      <c r="A1" s="1891"/>
      <c r="B1" s="1891" t="str">
        <f>Development!$A$3&amp;" Multi-Family Program Eligibility Table"</f>
        <v>2024 Multi-Family Program Eligibility Table</v>
      </c>
      <c r="C1" s="1892"/>
      <c r="D1" s="1892"/>
      <c r="E1" s="1892"/>
      <c r="F1" s="1892"/>
      <c r="G1" s="1892"/>
      <c r="H1" s="1892"/>
      <c r="I1" s="1892"/>
      <c r="J1" s="1892"/>
      <c r="K1" s="1892"/>
      <c r="L1" s="1892"/>
      <c r="M1" s="1892"/>
      <c r="N1" s="1892"/>
      <c r="W1" s="1947"/>
      <c r="X1" s="1947"/>
      <c r="Y1" s="1947"/>
      <c r="Z1" s="1947"/>
      <c r="AA1" s="1947"/>
      <c r="AB1" s="1947"/>
      <c r="AC1" s="1947"/>
      <c r="AD1" s="1947"/>
      <c r="AE1" s="1947"/>
    </row>
    <row r="2" spans="1:31" s="1895" customFormat="1" ht="50.5" customHeight="1" thickBot="1">
      <c r="A2" s="1893"/>
      <c r="B2" s="1894" t="str">
        <f>'Customer Information'!A2</f>
        <v>Multi-Family 
Rebate Application, Version 2.0</v>
      </c>
      <c r="C2" s="1892"/>
      <c r="D2" s="1892"/>
      <c r="E2" s="1892"/>
      <c r="F2" s="1892"/>
      <c r="G2" s="1892"/>
      <c r="H2" s="1892"/>
      <c r="I2" s="1892"/>
      <c r="J2" s="1892"/>
      <c r="K2" s="1892"/>
      <c r="L2" s="1892"/>
      <c r="M2" s="1892"/>
      <c r="N2" s="1892"/>
      <c r="W2" s="1947"/>
      <c r="X2" s="1947"/>
      <c r="Y2" s="1947"/>
      <c r="Z2" s="1947"/>
      <c r="AA2" s="1947"/>
      <c r="AB2" s="1947"/>
      <c r="AC2" s="1947"/>
      <c r="AD2" s="1947"/>
      <c r="AE2" s="1947"/>
    </row>
    <row r="3" spans="1:31" ht="28" customHeight="1" thickTop="1">
      <c r="A3" s="1073"/>
      <c r="B3" s="1073"/>
      <c r="C3" s="1073"/>
      <c r="D3" s="1073"/>
      <c r="E3" s="1073"/>
      <c r="F3" s="1073"/>
      <c r="G3" s="1073"/>
      <c r="H3" s="1073"/>
      <c r="I3" s="1073"/>
      <c r="J3" s="1073"/>
      <c r="K3" s="1073"/>
      <c r="L3" s="1073"/>
      <c r="M3" s="1073"/>
      <c r="N3" s="1073"/>
      <c r="O3" s="1073"/>
      <c r="P3" s="1073"/>
      <c r="Q3" s="1073"/>
      <c r="R3" s="1073"/>
      <c r="S3" s="1073"/>
      <c r="T3" s="1073"/>
      <c r="U3" s="1073"/>
      <c r="V3" s="1073"/>
      <c r="W3" s="1537"/>
      <c r="X3" s="1537"/>
      <c r="Y3" s="1537"/>
      <c r="Z3" s="1537"/>
      <c r="AA3" s="1537"/>
      <c r="AB3" s="1537"/>
      <c r="AC3" s="1537"/>
      <c r="AD3" s="1537"/>
      <c r="AE3" s="1537"/>
    </row>
    <row r="4" spans="1:31" ht="23.15" customHeight="1">
      <c r="B4" s="2228" t="s">
        <v>5652</v>
      </c>
      <c r="C4" s="2228"/>
      <c r="D4" s="2228"/>
      <c r="E4" s="2228"/>
      <c r="F4" s="2228"/>
      <c r="G4" s="2228"/>
      <c r="H4" s="2228"/>
      <c r="I4" s="2228"/>
      <c r="J4" s="2228"/>
      <c r="K4" s="2228"/>
      <c r="L4" s="2228"/>
      <c r="M4" s="2228"/>
      <c r="N4" s="2228"/>
      <c r="O4" s="2228"/>
      <c r="P4" s="2228"/>
      <c r="Q4" s="2228"/>
      <c r="R4" s="2228"/>
      <c r="S4" s="2228"/>
      <c r="T4" s="2228"/>
      <c r="U4" s="2228"/>
      <c r="V4" s="2228"/>
      <c r="W4" s="2228"/>
      <c r="X4" s="2228"/>
      <c r="Y4" s="2228"/>
      <c r="Z4" s="2228"/>
      <c r="AA4" s="2228"/>
      <c r="AB4" s="2228"/>
      <c r="AC4" s="2228"/>
      <c r="AD4" s="2228"/>
    </row>
    <row r="5" spans="1:31" ht="23.15" customHeight="1" thickBot="1">
      <c r="A5" s="198"/>
      <c r="W5" s="42"/>
      <c r="X5" s="42"/>
      <c r="Y5" s="359"/>
      <c r="Z5" s="359"/>
      <c r="AA5" s="359"/>
      <c r="AB5" s="359"/>
      <c r="AC5" s="359"/>
    </row>
    <row r="6" spans="1:31" ht="23.15" customHeight="1" thickBot="1">
      <c r="A6" s="198"/>
      <c r="C6" s="2205" t="s">
        <v>5651</v>
      </c>
      <c r="D6" s="2206"/>
      <c r="E6" s="2206"/>
      <c r="F6" s="2206"/>
      <c r="G6" s="2206"/>
      <c r="H6" s="2206"/>
      <c r="I6" s="2206"/>
      <c r="J6" s="2206"/>
      <c r="K6" s="2206"/>
      <c r="L6" s="2206"/>
      <c r="M6" s="2206"/>
      <c r="N6" s="2206"/>
      <c r="O6" s="2206"/>
      <c r="P6" s="2206"/>
      <c r="Q6" s="2206"/>
      <c r="R6" s="2206"/>
      <c r="S6" s="2207"/>
    </row>
    <row r="7" spans="1:31" ht="23.15" customHeight="1" thickBot="1">
      <c r="A7" s="198"/>
      <c r="C7" s="2252" t="s">
        <v>5563</v>
      </c>
      <c r="D7" s="2245"/>
      <c r="E7" s="2245"/>
      <c r="F7" s="2245"/>
      <c r="G7" s="2245" t="s">
        <v>5564</v>
      </c>
      <c r="H7" s="2245"/>
      <c r="I7" s="2245"/>
      <c r="J7" s="2245" t="s">
        <v>5687</v>
      </c>
      <c r="K7" s="2245"/>
      <c r="L7" s="2245"/>
      <c r="M7" s="2245"/>
      <c r="N7" s="2255"/>
      <c r="O7" s="2245" t="s">
        <v>5566</v>
      </c>
      <c r="P7" s="2245"/>
      <c r="Q7" s="2245"/>
      <c r="R7" s="2245"/>
      <c r="S7" s="2255"/>
    </row>
    <row r="8" spans="1:31" ht="23.15" customHeight="1">
      <c r="A8" s="198"/>
      <c r="C8" s="2253" t="s">
        <v>605</v>
      </c>
      <c r="D8" s="2254"/>
      <c r="E8" s="2254"/>
      <c r="F8" s="2254"/>
      <c r="G8" s="2254" t="s">
        <v>5565</v>
      </c>
      <c r="H8" s="2254"/>
      <c r="I8" s="2254"/>
      <c r="J8" s="2256" t="s">
        <v>5565</v>
      </c>
      <c r="K8" s="2256"/>
      <c r="L8" s="2256"/>
      <c r="M8" s="2256"/>
      <c r="N8" s="2256"/>
      <c r="O8" s="2256">
        <v>100000</v>
      </c>
      <c r="P8" s="2256"/>
      <c r="Q8" s="2256"/>
      <c r="R8" s="2256"/>
      <c r="S8" s="2259"/>
    </row>
    <row r="9" spans="1:31" ht="23.15" customHeight="1">
      <c r="A9" s="198"/>
      <c r="C9" s="2253" t="s">
        <v>4203</v>
      </c>
      <c r="D9" s="2254"/>
      <c r="E9" s="2254"/>
      <c r="F9" s="2254"/>
      <c r="G9" s="2254" t="s">
        <v>5679</v>
      </c>
      <c r="H9" s="2254"/>
      <c r="I9" s="2254"/>
      <c r="J9" s="2256" t="s">
        <v>5710</v>
      </c>
      <c r="K9" s="2256"/>
      <c r="L9" s="2256"/>
      <c r="M9" s="2256"/>
      <c r="N9" s="2256"/>
      <c r="O9" s="2256">
        <v>200000</v>
      </c>
      <c r="P9" s="2256"/>
      <c r="Q9" s="2256"/>
      <c r="R9" s="2256"/>
      <c r="S9" s="2259"/>
    </row>
    <row r="10" spans="1:31" ht="23.15" customHeight="1" thickBot="1">
      <c r="A10" s="198"/>
      <c r="C10" s="2266" t="s">
        <v>5711</v>
      </c>
      <c r="D10" s="2267"/>
      <c r="E10" s="2267"/>
      <c r="F10" s="2267"/>
      <c r="G10" s="2267" t="s">
        <v>5712</v>
      </c>
      <c r="H10" s="2267"/>
      <c r="I10" s="2267"/>
      <c r="J10" s="2268" t="s">
        <v>5713</v>
      </c>
      <c r="K10" s="2268"/>
      <c r="L10" s="2268"/>
      <c r="M10" s="2268"/>
      <c r="N10" s="2268"/>
      <c r="O10" s="2268">
        <v>200000</v>
      </c>
      <c r="P10" s="2268"/>
      <c r="Q10" s="2268"/>
      <c r="R10" s="2268"/>
      <c r="S10" s="2269"/>
    </row>
    <row r="11" spans="1:31" ht="20.149999999999999" customHeight="1">
      <c r="A11" s="198"/>
      <c r="C11" s="2258" t="s">
        <v>5689</v>
      </c>
      <c r="D11" s="2258"/>
      <c r="E11" s="2258"/>
      <c r="F11" s="2258"/>
      <c r="G11" s="2258"/>
      <c r="H11" s="2258"/>
      <c r="I11" s="2258"/>
      <c r="J11" s="2258"/>
      <c r="K11" s="2258"/>
      <c r="L11" s="2258"/>
      <c r="M11" s="2258"/>
      <c r="N11" s="2258"/>
      <c r="O11" s="2258"/>
      <c r="P11" s="2258"/>
      <c r="Q11" s="2258"/>
      <c r="R11" s="2258"/>
      <c r="S11" s="2258"/>
    </row>
    <row r="12" spans="1:31" ht="17.149999999999999" customHeight="1">
      <c r="B12" s="2088"/>
      <c r="C12" s="2088" t="s">
        <v>5690</v>
      </c>
      <c r="D12" s="2089"/>
      <c r="E12" s="2089"/>
      <c r="F12" s="2089"/>
      <c r="G12" s="2089"/>
      <c r="H12" s="2089"/>
      <c r="I12" s="2089"/>
      <c r="J12" s="2089"/>
      <c r="K12" s="2089"/>
      <c r="L12" s="2089"/>
      <c r="M12" s="2089"/>
      <c r="N12" s="2089"/>
      <c r="O12" s="2089"/>
      <c r="P12" s="1551"/>
      <c r="W12" s="42"/>
      <c r="X12" s="42"/>
      <c r="Y12" s="42"/>
      <c r="Z12" s="42"/>
      <c r="AA12" s="42"/>
      <c r="AB12" s="42"/>
      <c r="AC12" s="42"/>
      <c r="AD12" s="42"/>
      <c r="AE12" s="42"/>
    </row>
    <row r="13" spans="1:31" customFormat="1">
      <c r="B13" s="2087"/>
      <c r="C13" s="2093" t="s">
        <v>5706</v>
      </c>
      <c r="D13" s="2094"/>
      <c r="E13" s="2094"/>
      <c r="F13" s="2094"/>
      <c r="G13" s="2094"/>
      <c r="H13" s="2094"/>
      <c r="I13" s="1"/>
    </row>
    <row r="14" spans="1:31" customFormat="1">
      <c r="B14" s="2087"/>
      <c r="C14" s="2087" t="s">
        <v>5726</v>
      </c>
      <c r="D14" s="1"/>
      <c r="E14" s="1"/>
      <c r="F14" s="1"/>
      <c r="G14" s="1"/>
      <c r="H14" s="1"/>
      <c r="I14" s="1"/>
    </row>
    <row r="15" spans="1:31" customFormat="1">
      <c r="B15" s="2087"/>
      <c r="C15" s="2087" t="s">
        <v>5688</v>
      </c>
      <c r="D15" s="1"/>
      <c r="E15" s="1"/>
      <c r="F15" s="1"/>
      <c r="G15" s="1"/>
      <c r="H15" s="1"/>
      <c r="I15" s="1"/>
    </row>
    <row r="16" spans="1:31" ht="23.15" customHeight="1" thickBot="1">
      <c r="A16" s="198"/>
      <c r="C16" s="2024"/>
      <c r="D16" s="2024"/>
      <c r="E16" s="2024"/>
      <c r="F16" s="2024"/>
      <c r="G16" s="2024"/>
      <c r="H16" s="2024"/>
      <c r="I16" s="2024"/>
      <c r="J16" s="2027"/>
      <c r="K16" s="2027"/>
      <c r="L16" s="2027"/>
      <c r="M16" s="2027"/>
      <c r="N16" s="2027"/>
    </row>
    <row r="17" spans="1:31" ht="23.25" customHeight="1">
      <c r="A17" s="198"/>
      <c r="C17" s="2211" t="s">
        <v>5641</v>
      </c>
      <c r="D17" s="2212"/>
      <c r="E17" s="2212"/>
      <c r="F17" s="2212"/>
      <c r="G17" s="2212"/>
      <c r="H17" s="2212"/>
      <c r="I17" s="2213"/>
      <c r="J17" s="2027"/>
      <c r="K17" s="2027"/>
      <c r="L17" s="2027"/>
      <c r="M17" s="2027"/>
      <c r="N17" s="2027"/>
    </row>
    <row r="18" spans="1:31" ht="23.15" customHeight="1">
      <c r="A18" s="198"/>
      <c r="C18" s="2214" t="s">
        <v>1776</v>
      </c>
      <c r="D18" s="2215"/>
      <c r="E18" s="2215"/>
      <c r="F18" s="2215"/>
      <c r="G18" s="2215" t="s">
        <v>3737</v>
      </c>
      <c r="H18" s="2215"/>
      <c r="I18" s="2216"/>
      <c r="J18" s="2027"/>
      <c r="K18" s="2027"/>
      <c r="L18" s="2027"/>
      <c r="M18" s="2027"/>
      <c r="N18" s="2027"/>
    </row>
    <row r="19" spans="1:31" ht="23.15" customHeight="1">
      <c r="A19" s="198"/>
      <c r="C19" s="2217" t="s">
        <v>5643</v>
      </c>
      <c r="D19" s="2218"/>
      <c r="E19" s="2218"/>
      <c r="F19" s="2218"/>
      <c r="G19" s="2218" t="s">
        <v>5574</v>
      </c>
      <c r="H19" s="2218"/>
      <c r="I19" s="2221"/>
      <c r="J19" s="2027"/>
      <c r="K19" s="2027"/>
      <c r="L19" s="2027"/>
      <c r="M19" s="2027"/>
      <c r="N19" s="2027"/>
    </row>
    <row r="20" spans="1:31" ht="23.15" customHeight="1" thickBot="1">
      <c r="A20" s="198"/>
      <c r="C20" s="2219" t="s">
        <v>5644</v>
      </c>
      <c r="D20" s="2220"/>
      <c r="E20" s="2220"/>
      <c r="F20" s="2220"/>
      <c r="G20" s="2220"/>
      <c r="H20" s="2220"/>
      <c r="I20" s="2222"/>
      <c r="J20" s="2027"/>
      <c r="K20" s="2027"/>
      <c r="L20" s="2027"/>
      <c r="M20" s="2027"/>
      <c r="N20" s="2027"/>
    </row>
    <row r="21" spans="1:31" ht="23.15" customHeight="1">
      <c r="A21" s="198"/>
      <c r="C21" s="2257" t="s">
        <v>5642</v>
      </c>
      <c r="D21" s="2257"/>
      <c r="E21" s="2257"/>
      <c r="F21" s="2257"/>
      <c r="G21" s="2257"/>
      <c r="H21" s="2257"/>
      <c r="I21" s="2257"/>
      <c r="J21" s="2257"/>
      <c r="K21" s="2257"/>
      <c r="L21" s="2257"/>
      <c r="M21" s="2257"/>
    </row>
    <row r="22" spans="1:31" ht="23.15" customHeight="1">
      <c r="A22" s="198"/>
      <c r="C22" s="2024"/>
      <c r="D22" s="2024"/>
      <c r="E22" s="2024"/>
      <c r="F22" s="2024"/>
      <c r="G22" s="2024"/>
      <c r="H22" s="2024"/>
      <c r="I22" s="2024"/>
      <c r="J22" s="2024"/>
      <c r="K22" s="2024"/>
    </row>
    <row r="23" spans="1:31" ht="49.5" customHeight="1">
      <c r="A23" s="198"/>
      <c r="C23" s="2215" t="s">
        <v>1776</v>
      </c>
      <c r="D23" s="2215"/>
      <c r="E23" s="2215"/>
      <c r="F23" s="2028" t="s">
        <v>5563</v>
      </c>
      <c r="G23" s="2209" t="s">
        <v>5587</v>
      </c>
      <c r="H23" s="2209"/>
      <c r="I23" s="2209"/>
      <c r="J23" s="2209"/>
      <c r="K23" s="2209" t="s">
        <v>5573</v>
      </c>
      <c r="L23" s="2209"/>
      <c r="M23" s="2209"/>
      <c r="N23" s="2209" t="s">
        <v>5569</v>
      </c>
      <c r="O23" s="2209"/>
      <c r="P23" s="2209"/>
      <c r="Q23" s="2209"/>
      <c r="R23" s="2209"/>
      <c r="S23" s="172"/>
      <c r="T23" s="172"/>
      <c r="U23" s="172"/>
      <c r="V23" s="172"/>
      <c r="AB23" s="42"/>
      <c r="AC23" s="42"/>
      <c r="AD23" s="42"/>
      <c r="AE23" s="42"/>
    </row>
    <row r="24" spans="1:31" ht="40.5" customHeight="1">
      <c r="A24" s="198"/>
      <c r="C24" s="2281" t="s">
        <v>5567</v>
      </c>
      <c r="D24" s="2281"/>
      <c r="E24" s="2281"/>
      <c r="F24" s="2303" t="s">
        <v>1345</v>
      </c>
      <c r="G24" s="2223"/>
      <c r="H24" s="2223"/>
      <c r="I24" s="2223"/>
      <c r="J24" s="2223"/>
      <c r="K24" s="2210"/>
      <c r="L24" s="2210"/>
      <c r="M24" s="2210"/>
      <c r="N24" s="2285" t="str">
        <f>IF($F$24="Select…","",MIN(IF($F$24="New Construction",K24*References!$F$101,IF(References!$K$101=TRUE,K24*References!$G$102,K24*References!$F$102)),G24*References!$I$101))</f>
        <v/>
      </c>
      <c r="O24" s="2285"/>
      <c r="P24" s="2285"/>
      <c r="Q24" s="2285"/>
      <c r="R24" s="2285"/>
      <c r="S24" s="172"/>
      <c r="T24" s="172"/>
      <c r="U24" s="172"/>
      <c r="V24" s="172"/>
      <c r="AB24" s="42"/>
      <c r="AC24" s="42"/>
      <c r="AD24" s="42"/>
      <c r="AE24" s="42"/>
    </row>
    <row r="25" spans="1:31" ht="42" customHeight="1">
      <c r="A25" s="198"/>
      <c r="C25" s="2281" t="s">
        <v>5568</v>
      </c>
      <c r="D25" s="2281"/>
      <c r="E25" s="2281"/>
      <c r="F25" s="2304"/>
      <c r="G25" s="2223"/>
      <c r="H25" s="2223"/>
      <c r="I25" s="2223"/>
      <c r="J25" s="2223"/>
      <c r="K25" s="2210"/>
      <c r="L25" s="2210"/>
      <c r="M25" s="2210"/>
      <c r="N25" s="2285" t="str">
        <f>IF($F$24="Select…","",MIN(IF($F$24="New Construction",K25*References!$F$101,IF(References!$K$101=TRUE,K25*References!$G$102,K25*References!$F$102)),G25*References!$I$101))</f>
        <v/>
      </c>
      <c r="O25" s="2285"/>
      <c r="P25" s="2285"/>
      <c r="Q25" s="2285"/>
      <c r="R25" s="2285"/>
      <c r="S25" s="172"/>
      <c r="T25" s="172"/>
      <c r="U25" s="172"/>
      <c r="V25" s="172"/>
      <c r="AB25" s="42"/>
      <c r="AC25" s="42"/>
      <c r="AD25" s="42"/>
      <c r="AE25" s="42"/>
    </row>
    <row r="26" spans="1:31" ht="36.65" customHeight="1">
      <c r="A26" s="198"/>
      <c r="C26" s="2281" t="s">
        <v>5709</v>
      </c>
      <c r="D26" s="2281"/>
      <c r="E26" s="2281"/>
      <c r="F26" s="2305"/>
      <c r="G26" s="2223"/>
      <c r="H26" s="2223"/>
      <c r="I26" s="2223"/>
      <c r="J26" s="2223"/>
      <c r="K26" s="2210"/>
      <c r="L26" s="2210"/>
      <c r="M26" s="2210"/>
      <c r="N26" s="2265" t="str">
        <f>IF($F$24="Select…","",MIN(IF($F$24="New Construction",References!F101,IF(References!$K$101=TRUE,K26*References!$G$104,K26*References!$F$104)),G26*References!$I$101))</f>
        <v/>
      </c>
      <c r="O26" s="2265"/>
      <c r="P26" s="2265"/>
      <c r="Q26" s="2265"/>
      <c r="R26" s="2265"/>
    </row>
    <row r="27" spans="1:31" ht="23.15" customHeight="1">
      <c r="A27" s="198"/>
      <c r="C27" s="2298" t="s">
        <v>5660</v>
      </c>
      <c r="D27" s="2298"/>
      <c r="E27" s="2298"/>
      <c r="F27" s="2298"/>
      <c r="G27" s="2298"/>
      <c r="H27" s="2298"/>
      <c r="I27" s="2080"/>
      <c r="J27" s="2080"/>
      <c r="K27" s="2286" t="s">
        <v>5720</v>
      </c>
      <c r="L27" s="2287"/>
      <c r="M27" s="2288"/>
      <c r="N27" s="2225"/>
      <c r="O27" s="2226"/>
      <c r="P27" s="2226"/>
      <c r="Q27" s="2226"/>
      <c r="R27" s="2227"/>
      <c r="W27" s="42"/>
    </row>
    <row r="28" spans="1:31" ht="23.15" customHeight="1">
      <c r="A28" s="198"/>
      <c r="C28" s="2299"/>
      <c r="D28" s="2299"/>
      <c r="E28" s="2299"/>
      <c r="F28" s="2299"/>
      <c r="G28" s="2299"/>
      <c r="H28" s="2299"/>
      <c r="I28" s="2069"/>
      <c r="J28" s="2069"/>
      <c r="K28" s="2300" t="s">
        <v>5572</v>
      </c>
      <c r="L28" s="2301"/>
      <c r="M28" s="2302"/>
      <c r="N28" s="2289">
        <f>MIN(SUM(N24:R26),(N27*0.7))</f>
        <v>0</v>
      </c>
      <c r="O28" s="2290"/>
      <c r="P28" s="2290"/>
      <c r="Q28" s="2290"/>
      <c r="R28" s="2291"/>
      <c r="S28" s="2076"/>
      <c r="T28" s="2076"/>
      <c r="U28" s="2076"/>
      <c r="V28" s="2076"/>
      <c r="W28" s="2076"/>
    </row>
    <row r="29" spans="1:31" ht="23.15" customHeight="1">
      <c r="A29" s="198"/>
      <c r="C29" s="2069"/>
      <c r="D29" s="2069"/>
      <c r="E29" s="2069"/>
      <c r="F29" s="2069"/>
      <c r="G29" s="2069"/>
      <c r="H29" s="2069"/>
      <c r="I29" s="2069"/>
      <c r="J29" s="2069"/>
      <c r="K29" s="2069"/>
      <c r="N29" s="2075"/>
      <c r="O29" s="2075"/>
      <c r="P29" s="2075"/>
      <c r="Q29" s="2075"/>
      <c r="R29" s="2076"/>
      <c r="S29" s="2076"/>
      <c r="T29" s="2076"/>
      <c r="U29" s="2076"/>
      <c r="V29" s="2076"/>
      <c r="W29" s="2076"/>
    </row>
    <row r="30" spans="1:31" ht="23.15" customHeight="1">
      <c r="B30" s="2228" t="s">
        <v>5653</v>
      </c>
      <c r="C30" s="2228"/>
      <c r="D30" s="2228"/>
      <c r="E30" s="2228"/>
      <c r="F30" s="2228"/>
      <c r="G30" s="2228"/>
      <c r="H30" s="2228"/>
      <c r="I30" s="2228"/>
      <c r="J30" s="2228"/>
      <c r="K30" s="2228"/>
      <c r="L30" s="2228"/>
      <c r="M30" s="2228"/>
      <c r="N30" s="2228"/>
      <c r="O30" s="2228"/>
      <c r="P30" s="2228"/>
      <c r="Q30" s="2228"/>
      <c r="R30" s="2228"/>
      <c r="S30" s="2228"/>
      <c r="T30" s="2228"/>
      <c r="U30" s="2228"/>
      <c r="V30" s="2228"/>
      <c r="W30" s="2228"/>
      <c r="X30" s="2228"/>
      <c r="Y30" s="2228"/>
      <c r="Z30" s="2228"/>
      <c r="AA30" s="2228"/>
      <c r="AB30" s="2228"/>
      <c r="AC30" s="2228"/>
      <c r="AD30" s="2228"/>
    </row>
    <row r="31" spans="1:31" ht="23.15" customHeight="1" thickBot="1">
      <c r="A31" s="198"/>
      <c r="C31" s="2069"/>
      <c r="D31" s="2069"/>
      <c r="E31" s="2069"/>
      <c r="F31" s="2069"/>
      <c r="G31" s="2069"/>
      <c r="H31" s="2069"/>
      <c r="I31" s="2069"/>
      <c r="J31" s="2069"/>
      <c r="K31" s="2069"/>
      <c r="N31" s="2075"/>
      <c r="O31" s="2075"/>
      <c r="P31" s="2075"/>
      <c r="Q31" s="2075"/>
      <c r="R31" s="2076"/>
      <c r="S31" s="2076"/>
      <c r="T31" s="2076"/>
      <c r="U31" s="2076"/>
      <c r="V31" s="2076"/>
      <c r="W31" s="2076"/>
    </row>
    <row r="32" spans="1:31" ht="23.15" customHeight="1">
      <c r="A32" s="198"/>
      <c r="C32" s="2270" t="s">
        <v>5654</v>
      </c>
      <c r="D32" s="2271"/>
      <c r="E32" s="2271"/>
      <c r="F32" s="2271"/>
      <c r="G32" s="2271"/>
      <c r="H32" s="2271"/>
      <c r="I32" s="2271"/>
      <c r="J32" s="2271"/>
      <c r="K32" s="2271"/>
      <c r="L32" s="2271"/>
      <c r="M32" s="2271"/>
      <c r="N32" s="2271"/>
      <c r="O32" s="2271"/>
      <c r="P32" s="2271"/>
      <c r="Q32" s="2271"/>
      <c r="R32" s="2271"/>
      <c r="S32" s="2272"/>
      <c r="T32" s="2076"/>
      <c r="U32" s="2076"/>
      <c r="V32" s="2076"/>
      <c r="W32" s="2076"/>
    </row>
    <row r="33" spans="1:36" ht="23.15" customHeight="1">
      <c r="A33" s="198"/>
      <c r="C33" s="2214" t="s">
        <v>5563</v>
      </c>
      <c r="D33" s="2215"/>
      <c r="E33" s="2215"/>
      <c r="F33" s="2215"/>
      <c r="G33" s="2090" t="s">
        <v>5657</v>
      </c>
      <c r="H33" s="2273" t="s">
        <v>216</v>
      </c>
      <c r="I33" s="2273"/>
      <c r="J33" s="2274"/>
      <c r="K33" s="2282" t="s">
        <v>5699</v>
      </c>
      <c r="L33" s="2273"/>
      <c r="M33" s="2273"/>
      <c r="N33" s="2274"/>
      <c r="O33" s="2215" t="s">
        <v>5566</v>
      </c>
      <c r="P33" s="2215"/>
      <c r="Q33" s="2215"/>
      <c r="R33" s="2215"/>
      <c r="S33" s="2216"/>
      <c r="T33" s="2075"/>
      <c r="U33" s="2075"/>
      <c r="V33" s="2075"/>
      <c r="W33" s="2075"/>
      <c r="X33" s="2076"/>
      <c r="Y33" s="2076"/>
      <c r="Z33" s="2076"/>
      <c r="AA33" s="2076"/>
      <c r="AB33" s="2076"/>
      <c r="AF33" s="172"/>
      <c r="AG33" s="172"/>
      <c r="AH33" s="172"/>
      <c r="AI33" s="172"/>
      <c r="AJ33" s="172"/>
    </row>
    <row r="34" spans="1:36" ht="23.15" customHeight="1">
      <c r="A34" s="198"/>
      <c r="C34" s="2217" t="s">
        <v>5655</v>
      </c>
      <c r="D34" s="2218"/>
      <c r="E34" s="2218"/>
      <c r="F34" s="2218"/>
      <c r="G34" s="2091" t="s">
        <v>5658</v>
      </c>
      <c r="H34" s="2275" t="s">
        <v>5659</v>
      </c>
      <c r="I34" s="2275"/>
      <c r="J34" s="2276"/>
      <c r="K34" s="2283" t="s">
        <v>5659</v>
      </c>
      <c r="L34" s="2275"/>
      <c r="M34" s="2275"/>
      <c r="N34" s="2276"/>
      <c r="O34" s="2234">
        <v>100000</v>
      </c>
      <c r="P34" s="2234"/>
      <c r="Q34" s="2234"/>
      <c r="R34" s="2234"/>
      <c r="S34" s="2235"/>
      <c r="T34" s="2075"/>
      <c r="U34" s="2075"/>
      <c r="V34" s="2075"/>
      <c r="W34" s="2075"/>
      <c r="X34" s="2076"/>
      <c r="Y34" s="2076"/>
      <c r="Z34" s="2076"/>
      <c r="AA34" s="2076"/>
      <c r="AB34" s="2076"/>
      <c r="AF34" s="172"/>
      <c r="AG34" s="172"/>
      <c r="AH34" s="172"/>
      <c r="AI34" s="172"/>
      <c r="AJ34" s="172"/>
    </row>
    <row r="35" spans="1:36" ht="23.15" customHeight="1" thickBot="1">
      <c r="A35" s="198"/>
      <c r="C35" s="2219" t="s">
        <v>5656</v>
      </c>
      <c r="D35" s="2220"/>
      <c r="E35" s="2220"/>
      <c r="F35" s="2220"/>
      <c r="G35" s="2092" t="s">
        <v>5658</v>
      </c>
      <c r="H35" s="2277" t="s">
        <v>5677</v>
      </c>
      <c r="I35" s="2277"/>
      <c r="J35" s="2278"/>
      <c r="K35" s="2284" t="s">
        <v>5678</v>
      </c>
      <c r="L35" s="2277"/>
      <c r="M35" s="2277"/>
      <c r="N35" s="2278"/>
      <c r="O35" s="2279">
        <v>200000</v>
      </c>
      <c r="P35" s="2279"/>
      <c r="Q35" s="2279"/>
      <c r="R35" s="2279"/>
      <c r="S35" s="2280"/>
      <c r="T35" s="2075"/>
      <c r="U35" s="2075"/>
      <c r="V35" s="2075"/>
      <c r="W35" s="2075"/>
      <c r="X35" s="2076"/>
      <c r="Y35" s="2076"/>
      <c r="Z35" s="2076"/>
      <c r="AA35" s="2076"/>
      <c r="AB35" s="2076"/>
      <c r="AF35" s="172"/>
      <c r="AG35" s="172"/>
      <c r="AH35" s="172"/>
      <c r="AI35" s="172"/>
      <c r="AJ35" s="172"/>
    </row>
    <row r="36" spans="1:36" ht="23.15" customHeight="1">
      <c r="A36" s="198"/>
      <c r="C36" s="2299" t="s">
        <v>5661</v>
      </c>
      <c r="D36" s="2299"/>
      <c r="E36" s="2299"/>
      <c r="F36" s="2299"/>
      <c r="G36" s="2069"/>
      <c r="H36" s="2069"/>
      <c r="I36" s="2069"/>
      <c r="J36" s="2069"/>
      <c r="K36" s="2069"/>
      <c r="N36" s="2075"/>
      <c r="O36" s="2075"/>
      <c r="P36" s="2075"/>
      <c r="Q36" s="2075"/>
      <c r="R36" s="2076"/>
      <c r="S36" s="2076"/>
      <c r="T36" s="2076"/>
      <c r="U36" s="2076"/>
      <c r="V36" s="2076"/>
      <c r="W36" s="2076"/>
    </row>
    <row r="37" spans="1:36" ht="23.15" customHeight="1">
      <c r="A37" s="198"/>
      <c r="C37" s="2299"/>
      <c r="D37" s="2299"/>
      <c r="E37" s="2299"/>
      <c r="F37" s="2299"/>
      <c r="G37" s="2069"/>
      <c r="H37" s="2069"/>
      <c r="I37" s="2069"/>
      <c r="J37" s="2069"/>
      <c r="K37" s="2069"/>
      <c r="N37" s="2075"/>
      <c r="O37" s="2075"/>
      <c r="P37" s="2075"/>
      <c r="Q37" s="2075"/>
      <c r="R37" s="2076"/>
      <c r="S37" s="2076"/>
      <c r="T37" s="2076"/>
      <c r="U37" s="2076"/>
      <c r="V37" s="2076"/>
      <c r="W37" s="2076"/>
    </row>
    <row r="38" spans="1:36" ht="20.149999999999999" customHeight="1">
      <c r="A38" s="198"/>
      <c r="C38" s="2306" t="s">
        <v>5700</v>
      </c>
      <c r="D38" s="2306"/>
      <c r="E38" s="2306"/>
      <c r="F38" s="2306"/>
      <c r="G38" s="2306"/>
      <c r="H38" s="2306"/>
      <c r="I38" s="2306"/>
      <c r="J38" s="2306"/>
      <c r="K38" s="2306"/>
      <c r="L38" s="2306"/>
      <c r="M38" s="2306"/>
      <c r="N38" s="2306"/>
      <c r="O38" s="2306"/>
      <c r="P38" s="2306"/>
      <c r="Q38" s="2306"/>
      <c r="R38" s="2306"/>
      <c r="S38" s="2306"/>
    </row>
    <row r="39" spans="1:36" ht="17.149999999999999" customHeight="1">
      <c r="B39" s="2088"/>
      <c r="C39" s="2088" t="s">
        <v>5690</v>
      </c>
      <c r="D39" s="2089"/>
      <c r="E39" s="2089"/>
      <c r="F39" s="2089"/>
      <c r="G39" s="2089"/>
      <c r="H39" s="2089"/>
      <c r="I39" s="2089"/>
      <c r="J39" s="2089"/>
      <c r="K39" s="2089"/>
      <c r="L39" s="2089"/>
      <c r="M39" s="2089"/>
      <c r="N39" s="2089"/>
      <c r="O39" s="2089"/>
      <c r="P39" s="1551"/>
      <c r="W39" s="42"/>
      <c r="X39" s="42"/>
      <c r="Y39" s="42"/>
      <c r="Z39" s="42"/>
      <c r="AA39" s="42"/>
      <c r="AB39" s="42"/>
      <c r="AC39" s="42"/>
      <c r="AD39" s="42"/>
      <c r="AE39" s="42"/>
    </row>
    <row r="40" spans="1:36" customFormat="1">
      <c r="B40" s="2087"/>
      <c r="C40" s="2093" t="s">
        <v>5706</v>
      </c>
      <c r="D40" s="1"/>
      <c r="E40" s="1"/>
      <c r="F40" s="1"/>
      <c r="G40" s="1"/>
      <c r="H40" s="1"/>
      <c r="I40" s="1"/>
    </row>
    <row r="41" spans="1:36" customFormat="1">
      <c r="B41" s="2087"/>
      <c r="C41" s="2087" t="s">
        <v>5726</v>
      </c>
      <c r="D41" s="1"/>
      <c r="E41" s="1"/>
      <c r="F41" s="1"/>
      <c r="G41" s="1"/>
      <c r="H41" s="1"/>
      <c r="I41" s="1"/>
    </row>
    <row r="42" spans="1:36" customFormat="1">
      <c r="B42" s="2087"/>
      <c r="C42" s="2087" t="s">
        <v>5688</v>
      </c>
      <c r="D42" s="1"/>
      <c r="E42" s="1"/>
      <c r="F42" s="1"/>
      <c r="G42" s="1"/>
      <c r="H42" s="1"/>
      <c r="I42" s="1"/>
    </row>
    <row r="43" spans="1:36" ht="23.15" customHeight="1">
      <c r="A43" s="198"/>
      <c r="C43" s="2069"/>
      <c r="D43" s="2069"/>
      <c r="E43" s="2069"/>
      <c r="F43" s="2069"/>
      <c r="G43" s="2069"/>
      <c r="H43" s="2069"/>
      <c r="I43" s="2069"/>
      <c r="J43" s="2069"/>
      <c r="K43" s="2069"/>
      <c r="N43" s="2075"/>
      <c r="O43" s="2075"/>
      <c r="P43" s="2075"/>
      <c r="Q43" s="2075"/>
      <c r="R43" s="2076"/>
      <c r="S43" s="2076"/>
      <c r="T43" s="2076"/>
      <c r="U43" s="2076"/>
      <c r="V43" s="2076"/>
      <c r="W43" s="2076"/>
    </row>
    <row r="44" spans="1:36" ht="48" customHeight="1">
      <c r="A44" s="198"/>
      <c r="C44" s="2282" t="s">
        <v>1776</v>
      </c>
      <c r="D44" s="2273"/>
      <c r="E44" s="2274"/>
      <c r="F44" s="2081" t="s">
        <v>5563</v>
      </c>
      <c r="G44" s="2070" t="s">
        <v>5662</v>
      </c>
      <c r="H44" s="2307" t="s">
        <v>5663</v>
      </c>
      <c r="I44" s="2308"/>
      <c r="J44" s="2282" t="s">
        <v>5664</v>
      </c>
      <c r="K44" s="2274"/>
      <c r="N44" s="2075"/>
      <c r="O44" s="2075"/>
      <c r="P44" s="2075"/>
      <c r="Q44" s="2075"/>
      <c r="R44" s="2076"/>
      <c r="S44" s="2076"/>
      <c r="T44" s="2076"/>
      <c r="U44" s="2076"/>
      <c r="V44" s="2076"/>
      <c r="W44" s="2076"/>
    </row>
    <row r="45" spans="1:36" ht="40.5" customHeight="1">
      <c r="A45" s="198"/>
      <c r="C45" s="2281" t="s">
        <v>5567</v>
      </c>
      <c r="D45" s="2281"/>
      <c r="E45" s="2281"/>
      <c r="F45" s="2292" t="s">
        <v>1345</v>
      </c>
      <c r="G45" s="2095"/>
      <c r="H45" s="2295"/>
      <c r="I45" s="2296"/>
      <c r="J45" s="2297" t="str">
        <f>IF($F$45="Select…","",MIN(IF($F$45="","",H45*References!$G$116),'Multi-Family Heat Pumps'!G45*References!$H$116))</f>
        <v/>
      </c>
      <c r="K45" s="2297"/>
      <c r="N45" s="2075"/>
      <c r="O45" s="2075"/>
      <c r="P45" s="2075"/>
      <c r="Q45" s="2075"/>
      <c r="R45" s="2076"/>
      <c r="S45" s="2076"/>
      <c r="T45" s="2076"/>
      <c r="U45" s="2076"/>
      <c r="V45" s="2076"/>
      <c r="W45" s="2076"/>
    </row>
    <row r="46" spans="1:36" ht="40.5" customHeight="1">
      <c r="A46" s="198"/>
      <c r="C46" s="2281" t="s">
        <v>5568</v>
      </c>
      <c r="D46" s="2281"/>
      <c r="E46" s="2281"/>
      <c r="F46" s="2293"/>
      <c r="G46" s="2095"/>
      <c r="H46" s="2295"/>
      <c r="I46" s="2296"/>
      <c r="J46" s="2297" t="str">
        <f>IF($F$45="Select…","",MIN(IF($F$45="","",H46*References!$G$116),'Multi-Family Heat Pumps'!G46*References!$H$116))</f>
        <v/>
      </c>
      <c r="K46" s="2297"/>
      <c r="N46" s="2075"/>
      <c r="O46" s="2075"/>
      <c r="P46" s="2075"/>
      <c r="Q46" s="2075"/>
      <c r="R46" s="2076"/>
      <c r="S46" s="2076"/>
      <c r="T46" s="2076"/>
      <c r="U46" s="2076"/>
      <c r="V46" s="2076"/>
      <c r="W46" s="2076"/>
    </row>
    <row r="47" spans="1:36" ht="40.5" customHeight="1">
      <c r="A47" s="198"/>
      <c r="C47" s="2281" t="s">
        <v>5665</v>
      </c>
      <c r="D47" s="2281"/>
      <c r="E47" s="2281"/>
      <c r="F47" s="2293"/>
      <c r="G47" s="2095"/>
      <c r="H47" s="2295"/>
      <c r="I47" s="2296"/>
      <c r="J47" s="2297" t="str">
        <f>IF($F$45="Select…","",MIN(IF($F$45="","",H47*References!$G$116),'Multi-Family Heat Pumps'!G47*References!$H$116))</f>
        <v/>
      </c>
      <c r="K47" s="2297"/>
      <c r="N47" s="2075"/>
      <c r="O47" s="2075"/>
      <c r="P47" s="2075"/>
      <c r="Q47" s="2075"/>
      <c r="R47" s="2076"/>
      <c r="S47" s="2076"/>
      <c r="T47" s="2076"/>
      <c r="U47" s="2076"/>
      <c r="V47" s="2076"/>
      <c r="W47" s="2076"/>
    </row>
    <row r="48" spans="1:36" ht="38.5" customHeight="1">
      <c r="A48" s="198"/>
      <c r="C48" s="2281" t="s">
        <v>5709</v>
      </c>
      <c r="D48" s="2281"/>
      <c r="E48" s="2281"/>
      <c r="F48" s="2294"/>
      <c r="G48" s="2095"/>
      <c r="H48" s="2295"/>
      <c r="I48" s="2296"/>
      <c r="J48" s="2297" t="str">
        <f>IF($F$45="Select…","",MIN(IF($F$45="","",H48*References!$G$116),'Multi-Family Heat Pumps'!G48*References!$H$116))</f>
        <v/>
      </c>
      <c r="K48" s="2297"/>
      <c r="N48" s="2075"/>
      <c r="O48" s="2075"/>
      <c r="P48" s="2075"/>
      <c r="Q48" s="2075"/>
      <c r="R48" s="2076"/>
      <c r="S48" s="2076"/>
      <c r="T48" s="2076"/>
      <c r="U48" s="2076"/>
      <c r="V48" s="2076"/>
      <c r="W48" s="2076"/>
    </row>
    <row r="49" spans="1:30" ht="23.15" customHeight="1">
      <c r="A49" s="198"/>
      <c r="G49" s="2264" t="s">
        <v>5721</v>
      </c>
      <c r="H49" s="2264"/>
      <c r="I49" s="2264"/>
      <c r="J49" s="2260"/>
      <c r="K49" s="2260"/>
      <c r="N49" s="2075"/>
      <c r="O49" s="2075"/>
      <c r="P49" s="2075"/>
      <c r="Q49" s="2075"/>
      <c r="R49" s="2076"/>
      <c r="S49" s="2076"/>
      <c r="T49" s="2076"/>
      <c r="U49" s="2076"/>
      <c r="V49" s="2076"/>
      <c r="W49" s="2076"/>
    </row>
    <row r="50" spans="1:30" ht="23.15" customHeight="1">
      <c r="A50" s="198"/>
      <c r="C50" s="2069"/>
      <c r="D50" s="2069"/>
      <c r="E50" s="2069"/>
      <c r="F50" s="2069"/>
      <c r="G50" s="2264" t="s">
        <v>5572</v>
      </c>
      <c r="H50" s="2264"/>
      <c r="I50" s="2264"/>
      <c r="J50" s="2261">
        <f>MIN(SUM(J45:K48),J49*0.7)</f>
        <v>0</v>
      </c>
      <c r="K50" s="2262"/>
      <c r="N50" s="2075"/>
      <c r="O50" s="2075"/>
      <c r="P50" s="2075"/>
      <c r="Q50" s="2075"/>
      <c r="R50" s="2076"/>
      <c r="S50" s="2076"/>
      <c r="T50" s="2076"/>
      <c r="U50" s="2076"/>
      <c r="V50" s="2076"/>
      <c r="W50" s="2076"/>
    </row>
    <row r="51" spans="1:30" ht="23.15" customHeight="1">
      <c r="A51" s="198"/>
      <c r="B51" s="693"/>
    </row>
    <row r="52" spans="1:30" ht="13" customHeight="1">
      <c r="A52" s="198"/>
    </row>
    <row r="53" spans="1:30" ht="22" hidden="1" customHeight="1">
      <c r="A53" s="198"/>
      <c r="B53" s="2237" t="str">
        <f>CONCATENATE("ENERGY STAR Specialty Bulbs - $"&amp;TEXT('Appliances References'!AC17,"0.00")&amp;" each")</f>
        <v>ENERGY STAR Specialty Bulbs - $2.25 each</v>
      </c>
      <c r="C53" s="2237"/>
      <c r="D53" s="2237"/>
      <c r="E53" s="2237"/>
      <c r="F53" s="2237"/>
      <c r="G53" s="2237"/>
      <c r="H53" s="2237"/>
      <c r="I53" s="2237"/>
      <c r="J53" s="2237"/>
      <c r="K53" s="2237"/>
      <c r="L53" s="2237"/>
      <c r="M53" s="2237"/>
      <c r="N53" s="2237"/>
      <c r="O53" s="2237"/>
      <c r="P53" s="2237"/>
      <c r="Q53" s="2237"/>
      <c r="R53" s="2237"/>
      <c r="S53" s="2237"/>
      <c r="T53" s="2237"/>
      <c r="U53" s="2237"/>
      <c r="V53" s="2237"/>
      <c r="W53" s="2237"/>
      <c r="X53" s="2237"/>
      <c r="Y53" s="2237"/>
      <c r="Z53" s="2237"/>
      <c r="AA53" s="2237"/>
      <c r="AB53" s="2237"/>
      <c r="AC53" s="2237"/>
      <c r="AD53" s="2237"/>
    </row>
    <row r="54" spans="1:30" ht="14.5" hidden="1" customHeight="1">
      <c r="A54" s="198"/>
    </row>
    <row r="55" spans="1:30" ht="23.15" hidden="1" customHeight="1">
      <c r="A55" s="198"/>
      <c r="F55" s="700" t="s">
        <v>2046</v>
      </c>
      <c r="G55" s="700"/>
      <c r="H55" s="2232" t="s">
        <v>2064</v>
      </c>
      <c r="I55" s="2232"/>
      <c r="K55" s="2232" t="s">
        <v>80</v>
      </c>
      <c r="L55" s="2232"/>
      <c r="N55" s="2232" t="s">
        <v>78</v>
      </c>
      <c r="O55" s="2232"/>
      <c r="Q55" s="2232" t="s">
        <v>216</v>
      </c>
      <c r="R55" s="2232"/>
      <c r="S55" s="700"/>
      <c r="T55" s="700"/>
    </row>
    <row r="56" spans="1:30" ht="23.15" hidden="1" customHeight="1">
      <c r="A56" s="198"/>
      <c r="F56" s="1050"/>
      <c r="H56" s="2242"/>
      <c r="I56" s="2242"/>
      <c r="K56" s="2230"/>
      <c r="L56" s="2230"/>
      <c r="N56" s="2230"/>
      <c r="O56" s="2230"/>
      <c r="Q56" s="2244" t="str">
        <f>IF(OR(F56="",H56=""),"",F56*'Appliances References'!$AC$17)</f>
        <v/>
      </c>
      <c r="R56" s="2244"/>
      <c r="S56" s="2077"/>
      <c r="T56" s="2077"/>
    </row>
    <row r="57" spans="1:30" ht="23.15" hidden="1" customHeight="1">
      <c r="A57" s="198"/>
      <c r="F57" s="1049"/>
      <c r="H57" s="2263"/>
      <c r="I57" s="2263"/>
      <c r="K57" s="2229"/>
      <c r="L57" s="2229"/>
      <c r="N57" s="2230"/>
      <c r="O57" s="2230"/>
      <c r="Q57" s="2244" t="str">
        <f>IF(OR(F57="",H57=""),"",F57*'Appliances References'!$AC$17)</f>
        <v/>
      </c>
      <c r="R57" s="2244"/>
      <c r="S57" s="2077"/>
      <c r="T57" s="2077"/>
    </row>
    <row r="58" spans="1:30" ht="23.15" hidden="1" customHeight="1">
      <c r="A58" s="198"/>
      <c r="F58" s="1049"/>
      <c r="H58" s="2263"/>
      <c r="I58" s="2263"/>
      <c r="K58" s="2229"/>
      <c r="L58" s="2229"/>
      <c r="N58" s="2230"/>
      <c r="O58" s="2230"/>
      <c r="Q58" s="2244" t="str">
        <f>IF(OR(F58="",H58=""),"",F58*'Appliances References'!$AC$17)</f>
        <v/>
      </c>
      <c r="R58" s="2244"/>
      <c r="S58" s="2077"/>
      <c r="T58" s="2077"/>
    </row>
    <row r="59" spans="1:30" ht="23.15" hidden="1" customHeight="1">
      <c r="A59" s="198"/>
      <c r="F59" s="1049"/>
      <c r="H59" s="2263"/>
      <c r="I59" s="2263"/>
      <c r="K59" s="2229"/>
      <c r="L59" s="2229"/>
      <c r="N59" s="2230"/>
      <c r="O59" s="2230"/>
      <c r="Q59" s="2244" t="str">
        <f>IF(OR(F59="",H59=""),"",F59*'Appliances References'!$AC$17)</f>
        <v/>
      </c>
      <c r="R59" s="2244"/>
      <c r="S59" s="2077"/>
      <c r="T59" s="2077"/>
    </row>
    <row r="60" spans="1:30" ht="23.15" hidden="1" customHeight="1">
      <c r="A60" s="198"/>
    </row>
    <row r="61" spans="1:30" ht="23.15" hidden="1" customHeight="1">
      <c r="A61" s="198"/>
    </row>
    <row r="62" spans="1:30" ht="23.15" hidden="1" customHeight="1">
      <c r="A62" s="198"/>
    </row>
    <row r="63" spans="1:30" ht="23.15" hidden="1" customHeight="1">
      <c r="B63" s="2237" t="str">
        <f>"LED Downlights - $"&amp;'[19]Appliances References'!AC22&amp;" each"</f>
        <v>LED Downlights - $8 each</v>
      </c>
      <c r="C63" s="2237"/>
      <c r="D63" s="2237"/>
      <c r="E63" s="2237"/>
      <c r="F63" s="2237"/>
      <c r="G63" s="2237"/>
      <c r="H63" s="2237"/>
      <c r="I63" s="2237"/>
      <c r="J63" s="2237"/>
      <c r="K63" s="2237"/>
      <c r="L63" s="2237"/>
      <c r="M63" s="2237"/>
      <c r="N63" s="2237"/>
      <c r="O63" s="2237"/>
      <c r="P63" s="2237"/>
      <c r="Q63" s="2237"/>
      <c r="R63" s="2237"/>
      <c r="S63" s="2237"/>
      <c r="T63" s="2237"/>
      <c r="U63" s="2237"/>
      <c r="V63" s="2237"/>
      <c r="W63" s="2237"/>
      <c r="X63" s="2237"/>
      <c r="Y63" s="2237"/>
      <c r="Z63" s="2237"/>
      <c r="AA63" s="2237"/>
      <c r="AB63" s="2237"/>
      <c r="AC63" s="2237"/>
      <c r="AD63" s="2237"/>
    </row>
    <row r="64" spans="1:30" hidden="1"/>
    <row r="65" spans="2:30" hidden="1"/>
    <row r="66" spans="2:30" ht="42" hidden="1" customHeight="1">
      <c r="F66" s="700" t="s">
        <v>5467</v>
      </c>
      <c r="H66" s="700" t="str">
        <f>IF(F67="New Construction","Fixture Qty per Apt Type","Proposed Quantity")</f>
        <v>Fixture Qty per Apt Type</v>
      </c>
      <c r="I66" s="700"/>
      <c r="J66" s="2232" t="s">
        <v>2064</v>
      </c>
      <c r="K66" s="2232"/>
      <c r="M66" s="2232" t="s">
        <v>80</v>
      </c>
      <c r="N66" s="2232"/>
      <c r="P66" s="2232" t="s">
        <v>78</v>
      </c>
      <c r="Q66" s="2232"/>
      <c r="U66" s="700" t="s">
        <v>5468</v>
      </c>
      <c r="V66" s="700"/>
      <c r="W66" s="700"/>
      <c r="X66" s="700" t="s">
        <v>5470</v>
      </c>
      <c r="Z66" s="700" t="s">
        <v>5482</v>
      </c>
      <c r="AA66" s="700"/>
      <c r="AB66" s="700" t="s">
        <v>5469</v>
      </c>
      <c r="AD66" s="700" t="s">
        <v>216</v>
      </c>
    </row>
    <row r="67" spans="2:30" ht="23.5" hidden="1" customHeight="1">
      <c r="F67" s="1883" t="s">
        <v>605</v>
      </c>
      <c r="H67" s="1051">
        <v>5</v>
      </c>
      <c r="J67" s="2251">
        <v>34324</v>
      </c>
      <c r="K67" s="2251"/>
      <c r="L67" s="43"/>
      <c r="M67" s="2251">
        <v>234324</v>
      </c>
      <c r="N67" s="2251"/>
      <c r="O67" s="43"/>
      <c r="P67" s="2251">
        <v>234234</v>
      </c>
      <c r="Q67" s="2251"/>
      <c r="U67" s="1882" t="s">
        <v>5473</v>
      </c>
      <c r="V67" s="2078"/>
      <c r="X67" s="1886">
        <v>1</v>
      </c>
      <c r="Z67" s="1886">
        <v>500</v>
      </c>
      <c r="AB67" s="1886">
        <v>9</v>
      </c>
      <c r="AD67" s="1882">
        <f>IF(F67="","",IF(F67="New Construction",H67*X67*'Appliances References'!$AC$22,H67*'Appliances References'!$AC$22))</f>
        <v>40</v>
      </c>
    </row>
    <row r="68" spans="2:30" ht="23.5" hidden="1" customHeight="1">
      <c r="F68" s="1883"/>
      <c r="H68" s="1049"/>
      <c r="J68" s="2224"/>
      <c r="K68" s="2224"/>
      <c r="M68" s="2224"/>
      <c r="N68" s="2224"/>
      <c r="P68" s="2224"/>
      <c r="Q68" s="2224"/>
      <c r="U68" s="1882"/>
      <c r="V68" s="2078"/>
      <c r="X68" s="1882"/>
      <c r="Z68" s="1882"/>
      <c r="AB68" s="1882"/>
      <c r="AD68" s="1882" t="str">
        <f>IF(F68="","",IF(F68="New Construction",H68*X68*'Appliances References'!$AC$22,H68*'Appliances References'!$AC$22))</f>
        <v/>
      </c>
    </row>
    <row r="69" spans="2:30" ht="23.5" hidden="1" customHeight="1">
      <c r="F69" s="1883"/>
      <c r="H69" s="1049"/>
      <c r="J69" s="2224"/>
      <c r="K69" s="2224"/>
      <c r="M69" s="2224"/>
      <c r="N69" s="2224"/>
      <c r="P69" s="2224"/>
      <c r="Q69" s="2224"/>
      <c r="U69" s="1882"/>
      <c r="V69" s="2078"/>
      <c r="X69" s="1882"/>
      <c r="Z69" s="1882"/>
      <c r="AB69" s="1882"/>
      <c r="AD69" s="1882" t="str">
        <f>IF(F69="","",IF(F69="New Construction",H69*X69*'Appliances References'!$AC$22,H69*'Appliances References'!$AC$22))</f>
        <v/>
      </c>
    </row>
    <row r="70" spans="2:30" ht="23.5" hidden="1" customHeight="1">
      <c r="F70" s="1883"/>
      <c r="H70" s="1049"/>
      <c r="J70" s="2224"/>
      <c r="K70" s="2224"/>
      <c r="M70" s="2224"/>
      <c r="N70" s="2224"/>
      <c r="P70" s="2224"/>
      <c r="Q70" s="2224"/>
      <c r="U70" s="1882"/>
      <c r="V70" s="2078"/>
      <c r="X70" s="1882"/>
      <c r="Z70" s="1882"/>
      <c r="AB70" s="1882"/>
      <c r="AD70" s="1882" t="str">
        <f>IF(F70="","",IF(F70="New Construction",H70*X70*'Appliances References'!$AC$22,H70*'Appliances References'!$AC$22))</f>
        <v/>
      </c>
    </row>
    <row r="71" spans="2:30" ht="23.5" hidden="1" customHeight="1">
      <c r="F71" s="1883"/>
      <c r="H71" s="1049"/>
      <c r="J71" s="2224"/>
      <c r="K71" s="2224"/>
      <c r="M71" s="2224"/>
      <c r="N71" s="2224"/>
      <c r="P71" s="2224"/>
      <c r="Q71" s="2224"/>
      <c r="U71" s="1882"/>
      <c r="V71" s="2078"/>
      <c r="X71" s="1882"/>
      <c r="Z71" s="1882"/>
      <c r="AB71" s="1882"/>
      <c r="AD71" s="1882" t="str">
        <f>IF(F71="","",IF(F71="New Construction",H71*X71*'Appliances References'!$AC$22,H71*'Appliances References'!$AC$22))</f>
        <v/>
      </c>
    </row>
    <row r="72" spans="2:30" ht="23.5" hidden="1" customHeight="1">
      <c r="F72" s="1883" t="s">
        <v>605</v>
      </c>
      <c r="H72" s="1049">
        <v>8</v>
      </c>
      <c r="J72" s="2224" t="s">
        <v>5508</v>
      </c>
      <c r="K72" s="2224"/>
      <c r="M72" s="2224" t="s">
        <v>5509</v>
      </c>
      <c r="N72" s="2224"/>
      <c r="P72" s="2224" t="s">
        <v>5510</v>
      </c>
      <c r="Q72" s="2224"/>
      <c r="U72" s="1882" t="s">
        <v>5474</v>
      </c>
      <c r="V72" s="2078"/>
      <c r="X72" s="1887">
        <v>1</v>
      </c>
      <c r="Z72" s="1886">
        <v>800</v>
      </c>
      <c r="AB72" s="1886">
        <v>11</v>
      </c>
      <c r="AD72" s="1882">
        <f>IF(F72="","",IF(F72="New Construction",H72*X72*'Appliances References'!$AC$22,H72*'Appliances References'!$AC$22))</f>
        <v>64</v>
      </c>
    </row>
    <row r="73" spans="2:30" ht="22.5" hidden="1" customHeight="1"/>
    <row r="74" spans="2:30" ht="23.15" hidden="1" customHeight="1">
      <c r="B74" s="2237" t="str">
        <f>"ENERGY STAR Most Efficient Clothes Washer - $"&amp;'Appliances References'!AC7&amp;" each"</f>
        <v>ENERGY STAR Most Efficient Clothes Washer - $50 each</v>
      </c>
      <c r="C74" s="2237"/>
      <c r="D74" s="2237"/>
      <c r="E74" s="2237"/>
      <c r="F74" s="2237"/>
      <c r="G74" s="2237"/>
      <c r="H74" s="2237"/>
      <c r="I74" s="2237"/>
      <c r="J74" s="2237"/>
      <c r="K74" s="2237"/>
      <c r="L74" s="2237"/>
      <c r="M74" s="2237"/>
      <c r="N74" s="2237"/>
      <c r="O74" s="2237"/>
      <c r="P74" s="2237"/>
      <c r="Q74" s="2237"/>
      <c r="R74" s="2237"/>
      <c r="S74" s="2237"/>
      <c r="T74" s="2237"/>
      <c r="U74" s="2237"/>
      <c r="V74" s="2237"/>
      <c r="W74" s="2237"/>
      <c r="X74" s="2237"/>
      <c r="Y74" s="2237"/>
      <c r="Z74" s="2237"/>
      <c r="AA74" s="2237"/>
      <c r="AB74" s="2237"/>
      <c r="AC74" s="2237"/>
      <c r="AD74" s="2237"/>
    </row>
    <row r="75" spans="2:30" hidden="1"/>
    <row r="76" spans="2:30" hidden="1"/>
    <row r="77" spans="2:30" ht="35.15" hidden="1" customHeight="1">
      <c r="F77" s="700" t="s">
        <v>2046</v>
      </c>
      <c r="G77" s="700"/>
      <c r="H77" s="2232" t="s">
        <v>2064</v>
      </c>
      <c r="I77" s="2232"/>
      <c r="K77" s="2232" t="s">
        <v>80</v>
      </c>
      <c r="L77" s="2232"/>
      <c r="N77" s="2232" t="s">
        <v>78</v>
      </c>
      <c r="O77" s="2232"/>
      <c r="Q77" s="2232" t="s">
        <v>216</v>
      </c>
      <c r="R77" s="2232"/>
      <c r="S77" s="700"/>
      <c r="T77" s="700"/>
    </row>
    <row r="78" spans="2:30" ht="23.5" hidden="1" customHeight="1">
      <c r="F78" s="1051">
        <v>15</v>
      </c>
      <c r="H78" s="2230">
        <v>234234</v>
      </c>
      <c r="I78" s="2230"/>
      <c r="K78" s="2230" t="s">
        <v>88</v>
      </c>
      <c r="L78" s="2230"/>
      <c r="N78" s="2230" t="s">
        <v>88</v>
      </c>
      <c r="O78" s="2230"/>
      <c r="Q78" s="2231">
        <f>IF(OR(F78="",H78=""),"",F78*'Appliances References'!$AC$7)</f>
        <v>750</v>
      </c>
      <c r="R78" s="2231"/>
      <c r="S78" s="2078"/>
      <c r="T78" s="2078"/>
    </row>
    <row r="79" spans="2:30" ht="23.5" hidden="1" customHeight="1">
      <c r="F79" s="1049"/>
      <c r="H79" s="2229"/>
      <c r="I79" s="2229"/>
      <c r="K79" s="2229"/>
      <c r="L79" s="2229"/>
      <c r="N79" s="2229"/>
      <c r="O79" s="2229"/>
      <c r="Q79" s="2231" t="str">
        <f>IF(OR(F79="",H79=""),"",F79*'Appliances References'!$AC$7)</f>
        <v/>
      </c>
      <c r="R79" s="2231"/>
      <c r="S79" s="2078"/>
      <c r="T79" s="2078"/>
    </row>
    <row r="80" spans="2:30" ht="23.5" hidden="1" customHeight="1">
      <c r="F80" s="1049"/>
      <c r="H80" s="2229"/>
      <c r="I80" s="2229"/>
      <c r="K80" s="2229"/>
      <c r="L80" s="2229"/>
      <c r="N80" s="2229"/>
      <c r="O80" s="2229"/>
      <c r="Q80" s="2231" t="str">
        <f>IF(OR(F80="",H80=""),"",F80*'Appliances References'!$AC$7)</f>
        <v/>
      </c>
      <c r="R80" s="2231"/>
      <c r="S80" s="2078"/>
      <c r="T80" s="2078"/>
    </row>
    <row r="81" spans="2:30" ht="23.5" hidden="1" customHeight="1">
      <c r="F81" s="1049"/>
      <c r="H81" s="2229"/>
      <c r="I81" s="2229"/>
      <c r="K81" s="2229"/>
      <c r="L81" s="2229"/>
      <c r="N81" s="2229"/>
      <c r="O81" s="2229"/>
      <c r="Q81" s="2231" t="str">
        <f>IF(OR(F81="",H81=""),"",F81*'Appliances References'!$AC$7)</f>
        <v/>
      </c>
      <c r="R81" s="2231"/>
      <c r="S81" s="2078"/>
      <c r="T81" s="2078"/>
    </row>
    <row r="82" spans="2:30" ht="23.5" hidden="1" customHeight="1"/>
    <row r="83" spans="2:30" ht="22.5" hidden="1" customHeight="1"/>
    <row r="84" spans="2:30" ht="23.5" hidden="1" customHeight="1"/>
    <row r="85" spans="2:30" ht="23.15" hidden="1" customHeight="1">
      <c r="B85" s="2237" t="str">
        <f>"ENERGY STAR Most Efficient Clothes Dryer - Heat Pump - $"&amp;'Appliances References'!AC9&amp;" each"</f>
        <v>ENERGY STAR Most Efficient Clothes Dryer - Heat Pump - $300 each</v>
      </c>
      <c r="C85" s="2237"/>
      <c r="D85" s="2237"/>
      <c r="E85" s="2237"/>
      <c r="F85" s="2237"/>
      <c r="G85" s="2237"/>
      <c r="H85" s="2237"/>
      <c r="I85" s="2237"/>
      <c r="J85" s="2237"/>
      <c r="K85" s="2237"/>
      <c r="L85" s="2237"/>
      <c r="M85" s="2237"/>
      <c r="N85" s="2237"/>
      <c r="O85" s="2237"/>
      <c r="P85" s="2237"/>
      <c r="Q85" s="2237"/>
      <c r="R85" s="2237"/>
      <c r="S85" s="2237"/>
      <c r="T85" s="2237"/>
      <c r="U85" s="2237"/>
      <c r="V85" s="2237"/>
      <c r="W85" s="2237"/>
      <c r="X85" s="2237"/>
      <c r="Y85" s="2237"/>
      <c r="Z85" s="2237"/>
      <c r="AA85" s="2237"/>
      <c r="AB85" s="2237"/>
      <c r="AC85" s="2237"/>
      <c r="AD85" s="2237"/>
    </row>
    <row r="86" spans="2:30" hidden="1"/>
    <row r="87" spans="2:30" hidden="1"/>
    <row r="88" spans="2:30" ht="34" hidden="1" customHeight="1">
      <c r="F88" s="700" t="s">
        <v>2046</v>
      </c>
      <c r="G88" s="700"/>
      <c r="H88" s="2232" t="s">
        <v>2064</v>
      </c>
      <c r="I88" s="2232"/>
      <c r="K88" s="2232" t="s">
        <v>80</v>
      </c>
      <c r="L88" s="2232"/>
      <c r="N88" s="2232" t="s">
        <v>78</v>
      </c>
      <c r="O88" s="2232"/>
      <c r="Q88" s="2232" t="s">
        <v>216</v>
      </c>
      <c r="R88" s="2232"/>
      <c r="S88" s="700"/>
      <c r="T88" s="700"/>
    </row>
    <row r="89" spans="2:30" ht="23.5" hidden="1" customHeight="1">
      <c r="F89" s="1051">
        <v>15</v>
      </c>
      <c r="H89" s="2230">
        <v>2343432</v>
      </c>
      <c r="I89" s="2230"/>
      <c r="K89" s="2230" t="s">
        <v>5502</v>
      </c>
      <c r="L89" s="2230"/>
      <c r="N89" s="2230" t="s">
        <v>5502</v>
      </c>
      <c r="O89" s="2230"/>
      <c r="Q89" s="2231">
        <f>IF(OR(F89="",H89=""),"",F89*'Appliances References'!$AC$9)</f>
        <v>4500</v>
      </c>
      <c r="R89" s="2231"/>
      <c r="S89" s="2078"/>
      <c r="T89" s="2078"/>
    </row>
    <row r="90" spans="2:30" ht="23.5" hidden="1" customHeight="1">
      <c r="F90" s="1049"/>
      <c r="H90" s="2229"/>
      <c r="I90" s="2229"/>
      <c r="K90" s="2229"/>
      <c r="L90" s="2229"/>
      <c r="N90" s="2229"/>
      <c r="O90" s="2229"/>
      <c r="Q90" s="2231" t="str">
        <f>IF(OR(F90="",H90=""),"",F90*'Appliances References'!$AC$9)</f>
        <v/>
      </c>
      <c r="R90" s="2231"/>
      <c r="S90" s="2078"/>
      <c r="T90" s="2078"/>
    </row>
    <row r="91" spans="2:30" ht="23.5" hidden="1" customHeight="1">
      <c r="F91" s="1049"/>
      <c r="H91" s="2229"/>
      <c r="I91" s="2229"/>
      <c r="K91" s="2229"/>
      <c r="L91" s="2229"/>
      <c r="N91" s="2229"/>
      <c r="O91" s="2229"/>
      <c r="Q91" s="2231" t="str">
        <f>IF(OR(F91="",H91=""),"",F91*'Appliances References'!$AC$9)</f>
        <v/>
      </c>
      <c r="R91" s="2231"/>
      <c r="S91" s="2078"/>
      <c r="T91" s="2078"/>
    </row>
    <row r="92" spans="2:30" ht="23.5" hidden="1" customHeight="1">
      <c r="F92" s="1049"/>
      <c r="H92" s="2229"/>
      <c r="I92" s="2229"/>
      <c r="K92" s="2229"/>
      <c r="L92" s="2229"/>
      <c r="N92" s="2229"/>
      <c r="O92" s="2229"/>
      <c r="Q92" s="2231" t="str">
        <f>IF(OR(F92="",H92=""),"",F92*'Appliances References'!$AC$9)</f>
        <v/>
      </c>
      <c r="R92" s="2231"/>
      <c r="S92" s="2078"/>
      <c r="T92" s="2078"/>
    </row>
    <row r="93" spans="2:30" ht="23.5" hidden="1" customHeight="1"/>
    <row r="94" spans="2:30" ht="13.5" hidden="1" customHeight="1"/>
    <row r="95" spans="2:30" ht="21.65" hidden="1" customHeight="1"/>
    <row r="96" spans="2:30" ht="21.65" hidden="1" customHeight="1"/>
    <row r="97" spans="2:30" ht="23.15" hidden="1" customHeight="1">
      <c r="B97" s="2237" t="str">
        <f>"ENERGY STAR Most Efficient - Dishwasher - $"&amp;'Appliances References'!AC10&amp;" each"</f>
        <v>ENERGY STAR Most Efficient - Dishwasher - $40 each</v>
      </c>
      <c r="C97" s="2237"/>
      <c r="D97" s="2237"/>
      <c r="E97" s="2237"/>
      <c r="F97" s="2237"/>
      <c r="G97" s="2237"/>
      <c r="H97" s="2237"/>
      <c r="I97" s="2237"/>
      <c r="J97" s="2237"/>
      <c r="K97" s="2237"/>
      <c r="L97" s="2237"/>
      <c r="M97" s="2237"/>
      <c r="N97" s="2237"/>
      <c r="O97" s="2237"/>
      <c r="P97" s="2237"/>
      <c r="Q97" s="2237"/>
      <c r="R97" s="2237"/>
      <c r="S97" s="2237"/>
      <c r="T97" s="2237"/>
      <c r="U97" s="2237"/>
      <c r="V97" s="2237"/>
      <c r="W97" s="2237"/>
      <c r="X97" s="2237"/>
      <c r="Y97" s="2237"/>
      <c r="Z97" s="2237"/>
      <c r="AA97" s="2237"/>
      <c r="AB97" s="2237"/>
      <c r="AC97" s="2237"/>
      <c r="AD97" s="2237"/>
    </row>
    <row r="98" spans="2:30" hidden="1"/>
    <row r="99" spans="2:30" hidden="1"/>
    <row r="100" spans="2:30" ht="35.15" hidden="1" customHeight="1">
      <c r="F100" s="700" t="s">
        <v>2046</v>
      </c>
      <c r="G100" s="700"/>
      <c r="H100" s="2232" t="s">
        <v>2064</v>
      </c>
      <c r="I100" s="2232"/>
      <c r="K100" s="2232" t="s">
        <v>80</v>
      </c>
      <c r="L100" s="2232"/>
      <c r="N100" s="2232" t="s">
        <v>78</v>
      </c>
      <c r="O100" s="2232"/>
      <c r="Q100" s="2232" t="s">
        <v>216</v>
      </c>
      <c r="R100" s="2232"/>
      <c r="S100" s="700"/>
      <c r="T100" s="700"/>
    </row>
    <row r="101" spans="2:30" ht="23.5" hidden="1" customHeight="1">
      <c r="F101" s="1051">
        <v>15</v>
      </c>
      <c r="H101" s="2230" t="s">
        <v>5504</v>
      </c>
      <c r="I101" s="2230"/>
      <c r="K101" s="2230">
        <v>2</v>
      </c>
      <c r="L101" s="2230"/>
      <c r="N101" s="2230" t="s">
        <v>5505</v>
      </c>
      <c r="O101" s="2230"/>
      <c r="Q101" s="2231">
        <f>IF(OR(F101="",H101=""),"",F101*'Appliances References'!$AC$10)</f>
        <v>600</v>
      </c>
      <c r="R101" s="2231"/>
      <c r="S101" s="2078"/>
      <c r="T101" s="2078"/>
    </row>
    <row r="102" spans="2:30" ht="23.5" hidden="1" customHeight="1">
      <c r="F102" s="1049"/>
      <c r="H102" s="2229"/>
      <c r="I102" s="2229"/>
      <c r="K102" s="2229"/>
      <c r="L102" s="2229"/>
      <c r="N102" s="2230"/>
      <c r="O102" s="2230"/>
      <c r="Q102" s="2231" t="str">
        <f>IF(OR(F102="",H102=""),"",F102*'Appliances References'!$AC$10)</f>
        <v/>
      </c>
      <c r="R102" s="2231"/>
      <c r="S102" s="2078"/>
      <c r="T102" s="2078"/>
    </row>
    <row r="103" spans="2:30" ht="23.5" hidden="1" customHeight="1">
      <c r="F103" s="1049"/>
      <c r="H103" s="2229"/>
      <c r="I103" s="2229"/>
      <c r="K103" s="2229"/>
      <c r="L103" s="2229"/>
      <c r="N103" s="2230"/>
      <c r="O103" s="2230"/>
      <c r="Q103" s="2231" t="str">
        <f>IF(OR(F103="",H103=""),"",F103*'Appliances References'!$AC$10)</f>
        <v/>
      </c>
      <c r="R103" s="2231"/>
      <c r="S103" s="2078"/>
      <c r="T103" s="2078"/>
    </row>
    <row r="104" spans="2:30" ht="23.5" hidden="1" customHeight="1">
      <c r="F104" s="1049"/>
      <c r="H104" s="2229"/>
      <c r="I104" s="2229"/>
      <c r="K104" s="2229"/>
      <c r="L104" s="2229"/>
      <c r="N104" s="2230"/>
      <c r="O104" s="2230"/>
      <c r="Q104" s="2231" t="str">
        <f>IF(OR(F104="",H104=""),"",F104*'Appliances References'!$AC$10)</f>
        <v/>
      </c>
      <c r="R104" s="2231"/>
      <c r="S104" s="2078"/>
      <c r="T104" s="2078"/>
    </row>
    <row r="105" spans="2:30" ht="23.5" hidden="1" customHeight="1"/>
    <row r="106" spans="2:30" hidden="1"/>
    <row r="107" spans="2:30" ht="23.5" hidden="1" customHeight="1"/>
    <row r="108" spans="2:30" ht="19.5" hidden="1" customHeight="1"/>
    <row r="109" spans="2:30" ht="23.15" hidden="1" customHeight="1">
      <c r="B109" s="2237" t="str">
        <f>"ENERGY STAR - Clothes Dryer - Electric Resistance - $"&amp;'Appliances References'!AC8&amp;" each"</f>
        <v>ENERGY STAR - Clothes Dryer - Electric Resistance - $50 each</v>
      </c>
      <c r="C109" s="2237"/>
      <c r="D109" s="2237"/>
      <c r="E109" s="2237"/>
      <c r="F109" s="2237"/>
      <c r="G109" s="2237"/>
      <c r="H109" s="2237"/>
      <c r="I109" s="2237"/>
      <c r="J109" s="2237"/>
      <c r="K109" s="2237"/>
      <c r="L109" s="2237"/>
      <c r="M109" s="2237"/>
      <c r="N109" s="2237"/>
      <c r="O109" s="2237"/>
      <c r="P109" s="2237"/>
      <c r="Q109" s="2237"/>
      <c r="R109" s="2237"/>
      <c r="S109" s="2237"/>
      <c r="T109" s="2237"/>
      <c r="U109" s="2237"/>
      <c r="V109" s="2237"/>
      <c r="W109" s="2237"/>
      <c r="X109" s="2237"/>
      <c r="Y109" s="2237"/>
      <c r="Z109" s="2237"/>
      <c r="AA109" s="2237"/>
      <c r="AB109" s="2237"/>
      <c r="AC109" s="2237"/>
      <c r="AD109" s="2237"/>
    </row>
    <row r="110" spans="2:30" hidden="1"/>
    <row r="111" spans="2:30" hidden="1"/>
    <row r="112" spans="2:30" ht="35.15" hidden="1" customHeight="1">
      <c r="F112" s="700" t="s">
        <v>2046</v>
      </c>
      <c r="G112" s="700"/>
      <c r="H112" s="2232" t="s">
        <v>2064</v>
      </c>
      <c r="I112" s="2232"/>
      <c r="K112" s="2232" t="s">
        <v>80</v>
      </c>
      <c r="L112" s="2232"/>
      <c r="N112" s="2232" t="s">
        <v>78</v>
      </c>
      <c r="O112" s="2232"/>
      <c r="Q112" s="2232" t="s">
        <v>216</v>
      </c>
      <c r="R112" s="2232"/>
      <c r="S112" s="700"/>
      <c r="T112" s="700"/>
    </row>
    <row r="113" spans="2:30" ht="23.5" hidden="1" customHeight="1">
      <c r="F113" s="1051"/>
      <c r="H113" s="2230"/>
      <c r="I113" s="2230"/>
      <c r="K113" s="2230"/>
      <c r="L113" s="2230"/>
      <c r="N113" s="2230"/>
      <c r="O113" s="2230"/>
      <c r="Q113" s="2231" t="str">
        <f>IF(OR(F113="",H113=""),"",F113*'Appliances References'!$AC$8)</f>
        <v/>
      </c>
      <c r="R113" s="2231"/>
      <c r="S113" s="2078"/>
      <c r="T113" s="2078"/>
    </row>
    <row r="114" spans="2:30" ht="23.5" hidden="1" customHeight="1">
      <c r="F114" s="1049"/>
      <c r="H114" s="2229"/>
      <c r="I114" s="2229"/>
      <c r="K114" s="2229"/>
      <c r="L114" s="2229"/>
      <c r="N114" s="2230"/>
      <c r="O114" s="2230"/>
      <c r="Q114" s="2231" t="str">
        <f>IF(OR(F114="",H114=""),"",F114*'Appliances References'!$AC$8)</f>
        <v/>
      </c>
      <c r="R114" s="2231"/>
      <c r="S114" s="2078"/>
      <c r="T114" s="2078"/>
    </row>
    <row r="115" spans="2:30" ht="23.5" hidden="1" customHeight="1">
      <c r="F115" s="1049"/>
      <c r="H115" s="2229"/>
      <c r="I115" s="2229"/>
      <c r="K115" s="2229"/>
      <c r="L115" s="2229"/>
      <c r="N115" s="2230"/>
      <c r="O115" s="2230"/>
      <c r="Q115" s="2231" t="str">
        <f>IF(OR(F115="",H115=""),"",F115*'Appliances References'!$AC$8)</f>
        <v/>
      </c>
      <c r="R115" s="2231"/>
      <c r="S115" s="2078"/>
      <c r="T115" s="2078"/>
    </row>
    <row r="116" spans="2:30" ht="23.5" hidden="1" customHeight="1">
      <c r="F116" s="1049"/>
      <c r="H116" s="2229"/>
      <c r="I116" s="2229"/>
      <c r="K116" s="2229"/>
      <c r="L116" s="2229"/>
      <c r="N116" s="2230"/>
      <c r="O116" s="2230"/>
      <c r="Q116" s="2231" t="str">
        <f>IF(OR(F116="",H116=""),"",F116*'Appliances References'!$AC$8)</f>
        <v/>
      </c>
      <c r="R116" s="2231"/>
      <c r="S116" s="2078"/>
      <c r="T116" s="2078"/>
    </row>
    <row r="117" spans="2:30" ht="23.5" hidden="1" customHeight="1"/>
    <row r="118" spans="2:30" hidden="1">
      <c r="X118" s="1538"/>
      <c r="Y118" s="1538"/>
      <c r="Z118" s="1538"/>
      <c r="AA118" s="1538"/>
      <c r="AB118" s="1538"/>
      <c r="AC118" s="1538"/>
    </row>
    <row r="119" spans="2:30" hidden="1"/>
    <row r="120" spans="2:30" ht="21.65" hidden="1" customHeight="1"/>
    <row r="121" spans="2:30" ht="21.65" hidden="1" customHeight="1"/>
    <row r="122" spans="2:30" ht="23.15" customHeight="1">
      <c r="B122" s="2228" t="str">
        <f>"ENERGY STAR - In-Unit Heat Pump Water Heater ≤  55 gallons or &gt; 55 gallons - $"&amp;'Appliances References'!AC5&amp;" each"</f>
        <v>ENERGY STAR - In-Unit Heat Pump Water Heater ≤  55 gallons or &gt; 55 gallons - $1000 each</v>
      </c>
      <c r="C122" s="2228"/>
      <c r="D122" s="2228"/>
      <c r="E122" s="2228"/>
      <c r="F122" s="2228"/>
      <c r="G122" s="2228"/>
      <c r="H122" s="2228"/>
      <c r="I122" s="2228"/>
      <c r="J122" s="2228"/>
      <c r="K122" s="2228"/>
      <c r="L122" s="2228"/>
      <c r="M122" s="2228"/>
      <c r="N122" s="2228"/>
      <c r="O122" s="2228"/>
      <c r="P122" s="2228"/>
      <c r="Q122" s="2228"/>
      <c r="R122" s="2228"/>
      <c r="S122" s="2228"/>
      <c r="T122" s="2228"/>
      <c r="U122" s="2228"/>
      <c r="V122" s="2228"/>
      <c r="W122" s="2228"/>
      <c r="X122" s="2228"/>
      <c r="Y122" s="2228"/>
      <c r="Z122" s="2228"/>
      <c r="AA122" s="2228"/>
      <c r="AB122" s="2228"/>
      <c r="AC122" s="2228"/>
      <c r="AD122" s="2228"/>
    </row>
    <row r="123" spans="2:30" ht="23.15" customHeight="1">
      <c r="B123" t="s">
        <v>1255</v>
      </c>
      <c r="C123" s="2246" t="s">
        <v>5646</v>
      </c>
      <c r="D123" s="2246"/>
      <c r="E123" s="2246"/>
      <c r="F123" s="2246"/>
      <c r="G123" s="2246"/>
      <c r="H123" s="2246"/>
      <c r="I123" s="2246"/>
      <c r="J123" s="2246"/>
      <c r="K123" s="2246"/>
      <c r="L123" s="2246"/>
      <c r="M123" s="2246"/>
      <c r="N123" s="2246"/>
      <c r="O123" s="2246"/>
      <c r="P123"/>
      <c r="Q123"/>
      <c r="R123"/>
      <c r="S123"/>
      <c r="T123"/>
      <c r="U123"/>
      <c r="V123"/>
      <c r="W123"/>
      <c r="X123"/>
      <c r="Y123"/>
      <c r="Z123"/>
      <c r="AA123"/>
      <c r="AB123"/>
      <c r="AC123"/>
      <c r="AD123"/>
    </row>
    <row r="124" spans="2:30" ht="23.15" customHeight="1">
      <c r="B124" t="s">
        <v>1253</v>
      </c>
      <c r="C124" s="1593" t="s">
        <v>5645</v>
      </c>
      <c r="D124" s="138"/>
      <c r="E124" s="2025"/>
      <c r="F124" s="2025"/>
      <c r="G124"/>
      <c r="H124"/>
      <c r="I124"/>
      <c r="J124"/>
      <c r="K124"/>
      <c r="L124"/>
      <c r="M124"/>
      <c r="N124"/>
      <c r="O124"/>
      <c r="P124"/>
      <c r="Q124"/>
      <c r="R124"/>
      <c r="S124"/>
      <c r="T124"/>
      <c r="U124"/>
      <c r="V124"/>
      <c r="W124"/>
      <c r="X124"/>
      <c r="Y124"/>
      <c r="Z124"/>
      <c r="AA124"/>
      <c r="AB124"/>
      <c r="AC124"/>
      <c r="AD124"/>
    </row>
    <row r="125" spans="2:30" ht="23.15" customHeight="1">
      <c r="B125" t="s">
        <v>1251</v>
      </c>
      <c r="C125" s="1593" t="s">
        <v>5647</v>
      </c>
      <c r="E125" s="2025"/>
      <c r="F125" s="2025"/>
      <c r="G125"/>
      <c r="H125"/>
      <c r="I125"/>
      <c r="J125"/>
      <c r="K125"/>
      <c r="L125"/>
      <c r="M125"/>
      <c r="N125"/>
      <c r="O125"/>
      <c r="P125"/>
      <c r="Q125"/>
      <c r="R125"/>
      <c r="S125"/>
      <c r="T125"/>
      <c r="U125"/>
      <c r="V125"/>
      <c r="W125"/>
      <c r="X125"/>
      <c r="Y125"/>
      <c r="Z125"/>
      <c r="AA125"/>
      <c r="AB125"/>
      <c r="AC125"/>
      <c r="AD125"/>
    </row>
    <row r="128" spans="2:30" ht="35.15" customHeight="1">
      <c r="F128" s="700" t="s">
        <v>2046</v>
      </c>
      <c r="H128" s="2232" t="s">
        <v>2047</v>
      </c>
      <c r="I128" s="2232"/>
      <c r="K128" s="2232" t="s">
        <v>2064</v>
      </c>
      <c r="L128" s="2232"/>
      <c r="N128" s="2232" t="s">
        <v>80</v>
      </c>
      <c r="O128" s="2232"/>
      <c r="Q128" s="2232" t="s">
        <v>78</v>
      </c>
      <c r="R128" s="2232"/>
      <c r="S128" s="700"/>
      <c r="T128" s="2232" t="s">
        <v>683</v>
      </c>
      <c r="U128" s="2232"/>
      <c r="V128" s="700"/>
      <c r="W128" s="2232" t="s">
        <v>216</v>
      </c>
      <c r="X128" s="2232"/>
      <c r="Y128" s="700"/>
      <c r="Z128" s="700"/>
      <c r="AA128" s="700"/>
      <c r="AB128" s="700"/>
      <c r="AC128" s="700"/>
    </row>
    <row r="129" spans="1:31" ht="23.5" customHeight="1">
      <c r="F129" s="2085"/>
      <c r="G129" s="69"/>
      <c r="H129" s="2239"/>
      <c r="I129" s="2239"/>
      <c r="J129" s="69"/>
      <c r="K129" s="2239"/>
      <c r="L129" s="2239"/>
      <c r="M129" s="69"/>
      <c r="N129" s="2239"/>
      <c r="O129" s="2239"/>
      <c r="P129" s="69"/>
      <c r="Q129" s="2239"/>
      <c r="R129" s="2239"/>
      <c r="S129" s="2086"/>
      <c r="T129" s="2240"/>
      <c r="U129" s="2240"/>
      <c r="V129"/>
      <c r="W129" s="2238">
        <f>MIN('Appliances References'!M30,'Multi-Family Heat Pumps'!T129*0.5)</f>
        <v>0</v>
      </c>
      <c r="X129" s="2238"/>
      <c r="Y129" s="1539"/>
      <c r="Z129" s="1539"/>
      <c r="AA129" s="1539"/>
      <c r="AB129" s="1539"/>
      <c r="AC129" s="1539"/>
    </row>
    <row r="130" spans="1:31" customFormat="1" ht="10" customHeight="1">
      <c r="F130" s="2086"/>
      <c r="G130" s="2086"/>
      <c r="H130" s="2086"/>
      <c r="I130" s="2086"/>
      <c r="J130" s="2086"/>
      <c r="K130" s="2086"/>
      <c r="L130" s="2086"/>
      <c r="M130" s="2086"/>
      <c r="N130" s="2086"/>
      <c r="O130" s="2086"/>
      <c r="P130" s="2086"/>
      <c r="Q130" s="2086"/>
      <c r="R130" s="2086"/>
      <c r="S130" s="2086"/>
      <c r="T130" s="2086"/>
      <c r="U130" s="2086"/>
      <c r="W130" s="69"/>
      <c r="X130" s="69"/>
    </row>
    <row r="131" spans="1:31" ht="23.5" customHeight="1">
      <c r="F131" s="2085"/>
      <c r="G131" s="69"/>
      <c r="H131" s="2239"/>
      <c r="I131" s="2239"/>
      <c r="J131" s="69"/>
      <c r="K131" s="2239"/>
      <c r="L131" s="2239"/>
      <c r="M131" s="69"/>
      <c r="N131" s="2239"/>
      <c r="O131" s="2239"/>
      <c r="P131" s="69"/>
      <c r="Q131" s="2239"/>
      <c r="R131" s="2239"/>
      <c r="S131" s="2086"/>
      <c r="T131" s="2240"/>
      <c r="U131" s="2240"/>
      <c r="V131"/>
      <c r="W131" s="2238">
        <f>MIN('Appliances References'!M31,'Multi-Family Heat Pumps'!T131*0.5)</f>
        <v>0</v>
      </c>
      <c r="X131" s="2238"/>
      <c r="Y131" s="1539"/>
      <c r="Z131" s="1539"/>
      <c r="AA131" s="1539"/>
      <c r="AB131" s="1539"/>
      <c r="AC131" s="1539"/>
    </row>
    <row r="132" spans="1:31" customFormat="1" ht="10" customHeight="1">
      <c r="F132" s="2086"/>
      <c r="G132" s="2086"/>
      <c r="H132" s="2086"/>
      <c r="I132" s="2086"/>
      <c r="J132" s="2086"/>
      <c r="K132" s="2086"/>
      <c r="L132" s="2086"/>
      <c r="M132" s="2086"/>
      <c r="N132" s="2086"/>
      <c r="O132" s="2086"/>
      <c r="P132" s="2086"/>
      <c r="Q132" s="2086"/>
      <c r="R132" s="2086"/>
      <c r="S132" s="2086"/>
      <c r="T132" s="2086"/>
      <c r="U132" s="2086"/>
      <c r="W132" s="69"/>
      <c r="X132" s="69"/>
    </row>
    <row r="133" spans="1:31" ht="23.5" customHeight="1">
      <c r="F133" s="2085"/>
      <c r="G133" s="69"/>
      <c r="H133" s="2239"/>
      <c r="I133" s="2239"/>
      <c r="J133" s="69"/>
      <c r="K133" s="2239"/>
      <c r="L133" s="2239"/>
      <c r="M133" s="69"/>
      <c r="N133" s="2239"/>
      <c r="O133" s="2239"/>
      <c r="P133" s="69"/>
      <c r="Q133" s="2239"/>
      <c r="R133" s="2239"/>
      <c r="S133" s="2086"/>
      <c r="T133" s="2240"/>
      <c r="U133" s="2240"/>
      <c r="V133"/>
      <c r="W133" s="2238">
        <f>MIN('Appliances References'!M32,'Multi-Family Heat Pumps'!T133*0.5)</f>
        <v>0</v>
      </c>
      <c r="X133" s="2238"/>
      <c r="Y133" s="1539"/>
      <c r="Z133" s="1539"/>
      <c r="AA133" s="1539"/>
      <c r="AB133" s="1539"/>
      <c r="AC133" s="1539"/>
    </row>
    <row r="134" spans="1:31" customFormat="1" ht="10" customHeight="1">
      <c r="F134" s="2086"/>
      <c r="G134" s="2086"/>
      <c r="H134" s="2086"/>
      <c r="I134" s="2086"/>
      <c r="J134" s="2086"/>
      <c r="K134" s="2086"/>
      <c r="L134" s="2086"/>
      <c r="M134" s="2086"/>
      <c r="N134" s="2086"/>
      <c r="O134" s="2086"/>
      <c r="P134" s="2086"/>
      <c r="Q134" s="2086"/>
      <c r="R134" s="2086"/>
      <c r="S134" s="2086"/>
      <c r="T134" s="2086"/>
      <c r="U134" s="2086"/>
      <c r="W134" s="69"/>
      <c r="X134" s="69"/>
    </row>
    <row r="135" spans="1:31" ht="23.5" customHeight="1">
      <c r="F135" s="2085"/>
      <c r="G135" s="69"/>
      <c r="H135" s="2239"/>
      <c r="I135" s="2239"/>
      <c r="J135" s="69"/>
      <c r="K135" s="2239"/>
      <c r="L135" s="2239"/>
      <c r="M135" s="69"/>
      <c r="N135" s="2239"/>
      <c r="O135" s="2239"/>
      <c r="P135" s="69"/>
      <c r="Q135" s="2239"/>
      <c r="R135" s="2239"/>
      <c r="S135" s="2086"/>
      <c r="T135" s="2240"/>
      <c r="U135" s="2240"/>
      <c r="V135"/>
      <c r="W135" s="2238">
        <f>MIN('Appliances References'!M33,'Multi-Family Heat Pumps'!T135*0.5)</f>
        <v>0</v>
      </c>
      <c r="X135" s="2238"/>
      <c r="Y135" s="1539"/>
      <c r="Z135" s="1539"/>
      <c r="AA135" s="1539"/>
      <c r="AB135" s="1539"/>
      <c r="AC135" s="1539"/>
    </row>
    <row r="136" spans="1:31" ht="23.5" customHeight="1"/>
    <row r="142" spans="1:31">
      <c r="A142" s="764"/>
      <c r="B142" s="157"/>
      <c r="C142" s="157"/>
      <c r="D142" s="1602"/>
      <c r="E142" s="157"/>
      <c r="F142" s="157"/>
      <c r="G142" s="157"/>
      <c r="H142" s="157"/>
      <c r="I142" s="157"/>
      <c r="J142" s="157"/>
      <c r="K142" s="157"/>
      <c r="L142" s="157"/>
    </row>
    <row r="143" spans="1:31" s="49" customFormat="1">
      <c r="A143" s="2208" t="s">
        <v>223</v>
      </c>
      <c r="B143" s="2208"/>
      <c r="C143" s="2208"/>
      <c r="D143" s="668" t="str">
        <f>Development!$A$2</f>
        <v>2.0</v>
      </c>
      <c r="E143" s="2072"/>
      <c r="F143" s="2072"/>
      <c r="G143" s="2137"/>
      <c r="H143" s="2137"/>
      <c r="I143" s="2137"/>
      <c r="J143" s="83"/>
      <c r="W143" s="2074"/>
      <c r="X143" s="2074"/>
      <c r="Y143" s="84" t="s">
        <v>225</v>
      </c>
      <c r="Z143" s="2073" t="str">
        <f>Development!$A$4</f>
        <v>4.01.2024</v>
      </c>
      <c r="AA143" s="2074"/>
      <c r="AB143" s="2074"/>
      <c r="AC143" s="2074"/>
      <c r="AD143" s="2074"/>
      <c r="AE143" s="2074"/>
    </row>
    <row r="144" spans="1:31" ht="21.65" customHeight="1">
      <c r="B144"/>
      <c r="C144"/>
      <c r="D144"/>
      <c r="E144"/>
      <c r="F144"/>
      <c r="G144"/>
      <c r="H144"/>
      <c r="I144"/>
      <c r="J144"/>
      <c r="K144"/>
      <c r="L144"/>
      <c r="M144"/>
      <c r="N144"/>
      <c r="O144"/>
      <c r="P144"/>
      <c r="Q144"/>
      <c r="R144"/>
      <c r="S144"/>
      <c r="T144"/>
      <c r="U144"/>
      <c r="V144"/>
      <c r="W144"/>
      <c r="X144"/>
      <c r="Y144"/>
      <c r="Z144"/>
    </row>
    <row r="145" spans="2:30" ht="23.15" hidden="1" customHeight="1">
      <c r="B145" s="2237" t="s">
        <v>4003</v>
      </c>
      <c r="C145" s="2237"/>
      <c r="D145" s="2237"/>
      <c r="E145" s="2237"/>
      <c r="F145" s="2237"/>
      <c r="G145" s="2237"/>
      <c r="H145" s="2237"/>
      <c r="I145" s="2237"/>
      <c r="J145" s="2237"/>
      <c r="K145" s="2237"/>
      <c r="L145" s="2237"/>
      <c r="M145" s="2237"/>
      <c r="N145" s="2237"/>
      <c r="O145" s="2237"/>
      <c r="P145" s="2237"/>
      <c r="Q145" s="2237"/>
      <c r="R145" s="2237"/>
      <c r="S145" s="2237"/>
      <c r="T145" s="2237"/>
      <c r="U145" s="2237"/>
      <c r="V145" s="2237"/>
      <c r="W145" s="2237"/>
      <c r="X145" s="2237"/>
      <c r="Y145" s="2237"/>
      <c r="Z145" s="2237"/>
      <c r="AA145" s="2237"/>
      <c r="AB145" s="2237"/>
      <c r="AC145" s="2237"/>
      <c r="AD145" s="2237"/>
    </row>
    <row r="146" spans="2:30" hidden="1"/>
    <row r="147" spans="2:30" hidden="1"/>
    <row r="148" spans="2:30" ht="35.15" hidden="1" customHeight="1">
      <c r="F148" s="700" t="s">
        <v>2046</v>
      </c>
      <c r="H148" s="2232" t="s">
        <v>2047</v>
      </c>
      <c r="I148" s="2232"/>
      <c r="K148" s="2232" t="s">
        <v>80</v>
      </c>
      <c r="L148" s="2232"/>
      <c r="N148" s="2232" t="s">
        <v>78</v>
      </c>
      <c r="O148" s="2232"/>
      <c r="Q148" s="700" t="s">
        <v>216</v>
      </c>
      <c r="R148" s="700"/>
      <c r="S148" s="700"/>
      <c r="T148" s="700"/>
    </row>
    <row r="149" spans="2:30" ht="23.5" hidden="1" customHeight="1">
      <c r="F149" s="1051"/>
      <c r="H149" s="2243"/>
      <c r="I149" s="2243"/>
      <c r="K149" s="2224"/>
      <c r="L149" s="2224"/>
      <c r="N149" s="2224"/>
      <c r="O149" s="2224"/>
      <c r="Q149" s="2241" t="str">
        <f>IF(F149="","",IF(H149='Appliances References'!$C$7,'Appliances References'!$AC$20*F149,'Appliances References'!$AC$21*F149))</f>
        <v/>
      </c>
      <c r="R149" s="2241"/>
      <c r="S149" s="2079"/>
      <c r="T149" s="2079"/>
    </row>
    <row r="150" spans="2:30" ht="23.5" hidden="1" customHeight="1">
      <c r="F150" s="1049"/>
      <c r="H150" s="2243"/>
      <c r="I150" s="2243"/>
      <c r="K150" s="2224"/>
      <c r="L150" s="2224"/>
      <c r="N150" s="2224"/>
      <c r="O150" s="2224"/>
      <c r="Q150" s="2241" t="str">
        <f>IF(F150="","",IF(H150='Appliances References'!$C$7,'Appliances References'!$AC$20*F150,'Appliances References'!$AC$21*F150))</f>
        <v/>
      </c>
      <c r="R150" s="2241"/>
      <c r="S150" s="2079"/>
      <c r="T150" s="2079"/>
    </row>
    <row r="151" spans="2:30" ht="23.5" hidden="1" customHeight="1">
      <c r="F151" s="1049"/>
      <c r="H151" s="2243"/>
      <c r="I151" s="2243"/>
      <c r="K151" s="2224"/>
      <c r="L151" s="2224"/>
      <c r="N151" s="2224"/>
      <c r="O151" s="2224"/>
      <c r="Q151" s="2241" t="str">
        <f>IF(F151="","",IF(H151='Appliances References'!$C$7,'Appliances References'!$AC$20*F151,'Appliances References'!$AC$21*F151))</f>
        <v/>
      </c>
      <c r="R151" s="2241"/>
      <c r="S151" s="2079"/>
      <c r="T151" s="2079"/>
    </row>
    <row r="152" spans="2:30" ht="23.5" hidden="1" customHeight="1">
      <c r="F152" s="1049"/>
      <c r="H152" s="2243"/>
      <c r="I152" s="2243"/>
      <c r="K152" s="2224"/>
      <c r="L152" s="2224"/>
      <c r="N152" s="2224"/>
      <c r="O152" s="2224"/>
      <c r="Q152" s="2241" t="str">
        <f>IF(F152="","",IF(H152='Appliances References'!$C$7,'Appliances References'!$AC$20*F152,'Appliances References'!$AC$21*F152))</f>
        <v/>
      </c>
      <c r="R152" s="2241"/>
      <c r="S152" s="2079"/>
      <c r="T152" s="2079"/>
    </row>
    <row r="153" spans="2:30" ht="23.5" hidden="1" customHeight="1"/>
    <row r="154" spans="2:30" hidden="1"/>
    <row r="155" spans="2:30" hidden="1"/>
    <row r="156" spans="2:30" ht="21.65" hidden="1" customHeight="1"/>
    <row r="157" spans="2:30" ht="23.15" hidden="1" customHeight="1">
      <c r="B157" s="2237" t="str">
        <f>"ENERGY STAR - Room Air Purifier CADR ≤ 150  -  $"&amp;'Appliances References'!AC12&amp;" each"</f>
        <v>ENERGY STAR - Room Air Purifier CADR ≤ 150  -  $60 each</v>
      </c>
      <c r="C157" s="2237"/>
      <c r="D157" s="2237"/>
      <c r="E157" s="2237"/>
      <c r="F157" s="2237"/>
      <c r="G157" s="2237"/>
      <c r="H157" s="2237"/>
      <c r="I157" s="2237"/>
      <c r="J157" s="2237"/>
      <c r="K157" s="2237"/>
      <c r="L157" s="2237"/>
      <c r="M157" s="2237"/>
      <c r="N157" s="2237"/>
      <c r="O157" s="2237"/>
      <c r="P157" s="2237"/>
      <c r="Q157" s="2237"/>
      <c r="R157" s="2237"/>
      <c r="S157" s="2237"/>
      <c r="T157" s="2237"/>
      <c r="U157" s="2237"/>
      <c r="V157" s="2237"/>
      <c r="W157" s="2237"/>
      <c r="X157" s="2237"/>
      <c r="Y157" s="2237"/>
      <c r="Z157" s="2237"/>
      <c r="AA157" s="2237"/>
      <c r="AB157" s="2237"/>
      <c r="AC157" s="2237"/>
      <c r="AD157" s="2237"/>
    </row>
    <row r="158" spans="2:30" hidden="1"/>
    <row r="159" spans="2:30" hidden="1"/>
    <row r="160" spans="2:30" ht="35.15" hidden="1" customHeight="1">
      <c r="F160" s="700" t="s">
        <v>2046</v>
      </c>
      <c r="G160" s="700"/>
      <c r="H160" s="2232" t="s">
        <v>2064</v>
      </c>
      <c r="I160" s="2232"/>
      <c r="K160" s="2232" t="s">
        <v>80</v>
      </c>
      <c r="L160" s="2232"/>
      <c r="N160" s="2232" t="s">
        <v>78</v>
      </c>
      <c r="O160" s="2232"/>
      <c r="Q160" s="2232" t="s">
        <v>216</v>
      </c>
      <c r="R160" s="2232"/>
      <c r="S160" s="700"/>
      <c r="T160" s="700"/>
    </row>
    <row r="161" spans="2:30" ht="23.5" hidden="1" customHeight="1">
      <c r="F161" s="1051"/>
      <c r="H161" s="2230"/>
      <c r="I161" s="2230"/>
      <c r="K161" s="2230"/>
      <c r="L161" s="2230"/>
      <c r="N161" s="2230"/>
      <c r="O161" s="2230"/>
      <c r="Q161" s="2231" t="str">
        <f>IF(OR(F161="",H161=""),"",F161*'Appliances References'!$AC$12)</f>
        <v/>
      </c>
      <c r="R161" s="2231"/>
      <c r="S161" s="2078"/>
      <c r="T161" s="2078"/>
    </row>
    <row r="162" spans="2:30" ht="23.5" hidden="1" customHeight="1">
      <c r="F162" s="1049"/>
      <c r="H162" s="2229"/>
      <c r="I162" s="2229"/>
      <c r="K162" s="2229"/>
      <c r="L162" s="2229"/>
      <c r="N162" s="2229"/>
      <c r="O162" s="2229"/>
      <c r="Q162" s="2231" t="str">
        <f>IF(OR(F162="",H162=""),"",F162*'Appliances References'!$AC$12)</f>
        <v/>
      </c>
      <c r="R162" s="2231"/>
      <c r="S162" s="2078"/>
      <c r="T162" s="2078"/>
    </row>
    <row r="163" spans="2:30" ht="23.5" hidden="1" customHeight="1">
      <c r="F163" s="1049"/>
      <c r="H163" s="2229"/>
      <c r="I163" s="2229"/>
      <c r="K163" s="2229"/>
      <c r="L163" s="2229"/>
      <c r="N163" s="2229"/>
      <c r="O163" s="2229"/>
      <c r="Q163" s="2231" t="str">
        <f>IF(OR(F163="",H163=""),"",F163*'Appliances References'!$AC$12)</f>
        <v/>
      </c>
      <c r="R163" s="2231"/>
      <c r="S163" s="2078"/>
      <c r="T163" s="2078"/>
    </row>
    <row r="164" spans="2:30" ht="23.5" hidden="1" customHeight="1">
      <c r="F164" s="1049"/>
      <c r="H164" s="2229"/>
      <c r="I164" s="2229"/>
      <c r="K164" s="2229"/>
      <c r="L164" s="2229"/>
      <c r="N164" s="2229"/>
      <c r="O164" s="2229"/>
      <c r="Q164" s="2231" t="str">
        <f>IF(OR(F164="",H164=""),"",F164*'Appliances References'!$AC$12)</f>
        <v/>
      </c>
      <c r="R164" s="2231"/>
      <c r="S164" s="2078"/>
      <c r="T164" s="2078"/>
    </row>
    <row r="165" spans="2:30" ht="22.5" hidden="1" customHeight="1"/>
    <row r="166" spans="2:30" ht="21.65" hidden="1" customHeight="1"/>
    <row r="167" spans="2:30" ht="21.65" hidden="1" customHeight="1"/>
    <row r="168" spans="2:30" ht="23.15" hidden="1" customHeight="1">
      <c r="B168" s="2237" t="str">
        <f>"ENERGY STAR - Room Air Purifier CADR &gt; 150  -  $"&amp;'Appliances References'!AC13&amp;" each"</f>
        <v>ENERGY STAR - Room Air Purifier CADR &gt; 150  -  $80 each</v>
      </c>
      <c r="C168" s="2237"/>
      <c r="D168" s="2237"/>
      <c r="E168" s="2237"/>
      <c r="F168" s="2237"/>
      <c r="G168" s="2237"/>
      <c r="H168" s="2237"/>
      <c r="I168" s="2237"/>
      <c r="J168" s="2237"/>
      <c r="K168" s="2237"/>
      <c r="L168" s="2237"/>
      <c r="M168" s="2237"/>
      <c r="N168" s="2237"/>
      <c r="O168" s="2237"/>
      <c r="P168" s="2237"/>
      <c r="Q168" s="2237"/>
      <c r="R168" s="2237"/>
      <c r="S168" s="2237"/>
      <c r="T168" s="2237"/>
      <c r="U168" s="2237"/>
      <c r="V168" s="2237"/>
      <c r="W168" s="2237"/>
      <c r="X168" s="2237"/>
      <c r="Y168" s="2237"/>
      <c r="Z168" s="2237"/>
      <c r="AA168" s="2237"/>
      <c r="AB168" s="2237"/>
      <c r="AC168" s="2237"/>
      <c r="AD168" s="2237"/>
    </row>
    <row r="169" spans="2:30" hidden="1"/>
    <row r="170" spans="2:30" hidden="1"/>
    <row r="171" spans="2:30" ht="35.15" hidden="1" customHeight="1">
      <c r="F171" s="700" t="s">
        <v>2046</v>
      </c>
      <c r="G171" s="700"/>
      <c r="H171" s="2232" t="s">
        <v>2064</v>
      </c>
      <c r="I171" s="2232"/>
      <c r="K171" s="2232" t="s">
        <v>80</v>
      </c>
      <c r="L171" s="2232"/>
      <c r="N171" s="2232" t="s">
        <v>78</v>
      </c>
      <c r="O171" s="2232"/>
      <c r="Q171" s="2232" t="s">
        <v>216</v>
      </c>
      <c r="R171" s="2232"/>
      <c r="S171" s="700"/>
      <c r="T171" s="700"/>
    </row>
    <row r="172" spans="2:30" ht="23.5" hidden="1" customHeight="1">
      <c r="F172" s="1051">
        <v>15</v>
      </c>
      <c r="H172" s="2230">
        <v>4242343</v>
      </c>
      <c r="I172" s="2230"/>
      <c r="K172" s="2230" t="s">
        <v>3890</v>
      </c>
      <c r="L172" s="2230"/>
      <c r="N172" s="2230" t="s">
        <v>5502</v>
      </c>
      <c r="O172" s="2230"/>
      <c r="Q172" s="2231">
        <f>IF(OR(F172="",H172=""),"",F172*'Appliances References'!$AC$13)</f>
        <v>1200</v>
      </c>
      <c r="R172" s="2231"/>
      <c r="S172" s="2078"/>
      <c r="T172" s="2078"/>
    </row>
    <row r="173" spans="2:30" ht="23.5" hidden="1" customHeight="1">
      <c r="F173" s="1049"/>
      <c r="H173" s="2229"/>
      <c r="I173" s="2229"/>
      <c r="K173" s="2229"/>
      <c r="L173" s="2229"/>
      <c r="N173" s="2229"/>
      <c r="O173" s="2229"/>
      <c r="Q173" s="2231" t="str">
        <f>IF(OR(F173="",H173=""),"",F173*'Appliances References'!$AC$13)</f>
        <v/>
      </c>
      <c r="R173" s="2231"/>
      <c r="S173" s="2078"/>
      <c r="T173" s="2078"/>
    </row>
    <row r="174" spans="2:30" ht="23.5" hidden="1" customHeight="1">
      <c r="F174" s="1049"/>
      <c r="H174" s="2229"/>
      <c r="I174" s="2229"/>
      <c r="K174" s="2229"/>
      <c r="L174" s="2229"/>
      <c r="N174" s="2229"/>
      <c r="O174" s="2229"/>
      <c r="Q174" s="2231" t="str">
        <f>IF(OR(F174="",H174=""),"",F174*'Appliances References'!$AC$13)</f>
        <v/>
      </c>
      <c r="R174" s="2231"/>
      <c r="S174" s="2078"/>
      <c r="T174" s="2078"/>
    </row>
    <row r="175" spans="2:30" ht="23.5" hidden="1" customHeight="1">
      <c r="F175" s="1049"/>
      <c r="H175" s="2229"/>
      <c r="I175" s="2229"/>
      <c r="K175" s="2229"/>
      <c r="L175" s="2229"/>
      <c r="N175" s="2229"/>
      <c r="O175" s="2229"/>
      <c r="Q175" s="2231" t="str">
        <f>IF(OR(F175="",H175=""),"",F175*'Appliances References'!$AC$13)</f>
        <v/>
      </c>
      <c r="R175" s="2231"/>
      <c r="S175" s="2078"/>
      <c r="T175" s="2078"/>
    </row>
    <row r="176" spans="2:30" ht="23.5" hidden="1" customHeight="1"/>
    <row r="177" spans="2:30" ht="21.65" hidden="1" customHeight="1"/>
    <row r="178" spans="2:30" ht="21.65" hidden="1" customHeight="1"/>
    <row r="179" spans="2:30" ht="23.15" hidden="1" customHeight="1">
      <c r="B179" s="2237" t="str">
        <f>"ENERGY STAR - Dehumidifier  -  $"&amp;'Appliances References'!AC14&amp;" each"</f>
        <v>ENERGY STAR - Dehumidifier  -  $30 each</v>
      </c>
      <c r="C179" s="2237"/>
      <c r="D179" s="2237"/>
      <c r="E179" s="2237"/>
      <c r="F179" s="2237"/>
      <c r="G179" s="2237"/>
      <c r="H179" s="2237"/>
      <c r="I179" s="2237"/>
      <c r="J179" s="2237"/>
      <c r="K179" s="2237"/>
      <c r="L179" s="2237"/>
      <c r="M179" s="2237"/>
      <c r="N179" s="2237"/>
      <c r="O179" s="2237"/>
      <c r="P179" s="2237"/>
      <c r="Q179" s="2237"/>
      <c r="R179" s="2237"/>
      <c r="S179" s="2237"/>
      <c r="T179" s="2237"/>
      <c r="U179" s="2237"/>
      <c r="V179" s="2237"/>
      <c r="W179" s="2237"/>
      <c r="X179" s="2237"/>
      <c r="Y179" s="2237"/>
      <c r="Z179" s="2237"/>
      <c r="AA179" s="2237"/>
      <c r="AB179" s="2237"/>
      <c r="AC179" s="2237"/>
      <c r="AD179" s="2237"/>
    </row>
    <row r="180" spans="2:30" hidden="1"/>
    <row r="181" spans="2:30" hidden="1"/>
    <row r="182" spans="2:30" ht="35.15" hidden="1" customHeight="1">
      <c r="F182" s="700" t="s">
        <v>2046</v>
      </c>
      <c r="G182" s="700"/>
      <c r="H182" s="2232" t="s">
        <v>2064</v>
      </c>
      <c r="I182" s="2232"/>
      <c r="K182" s="2232" t="s">
        <v>80</v>
      </c>
      <c r="L182" s="2232"/>
      <c r="N182" s="2232" t="s">
        <v>78</v>
      </c>
      <c r="O182" s="2232"/>
      <c r="Q182" s="2232" t="s">
        <v>216</v>
      </c>
      <c r="R182" s="2232"/>
      <c r="S182" s="700"/>
      <c r="T182" s="700"/>
    </row>
    <row r="183" spans="2:30" ht="23.5" hidden="1" customHeight="1">
      <c r="F183" s="1050"/>
      <c r="H183" s="2230"/>
      <c r="I183" s="2230"/>
      <c r="K183" s="2230"/>
      <c r="L183" s="2230"/>
      <c r="N183" s="2230"/>
      <c r="O183" s="2230"/>
      <c r="Q183" s="2231" t="str">
        <f>IF(OR(F183="",H183=""),"",F183*'Appliances References'!$AC$14)</f>
        <v/>
      </c>
      <c r="R183" s="2231"/>
      <c r="S183" s="2078"/>
      <c r="T183" s="2078"/>
    </row>
    <row r="184" spans="2:30" ht="23.5" hidden="1" customHeight="1">
      <c r="F184" s="1049"/>
      <c r="H184" s="2229"/>
      <c r="I184" s="2229"/>
      <c r="K184" s="2229"/>
      <c r="L184" s="2229"/>
      <c r="N184" s="2230"/>
      <c r="O184" s="2230"/>
      <c r="Q184" s="2231" t="str">
        <f>IF(OR(F184="",H184=""),"",F184*'Appliances References'!$AC$14)</f>
        <v/>
      </c>
      <c r="R184" s="2231"/>
      <c r="S184" s="2078"/>
      <c r="T184" s="2078"/>
    </row>
    <row r="185" spans="2:30" ht="23.5" hidden="1" customHeight="1">
      <c r="F185" s="1049"/>
      <c r="H185" s="2229"/>
      <c r="I185" s="2229"/>
      <c r="K185" s="2229"/>
      <c r="L185" s="2229"/>
      <c r="N185" s="2230"/>
      <c r="O185" s="2230"/>
      <c r="Q185" s="2231" t="str">
        <f>IF(OR(F185="",H185=""),"",F185*'Appliances References'!$AC$14)</f>
        <v/>
      </c>
      <c r="R185" s="2231"/>
      <c r="S185" s="2078"/>
      <c r="T185" s="2078"/>
    </row>
    <row r="186" spans="2:30" ht="23.5" hidden="1" customHeight="1">
      <c r="F186" s="1049"/>
      <c r="H186" s="2229"/>
      <c r="I186" s="2229"/>
      <c r="K186" s="2229"/>
      <c r="L186" s="2229"/>
      <c r="N186" s="2230"/>
      <c r="O186" s="2230"/>
      <c r="Q186" s="2231" t="str">
        <f>IF(OR(F186="",H186=""),"",F186*'Appliances References'!$AC$14)</f>
        <v/>
      </c>
      <c r="R186" s="2231"/>
      <c r="S186" s="2078"/>
      <c r="T186" s="2078"/>
    </row>
    <row r="187" spans="2:30" hidden="1"/>
    <row r="188" spans="2:30" hidden="1"/>
    <row r="189" spans="2:30" ht="21.65" hidden="1" customHeight="1"/>
    <row r="190" spans="2:30" ht="21.65" hidden="1" customHeight="1"/>
    <row r="191" spans="2:30" ht="21.65" hidden="1" customHeight="1">
      <c r="B191" s="2237" t="str">
        <f>"Advanced Power Strip (Tier 1)  -  $"&amp;'Appliances References'!AC15&amp;" each"</f>
        <v>Advanced Power Strip (Tier 1)  -  $15 each</v>
      </c>
      <c r="C191" s="2237"/>
      <c r="D191" s="2237"/>
      <c r="E191" s="2237"/>
      <c r="F191" s="2237"/>
      <c r="G191" s="2237"/>
      <c r="H191" s="2237"/>
      <c r="I191" s="2237"/>
      <c r="J191" s="2237"/>
      <c r="K191" s="2237"/>
      <c r="L191" s="2237"/>
      <c r="M191" s="2237"/>
      <c r="N191" s="2237"/>
      <c r="O191" s="2237"/>
      <c r="P191" s="2237"/>
      <c r="Q191" s="2237"/>
      <c r="R191" s="2237"/>
      <c r="S191" s="2237"/>
      <c r="T191" s="2237"/>
      <c r="U191" s="2237"/>
      <c r="V191" s="2237"/>
      <c r="W191" s="2237"/>
    </row>
    <row r="192" spans="2:30" ht="21.65" hidden="1" customHeight="1"/>
    <row r="193" spans="2:23" ht="21.65" hidden="1" customHeight="1"/>
    <row r="194" spans="2:23" ht="21.65" hidden="1" customHeight="1">
      <c r="F194" s="700" t="s">
        <v>2046</v>
      </c>
      <c r="G194" s="700"/>
      <c r="H194" s="2232" t="s">
        <v>80</v>
      </c>
      <c r="I194" s="2232"/>
      <c r="K194" s="2232" t="s">
        <v>78</v>
      </c>
      <c r="L194" s="2232"/>
      <c r="M194" s="700"/>
      <c r="N194" s="2232" t="s">
        <v>216</v>
      </c>
      <c r="O194" s="2232"/>
      <c r="P194" s="1060"/>
    </row>
    <row r="195" spans="2:23" ht="21.65" hidden="1" customHeight="1">
      <c r="F195" s="1050">
        <v>30</v>
      </c>
      <c r="H195" s="2230" t="s">
        <v>5496</v>
      </c>
      <c r="I195" s="2230"/>
      <c r="K195" s="2230" t="s">
        <v>5502</v>
      </c>
      <c r="L195" s="2230"/>
      <c r="M195" s="51"/>
      <c r="N195" s="2231">
        <f>IF(F195="","",F195*'Appliances References'!$AC$15)</f>
        <v>450</v>
      </c>
      <c r="O195" s="2231"/>
    </row>
    <row r="196" spans="2:23" ht="21.65" hidden="1" customHeight="1">
      <c r="F196" s="1049"/>
      <c r="H196" s="2229"/>
      <c r="I196" s="2229"/>
      <c r="K196" s="2229"/>
      <c r="L196" s="2229"/>
      <c r="M196" s="51"/>
      <c r="N196" s="2231" t="str">
        <f>IF(F196="","",F196*'Appliances References'!$AC$15)</f>
        <v/>
      </c>
      <c r="O196" s="2231"/>
    </row>
    <row r="197" spans="2:23" ht="21.65" hidden="1" customHeight="1">
      <c r="F197" s="1049"/>
      <c r="H197" s="2229"/>
      <c r="I197" s="2229"/>
      <c r="K197" s="2229"/>
      <c r="L197" s="2229"/>
      <c r="M197" s="51"/>
      <c r="N197" s="2231" t="str">
        <f>IF(F197="","",F197*'Appliances References'!$AC$15)</f>
        <v/>
      </c>
      <c r="O197" s="2231"/>
    </row>
    <row r="198" spans="2:23" ht="21.65" hidden="1" customHeight="1">
      <c r="F198" s="1049"/>
      <c r="H198" s="2229"/>
      <c r="I198" s="2229"/>
      <c r="K198" s="2229"/>
      <c r="L198" s="2229"/>
      <c r="M198" s="51"/>
      <c r="N198" s="2231" t="str">
        <f>IF(F198="","",F198*'Appliances References'!$AC$15)</f>
        <v/>
      </c>
      <c r="O198" s="2231"/>
    </row>
    <row r="199" spans="2:23" ht="21.65" hidden="1" customHeight="1"/>
    <row r="200" spans="2:23" ht="21.65" hidden="1" customHeight="1"/>
    <row r="201" spans="2:23" ht="21.65" hidden="1" customHeight="1"/>
    <row r="202" spans="2:23" ht="21.65" hidden="1" customHeight="1"/>
    <row r="203" spans="2:23" ht="23.15" hidden="1" customHeight="1">
      <c r="B203" s="2237" t="str">
        <f>"Advanced Power Strip (Tier 2)  -  $"&amp;'Appliances References'!AC16&amp;" each"</f>
        <v>Advanced Power Strip (Tier 2)  -  $25 each</v>
      </c>
      <c r="C203" s="2237"/>
      <c r="D203" s="2237"/>
      <c r="E203" s="2237"/>
      <c r="F203" s="2237"/>
      <c r="G203" s="2237"/>
      <c r="H203" s="2237"/>
      <c r="I203" s="2237"/>
      <c r="J203" s="2237"/>
      <c r="K203" s="2237"/>
      <c r="L203" s="2237"/>
      <c r="M203" s="2237"/>
      <c r="N203" s="2237"/>
      <c r="O203" s="2237"/>
      <c r="P203" s="2237"/>
      <c r="Q203" s="2237"/>
      <c r="R203" s="2237"/>
      <c r="S203" s="2237"/>
      <c r="T203" s="2237"/>
      <c r="U203" s="2237"/>
      <c r="V203" s="2237"/>
      <c r="W203" s="2237"/>
    </row>
    <row r="204" spans="2:23" hidden="1"/>
    <row r="205" spans="2:23" hidden="1"/>
    <row r="206" spans="2:23" ht="35.15" hidden="1" customHeight="1">
      <c r="F206" s="700" t="s">
        <v>2046</v>
      </c>
      <c r="G206" s="700"/>
      <c r="H206" s="2232" t="s">
        <v>80</v>
      </c>
      <c r="I206" s="2232"/>
      <c r="K206" s="2232" t="s">
        <v>78</v>
      </c>
      <c r="L206" s="2232"/>
      <c r="M206" s="700"/>
      <c r="N206" s="2232" t="s">
        <v>216</v>
      </c>
      <c r="O206" s="2232"/>
      <c r="P206" s="1060"/>
    </row>
    <row r="207" spans="2:23" ht="23.5" hidden="1" customHeight="1">
      <c r="F207" s="1050"/>
      <c r="H207" s="2230"/>
      <c r="I207" s="2230"/>
      <c r="K207" s="2230"/>
      <c r="L207" s="2230"/>
      <c r="M207" s="51"/>
      <c r="N207" s="2231" t="str">
        <f>IF(F207="","",F207*'Appliances References'!$AC$16)</f>
        <v/>
      </c>
      <c r="O207" s="2231"/>
    </row>
    <row r="208" spans="2:23" ht="23.5" hidden="1" customHeight="1">
      <c r="F208" s="1049"/>
      <c r="H208" s="2229"/>
      <c r="I208" s="2229"/>
      <c r="K208" s="2229"/>
      <c r="L208" s="2229"/>
      <c r="M208" s="51"/>
      <c r="N208" s="2231" t="str">
        <f>IF(F208="","",F208*'Appliances References'!$AC$16)</f>
        <v/>
      </c>
      <c r="O208" s="2231"/>
    </row>
    <row r="209" spans="2:23" ht="23.5" hidden="1" customHeight="1">
      <c r="F209" s="1049"/>
      <c r="H209" s="2229"/>
      <c r="I209" s="2229"/>
      <c r="K209" s="2229"/>
      <c r="L209" s="2229"/>
      <c r="M209" s="51"/>
      <c r="N209" s="2231" t="str">
        <f>IF(F209="","",F209*'Appliances References'!$AC$16)</f>
        <v/>
      </c>
      <c r="O209" s="2231"/>
    </row>
    <row r="210" spans="2:23" ht="23.5" hidden="1" customHeight="1">
      <c r="F210" s="1049"/>
      <c r="H210" s="2229"/>
      <c r="I210" s="2229"/>
      <c r="K210" s="2229"/>
      <c r="L210" s="2229"/>
      <c r="M210" s="51"/>
      <c r="N210" s="2231" t="str">
        <f>IF(F210="","",F210*'Appliances References'!$AC$16)</f>
        <v/>
      </c>
      <c r="O210" s="2231"/>
    </row>
    <row r="211" spans="2:23" hidden="1"/>
    <row r="212" spans="2:23" hidden="1"/>
    <row r="213" spans="2:23" hidden="1"/>
    <row r="214" spans="2:23" hidden="1"/>
    <row r="215" spans="2:23" ht="20" hidden="1">
      <c r="B215" s="2237" t="str">
        <f>"Smart Learning Thermostats - $"&amp;'Appliances References'!AC19&amp;" each"</f>
        <v>Smart Learning Thermostats - $130 each</v>
      </c>
      <c r="C215" s="2237"/>
      <c r="D215" s="2237"/>
      <c r="E215" s="2237"/>
      <c r="F215" s="2237"/>
      <c r="G215" s="2237"/>
      <c r="H215" s="2237"/>
      <c r="I215" s="2237"/>
      <c r="J215" s="2237"/>
      <c r="K215" s="2237"/>
      <c r="L215" s="2237"/>
      <c r="M215" s="2237"/>
      <c r="N215" s="2237"/>
      <c r="O215" s="2237"/>
      <c r="P215" s="2237"/>
      <c r="Q215" s="2237"/>
      <c r="R215" s="2237"/>
      <c r="S215" s="2237"/>
      <c r="T215" s="2237"/>
      <c r="U215" s="2237"/>
      <c r="V215" s="2237"/>
      <c r="W215" s="2237"/>
    </row>
    <row r="216" spans="2:23" hidden="1"/>
    <row r="217" spans="2:23" hidden="1"/>
    <row r="218" spans="2:23" ht="35.5" hidden="1" customHeight="1">
      <c r="F218" s="700" t="s">
        <v>2046</v>
      </c>
      <c r="G218" s="700"/>
      <c r="H218" s="2232" t="s">
        <v>80</v>
      </c>
      <c r="I218" s="2232"/>
      <c r="K218" s="2232" t="s">
        <v>3501</v>
      </c>
      <c r="L218" s="2232"/>
      <c r="M218" s="700"/>
      <c r="N218" s="2232" t="s">
        <v>216</v>
      </c>
      <c r="O218" s="2232"/>
      <c r="P218" s="1060"/>
    </row>
    <row r="219" spans="2:23" ht="23.5" hidden="1" customHeight="1">
      <c r="F219" s="1050"/>
      <c r="H219" s="2242"/>
      <c r="I219" s="2242"/>
      <c r="K219" s="2242"/>
      <c r="L219" s="2242"/>
      <c r="M219" s="51"/>
      <c r="N219" s="2231" t="str">
        <f>IF(OR(F219="",K219=""),"",F219*'Appliances References'!$AC$19)</f>
        <v/>
      </c>
      <c r="O219" s="2231"/>
    </row>
    <row r="220" spans="2:23" ht="23.5" hidden="1" customHeight="1">
      <c r="F220" s="1049"/>
      <c r="H220" s="2242"/>
      <c r="I220" s="2242"/>
      <c r="K220" s="2242"/>
      <c r="L220" s="2242"/>
      <c r="M220" s="51"/>
      <c r="N220" s="2231" t="str">
        <f>IF(OR(F220="",K220=""),"",F220*'Appliances References'!$AC$19)</f>
        <v/>
      </c>
      <c r="O220" s="2231"/>
    </row>
    <row r="221" spans="2:23" ht="23.5" hidden="1" customHeight="1">
      <c r="F221" s="1049"/>
      <c r="H221" s="2242"/>
      <c r="I221" s="2242"/>
      <c r="K221" s="2242"/>
      <c r="L221" s="2242"/>
      <c r="M221" s="51"/>
      <c r="N221" s="2231" t="str">
        <f>IF(OR(F221="",K221=""),"",F221*'Appliances References'!$AC$19)</f>
        <v/>
      </c>
      <c r="O221" s="2231"/>
    </row>
    <row r="222" spans="2:23" ht="23.5" hidden="1" customHeight="1">
      <c r="F222" s="1049"/>
      <c r="H222" s="2242"/>
      <c r="I222" s="2242"/>
      <c r="K222" s="2242"/>
      <c r="L222" s="2242"/>
      <c r="M222" s="51"/>
      <c r="N222" s="2231" t="str">
        <f>IF(OR(F222="",K222=""),"",F222*'Appliances References'!$AC$19)</f>
        <v/>
      </c>
      <c r="O222" s="2231"/>
    </row>
    <row r="223" spans="2:23" hidden="1"/>
    <row r="224" spans="2:23" hidden="1"/>
    <row r="225" spans="2:30" hidden="1"/>
    <row r="226" spans="2:30" hidden="1"/>
    <row r="227" spans="2:30" ht="20" hidden="1">
      <c r="B227" s="2237" t="str">
        <f>"Smart Connected Thermostats  -  $"&amp;'Appliances References'!AC18&amp;" each"</f>
        <v>Smart Connected Thermostats  -  $100 each</v>
      </c>
      <c r="C227" s="2237"/>
      <c r="D227" s="2237"/>
      <c r="E227" s="2237"/>
      <c r="F227" s="2237"/>
      <c r="G227" s="2237"/>
      <c r="H227" s="2237"/>
      <c r="I227" s="2237"/>
      <c r="J227" s="2237"/>
      <c r="K227" s="2237"/>
      <c r="L227" s="2237"/>
      <c r="M227" s="2237"/>
      <c r="N227" s="2237"/>
      <c r="O227" s="2237"/>
      <c r="P227" s="2237"/>
      <c r="Q227" s="2237"/>
      <c r="R227" s="2237"/>
      <c r="S227" s="2237"/>
      <c r="T227" s="2237"/>
      <c r="U227" s="2237"/>
      <c r="V227" s="2237"/>
      <c r="W227" s="2237"/>
    </row>
    <row r="228" spans="2:30" hidden="1"/>
    <row r="229" spans="2:30" hidden="1"/>
    <row r="230" spans="2:30" ht="35.5" hidden="1" customHeight="1">
      <c r="F230" s="700" t="s">
        <v>2046</v>
      </c>
      <c r="G230" s="700"/>
      <c r="H230" s="2232" t="s">
        <v>80</v>
      </c>
      <c r="I230" s="2232"/>
      <c r="K230" s="2232" t="s">
        <v>3501</v>
      </c>
      <c r="L230" s="2232"/>
      <c r="M230" s="700"/>
      <c r="N230" s="2232" t="s">
        <v>216</v>
      </c>
      <c r="O230" s="2232"/>
      <c r="P230" s="1060"/>
    </row>
    <row r="231" spans="2:30" ht="23.5" hidden="1" customHeight="1">
      <c r="F231" s="1061"/>
      <c r="H231" s="2242"/>
      <c r="I231" s="2242"/>
      <c r="K231" s="2242"/>
      <c r="L231" s="2242"/>
      <c r="M231" s="51"/>
      <c r="N231" s="2231" t="str">
        <f>IF(OR(F231="",K231=""),"",F231*'Appliances References'!$AC$18)</f>
        <v/>
      </c>
      <c r="O231" s="2231"/>
    </row>
    <row r="232" spans="2:30" ht="23.5" hidden="1" customHeight="1">
      <c r="F232" s="1062"/>
      <c r="H232" s="2242"/>
      <c r="I232" s="2242"/>
      <c r="K232" s="2242"/>
      <c r="L232" s="2242"/>
      <c r="M232" s="51"/>
      <c r="N232" s="2231" t="str">
        <f>IF(OR(F232="",K232=""),"",F232*'Appliances References'!$AC$18)</f>
        <v/>
      </c>
      <c r="O232" s="2231"/>
    </row>
    <row r="233" spans="2:30" ht="23.5" hidden="1" customHeight="1">
      <c r="F233" s="1062"/>
      <c r="H233" s="2242"/>
      <c r="I233" s="2242"/>
      <c r="K233" s="2242"/>
      <c r="L233" s="2242"/>
      <c r="M233" s="51"/>
      <c r="N233" s="2231" t="str">
        <f>IF(OR(F233="",K233=""),"",F233*'Appliances References'!$AC$18)</f>
        <v/>
      </c>
      <c r="O233" s="2231"/>
    </row>
    <row r="234" spans="2:30" ht="23.5" hidden="1" customHeight="1">
      <c r="F234" s="1062"/>
      <c r="H234" s="2242"/>
      <c r="I234" s="2242"/>
      <c r="K234" s="2242"/>
      <c r="L234" s="2242"/>
      <c r="M234" s="51"/>
      <c r="N234" s="2231" t="str">
        <f>IF(OR(F234="",K234=""),"",F234*'Appliances References'!$AC$18)</f>
        <v/>
      </c>
      <c r="O234" s="2231"/>
    </row>
    <row r="235" spans="2:30" hidden="1"/>
    <row r="236" spans="2:30" hidden="1"/>
    <row r="237" spans="2:30" ht="20" hidden="1">
      <c r="B237" s="2237" t="str">
        <f>"ENERGY STAR Clothes Washer - $"&amp;'Appliances References'!AC23&amp;" each"</f>
        <v>ENERGY STAR Clothes Washer - $40 each</v>
      </c>
      <c r="C237" s="2237"/>
      <c r="D237" s="2237"/>
      <c r="E237" s="2237"/>
      <c r="F237" s="2237"/>
      <c r="G237" s="2237"/>
      <c r="H237" s="2237"/>
      <c r="I237" s="2237"/>
      <c r="J237" s="2237"/>
      <c r="K237" s="2237"/>
      <c r="L237" s="2237"/>
      <c r="M237" s="2237"/>
      <c r="N237" s="2237"/>
      <c r="O237" s="2237"/>
      <c r="P237" s="2237"/>
      <c r="Q237" s="2237"/>
      <c r="R237" s="2237"/>
      <c r="S237" s="2237"/>
      <c r="T237" s="2237"/>
      <c r="U237" s="2237"/>
      <c r="V237" s="2237"/>
      <c r="W237" s="2237"/>
      <c r="X237" s="2237"/>
      <c r="Y237" s="2237"/>
      <c r="Z237" s="2237"/>
      <c r="AA237" s="2237"/>
      <c r="AB237" s="2237"/>
      <c r="AC237" s="2237"/>
      <c r="AD237" s="2237"/>
    </row>
    <row r="238" spans="2:30" ht="18" hidden="1" customHeight="1">
      <c r="B238"/>
    </row>
    <row r="239" spans="2:30" ht="18" hidden="1" customHeight="1"/>
    <row r="240" spans="2:30" ht="18" hidden="1" customHeight="1">
      <c r="F240" s="700" t="s">
        <v>2046</v>
      </c>
      <c r="H240" s="2232" t="s">
        <v>2064</v>
      </c>
      <c r="I240" s="2232"/>
      <c r="K240" s="2232" t="s">
        <v>80</v>
      </c>
      <c r="L240" s="2232"/>
      <c r="N240" s="2232" t="s">
        <v>78</v>
      </c>
      <c r="O240" s="2232"/>
      <c r="Q240" s="2232" t="s">
        <v>216</v>
      </c>
      <c r="R240" s="2232"/>
      <c r="S240" s="700"/>
      <c r="T240" s="700"/>
      <c r="W240" s="2232"/>
      <c r="X240" s="2232"/>
      <c r="Y240" s="700"/>
      <c r="Z240" s="700"/>
      <c r="AA240" s="700"/>
      <c r="AB240" s="700"/>
      <c r="AC240" s="700"/>
    </row>
    <row r="241" spans="2:31" ht="18" hidden="1" customHeight="1">
      <c r="F241" s="1051"/>
      <c r="H241" s="2230"/>
      <c r="I241" s="2230"/>
      <c r="K241" s="2230"/>
      <c r="L241" s="2230"/>
      <c r="N241" s="2230"/>
      <c r="O241" s="2230"/>
      <c r="Q241" s="2231" t="str">
        <f>IF(OR(F241="",H241=""),"",F241*'Appliances References'!$AC$23)</f>
        <v/>
      </c>
      <c r="R241" s="2231"/>
      <c r="S241" s="2078"/>
      <c r="T241" s="2078"/>
      <c r="W241" s="2236"/>
      <c r="X241" s="2236"/>
      <c r="Y241" s="1539"/>
      <c r="Z241" s="1539"/>
      <c r="AA241" s="1539"/>
      <c r="AB241" s="1539"/>
      <c r="AC241" s="1539"/>
    </row>
    <row r="242" spans="2:31" ht="18" hidden="1" customHeight="1">
      <c r="F242" s="1049"/>
      <c r="H242" s="2230"/>
      <c r="I242" s="2230"/>
      <c r="K242" s="2229"/>
      <c r="L242" s="2229"/>
      <c r="N242" s="2229"/>
      <c r="O242" s="2229"/>
      <c r="Q242" s="2231" t="str">
        <f>IF(OR(F242="",H242=""),"",F242*'Appliances References'!$AC$23)</f>
        <v/>
      </c>
      <c r="R242" s="2231"/>
      <c r="S242" s="2078"/>
      <c r="T242" s="2078"/>
      <c r="W242" s="2236"/>
      <c r="X242" s="2236"/>
      <c r="Y242" s="1539"/>
      <c r="Z242" s="1539"/>
      <c r="AA242" s="1539"/>
      <c r="AB242" s="1539"/>
      <c r="AC242" s="1539"/>
    </row>
    <row r="243" spans="2:31" ht="18" hidden="1" customHeight="1">
      <c r="F243" s="1049"/>
      <c r="H243" s="2230"/>
      <c r="I243" s="2230"/>
      <c r="K243" s="2229"/>
      <c r="L243" s="2229"/>
      <c r="N243" s="2229"/>
      <c r="O243" s="2229"/>
      <c r="Q243" s="2231" t="str">
        <f>IF(OR(F243="",H243=""),"",F243*'Appliances References'!$AC$23)</f>
        <v/>
      </c>
      <c r="R243" s="2231"/>
      <c r="S243" s="2078"/>
      <c r="T243" s="2078"/>
      <c r="W243" s="2236"/>
      <c r="X243" s="2236"/>
      <c r="Y243" s="1539"/>
      <c r="Z243" s="1539"/>
      <c r="AA243" s="1539"/>
      <c r="AB243" s="1539"/>
      <c r="AC243" s="1539"/>
    </row>
    <row r="244" spans="2:31" ht="18" hidden="1" customHeight="1">
      <c r="F244" s="1049"/>
      <c r="H244" s="2230"/>
      <c r="I244" s="2230"/>
      <c r="K244" s="2229"/>
      <c r="L244" s="2229"/>
      <c r="N244" s="2229"/>
      <c r="O244" s="2229"/>
      <c r="Q244" s="2231" t="str">
        <f>IF(OR(F244="",H244=""),"",F244*'Appliances References'!$AC$23)</f>
        <v/>
      </c>
      <c r="R244" s="2231"/>
      <c r="S244" s="2078"/>
      <c r="T244" s="2078"/>
      <c r="W244" s="2236"/>
      <c r="X244" s="2236"/>
      <c r="Y244" s="1539"/>
      <c r="Z244" s="1539"/>
      <c r="AA244" s="1539"/>
      <c r="AB244" s="1539"/>
      <c r="AC244" s="1539"/>
    </row>
    <row r="245" spans="2:31" ht="18" hidden="1" customHeight="1"/>
    <row r="246" spans="2:31" ht="18" hidden="1" customHeight="1"/>
    <row r="247" spans="2:31" ht="18" hidden="1" customHeight="1"/>
    <row r="248" spans="2:31" ht="18" hidden="1" customHeight="1"/>
    <row r="249" spans="2:31" ht="18" hidden="1" customHeight="1"/>
    <row r="250" spans="2:31" ht="18" hidden="1" customHeight="1"/>
    <row r="251" spans="2:31" ht="20" hidden="1">
      <c r="B251" s="2237" t="s">
        <v>5039</v>
      </c>
      <c r="C251" s="2237"/>
      <c r="D251" s="2237"/>
      <c r="E251" s="2237"/>
      <c r="F251" s="2237"/>
      <c r="G251" s="2237"/>
      <c r="H251" s="2237"/>
      <c r="I251" s="2237"/>
      <c r="J251" s="2237"/>
      <c r="K251" s="2237"/>
      <c r="L251" s="2237"/>
      <c r="M251" s="2237"/>
      <c r="N251" s="2237"/>
      <c r="O251" s="2237"/>
      <c r="P251" s="2237"/>
      <c r="Q251" s="2237"/>
      <c r="R251" s="2237"/>
      <c r="S251" s="2237"/>
      <c r="T251" s="2237"/>
      <c r="U251" s="2237"/>
      <c r="V251" s="2237"/>
      <c r="W251" s="2237"/>
      <c r="X251" s="2237"/>
      <c r="Y251" s="2237"/>
      <c r="Z251" s="2237"/>
      <c r="AA251" s="2237"/>
      <c r="AB251" s="2237"/>
      <c r="AC251" s="2237"/>
      <c r="AD251" s="2237"/>
    </row>
    <row r="252" spans="2:31" ht="10" hidden="1" customHeight="1"/>
    <row r="253" spans="2:31" ht="34.5" hidden="1" customHeight="1">
      <c r="E253" s="2249" t="s">
        <v>5042</v>
      </c>
      <c r="F253" s="2250"/>
      <c r="G253" s="2250"/>
      <c r="H253" s="2250"/>
      <c r="I253" s="2250"/>
      <c r="J253" s="2250"/>
      <c r="K253" s="2250"/>
      <c r="L253" s="2250"/>
      <c r="M253" s="2250"/>
      <c r="N253" s="2250"/>
    </row>
    <row r="254" spans="2:31" ht="20.149999999999999" hidden="1" customHeight="1"/>
    <row r="255" spans="2:31" ht="38.15" hidden="1" customHeight="1">
      <c r="F255" s="700" t="s">
        <v>5020</v>
      </c>
      <c r="H255" s="2232" t="s">
        <v>5015</v>
      </c>
      <c r="I255" s="2232"/>
      <c r="K255" s="2232" t="s">
        <v>5017</v>
      </c>
      <c r="L255" s="2232"/>
      <c r="N255" s="2232" t="s">
        <v>5018</v>
      </c>
      <c r="O255" s="2232"/>
      <c r="Q255" s="2232" t="s">
        <v>216</v>
      </c>
      <c r="R255" s="2232"/>
      <c r="S255" s="700"/>
      <c r="T255" s="700"/>
      <c r="W255" s="2232"/>
      <c r="X255" s="2232"/>
      <c r="Y255" s="700"/>
      <c r="Z255" s="700"/>
      <c r="AA255" s="700"/>
      <c r="AB255" s="700"/>
      <c r="AC255" s="700"/>
    </row>
    <row r="256" spans="2:31" ht="25" hidden="1" customHeight="1">
      <c r="E256" s="1535" t="s">
        <v>5035</v>
      </c>
      <c r="F256" s="1051"/>
      <c r="H256" s="2230"/>
      <c r="I256" s="2230"/>
      <c r="K256" s="2230"/>
      <c r="L256" s="2230"/>
      <c r="N256" s="2230"/>
      <c r="O256" s="2230"/>
      <c r="Q256" s="2231" t="str">
        <f>IF(OR(F256="",H256="",F256&lt;&gt;F263),"",F256*'Appliances References'!$AC$23)</f>
        <v/>
      </c>
      <c r="R256" s="2231"/>
      <c r="S256" s="2078"/>
      <c r="T256" s="2078"/>
      <c r="W256" s="2233" t="str">
        <f>IF(Q256&lt;&gt;"",IF(Q263="","Please complete Appliance Bundle #1 to receive rebate.",""),"")</f>
        <v/>
      </c>
      <c r="X256" s="2233"/>
      <c r="Y256" s="2233"/>
      <c r="Z256" s="2233"/>
      <c r="AA256" s="2233"/>
      <c r="AB256" s="2233"/>
      <c r="AC256" s="2233"/>
      <c r="AD256" s="2233"/>
      <c r="AE256" s="2233"/>
    </row>
    <row r="257" spans="2:31" ht="25" hidden="1" customHeight="1">
      <c r="E257" s="1535" t="s">
        <v>5036</v>
      </c>
      <c r="F257" s="1049"/>
      <c r="H257" s="2229"/>
      <c r="I257" s="2229"/>
      <c r="K257" s="2229"/>
      <c r="L257" s="2229"/>
      <c r="N257" s="2229"/>
      <c r="O257" s="2229"/>
      <c r="Q257" s="2231" t="str">
        <f>IF(OR(F257="",H257="",F257&lt;&gt;F264),"",F257*'Appliances References'!$AC$23)</f>
        <v/>
      </c>
      <c r="R257" s="2231"/>
      <c r="S257" s="2078"/>
      <c r="T257" s="2078"/>
      <c r="W257" s="2233" t="str">
        <f>IF(Q257&lt;&gt;"",IF(Q264="","Please complete Appliance Bundle #2 to receive rebate.",""),"")</f>
        <v/>
      </c>
      <c r="X257" s="2233"/>
      <c r="Y257" s="2233"/>
      <c r="Z257" s="2233"/>
      <c r="AA257" s="2233"/>
      <c r="AB257" s="2233"/>
      <c r="AC257" s="2233"/>
      <c r="AD257" s="2233"/>
      <c r="AE257" s="2233"/>
    </row>
    <row r="258" spans="2:31" ht="25" hidden="1" customHeight="1">
      <c r="E258" s="1535" t="s">
        <v>5037</v>
      </c>
      <c r="F258" s="1049"/>
      <c r="H258" s="2229"/>
      <c r="I258" s="2229"/>
      <c r="K258" s="2229"/>
      <c r="L258" s="2229"/>
      <c r="N258" s="2229"/>
      <c r="O258" s="2229"/>
      <c r="Q258" s="2231" t="str">
        <f>IF(OR(F258="",H258="",F258&lt;&gt;F265),"",F258*'Appliances References'!$AC$23)</f>
        <v/>
      </c>
      <c r="R258" s="2231"/>
      <c r="S258" s="2078"/>
      <c r="T258" s="2078"/>
      <c r="W258" s="2233" t="str">
        <f>IF(Q258&lt;&gt;"",IF(Q265="","Please complete Appliance Bundle #3 to receive rebate.",""),"")</f>
        <v/>
      </c>
      <c r="X258" s="2233"/>
      <c r="Y258" s="2233"/>
      <c r="Z258" s="2233"/>
      <c r="AA258" s="2233"/>
      <c r="AB258" s="2233"/>
      <c r="AC258" s="2233"/>
      <c r="AD258" s="2233"/>
      <c r="AE258" s="2233"/>
    </row>
    <row r="259" spans="2:31" ht="25" hidden="1" customHeight="1">
      <c r="D259"/>
      <c r="E259" s="1535" t="s">
        <v>5038</v>
      </c>
      <c r="F259" s="1049"/>
      <c r="H259" s="2229"/>
      <c r="I259" s="2229"/>
      <c r="K259" s="2229"/>
      <c r="L259" s="2229"/>
      <c r="N259" s="2229"/>
      <c r="O259" s="2229"/>
      <c r="Q259" s="2231" t="str">
        <f>IF(OR(F259="",H259="",F259&lt;&gt;F266),"",F259*'Appliances References'!$AC$23)</f>
        <v/>
      </c>
      <c r="R259" s="2231"/>
      <c r="S259" s="2078"/>
      <c r="T259" s="2078"/>
      <c r="W259" s="2233" t="str">
        <f>IF(Q259&lt;&gt;"",IF(Q266="","Please complete Appliance Bundle #4 to receive rebate.",""),"")</f>
        <v/>
      </c>
      <c r="X259" s="2233"/>
      <c r="Y259" s="2233"/>
      <c r="Z259" s="2233"/>
      <c r="AA259" s="2233"/>
      <c r="AB259" s="2233"/>
      <c r="AC259" s="2233"/>
      <c r="AD259" s="2233"/>
      <c r="AE259" s="2233"/>
    </row>
    <row r="260" spans="2:31" ht="25" hidden="1" customHeight="1">
      <c r="E260" s="1535"/>
      <c r="F260" s="45"/>
    </row>
    <row r="261" spans="2:31" ht="31.5" hidden="1" customHeight="1">
      <c r="F261" s="1060"/>
      <c r="G261" s="1060"/>
      <c r="H261" s="2232"/>
      <c r="I261" s="2232"/>
      <c r="K261" s="2232"/>
      <c r="L261" s="2232"/>
      <c r="N261" s="2232"/>
      <c r="O261" s="2232"/>
      <c r="Q261" s="2232"/>
      <c r="R261" s="2232"/>
      <c r="S261" s="700"/>
      <c r="T261" s="700"/>
      <c r="W261" s="2232"/>
      <c r="X261" s="2232"/>
      <c r="Y261" s="700"/>
      <c r="Z261" s="700"/>
      <c r="AA261" s="700"/>
      <c r="AB261" s="700"/>
      <c r="AC261" s="700"/>
    </row>
    <row r="262" spans="2:31" ht="44.15" hidden="1" customHeight="1">
      <c r="F262" s="700" t="s">
        <v>5019</v>
      </c>
      <c r="H262" s="2232" t="s">
        <v>5016</v>
      </c>
      <c r="I262" s="2232"/>
      <c r="K262" s="2232" t="s">
        <v>5021</v>
      </c>
      <c r="L262" s="2232"/>
      <c r="N262" s="2232" t="s">
        <v>5022</v>
      </c>
      <c r="O262" s="2232"/>
      <c r="Q262" s="2232" t="s">
        <v>216</v>
      </c>
      <c r="R262" s="2232"/>
      <c r="S262" s="700"/>
      <c r="T262" s="700"/>
      <c r="W262" s="2236"/>
      <c r="X262" s="2236"/>
      <c r="Y262" s="1539"/>
      <c r="Z262" s="1539"/>
      <c r="AA262" s="1539"/>
      <c r="AB262" s="1539"/>
      <c r="AC262" s="1539"/>
    </row>
    <row r="263" spans="2:31" ht="25" hidden="1" customHeight="1">
      <c r="E263" s="1535" t="s">
        <v>5035</v>
      </c>
      <c r="F263" s="1051"/>
      <c r="H263" s="2230"/>
      <c r="I263" s="2230"/>
      <c r="K263" s="2230"/>
      <c r="L263" s="2230"/>
      <c r="N263" s="2230"/>
      <c r="O263" s="2230"/>
      <c r="Q263" s="2231" t="str">
        <f>IF(OR(F263="",H263="",F263&lt;&gt;F256),"",F263*'Appliances References'!$AC$24)</f>
        <v/>
      </c>
      <c r="R263" s="2231"/>
      <c r="S263" s="2078"/>
      <c r="T263" s="2078"/>
      <c r="W263" s="2233" t="str">
        <f>IF(Q263&lt;&gt;"",IF(Q256="","Please complete Appliance Bundle #1 to receive rebate.",""),"")</f>
        <v/>
      </c>
      <c r="X263" s="2233"/>
      <c r="Y263" s="2233"/>
      <c r="Z263" s="2233"/>
      <c r="AA263" s="2233"/>
      <c r="AB263" s="2233"/>
      <c r="AC263" s="2233"/>
      <c r="AD263" s="2233"/>
      <c r="AE263" s="2233"/>
    </row>
    <row r="264" spans="2:31" ht="25" hidden="1" customHeight="1">
      <c r="E264" s="1535" t="s">
        <v>5036</v>
      </c>
      <c r="F264" s="1049"/>
      <c r="H264" s="2230"/>
      <c r="I264" s="2230"/>
      <c r="K264" s="2229"/>
      <c r="L264" s="2229"/>
      <c r="N264" s="2229"/>
      <c r="O264" s="2229"/>
      <c r="Q264" s="2231" t="str">
        <f>IF(OR(F264="",H264="",F264&lt;&gt;F257),"",F264*'Appliances References'!$AC$24)</f>
        <v/>
      </c>
      <c r="R264" s="2231"/>
      <c r="S264" s="2078"/>
      <c r="T264" s="2078"/>
      <c r="W264" s="2233" t="str">
        <f>IF(Q264&lt;&gt;"",IF(Q257="","Please complete Appliance Bundle #2 to receive rebate.",""),"")</f>
        <v/>
      </c>
      <c r="X264" s="2233"/>
      <c r="Y264" s="2233"/>
      <c r="Z264" s="2233"/>
      <c r="AA264" s="2233"/>
      <c r="AB264" s="2233"/>
      <c r="AC264" s="2233"/>
      <c r="AD264" s="2233"/>
      <c r="AE264" s="2233"/>
    </row>
    <row r="265" spans="2:31" ht="25" hidden="1" customHeight="1">
      <c r="E265" s="1535" t="s">
        <v>5037</v>
      </c>
      <c r="F265" s="1049"/>
      <c r="H265" s="2230"/>
      <c r="I265" s="2230"/>
      <c r="K265" s="2229"/>
      <c r="L265" s="2229"/>
      <c r="N265" s="2229"/>
      <c r="O265" s="2229"/>
      <c r="Q265" s="2231" t="str">
        <f>IF(OR(F265="",H265="",F265&lt;&gt;F258),"",F265*'Appliances References'!$AC$24)</f>
        <v/>
      </c>
      <c r="R265" s="2231"/>
      <c r="S265" s="2078"/>
      <c r="T265" s="2078"/>
      <c r="W265" s="2233" t="str">
        <f>IF(Q265&lt;&gt;"",IF(Q258="","Please complete Appliance Bundle #3 to receive rebate.",""),"")</f>
        <v/>
      </c>
      <c r="X265" s="2233"/>
      <c r="Y265" s="2233"/>
      <c r="Z265" s="2233"/>
      <c r="AA265" s="2233"/>
      <c r="AB265" s="2233"/>
      <c r="AC265" s="2233"/>
      <c r="AD265" s="2233"/>
      <c r="AE265" s="2233"/>
    </row>
    <row r="266" spans="2:31" ht="25" hidden="1" customHeight="1">
      <c r="E266" s="1535" t="s">
        <v>5038</v>
      </c>
      <c r="F266" s="1049"/>
      <c r="H266" s="2230"/>
      <c r="I266" s="2230"/>
      <c r="K266" s="2229"/>
      <c r="L266" s="2229"/>
      <c r="N266" s="2229"/>
      <c r="O266" s="2229"/>
      <c r="Q266" s="2231" t="str">
        <f>IF(OR(F266="",H266="",F266&lt;&gt;F259),"",F266*'Appliances References'!$AC$24)</f>
        <v/>
      </c>
      <c r="R266" s="2231"/>
      <c r="S266" s="2078"/>
      <c r="T266" s="2078"/>
      <c r="W266" s="2233" t="str">
        <f>IF(Q266&lt;&gt;"",IF(Q259="","Please complete Appliance Bundle #4 to receive rebate.",""),"")</f>
        <v/>
      </c>
      <c r="X266" s="2233"/>
      <c r="Y266" s="2233"/>
      <c r="Z266" s="2233"/>
      <c r="AA266" s="2233"/>
      <c r="AB266" s="2233"/>
      <c r="AC266" s="2233"/>
      <c r="AD266" s="2233"/>
      <c r="AE266" s="2233"/>
    </row>
    <row r="267" spans="2:31" ht="25" hidden="1" customHeight="1">
      <c r="E267" s="1535"/>
      <c r="F267" s="45"/>
    </row>
    <row r="268" spans="2:31" ht="18" hidden="1" customHeight="1">
      <c r="E268" s="1536"/>
      <c r="F268" s="621"/>
    </row>
    <row r="269" spans="2:31" ht="18" hidden="1" customHeight="1"/>
    <row r="270" spans="2:31" ht="18" hidden="1" customHeight="1">
      <c r="B270" s="2237" t="s">
        <v>5013</v>
      </c>
      <c r="C270" s="2237"/>
      <c r="D270" s="2237"/>
      <c r="E270" s="2237"/>
      <c r="F270" s="2237"/>
      <c r="G270" s="2237"/>
      <c r="H270" s="2237"/>
      <c r="I270" s="2237"/>
      <c r="J270" s="2237"/>
      <c r="K270" s="2237"/>
      <c r="L270" s="2237"/>
      <c r="M270" s="2237"/>
      <c r="N270" s="2237"/>
      <c r="O270" s="2237"/>
      <c r="P270" s="2237"/>
      <c r="Q270" s="2237"/>
      <c r="R270" s="2237"/>
      <c r="S270" s="2237"/>
      <c r="T270" s="2237"/>
      <c r="U270" s="2237"/>
      <c r="V270" s="2237"/>
      <c r="W270" s="2237"/>
      <c r="X270" s="2237"/>
      <c r="Y270" s="2237"/>
      <c r="Z270" s="2237"/>
      <c r="AA270" s="2237"/>
      <c r="AB270" s="2237"/>
      <c r="AC270" s="2237"/>
      <c r="AD270" s="2237"/>
    </row>
    <row r="271" spans="2:31" ht="10" hidden="1" customHeight="1">
      <c r="B271"/>
    </row>
    <row r="272" spans="2:31" ht="10" hidden="1" customHeight="1">
      <c r="B272"/>
    </row>
    <row r="273" spans="2:31" ht="30.65" hidden="1" customHeight="1">
      <c r="B273"/>
      <c r="E273" s="2249" t="s">
        <v>5041</v>
      </c>
      <c r="F273" s="2250"/>
      <c r="G273" s="2250"/>
      <c r="H273" s="2250"/>
      <c r="I273" s="2250"/>
      <c r="J273" s="2250"/>
      <c r="K273" s="2250"/>
      <c r="L273" s="2250"/>
      <c r="M273" s="2250"/>
      <c r="N273" s="2250"/>
    </row>
    <row r="274" spans="2:31" ht="10" hidden="1" customHeight="1"/>
    <row r="275" spans="2:31" ht="43" hidden="1" customHeight="1">
      <c r="F275" s="700" t="s">
        <v>5020</v>
      </c>
      <c r="H275" s="2232" t="s">
        <v>5015</v>
      </c>
      <c r="I275" s="2232"/>
      <c r="K275" s="2232" t="s">
        <v>5017</v>
      </c>
      <c r="L275" s="2232"/>
      <c r="N275" s="2232" t="s">
        <v>5018</v>
      </c>
      <c r="O275" s="2232"/>
      <c r="Q275" s="2232" t="s">
        <v>216</v>
      </c>
      <c r="R275" s="2232"/>
      <c r="S275" s="700"/>
      <c r="T275" s="700"/>
      <c r="W275" s="2232"/>
      <c r="X275" s="2232"/>
      <c r="Y275" s="700"/>
      <c r="Z275" s="700"/>
      <c r="AA275" s="700"/>
      <c r="AB275" s="700"/>
      <c r="AC275" s="700"/>
    </row>
    <row r="276" spans="2:31" ht="25" hidden="1" customHeight="1">
      <c r="E276" s="1535" t="s">
        <v>5035</v>
      </c>
      <c r="F276" s="1051"/>
      <c r="H276" s="2230"/>
      <c r="I276" s="2230"/>
      <c r="K276" s="2230"/>
      <c r="L276" s="2230"/>
      <c r="N276" s="2230"/>
      <c r="O276" s="2230"/>
      <c r="Q276" s="2231" t="str">
        <f>IF(OR(F276="",H276="",F276&lt;&gt;F283),"",F276*'Appliances References'!$AC$23)</f>
        <v/>
      </c>
      <c r="R276" s="2231"/>
      <c r="S276" s="2078"/>
      <c r="T276" s="2078"/>
      <c r="W276" s="2233" t="str">
        <f>IF(Q276&lt;&gt;"",IF(Q283="","Please complete Appliance Bundle #1 to receive rebate.",""),"")</f>
        <v/>
      </c>
      <c r="X276" s="2233"/>
      <c r="Y276" s="2233"/>
      <c r="Z276" s="2233"/>
      <c r="AA276" s="2233"/>
      <c r="AB276" s="2233"/>
      <c r="AC276" s="2233"/>
      <c r="AD276" s="2233"/>
      <c r="AE276" s="2233"/>
    </row>
    <row r="277" spans="2:31" ht="25" hidden="1" customHeight="1">
      <c r="E277" s="1535" t="s">
        <v>5036</v>
      </c>
      <c r="F277" s="1049"/>
      <c r="H277" s="2230"/>
      <c r="I277" s="2230"/>
      <c r="K277" s="2229"/>
      <c r="L277" s="2229"/>
      <c r="N277" s="2229"/>
      <c r="O277" s="2229"/>
      <c r="Q277" s="2231" t="str">
        <f>IF(OR(F277="",H277="",F277&lt;&gt;F284),"",F277*'Appliances References'!$AC$23)</f>
        <v/>
      </c>
      <c r="R277" s="2231"/>
      <c r="S277" s="2078"/>
      <c r="T277" s="2078"/>
      <c r="W277" s="2233" t="str">
        <f>IF(Q277&lt;&gt;"",IF(Q284="","Please complete Appliance Bundle #2 to receive rebate.",""),"")</f>
        <v/>
      </c>
      <c r="X277" s="2233"/>
      <c r="Y277" s="2233"/>
      <c r="Z277" s="2233"/>
      <c r="AA277" s="2233"/>
      <c r="AB277" s="2233"/>
      <c r="AC277" s="2233"/>
      <c r="AD277" s="2233"/>
      <c r="AE277" s="2233"/>
    </row>
    <row r="278" spans="2:31" ht="25" hidden="1" customHeight="1">
      <c r="E278" s="1535" t="s">
        <v>5037</v>
      </c>
      <c r="F278" s="1049"/>
      <c r="H278" s="2230"/>
      <c r="I278" s="2230"/>
      <c r="K278" s="2229"/>
      <c r="L278" s="2229"/>
      <c r="N278" s="2229"/>
      <c r="O278" s="2229"/>
      <c r="Q278" s="2231" t="str">
        <f>IF(OR(F278="",H278="",F278&lt;&gt;F285),"",F278*'Appliances References'!$AC$23)</f>
        <v/>
      </c>
      <c r="R278" s="2231"/>
      <c r="S278" s="2078"/>
      <c r="T278" s="2078"/>
      <c r="W278" s="2233" t="str">
        <f>IF(Q278&lt;&gt;"",IF(Q285="","Please complete Appliance Bundle #3 to receive rebate.",""),"")</f>
        <v/>
      </c>
      <c r="X278" s="2233"/>
      <c r="Y278" s="2233"/>
      <c r="Z278" s="2233"/>
      <c r="AA278" s="2233"/>
      <c r="AB278" s="2233"/>
      <c r="AC278" s="2233"/>
      <c r="AD278" s="2233"/>
      <c r="AE278" s="2233"/>
    </row>
    <row r="279" spans="2:31" ht="25" hidden="1" customHeight="1">
      <c r="D279"/>
      <c r="E279" s="1535" t="s">
        <v>5038</v>
      </c>
      <c r="F279" s="1049"/>
      <c r="H279" s="2230"/>
      <c r="I279" s="2230"/>
      <c r="K279" s="2229"/>
      <c r="L279" s="2229"/>
      <c r="N279" s="2229"/>
      <c r="O279" s="2229"/>
      <c r="Q279" s="2231" t="str">
        <f>IF(OR(F279="",H279="",F279&lt;&gt;F286),"",F279*'Appliances References'!$AC$23)</f>
        <v/>
      </c>
      <c r="R279" s="2231"/>
      <c r="S279" s="2078"/>
      <c r="T279" s="2078"/>
      <c r="W279" s="2233" t="str">
        <f>IF(Q279&lt;&gt;"",IF(Q286="","Please complete Appliance Bundle #4 to receive rebate.",""),"")</f>
        <v/>
      </c>
      <c r="X279" s="2233"/>
      <c r="Y279" s="2233"/>
      <c r="Z279" s="2233"/>
      <c r="AA279" s="2233"/>
      <c r="AB279" s="2233"/>
      <c r="AC279" s="2233"/>
      <c r="AD279" s="2233"/>
      <c r="AE279" s="2233"/>
    </row>
    <row r="280" spans="2:31" hidden="1">
      <c r="E280" s="1535"/>
      <c r="F280" s="45"/>
    </row>
    <row r="281" spans="2:31" ht="29.5" hidden="1" customHeight="1">
      <c r="F281" s="1060"/>
      <c r="G281" s="1060"/>
      <c r="H281" s="2232"/>
      <c r="I281" s="2232"/>
      <c r="K281" s="2232"/>
      <c r="L281" s="2232"/>
      <c r="N281" s="2232"/>
      <c r="O281" s="2232"/>
      <c r="Q281" s="2232"/>
      <c r="R281" s="2232"/>
      <c r="S281" s="700"/>
      <c r="T281" s="700"/>
      <c r="W281" s="2232"/>
      <c r="X281" s="2232"/>
      <c r="Y281" s="700"/>
      <c r="Z281" s="700"/>
      <c r="AA281" s="700"/>
      <c r="AB281" s="700"/>
      <c r="AC281" s="700"/>
    </row>
    <row r="282" spans="2:31" ht="26" hidden="1">
      <c r="F282" s="700" t="s">
        <v>5023</v>
      </c>
      <c r="H282" s="2232" t="s">
        <v>5024</v>
      </c>
      <c r="I282" s="2232"/>
      <c r="K282" s="2232" t="s">
        <v>5025</v>
      </c>
      <c r="L282" s="2232"/>
      <c r="N282" s="2232" t="s">
        <v>5026</v>
      </c>
      <c r="O282" s="2232"/>
      <c r="Q282" s="2232" t="s">
        <v>216</v>
      </c>
      <c r="R282" s="2232"/>
      <c r="S282" s="700"/>
      <c r="T282" s="700"/>
      <c r="W282" s="2236"/>
      <c r="X282" s="2236"/>
      <c r="Y282" s="1539"/>
      <c r="Z282" s="1539"/>
      <c r="AA282" s="1539"/>
      <c r="AB282" s="1539"/>
      <c r="AC282" s="1539"/>
    </row>
    <row r="283" spans="2:31" ht="25" hidden="1" customHeight="1">
      <c r="E283" s="1535" t="s">
        <v>5035</v>
      </c>
      <c r="F283" s="1051"/>
      <c r="H283" s="2230"/>
      <c r="I283" s="2230"/>
      <c r="K283" s="2230"/>
      <c r="L283" s="2230"/>
      <c r="N283" s="2230"/>
      <c r="O283" s="2230"/>
      <c r="Q283" s="2231" t="str">
        <f>IF(OR(F283="",H283="",F283&lt;&gt;F276),"",F283*'Appliances References'!$AC$25)</f>
        <v/>
      </c>
      <c r="R283" s="2231"/>
      <c r="S283" s="2078"/>
      <c r="T283" s="2078"/>
      <c r="W283" s="2233" t="str">
        <f>IF(Q283&lt;&gt;"",IF(Q276="","Please complete Appliance Bundle #1 to receive rebate.",""),"")</f>
        <v/>
      </c>
      <c r="X283" s="2233"/>
      <c r="Y283" s="2233"/>
      <c r="Z283" s="2233"/>
      <c r="AA283" s="2233"/>
      <c r="AB283" s="2233"/>
      <c r="AC283" s="2233"/>
      <c r="AD283" s="2233"/>
      <c r="AE283" s="2233"/>
    </row>
    <row r="284" spans="2:31" ht="25" hidden="1" customHeight="1">
      <c r="E284" s="1535" t="s">
        <v>5036</v>
      </c>
      <c r="F284" s="1049"/>
      <c r="H284" s="2230"/>
      <c r="I284" s="2230"/>
      <c r="K284" s="2229"/>
      <c r="L284" s="2229"/>
      <c r="N284" s="2229"/>
      <c r="O284" s="2229"/>
      <c r="Q284" s="2231" t="str">
        <f>IF(OR(F284="",H284="",F284&lt;&gt;F277),"",F284*'Appliances References'!$AC$25)</f>
        <v/>
      </c>
      <c r="R284" s="2231"/>
      <c r="S284" s="2078"/>
      <c r="T284" s="2078"/>
      <c r="W284" s="2233" t="str">
        <f>IF(Q284&lt;&gt;"",IF(Q277="","Please complete Appliance Bundle #2 to receive rebate.",""),"")</f>
        <v/>
      </c>
      <c r="X284" s="2233"/>
      <c r="Y284" s="2233"/>
      <c r="Z284" s="2233"/>
      <c r="AA284" s="2233"/>
      <c r="AB284" s="2233"/>
      <c r="AC284" s="2233"/>
      <c r="AD284" s="2233"/>
      <c r="AE284" s="2233"/>
    </row>
    <row r="285" spans="2:31" ht="25" hidden="1" customHeight="1">
      <c r="E285" s="1535" t="s">
        <v>5037</v>
      </c>
      <c r="F285" s="1049"/>
      <c r="H285" s="2230"/>
      <c r="I285" s="2230"/>
      <c r="K285" s="2229"/>
      <c r="L285" s="2229"/>
      <c r="N285" s="2229"/>
      <c r="O285" s="2229"/>
      <c r="Q285" s="2231" t="str">
        <f>IF(OR(F285="",H285="",F285&lt;&gt;F278),"",F285*'Appliances References'!$AC$25)</f>
        <v/>
      </c>
      <c r="R285" s="2231"/>
      <c r="S285" s="2078"/>
      <c r="T285" s="2078"/>
      <c r="W285" s="2233" t="str">
        <f>IF(Q285&lt;&gt;"",IF(Q278="","Please complete Appliance Bundle #3 to receive rebate.",""),"")</f>
        <v/>
      </c>
      <c r="X285" s="2233"/>
      <c r="Y285" s="2233"/>
      <c r="Z285" s="2233"/>
      <c r="AA285" s="2233"/>
      <c r="AB285" s="2233"/>
      <c r="AC285" s="2233"/>
      <c r="AD285" s="2233"/>
      <c r="AE285" s="2233"/>
    </row>
    <row r="286" spans="2:31" ht="25" hidden="1" customHeight="1">
      <c r="E286" s="1535" t="s">
        <v>5038</v>
      </c>
      <c r="F286" s="1049"/>
      <c r="H286" s="2230"/>
      <c r="I286" s="2230"/>
      <c r="K286" s="2229"/>
      <c r="L286" s="2229"/>
      <c r="N286" s="2229"/>
      <c r="O286" s="2229"/>
      <c r="Q286" s="2231" t="str">
        <f>IF(OR(F286="",H286="",F286&lt;&gt;F279),"",F286*'Appliances References'!$AC$25)</f>
        <v/>
      </c>
      <c r="R286" s="2231"/>
      <c r="S286" s="2078"/>
      <c r="T286" s="2078"/>
      <c r="W286" s="2233" t="str">
        <f>IF(Q286&lt;&gt;"",IF(Q279="","Please complete Appliance Bundle #4 to receive rebate.",""),"")</f>
        <v/>
      </c>
      <c r="X286" s="2233"/>
      <c r="Y286" s="2233"/>
      <c r="Z286" s="2233"/>
      <c r="AA286" s="2233"/>
      <c r="AB286" s="2233"/>
      <c r="AC286" s="2233"/>
      <c r="AD286" s="2233"/>
      <c r="AE286" s="2233"/>
    </row>
    <row r="287" spans="2:31" hidden="1">
      <c r="E287" s="1535"/>
      <c r="F287" s="45"/>
      <c r="Q287" s="2232"/>
      <c r="R287" s="2232"/>
      <c r="S287" s="700"/>
      <c r="T287" s="700"/>
    </row>
    <row r="288" spans="2:31" hidden="1">
      <c r="E288" s="1536"/>
      <c r="F288" s="621"/>
      <c r="Q288" s="2248"/>
      <c r="R288" s="2248"/>
      <c r="S288" s="273"/>
      <c r="T288" s="273"/>
    </row>
    <row r="289" spans="2:31" hidden="1"/>
    <row r="290" spans="2:31" ht="20" hidden="1">
      <c r="B290" s="2237" t="s">
        <v>5014</v>
      </c>
      <c r="C290" s="2237"/>
      <c r="D290" s="2237"/>
      <c r="E290" s="2237"/>
      <c r="F290" s="2237"/>
      <c r="G290" s="2237"/>
      <c r="H290" s="2237"/>
      <c r="I290" s="2237"/>
      <c r="J290" s="2237"/>
      <c r="K290" s="2237"/>
      <c r="L290" s="2237"/>
      <c r="M290" s="2237"/>
      <c r="N290" s="2237"/>
      <c r="O290" s="2237"/>
      <c r="P290" s="2237"/>
      <c r="Q290" s="2237"/>
      <c r="R290" s="2237"/>
      <c r="S290" s="2237"/>
      <c r="T290" s="2237"/>
      <c r="U290" s="2237"/>
      <c r="V290" s="2237"/>
      <c r="W290" s="2237"/>
      <c r="X290" s="2237"/>
      <c r="Y290" s="2237"/>
      <c r="Z290" s="2237"/>
      <c r="AA290" s="2237"/>
      <c r="AB290" s="2237"/>
      <c r="AC290" s="2237"/>
      <c r="AD290" s="2237"/>
    </row>
    <row r="291" spans="2:31" hidden="1">
      <c r="B291"/>
    </row>
    <row r="292" spans="2:31" ht="33" hidden="1" customHeight="1">
      <c r="B292"/>
      <c r="E292" s="2249" t="s">
        <v>5040</v>
      </c>
      <c r="F292" s="2250"/>
      <c r="G292" s="2250"/>
      <c r="H292" s="2250"/>
      <c r="I292" s="2250"/>
      <c r="J292" s="2250"/>
      <c r="K292" s="2250"/>
      <c r="L292" s="2250"/>
      <c r="M292" s="2250"/>
      <c r="N292" s="2250"/>
    </row>
    <row r="293" spans="2:31" hidden="1">
      <c r="B293"/>
    </row>
    <row r="294" spans="2:31" hidden="1"/>
    <row r="295" spans="2:31" ht="41.15" hidden="1" customHeight="1">
      <c r="F295" s="700" t="s">
        <v>5020</v>
      </c>
      <c r="H295" s="2232" t="s">
        <v>5015</v>
      </c>
      <c r="I295" s="2232"/>
      <c r="K295" s="2232" t="s">
        <v>5017</v>
      </c>
      <c r="L295" s="2232"/>
      <c r="N295" s="2232" t="s">
        <v>5018</v>
      </c>
      <c r="O295" s="2232"/>
      <c r="Q295" s="2232" t="s">
        <v>216</v>
      </c>
      <c r="R295" s="2232"/>
      <c r="S295" s="700"/>
      <c r="T295" s="700"/>
      <c r="W295" s="2232"/>
      <c r="X295" s="2232"/>
      <c r="Y295" s="700"/>
      <c r="Z295" s="700"/>
      <c r="AA295" s="700"/>
      <c r="AB295" s="700"/>
      <c r="AC295" s="700"/>
    </row>
    <row r="296" spans="2:31" ht="25" hidden="1" customHeight="1">
      <c r="E296" s="1535" t="s">
        <v>5035</v>
      </c>
      <c r="F296" s="1051">
        <v>15</v>
      </c>
      <c r="H296" s="2230" t="s">
        <v>5506</v>
      </c>
      <c r="I296" s="2230"/>
      <c r="K296" s="2230" t="s">
        <v>5507</v>
      </c>
      <c r="L296" s="2230"/>
      <c r="N296" s="2230">
        <v>4234</v>
      </c>
      <c r="O296" s="2230"/>
      <c r="Q296" s="2231">
        <f>IF(OR(F296="",H296="",F296&lt;&gt;F303,F296&lt;&gt;F310),"",F296*'Appliances References'!$AC$23)</f>
        <v>600</v>
      </c>
      <c r="R296" s="2231"/>
      <c r="S296" s="2078"/>
      <c r="T296" s="2078"/>
      <c r="W296" s="2233" t="str">
        <f>IF(Q296&lt;&gt;"",IF(OR(Q303="",Q310=""),"Please complete Appliance Bundle #1 to receive rebate.",""),"")</f>
        <v/>
      </c>
      <c r="X296" s="2233"/>
      <c r="Y296" s="2233"/>
      <c r="Z296" s="2233"/>
      <c r="AA296" s="2233"/>
      <c r="AB296" s="2233"/>
      <c r="AC296" s="2233"/>
      <c r="AD296" s="2233"/>
      <c r="AE296" s="2233"/>
    </row>
    <row r="297" spans="2:31" ht="25" hidden="1" customHeight="1">
      <c r="E297" s="1535" t="s">
        <v>5036</v>
      </c>
      <c r="F297" s="1049"/>
      <c r="H297" s="2230"/>
      <c r="I297" s="2230"/>
      <c r="K297" s="2229"/>
      <c r="L297" s="2229"/>
      <c r="N297" s="2229"/>
      <c r="O297" s="2229"/>
      <c r="Q297" s="2231" t="str">
        <f>IF(OR(F297="",H297="",F297&lt;&gt;F304,F297&lt;&gt;F311),"",F297*'Appliances References'!$AC$23)</f>
        <v/>
      </c>
      <c r="R297" s="2231"/>
      <c r="S297" s="2078"/>
      <c r="T297" s="2078"/>
      <c r="W297" s="2233" t="str">
        <f>IF(Q297&lt;&gt;"",IF(OR(Q304="",Q311=""),"Please complete Appliance Bundle #2 to receive rebate.",""),"")</f>
        <v/>
      </c>
      <c r="X297" s="2233"/>
      <c r="Y297" s="2233"/>
      <c r="Z297" s="2233"/>
      <c r="AA297" s="2233"/>
      <c r="AB297" s="2233"/>
      <c r="AC297" s="2233"/>
      <c r="AD297" s="2233"/>
      <c r="AE297" s="2233"/>
    </row>
    <row r="298" spans="2:31" ht="25" hidden="1" customHeight="1">
      <c r="E298" s="1535" t="s">
        <v>5037</v>
      </c>
      <c r="F298" s="1049"/>
      <c r="H298" s="2230"/>
      <c r="I298" s="2230"/>
      <c r="K298" s="2229"/>
      <c r="L298" s="2229"/>
      <c r="N298" s="2229"/>
      <c r="O298" s="2229"/>
      <c r="Q298" s="2231" t="str">
        <f>IF(OR(F298="",H298="",F298&lt;&gt;F305,F298&lt;&gt;F312),"",F298*'Appliances References'!$AC$23)</f>
        <v/>
      </c>
      <c r="R298" s="2231"/>
      <c r="S298" s="2078"/>
      <c r="T298" s="2078"/>
      <c r="W298" s="2233" t="str">
        <f>IF(Q298&lt;&gt;"",IF(OR(Q305="",Q312=""),"Please complete Appliance Bundle #3 to receive rebate.",""),"")</f>
        <v/>
      </c>
      <c r="X298" s="2233"/>
      <c r="Y298" s="2233"/>
      <c r="Z298" s="2233"/>
      <c r="AA298" s="2233"/>
      <c r="AB298" s="2233"/>
      <c r="AC298" s="2233"/>
      <c r="AD298" s="2233"/>
      <c r="AE298" s="2233"/>
    </row>
    <row r="299" spans="2:31" ht="25" hidden="1" customHeight="1">
      <c r="D299"/>
      <c r="E299" s="1535" t="s">
        <v>5038</v>
      </c>
      <c r="F299" s="1049"/>
      <c r="H299" s="2230"/>
      <c r="I299" s="2230"/>
      <c r="K299" s="2229"/>
      <c r="L299" s="2229"/>
      <c r="N299" s="2229"/>
      <c r="O299" s="2229"/>
      <c r="Q299" s="2231" t="str">
        <f>IF(OR(F299="",H299="",F299&lt;&gt;F306,F299&lt;&gt;F313),"",F299*'Appliances References'!$AC$23)</f>
        <v/>
      </c>
      <c r="R299" s="2231"/>
      <c r="S299" s="2078"/>
      <c r="T299" s="2078"/>
      <c r="W299" s="2233" t="str">
        <f>IF(Q299&lt;&gt;"",IF(OR(Q306="",Q313=""),"Please complete Appliance Bundle #4 to receive rebate.",""),"")</f>
        <v/>
      </c>
      <c r="X299" s="2233"/>
      <c r="Y299" s="2233"/>
      <c r="Z299" s="2233"/>
      <c r="AA299" s="2233"/>
      <c r="AB299" s="2233"/>
      <c r="AC299" s="2233"/>
      <c r="AD299" s="2233"/>
      <c r="AE299" s="2233"/>
    </row>
    <row r="300" spans="2:31" hidden="1">
      <c r="E300" s="1535"/>
      <c r="F300" s="45"/>
    </row>
    <row r="301" spans="2:31" hidden="1">
      <c r="F301" s="1060"/>
      <c r="G301" s="1060"/>
      <c r="H301" s="2232"/>
      <c r="I301" s="2232"/>
      <c r="K301" s="2232"/>
      <c r="L301" s="2232"/>
      <c r="N301" s="2232"/>
      <c r="O301" s="2232"/>
      <c r="Q301" s="2232"/>
      <c r="R301" s="2232"/>
      <c r="S301" s="700"/>
      <c r="T301" s="700"/>
    </row>
    <row r="302" spans="2:31" ht="38.5" hidden="1" customHeight="1">
      <c r="F302" s="700" t="s">
        <v>5019</v>
      </c>
      <c r="H302" s="2232" t="s">
        <v>5016</v>
      </c>
      <c r="I302" s="2232"/>
      <c r="K302" s="2232" t="s">
        <v>5021</v>
      </c>
      <c r="L302" s="2232"/>
      <c r="N302" s="2232" t="s">
        <v>5022</v>
      </c>
      <c r="O302" s="2232"/>
      <c r="Q302" s="2232" t="s">
        <v>216</v>
      </c>
      <c r="R302" s="2232"/>
      <c r="S302" s="700"/>
      <c r="T302" s="700"/>
      <c r="W302" s="2232"/>
      <c r="X302" s="2232"/>
      <c r="Y302" s="700"/>
      <c r="Z302" s="700"/>
      <c r="AA302" s="700"/>
      <c r="AB302" s="700"/>
      <c r="AC302" s="700"/>
    </row>
    <row r="303" spans="2:31" ht="25" hidden="1" customHeight="1">
      <c r="E303" s="1535" t="s">
        <v>5035</v>
      </c>
      <c r="F303" s="1051">
        <v>15</v>
      </c>
      <c r="H303" s="2230">
        <v>24234</v>
      </c>
      <c r="I303" s="2230"/>
      <c r="K303" s="2230">
        <v>234</v>
      </c>
      <c r="L303" s="2230"/>
      <c r="N303" s="2230">
        <v>3123</v>
      </c>
      <c r="O303" s="2230"/>
      <c r="Q303" s="2231">
        <f>IF(OR(F303="",H303="",F303&lt;&gt;F296,F303&lt;&gt;F310),"",F303*'Appliances References'!$AC$24)</f>
        <v>450</v>
      </c>
      <c r="R303" s="2231"/>
      <c r="S303" s="2078"/>
      <c r="T303" s="2078"/>
      <c r="W303" s="2233" t="str">
        <f>IF(Q303&lt;&gt;"",IF(OR(Q296="",Q310=""),"Please complete Appliance Bundle #1 to receive rebate.",""),"")</f>
        <v/>
      </c>
      <c r="X303" s="2233"/>
      <c r="Y303" s="2233"/>
      <c r="Z303" s="2233"/>
      <c r="AA303" s="2233"/>
      <c r="AB303" s="2233"/>
      <c r="AC303" s="2233"/>
      <c r="AD303" s="2233"/>
      <c r="AE303" s="2233"/>
    </row>
    <row r="304" spans="2:31" ht="25" hidden="1" customHeight="1">
      <c r="E304" s="1535" t="s">
        <v>5036</v>
      </c>
      <c r="F304" s="1049"/>
      <c r="H304" s="2230"/>
      <c r="I304" s="2230"/>
      <c r="K304" s="2229"/>
      <c r="L304" s="2229"/>
      <c r="N304" s="2229"/>
      <c r="O304" s="2229"/>
      <c r="Q304" s="2231" t="str">
        <f>IF(OR(F304="",H304="",F304&lt;&gt;F297,F304&lt;&gt;F311),"",F304*'Appliances References'!$AC$24)</f>
        <v/>
      </c>
      <c r="R304" s="2231"/>
      <c r="S304" s="2078"/>
      <c r="T304" s="2078"/>
      <c r="W304" s="2233" t="str">
        <f>IF(Q304&lt;&gt;"",IF(OR(Q297="",Q311=""),"Please complete Appliance Bundle #2 to receive rebate.",""),"")</f>
        <v/>
      </c>
      <c r="X304" s="2233"/>
      <c r="Y304" s="2233"/>
      <c r="Z304" s="2233"/>
      <c r="AA304" s="2233"/>
      <c r="AB304" s="2233"/>
      <c r="AC304" s="2233"/>
      <c r="AD304" s="2233"/>
      <c r="AE304" s="2233"/>
    </row>
    <row r="305" spans="5:31" ht="25" hidden="1" customHeight="1">
      <c r="E305" s="1535" t="s">
        <v>5037</v>
      </c>
      <c r="F305" s="1049"/>
      <c r="H305" s="2230"/>
      <c r="I305" s="2230"/>
      <c r="K305" s="2229"/>
      <c r="L305" s="2229"/>
      <c r="N305" s="2229"/>
      <c r="O305" s="2229"/>
      <c r="Q305" s="2231" t="str">
        <f>IF(OR(F305="",H305="",F305&lt;&gt;F298,F305&lt;&gt;F312),"",F305*'Appliances References'!$AC$24)</f>
        <v/>
      </c>
      <c r="R305" s="2231"/>
      <c r="S305" s="2078"/>
      <c r="T305" s="2078"/>
      <c r="W305" s="2233" t="str">
        <f>IF(Q305&lt;&gt;"",IF(OR(Q298="",Q312=""),"Please complete Appliance Bundle #3 to receive rebate.",""),"")</f>
        <v/>
      </c>
      <c r="X305" s="2233"/>
      <c r="Y305" s="2233"/>
      <c r="Z305" s="2233"/>
      <c r="AA305" s="2233"/>
      <c r="AB305" s="2233"/>
      <c r="AC305" s="2233"/>
      <c r="AD305" s="2233"/>
      <c r="AE305" s="2233"/>
    </row>
    <row r="306" spans="5:31" ht="25" hidden="1" customHeight="1">
      <c r="E306" s="1535" t="s">
        <v>5038</v>
      </c>
      <c r="F306" s="1049"/>
      <c r="H306" s="2230"/>
      <c r="I306" s="2230"/>
      <c r="K306" s="2229"/>
      <c r="L306" s="2229"/>
      <c r="N306" s="2229"/>
      <c r="O306" s="2229"/>
      <c r="Q306" s="2231" t="str">
        <f>IF(OR(F306="",H306="",F306&lt;&gt;F299,F306&lt;&gt;F313),"",F306*'Appliances References'!$AC$24)</f>
        <v/>
      </c>
      <c r="R306" s="2231"/>
      <c r="S306" s="2078"/>
      <c r="T306" s="2078"/>
      <c r="W306" s="2233" t="str">
        <f>IF(Q306&lt;&gt;"",IF(OR(Q299="",Q313=""),"Please complete Appliance Bundle #4 to receive rebate.",""),"")</f>
        <v/>
      </c>
      <c r="X306" s="2233"/>
      <c r="Y306" s="2233"/>
      <c r="Z306" s="2233"/>
      <c r="AA306" s="2233"/>
      <c r="AB306" s="2233"/>
      <c r="AC306" s="2233"/>
      <c r="AD306" s="2233"/>
      <c r="AE306" s="2233"/>
    </row>
    <row r="307" spans="5:31" hidden="1">
      <c r="E307" s="1535"/>
      <c r="F307" s="45"/>
    </row>
    <row r="308" spans="5:31" ht="14.15" hidden="1" customHeight="1">
      <c r="W308" s="2232"/>
      <c r="X308" s="2232"/>
      <c r="Y308" s="700"/>
      <c r="Z308" s="700"/>
      <c r="AA308" s="700"/>
      <c r="AB308" s="700"/>
      <c r="AC308" s="700"/>
    </row>
    <row r="309" spans="5:31" ht="52" hidden="1" customHeight="1">
      <c r="F309" s="700" t="s">
        <v>5023</v>
      </c>
      <c r="G309" s="51"/>
      <c r="H309" s="2232" t="s">
        <v>5024</v>
      </c>
      <c r="I309" s="2232"/>
      <c r="J309" s="51"/>
      <c r="K309" s="2232" t="s">
        <v>5025</v>
      </c>
      <c r="L309" s="2232"/>
      <c r="M309" s="51"/>
      <c r="N309" s="2232" t="s">
        <v>5026</v>
      </c>
      <c r="O309" s="2232"/>
      <c r="P309" s="51"/>
      <c r="Q309" s="2232" t="s">
        <v>216</v>
      </c>
      <c r="R309" s="2232"/>
      <c r="S309" s="700"/>
      <c r="T309" s="700"/>
      <c r="W309" s="1539"/>
      <c r="X309" s="1539"/>
      <c r="Y309" s="1539"/>
      <c r="Z309" s="1539"/>
      <c r="AA309" s="1539"/>
      <c r="AB309" s="1539"/>
      <c r="AC309" s="1539"/>
    </row>
    <row r="310" spans="5:31" ht="25" hidden="1" customHeight="1">
      <c r="E310" s="1535" t="s">
        <v>5035</v>
      </c>
      <c r="F310" s="1051">
        <v>15</v>
      </c>
      <c r="H310" s="2230">
        <v>123213</v>
      </c>
      <c r="I310" s="2230"/>
      <c r="K310" s="2230">
        <v>3121</v>
      </c>
      <c r="L310" s="2230"/>
      <c r="N310" s="2230">
        <v>321312</v>
      </c>
      <c r="O310" s="2230"/>
      <c r="Q310" s="2231">
        <f>IF(OR(F310="",H310="",F310&lt;&gt;F303,F310&lt;&gt;F296),"",F310*'Appliances References'!$AC$25)</f>
        <v>450</v>
      </c>
      <c r="R310" s="2231"/>
      <c r="S310" s="2078"/>
      <c r="T310" s="2078"/>
      <c r="W310" s="2233" t="str">
        <f>IF(Q310&lt;&gt;"",IF(OR(Q303="",Q296=""),"Please complete Appliance Bundle #1 to receive rebate.",""),"")</f>
        <v/>
      </c>
      <c r="X310" s="2233"/>
      <c r="Y310" s="2233"/>
      <c r="Z310" s="2233"/>
      <c r="AA310" s="2233"/>
      <c r="AB310" s="2233"/>
      <c r="AC310" s="2233"/>
      <c r="AD310" s="2233"/>
      <c r="AE310" s="2233"/>
    </row>
    <row r="311" spans="5:31" ht="25" hidden="1" customHeight="1">
      <c r="E311" s="1535" t="s">
        <v>5036</v>
      </c>
      <c r="F311" s="1049"/>
      <c r="H311" s="2230"/>
      <c r="I311" s="2230"/>
      <c r="K311" s="2230"/>
      <c r="L311" s="2230"/>
      <c r="N311" s="2230"/>
      <c r="O311" s="2230"/>
      <c r="Q311" s="2231" t="str">
        <f>IF(OR(F311="",H311="",F311&lt;&gt;F304,F311&lt;&gt;F297),"",F311*'Appliances References'!$AC$25)</f>
        <v/>
      </c>
      <c r="R311" s="2231"/>
      <c r="S311" s="2078"/>
      <c r="T311" s="2078"/>
      <c r="W311" s="2233" t="str">
        <f>IF(Q311&lt;&gt;"",IF(OR(Q304="",Q297=""),"Please complete Appliance Bundle #2 to receive rebate.",""),"")</f>
        <v/>
      </c>
      <c r="X311" s="2233"/>
      <c r="Y311" s="2233"/>
      <c r="Z311" s="2233"/>
      <c r="AA311" s="2233"/>
      <c r="AB311" s="2233"/>
      <c r="AC311" s="2233"/>
      <c r="AD311" s="2233"/>
      <c r="AE311" s="2233"/>
    </row>
    <row r="312" spans="5:31" ht="25" hidden="1" customHeight="1">
      <c r="E312" s="1535" t="s">
        <v>5037</v>
      </c>
      <c r="F312" s="1049"/>
      <c r="H312" s="2230"/>
      <c r="I312" s="2230"/>
      <c r="K312" s="2230"/>
      <c r="L312" s="2230"/>
      <c r="N312" s="2230"/>
      <c r="O312" s="2230"/>
      <c r="Q312" s="2231" t="str">
        <f>IF(OR(F312="",H312="",F312&lt;&gt;F305,F312&lt;&gt;F298),"",F312*'Appliances References'!$AC$25)</f>
        <v/>
      </c>
      <c r="R312" s="2231"/>
      <c r="S312" s="2078"/>
      <c r="T312" s="2078"/>
      <c r="W312" s="2233" t="str">
        <f>IF(Q312&lt;&gt;"",IF(OR(Q305="",Q298=""),"Please complete Appliance Bundle #3 to receive rebate.",""),"")</f>
        <v/>
      </c>
      <c r="X312" s="2233"/>
      <c r="Y312" s="2233"/>
      <c r="Z312" s="2233"/>
      <c r="AA312" s="2233"/>
      <c r="AB312" s="2233"/>
      <c r="AC312" s="2233"/>
      <c r="AD312" s="2233"/>
      <c r="AE312" s="2233"/>
    </row>
    <row r="313" spans="5:31" ht="25" hidden="1" customHeight="1">
      <c r="E313" s="1535" t="s">
        <v>5038</v>
      </c>
      <c r="F313" s="1049"/>
      <c r="H313" s="2230"/>
      <c r="I313" s="2230"/>
      <c r="K313" s="2230"/>
      <c r="L313" s="2230"/>
      <c r="N313" s="2230"/>
      <c r="O313" s="2230"/>
      <c r="Q313" s="2231" t="str">
        <f>IF(OR(F313="",H313="",F313&lt;&gt;F306,F313&lt;&gt;F299),"",F313*'Appliances References'!$AC$25)</f>
        <v/>
      </c>
      <c r="R313" s="2231"/>
      <c r="S313" s="2078"/>
      <c r="T313" s="2078"/>
      <c r="W313" s="2233" t="str">
        <f>IF(Q313&lt;&gt;"",IF(OR(Q306="",Q299=""),"Please complete Appliance Bundle #4 to receive rebate.",""),"")</f>
        <v/>
      </c>
      <c r="X313" s="2233"/>
      <c r="Y313" s="2233"/>
      <c r="Z313" s="2233"/>
      <c r="AA313" s="2233"/>
      <c r="AB313" s="2233"/>
      <c r="AC313" s="2233"/>
      <c r="AD313" s="2233"/>
      <c r="AE313" s="2233"/>
    </row>
    <row r="314" spans="5:31" ht="25" hidden="1" customHeight="1">
      <c r="E314" s="1535"/>
      <c r="F314" s="45"/>
      <c r="Q314" s="2247"/>
      <c r="R314" s="2247"/>
      <c r="S314" s="273"/>
      <c r="T314" s="273"/>
    </row>
    <row r="315" spans="5:31" ht="18" hidden="1" customHeight="1">
      <c r="E315" s="1536"/>
      <c r="F315" s="621"/>
    </row>
  </sheetData>
  <sheetProtection algorithmName="SHA-512" hashValue="OnjZePLsaqWms/j8YjhPt0P9DdxRn14Jkc+N5qdy63IU30kIp6VKncoYPV4mwk9TyCsUQVHY5cHlA2GhxJ1w2w==" saltValue="onNfpG3A0ZsrVc1w2P8sDQ==" spinCount="100000" sheet="1" objects="1" scenarios="1"/>
  <dataConsolidate/>
  <mergeCells count="616">
    <mergeCell ref="C48:E48"/>
    <mergeCell ref="F45:F48"/>
    <mergeCell ref="H48:I48"/>
    <mergeCell ref="J48:K48"/>
    <mergeCell ref="C27:H28"/>
    <mergeCell ref="C26:E26"/>
    <mergeCell ref="K28:M28"/>
    <mergeCell ref="F24:F26"/>
    <mergeCell ref="G26:J26"/>
    <mergeCell ref="K26:M26"/>
    <mergeCell ref="J45:K45"/>
    <mergeCell ref="C46:E46"/>
    <mergeCell ref="H46:I46"/>
    <mergeCell ref="J46:K46"/>
    <mergeCell ref="C47:E47"/>
    <mergeCell ref="H47:I47"/>
    <mergeCell ref="J47:K47"/>
    <mergeCell ref="C36:F37"/>
    <mergeCell ref="C38:S38"/>
    <mergeCell ref="C44:E44"/>
    <mergeCell ref="H44:I44"/>
    <mergeCell ref="J44:K44"/>
    <mergeCell ref="C45:E45"/>
    <mergeCell ref="H45:I45"/>
    <mergeCell ref="N26:R26"/>
    <mergeCell ref="C10:F10"/>
    <mergeCell ref="G10:I10"/>
    <mergeCell ref="J10:N10"/>
    <mergeCell ref="O10:S10"/>
    <mergeCell ref="C32:S32"/>
    <mergeCell ref="H33:J33"/>
    <mergeCell ref="H34:J34"/>
    <mergeCell ref="H35:J35"/>
    <mergeCell ref="O35:S35"/>
    <mergeCell ref="C23:E23"/>
    <mergeCell ref="C24:E24"/>
    <mergeCell ref="C25:E25"/>
    <mergeCell ref="K33:N33"/>
    <mergeCell ref="K34:N34"/>
    <mergeCell ref="K35:N35"/>
    <mergeCell ref="N23:R23"/>
    <mergeCell ref="N24:R24"/>
    <mergeCell ref="N25:R25"/>
    <mergeCell ref="K27:M27"/>
    <mergeCell ref="N28:R28"/>
    <mergeCell ref="M66:N66"/>
    <mergeCell ref="P66:Q66"/>
    <mergeCell ref="P67:Q67"/>
    <mergeCell ref="M67:N67"/>
    <mergeCell ref="J49:K49"/>
    <mergeCell ref="J50:K50"/>
    <mergeCell ref="J66:K66"/>
    <mergeCell ref="N55:O55"/>
    <mergeCell ref="N57:O57"/>
    <mergeCell ref="B63:AD63"/>
    <mergeCell ref="H57:I57"/>
    <mergeCell ref="H58:I58"/>
    <mergeCell ref="H59:I59"/>
    <mergeCell ref="K59:L59"/>
    <mergeCell ref="Q59:R59"/>
    <mergeCell ref="G49:I49"/>
    <mergeCell ref="G50:I50"/>
    <mergeCell ref="C7:F7"/>
    <mergeCell ref="C8:F8"/>
    <mergeCell ref="G8:I8"/>
    <mergeCell ref="J7:N7"/>
    <mergeCell ref="J8:N8"/>
    <mergeCell ref="J9:N9"/>
    <mergeCell ref="C9:F9"/>
    <mergeCell ref="G9:I9"/>
    <mergeCell ref="C21:M21"/>
    <mergeCell ref="C11:S11"/>
    <mergeCell ref="O7:S7"/>
    <mergeCell ref="O8:S8"/>
    <mergeCell ref="O9:S9"/>
    <mergeCell ref="M70:N70"/>
    <mergeCell ref="P70:Q70"/>
    <mergeCell ref="J67:K67"/>
    <mergeCell ref="J68:K68"/>
    <mergeCell ref="J69:K69"/>
    <mergeCell ref="J70:K70"/>
    <mergeCell ref="J71:K71"/>
    <mergeCell ref="M71:N71"/>
    <mergeCell ref="P71:Q71"/>
    <mergeCell ref="P68:Q68"/>
    <mergeCell ref="W275:X275"/>
    <mergeCell ref="B270:AD270"/>
    <mergeCell ref="H275:I275"/>
    <mergeCell ref="K275:L275"/>
    <mergeCell ref="N275:O275"/>
    <mergeCell ref="Q275:R275"/>
    <mergeCell ref="H276:I276"/>
    <mergeCell ref="K276:L276"/>
    <mergeCell ref="J72:K72"/>
    <mergeCell ref="M72:N72"/>
    <mergeCell ref="P72:Q72"/>
    <mergeCell ref="H261:I261"/>
    <mergeCell ref="K261:L261"/>
    <mergeCell ref="K266:L266"/>
    <mergeCell ref="N266:O266"/>
    <mergeCell ref="Q261:R261"/>
    <mergeCell ref="Q276:R276"/>
    <mergeCell ref="H264:I264"/>
    <mergeCell ref="K264:L264"/>
    <mergeCell ref="N264:O264"/>
    <mergeCell ref="K265:L265"/>
    <mergeCell ref="N265:O265"/>
    <mergeCell ref="H265:I265"/>
    <mergeCell ref="N261:O261"/>
    <mergeCell ref="N276:O276"/>
    <mergeCell ref="H283:I283"/>
    <mergeCell ref="K283:L283"/>
    <mergeCell ref="N283:O283"/>
    <mergeCell ref="N279:O279"/>
    <mergeCell ref="K279:L279"/>
    <mergeCell ref="N284:O284"/>
    <mergeCell ref="H282:I282"/>
    <mergeCell ref="K282:L282"/>
    <mergeCell ref="N282:O282"/>
    <mergeCell ref="H277:I277"/>
    <mergeCell ref="K277:L277"/>
    <mergeCell ref="N277:O277"/>
    <mergeCell ref="H313:I313"/>
    <mergeCell ref="E253:N253"/>
    <mergeCell ref="E273:N273"/>
    <mergeCell ref="Q310:R310"/>
    <mergeCell ref="Q311:R311"/>
    <mergeCell ref="Q312:R312"/>
    <mergeCell ref="E292:N292"/>
    <mergeCell ref="H310:I310"/>
    <mergeCell ref="H311:I311"/>
    <mergeCell ref="H312:I312"/>
    <mergeCell ref="N255:O255"/>
    <mergeCell ref="K255:L255"/>
    <mergeCell ref="H255:I255"/>
    <mergeCell ref="H304:I304"/>
    <mergeCell ref="K304:L304"/>
    <mergeCell ref="N304:O304"/>
    <mergeCell ref="Q304:R304"/>
    <mergeCell ref="H259:I259"/>
    <mergeCell ref="K259:L259"/>
    <mergeCell ref="H266:I266"/>
    <mergeCell ref="H305:I305"/>
    <mergeCell ref="K305:L305"/>
    <mergeCell ref="H284:I284"/>
    <mergeCell ref="K284:L284"/>
    <mergeCell ref="Q314:R314"/>
    <mergeCell ref="H286:I286"/>
    <mergeCell ref="K286:L286"/>
    <mergeCell ref="N286:O286"/>
    <mergeCell ref="Q286:R286"/>
    <mergeCell ref="H302:I302"/>
    <mergeCell ref="K302:L302"/>
    <mergeCell ref="N302:O302"/>
    <mergeCell ref="Q302:R302"/>
    <mergeCell ref="N295:O295"/>
    <mergeCell ref="Q295:R295"/>
    <mergeCell ref="H296:I296"/>
    <mergeCell ref="K296:L296"/>
    <mergeCell ref="N296:O296"/>
    <mergeCell ref="Q296:R296"/>
    <mergeCell ref="Q287:R287"/>
    <mergeCell ref="Q288:R288"/>
    <mergeCell ref="N305:O305"/>
    <mergeCell ref="Q305:R305"/>
    <mergeCell ref="N311:O311"/>
    <mergeCell ref="Q306:R306"/>
    <mergeCell ref="K310:L310"/>
    <mergeCell ref="H295:I295"/>
    <mergeCell ref="K313:L313"/>
    <mergeCell ref="H309:I309"/>
    <mergeCell ref="Q309:R309"/>
    <mergeCell ref="H297:I297"/>
    <mergeCell ref="K297:L297"/>
    <mergeCell ref="N297:O297"/>
    <mergeCell ref="Q297:R297"/>
    <mergeCell ref="H298:I298"/>
    <mergeCell ref="K298:L298"/>
    <mergeCell ref="N298:O298"/>
    <mergeCell ref="Q298:R298"/>
    <mergeCell ref="H301:I301"/>
    <mergeCell ref="H306:I306"/>
    <mergeCell ref="K306:L306"/>
    <mergeCell ref="N306:O306"/>
    <mergeCell ref="N299:O299"/>
    <mergeCell ref="Q299:R299"/>
    <mergeCell ref="H303:I303"/>
    <mergeCell ref="K303:L303"/>
    <mergeCell ref="N303:O303"/>
    <mergeCell ref="Q303:R303"/>
    <mergeCell ref="H299:I299"/>
    <mergeCell ref="K299:L299"/>
    <mergeCell ref="Q277:R277"/>
    <mergeCell ref="H278:I278"/>
    <mergeCell ref="K278:L278"/>
    <mergeCell ref="W277:AE277"/>
    <mergeCell ref="W276:AE276"/>
    <mergeCell ref="N278:O278"/>
    <mergeCell ref="Q278:R278"/>
    <mergeCell ref="W261:X261"/>
    <mergeCell ref="H262:I262"/>
    <mergeCell ref="K262:L262"/>
    <mergeCell ref="N262:O262"/>
    <mergeCell ref="Q262:R262"/>
    <mergeCell ref="W262:X262"/>
    <mergeCell ref="Q264:R264"/>
    <mergeCell ref="Q265:R265"/>
    <mergeCell ref="Q266:R266"/>
    <mergeCell ref="W266:AE266"/>
    <mergeCell ref="W265:AE265"/>
    <mergeCell ref="W264:AE264"/>
    <mergeCell ref="W263:AE263"/>
    <mergeCell ref="H263:I263"/>
    <mergeCell ref="K263:L263"/>
    <mergeCell ref="N263:O263"/>
    <mergeCell ref="Q263:R263"/>
    <mergeCell ref="K244:L244"/>
    <mergeCell ref="N244:O244"/>
    <mergeCell ref="Q244:R244"/>
    <mergeCell ref="W244:X244"/>
    <mergeCell ref="B251:AD251"/>
    <mergeCell ref="W259:AE259"/>
    <mergeCell ref="W258:AE258"/>
    <mergeCell ref="W257:AE257"/>
    <mergeCell ref="W256:AE256"/>
    <mergeCell ref="Q256:R256"/>
    <mergeCell ref="Q255:R255"/>
    <mergeCell ref="Q259:R259"/>
    <mergeCell ref="H256:I256"/>
    <mergeCell ref="K256:L256"/>
    <mergeCell ref="N256:O256"/>
    <mergeCell ref="H257:I257"/>
    <mergeCell ref="K257:L257"/>
    <mergeCell ref="N257:O257"/>
    <mergeCell ref="Q257:R257"/>
    <mergeCell ref="H258:I258"/>
    <mergeCell ref="K258:L258"/>
    <mergeCell ref="N259:O259"/>
    <mergeCell ref="N258:O258"/>
    <mergeCell ref="Q258:R258"/>
    <mergeCell ref="H243:I243"/>
    <mergeCell ref="K243:L243"/>
    <mergeCell ref="N243:O243"/>
    <mergeCell ref="Q243:R243"/>
    <mergeCell ref="W243:X243"/>
    <mergeCell ref="H240:I240"/>
    <mergeCell ref="K240:L240"/>
    <mergeCell ref="N240:O240"/>
    <mergeCell ref="Q240:R240"/>
    <mergeCell ref="W240:X240"/>
    <mergeCell ref="H241:I241"/>
    <mergeCell ref="K241:L241"/>
    <mergeCell ref="N241:O241"/>
    <mergeCell ref="Q241:R241"/>
    <mergeCell ref="W241:X241"/>
    <mergeCell ref="W133:X133"/>
    <mergeCell ref="Q133:R133"/>
    <mergeCell ref="W135:X135"/>
    <mergeCell ref="K116:L116"/>
    <mergeCell ref="H133:I133"/>
    <mergeCell ref="H135:I135"/>
    <mergeCell ref="H242:I242"/>
    <mergeCell ref="K242:L242"/>
    <mergeCell ref="N242:O242"/>
    <mergeCell ref="Q242:R242"/>
    <mergeCell ref="W242:X242"/>
    <mergeCell ref="Q135:R135"/>
    <mergeCell ref="K133:L133"/>
    <mergeCell ref="H128:I128"/>
    <mergeCell ref="K128:L128"/>
    <mergeCell ref="N128:O128"/>
    <mergeCell ref="B122:AD122"/>
    <mergeCell ref="N104:O104"/>
    <mergeCell ref="T133:U133"/>
    <mergeCell ref="T135:U135"/>
    <mergeCell ref="W255:X255"/>
    <mergeCell ref="H244:I244"/>
    <mergeCell ref="B237:AD237"/>
    <mergeCell ref="H115:I115"/>
    <mergeCell ref="K115:L115"/>
    <mergeCell ref="Q115:R115"/>
    <mergeCell ref="N160:O160"/>
    <mergeCell ref="H164:I164"/>
    <mergeCell ref="K164:L164"/>
    <mergeCell ref="Q164:R164"/>
    <mergeCell ref="H171:I171"/>
    <mergeCell ref="K171:L171"/>
    <mergeCell ref="Q171:R171"/>
    <mergeCell ref="H162:I162"/>
    <mergeCell ref="K162:L162"/>
    <mergeCell ref="Q162:R162"/>
    <mergeCell ref="H163:I163"/>
    <mergeCell ref="Q89:R89"/>
    <mergeCell ref="H90:I90"/>
    <mergeCell ref="Q92:R92"/>
    <mergeCell ref="K102:L102"/>
    <mergeCell ref="Q102:R102"/>
    <mergeCell ref="H91:I91"/>
    <mergeCell ref="K101:L101"/>
    <mergeCell ref="Q91:R91"/>
    <mergeCell ref="K91:L91"/>
    <mergeCell ref="Q90:R90"/>
    <mergeCell ref="K90:L90"/>
    <mergeCell ref="H92:I92"/>
    <mergeCell ref="H102:I102"/>
    <mergeCell ref="B4:AD4"/>
    <mergeCell ref="H100:I100"/>
    <mergeCell ref="K100:L100"/>
    <mergeCell ref="Q100:R100"/>
    <mergeCell ref="H55:I55"/>
    <mergeCell ref="K55:L55"/>
    <mergeCell ref="Q55:R55"/>
    <mergeCell ref="H56:I56"/>
    <mergeCell ref="K56:L56"/>
    <mergeCell ref="Q56:R56"/>
    <mergeCell ref="K57:L57"/>
    <mergeCell ref="Q57:R57"/>
    <mergeCell ref="K77:L77"/>
    <mergeCell ref="K78:L78"/>
    <mergeCell ref="N58:O58"/>
    <mergeCell ref="N59:O59"/>
    <mergeCell ref="B53:AD53"/>
    <mergeCell ref="M69:N69"/>
    <mergeCell ref="P69:Q69"/>
    <mergeCell ref="Q88:R88"/>
    <mergeCell ref="N56:O56"/>
    <mergeCell ref="G7:I7"/>
    <mergeCell ref="N79:O79"/>
    <mergeCell ref="N77:O77"/>
    <mergeCell ref="Q161:R161"/>
    <mergeCell ref="K173:L173"/>
    <mergeCell ref="Q173:R173"/>
    <mergeCell ref="B74:AD74"/>
    <mergeCell ref="K79:L79"/>
    <mergeCell ref="K80:L80"/>
    <mergeCell ref="K58:L58"/>
    <mergeCell ref="Q58:R58"/>
    <mergeCell ref="Q77:R77"/>
    <mergeCell ref="Q78:R78"/>
    <mergeCell ref="Q79:R79"/>
    <mergeCell ref="Q80:R80"/>
    <mergeCell ref="N88:O88"/>
    <mergeCell ref="K112:L112"/>
    <mergeCell ref="Q112:R112"/>
    <mergeCell ref="H113:I113"/>
    <mergeCell ref="K113:L113"/>
    <mergeCell ref="Q113:R113"/>
    <mergeCell ref="H88:I88"/>
    <mergeCell ref="K88:L88"/>
    <mergeCell ref="N112:O112"/>
    <mergeCell ref="N114:O114"/>
    <mergeCell ref="N78:O78"/>
    <mergeCell ref="Q103:R103"/>
    <mergeCell ref="K81:L81"/>
    <mergeCell ref="H89:I89"/>
    <mergeCell ref="K92:L92"/>
    <mergeCell ref="H103:I103"/>
    <mergeCell ref="K103:L103"/>
    <mergeCell ref="N133:O133"/>
    <mergeCell ref="N135:O135"/>
    <mergeCell ref="K89:L89"/>
    <mergeCell ref="K104:L104"/>
    <mergeCell ref="K135:L135"/>
    <mergeCell ref="B85:AD85"/>
    <mergeCell ref="Q81:R81"/>
    <mergeCell ref="Q104:R104"/>
    <mergeCell ref="H101:I101"/>
    <mergeCell ref="H104:I104"/>
    <mergeCell ref="B109:AD109"/>
    <mergeCell ref="N100:O100"/>
    <mergeCell ref="N89:O89"/>
    <mergeCell ref="N90:O90"/>
    <mergeCell ref="N91:O91"/>
    <mergeCell ref="N92:O92"/>
    <mergeCell ref="Q101:R101"/>
    <mergeCell ref="B97:AD97"/>
    <mergeCell ref="N101:O101"/>
    <mergeCell ref="Q185:R185"/>
    <mergeCell ref="H182:I182"/>
    <mergeCell ref="K182:L182"/>
    <mergeCell ref="Q182:R182"/>
    <mergeCell ref="H183:I183"/>
    <mergeCell ref="K183:L183"/>
    <mergeCell ref="Q183:R183"/>
    <mergeCell ref="N182:O182"/>
    <mergeCell ref="N184:O184"/>
    <mergeCell ref="N185:O185"/>
    <mergeCell ref="H185:I185"/>
    <mergeCell ref="K185:L185"/>
    <mergeCell ref="Q174:R174"/>
    <mergeCell ref="H175:I175"/>
    <mergeCell ref="N183:O183"/>
    <mergeCell ref="H184:I184"/>
    <mergeCell ref="K184:L184"/>
    <mergeCell ref="Q184:R184"/>
    <mergeCell ref="B157:AD157"/>
    <mergeCell ref="B168:AD168"/>
    <mergeCell ref="B179:AD179"/>
    <mergeCell ref="N172:O172"/>
    <mergeCell ref="N173:O173"/>
    <mergeCell ref="N174:O174"/>
    <mergeCell ref="N175:O175"/>
    <mergeCell ref="N161:O161"/>
    <mergeCell ref="N162:O162"/>
    <mergeCell ref="N163:O163"/>
    <mergeCell ref="N164:O164"/>
    <mergeCell ref="H174:I174"/>
    <mergeCell ref="Q163:R163"/>
    <mergeCell ref="N171:O171"/>
    <mergeCell ref="H160:I160"/>
    <mergeCell ref="K160:L160"/>
    <mergeCell ref="Q160:R160"/>
    <mergeCell ref="H161:I161"/>
    <mergeCell ref="Q175:R175"/>
    <mergeCell ref="H172:I172"/>
    <mergeCell ref="K172:L172"/>
    <mergeCell ref="Q172:R172"/>
    <mergeCell ref="H173:I173"/>
    <mergeCell ref="N208:O208"/>
    <mergeCell ref="H196:I196"/>
    <mergeCell ref="K196:L196"/>
    <mergeCell ref="Q186:R186"/>
    <mergeCell ref="N206:O206"/>
    <mergeCell ref="N186:O186"/>
    <mergeCell ref="H197:I197"/>
    <mergeCell ref="K197:L197"/>
    <mergeCell ref="N197:O197"/>
    <mergeCell ref="H198:I198"/>
    <mergeCell ref="K198:L198"/>
    <mergeCell ref="N198:O198"/>
    <mergeCell ref="B191:W191"/>
    <mergeCell ref="H194:I194"/>
    <mergeCell ref="K194:L194"/>
    <mergeCell ref="H186:I186"/>
    <mergeCell ref="N194:O194"/>
    <mergeCell ref="K174:L174"/>
    <mergeCell ref="N196:O196"/>
    <mergeCell ref="H222:I222"/>
    <mergeCell ref="K222:L222"/>
    <mergeCell ref="N222:O222"/>
    <mergeCell ref="H219:I219"/>
    <mergeCell ref="K219:L219"/>
    <mergeCell ref="N219:O219"/>
    <mergeCell ref="B203:W203"/>
    <mergeCell ref="H206:I206"/>
    <mergeCell ref="K206:L206"/>
    <mergeCell ref="H207:I207"/>
    <mergeCell ref="K207:L207"/>
    <mergeCell ref="N207:O207"/>
    <mergeCell ref="H209:I209"/>
    <mergeCell ref="K209:L209"/>
    <mergeCell ref="N209:O209"/>
    <mergeCell ref="B215:W215"/>
    <mergeCell ref="H218:I218"/>
    <mergeCell ref="K218:L218"/>
    <mergeCell ref="N218:O218"/>
    <mergeCell ref="H210:I210"/>
    <mergeCell ref="K210:L210"/>
    <mergeCell ref="N210:O210"/>
    <mergeCell ref="H208:I208"/>
    <mergeCell ref="K208:L208"/>
    <mergeCell ref="B227:W227"/>
    <mergeCell ref="H230:I230"/>
    <mergeCell ref="K230:L230"/>
    <mergeCell ref="N230:O230"/>
    <mergeCell ref="H234:I234"/>
    <mergeCell ref="K234:L234"/>
    <mergeCell ref="N234:O234"/>
    <mergeCell ref="H231:I231"/>
    <mergeCell ref="K231:L231"/>
    <mergeCell ref="N231:O231"/>
    <mergeCell ref="H232:I232"/>
    <mergeCell ref="K232:L232"/>
    <mergeCell ref="N232:O232"/>
    <mergeCell ref="H233:I233"/>
    <mergeCell ref="K233:L233"/>
    <mergeCell ref="N233:O233"/>
    <mergeCell ref="H220:I220"/>
    <mergeCell ref="K220:L220"/>
    <mergeCell ref="N220:O220"/>
    <mergeCell ref="H221:I221"/>
    <mergeCell ref="K221:L221"/>
    <mergeCell ref="N221:O221"/>
    <mergeCell ref="H148:I148"/>
    <mergeCell ref="H149:I149"/>
    <mergeCell ref="H150:I150"/>
    <mergeCell ref="H151:I151"/>
    <mergeCell ref="H152:I152"/>
    <mergeCell ref="K148:L148"/>
    <mergeCell ref="N148:O148"/>
    <mergeCell ref="N195:O195"/>
    <mergeCell ref="K186:L186"/>
    <mergeCell ref="H195:I195"/>
    <mergeCell ref="K195:L195"/>
    <mergeCell ref="K175:L175"/>
    <mergeCell ref="K161:L161"/>
    <mergeCell ref="K163:L163"/>
    <mergeCell ref="Q151:R151"/>
    <mergeCell ref="Q152:R152"/>
    <mergeCell ref="K149:L149"/>
    <mergeCell ref="N149:O149"/>
    <mergeCell ref="K152:L152"/>
    <mergeCell ref="N152:O152"/>
    <mergeCell ref="K150:L150"/>
    <mergeCell ref="N150:O150"/>
    <mergeCell ref="K151:L151"/>
    <mergeCell ref="N151:O151"/>
    <mergeCell ref="Q149:R149"/>
    <mergeCell ref="Q150:R150"/>
    <mergeCell ref="N102:O102"/>
    <mergeCell ref="N103:O103"/>
    <mergeCell ref="N115:O115"/>
    <mergeCell ref="H114:I114"/>
    <mergeCell ref="T128:U128"/>
    <mergeCell ref="W131:X131"/>
    <mergeCell ref="Q116:R116"/>
    <mergeCell ref="Q129:R129"/>
    <mergeCell ref="Q128:R128"/>
    <mergeCell ref="Q131:R131"/>
    <mergeCell ref="T129:U129"/>
    <mergeCell ref="T131:U131"/>
    <mergeCell ref="W129:X129"/>
    <mergeCell ref="H116:I116"/>
    <mergeCell ref="H129:I129"/>
    <mergeCell ref="H131:I131"/>
    <mergeCell ref="K129:L129"/>
    <mergeCell ref="K131:L131"/>
    <mergeCell ref="N129:O129"/>
    <mergeCell ref="N131:O131"/>
    <mergeCell ref="W128:X128"/>
    <mergeCell ref="C123:O123"/>
    <mergeCell ref="H112:I112"/>
    <mergeCell ref="N116:O116"/>
    <mergeCell ref="Q284:R284"/>
    <mergeCell ref="Q283:R283"/>
    <mergeCell ref="H281:I281"/>
    <mergeCell ref="K281:L281"/>
    <mergeCell ref="N281:O281"/>
    <mergeCell ref="Q281:R281"/>
    <mergeCell ref="Q282:R282"/>
    <mergeCell ref="K295:L295"/>
    <mergeCell ref="H285:I285"/>
    <mergeCell ref="K285:L285"/>
    <mergeCell ref="N285:O285"/>
    <mergeCell ref="W283:AE283"/>
    <mergeCell ref="W279:AE279"/>
    <mergeCell ref="W278:AE278"/>
    <mergeCell ref="W296:AE296"/>
    <mergeCell ref="W297:AE297"/>
    <mergeCell ref="W298:AE298"/>
    <mergeCell ref="W299:AE299"/>
    <mergeCell ref="O33:S33"/>
    <mergeCell ref="C34:F34"/>
    <mergeCell ref="O34:S34"/>
    <mergeCell ref="C35:F35"/>
    <mergeCell ref="W281:X281"/>
    <mergeCell ref="W282:X282"/>
    <mergeCell ref="W295:X295"/>
    <mergeCell ref="B290:AD290"/>
    <mergeCell ref="W284:AE284"/>
    <mergeCell ref="Q279:R279"/>
    <mergeCell ref="H279:I279"/>
    <mergeCell ref="B145:AD145"/>
    <mergeCell ref="Q114:R114"/>
    <mergeCell ref="K114:L114"/>
    <mergeCell ref="N113:O113"/>
    <mergeCell ref="H77:I77"/>
    <mergeCell ref="H78:I78"/>
    <mergeCell ref="W311:AE311"/>
    <mergeCell ref="W312:AE312"/>
    <mergeCell ref="W313:AE313"/>
    <mergeCell ref="W286:AE286"/>
    <mergeCell ref="W285:AE285"/>
    <mergeCell ref="W304:AE304"/>
    <mergeCell ref="W305:AE305"/>
    <mergeCell ref="W306:AE306"/>
    <mergeCell ref="W310:AE310"/>
    <mergeCell ref="W308:X308"/>
    <mergeCell ref="W303:AE303"/>
    <mergeCell ref="W302:X302"/>
    <mergeCell ref="N313:O313"/>
    <mergeCell ref="N312:O312"/>
    <mergeCell ref="Q313:R313"/>
    <mergeCell ref="Q285:R285"/>
    <mergeCell ref="N309:O309"/>
    <mergeCell ref="K309:L309"/>
    <mergeCell ref="K311:L311"/>
    <mergeCell ref="K312:L312"/>
    <mergeCell ref="N310:O310"/>
    <mergeCell ref="K301:L301"/>
    <mergeCell ref="N301:O301"/>
    <mergeCell ref="Q301:R301"/>
    <mergeCell ref="C6:S6"/>
    <mergeCell ref="G143:I143"/>
    <mergeCell ref="A143:C143"/>
    <mergeCell ref="K23:M23"/>
    <mergeCell ref="K24:M24"/>
    <mergeCell ref="K25:M25"/>
    <mergeCell ref="C17:I17"/>
    <mergeCell ref="C18:F18"/>
    <mergeCell ref="G18:I18"/>
    <mergeCell ref="C19:F19"/>
    <mergeCell ref="C20:F20"/>
    <mergeCell ref="G19:I20"/>
    <mergeCell ref="G23:J23"/>
    <mergeCell ref="G24:J24"/>
    <mergeCell ref="G25:J25"/>
    <mergeCell ref="M68:N68"/>
    <mergeCell ref="N27:R27"/>
    <mergeCell ref="B30:AD30"/>
    <mergeCell ref="C33:F33"/>
    <mergeCell ref="H79:I79"/>
    <mergeCell ref="H80:I80"/>
    <mergeCell ref="H81:I81"/>
    <mergeCell ref="N80:O80"/>
    <mergeCell ref="N81:O81"/>
  </mergeCells>
  <phoneticPr fontId="139" type="noConversion"/>
  <conditionalFormatting sqref="A1:I1">
    <cfRule type="cellIs" dxfId="92" priority="7" stopIfTrue="1" operator="equal">
      <formula>"Missing Info"</formula>
    </cfRule>
  </conditionalFormatting>
  <conditionalFormatting sqref="B12:C12">
    <cfRule type="expression" dxfId="91" priority="2">
      <formula>$C$18="Select…"</formula>
    </cfRule>
  </conditionalFormatting>
  <conditionalFormatting sqref="B39:C39">
    <cfRule type="expression" dxfId="90" priority="1">
      <formula>$C$18="Select…"</formula>
    </cfRule>
  </conditionalFormatting>
  <dataValidations count="7">
    <dataValidation type="list" allowBlank="1" showInputMessage="1" showErrorMessage="1" sqref="H129 H131 H133 H135" xr:uid="{D2003A1E-5763-42DD-A951-7EA886B50B6F}">
      <formula1>HPWH_Size</formula1>
    </dataValidation>
    <dataValidation type="whole" operator="greaterThan" allowBlank="1" showInputMessage="1" showErrorMessage="1" sqref="F56:F59 F78:F81 F89:F92 F101:F104 F113:F116 H67:H72 F161:F164 F172:F175 F183:F186 F195:F198 F207:F210 F219:F222 F231:F234 F149:F152 F310:F313 F241:F244 F296:F299 F283:F286 F263:F266 F256:F259 F276:F279 F303:F306 F129 F131 F133 F135" xr:uid="{95E20F3F-B621-4821-85C4-A892D04A8F87}">
      <formula1>0</formula1>
    </dataValidation>
    <dataValidation type="list" allowBlank="1" showInputMessage="1" showErrorMessage="1" sqref="U67:V72" xr:uid="{103DF734-B974-4FFB-AD35-609C5FC30717}">
      <formula1>Apt_Type</formula1>
    </dataValidation>
    <dataValidation type="list" allowBlank="1" showInputMessage="1" showErrorMessage="1" sqref="F67:F72" xr:uid="{43B8077E-1060-4501-A17E-F705009857E3}">
      <formula1>Ex_LED_Downlights</formula1>
    </dataValidation>
    <dataValidation type="decimal" operator="greaterThanOrEqual" allowBlank="1" showInputMessage="1" showErrorMessage="1" sqref="G24:G26 I46:I48 G45:H48" xr:uid="{51F14E9F-DB92-4957-AD46-238A8D160072}">
      <formula1>0</formula1>
    </dataValidation>
    <dataValidation type="list" allowBlank="1" showInputMessage="1" showErrorMessage="1" sqref="F24" xr:uid="{29DF9DC7-C9C0-4FA7-8196-16DAC6E2836D}">
      <formula1>"Select…,New Construction,Existing Building"</formula1>
    </dataValidation>
    <dataValidation type="list" allowBlank="1" showInputMessage="1" showErrorMessage="1" sqref="F45" xr:uid="{D1A89147-70D4-4163-8B84-41647DC433E6}">
      <formula1>MF_CommonArea_HPs</formula1>
    </dataValidation>
  </dataValidations>
  <hyperlinks>
    <hyperlink ref="C12" r:id="rId1" xr:uid="{38BAD0F8-C7EB-418E-B0AB-40AC64E83D3C}"/>
    <hyperlink ref="C39" r:id="rId2" xr:uid="{0A1A8987-C71A-4047-A8D3-07359BEA17DD}"/>
  </hyperlinks>
  <pageMargins left="0.7" right="0.7" top="0.75" bottom="0.75" header="0.3" footer="0.3"/>
  <pageSetup scale="39" orientation="portrait" r:id="rId3"/>
  <drawing r:id="rId4"/>
  <legacyDrawing r:id="rId5"/>
  <mc:AlternateContent xmlns:mc="http://schemas.openxmlformats.org/markup-compatibility/2006">
    <mc:Choice Requires="x14">
      <controls>
        <mc:AlternateContent xmlns:mc="http://schemas.openxmlformats.org/markup-compatibility/2006">
          <mc:Choice Requires="x14">
            <control shapeId="238619" r:id="rId6" name="Check Box 27">
              <controlPr defaultSize="0" autoFill="0" autoLine="0" autoPict="0">
                <anchor moveWithCells="1" sizeWithCells="1">
                  <from>
                    <xdr:col>14</xdr:col>
                    <xdr:colOff>146050</xdr:colOff>
                    <xdr:row>62</xdr:row>
                    <xdr:rowOff>0</xdr:rowOff>
                  </from>
                  <to>
                    <xdr:col>29</xdr:col>
                    <xdr:colOff>279400</xdr:colOff>
                    <xdr:row>62</xdr:row>
                    <xdr:rowOff>285750</xdr:rowOff>
                  </to>
                </anchor>
              </controlPr>
            </control>
          </mc:Choice>
        </mc:AlternateContent>
        <mc:AlternateContent xmlns:mc="http://schemas.openxmlformats.org/markup-compatibility/2006">
          <mc:Choice Requires="x14">
            <control shapeId="238620" r:id="rId7" name="Check Box 28">
              <controlPr defaultSize="0" autoFill="0" autoLine="0" autoPict="0">
                <anchor moveWithCells="1" sizeWithCells="1">
                  <from>
                    <xdr:col>14</xdr:col>
                    <xdr:colOff>133350</xdr:colOff>
                    <xdr:row>73</xdr:row>
                    <xdr:rowOff>12700</xdr:rowOff>
                  </from>
                  <to>
                    <xdr:col>29</xdr:col>
                    <xdr:colOff>279400</xdr:colOff>
                    <xdr:row>74</xdr:row>
                    <xdr:rowOff>0</xdr:rowOff>
                  </to>
                </anchor>
              </controlPr>
            </control>
          </mc:Choice>
        </mc:AlternateContent>
        <mc:AlternateContent xmlns:mc="http://schemas.openxmlformats.org/markup-compatibility/2006">
          <mc:Choice Requires="x14">
            <control shapeId="238621" r:id="rId8" name="Check Box 29">
              <controlPr defaultSize="0" autoFill="0" autoLine="0" autoPict="0">
                <anchor moveWithCells="1" sizeWithCells="1">
                  <from>
                    <xdr:col>14</xdr:col>
                    <xdr:colOff>260350</xdr:colOff>
                    <xdr:row>83</xdr:row>
                    <xdr:rowOff>298450</xdr:rowOff>
                  </from>
                  <to>
                    <xdr:col>29</xdr:col>
                    <xdr:colOff>393700</xdr:colOff>
                    <xdr:row>84</xdr:row>
                    <xdr:rowOff>285750</xdr:rowOff>
                  </to>
                </anchor>
              </controlPr>
            </control>
          </mc:Choice>
        </mc:AlternateContent>
        <mc:AlternateContent xmlns:mc="http://schemas.openxmlformats.org/markup-compatibility/2006">
          <mc:Choice Requires="x14">
            <control shapeId="238622" r:id="rId9" name="Check Box 30">
              <controlPr defaultSize="0" autoFill="0" autoLine="0" autoPict="0">
                <anchor moveWithCells="1" sizeWithCells="1">
                  <from>
                    <xdr:col>14</xdr:col>
                    <xdr:colOff>203200</xdr:colOff>
                    <xdr:row>96</xdr:row>
                    <xdr:rowOff>38100</xdr:rowOff>
                  </from>
                  <to>
                    <xdr:col>29</xdr:col>
                    <xdr:colOff>342900</xdr:colOff>
                    <xdr:row>97</xdr:row>
                    <xdr:rowOff>19050</xdr:rowOff>
                  </to>
                </anchor>
              </controlPr>
            </control>
          </mc:Choice>
        </mc:AlternateContent>
        <mc:AlternateContent xmlns:mc="http://schemas.openxmlformats.org/markup-compatibility/2006">
          <mc:Choice Requires="x14">
            <control shapeId="238623" r:id="rId10" name="Check Box 31">
              <controlPr defaultSize="0" autoFill="0" autoLine="0" autoPict="0">
                <anchor moveWithCells="1" sizeWithCells="1">
                  <from>
                    <xdr:col>14</xdr:col>
                    <xdr:colOff>171450</xdr:colOff>
                    <xdr:row>108</xdr:row>
                    <xdr:rowOff>19050</xdr:rowOff>
                  </from>
                  <to>
                    <xdr:col>29</xdr:col>
                    <xdr:colOff>317500</xdr:colOff>
                    <xdr:row>109</xdr:row>
                    <xdr:rowOff>0</xdr:rowOff>
                  </to>
                </anchor>
              </controlPr>
            </control>
          </mc:Choice>
        </mc:AlternateContent>
        <mc:AlternateContent xmlns:mc="http://schemas.openxmlformats.org/markup-compatibility/2006">
          <mc:Choice Requires="x14">
            <control shapeId="238625" r:id="rId11" name="Check Box 33">
              <controlPr defaultSize="0" autoFill="0" autoLine="0" autoPict="0">
                <anchor moveWithCells="1" sizeWithCells="1">
                  <from>
                    <xdr:col>14</xdr:col>
                    <xdr:colOff>241300</xdr:colOff>
                    <xdr:row>155</xdr:row>
                    <xdr:rowOff>279400</xdr:rowOff>
                  </from>
                  <to>
                    <xdr:col>29</xdr:col>
                    <xdr:colOff>381000</xdr:colOff>
                    <xdr:row>156</xdr:row>
                    <xdr:rowOff>285750</xdr:rowOff>
                  </to>
                </anchor>
              </controlPr>
            </control>
          </mc:Choice>
        </mc:AlternateContent>
        <mc:AlternateContent xmlns:mc="http://schemas.openxmlformats.org/markup-compatibility/2006">
          <mc:Choice Requires="x14">
            <control shapeId="238626" r:id="rId12" name="Check Box 34">
              <controlPr defaultSize="0" autoFill="0" autoLine="0" autoPict="0">
                <anchor moveWithCells="1" sizeWithCells="1">
                  <from>
                    <xdr:col>14</xdr:col>
                    <xdr:colOff>222250</xdr:colOff>
                    <xdr:row>167</xdr:row>
                    <xdr:rowOff>38100</xdr:rowOff>
                  </from>
                  <to>
                    <xdr:col>29</xdr:col>
                    <xdr:colOff>361950</xdr:colOff>
                    <xdr:row>168</xdr:row>
                    <xdr:rowOff>19050</xdr:rowOff>
                  </to>
                </anchor>
              </controlPr>
            </control>
          </mc:Choice>
        </mc:AlternateContent>
        <mc:AlternateContent xmlns:mc="http://schemas.openxmlformats.org/markup-compatibility/2006">
          <mc:Choice Requires="x14">
            <control shapeId="238627" r:id="rId13" name="Check Box 35">
              <controlPr defaultSize="0" autoFill="0" autoLine="0" autoPict="0">
                <anchor moveWithCells="1" sizeWithCells="1">
                  <from>
                    <xdr:col>14</xdr:col>
                    <xdr:colOff>298450</xdr:colOff>
                    <xdr:row>178</xdr:row>
                    <xdr:rowOff>19050</xdr:rowOff>
                  </from>
                  <to>
                    <xdr:col>29</xdr:col>
                    <xdr:colOff>450850</xdr:colOff>
                    <xdr:row>178</xdr:row>
                    <xdr:rowOff>298450</xdr:rowOff>
                  </to>
                </anchor>
              </controlPr>
            </control>
          </mc:Choice>
        </mc:AlternateContent>
        <mc:AlternateContent xmlns:mc="http://schemas.openxmlformats.org/markup-compatibility/2006">
          <mc:Choice Requires="x14">
            <control shapeId="238628" r:id="rId14" name="Check Box 36">
              <controlPr defaultSize="0" autoFill="0" autoLine="0" autoPict="0">
                <anchor moveWithCells="1" sizeWithCells="1">
                  <from>
                    <xdr:col>14</xdr:col>
                    <xdr:colOff>114300</xdr:colOff>
                    <xdr:row>235</xdr:row>
                    <xdr:rowOff>165100</xdr:rowOff>
                  </from>
                  <to>
                    <xdr:col>29</xdr:col>
                    <xdr:colOff>260350</xdr:colOff>
                    <xdr:row>237</xdr:row>
                    <xdr:rowOff>12700</xdr:rowOff>
                  </to>
                </anchor>
              </controlPr>
            </control>
          </mc:Choice>
        </mc:AlternateContent>
        <mc:AlternateContent xmlns:mc="http://schemas.openxmlformats.org/markup-compatibility/2006">
          <mc:Choice Requires="x14">
            <control shapeId="238629" r:id="rId15" name="Check Box 37">
              <controlPr defaultSize="0" autoFill="0" autoLine="0" autoPict="0">
                <anchor moveWithCells="1" sizeWithCells="1">
                  <from>
                    <xdr:col>14</xdr:col>
                    <xdr:colOff>165100</xdr:colOff>
                    <xdr:row>250</xdr:row>
                    <xdr:rowOff>12700</xdr:rowOff>
                  </from>
                  <to>
                    <xdr:col>29</xdr:col>
                    <xdr:colOff>304800</xdr:colOff>
                    <xdr:row>251</xdr:row>
                    <xdr:rowOff>31750</xdr:rowOff>
                  </to>
                </anchor>
              </controlPr>
            </control>
          </mc:Choice>
        </mc:AlternateContent>
        <mc:AlternateContent xmlns:mc="http://schemas.openxmlformats.org/markup-compatibility/2006">
          <mc:Choice Requires="x14">
            <control shapeId="238630" r:id="rId16" name="Check Box 38">
              <controlPr defaultSize="0" autoFill="0" autoLine="0" autoPict="0">
                <anchor moveWithCells="1" sizeWithCells="1">
                  <from>
                    <xdr:col>14</xdr:col>
                    <xdr:colOff>146050</xdr:colOff>
                    <xdr:row>269</xdr:row>
                    <xdr:rowOff>12700</xdr:rowOff>
                  </from>
                  <to>
                    <xdr:col>29</xdr:col>
                    <xdr:colOff>279400</xdr:colOff>
                    <xdr:row>270</xdr:row>
                    <xdr:rowOff>57150</xdr:rowOff>
                  </to>
                </anchor>
              </controlPr>
            </control>
          </mc:Choice>
        </mc:AlternateContent>
        <mc:AlternateContent xmlns:mc="http://schemas.openxmlformats.org/markup-compatibility/2006">
          <mc:Choice Requires="x14">
            <control shapeId="238631" r:id="rId17" name="Check Box 39">
              <controlPr defaultSize="0" autoFill="0" autoLine="0" autoPict="0">
                <anchor moveWithCells="1" sizeWithCells="1">
                  <from>
                    <xdr:col>14</xdr:col>
                    <xdr:colOff>171450</xdr:colOff>
                    <xdr:row>288</xdr:row>
                    <xdr:rowOff>165100</xdr:rowOff>
                  </from>
                  <to>
                    <xdr:col>29</xdr:col>
                    <xdr:colOff>317500</xdr:colOff>
                    <xdr:row>290</xdr:row>
                    <xdr:rowOff>12700</xdr:rowOff>
                  </to>
                </anchor>
              </controlPr>
            </control>
          </mc:Choice>
        </mc:AlternateContent>
        <mc:AlternateContent xmlns:mc="http://schemas.openxmlformats.org/markup-compatibility/2006">
          <mc:Choice Requires="x14">
            <control shapeId="238636" r:id="rId18" name="Check Box 44">
              <controlPr defaultSize="0" autoFill="0" autoLine="0" autoPict="0">
                <anchor moveWithCells="1" sizeWithCells="1">
                  <from>
                    <xdr:col>14</xdr:col>
                    <xdr:colOff>146050</xdr:colOff>
                    <xdr:row>62</xdr:row>
                    <xdr:rowOff>0</xdr:rowOff>
                  </from>
                  <to>
                    <xdr:col>29</xdr:col>
                    <xdr:colOff>279400</xdr:colOff>
                    <xdr:row>62</xdr:row>
                    <xdr:rowOff>285750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4" id="{E66B0962-3873-430E-89ED-DCE995C56F5E}">
            <xm:f>'Appliances References'!$K$49=FALSE</xm:f>
            <x14:dxf>
              <font>
                <color theme="0"/>
              </font>
              <border>
                <left/>
                <right/>
                <top/>
                <bottom/>
                <vertical/>
                <horizontal/>
              </border>
            </x14:dxf>
          </x14:cfRule>
          <xm:sqref>U67:V72 X67:X72 Z67:Z72 AB67:AB72</xm:sqref>
        </x14:conditionalFormatting>
        <x14:conditionalFormatting xmlns:xm="http://schemas.microsoft.com/office/excel/2006/main">
          <x14:cfRule type="expression" priority="5" id="{E72BF9A0-6847-404D-B04C-913728D53D0D}">
            <xm:f>'Appliances References'!$K$49=FALSE</xm:f>
            <x14:dxf>
              <font>
                <b/>
                <i val="0"/>
                <color theme="0"/>
              </font>
            </x14:dxf>
          </x14:cfRule>
          <xm:sqref>U66:AB66</xm:sqref>
        </x14:conditionalFormatting>
      </x14:conditionalFormattings>
    </ext>
    <ext xmlns:x14="http://schemas.microsoft.com/office/spreadsheetml/2009/9/main" uri="{CCE6A557-97BC-4b89-ADB6-D9C93CAAB3DF}">
      <x14:dataValidations xmlns:xm="http://schemas.microsoft.com/office/excel/2006/main" count="5">
        <x14:dataValidation type="list" allowBlank="1" showInputMessage="1" showErrorMessage="1" xr:uid="{BC1EF21A-1270-46C7-BAAB-213465009369}">
          <x14:formula1>
            <xm:f>'Appliances References'!$B$25:$D$25</xm:f>
          </x14:formula1>
          <xm:sqref>H219:I222</xm:sqref>
        </x14:dataValidation>
        <x14:dataValidation type="list" allowBlank="1" showInputMessage="1" showErrorMessage="1" xr:uid="{CC306509-DF2C-4195-9DEE-CB96A125119C}">
          <x14:formula1>
            <xm:f>'Appliances References'!$B$33:$E$33</xm:f>
          </x14:formula1>
          <xm:sqref>H231:I234</xm:sqref>
        </x14:dataValidation>
        <x14:dataValidation type="list" allowBlank="1" showInputMessage="1" showErrorMessage="1" xr:uid="{1646A7A7-D990-4984-8017-4BCA8FD80186}">
          <x14:formula1>
            <xm:f>OFFSET('Appliances References'!$B$34,0,MATCH(H231,'Appliances References'!$B$33:$E$33,0)-1,3)</xm:f>
          </x14:formula1>
          <xm:sqref>K231:L234</xm:sqref>
        </x14:dataValidation>
        <x14:dataValidation type="list" allowBlank="1" showInputMessage="1" showErrorMessage="1" xr:uid="{8878684F-1230-4AF6-9A2E-07750B320B51}">
          <x14:formula1>
            <xm:f>'Appliances References'!$C$7:$C$8</xm:f>
          </x14:formula1>
          <xm:sqref>H149:I152</xm:sqref>
        </x14:dataValidation>
        <x14:dataValidation type="list" allowBlank="1" showInputMessage="1" showErrorMessage="1" xr:uid="{54CFEB6B-2F65-44A1-8A71-32D8850B731B}">
          <x14:formula1>
            <xm:f>OFFSET('Appliances References'!$B$26,0,MATCH(H219,'Appliances References'!$B$25:$D$25,0)-1,3)</xm:f>
          </x14:formula1>
          <xm:sqref>K219:L222</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tabColor rgb="FF142C41"/>
  </sheetPr>
  <dimension ref="A1:XFC99"/>
  <sheetViews>
    <sheetView showGridLines="0" topLeftCell="F2" zoomScale="80" zoomScaleNormal="80" zoomScalePageLayoutView="60" workbookViewId="0">
      <selection activeCell="O61" sqref="O61"/>
    </sheetView>
  </sheetViews>
  <sheetFormatPr defaultColWidth="0" defaultRowHeight="14.5"/>
  <cols>
    <col min="1" max="1" width="3.81640625" style="42" customWidth="1"/>
    <col min="2" max="2" width="5.81640625" style="42" customWidth="1"/>
    <col min="3" max="3" width="22.81640625" style="42" customWidth="1"/>
    <col min="4" max="4" width="17.81640625" style="42" customWidth="1"/>
    <col min="5" max="6" width="21.81640625" style="42" customWidth="1"/>
    <col min="7" max="7" width="17.81640625" style="42" customWidth="1"/>
    <col min="8" max="8" width="13.453125" style="42" customWidth="1"/>
    <col min="9" max="9" width="16.453125" style="42" customWidth="1"/>
    <col min="10" max="10" width="13.453125" style="42" customWidth="1"/>
    <col min="11" max="11" width="22.54296875" style="42" bestFit="1" customWidth="1"/>
    <col min="12" max="12" width="17.7265625" style="42" customWidth="1"/>
    <col min="13" max="13" width="16.81640625" style="42" customWidth="1"/>
    <col min="14" max="14" width="23.26953125" style="42" customWidth="1"/>
    <col min="15" max="15" width="15.7265625" style="42" customWidth="1"/>
    <col min="16" max="16" width="15.7265625" style="42" hidden="1" customWidth="1"/>
    <col min="17" max="17" width="16.26953125" style="42" customWidth="1"/>
    <col min="18" max="18" width="24" style="42" customWidth="1"/>
    <col min="19" max="19" width="22.1796875" style="42" customWidth="1"/>
    <col min="20" max="20" width="21.26953125" style="42" customWidth="1"/>
    <col min="21" max="21" width="12.81640625" style="42" customWidth="1"/>
    <col min="22" max="22" width="15.1796875" style="42" customWidth="1"/>
    <col min="23" max="23" width="14.54296875" style="42" customWidth="1"/>
    <col min="24" max="25" width="7.81640625" style="42" customWidth="1"/>
    <col min="26" max="26" width="11.81640625" style="42" customWidth="1"/>
    <col min="27" max="27" width="15.81640625" style="42" customWidth="1"/>
    <col min="28" max="28" width="8.81640625" style="42" customWidth="1"/>
    <col min="29" max="29" width="11.1796875" style="42" customWidth="1"/>
    <col min="30" max="30" width="9.1796875" style="42" customWidth="1"/>
    <col min="31" max="16383" width="8.81640625" style="42" hidden="1"/>
    <col min="16384" max="16384" width="9.26953125" style="42" hidden="1"/>
  </cols>
  <sheetData>
    <row r="1" spans="1:30" s="1895" customFormat="1" ht="60" customHeight="1">
      <c r="A1" s="1891"/>
      <c r="B1" s="1891" t="str">
        <f>Development!$A$3&amp;" Multi-Family Program"</f>
        <v>2024 Multi-Family Program</v>
      </c>
      <c r="C1" s="1892"/>
      <c r="D1" s="1892"/>
      <c r="E1" s="1892"/>
      <c r="F1" s="1892"/>
      <c r="G1" s="1892"/>
      <c r="H1" s="1892"/>
      <c r="I1" s="1892"/>
      <c r="J1" s="1892"/>
      <c r="K1" s="1892"/>
      <c r="L1" s="1892"/>
      <c r="M1" s="1892"/>
      <c r="N1" s="1892"/>
      <c r="O1" s="1892"/>
      <c r="P1" s="1892"/>
      <c r="Q1" s="1892"/>
    </row>
    <row r="2" spans="1:30" s="1895" customFormat="1" ht="60" customHeight="1" thickBot="1">
      <c r="A2" s="1893"/>
      <c r="B2" s="1894" t="str">
        <f>"Eligibility Tables &amp; Worksheet, Version "&amp;Development!A2</f>
        <v>Eligibility Tables &amp; Worksheet, Version 2.0</v>
      </c>
      <c r="C2" s="1892"/>
      <c r="D2" s="1892"/>
      <c r="E2" s="1892"/>
      <c r="F2" s="1892"/>
      <c r="G2" s="1892"/>
      <c r="H2" s="1892"/>
      <c r="I2" s="1892"/>
      <c r="J2" s="1892"/>
      <c r="K2" s="1892"/>
      <c r="L2" s="1892"/>
      <c r="M2" s="1892"/>
      <c r="N2" s="1892"/>
      <c r="O2" s="1892"/>
      <c r="P2" s="1892"/>
      <c r="Q2" s="1892"/>
    </row>
    <row r="3" spans="1:30" ht="18" customHeight="1" thickTop="1">
      <c r="A3" s="1073"/>
      <c r="B3" s="1073"/>
      <c r="C3" s="2309" t="s">
        <v>5518</v>
      </c>
      <c r="D3" s="2309"/>
      <c r="E3" s="2309"/>
      <c r="F3" s="2309"/>
      <c r="G3" s="2309"/>
      <c r="H3" s="2309"/>
      <c r="I3" s="2309"/>
      <c r="J3" s="2309"/>
      <c r="K3" s="2309"/>
      <c r="L3" s="2309"/>
      <c r="M3" s="2309"/>
      <c r="N3" s="2309"/>
      <c r="O3" s="2309"/>
      <c r="P3" s="2309"/>
      <c r="Q3" s="2309"/>
      <c r="R3" s="2309"/>
      <c r="S3" s="2309"/>
      <c r="T3" s="2309"/>
      <c r="U3" s="2309"/>
      <c r="V3" s="2309"/>
      <c r="W3" s="2309"/>
      <c r="X3" s="2309"/>
      <c r="Y3" s="2309"/>
      <c r="Z3" s="2309"/>
      <c r="AA3" s="1073"/>
      <c r="AB3" s="1073"/>
      <c r="AC3" s="1073"/>
      <c r="AD3" s="1073"/>
    </row>
    <row r="4" spans="1:30" ht="18" customHeight="1">
      <c r="B4" s="2317" t="s">
        <v>466</v>
      </c>
      <c r="C4" s="2317"/>
      <c r="D4" s="2317"/>
      <c r="E4" s="2317"/>
      <c r="F4" s="2317"/>
      <c r="G4" s="2317"/>
      <c r="H4" s="2317"/>
      <c r="I4" s="2317"/>
      <c r="J4" s="2317"/>
      <c r="K4" s="2317"/>
      <c r="L4" s="2317"/>
      <c r="M4" s="2317"/>
      <c r="N4" s="2317"/>
      <c r="O4" s="2317"/>
      <c r="P4" s="2317"/>
      <c r="Q4" s="2317"/>
      <c r="R4" s="2317"/>
      <c r="S4" s="2317"/>
      <c r="T4" s="2317"/>
      <c r="U4" s="2317"/>
      <c r="V4" s="2317"/>
      <c r="W4" s="2317"/>
      <c r="X4" s="2317"/>
      <c r="Y4" s="2317"/>
      <c r="Z4" s="2317"/>
      <c r="AA4" s="2317"/>
      <c r="AB4" s="2317"/>
      <c r="AC4" s="2317"/>
    </row>
    <row r="5" spans="1:30">
      <c r="B5" s="48" t="s">
        <v>29</v>
      </c>
      <c r="C5" s="49"/>
      <c r="D5" s="49"/>
      <c r="E5" s="49"/>
      <c r="F5" s="49"/>
      <c r="G5" s="49"/>
      <c r="H5" s="49"/>
      <c r="I5" s="49"/>
      <c r="J5" s="49"/>
      <c r="K5" s="49"/>
      <c r="L5" s="49"/>
      <c r="M5" s="49"/>
      <c r="N5" s="49"/>
      <c r="O5" s="49"/>
      <c r="P5" s="49"/>
      <c r="Q5" s="49"/>
      <c r="R5" s="49"/>
      <c r="S5" s="49"/>
      <c r="T5" s="49"/>
      <c r="U5" s="49"/>
      <c r="V5" s="49"/>
      <c r="W5" s="49"/>
      <c r="X5" s="49"/>
      <c r="Y5" s="49"/>
      <c r="Z5" s="49"/>
      <c r="AA5" s="49"/>
      <c r="AB5" s="49"/>
      <c r="AC5" s="206"/>
    </row>
    <row r="6" spans="1:30" ht="16" customHeight="1">
      <c r="B6" s="207" t="s">
        <v>23</v>
      </c>
      <c r="C6" s="42" t="s">
        <v>1212</v>
      </c>
      <c r="J6" s="198"/>
      <c r="AC6" s="208"/>
    </row>
    <row r="7" spans="1:30" ht="16" customHeight="1">
      <c r="B7" s="207" t="s">
        <v>24</v>
      </c>
      <c r="C7" s="2318" t="s">
        <v>491</v>
      </c>
      <c r="D7" s="2318"/>
      <c r="E7" s="2318"/>
      <c r="F7" s="2318"/>
      <c r="G7" s="2318"/>
      <c r="H7" s="2318"/>
      <c r="I7" s="2318"/>
      <c r="J7" s="2318"/>
      <c r="AC7" s="208"/>
    </row>
    <row r="8" spans="1:30" ht="16" customHeight="1">
      <c r="B8" s="209" t="s">
        <v>25</v>
      </c>
      <c r="C8" s="59" t="s">
        <v>5299</v>
      </c>
      <c r="D8" s="59"/>
      <c r="E8" s="59"/>
      <c r="F8" s="59"/>
      <c r="G8" s="59"/>
      <c r="H8" s="59"/>
      <c r="I8" s="59"/>
      <c r="J8" s="59"/>
      <c r="K8" s="59"/>
      <c r="L8" s="59"/>
      <c r="M8" s="59"/>
      <c r="N8" s="59"/>
      <c r="O8" s="59"/>
      <c r="P8" s="59"/>
      <c r="Q8" s="59"/>
      <c r="R8" s="59"/>
      <c r="S8" s="59"/>
      <c r="T8" s="59"/>
      <c r="U8" s="59"/>
      <c r="V8" s="59"/>
      <c r="W8" s="59"/>
      <c r="X8" s="59"/>
      <c r="Y8" s="59"/>
      <c r="Z8" s="59"/>
      <c r="AA8" s="59"/>
      <c r="AB8" s="59"/>
      <c r="AC8" s="210"/>
    </row>
    <row r="9" spans="1:30" ht="16" customHeight="1">
      <c r="B9" s="198"/>
    </row>
    <row r="10" spans="1:30" ht="23.5" thickBot="1">
      <c r="B10" s="2345" t="s">
        <v>467</v>
      </c>
      <c r="C10" s="2345"/>
      <c r="D10" s="2345"/>
      <c r="E10" s="2345"/>
      <c r="F10" s="2345"/>
      <c r="G10" s="2345"/>
      <c r="H10" s="2345"/>
      <c r="I10" s="2345"/>
      <c r="J10" s="2345"/>
      <c r="K10" s="2345"/>
      <c r="L10" s="2345"/>
      <c r="M10" s="2345"/>
      <c r="N10" s="2345"/>
      <c r="O10" s="2345"/>
      <c r="P10" s="2345"/>
      <c r="Q10" s="2345"/>
      <c r="R10" s="2345"/>
      <c r="S10" s="2345"/>
      <c r="T10" s="2345"/>
      <c r="U10" s="2345"/>
      <c r="V10" s="2345"/>
      <c r="W10" s="2345"/>
      <c r="X10" s="2345"/>
      <c r="Y10" s="2345"/>
      <c r="Z10" s="2345"/>
      <c r="AA10" s="2345"/>
      <c r="AB10" s="2345"/>
      <c r="AC10" s="2345"/>
      <c r="AD10" s="1903"/>
    </row>
    <row r="11" spans="1:30" ht="15" thickBot="1">
      <c r="A11" s="376"/>
      <c r="B11" s="199"/>
      <c r="C11" s="199"/>
      <c r="D11" s="199"/>
      <c r="E11" s="199"/>
      <c r="F11" s="199"/>
      <c r="AD11" s="377"/>
    </row>
    <row r="12" spans="1:30" ht="24.75" hidden="1" customHeight="1">
      <c r="A12" s="376"/>
      <c r="B12" s="410"/>
      <c r="C12" s="410"/>
      <c r="D12" s="410"/>
      <c r="E12" s="410"/>
      <c r="F12" s="410"/>
      <c r="G12" s="410"/>
      <c r="H12" s="410"/>
      <c r="I12" s="410"/>
      <c r="J12" s="410"/>
      <c r="K12" s="410"/>
      <c r="L12" s="410"/>
      <c r="M12" s="410"/>
      <c r="N12" s="410"/>
      <c r="AD12" s="377"/>
    </row>
    <row r="13" spans="1:30" ht="24.75" hidden="1" customHeight="1">
      <c r="A13" s="376"/>
      <c r="B13" s="635"/>
      <c r="C13" s="635"/>
      <c r="D13" s="635"/>
      <c r="E13" s="635"/>
      <c r="F13" s="414"/>
      <c r="G13" s="635"/>
      <c r="H13" s="635"/>
      <c r="I13" s="635"/>
      <c r="J13" s="635"/>
      <c r="K13" s="635"/>
      <c r="L13" s="635"/>
      <c r="M13" s="635"/>
      <c r="N13" s="635"/>
      <c r="AD13" s="377"/>
    </row>
    <row r="14" spans="1:30" ht="24.75" hidden="1" customHeight="1">
      <c r="A14" s="376"/>
      <c r="B14" s="635"/>
      <c r="C14" s="635"/>
      <c r="D14" s="635"/>
      <c r="E14" s="635"/>
      <c r="F14" s="414"/>
      <c r="G14" s="635"/>
      <c r="H14" s="635"/>
      <c r="I14" s="635"/>
      <c r="J14" s="635"/>
      <c r="K14" s="635"/>
      <c r="L14" s="635"/>
      <c r="M14" s="635"/>
      <c r="N14" s="635"/>
      <c r="AD14" s="377"/>
    </row>
    <row r="15" spans="1:30" ht="24.75" hidden="1" customHeight="1">
      <c r="A15" s="376"/>
      <c r="B15" s="635"/>
      <c r="C15" s="635"/>
      <c r="D15" s="635"/>
      <c r="E15" s="635"/>
      <c r="F15" s="414"/>
      <c r="G15" s="635"/>
      <c r="H15" s="635"/>
      <c r="I15" s="635"/>
      <c r="J15" s="635"/>
      <c r="K15" s="635"/>
      <c r="L15" s="635"/>
      <c r="M15" s="635"/>
      <c r="N15" s="635"/>
      <c r="AD15" s="377"/>
    </row>
    <row r="16" spans="1:30" ht="24.75" hidden="1" customHeight="1">
      <c r="A16" s="376"/>
      <c r="B16" s="165"/>
      <c r="C16" s="165"/>
      <c r="D16" s="165"/>
      <c r="E16" s="165"/>
      <c r="F16" s="165"/>
      <c r="G16" s="411"/>
      <c r="H16" s="411"/>
      <c r="I16" s="411"/>
      <c r="J16" s="411"/>
      <c r="K16" s="412"/>
      <c r="L16" s="412"/>
      <c r="M16" s="412"/>
      <c r="N16" s="412"/>
      <c r="AD16" s="377"/>
    </row>
    <row r="17" spans="1:30" ht="24.75" hidden="1" customHeight="1">
      <c r="A17" s="376"/>
      <c r="B17" s="165"/>
      <c r="C17" s="165"/>
      <c r="D17" s="165"/>
      <c r="E17" s="165"/>
      <c r="F17" s="165"/>
      <c r="G17" s="411"/>
      <c r="H17" s="411"/>
      <c r="I17" s="411"/>
      <c r="J17" s="411"/>
      <c r="K17" s="413"/>
      <c r="L17" s="412"/>
      <c r="M17" s="413"/>
      <c r="N17" s="412"/>
      <c r="AD17" s="377"/>
    </row>
    <row r="18" spans="1:30" ht="75" hidden="1" customHeight="1">
      <c r="A18" s="376"/>
      <c r="B18" s="165"/>
      <c r="C18" s="165"/>
      <c r="D18" s="165"/>
      <c r="E18" s="165"/>
      <c r="F18" s="628"/>
      <c r="G18" s="411"/>
      <c r="H18" s="411"/>
      <c r="I18" s="411"/>
      <c r="J18" s="411"/>
      <c r="K18" s="412"/>
      <c r="L18" s="412"/>
      <c r="M18" s="412"/>
      <c r="N18" s="412"/>
      <c r="AD18" s="377"/>
    </row>
    <row r="19" spans="1:30" ht="24.65" hidden="1" customHeight="1">
      <c r="A19" s="376"/>
      <c r="B19" s="1034"/>
      <c r="C19" s="1034"/>
      <c r="D19" s="1034"/>
      <c r="E19" s="1034"/>
      <c r="F19" s="1034"/>
      <c r="G19" s="411"/>
      <c r="H19" s="411"/>
      <c r="I19" s="411"/>
      <c r="J19" s="411"/>
      <c r="K19" s="412"/>
      <c r="L19" s="412"/>
      <c r="M19" s="412"/>
      <c r="N19" s="412"/>
      <c r="AD19" s="377"/>
    </row>
    <row r="20" spans="1:30" ht="30" hidden="1" customHeight="1">
      <c r="A20" s="376"/>
      <c r="B20" s="357"/>
      <c r="C20" s="357"/>
      <c r="D20" s="357"/>
      <c r="E20" s="357"/>
      <c r="F20" s="357"/>
      <c r="G20" s="392"/>
      <c r="H20" s="392"/>
      <c r="I20" s="1444"/>
      <c r="J20" s="1444"/>
      <c r="K20" s="1445"/>
      <c r="L20" s="393"/>
      <c r="M20" s="393"/>
      <c r="N20" s="393"/>
      <c r="AD20" s="377"/>
    </row>
    <row r="21" spans="1:30" ht="24.75" hidden="1" customHeight="1">
      <c r="A21" s="376"/>
      <c r="B21" s="410"/>
      <c r="C21" s="410"/>
      <c r="D21" s="410"/>
      <c r="E21" s="410"/>
      <c r="F21" s="410"/>
      <c r="G21" s="410"/>
      <c r="H21" s="410"/>
      <c r="I21" s="410"/>
      <c r="J21" s="410"/>
      <c r="K21" s="410"/>
      <c r="L21" s="410"/>
      <c r="M21" s="410"/>
      <c r="N21" s="410"/>
      <c r="O21" s="410"/>
      <c r="P21" s="410"/>
      <c r="Q21" s="410"/>
      <c r="R21" s="410"/>
      <c r="S21" s="410"/>
      <c r="T21" s="410"/>
      <c r="U21" s="410"/>
      <c r="V21" s="410"/>
      <c r="W21" s="410"/>
      <c r="X21" s="410"/>
      <c r="Y21" s="410"/>
      <c r="AD21" s="377"/>
    </row>
    <row r="22" spans="1:30" ht="30" hidden="1" customHeight="1">
      <c r="A22" s="376"/>
      <c r="B22" s="421"/>
      <c r="C22" s="421"/>
      <c r="D22" s="421"/>
      <c r="E22" s="421"/>
      <c r="F22" s="421"/>
      <c r="G22" s="421"/>
      <c r="H22" s="421"/>
      <c r="I22" s="410"/>
      <c r="J22" s="410"/>
      <c r="K22" s="410"/>
      <c r="L22" s="421"/>
      <c r="M22" s="421"/>
      <c r="N22" s="421"/>
      <c r="O22" s="410"/>
      <c r="P22" s="410"/>
      <c r="Q22" s="421"/>
      <c r="R22" s="421"/>
      <c r="S22" s="421"/>
      <c r="T22" s="421"/>
      <c r="U22" s="421"/>
      <c r="V22" s="421"/>
      <c r="W22" s="421"/>
      <c r="X22" s="421"/>
      <c r="Y22" s="421"/>
      <c r="AD22" s="377"/>
    </row>
    <row r="23" spans="1:30" ht="45" hidden="1" customHeight="1">
      <c r="A23" s="376"/>
      <c r="B23" s="421"/>
      <c r="C23" s="421"/>
      <c r="D23" s="421"/>
      <c r="E23" s="421"/>
      <c r="F23" s="421"/>
      <c r="G23" s="421"/>
      <c r="H23" s="421"/>
      <c r="I23" s="410"/>
      <c r="J23" s="410"/>
      <c r="K23" s="410"/>
      <c r="L23" s="421"/>
      <c r="M23" s="421"/>
      <c r="N23" s="421"/>
      <c r="O23" s="410"/>
      <c r="P23" s="410"/>
      <c r="Q23" s="421"/>
      <c r="R23" s="421"/>
      <c r="S23" s="421"/>
      <c r="T23" s="421"/>
      <c r="U23" s="421"/>
      <c r="V23" s="421"/>
      <c r="W23" s="421"/>
      <c r="X23" s="421"/>
      <c r="Y23" s="421"/>
      <c r="AD23" s="377"/>
    </row>
    <row r="24" spans="1:30" ht="24.75" hidden="1" customHeight="1">
      <c r="A24" s="376"/>
      <c r="B24" s="421"/>
      <c r="C24" s="421"/>
      <c r="D24" s="421"/>
      <c r="E24" s="421"/>
      <c r="F24" s="421"/>
      <c r="G24" s="421"/>
      <c r="H24" s="421"/>
      <c r="I24" s="410"/>
      <c r="J24" s="410"/>
      <c r="K24" s="410"/>
      <c r="L24" s="421"/>
      <c r="M24" s="421"/>
      <c r="N24" s="421"/>
      <c r="O24" s="410"/>
      <c r="P24" s="410"/>
      <c r="Q24" s="421"/>
      <c r="R24" s="421"/>
      <c r="S24" s="421"/>
      <c r="T24" s="421"/>
      <c r="U24" s="421"/>
      <c r="V24" s="421"/>
      <c r="W24" s="421"/>
      <c r="X24" s="421"/>
      <c r="Y24" s="421"/>
      <c r="AD24" s="377"/>
    </row>
    <row r="25" spans="1:30" ht="24.75" hidden="1" customHeight="1">
      <c r="A25" s="376"/>
      <c r="B25" s="421"/>
      <c r="C25" s="421"/>
      <c r="D25" s="421"/>
      <c r="E25" s="421"/>
      <c r="F25" s="421"/>
      <c r="G25" s="421"/>
      <c r="H25" s="421"/>
      <c r="I25" s="410"/>
      <c r="J25" s="410"/>
      <c r="K25" s="410"/>
      <c r="L25" s="421"/>
      <c r="M25" s="421"/>
      <c r="N25" s="421"/>
      <c r="O25" s="410"/>
      <c r="P25" s="410"/>
      <c r="Q25" s="421"/>
      <c r="R25" s="421"/>
      <c r="S25" s="421"/>
      <c r="T25" s="421"/>
      <c r="U25" s="421"/>
      <c r="V25" s="421"/>
      <c r="W25" s="421"/>
      <c r="X25" s="421"/>
      <c r="Y25" s="421"/>
      <c r="AD25" s="377"/>
    </row>
    <row r="26" spans="1:30" ht="24.75" hidden="1" customHeight="1">
      <c r="A26" s="376"/>
      <c r="B26" s="421"/>
      <c r="C26" s="421"/>
      <c r="D26" s="421"/>
      <c r="E26" s="421"/>
      <c r="F26" s="421"/>
      <c r="G26" s="421"/>
      <c r="H26" s="421"/>
      <c r="I26" s="410"/>
      <c r="J26" s="410"/>
      <c r="K26" s="410"/>
      <c r="L26" s="421"/>
      <c r="M26" s="421"/>
      <c r="N26" s="421"/>
      <c r="O26" s="410"/>
      <c r="P26" s="410"/>
      <c r="Q26" s="421"/>
      <c r="R26" s="421"/>
      <c r="S26" s="421"/>
      <c r="T26" s="421"/>
      <c r="U26" s="421"/>
      <c r="V26" s="421"/>
      <c r="W26" s="421"/>
      <c r="X26" s="421"/>
      <c r="Y26" s="421"/>
      <c r="AD26" s="377"/>
    </row>
    <row r="27" spans="1:30" ht="24.75" hidden="1" customHeight="1">
      <c r="A27" s="376"/>
      <c r="B27" s="421"/>
      <c r="C27" s="421"/>
      <c r="D27" s="421"/>
      <c r="E27" s="421"/>
      <c r="F27" s="421"/>
      <c r="G27" s="421"/>
      <c r="H27" s="421"/>
      <c r="I27" s="421"/>
      <c r="J27" s="421"/>
      <c r="K27" s="421"/>
      <c r="L27" s="421"/>
      <c r="M27" s="421"/>
      <c r="N27" s="421"/>
      <c r="O27" s="410"/>
      <c r="P27" s="410"/>
      <c r="Q27" s="421"/>
      <c r="R27" s="421"/>
      <c r="S27" s="421"/>
      <c r="T27" s="421"/>
      <c r="U27" s="421"/>
      <c r="V27" s="421"/>
      <c r="W27" s="421"/>
      <c r="X27" s="421"/>
      <c r="Y27" s="421"/>
      <c r="AD27" s="377"/>
    </row>
    <row r="28" spans="1:30" ht="24.75" hidden="1" customHeight="1">
      <c r="A28" s="376"/>
      <c r="B28" s="421"/>
      <c r="C28" s="421"/>
      <c r="D28" s="421"/>
      <c r="E28" s="421"/>
      <c r="F28" s="421"/>
      <c r="G28" s="421"/>
      <c r="H28" s="421"/>
      <c r="I28" s="421"/>
      <c r="J28" s="421"/>
      <c r="K28" s="421"/>
      <c r="L28" s="421"/>
      <c r="M28" s="421"/>
      <c r="N28" s="421"/>
      <c r="O28" s="410"/>
      <c r="P28" s="410"/>
      <c r="Q28" s="421"/>
      <c r="R28" s="421"/>
      <c r="S28" s="421"/>
      <c r="T28" s="421"/>
      <c r="U28" s="421"/>
      <c r="V28" s="421"/>
      <c r="W28" s="421"/>
      <c r="X28" s="421"/>
      <c r="Y28" s="421"/>
      <c r="AD28" s="377"/>
    </row>
    <row r="29" spans="1:30" ht="24.75" hidden="1" customHeight="1">
      <c r="A29" s="376"/>
      <c r="B29" s="635"/>
      <c r="C29" s="635"/>
      <c r="D29" s="635"/>
      <c r="E29" s="635"/>
      <c r="F29" s="635"/>
      <c r="G29" s="635"/>
      <c r="H29" s="635"/>
      <c r="I29" s="635"/>
      <c r="J29" s="635"/>
      <c r="K29" s="635"/>
      <c r="L29" s="635"/>
      <c r="M29" s="2316"/>
      <c r="N29" s="2316"/>
      <c r="O29" s="165"/>
      <c r="P29" s="165"/>
      <c r="Q29" s="2316"/>
      <c r="R29" s="2316"/>
      <c r="S29" s="2316"/>
      <c r="T29" s="2316"/>
      <c r="U29" s="2316"/>
      <c r="V29" s="2316"/>
      <c r="W29" s="2316"/>
      <c r="X29" s="2316"/>
      <c r="Y29" s="2316"/>
      <c r="AD29" s="377"/>
    </row>
    <row r="30" spans="1:30" ht="24.75" hidden="1" customHeight="1">
      <c r="A30" s="376"/>
      <c r="B30" s="635"/>
      <c r="C30" s="635"/>
      <c r="D30" s="635"/>
      <c r="E30" s="635"/>
      <c r="F30" s="635"/>
      <c r="G30" s="635"/>
      <c r="H30" s="635"/>
      <c r="I30" s="635"/>
      <c r="J30" s="635"/>
      <c r="K30" s="635"/>
      <c r="L30" s="635"/>
      <c r="M30" s="635"/>
      <c r="N30" s="635"/>
      <c r="O30" s="165"/>
      <c r="P30" s="165"/>
      <c r="Q30" s="635"/>
      <c r="R30" s="2316"/>
      <c r="S30" s="2316"/>
      <c r="T30" s="2316"/>
      <c r="U30" s="2316"/>
      <c r="V30" s="2316"/>
      <c r="W30" s="2316"/>
      <c r="X30" s="2316"/>
      <c r="Y30" s="2316"/>
      <c r="AD30" s="377"/>
    </row>
    <row r="31" spans="1:30" ht="24.75" hidden="1" customHeight="1">
      <c r="A31" s="376"/>
      <c r="B31" s="635"/>
      <c r="C31" s="635"/>
      <c r="D31" s="635"/>
      <c r="E31" s="635"/>
      <c r="F31" s="635"/>
      <c r="G31" s="635"/>
      <c r="H31" s="635"/>
      <c r="I31" s="635"/>
      <c r="J31" s="635"/>
      <c r="K31" s="635"/>
      <c r="L31" s="635"/>
      <c r="M31" s="635"/>
      <c r="N31" s="635"/>
      <c r="O31" s="165"/>
      <c r="P31" s="165"/>
      <c r="Q31" s="635"/>
      <c r="R31" s="2316"/>
      <c r="S31" s="2316"/>
      <c r="T31" s="2316"/>
      <c r="U31" s="2316"/>
      <c r="V31" s="2316"/>
      <c r="W31" s="2316"/>
      <c r="X31" s="2316"/>
      <c r="Y31" s="2316"/>
      <c r="AD31" s="377"/>
    </row>
    <row r="32" spans="1:30" ht="24.75" hidden="1" customHeight="1">
      <c r="A32" s="376"/>
      <c r="B32" s="635"/>
      <c r="C32" s="635"/>
      <c r="D32" s="635"/>
      <c r="E32" s="635"/>
      <c r="F32" s="635"/>
      <c r="G32" s="635"/>
      <c r="H32" s="635"/>
      <c r="I32" s="635"/>
      <c r="J32" s="635"/>
      <c r="K32" s="635"/>
      <c r="L32" s="635"/>
      <c r="M32" s="635"/>
      <c r="N32" s="635"/>
      <c r="O32" s="165"/>
      <c r="P32" s="165"/>
      <c r="Q32" s="635"/>
      <c r="R32" s="2316"/>
      <c r="S32" s="2316"/>
      <c r="T32" s="2316"/>
      <c r="U32" s="2316"/>
      <c r="V32" s="2316"/>
      <c r="W32" s="2316"/>
      <c r="X32" s="2316"/>
      <c r="Y32" s="2316"/>
      <c r="AD32" s="377"/>
    </row>
    <row r="33" spans="1:30" ht="24.75" hidden="1" customHeight="1">
      <c r="A33" s="376"/>
      <c r="B33" s="635"/>
      <c r="C33" s="635"/>
      <c r="D33" s="635"/>
      <c r="E33" s="635"/>
      <c r="F33" s="635"/>
      <c r="G33" s="635"/>
      <c r="H33" s="635"/>
      <c r="I33" s="635"/>
      <c r="J33" s="635"/>
      <c r="K33" s="635"/>
      <c r="L33" s="635"/>
      <c r="M33" s="635"/>
      <c r="N33" s="635"/>
      <c r="O33" s="165"/>
      <c r="P33" s="165"/>
      <c r="Q33" s="635"/>
      <c r="R33" s="2316"/>
      <c r="S33" s="2316"/>
      <c r="T33" s="2316"/>
      <c r="U33" s="2316"/>
      <c r="V33" s="2316"/>
      <c r="W33" s="2316"/>
      <c r="X33" s="2316"/>
      <c r="Y33" s="2316"/>
      <c r="AD33" s="377"/>
    </row>
    <row r="34" spans="1:30" ht="24.75" hidden="1" customHeight="1">
      <c r="A34" s="376"/>
      <c r="B34" s="635"/>
      <c r="C34" s="635"/>
      <c r="D34" s="635"/>
      <c r="E34" s="635"/>
      <c r="F34" s="635"/>
      <c r="G34" s="635"/>
      <c r="H34" s="635"/>
      <c r="I34" s="635"/>
      <c r="J34" s="635"/>
      <c r="K34" s="635"/>
      <c r="L34" s="635"/>
      <c r="M34" s="635"/>
      <c r="N34" s="635"/>
      <c r="O34" s="165"/>
      <c r="P34" s="165"/>
      <c r="Q34" s="635"/>
      <c r="R34" s="2316"/>
      <c r="S34" s="2316"/>
      <c r="T34" s="2316"/>
      <c r="U34" s="2316"/>
      <c r="V34" s="2316"/>
      <c r="W34" s="2316"/>
      <c r="X34" s="2316"/>
      <c r="Y34" s="2316"/>
      <c r="AD34" s="377"/>
    </row>
    <row r="35" spans="1:30" ht="24.75" hidden="1" customHeight="1">
      <c r="A35" s="376"/>
      <c r="B35" s="2327"/>
      <c r="C35" s="2327"/>
      <c r="D35" s="2327"/>
      <c r="E35" s="2327"/>
      <c r="F35" s="165"/>
      <c r="G35" s="411"/>
      <c r="H35" s="411"/>
      <c r="I35" s="411"/>
      <c r="J35" s="411"/>
      <c r="K35" s="412"/>
      <c r="L35" s="412"/>
      <c r="M35" s="412"/>
      <c r="N35" s="412"/>
      <c r="O35" s="165"/>
      <c r="P35" s="165"/>
      <c r="Q35" s="412"/>
      <c r="R35" s="412"/>
      <c r="S35" s="412"/>
      <c r="T35" s="412"/>
      <c r="U35" s="412"/>
      <c r="V35" s="412"/>
      <c r="W35" s="412"/>
      <c r="X35" s="412"/>
      <c r="Y35" s="165"/>
      <c r="AD35" s="377"/>
    </row>
    <row r="36" spans="1:30" ht="24.75" hidden="1" customHeight="1">
      <c r="A36" s="376"/>
      <c r="B36" s="2327"/>
      <c r="C36" s="2327"/>
      <c r="D36" s="2327"/>
      <c r="E36" s="2327"/>
      <c r="F36" s="165"/>
      <c r="G36" s="411"/>
      <c r="H36" s="411"/>
      <c r="I36" s="411"/>
      <c r="J36" s="411"/>
      <c r="K36" s="413"/>
      <c r="L36" s="412"/>
      <c r="M36" s="413"/>
      <c r="N36" s="412"/>
      <c r="O36" s="165"/>
      <c r="P36" s="165"/>
      <c r="Q36" s="413"/>
      <c r="R36" s="412"/>
      <c r="S36" s="413"/>
      <c r="T36" s="412"/>
      <c r="U36" s="413"/>
      <c r="V36" s="412"/>
      <c r="W36" s="413"/>
      <c r="X36" s="2323"/>
      <c r="Y36" s="2323"/>
      <c r="AD36" s="377"/>
    </row>
    <row r="37" spans="1:30" ht="24.75" hidden="1" customHeight="1">
      <c r="A37" s="376"/>
      <c r="B37" s="2328"/>
      <c r="C37" s="2328"/>
      <c r="D37" s="2328"/>
      <c r="E37" s="2328"/>
      <c r="F37" s="628"/>
      <c r="G37" s="411"/>
      <c r="H37" s="411"/>
      <c r="I37" s="411"/>
      <c r="J37" s="411"/>
      <c r="K37" s="412"/>
      <c r="L37" s="412"/>
      <c r="M37" s="412"/>
      <c r="N37" s="412"/>
      <c r="O37" s="165"/>
      <c r="P37" s="165"/>
      <c r="Q37" s="412"/>
      <c r="R37" s="412"/>
      <c r="S37" s="412"/>
      <c r="T37" s="412"/>
      <c r="U37" s="412"/>
      <c r="V37" s="412"/>
      <c r="W37" s="412"/>
      <c r="X37" s="412"/>
      <c r="Y37" s="165"/>
      <c r="AD37" s="377"/>
    </row>
    <row r="38" spans="1:30" ht="24.75" hidden="1" customHeight="1">
      <c r="A38" s="376"/>
      <c r="B38" s="2328"/>
      <c r="C38" s="2328"/>
      <c r="D38" s="2328"/>
      <c r="E38" s="2328"/>
      <c r="F38" s="628"/>
      <c r="G38" s="358"/>
      <c r="H38" s="358"/>
      <c r="I38" s="411"/>
      <c r="J38" s="411"/>
      <c r="K38" s="412"/>
      <c r="L38" s="412"/>
      <c r="M38" s="412"/>
      <c r="N38" s="412"/>
      <c r="O38" s="165"/>
      <c r="P38" s="165"/>
      <c r="Q38" s="412"/>
      <c r="R38" s="412"/>
      <c r="S38" s="412"/>
      <c r="T38" s="412"/>
      <c r="U38" s="412"/>
      <c r="V38" s="412"/>
      <c r="W38" s="412"/>
      <c r="X38" s="2323"/>
      <c r="Y38" s="2323"/>
      <c r="AD38" s="377"/>
    </row>
    <row r="39" spans="1:30" ht="24.75" hidden="1" customHeight="1">
      <c r="A39" s="376"/>
      <c r="B39" s="628"/>
      <c r="C39" s="628"/>
      <c r="D39" s="628"/>
      <c r="E39" s="628"/>
      <c r="F39" s="628"/>
      <c r="G39" s="358"/>
      <c r="H39" s="358"/>
      <c r="I39" s="411"/>
      <c r="J39" s="411"/>
      <c r="K39" s="412"/>
      <c r="L39" s="412"/>
      <c r="M39" s="412"/>
      <c r="N39" s="412"/>
      <c r="O39" s="165"/>
      <c r="P39" s="165"/>
      <c r="Q39" s="412"/>
      <c r="R39" s="412"/>
      <c r="S39" s="412"/>
      <c r="T39" s="412"/>
      <c r="U39" s="412"/>
      <c r="V39" s="412"/>
      <c r="W39" s="412"/>
      <c r="X39" s="412"/>
      <c r="Y39" s="412"/>
      <c r="AD39" s="377"/>
    </row>
    <row r="40" spans="1:30" ht="24.75" hidden="1" customHeight="1">
      <c r="A40" s="376"/>
      <c r="B40" s="628"/>
      <c r="C40" s="628"/>
      <c r="D40" s="628"/>
      <c r="E40" s="628"/>
      <c r="F40" s="628"/>
      <c r="G40" s="358"/>
      <c r="H40" s="358"/>
      <c r="I40" s="411"/>
      <c r="J40" s="411"/>
      <c r="K40" s="412"/>
      <c r="L40" s="412"/>
      <c r="M40" s="412"/>
      <c r="N40" s="412"/>
      <c r="O40" s="165"/>
      <c r="P40" s="165"/>
      <c r="Q40" s="412"/>
      <c r="R40" s="412"/>
      <c r="S40" s="412"/>
      <c r="T40" s="412"/>
      <c r="U40" s="412"/>
      <c r="V40" s="412"/>
      <c r="W40" s="412"/>
      <c r="X40" s="412"/>
      <c r="Y40" s="412"/>
      <c r="AD40" s="377"/>
    </row>
    <row r="41" spans="1:30" ht="24.75" hidden="1" customHeight="1">
      <c r="A41" s="376"/>
      <c r="B41" s="628"/>
      <c r="C41" s="628"/>
      <c r="D41" s="628"/>
      <c r="E41" s="628"/>
      <c r="F41" s="628"/>
      <c r="G41" s="358"/>
      <c r="H41" s="358"/>
      <c r="I41" s="411"/>
      <c r="J41" s="411"/>
      <c r="K41" s="412"/>
      <c r="L41" s="412"/>
      <c r="M41" s="412"/>
      <c r="N41" s="412"/>
      <c r="O41" s="165"/>
      <c r="P41" s="165"/>
      <c r="Q41" s="412"/>
      <c r="R41" s="412"/>
      <c r="S41" s="412"/>
      <c r="T41" s="412"/>
      <c r="U41" s="412"/>
      <c r="V41" s="412"/>
      <c r="W41" s="412"/>
      <c r="X41" s="412"/>
      <c r="Y41" s="412"/>
      <c r="AD41" s="377"/>
    </row>
    <row r="42" spans="1:30" ht="24.75" hidden="1" customHeight="1">
      <c r="A42" s="376"/>
      <c r="B42" s="628"/>
      <c r="C42" s="628"/>
      <c r="D42" s="628"/>
      <c r="E42" s="628"/>
      <c r="F42" s="628"/>
      <c r="G42" s="358"/>
      <c r="H42" s="358"/>
      <c r="I42" s="411"/>
      <c r="J42" s="411"/>
      <c r="K42" s="412"/>
      <c r="L42" s="412"/>
      <c r="M42" s="412"/>
      <c r="N42" s="412"/>
      <c r="O42" s="165"/>
      <c r="P42" s="165"/>
      <c r="Q42" s="412"/>
      <c r="R42" s="412"/>
      <c r="S42" s="412"/>
      <c r="T42" s="412"/>
      <c r="U42" s="412"/>
      <c r="V42" s="412"/>
      <c r="W42" s="412"/>
      <c r="X42" s="412"/>
      <c r="Y42" s="412"/>
      <c r="AD42" s="377"/>
    </row>
    <row r="43" spans="1:30" ht="24.75" hidden="1" customHeight="1">
      <c r="A43" s="376"/>
      <c r="B43" s="628"/>
      <c r="C43" s="628"/>
      <c r="D43" s="628"/>
      <c r="E43" s="628"/>
      <c r="F43" s="628"/>
      <c r="G43" s="358"/>
      <c r="H43" s="358"/>
      <c r="I43" s="411"/>
      <c r="J43" s="411"/>
      <c r="K43" s="412"/>
      <c r="L43" s="412"/>
      <c r="M43" s="412"/>
      <c r="N43" s="412"/>
      <c r="O43" s="165"/>
      <c r="P43" s="165"/>
      <c r="Q43" s="412"/>
      <c r="R43" s="412"/>
      <c r="S43" s="412"/>
      <c r="T43" s="412"/>
      <c r="U43" s="412"/>
      <c r="V43" s="412"/>
      <c r="W43" s="412"/>
      <c r="X43" s="412"/>
      <c r="Y43" s="412"/>
      <c r="AD43" s="377"/>
    </row>
    <row r="44" spans="1:30" ht="24.75" hidden="1" customHeight="1">
      <c r="A44" s="376"/>
      <c r="B44" s="628"/>
      <c r="C44" s="628"/>
      <c r="D44" s="628"/>
      <c r="E44" s="628"/>
      <c r="F44" s="628"/>
      <c r="G44" s="358"/>
      <c r="H44" s="358"/>
      <c r="I44" s="411"/>
      <c r="J44" s="411"/>
      <c r="K44" s="412"/>
      <c r="L44" s="412"/>
      <c r="M44" s="412"/>
      <c r="N44" s="412"/>
      <c r="O44" s="165"/>
      <c r="P44" s="165"/>
      <c r="Q44" s="412"/>
      <c r="R44" s="412"/>
      <c r="S44" s="412"/>
      <c r="T44" s="412"/>
      <c r="U44" s="412"/>
      <c r="V44" s="412"/>
      <c r="W44" s="412"/>
      <c r="X44" s="412"/>
      <c r="Y44" s="412"/>
      <c r="AD44" s="377"/>
    </row>
    <row r="45" spans="1:30" ht="24.75" customHeight="1">
      <c r="A45" s="376"/>
      <c r="B45" s="628"/>
      <c r="C45" s="2349" t="s">
        <v>5519</v>
      </c>
      <c r="D45" s="2350"/>
      <c r="E45" s="2350"/>
      <c r="F45" s="2351"/>
      <c r="G45" s="165"/>
      <c r="H45" s="358"/>
      <c r="I45" s="411"/>
      <c r="J45" s="411"/>
      <c r="K45" s="412"/>
      <c r="L45" s="412"/>
      <c r="M45" s="412"/>
      <c r="N45" s="412"/>
      <c r="O45" s="165"/>
      <c r="P45" s="165"/>
      <c r="Q45" s="412"/>
      <c r="R45" s="412"/>
      <c r="S45" s="412"/>
      <c r="T45" s="412"/>
      <c r="U45" s="412"/>
      <c r="V45" s="412"/>
      <c r="W45" s="412"/>
      <c r="X45" s="412"/>
      <c r="Y45" s="412"/>
      <c r="AD45" s="377"/>
    </row>
    <row r="46" spans="1:30" ht="24.75" customHeight="1">
      <c r="A46" s="376"/>
      <c r="B46" s="628"/>
      <c r="C46" s="2346" t="s">
        <v>21</v>
      </c>
      <c r="D46" s="2347"/>
      <c r="E46" s="2347" t="s">
        <v>5520</v>
      </c>
      <c r="F46" s="2348"/>
      <c r="G46" s="358"/>
      <c r="H46" s="358"/>
      <c r="I46" s="411"/>
      <c r="J46" s="411"/>
      <c r="K46" s="412"/>
      <c r="L46" s="412"/>
      <c r="M46" s="412"/>
      <c r="N46" s="412"/>
      <c r="O46" s="165"/>
      <c r="P46" s="165"/>
      <c r="Q46" s="412"/>
      <c r="R46" s="412"/>
      <c r="S46" s="412"/>
      <c r="T46" s="412"/>
      <c r="U46" s="412"/>
      <c r="V46" s="412"/>
      <c r="W46" s="412"/>
      <c r="X46" s="412"/>
      <c r="Y46" s="412"/>
      <c r="AD46" s="377"/>
    </row>
    <row r="47" spans="1:30" ht="24.75" customHeight="1" thickBot="1">
      <c r="A47" s="376"/>
      <c r="B47" s="628"/>
      <c r="C47" s="2352" t="s">
        <v>5521</v>
      </c>
      <c r="D47" s="2353"/>
      <c r="E47" s="2353" t="s">
        <v>5522</v>
      </c>
      <c r="F47" s="2354"/>
      <c r="G47" s="358"/>
      <c r="H47" s="358"/>
      <c r="I47" s="411"/>
      <c r="J47" s="411"/>
      <c r="K47" s="412"/>
      <c r="L47" s="412"/>
      <c r="M47" s="412"/>
      <c r="N47" s="412"/>
      <c r="O47" s="165"/>
      <c r="P47" s="165"/>
      <c r="Q47" s="412"/>
      <c r="R47" s="412"/>
      <c r="S47" s="412"/>
      <c r="T47" s="412"/>
      <c r="U47" s="412"/>
      <c r="V47" s="412"/>
      <c r="W47" s="412"/>
      <c r="X47" s="412"/>
      <c r="Y47" s="412"/>
      <c r="AD47" s="377"/>
    </row>
    <row r="48" spans="1:30" ht="24.75" customHeight="1">
      <c r="A48" s="376"/>
      <c r="B48" s="2324"/>
      <c r="C48" s="2324"/>
      <c r="D48" s="2324"/>
      <c r="E48" s="2324"/>
      <c r="F48" s="1034"/>
      <c r="G48" s="411"/>
      <c r="H48" s="411"/>
      <c r="I48" s="411"/>
      <c r="J48" s="411"/>
      <c r="K48" s="2323"/>
      <c r="L48" s="2323"/>
      <c r="M48" s="412"/>
      <c r="N48" s="412"/>
      <c r="O48" s="165"/>
      <c r="P48" s="165"/>
      <c r="Q48" s="2323"/>
      <c r="R48" s="2323"/>
      <c r="S48" s="412"/>
      <c r="T48" s="412"/>
      <c r="U48" s="2323"/>
      <c r="V48" s="2323"/>
      <c r="W48" s="412"/>
      <c r="X48" s="2323"/>
      <c r="Y48" s="2323"/>
      <c r="AD48" s="377"/>
    </row>
    <row r="49" spans="1:30" ht="19" customHeight="1">
      <c r="A49" s="376"/>
      <c r="B49" s="1890" t="s">
        <v>5517</v>
      </c>
      <c r="D49" s="1888" t="s">
        <v>1345</v>
      </c>
      <c r="E49" s="165"/>
      <c r="F49" s="165"/>
      <c r="AD49" s="377"/>
    </row>
    <row r="50" spans="1:30" ht="19" customHeight="1">
      <c r="A50" s="376"/>
      <c r="B50" s="138"/>
      <c r="AD50" s="377"/>
    </row>
    <row r="51" spans="1:30" ht="19" customHeight="1">
      <c r="A51" s="376"/>
      <c r="B51" s="1890" t="s">
        <v>5523</v>
      </c>
      <c r="D51" s="1888" t="s">
        <v>1345</v>
      </c>
      <c r="AD51" s="377"/>
    </row>
    <row r="53" spans="1:30" ht="23.5" thickBot="1">
      <c r="B53" s="2345" t="s">
        <v>468</v>
      </c>
      <c r="C53" s="2345"/>
      <c r="D53" s="2345"/>
      <c r="E53" s="2345"/>
      <c r="F53" s="2345"/>
      <c r="G53" s="2345"/>
      <c r="H53" s="2345"/>
      <c r="I53" s="2345"/>
      <c r="J53" s="2345"/>
      <c r="K53" s="2345"/>
      <c r="L53" s="2345"/>
      <c r="M53" s="2345"/>
      <c r="N53" s="2345"/>
      <c r="O53" s="2345"/>
      <c r="P53" s="2345"/>
      <c r="Q53" s="2345"/>
      <c r="R53" s="2345"/>
      <c r="S53" s="2345"/>
      <c r="T53" s="2345"/>
      <c r="U53" s="2345"/>
      <c r="V53" s="2345"/>
      <c r="W53" s="2345"/>
      <c r="X53" s="2345"/>
      <c r="Y53" s="2345"/>
      <c r="Z53" s="2345"/>
      <c r="AA53" s="2345"/>
      <c r="AB53" s="2345"/>
      <c r="AC53" s="2345"/>
      <c r="AD53" s="1759"/>
    </row>
    <row r="56" spans="1:30" ht="15.5">
      <c r="C56" s="292"/>
      <c r="D56" s="292"/>
      <c r="E56" s="292"/>
      <c r="F56" s="292"/>
      <c r="G56" s="292"/>
      <c r="H56" s="292"/>
      <c r="I56" s="292"/>
      <c r="J56" s="292"/>
      <c r="K56" s="292"/>
      <c r="L56" s="292"/>
      <c r="M56" s="292"/>
      <c r="N56" s="292"/>
      <c r="O56" s="292"/>
      <c r="P56" s="292"/>
      <c r="Q56" s="292"/>
      <c r="S56" s="292"/>
      <c r="T56" s="292"/>
      <c r="U56" s="292"/>
      <c r="V56" s="292"/>
      <c r="X56" s="292"/>
      <c r="Y56" s="292"/>
      <c r="Z56" s="292"/>
      <c r="AA56" s="292"/>
    </row>
    <row r="57" spans="1:30" ht="15.5">
      <c r="B57" s="215" t="str">
        <f>IF(COUNTIF(Qualifying_Index!B27:B36,"Cold Climate")&gt;0,"*Please note all cold climate units require NEEP verification","")</f>
        <v>*Please note all cold climate units require NEEP verification</v>
      </c>
      <c r="Q57" s="292"/>
      <c r="R57" s="292"/>
    </row>
    <row r="58" spans="1:30" ht="25" customHeight="1">
      <c r="B58" s="2325" t="s">
        <v>469</v>
      </c>
      <c r="C58" s="2325" t="s">
        <v>470</v>
      </c>
      <c r="D58" s="2325"/>
      <c r="E58" s="2325"/>
      <c r="F58" s="2329" t="s">
        <v>2624</v>
      </c>
      <c r="G58" s="2329" t="s">
        <v>502</v>
      </c>
      <c r="H58" s="2325" t="s">
        <v>5330</v>
      </c>
      <c r="I58" s="2325" t="s">
        <v>5284</v>
      </c>
      <c r="J58" s="2325" t="s">
        <v>472</v>
      </c>
      <c r="K58" s="2329" t="s">
        <v>5285</v>
      </c>
      <c r="L58" s="2319" t="s">
        <v>473</v>
      </c>
      <c r="M58" s="2320"/>
      <c r="N58" s="2320"/>
      <c r="O58" s="2321"/>
      <c r="Q58" s="292"/>
      <c r="S58" s="2342" t="s">
        <v>73</v>
      </c>
      <c r="T58" s="2343"/>
      <c r="U58" s="2343"/>
      <c r="V58" s="2343"/>
      <c r="W58" s="2343"/>
      <c r="X58" s="2343"/>
      <c r="Z58" s="2355" t="s">
        <v>474</v>
      </c>
      <c r="AA58" s="2356"/>
      <c r="AB58" s="2356"/>
      <c r="AC58" s="2357"/>
    </row>
    <row r="59" spans="1:30" ht="59.15" customHeight="1">
      <c r="B59" s="2325"/>
      <c r="C59" s="2325"/>
      <c r="D59" s="2325"/>
      <c r="E59" s="2325"/>
      <c r="F59" s="2330"/>
      <c r="G59" s="2330"/>
      <c r="H59" s="2325"/>
      <c r="I59" s="2325"/>
      <c r="J59" s="2325"/>
      <c r="K59" s="2330"/>
      <c r="L59" s="1901" t="s">
        <v>5289</v>
      </c>
      <c r="M59" s="1901" t="s">
        <v>5290</v>
      </c>
      <c r="N59" s="1901" t="s">
        <v>5291</v>
      </c>
      <c r="O59" s="1901" t="s">
        <v>22</v>
      </c>
      <c r="Q59" s="292"/>
      <c r="S59" s="1899" t="s">
        <v>4448</v>
      </c>
      <c r="T59" s="1899" t="s">
        <v>4449</v>
      </c>
      <c r="U59" s="1901" t="s">
        <v>12</v>
      </c>
      <c r="V59" s="1901" t="s">
        <v>13</v>
      </c>
      <c r="W59" s="1901" t="s">
        <v>475</v>
      </c>
      <c r="X59" s="1901" t="s">
        <v>3259</v>
      </c>
      <c r="Z59" s="2355" t="s">
        <v>476</v>
      </c>
      <c r="AA59" s="2356"/>
      <c r="AB59" s="2356"/>
      <c r="AC59" s="2357"/>
    </row>
    <row r="60" spans="1:30" ht="15.5">
      <c r="Q60" s="292"/>
      <c r="AD60" s="44" t="str">
        <f>IF(COUNTIF(Z61:Z70,"Missing Info")&gt;0,"Please complete all required information to the left as well as below","")</f>
        <v/>
      </c>
    </row>
    <row r="61" spans="1:30" ht="16" customHeight="1">
      <c r="B61" s="202">
        <v>1</v>
      </c>
      <c r="C61" s="2322" t="s">
        <v>449</v>
      </c>
      <c r="D61" s="2322"/>
      <c r="E61" s="2322"/>
      <c r="F61" s="1035">
        <v>1</v>
      </c>
      <c r="G61" s="386">
        <v>12000</v>
      </c>
      <c r="H61" s="181">
        <v>13000</v>
      </c>
      <c r="I61" s="386">
        <v>13000</v>
      </c>
      <c r="J61" s="181">
        <v>12345678</v>
      </c>
      <c r="K61" s="181" t="s">
        <v>5287</v>
      </c>
      <c r="L61" s="184">
        <v>16</v>
      </c>
      <c r="M61" s="182">
        <v>12</v>
      </c>
      <c r="N61" s="184">
        <v>7.7</v>
      </c>
      <c r="O61" s="356" t="str">
        <f>IF(P61="Missing Info","",Qualifying_Index!AI27)</f>
        <v>Tier II</v>
      </c>
      <c r="P61" s="216" t="str">
        <f>IF(References!$A$15=TRUE,Qualifying_Index!BN27,Qualifying_Index!BO27)</f>
        <v/>
      </c>
      <c r="Q61" s="292"/>
      <c r="S61" s="184" t="s">
        <v>619</v>
      </c>
      <c r="T61" s="386" t="s">
        <v>1404</v>
      </c>
      <c r="U61" s="182"/>
      <c r="V61" s="182"/>
      <c r="W61" s="184"/>
      <c r="X61" s="184"/>
      <c r="Z61" s="2337">
        <f>IF(C61="","",IF(P61="Missing Info","Missing Info",IF(O61="DNQ","DNQ",Qualifying_Index!AK27*F61)))</f>
        <v>1083.3333333333333</v>
      </c>
      <c r="AA61" s="2338"/>
      <c r="AB61" s="2338"/>
      <c r="AC61" s="2339"/>
    </row>
    <row r="62" spans="1:30" ht="16" customHeight="1">
      <c r="B62" s="202">
        <v>2</v>
      </c>
      <c r="C62" s="2322" t="s">
        <v>449</v>
      </c>
      <c r="D62" s="2322"/>
      <c r="E62" s="2322"/>
      <c r="F62" s="1035">
        <v>1</v>
      </c>
      <c r="G62" s="386">
        <v>14000</v>
      </c>
      <c r="H62" s="181">
        <v>15000</v>
      </c>
      <c r="I62" s="386">
        <v>15000</v>
      </c>
      <c r="J62" s="181">
        <v>123456789</v>
      </c>
      <c r="K62" s="181" t="s">
        <v>5287</v>
      </c>
      <c r="L62" s="184">
        <v>20</v>
      </c>
      <c r="M62" s="182">
        <v>17</v>
      </c>
      <c r="N62" s="184">
        <v>10</v>
      </c>
      <c r="O62" s="356" t="str">
        <f>IF(P62="Missing Info","",Qualifying_Index!AI28)</f>
        <v>Tier II</v>
      </c>
      <c r="P62" s="216" t="str">
        <f>IF(References!$A$15=TRUE,Qualifying_Index!BN28,Qualifying_Index!BO28)</f>
        <v/>
      </c>
      <c r="Q62" s="292"/>
      <c r="S62" s="184" t="s">
        <v>1404</v>
      </c>
      <c r="T62" s="386" t="s">
        <v>1404</v>
      </c>
      <c r="U62" s="182"/>
      <c r="V62" s="182"/>
      <c r="W62" s="184"/>
      <c r="X62" s="184"/>
      <c r="Z62" s="2337">
        <f>IF(C62="","",IF(P62="Missing Info","Missing Info",IF(O62="DNQ","DNQ",Qualifying_Index!AK28*F62)))</f>
        <v>1250</v>
      </c>
      <c r="AA62" s="2338"/>
      <c r="AB62" s="2338"/>
      <c r="AC62" s="2339"/>
    </row>
    <row r="63" spans="1:30" ht="16" customHeight="1">
      <c r="B63" s="202">
        <v>3</v>
      </c>
      <c r="C63" s="2322"/>
      <c r="D63" s="2322"/>
      <c r="E63" s="2322"/>
      <c r="F63" s="1035"/>
      <c r="G63" s="386"/>
      <c r="H63" s="181"/>
      <c r="I63" s="386"/>
      <c r="J63" s="181"/>
      <c r="K63" s="181"/>
      <c r="L63" s="184"/>
      <c r="M63" s="182"/>
      <c r="N63" s="184"/>
      <c r="O63" s="356" t="str">
        <f>IF(P63="Missing Info","",Qualifying_Index!AI29)</f>
        <v/>
      </c>
      <c r="P63" s="216" t="str">
        <f>IF(References!$A$15=TRUE,Qualifying_Index!BN29,Qualifying_Index!BO29)</f>
        <v>Missing Info</v>
      </c>
      <c r="Q63" s="292"/>
      <c r="S63" s="184"/>
      <c r="T63" s="386"/>
      <c r="U63" s="182"/>
      <c r="V63" s="182"/>
      <c r="W63" s="184"/>
      <c r="X63" s="184"/>
      <c r="Z63" s="2337" t="str">
        <f>IF(C63="","",IF(P63="Missing Info","Missing Info",IF(O63="DNQ","DNQ",Qualifying_Index!AK29*F63)))</f>
        <v/>
      </c>
      <c r="AA63" s="2338"/>
      <c r="AB63" s="2338"/>
      <c r="AC63" s="2339"/>
    </row>
    <row r="64" spans="1:30" ht="16" customHeight="1">
      <c r="B64" s="202">
        <v>4</v>
      </c>
      <c r="C64" s="2322"/>
      <c r="D64" s="2322"/>
      <c r="E64" s="2322"/>
      <c r="F64" s="1035"/>
      <c r="G64" s="386"/>
      <c r="H64" s="181"/>
      <c r="I64" s="386"/>
      <c r="J64" s="181"/>
      <c r="K64" s="181"/>
      <c r="L64" s="184"/>
      <c r="M64" s="182"/>
      <c r="N64" s="184"/>
      <c r="O64" s="356" t="str">
        <f>IF(P64="Missing Info","",Qualifying_Index!AI30)</f>
        <v/>
      </c>
      <c r="P64" s="216" t="str">
        <f>IF(References!$A$15=TRUE,Qualifying_Index!BN30,Qualifying_Index!BO30)</f>
        <v>Missing Info</v>
      </c>
      <c r="Q64" s="292"/>
      <c r="S64" s="184"/>
      <c r="T64" s="386"/>
      <c r="U64" s="182"/>
      <c r="V64" s="182"/>
      <c r="W64" s="184"/>
      <c r="X64" s="184"/>
      <c r="Z64" s="2337" t="str">
        <f>IF(C64="","",IF(P64="Missing Info","Missing Info",IF(O64="DNQ","DNQ",Qualifying_Index!AK30*F64)))</f>
        <v/>
      </c>
      <c r="AA64" s="2338"/>
      <c r="AB64" s="2338"/>
      <c r="AC64" s="2339"/>
    </row>
    <row r="65" spans="2:30" ht="16" customHeight="1">
      <c r="B65" s="202">
        <v>5</v>
      </c>
      <c r="C65" s="2322"/>
      <c r="D65" s="2322"/>
      <c r="E65" s="2322"/>
      <c r="F65" s="1035"/>
      <c r="G65" s="386"/>
      <c r="H65" s="181"/>
      <c r="I65" s="386"/>
      <c r="J65" s="181"/>
      <c r="K65" s="181"/>
      <c r="L65" s="184"/>
      <c r="M65" s="182"/>
      <c r="N65" s="184"/>
      <c r="O65" s="356" t="str">
        <f>IF(P65="Missing Info","",Qualifying_Index!AI31)</f>
        <v/>
      </c>
      <c r="P65" s="216" t="str">
        <f>IF(References!$A$15=TRUE,Qualifying_Index!BN31,Qualifying_Index!BO31)</f>
        <v>Missing Info</v>
      </c>
      <c r="Q65" s="292"/>
      <c r="S65" s="184"/>
      <c r="T65" s="386"/>
      <c r="U65" s="182"/>
      <c r="V65" s="182"/>
      <c r="W65" s="184"/>
      <c r="X65" s="184"/>
      <c r="Z65" s="2337" t="str">
        <f>IF(C65="","",IF(P65="Missing Info","Missing Info",IF(O65="DNQ","DNQ",Qualifying_Index!AK31*F65)))</f>
        <v/>
      </c>
      <c r="AA65" s="2338"/>
      <c r="AB65" s="2338"/>
      <c r="AC65" s="2339"/>
    </row>
    <row r="66" spans="2:30" ht="16" customHeight="1">
      <c r="B66" s="202">
        <v>6</v>
      </c>
      <c r="C66" s="2322"/>
      <c r="D66" s="2322"/>
      <c r="E66" s="2322"/>
      <c r="F66" s="1035"/>
      <c r="G66" s="386"/>
      <c r="H66" s="181"/>
      <c r="I66" s="386"/>
      <c r="J66" s="181"/>
      <c r="K66" s="181"/>
      <c r="L66" s="184"/>
      <c r="M66" s="182"/>
      <c r="N66" s="184"/>
      <c r="O66" s="356" t="str">
        <f>IF(P66="Missing Info","",Qualifying_Index!AI32)</f>
        <v/>
      </c>
      <c r="P66" s="216" t="str">
        <f>IF(References!$A$15=TRUE,Qualifying_Index!BN32,Qualifying_Index!BO32)</f>
        <v>Missing Info</v>
      </c>
      <c r="Q66" s="292"/>
      <c r="S66" s="184"/>
      <c r="T66" s="386"/>
      <c r="U66" s="182"/>
      <c r="V66" s="182"/>
      <c r="W66" s="184"/>
      <c r="X66" s="184"/>
      <c r="Z66" s="2337" t="str">
        <f>IF(C66="","",IF(P66="Missing Info","Missing Info",IF(O66="DNQ","DNQ",Qualifying_Index!AK32*F66)))</f>
        <v/>
      </c>
      <c r="AA66" s="2338"/>
      <c r="AB66" s="2338"/>
      <c r="AC66" s="2339"/>
    </row>
    <row r="67" spans="2:30" ht="16" customHeight="1">
      <c r="B67" s="202">
        <v>7</v>
      </c>
      <c r="C67" s="2322"/>
      <c r="D67" s="2322"/>
      <c r="E67" s="2322"/>
      <c r="F67" s="1035"/>
      <c r="G67" s="386"/>
      <c r="H67" s="181"/>
      <c r="I67" s="386"/>
      <c r="J67" s="181"/>
      <c r="K67" s="181"/>
      <c r="L67" s="184"/>
      <c r="M67" s="182"/>
      <c r="N67" s="184"/>
      <c r="O67" s="356" t="str">
        <f>IF(P67="Missing Info","",Qualifying_Index!AI33)</f>
        <v/>
      </c>
      <c r="P67" s="216" t="str">
        <f>IF(References!$A$15=TRUE,Qualifying_Index!BN33,Qualifying_Index!BO33)</f>
        <v>Missing Info</v>
      </c>
      <c r="Q67" s="292"/>
      <c r="S67" s="184"/>
      <c r="T67" s="386"/>
      <c r="U67" s="182"/>
      <c r="V67" s="182"/>
      <c r="W67" s="184"/>
      <c r="X67" s="184"/>
      <c r="Z67" s="2337" t="str">
        <f>IF(C67="","",IF(P67="Missing Info","Missing Info",IF(O67="DNQ","DNQ",Qualifying_Index!AK33*F67)))</f>
        <v/>
      </c>
      <c r="AA67" s="2338"/>
      <c r="AB67" s="2338"/>
      <c r="AC67" s="2339"/>
    </row>
    <row r="68" spans="2:30" ht="16" customHeight="1">
      <c r="B68" s="202">
        <v>8</v>
      </c>
      <c r="C68" s="2322"/>
      <c r="D68" s="2322"/>
      <c r="E68" s="2322"/>
      <c r="F68" s="1035"/>
      <c r="G68" s="386"/>
      <c r="H68" s="181"/>
      <c r="I68" s="386"/>
      <c r="J68" s="181"/>
      <c r="K68" s="181"/>
      <c r="L68" s="184"/>
      <c r="M68" s="182"/>
      <c r="N68" s="184"/>
      <c r="O68" s="356" t="str">
        <f>IF(P68="Missing Info","",Qualifying_Index!AI34)</f>
        <v/>
      </c>
      <c r="P68" s="216" t="str">
        <f>IF(References!$A$15=TRUE,Qualifying_Index!BN34,Qualifying_Index!BO34)</f>
        <v>Missing Info</v>
      </c>
      <c r="Q68" s="292"/>
      <c r="S68" s="184"/>
      <c r="T68" s="386"/>
      <c r="U68" s="182"/>
      <c r="V68" s="182"/>
      <c r="W68" s="184"/>
      <c r="X68" s="184"/>
      <c r="Z68" s="2337" t="str">
        <f>IF(C68="","",IF(P68="Missing Info","Missing Info",IF(O68="DNQ","DNQ",Qualifying_Index!AK34*F68)))</f>
        <v/>
      </c>
      <c r="AA68" s="2338"/>
      <c r="AB68" s="2338"/>
      <c r="AC68" s="2339"/>
    </row>
    <row r="69" spans="2:30" ht="16" customHeight="1">
      <c r="B69" s="202">
        <v>9</v>
      </c>
      <c r="C69" s="2322"/>
      <c r="D69" s="2322"/>
      <c r="E69" s="2322"/>
      <c r="F69" s="1035"/>
      <c r="G69" s="386"/>
      <c r="H69" s="181"/>
      <c r="I69" s="386"/>
      <c r="J69" s="181"/>
      <c r="K69" s="181"/>
      <c r="L69" s="184"/>
      <c r="M69" s="182"/>
      <c r="N69" s="184"/>
      <c r="O69" s="356" t="str">
        <f>IF(P69="Missing Info","",Qualifying_Index!AI35)</f>
        <v/>
      </c>
      <c r="P69" s="216" t="str">
        <f>IF(References!$A$15=TRUE,Qualifying_Index!BN35,Qualifying_Index!BO35)</f>
        <v>Missing Info</v>
      </c>
      <c r="Q69" s="292"/>
      <c r="S69" s="184"/>
      <c r="T69" s="386"/>
      <c r="U69" s="182"/>
      <c r="V69" s="182"/>
      <c r="W69" s="184"/>
      <c r="X69" s="184"/>
      <c r="Z69" s="2337" t="str">
        <f>IF(C69="","",IF(P69="Missing Info","Missing Info",IF(O69="DNQ","DNQ",Qualifying_Index!AK35*F69)))</f>
        <v/>
      </c>
      <c r="AA69" s="2338"/>
      <c r="AB69" s="2338"/>
      <c r="AC69" s="2339"/>
    </row>
    <row r="70" spans="2:30" ht="16" customHeight="1">
      <c r="B70" s="202">
        <v>10</v>
      </c>
      <c r="C70" s="2322"/>
      <c r="D70" s="2322"/>
      <c r="E70" s="2322"/>
      <c r="F70" s="1035"/>
      <c r="G70" s="386"/>
      <c r="H70" s="181"/>
      <c r="I70" s="386"/>
      <c r="J70" s="181"/>
      <c r="K70" s="181"/>
      <c r="L70" s="184"/>
      <c r="M70" s="182"/>
      <c r="N70" s="184"/>
      <c r="O70" s="356" t="str">
        <f>IF(P70="Missing Info","",Qualifying_Index!AI36)</f>
        <v/>
      </c>
      <c r="P70" s="216" t="str">
        <f>IF(References!$A$15=TRUE,Qualifying_Index!BN36,Qualifying_Index!BO36)</f>
        <v>Missing Info</v>
      </c>
      <c r="Q70" s="292"/>
      <c r="S70" s="184"/>
      <c r="T70" s="386"/>
      <c r="U70" s="182"/>
      <c r="V70" s="182"/>
      <c r="W70" s="184"/>
      <c r="X70" s="184"/>
      <c r="Z70" s="2337" t="str">
        <f>IF(C70="","",IF(P70="Missing Info","Missing Info",IF(O70="DNQ","DNQ",Qualifying_Index!AK36*F70)))</f>
        <v/>
      </c>
      <c r="AA70" s="2338"/>
      <c r="AB70" s="2338"/>
      <c r="AC70" s="2339"/>
    </row>
    <row r="71" spans="2:30">
      <c r="G71" s="217"/>
      <c r="H71" s="217"/>
      <c r="I71" s="218"/>
      <c r="K71" s="217"/>
      <c r="L71" s="217"/>
      <c r="M71" s="217"/>
      <c r="N71" s="217"/>
      <c r="W71" s="374"/>
      <c r="Y71" s="219"/>
      <c r="Z71" s="219"/>
      <c r="AA71" s="219"/>
    </row>
    <row r="72" spans="2:30">
      <c r="K72" s="217"/>
      <c r="L72" s="217"/>
      <c r="M72" s="217"/>
      <c r="AB72" s="1904" t="s">
        <v>477</v>
      </c>
    </row>
    <row r="73" spans="2:30" ht="16" customHeight="1">
      <c r="AA73" s="2340">
        <f>IF(SUM(Z61:Z70)="","",SUM(Z61:Z70))</f>
        <v>2333.333333333333</v>
      </c>
      <c r="AB73" s="2341"/>
    </row>
    <row r="74" spans="2:30" ht="16" hidden="1" customHeight="1"/>
    <row r="75" spans="2:30" ht="16" hidden="1" customHeight="1">
      <c r="AB75" s="43"/>
    </row>
    <row r="76" spans="2:30" ht="16" customHeight="1">
      <c r="AA76" s="1103"/>
      <c r="AB76" s="1103"/>
    </row>
    <row r="77" spans="2:30" ht="23.5" thickBot="1">
      <c r="B77" s="2345" t="s">
        <v>478</v>
      </c>
      <c r="C77" s="2345"/>
      <c r="D77" s="2345"/>
      <c r="E77" s="2345"/>
      <c r="F77" s="2345"/>
      <c r="G77" s="2345"/>
      <c r="H77" s="2345"/>
      <c r="I77" s="2345"/>
      <c r="J77" s="2345"/>
      <c r="K77" s="2345"/>
      <c r="L77" s="2345"/>
      <c r="M77" s="2345"/>
      <c r="N77" s="2345"/>
      <c r="O77" s="2345"/>
      <c r="P77" s="2345"/>
      <c r="Q77" s="2345"/>
      <c r="R77" s="2345"/>
      <c r="S77" s="2345"/>
      <c r="T77" s="2345"/>
      <c r="U77" s="2345"/>
      <c r="V77" s="2345"/>
      <c r="W77" s="2345"/>
      <c r="X77" s="2345"/>
      <c r="Y77" s="2345"/>
      <c r="Z77" s="2345"/>
      <c r="AA77" s="2345"/>
      <c r="AB77" s="2345"/>
      <c r="AC77" s="2345"/>
      <c r="AD77" s="1201"/>
    </row>
    <row r="80" spans="2:30" ht="19" customHeight="1">
      <c r="B80" s="2314" t="s">
        <v>469</v>
      </c>
      <c r="C80" s="2319" t="s">
        <v>479</v>
      </c>
      <c r="D80" s="2320"/>
      <c r="E80" s="2320"/>
      <c r="F80" s="2320"/>
      <c r="G80" s="2320"/>
      <c r="H80" s="2321"/>
      <c r="I80" s="2319" t="s">
        <v>480</v>
      </c>
      <c r="J80" s="2320"/>
      <c r="K80" s="2320"/>
      <c r="L80" s="2320"/>
      <c r="M80" s="2320"/>
      <c r="N80" s="2320"/>
      <c r="O80" s="2321"/>
      <c r="P80" s="1635"/>
      <c r="R80" s="2329" t="s">
        <v>3865</v>
      </c>
      <c r="S80" s="2342" t="s">
        <v>73</v>
      </c>
      <c r="T80" s="2343"/>
      <c r="U80" s="2343"/>
      <c r="V80" s="2343"/>
      <c r="W80" s="2343"/>
      <c r="X80" s="2344"/>
      <c r="Y80" s="2319" t="s">
        <v>118</v>
      </c>
      <c r="Z80" s="2320"/>
      <c r="AA80" s="2320"/>
      <c r="AB80" s="2320"/>
      <c r="AC80" s="2321"/>
    </row>
    <row r="81" spans="2:29" ht="19.5" customHeight="1">
      <c r="B81" s="2326"/>
      <c r="C81" s="2313" t="s">
        <v>80</v>
      </c>
      <c r="D81" s="2314"/>
      <c r="E81" s="1902" t="s">
        <v>78</v>
      </c>
      <c r="F81" s="2319" t="s">
        <v>79</v>
      </c>
      <c r="G81" s="2320"/>
      <c r="H81" s="2321"/>
      <c r="I81" s="2313" t="s">
        <v>80</v>
      </c>
      <c r="J81" s="2314"/>
      <c r="K81" s="2313" t="s">
        <v>78</v>
      </c>
      <c r="L81" s="2314"/>
      <c r="M81" s="2319" t="s">
        <v>79</v>
      </c>
      <c r="N81" s="2320"/>
      <c r="O81" s="2321"/>
      <c r="P81" s="1632"/>
      <c r="R81" s="2330"/>
      <c r="S81" s="1902" t="s">
        <v>653</v>
      </c>
      <c r="T81" s="2319" t="s">
        <v>80</v>
      </c>
      <c r="U81" s="2320"/>
      <c r="V81" s="2321"/>
      <c r="W81" s="2319" t="s">
        <v>655</v>
      </c>
      <c r="X81" s="2321"/>
      <c r="Y81" s="2313" t="s">
        <v>481</v>
      </c>
      <c r="Z81" s="2314"/>
      <c r="AA81" s="1902" t="s">
        <v>501</v>
      </c>
      <c r="AB81" s="2319" t="s">
        <v>145</v>
      </c>
      <c r="AC81" s="2321"/>
    </row>
    <row r="82" spans="2:29">
      <c r="B82" s="202">
        <v>1</v>
      </c>
      <c r="C82" s="2315" t="s">
        <v>88</v>
      </c>
      <c r="D82" s="2315"/>
      <c r="E82" s="355" t="s">
        <v>3889</v>
      </c>
      <c r="F82" s="2310" t="s">
        <v>5495</v>
      </c>
      <c r="G82" s="2311"/>
      <c r="H82" s="2312"/>
      <c r="I82" s="2315" t="s">
        <v>88</v>
      </c>
      <c r="J82" s="2315"/>
      <c r="K82" s="2315" t="s">
        <v>3889</v>
      </c>
      <c r="L82" s="2315"/>
      <c r="M82" s="2310" t="s">
        <v>5495</v>
      </c>
      <c r="N82" s="2311"/>
      <c r="O82" s="2312"/>
      <c r="P82" s="1084"/>
      <c r="R82" s="1084" t="s">
        <v>151</v>
      </c>
      <c r="S82" s="1084" t="s">
        <v>2643</v>
      </c>
      <c r="T82" s="2332" t="s">
        <v>88</v>
      </c>
      <c r="U82" s="2333"/>
      <c r="V82" s="2334"/>
      <c r="W82" s="2332" t="s">
        <v>88</v>
      </c>
      <c r="X82" s="2334"/>
      <c r="Y82" s="2331">
        <v>12000</v>
      </c>
      <c r="Z82" s="2331"/>
      <c r="AA82" s="1084">
        <v>13000</v>
      </c>
      <c r="AB82" s="2335" t="str">
        <f>IF(AND(Y82="",AA82=""),"",Qualifying_Index!AX27)</f>
        <v>PASS</v>
      </c>
      <c r="AC82" s="2336"/>
    </row>
    <row r="83" spans="2:29">
      <c r="B83" s="202">
        <v>2</v>
      </c>
      <c r="C83" s="2315" t="s">
        <v>5496</v>
      </c>
      <c r="D83" s="2315"/>
      <c r="E83" s="355" t="s">
        <v>5496</v>
      </c>
      <c r="F83" s="2310" t="s">
        <v>5496</v>
      </c>
      <c r="G83" s="2311"/>
      <c r="H83" s="2312"/>
      <c r="I83" s="2315" t="s">
        <v>5496</v>
      </c>
      <c r="J83" s="2315"/>
      <c r="K83" s="2315" t="s">
        <v>5496</v>
      </c>
      <c r="L83" s="2315"/>
      <c r="M83" s="2310" t="s">
        <v>5496</v>
      </c>
      <c r="N83" s="2311"/>
      <c r="O83" s="2312"/>
      <c r="P83" s="1084"/>
      <c r="R83" s="1084" t="s">
        <v>152</v>
      </c>
      <c r="S83" s="1084" t="s">
        <v>2643</v>
      </c>
      <c r="T83" s="2332" t="s">
        <v>3887</v>
      </c>
      <c r="U83" s="2333"/>
      <c r="V83" s="2334"/>
      <c r="W83" s="2332" t="s">
        <v>3890</v>
      </c>
      <c r="X83" s="2334"/>
      <c r="Y83" s="2331">
        <v>14000</v>
      </c>
      <c r="Z83" s="2331"/>
      <c r="AA83" s="1084">
        <v>15000</v>
      </c>
      <c r="AB83" s="2335" t="str">
        <f>IF(AND(Y83="",AA83=""),"",Qualifying_Index!AX28)</f>
        <v>PASS</v>
      </c>
      <c r="AC83" s="2336"/>
    </row>
    <row r="84" spans="2:29">
      <c r="B84" s="202">
        <v>3</v>
      </c>
      <c r="C84" s="2315"/>
      <c r="D84" s="2315"/>
      <c r="E84" s="355"/>
      <c r="F84" s="2310"/>
      <c r="G84" s="2311"/>
      <c r="H84" s="2312"/>
      <c r="I84" s="2315"/>
      <c r="J84" s="2315"/>
      <c r="K84" s="2315"/>
      <c r="L84" s="2315"/>
      <c r="M84" s="2310"/>
      <c r="N84" s="2311"/>
      <c r="O84" s="2312"/>
      <c r="P84" s="1084"/>
      <c r="R84" s="1084"/>
      <c r="S84" s="1084"/>
      <c r="T84" s="2332"/>
      <c r="U84" s="2333"/>
      <c r="V84" s="2334"/>
      <c r="W84" s="2332"/>
      <c r="X84" s="2334"/>
      <c r="Y84" s="2331"/>
      <c r="Z84" s="2331"/>
      <c r="AA84" s="1084"/>
      <c r="AB84" s="2335" t="str">
        <f>IF(AND(Y84="",AA84=""),"",Qualifying_Index!AX29)</f>
        <v/>
      </c>
      <c r="AC84" s="2336"/>
    </row>
    <row r="85" spans="2:29">
      <c r="B85" s="202">
        <v>4</v>
      </c>
      <c r="C85" s="2315"/>
      <c r="D85" s="2315"/>
      <c r="E85" s="355"/>
      <c r="F85" s="2310"/>
      <c r="G85" s="2311"/>
      <c r="H85" s="2312"/>
      <c r="I85" s="2315"/>
      <c r="J85" s="2315"/>
      <c r="K85" s="2315"/>
      <c r="L85" s="2315"/>
      <c r="M85" s="2310"/>
      <c r="N85" s="2311"/>
      <c r="O85" s="2312"/>
      <c r="P85" s="1084"/>
      <c r="R85" s="1084"/>
      <c r="S85" s="1084"/>
      <c r="T85" s="2332"/>
      <c r="U85" s="2333"/>
      <c r="V85" s="2334"/>
      <c r="W85" s="2332"/>
      <c r="X85" s="2334"/>
      <c r="Y85" s="2331"/>
      <c r="Z85" s="2331"/>
      <c r="AA85" s="1084"/>
      <c r="AB85" s="2335" t="str">
        <f>IF(AND(Y85="",AA85=""),"",Qualifying_Index!AX30)</f>
        <v/>
      </c>
      <c r="AC85" s="2336"/>
    </row>
    <row r="86" spans="2:29">
      <c r="B86" s="202">
        <v>5</v>
      </c>
      <c r="C86" s="2315"/>
      <c r="D86" s="2315"/>
      <c r="E86" s="355"/>
      <c r="F86" s="2310"/>
      <c r="G86" s="2311"/>
      <c r="H86" s="2312"/>
      <c r="I86" s="2315"/>
      <c r="J86" s="2315"/>
      <c r="K86" s="2315"/>
      <c r="L86" s="2315"/>
      <c r="M86" s="2310"/>
      <c r="N86" s="2311"/>
      <c r="O86" s="2312"/>
      <c r="P86" s="1084"/>
      <c r="R86" s="1084"/>
      <c r="S86" s="1084"/>
      <c r="T86" s="2332"/>
      <c r="U86" s="2333"/>
      <c r="V86" s="2334"/>
      <c r="W86" s="2332"/>
      <c r="X86" s="2334"/>
      <c r="Y86" s="2331"/>
      <c r="Z86" s="2331"/>
      <c r="AA86" s="1084"/>
      <c r="AB86" s="2335" t="str">
        <f>IF(AND(Y86="",AA86=""),"",Qualifying_Index!AX31)</f>
        <v/>
      </c>
      <c r="AC86" s="2336"/>
    </row>
    <row r="87" spans="2:29">
      <c r="B87" s="202">
        <v>6</v>
      </c>
      <c r="C87" s="2315"/>
      <c r="D87" s="2315"/>
      <c r="E87" s="355"/>
      <c r="F87" s="2310"/>
      <c r="G87" s="2311"/>
      <c r="H87" s="2312"/>
      <c r="I87" s="2315"/>
      <c r="J87" s="2315"/>
      <c r="K87" s="2315"/>
      <c r="L87" s="2315"/>
      <c r="M87" s="2310"/>
      <c r="N87" s="2311"/>
      <c r="O87" s="2312"/>
      <c r="P87" s="1084"/>
      <c r="R87" s="1084"/>
      <c r="S87" s="1084"/>
      <c r="T87" s="2332"/>
      <c r="U87" s="2333"/>
      <c r="V87" s="2334"/>
      <c r="W87" s="2332"/>
      <c r="X87" s="2334"/>
      <c r="Y87" s="2331"/>
      <c r="Z87" s="2331"/>
      <c r="AA87" s="1084"/>
      <c r="AB87" s="2335" t="str">
        <f>IF(AND(Y87="",AA87=""),"",Qualifying_Index!AX32)</f>
        <v/>
      </c>
      <c r="AC87" s="2336"/>
    </row>
    <row r="88" spans="2:29">
      <c r="B88" s="202">
        <v>7</v>
      </c>
      <c r="C88" s="2315"/>
      <c r="D88" s="2315"/>
      <c r="E88" s="355"/>
      <c r="F88" s="2310"/>
      <c r="G88" s="2311"/>
      <c r="H88" s="2312"/>
      <c r="I88" s="2315"/>
      <c r="J88" s="2315"/>
      <c r="K88" s="2315"/>
      <c r="L88" s="2315"/>
      <c r="M88" s="2310"/>
      <c r="N88" s="2311"/>
      <c r="O88" s="2312"/>
      <c r="P88" s="1084"/>
      <c r="R88" s="1084"/>
      <c r="S88" s="1084"/>
      <c r="T88" s="2332"/>
      <c r="U88" s="2333"/>
      <c r="V88" s="2334"/>
      <c r="W88" s="2332"/>
      <c r="X88" s="2334"/>
      <c r="Y88" s="2331"/>
      <c r="Z88" s="2331"/>
      <c r="AA88" s="1084"/>
      <c r="AB88" s="2335" t="str">
        <f>IF(AND(Y88="",AA88=""),"",Qualifying_Index!AX33)</f>
        <v/>
      </c>
      <c r="AC88" s="2336"/>
    </row>
    <row r="89" spans="2:29">
      <c r="B89" s="202">
        <v>8</v>
      </c>
      <c r="C89" s="2315"/>
      <c r="D89" s="2315"/>
      <c r="E89" s="355"/>
      <c r="F89" s="2310"/>
      <c r="G89" s="2311"/>
      <c r="H89" s="2312"/>
      <c r="I89" s="2315"/>
      <c r="J89" s="2315"/>
      <c r="K89" s="2315"/>
      <c r="L89" s="2315"/>
      <c r="M89" s="2310"/>
      <c r="N89" s="2311"/>
      <c r="O89" s="2312"/>
      <c r="P89" s="1084"/>
      <c r="R89" s="1084"/>
      <c r="S89" s="1084"/>
      <c r="T89" s="2332"/>
      <c r="U89" s="2333"/>
      <c r="V89" s="2334"/>
      <c r="W89" s="2332"/>
      <c r="X89" s="2334"/>
      <c r="Y89" s="2331"/>
      <c r="Z89" s="2331"/>
      <c r="AA89" s="1084"/>
      <c r="AB89" s="2335" t="str">
        <f>IF(AND(Y89="",AA89=""),"",Qualifying_Index!AX34)</f>
        <v/>
      </c>
      <c r="AC89" s="2336"/>
    </row>
    <row r="90" spans="2:29">
      <c r="B90" s="202">
        <v>9</v>
      </c>
      <c r="C90" s="2315"/>
      <c r="D90" s="2315"/>
      <c r="E90" s="355"/>
      <c r="F90" s="2310"/>
      <c r="G90" s="2311"/>
      <c r="H90" s="2312"/>
      <c r="I90" s="2315"/>
      <c r="J90" s="2315"/>
      <c r="K90" s="2315"/>
      <c r="L90" s="2315"/>
      <c r="M90" s="2310"/>
      <c r="N90" s="2311"/>
      <c r="O90" s="2312"/>
      <c r="P90" s="1084"/>
      <c r="R90" s="1084"/>
      <c r="S90" s="1084"/>
      <c r="T90" s="2332"/>
      <c r="U90" s="2333"/>
      <c r="V90" s="2334"/>
      <c r="W90" s="2332"/>
      <c r="X90" s="2334"/>
      <c r="Y90" s="2331"/>
      <c r="Z90" s="2331"/>
      <c r="AA90" s="1084"/>
      <c r="AB90" s="2335" t="str">
        <f>IF(AND(Y90="",AA90=""),"",Qualifying_Index!AX35)</f>
        <v/>
      </c>
      <c r="AC90" s="2336"/>
    </row>
    <row r="91" spans="2:29">
      <c r="B91" s="202">
        <v>10</v>
      </c>
      <c r="C91" s="2315"/>
      <c r="D91" s="2315"/>
      <c r="E91" s="355"/>
      <c r="F91" s="2310"/>
      <c r="G91" s="2311"/>
      <c r="H91" s="2312"/>
      <c r="I91" s="2315"/>
      <c r="J91" s="2315"/>
      <c r="K91" s="2315"/>
      <c r="L91" s="2315"/>
      <c r="M91" s="2310"/>
      <c r="N91" s="2311"/>
      <c r="O91" s="2312"/>
      <c r="P91" s="1084"/>
      <c r="R91" s="1084"/>
      <c r="S91" s="1084"/>
      <c r="T91" s="2332"/>
      <c r="U91" s="2333"/>
      <c r="V91" s="2334"/>
      <c r="W91" s="2332"/>
      <c r="X91" s="2334"/>
      <c r="Y91" s="2331"/>
      <c r="Z91" s="2331"/>
      <c r="AA91" s="1084"/>
      <c r="AB91" s="2335" t="str">
        <f>IF(AND(Y91="",AA91=""),"",Qualifying_Index!AX36)</f>
        <v/>
      </c>
      <c r="AC91" s="2336"/>
    </row>
    <row r="97" s="42" customFormat="1"/>
    <row r="98" s="42" customFormat="1"/>
    <row r="99" s="42" customFormat="1"/>
  </sheetData>
  <dataConsolidate/>
  <mergeCells count="172">
    <mergeCell ref="B10:AC10"/>
    <mergeCell ref="B53:AC53"/>
    <mergeCell ref="B77:AC77"/>
    <mergeCell ref="C46:D46"/>
    <mergeCell ref="E46:F46"/>
    <mergeCell ref="C45:F45"/>
    <mergeCell ref="C47:D47"/>
    <mergeCell ref="E47:F47"/>
    <mergeCell ref="K82:L82"/>
    <mergeCell ref="Z58:AC58"/>
    <mergeCell ref="Z59:AC59"/>
    <mergeCell ref="S58:X58"/>
    <mergeCell ref="W29:Y29"/>
    <mergeCell ref="Q29:R29"/>
    <mergeCell ref="S29:T29"/>
    <mergeCell ref="Q48:R48"/>
    <mergeCell ref="U29:V29"/>
    <mergeCell ref="U48:V48"/>
    <mergeCell ref="X36:Y36"/>
    <mergeCell ref="X38:Y38"/>
    <mergeCell ref="X48:Y48"/>
    <mergeCell ref="R30:R34"/>
    <mergeCell ref="S30:S34"/>
    <mergeCell ref="T30:T34"/>
    <mergeCell ref="Z70:AC70"/>
    <mergeCell ref="AA73:AB73"/>
    <mergeCell ref="AB89:AC89"/>
    <mergeCell ref="R80:R81"/>
    <mergeCell ref="Y82:Z82"/>
    <mergeCell ref="Y87:Z87"/>
    <mergeCell ref="Y80:AC80"/>
    <mergeCell ref="AB81:AC81"/>
    <mergeCell ref="AB82:AC82"/>
    <mergeCell ref="AB83:AC83"/>
    <mergeCell ref="AB84:AC84"/>
    <mergeCell ref="AB85:AC85"/>
    <mergeCell ref="AB86:AC86"/>
    <mergeCell ref="AB87:AC87"/>
    <mergeCell ref="T86:V86"/>
    <mergeCell ref="T87:V87"/>
    <mergeCell ref="T81:V81"/>
    <mergeCell ref="W81:X81"/>
    <mergeCell ref="S80:X80"/>
    <mergeCell ref="W82:X82"/>
    <mergeCell ref="W83:X83"/>
    <mergeCell ref="W84:X84"/>
    <mergeCell ref="AB88:AC88"/>
    <mergeCell ref="Y88:Z88"/>
    <mergeCell ref="Z61:AC61"/>
    <mergeCell ref="Z62:AC62"/>
    <mergeCell ref="Z63:AC63"/>
    <mergeCell ref="Z64:AC64"/>
    <mergeCell ref="Z65:AC65"/>
    <mergeCell ref="Z66:AC66"/>
    <mergeCell ref="Z67:AC67"/>
    <mergeCell ref="Z68:AC68"/>
    <mergeCell ref="Z69:AC69"/>
    <mergeCell ref="T84:V84"/>
    <mergeCell ref="T85:V85"/>
    <mergeCell ref="Y81:Z81"/>
    <mergeCell ref="T90:V90"/>
    <mergeCell ref="T91:V91"/>
    <mergeCell ref="W91:X91"/>
    <mergeCell ref="W90:X90"/>
    <mergeCell ref="AB90:AC90"/>
    <mergeCell ref="AB91:AC91"/>
    <mergeCell ref="Y89:Z89"/>
    <mergeCell ref="Y86:Z86"/>
    <mergeCell ref="W88:X88"/>
    <mergeCell ref="W89:X89"/>
    <mergeCell ref="Y91:Z91"/>
    <mergeCell ref="T82:V82"/>
    <mergeCell ref="T83:V83"/>
    <mergeCell ref="M91:O91"/>
    <mergeCell ref="M90:O90"/>
    <mergeCell ref="M89:O89"/>
    <mergeCell ref="M88:O88"/>
    <mergeCell ref="Y90:Z90"/>
    <mergeCell ref="M82:O82"/>
    <mergeCell ref="M81:O81"/>
    <mergeCell ref="I83:J83"/>
    <mergeCell ref="Y83:Z83"/>
    <mergeCell ref="Y85:Z85"/>
    <mergeCell ref="Y84:Z84"/>
    <mergeCell ref="K83:L83"/>
    <mergeCell ref="K84:L84"/>
    <mergeCell ref="K85:L85"/>
    <mergeCell ref="T88:V88"/>
    <mergeCell ref="T89:V89"/>
    <mergeCell ref="M87:O87"/>
    <mergeCell ref="M86:O86"/>
    <mergeCell ref="M85:O85"/>
    <mergeCell ref="M84:O84"/>
    <mergeCell ref="M83:O83"/>
    <mergeCell ref="W85:X85"/>
    <mergeCell ref="W86:X86"/>
    <mergeCell ref="W87:X87"/>
    <mergeCell ref="C85:D85"/>
    <mergeCell ref="K86:L86"/>
    <mergeCell ref="C91:D91"/>
    <mergeCell ref="C90:D90"/>
    <mergeCell ref="K91:L91"/>
    <mergeCell ref="K90:L90"/>
    <mergeCell ref="C89:D89"/>
    <mergeCell ref="F90:H90"/>
    <mergeCell ref="F91:H91"/>
    <mergeCell ref="K88:L88"/>
    <mergeCell ref="I90:J90"/>
    <mergeCell ref="I89:J89"/>
    <mergeCell ref="K89:L89"/>
    <mergeCell ref="F88:H88"/>
    <mergeCell ref="F89:H89"/>
    <mergeCell ref="I91:J91"/>
    <mergeCell ref="F87:H87"/>
    <mergeCell ref="F86:H86"/>
    <mergeCell ref="C87:D87"/>
    <mergeCell ref="C86:D86"/>
    <mergeCell ref="C88:D88"/>
    <mergeCell ref="I86:J86"/>
    <mergeCell ref="H58:H59"/>
    <mergeCell ref="K58:K59"/>
    <mergeCell ref="L58:O58"/>
    <mergeCell ref="C64:E64"/>
    <mergeCell ref="C81:D81"/>
    <mergeCell ref="C83:D83"/>
    <mergeCell ref="C82:D82"/>
    <mergeCell ref="F58:F59"/>
    <mergeCell ref="I80:O80"/>
    <mergeCell ref="I81:J81"/>
    <mergeCell ref="F81:H81"/>
    <mergeCell ref="F83:H83"/>
    <mergeCell ref="I82:J82"/>
    <mergeCell ref="I58:I59"/>
    <mergeCell ref="G58:G59"/>
    <mergeCell ref="B35:E35"/>
    <mergeCell ref="B36:E36"/>
    <mergeCell ref="C58:E59"/>
    <mergeCell ref="B38:E38"/>
    <mergeCell ref="B37:E37"/>
    <mergeCell ref="C70:E70"/>
    <mergeCell ref="C61:E61"/>
    <mergeCell ref="C84:D84"/>
    <mergeCell ref="C68:E68"/>
    <mergeCell ref="C69:E69"/>
    <mergeCell ref="C65:E65"/>
    <mergeCell ref="C66:E66"/>
    <mergeCell ref="C62:E62"/>
    <mergeCell ref="C63:E63"/>
    <mergeCell ref="C3:Z3"/>
    <mergeCell ref="F82:H82"/>
    <mergeCell ref="K81:L81"/>
    <mergeCell ref="I87:J87"/>
    <mergeCell ref="I88:J88"/>
    <mergeCell ref="I84:J84"/>
    <mergeCell ref="I85:J85"/>
    <mergeCell ref="M29:N29"/>
    <mergeCell ref="K87:L87"/>
    <mergeCell ref="B4:AC4"/>
    <mergeCell ref="C7:J7"/>
    <mergeCell ref="X30:Y34"/>
    <mergeCell ref="U30:U34"/>
    <mergeCell ref="V30:V34"/>
    <mergeCell ref="W30:W34"/>
    <mergeCell ref="F84:H84"/>
    <mergeCell ref="F85:H85"/>
    <mergeCell ref="C80:H80"/>
    <mergeCell ref="C67:E67"/>
    <mergeCell ref="K48:L48"/>
    <mergeCell ref="B48:E48"/>
    <mergeCell ref="J58:J59"/>
    <mergeCell ref="B80:B81"/>
    <mergeCell ref="B58:B59"/>
  </mergeCells>
  <conditionalFormatting sqref="A1:XFD1">
    <cfRule type="cellIs" dxfId="87" priority="2" stopIfTrue="1" operator="equal">
      <formula>"Missing Info"</formula>
    </cfRule>
  </conditionalFormatting>
  <conditionalFormatting sqref="G61:G70">
    <cfRule type="expression" dxfId="86" priority="1" stopIfTrue="1">
      <formula>$C61=""</formula>
    </cfRule>
  </conditionalFormatting>
  <conditionalFormatting sqref="I61:I70">
    <cfRule type="expression" dxfId="85" priority="6" stopIfTrue="1">
      <formula>$C61=""</formula>
    </cfRule>
  </conditionalFormatting>
  <conditionalFormatting sqref="L61:L70">
    <cfRule type="expression" dxfId="84" priority="4" stopIfTrue="1">
      <formula>#REF!="PTHP"</formula>
    </cfRule>
  </conditionalFormatting>
  <conditionalFormatting sqref="N61:N70">
    <cfRule type="expression" dxfId="83" priority="3" stopIfTrue="1">
      <formula>#REF!=2</formula>
    </cfRule>
  </conditionalFormatting>
  <conditionalFormatting sqref="S61:T70">
    <cfRule type="expression" dxfId="82" priority="10" stopIfTrue="1">
      <formula>#REF!="PTHP"</formula>
    </cfRule>
  </conditionalFormatting>
  <conditionalFormatting sqref="W61:X70">
    <cfRule type="expression" dxfId="81" priority="92" stopIfTrue="1">
      <formula>OR($S61="Central Air Conditioner",$S61="Ductless Mini Split")</formula>
    </cfRule>
  </conditionalFormatting>
  <conditionalFormatting sqref="AA82:AA91">
    <cfRule type="expression" dxfId="80" priority="90">
      <formula>$C61=""</formula>
    </cfRule>
  </conditionalFormatting>
  <dataValidations count="6">
    <dataValidation type="decimal" allowBlank="1" showInputMessage="1" showErrorMessage="1" error="This value must be within an appropriate efficiency range" sqref="L61:M70" xr:uid="{00000000-0002-0000-0400-000000000000}">
      <formula1>5</formula1>
      <formula2>150</formula2>
    </dataValidation>
    <dataValidation type="decimal" allowBlank="1" showInputMessage="1" showErrorMessage="1" error="This value must be within an appropriate efficiency range" sqref="N61:O70" xr:uid="{00000000-0002-0000-0400-000001000000}">
      <formula1>0.9</formula1>
      <formula2>99</formula2>
    </dataValidation>
    <dataValidation type="whole" allowBlank="1" showInputMessage="1" showErrorMessage="1" error="Please note, cooling capacity should be entered in BTUH not Tons" sqref="G61:H70" xr:uid="{00000000-0002-0000-0400-000002000000}">
      <formula1>1000</formula1>
      <formula2>500000</formula2>
    </dataValidation>
    <dataValidation type="whole" allowBlank="1" showInputMessage="1" showErrorMessage="1" error="Please note, heating capacity should be entered in BTUH not Tons" sqref="I61:I70" xr:uid="{00000000-0002-0000-0400-000003000000}">
      <formula1>1000</formula1>
      <formula2>500000</formula2>
    </dataValidation>
    <dataValidation type="whole" allowBlank="1" showInputMessage="1" showErrorMessage="1" sqref="F61:F70" xr:uid="{1A86584C-B873-4E1D-9E91-CB592B8C44E9}">
      <formula1>0</formula1>
      <formula2>1000000</formula2>
    </dataValidation>
    <dataValidation type="list" allowBlank="1" showInputMessage="1" showErrorMessage="1" sqref="D49 D51" xr:uid="{C529ECF3-C7E7-4338-83CC-F8E6CA5C5B52}">
      <formula1>"Select…,Yes,No"</formula1>
    </dataValidation>
  </dataValidations>
  <pageMargins left="0.7" right="0.7" top="0.75" bottom="0.75" header="0.3" footer="0.3"/>
  <pageSetup scale="20"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98332" r:id="rId4" name="CheckBox3">
          <controlPr defaultSize="0" autoLine="0" autoPict="0" linkedCell="References!E8" r:id="rId5">
            <anchor moveWithCells="1" sizeWithCells="1">
              <from>
                <xdr:col>1</xdr:col>
                <xdr:colOff>95250</xdr:colOff>
                <xdr:row>73</xdr:row>
                <xdr:rowOff>95250</xdr:rowOff>
              </from>
              <to>
                <xdr:col>6</xdr:col>
                <xdr:colOff>342900</xdr:colOff>
                <xdr:row>74</xdr:row>
                <xdr:rowOff>146050</xdr:rowOff>
              </to>
            </anchor>
          </controlPr>
        </control>
      </mc:Choice>
      <mc:Fallback>
        <control shapeId="98332" r:id="rId4" name="CheckBox3"/>
      </mc:Fallback>
    </mc:AlternateContent>
  </controls>
  <extLst>
    <ext xmlns:x14="http://schemas.microsoft.com/office/spreadsheetml/2009/9/main" uri="{CCE6A557-97BC-4b89-ADB6-D9C93CAAB3DF}">
      <x14:dataValidations xmlns:xm="http://schemas.microsoft.com/office/excel/2006/main" count="5">
        <x14:dataValidation type="list" allowBlank="1" showInputMessage="1" showErrorMessage="1" xr:uid="{00000000-0002-0000-0400-000005000000}">
          <x14:formula1>
            <xm:f>References!$K$9:$K$15</xm:f>
          </x14:formula1>
          <xm:sqref>S61:S70</xm:sqref>
        </x14:dataValidation>
        <x14:dataValidation type="list" allowBlank="1" showInputMessage="1" showErrorMessage="1" xr:uid="{72B478B1-6378-41DC-8439-ECBE6AB9F344}">
          <x14:formula1>
            <xm:f>IF(References!$C$21=TRUE,References!$S$8:$S$10,References!$S$8:$S$13)</xm:f>
          </x14:formula1>
          <xm:sqref>C61:E70</xm:sqref>
        </x14:dataValidation>
        <x14:dataValidation type="list" allowBlank="1" showInputMessage="1" showErrorMessage="1" xr:uid="{33A2AEBF-C0D7-402A-B5FC-ECB1F8019BCE}">
          <x14:formula1>
            <xm:f>'Integrated Controls'!$A$17:$A$18</xm:f>
          </x14:formula1>
          <xm:sqref>R82:R91</xm:sqref>
        </x14:dataValidation>
        <x14:dataValidation type="list" allowBlank="1" showInputMessage="1" showErrorMessage="1" xr:uid="{21CF80BE-BD46-4B07-8FF9-7890881F8171}">
          <x14:formula1>
            <xm:f>References!$H$20:$H$35</xm:f>
          </x14:formula1>
          <xm:sqref>T61:T70</xm:sqref>
        </x14:dataValidation>
        <x14:dataValidation type="list" allowBlank="1" showInputMessage="1" showErrorMessage="1" xr:uid="{B4213111-633C-45FB-9CEB-03D7AEB240AF}">
          <x14:formula1>
            <xm:f>References!$G$60:$G$61</xm:f>
          </x14:formula1>
          <xm:sqref>K61:K70</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C72B7-38A4-4C40-8D87-82142F4C144D}">
  <sheetPr codeName="Sheet29">
    <tabColor rgb="FF142C41"/>
    <pageSetUpPr fitToPage="1"/>
  </sheetPr>
  <dimension ref="A1:U39"/>
  <sheetViews>
    <sheetView showGridLines="0" zoomScaleNormal="100" workbookViewId="0">
      <selection activeCell="O61" sqref="O61"/>
    </sheetView>
  </sheetViews>
  <sheetFormatPr defaultColWidth="0" defaultRowHeight="14.5"/>
  <cols>
    <col min="1" max="1" width="7.81640625" style="42" customWidth="1"/>
    <col min="2" max="2" width="4.453125" style="42" customWidth="1"/>
    <col min="3" max="3" width="28.1796875" style="42" customWidth="1"/>
    <col min="4" max="4" width="37.54296875" style="42" customWidth="1"/>
    <col min="5" max="5" width="42.453125" style="42" customWidth="1"/>
    <col min="6" max="8" width="21.26953125" style="42" customWidth="1"/>
    <col min="9" max="9" width="33.7265625" style="42" customWidth="1"/>
    <col min="10" max="10" width="9.1796875" style="42" customWidth="1"/>
    <col min="11" max="11" width="11.54296875" style="42" hidden="1" customWidth="1"/>
    <col min="12" max="12" width="5.54296875" style="42" hidden="1" customWidth="1"/>
    <col min="13" max="16384" width="0" style="42" hidden="1"/>
  </cols>
  <sheetData>
    <row r="1" spans="1:21" ht="34.5">
      <c r="A1" s="1892"/>
      <c r="B1" s="1891" t="str">
        <f>Development!$A$3&amp;" Residential Efficiency Program"</f>
        <v>2024 Residential Efficiency Program</v>
      </c>
      <c r="C1" s="1892"/>
      <c r="D1" s="1892"/>
      <c r="E1" s="1892"/>
      <c r="F1" s="1892"/>
      <c r="G1" s="1895"/>
      <c r="H1" s="1895"/>
      <c r="I1" s="1895"/>
      <c r="J1" s="1895"/>
    </row>
    <row r="2" spans="1:21" ht="60" customHeight="1">
      <c r="A2" s="1892"/>
      <c r="B2" s="1894" t="str">
        <f>"Integrated Controls and Dual Fuel Thermostat Worksheet, Version "&amp;Development!A2</f>
        <v>Integrated Controls and Dual Fuel Thermostat Worksheet, Version 2.0</v>
      </c>
      <c r="C2" s="1894"/>
      <c r="D2" s="1892"/>
      <c r="E2" s="1892"/>
      <c r="F2" s="1892"/>
      <c r="G2" s="1895"/>
      <c r="H2" s="1895"/>
      <c r="I2" s="1895"/>
      <c r="J2" s="1895"/>
      <c r="K2" s="350"/>
      <c r="L2" s="350"/>
      <c r="M2" s="350"/>
      <c r="N2" s="350"/>
      <c r="O2" s="350"/>
      <c r="P2" s="350"/>
      <c r="Q2" s="350"/>
      <c r="R2" s="350"/>
      <c r="S2" s="350"/>
      <c r="T2" s="350"/>
      <c r="U2" s="350"/>
    </row>
    <row r="3" spans="1:21" ht="14.5" customHeight="1" thickBot="1">
      <c r="A3" s="1892"/>
      <c r="B3" s="1906"/>
      <c r="C3" s="1892"/>
      <c r="D3" s="1892"/>
      <c r="E3" s="1892"/>
      <c r="F3" s="1892"/>
      <c r="G3" s="1895"/>
      <c r="H3" s="1895"/>
      <c r="I3" s="1895"/>
      <c r="J3" s="1895"/>
      <c r="K3" s="11"/>
      <c r="L3" s="11"/>
      <c r="M3" s="11"/>
      <c r="N3" s="11"/>
      <c r="O3" s="11"/>
      <c r="P3" s="11"/>
      <c r="Q3" s="11"/>
      <c r="R3" s="11"/>
      <c r="S3" s="11"/>
      <c r="T3" s="11"/>
      <c r="U3" s="11"/>
    </row>
    <row r="4" spans="1:21" ht="49.4" customHeight="1" thickTop="1">
      <c r="A4" s="1073"/>
      <c r="B4" s="2360" t="s">
        <v>4035</v>
      </c>
      <c r="C4" s="2360"/>
      <c r="D4" s="2360"/>
      <c r="E4" s="2360"/>
      <c r="F4" s="2360"/>
      <c r="G4" s="2360"/>
      <c r="H4" s="2360"/>
      <c r="I4" s="2360"/>
      <c r="J4" s="1073"/>
      <c r="K4" s="419"/>
    </row>
    <row r="5" spans="1:21" ht="5.15" customHeight="1">
      <c r="B5" s="196"/>
      <c r="C5" s="59"/>
      <c r="D5" s="59"/>
      <c r="E5" s="59"/>
      <c r="F5" s="59"/>
      <c r="G5" s="59"/>
      <c r="H5" s="59"/>
      <c r="I5" s="59"/>
    </row>
    <row r="6" spans="1:21" ht="20">
      <c r="B6" s="197" t="s">
        <v>29</v>
      </c>
    </row>
    <row r="7" spans="1:21" ht="13" customHeight="1">
      <c r="B7" s="1126" t="s">
        <v>23</v>
      </c>
      <c r="C7" s="2361" t="s">
        <v>4026</v>
      </c>
      <c r="D7" s="2361"/>
      <c r="E7" s="2361"/>
      <c r="F7" s="2361"/>
      <c r="G7" s="1905" t="s">
        <v>1182</v>
      </c>
      <c r="H7" s="1905" t="s">
        <v>293</v>
      </c>
    </row>
    <row r="8" spans="1:21" ht="30" customHeight="1">
      <c r="B8" s="1129" t="s">
        <v>24</v>
      </c>
      <c r="C8" s="2361" t="s">
        <v>4027</v>
      </c>
      <c r="D8" s="2361"/>
      <c r="E8" s="2361"/>
      <c r="F8" s="2361"/>
      <c r="G8" s="1125" t="s">
        <v>4024</v>
      </c>
      <c r="H8" s="666">
        <v>500</v>
      </c>
      <c r="I8" s="1053" t="s">
        <v>1929</v>
      </c>
    </row>
    <row r="9" spans="1:21" ht="27.65" customHeight="1">
      <c r="B9" s="1129" t="s">
        <v>25</v>
      </c>
      <c r="C9" s="1127" t="s">
        <v>4028</v>
      </c>
      <c r="D9" s="1127"/>
      <c r="E9" s="1127"/>
      <c r="F9" s="1128"/>
      <c r="G9" s="1125" t="s">
        <v>4025</v>
      </c>
      <c r="H9" s="666">
        <v>500</v>
      </c>
      <c r="I9" s="1054">
        <v>750</v>
      </c>
    </row>
    <row r="10" spans="1:21" ht="19.5" customHeight="1">
      <c r="B10" s="1129"/>
      <c r="C10" s="2362" t="s">
        <v>4029</v>
      </c>
      <c r="D10" s="2363"/>
      <c r="E10" s="2363"/>
      <c r="F10" s="2364"/>
      <c r="G10" s="356" t="s">
        <v>1042</v>
      </c>
      <c r="H10" s="666">
        <v>500</v>
      </c>
      <c r="I10" s="1054">
        <v>750</v>
      </c>
    </row>
    <row r="11" spans="1:21" ht="28" customHeight="1">
      <c r="B11" s="1129"/>
      <c r="C11" s="2363"/>
      <c r="D11" s="2363"/>
      <c r="E11" s="2363"/>
      <c r="F11" s="2364"/>
      <c r="G11" s="356" t="s">
        <v>1977</v>
      </c>
      <c r="H11" s="666">
        <v>350</v>
      </c>
      <c r="I11" s="1054">
        <v>350</v>
      </c>
    </row>
    <row r="12" spans="1:21">
      <c r="B12" s="1129" t="s">
        <v>26</v>
      </c>
      <c r="C12" s="1127" t="s">
        <v>4517</v>
      </c>
      <c r="D12" s="1127"/>
      <c r="E12" s="1130"/>
    </row>
    <row r="13" spans="1:21">
      <c r="B13" s="1129" t="s">
        <v>27</v>
      </c>
      <c r="C13" s="1127" t="s">
        <v>4030</v>
      </c>
      <c r="D13" s="1127"/>
      <c r="E13" s="1130"/>
    </row>
    <row r="14" spans="1:21" ht="27.75" customHeight="1">
      <c r="B14" s="1129" t="s">
        <v>35</v>
      </c>
      <c r="C14" s="1131" t="s">
        <v>4031</v>
      </c>
      <c r="D14" s="1132"/>
      <c r="E14" s="1133"/>
      <c r="F14" s="1134"/>
    </row>
    <row r="15" spans="1:21" ht="8.25" customHeight="1">
      <c r="E15" s="418"/>
      <c r="F15" s="418"/>
    </row>
    <row r="16" spans="1:21" ht="28.4" customHeight="1">
      <c r="B16" s="2319" t="s">
        <v>1038</v>
      </c>
      <c r="C16" s="2321"/>
      <c r="D16" s="1900" t="s">
        <v>80</v>
      </c>
      <c r="E16" s="1899" t="s">
        <v>360</v>
      </c>
      <c r="F16" s="1899" t="s">
        <v>78</v>
      </c>
      <c r="G16" s="1899" t="s">
        <v>79</v>
      </c>
      <c r="H16" s="1899" t="s">
        <v>2624</v>
      </c>
      <c r="I16" s="1899" t="s">
        <v>293</v>
      </c>
      <c r="J16" s="414"/>
    </row>
    <row r="17" spans="1:11" ht="30" customHeight="1">
      <c r="A17" s="43" t="s">
        <v>151</v>
      </c>
      <c r="B17" s="2358" t="s">
        <v>1862</v>
      </c>
      <c r="C17" s="2359"/>
      <c r="D17" s="415"/>
      <c r="E17" s="235"/>
      <c r="F17" s="235"/>
      <c r="G17" s="235"/>
      <c r="H17" s="235"/>
      <c r="I17" s="117">
        <f>IF(OR(B17="",D17="",E17="",F17="",G17="",H17=""),0,Qualifying_Index!T56)</f>
        <v>0</v>
      </c>
      <c r="J17" s="165"/>
    </row>
    <row r="18" spans="1:11" ht="30" customHeight="1">
      <c r="A18" s="43" t="s">
        <v>152</v>
      </c>
      <c r="B18" s="2358" t="s">
        <v>1862</v>
      </c>
      <c r="C18" s="2359"/>
      <c r="D18" s="415"/>
      <c r="E18" s="235"/>
      <c r="F18" s="235"/>
      <c r="G18" s="235"/>
      <c r="H18" s="235"/>
      <c r="I18" s="117">
        <f>IF(OR(B18="",D18="",E18="",F18="",G18="",H18=""),0,Qualifying_Index!T57)</f>
        <v>0</v>
      </c>
      <c r="J18" s="165"/>
      <c r="K18" s="117" t="e">
        <f>IF(OR(B18="",D18="",F18="",,#REF!="",I18=""),"",35)</f>
        <v>#REF!</v>
      </c>
    </row>
    <row r="19" spans="1:11" ht="30" hidden="1" customHeight="1">
      <c r="B19" s="2358" t="s">
        <v>1042</v>
      </c>
      <c r="C19" s="2359"/>
      <c r="D19" s="235"/>
      <c r="E19" s="235"/>
      <c r="F19" s="235"/>
      <c r="G19" s="236"/>
      <c r="H19" s="236"/>
      <c r="I19" s="235"/>
      <c r="J19" s="203" t="e">
        <f>IF(#REF!="","",IF(References!$C$42=TRUE,"HP Thermostat",IF(OR(RIGHT(#REF!,2)="HP",I19="Electric Heat"),"CH Thermostat Heating Cooling","CH Thermostat Cooling")))</f>
        <v>#REF!</v>
      </c>
      <c r="K19" s="117" t="e">
        <f>IF(OR(B19="",D19="",F19="",,#REF!="",I19=""),"",35)</f>
        <v>#REF!</v>
      </c>
    </row>
    <row r="20" spans="1:11" ht="30" hidden="1" customHeight="1">
      <c r="B20" s="2358" t="s">
        <v>1042</v>
      </c>
      <c r="C20" s="2359"/>
      <c r="D20" s="235"/>
      <c r="E20" s="235"/>
      <c r="F20" s="235"/>
      <c r="G20" s="236"/>
      <c r="H20" s="236"/>
      <c r="I20" s="235"/>
      <c r="J20" s="203" t="e">
        <f>IF(#REF!="","",IF(References!$C$42=TRUE,"HP Thermostat",IF(OR(RIGHT(#REF!,2)="HP",I20="Electric Heat"),"CH Thermostat Heating Cooling","CH Thermostat Cooling")))</f>
        <v>#REF!</v>
      </c>
      <c r="K20" s="117" t="e">
        <f>IF(OR(B20="",D20="",F20="",,#REF!="",I20=""),"",35)</f>
        <v>#REF!</v>
      </c>
    </row>
    <row r="21" spans="1:11" ht="30" hidden="1" customHeight="1">
      <c r="B21" s="2358" t="s">
        <v>1042</v>
      </c>
      <c r="C21" s="2359"/>
      <c r="D21" s="235"/>
      <c r="E21" s="235"/>
      <c r="F21" s="235"/>
      <c r="G21" s="236"/>
      <c r="H21" s="236"/>
      <c r="I21" s="235"/>
      <c r="J21" s="203" t="e">
        <f>IF(#REF!="","",IF(References!$C$42=TRUE,"HP Thermostat",IF(OR(RIGHT(#REF!,2)="HP",I21="Electric Heat"),"CH Thermostat Heating Cooling","CH Thermostat Cooling")))</f>
        <v>#REF!</v>
      </c>
      <c r="K21" s="117" t="e">
        <f>IF(OR(B21="",D21="",F21="",,#REF!="",I21=""),"",35)</f>
        <v>#REF!</v>
      </c>
    </row>
    <row r="22" spans="1:11" ht="30" hidden="1" customHeight="1">
      <c r="B22" s="2358" t="s">
        <v>1042</v>
      </c>
      <c r="C22" s="2359"/>
      <c r="D22" s="235"/>
      <c r="E22" s="235"/>
      <c r="F22" s="235"/>
      <c r="G22" s="236"/>
      <c r="H22" s="236"/>
      <c r="I22" s="235"/>
      <c r="J22" s="203" t="e">
        <f>IF(#REF!="","",IF(References!$C$42=TRUE,"HP Thermostat",IF(OR(RIGHT(#REF!,2)="HP",I22="Electric Heat"),"CH Thermostat Heating Cooling","CH Thermostat Cooling")))</f>
        <v>#REF!</v>
      </c>
      <c r="K22" s="117" t="e">
        <f>IF(OR(B22="",D22="",F22="",,#REF!="",I22=""),"",35)</f>
        <v>#REF!</v>
      </c>
    </row>
    <row r="23" spans="1:11" ht="30" hidden="1" customHeight="1">
      <c r="B23" s="2358" t="s">
        <v>1042</v>
      </c>
      <c r="C23" s="2359"/>
      <c r="D23" s="235"/>
      <c r="E23" s="235"/>
      <c r="F23" s="235"/>
      <c r="G23" s="236"/>
      <c r="H23" s="236"/>
      <c r="I23" s="235"/>
      <c r="J23" s="203" t="e">
        <f>IF(#REF!="","",IF(References!$C$42=TRUE,"HP Thermostat",IF(OR(RIGHT(#REF!,2)="HP",I23="Electric Heat"),"CH Thermostat Heating Cooling","CH Thermostat Cooling")))</f>
        <v>#REF!</v>
      </c>
      <c r="K23" s="117" t="e">
        <f>IF(OR(B23="",D23="",F23="",,#REF!="",I23=""),"",35)</f>
        <v>#REF!</v>
      </c>
    </row>
    <row r="24" spans="1:11" ht="30" hidden="1" customHeight="1">
      <c r="B24" s="2358" t="s">
        <v>1042</v>
      </c>
      <c r="C24" s="2359"/>
      <c r="D24" s="235"/>
      <c r="E24" s="235"/>
      <c r="F24" s="235"/>
      <c r="G24" s="236"/>
      <c r="H24" s="236"/>
      <c r="I24" s="235"/>
      <c r="J24" s="203" t="e">
        <f>IF(#REF!="","",IF(References!$C$42=TRUE,"HP Thermostat",IF(OR(RIGHT(#REF!,2)="HP",I24="Electric Heat"),"CH Thermostat Heating Cooling","CH Thermostat Cooling")))</f>
        <v>#REF!</v>
      </c>
      <c r="K24" s="117" t="e">
        <f>IF(OR(B24="",D24="",F24="",,#REF!="",I24=""),"",35)</f>
        <v>#REF!</v>
      </c>
    </row>
    <row r="25" spans="1:11" ht="30" hidden="1" customHeight="1">
      <c r="B25" s="2358" t="s">
        <v>1042</v>
      </c>
      <c r="C25" s="2359"/>
      <c r="D25" s="235"/>
      <c r="E25" s="235"/>
      <c r="F25" s="235"/>
      <c r="G25" s="236"/>
      <c r="H25" s="236"/>
      <c r="I25" s="235"/>
      <c r="J25" s="203" t="e">
        <f>IF(#REF!="","",IF(References!$C$42=TRUE,"HP Thermostat",IF(OR(RIGHT(#REF!,2)="HP",I25="Electric Heat"),"CH Thermostat Heating Cooling","CH Thermostat Cooling")))</f>
        <v>#REF!</v>
      </c>
      <c r="K25" s="117" t="e">
        <f>IF(OR(B25="",D25="",F25="",,#REF!="",I25=""),"",35)</f>
        <v>#REF!</v>
      </c>
    </row>
    <row r="26" spans="1:11" ht="30" hidden="1" customHeight="1">
      <c r="B26" s="2358" t="s">
        <v>1042</v>
      </c>
      <c r="C26" s="2359"/>
      <c r="D26" s="235"/>
      <c r="E26" s="235"/>
      <c r="F26" s="235"/>
      <c r="G26" s="236"/>
      <c r="H26" s="236"/>
      <c r="I26" s="235"/>
      <c r="J26" s="203" t="e">
        <f>IF(#REF!="","",IF(References!$C$42=TRUE,"HP Thermostat",IF(OR(RIGHT(#REF!,2)="HP",I26="Electric Heat"),"CH Thermostat Heating Cooling","CH Thermostat Cooling")))</f>
        <v>#REF!</v>
      </c>
      <c r="K26" s="117" t="e">
        <f>IF(OR(B26="",D26="",F26="",,#REF!="",I26=""),"",35)</f>
        <v>#REF!</v>
      </c>
    </row>
    <row r="27" spans="1:11" ht="30" hidden="1" customHeight="1">
      <c r="B27" s="2358" t="s">
        <v>1042</v>
      </c>
      <c r="C27" s="2359"/>
      <c r="D27" s="235"/>
      <c r="E27" s="235"/>
      <c r="F27" s="235"/>
      <c r="G27" s="236"/>
      <c r="H27" s="236"/>
      <c r="I27" s="235"/>
      <c r="J27" s="203" t="e">
        <f>IF(#REF!="","",IF(References!$C$42=TRUE,"HP Thermostat",IF(OR(RIGHT(#REF!,2)="HP",I27="Electric Heat"),"CH Thermostat Heating Cooling","CH Thermostat Cooling")))</f>
        <v>#REF!</v>
      </c>
      <c r="K27" s="117" t="e">
        <f>IF(OR(B27="",D27="",F27="",,#REF!="",I27=""),"",35)</f>
        <v>#REF!</v>
      </c>
    </row>
    <row r="29" spans="1:11">
      <c r="J29" s="135"/>
      <c r="K29" s="118" t="e">
        <f>SUM(K17:K27)</f>
        <v>#REF!</v>
      </c>
    </row>
    <row r="31" spans="1:11" hidden="1"/>
    <row r="32" spans="1:11" hidden="1"/>
    <row r="33" spans="2:11" hidden="1"/>
    <row r="38" spans="2:11">
      <c r="B38" s="59"/>
      <c r="C38" s="59"/>
      <c r="D38" s="59"/>
      <c r="E38" s="59"/>
      <c r="F38" s="59"/>
      <c r="G38" s="59"/>
      <c r="H38" s="59"/>
      <c r="I38" s="59"/>
      <c r="J38" s="59"/>
      <c r="K38" s="59"/>
    </row>
    <row r="39" spans="2:11">
      <c r="B39" s="195" t="s">
        <v>223</v>
      </c>
      <c r="D39" s="670" t="str">
        <f>Development!$A$2</f>
        <v>2.0</v>
      </c>
      <c r="I39" s="55" t="s">
        <v>1960</v>
      </c>
      <c r="J39" s="205" t="str">
        <f>Development!$A$4</f>
        <v>4.01.2024</v>
      </c>
      <c r="K39" s="205" t="str">
        <f>Development!$A$4</f>
        <v>4.01.2024</v>
      </c>
    </row>
  </sheetData>
  <dataConsolidate/>
  <mergeCells count="16">
    <mergeCell ref="B4:I4"/>
    <mergeCell ref="B22:C22"/>
    <mergeCell ref="B23:C23"/>
    <mergeCell ref="B24:C24"/>
    <mergeCell ref="C7:F7"/>
    <mergeCell ref="C8:F8"/>
    <mergeCell ref="C10:F11"/>
    <mergeCell ref="B25:C25"/>
    <mergeCell ref="B26:C26"/>
    <mergeCell ref="B27:C27"/>
    <mergeCell ref="B16:C16"/>
    <mergeCell ref="B17:C17"/>
    <mergeCell ref="B18:C18"/>
    <mergeCell ref="B19:C19"/>
    <mergeCell ref="B20:C20"/>
    <mergeCell ref="B21:C21"/>
  </mergeCells>
  <dataValidations count="5">
    <dataValidation type="list" allowBlank="1" showInputMessage="1" showErrorMessage="1" sqref="I19:I27" xr:uid="{311660E3-0DF6-416C-ABE5-090AEB4C1248}">
      <formula1>Heating_Type</formula1>
    </dataValidation>
    <dataValidation type="list" allowBlank="1" showInputMessage="1" showErrorMessage="1" sqref="G19:H27" xr:uid="{404B69E9-6629-403A-90D6-53DBAB42AD25}">
      <formula1>Unit_Number</formula1>
    </dataValidation>
    <dataValidation type="list" allowBlank="1" showInputMessage="1" showErrorMessage="1" sqref="E19:E27" xr:uid="{784EADDF-FAA5-4851-BDFF-93383C57A2E2}">
      <formula1>OFFSET(Start_Models,0,MATCH(C19,Manufacturers2,0)-1,13)</formula1>
    </dataValidation>
    <dataValidation type="list" allowBlank="1" showInputMessage="1" showErrorMessage="1" sqref="D19:D27" xr:uid="{B93EE4B8-AC31-429E-95A8-DB227D1E2DBA}">
      <formula1>OFFSET(Start_ApprovedStats,0,MATCH(C19,Manufacturers,0)-1,8)</formula1>
    </dataValidation>
    <dataValidation type="whole" allowBlank="1" showInputMessage="1" showErrorMessage="1" sqref="H17:H18" xr:uid="{923065F5-5B15-474A-9650-3460ECB7F4E6}">
      <formula1>1</formula1>
      <formula2>100000</formula2>
    </dataValidation>
  </dataValidations>
  <pageMargins left="0.7" right="0.7" top="0.75" bottom="0.75" header="0.3" footer="0.3"/>
  <pageSetup scale="39" fitToHeight="3"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extLst>
    <ext xmlns:x14="http://schemas.microsoft.com/office/spreadsheetml/2009/9/main" uri="{CCE6A557-97BC-4b89-ADB6-D9C93CAAB3DF}">
      <x14:dataValidations xmlns:xm="http://schemas.microsoft.com/office/excel/2006/main" count="4">
        <x14:dataValidation type="list" allowBlank="1" showInputMessage="1" xr:uid="{4CE4D08D-EA38-4C27-9E0B-C446FA6A08CD}">
          <x14:formula1>
            <xm:f>OFFSET(References!$A$135,0,MATCH(B17,References!$A$134:$B$134,0)-1,16)</xm:f>
          </x14:formula1>
          <xm:sqref>D17:D18</xm:sqref>
        </x14:dataValidation>
        <x14:dataValidation type="list" allowBlank="1" showInputMessage="1" showErrorMessage="1" xr:uid="{9E2A89B6-89B9-4594-B1ED-CD400A99DCF2}">
          <x14:formula1>
            <xm:f>References!$A$120:$A$124</xm:f>
          </x14:formula1>
          <xm:sqref>B17:C27</xm:sqref>
        </x14:dataValidation>
        <x14:dataValidation type="list" allowBlank="1" showInputMessage="1" xr:uid="{2A1D0781-DA73-406D-9A7B-3DD5A9C174BC}">
          <x14:formula1>
            <xm:f>IF($B17="Dual Fuel Thermostat",OFFSET(References!$D$158,0,MATCH(D17,References!$D$157:$S$157,0)-1,15),OFFSET(References!$D$186,0,MATCH(D17,References!$D$185:$P$185,0)-1,10))</xm:f>
          </x14:formula1>
          <xm:sqref>F17:F18</xm:sqref>
        </x14:dataValidation>
        <x14:dataValidation type="list" allowBlank="1" showInputMessage="1" xr:uid="{761D34A4-3665-44D3-82B8-C795E266CA39}">
          <x14:formula1>
            <xm:f>IF($B17="Dual Fuel Thermostat",OFFSET(References!$D$138,0,MATCH(D17,References!$D$137:$S$137,0)-1,15),OFFSET(References!$D$178,0,MATCH(D17,References!$D$177:$P$177,0)-1,7))</xm:f>
          </x14:formula1>
          <xm:sqref>E17:E18</xm:sqref>
        </x14:dataValidation>
      </x14:dataValidation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897F86-593C-4DC4-A965-42E7DCBFC838}">
  <sheetPr codeName="Sheet28">
    <tabColor theme="4"/>
  </sheetPr>
  <dimension ref="B1:O115"/>
  <sheetViews>
    <sheetView showGridLines="0" zoomScaleNormal="100" workbookViewId="0">
      <selection activeCell="H22" sqref="H22"/>
    </sheetView>
  </sheetViews>
  <sheetFormatPr defaultColWidth="0" defaultRowHeight="14.15" customHeight="1" zeroHeight="1"/>
  <cols>
    <col min="1" max="1" width="3.54296875" style="157" customWidth="1"/>
    <col min="2" max="2" width="11.54296875" style="157" customWidth="1"/>
    <col min="3" max="3" width="8.81640625" style="157" customWidth="1"/>
    <col min="4" max="4" width="10.81640625" style="157" customWidth="1"/>
    <col min="5" max="5" width="19.26953125" style="157" customWidth="1"/>
    <col min="6" max="6" width="13.81640625" style="157" customWidth="1"/>
    <col min="7" max="7" width="12.453125" style="157" customWidth="1"/>
    <col min="8" max="8" width="10.1796875" style="157" customWidth="1"/>
    <col min="9" max="10" width="8.81640625" style="157" customWidth="1"/>
    <col min="11" max="11" width="18.54296875" style="157" customWidth="1"/>
    <col min="12" max="12" width="18.26953125" style="157" customWidth="1"/>
    <col min="13" max="13" width="24.81640625" style="157" customWidth="1"/>
    <col min="14" max="14" width="4.81640625" style="157" customWidth="1"/>
    <col min="15" max="16384" width="0" style="157" hidden="1"/>
  </cols>
  <sheetData>
    <row r="1" spans="2:15" ht="30">
      <c r="B1" s="1648" t="str">
        <f>'Customer Information'!A1</f>
        <v>2024 Multi-Family Program</v>
      </c>
    </row>
    <row r="2" spans="2:15" ht="14"/>
    <row r="3" spans="2:15" ht="15" customHeight="1"/>
    <row r="4" spans="2:15" ht="23.15" customHeight="1">
      <c r="B4" s="2366" t="str">
        <f>"In-Unit HVAC Pre-Inspection Form, Version "&amp;Development!A2</f>
        <v>In-Unit HVAC Pre-Inspection Form, Version 2.0</v>
      </c>
      <c r="C4" s="2366"/>
      <c r="D4" s="2366"/>
      <c r="E4" s="2366"/>
      <c r="F4" s="2366"/>
      <c r="G4" s="2366"/>
      <c r="H4" s="2366"/>
      <c r="I4" s="1649"/>
      <c r="J4" s="1649"/>
      <c r="K4" s="1649"/>
      <c r="L4" s="1649"/>
      <c r="M4" s="1650"/>
    </row>
    <row r="5" spans="2:15" ht="26.5" customHeight="1"/>
    <row r="6" spans="2:15" ht="25.4" customHeight="1">
      <c r="B6" s="157" t="s">
        <v>243</v>
      </c>
      <c r="C6" s="2116"/>
      <c r="D6" s="2116"/>
      <c r="E6" s="2116"/>
      <c r="F6" s="2116"/>
      <c r="I6" s="263" t="s">
        <v>220</v>
      </c>
      <c r="J6" s="2402" t="str">
        <f>IF('Customer Information'!C5="","",'Customer Information'!C5)</f>
        <v/>
      </c>
      <c r="K6" s="2402"/>
      <c r="L6" s="2402"/>
      <c r="M6" s="2402"/>
    </row>
    <row r="7" spans="2:15" ht="8.25" customHeight="1"/>
    <row r="8" spans="2:15" ht="25.5" customHeight="1">
      <c r="B8" s="1604"/>
      <c r="C8" s="1604"/>
      <c r="D8" s="1604"/>
      <c r="E8" s="1604"/>
      <c r="F8" s="1604"/>
      <c r="G8" s="1604"/>
      <c r="I8" s="1604"/>
      <c r="J8" s="1604"/>
      <c r="K8" s="1604"/>
      <c r="L8" s="1604"/>
      <c r="M8" s="1604"/>
      <c r="N8" s="1604"/>
      <c r="O8" s="1604"/>
    </row>
    <row r="9" spans="2:15" ht="8.25" customHeight="1" thickBot="1">
      <c r="B9" s="1604"/>
      <c r="C9" s="1604"/>
      <c r="D9" s="1604"/>
      <c r="E9" s="1604"/>
      <c r="F9" s="1604"/>
      <c r="G9" s="1604"/>
      <c r="I9" s="1604"/>
      <c r="J9" s="1604"/>
      <c r="K9" s="1604"/>
      <c r="L9" s="1604"/>
      <c r="M9" s="1604"/>
      <c r="N9" s="1604"/>
      <c r="O9" s="1604"/>
    </row>
    <row r="10" spans="2:15" ht="25.5" customHeight="1" thickBot="1">
      <c r="B10" s="1651" t="s">
        <v>5337</v>
      </c>
      <c r="C10" s="1652"/>
      <c r="D10" s="1652"/>
      <c r="E10" s="1652"/>
      <c r="F10" s="1652"/>
      <c r="G10" s="1652"/>
      <c r="H10" s="1652"/>
      <c r="I10" s="1652"/>
      <c r="J10" s="1652"/>
      <c r="K10" s="1652"/>
      <c r="L10" s="1652"/>
      <c r="M10" s="1653"/>
      <c r="N10" s="1604"/>
      <c r="O10" s="1604"/>
    </row>
    <row r="11" spans="2:15" ht="25.5" customHeight="1">
      <c r="B11" s="1654" t="s">
        <v>5338</v>
      </c>
      <c r="K11" s="186"/>
      <c r="L11" s="186"/>
      <c r="M11" s="1655"/>
      <c r="N11" s="1604"/>
      <c r="O11" s="1604"/>
    </row>
    <row r="12" spans="2:15" ht="25.5" customHeight="1">
      <c r="B12" s="1654"/>
      <c r="K12" s="186"/>
      <c r="L12" s="186"/>
      <c r="M12" s="1655"/>
      <c r="N12" s="1604"/>
      <c r="O12" s="1604"/>
    </row>
    <row r="13" spans="2:15" ht="25.5" customHeight="1">
      <c r="B13" s="1654" t="s">
        <v>5339</v>
      </c>
      <c r="K13" s="186"/>
      <c r="L13" s="186"/>
      <c r="M13" s="1655"/>
      <c r="N13" s="1604"/>
      <c r="O13" s="1604"/>
    </row>
    <row r="14" spans="2:15" ht="25.5" customHeight="1">
      <c r="B14" s="1654"/>
      <c r="K14" s="186"/>
      <c r="L14" s="186"/>
      <c r="M14" s="1655"/>
      <c r="N14" s="1604"/>
      <c r="O14" s="1604"/>
    </row>
    <row r="15" spans="2:15" ht="25.5" customHeight="1">
      <c r="B15" s="1654" t="s">
        <v>5340</v>
      </c>
      <c r="K15" s="186"/>
      <c r="L15" s="186"/>
      <c r="M15" s="1655"/>
      <c r="N15" s="1604"/>
      <c r="O15" s="1604"/>
    </row>
    <row r="16" spans="2:15" ht="25.5" customHeight="1">
      <c r="B16" s="1654"/>
      <c r="K16" s="186"/>
      <c r="L16" s="186"/>
      <c r="M16" s="1655"/>
      <c r="N16" s="1604"/>
      <c r="O16" s="1604"/>
    </row>
    <row r="17" spans="2:15" ht="25.5" customHeight="1" thickBot="1">
      <c r="B17" s="1656" t="s">
        <v>5341</v>
      </c>
      <c r="C17" s="1657"/>
      <c r="D17" s="1657"/>
      <c r="E17" s="1657"/>
      <c r="F17" s="1657"/>
      <c r="G17" s="1657"/>
      <c r="H17" s="1657"/>
      <c r="I17" s="1657"/>
      <c r="J17" s="1657"/>
      <c r="K17" s="1657"/>
      <c r="L17" s="1657"/>
      <c r="M17" s="1658"/>
      <c r="N17" s="1604"/>
      <c r="O17" s="1604"/>
    </row>
    <row r="18" spans="2:15" ht="8.25" customHeight="1">
      <c r="B18" s="1604"/>
      <c r="C18" s="1604"/>
      <c r="D18" s="1604"/>
      <c r="E18" s="1604"/>
      <c r="F18" s="1604"/>
      <c r="G18" s="1604"/>
      <c r="I18" s="1604"/>
      <c r="J18" s="1604"/>
      <c r="K18" s="1604"/>
      <c r="L18" s="1604"/>
      <c r="M18" s="1604"/>
      <c r="N18" s="1604"/>
      <c r="O18" s="1604"/>
    </row>
    <row r="19" spans="2:15" ht="25.5" customHeight="1">
      <c r="B19" s="1659" t="s">
        <v>164</v>
      </c>
      <c r="C19" s="1660"/>
      <c r="D19" s="1660"/>
      <c r="E19" s="1660"/>
      <c r="F19" s="1660"/>
      <c r="G19" s="1660"/>
      <c r="H19" s="94"/>
      <c r="I19" s="1660"/>
      <c r="J19" s="1660"/>
      <c r="K19" s="1660"/>
      <c r="L19" s="1660"/>
      <c r="M19" s="1660"/>
      <c r="N19" s="1661"/>
      <c r="O19" s="1661"/>
    </row>
    <row r="20" spans="2:15" ht="25.5" customHeight="1">
      <c r="B20" s="893" t="s">
        <v>10</v>
      </c>
      <c r="C20" s="2403" t="str">
        <f>IF('Customer Information'!C6="","",'Customer Information'!C6)</f>
        <v/>
      </c>
      <c r="D20" s="2403"/>
      <c r="E20" s="2403"/>
      <c r="F20" s="2403"/>
      <c r="G20" s="893"/>
      <c r="I20" s="1012" t="s">
        <v>5342</v>
      </c>
      <c r="J20" s="1662" t="str">
        <f>IF('Customer Information'!C7="","",'Customer Information'!C7)</f>
        <v/>
      </c>
      <c r="K20" s="1662"/>
      <c r="L20" s="1662"/>
      <c r="M20" s="1662"/>
      <c r="N20" s="1663"/>
      <c r="O20" s="1663"/>
    </row>
    <row r="21" spans="2:15" ht="5.15" customHeight="1">
      <c r="B21" s="761"/>
      <c r="C21" s="724"/>
      <c r="D21" s="724"/>
      <c r="E21" s="724"/>
      <c r="F21" s="724"/>
      <c r="G21" s="761"/>
      <c r="I21" s="1628"/>
      <c r="J21" s="724"/>
      <c r="K21" s="724"/>
      <c r="L21" s="724"/>
      <c r="M21" s="724"/>
      <c r="N21" s="1664"/>
      <c r="O21" s="1664"/>
    </row>
    <row r="22" spans="2:15" ht="25.5" customHeight="1">
      <c r="B22" s="893" t="s">
        <v>5343</v>
      </c>
      <c r="C22" s="2404" t="str">
        <f>IF('Customer Information'!I7="","",'Customer Information'!I7)</f>
        <v/>
      </c>
      <c r="D22" s="2404"/>
      <c r="E22" s="2404"/>
      <c r="F22" s="2404"/>
      <c r="G22" s="893"/>
      <c r="I22" s="1012" t="s">
        <v>5344</v>
      </c>
      <c r="J22" s="2405" t="str">
        <f>IF('Customer Information'!K9="","",'Customer Information'!K9)</f>
        <v/>
      </c>
      <c r="K22" s="2405"/>
      <c r="L22" s="2405"/>
      <c r="M22" s="2405"/>
      <c r="N22" s="1663"/>
      <c r="O22" s="1663"/>
    </row>
    <row r="23" spans="2:15" ht="5.15" customHeight="1">
      <c r="B23" s="761"/>
      <c r="C23" s="724"/>
      <c r="D23" s="724"/>
      <c r="E23" s="724"/>
      <c r="F23" s="724"/>
      <c r="G23" s="761"/>
      <c r="I23" s="1628"/>
      <c r="J23" s="724"/>
      <c r="K23" s="724"/>
      <c r="L23" s="724"/>
      <c r="M23" s="724"/>
      <c r="N23" s="1664"/>
      <c r="O23" s="1664"/>
    </row>
    <row r="24" spans="2:15" ht="25.5" customHeight="1">
      <c r="B24" s="893" t="s">
        <v>5345</v>
      </c>
      <c r="C24" s="2406"/>
      <c r="D24" s="2406"/>
      <c r="E24" s="2406"/>
      <c r="F24" s="2406"/>
      <c r="G24" s="893"/>
      <c r="I24" s="1012" t="s">
        <v>9</v>
      </c>
      <c r="J24" s="2407"/>
      <c r="K24" s="2407"/>
      <c r="L24" s="761"/>
      <c r="M24" s="761"/>
      <c r="N24" s="1663"/>
      <c r="O24" s="1663"/>
    </row>
    <row r="25" spans="2:15" ht="5.25" customHeight="1">
      <c r="B25" s="761"/>
      <c r="C25" s="724"/>
      <c r="D25" s="724"/>
      <c r="E25" s="761"/>
      <c r="F25" s="761"/>
      <c r="G25" s="761"/>
      <c r="I25" s="1628"/>
      <c r="J25" s="724"/>
      <c r="K25" s="724"/>
      <c r="L25" s="761"/>
      <c r="M25" s="761"/>
      <c r="N25" s="1664"/>
      <c r="O25" s="1664"/>
    </row>
    <row r="26" spans="2:15" ht="25.5" customHeight="1">
      <c r="B26" s="893" t="s">
        <v>5346</v>
      </c>
      <c r="C26" s="2406"/>
      <c r="D26" s="2406"/>
      <c r="E26" s="2406"/>
      <c r="F26" s="2406"/>
      <c r="G26" s="1663"/>
      <c r="I26" s="1666"/>
      <c r="J26" s="1663"/>
      <c r="K26" s="1663"/>
      <c r="L26" s="1663"/>
      <c r="M26" s="1663"/>
      <c r="N26" s="1663"/>
      <c r="O26" s="1663"/>
    </row>
    <row r="27" spans="2:15" ht="17.149999999999999" customHeight="1">
      <c r="B27" s="893"/>
      <c r="C27" s="1663"/>
      <c r="D27" s="1663"/>
      <c r="E27" s="1663"/>
      <c r="F27" s="1663"/>
      <c r="G27" s="1663"/>
      <c r="I27" s="1666"/>
      <c r="J27" s="1663"/>
      <c r="K27" s="1663"/>
      <c r="L27" s="1663"/>
      <c r="M27" s="1663"/>
      <c r="N27" s="1663"/>
      <c r="O27" s="1663"/>
    </row>
    <row r="28" spans="2:15" ht="16.5" customHeight="1">
      <c r="B28" s="1659" t="s">
        <v>6</v>
      </c>
      <c r="C28" s="1667"/>
      <c r="D28" s="1667"/>
      <c r="E28" s="1667"/>
      <c r="F28" s="1667"/>
      <c r="G28" s="1667"/>
      <c r="H28" s="94"/>
      <c r="I28" s="1667"/>
      <c r="J28" s="1667"/>
      <c r="K28" s="1667"/>
      <c r="L28" s="1667"/>
      <c r="M28" s="1667"/>
      <c r="N28" s="1668"/>
      <c r="O28" s="1668"/>
    </row>
    <row r="29" spans="2:15" ht="25.5" customHeight="1">
      <c r="B29" s="893" t="s">
        <v>5347</v>
      </c>
      <c r="C29" s="2408" t="str">
        <f>IF('Customer Information'!C21="","",'Customer Information'!C21)</f>
        <v/>
      </c>
      <c r="D29" s="2408"/>
      <c r="E29" s="2408"/>
      <c r="F29" s="2408"/>
      <c r="G29" s="893"/>
      <c r="I29" s="1670" t="s">
        <v>5348</v>
      </c>
      <c r="J29" s="1669" t="str">
        <f>IF('Customer Information'!C23="","",'Customer Information'!C23)</f>
        <v/>
      </c>
      <c r="K29" s="1669"/>
      <c r="L29" s="1669"/>
      <c r="M29" s="1669"/>
      <c r="N29" s="1663"/>
      <c r="O29" s="1663"/>
    </row>
    <row r="30" spans="2:15" ht="5.15" customHeight="1">
      <c r="B30" s="893"/>
      <c r="C30" s="1671"/>
      <c r="D30" s="1671"/>
      <c r="E30" s="1671"/>
      <c r="F30" s="1671"/>
      <c r="G30" s="893"/>
      <c r="I30" s="1670"/>
      <c r="J30" s="1671"/>
      <c r="K30" s="1671"/>
      <c r="L30" s="1671"/>
      <c r="M30" s="1671"/>
      <c r="N30" s="1663"/>
      <c r="O30" s="1663"/>
    </row>
    <row r="31" spans="2:15" ht="25.5" customHeight="1">
      <c r="B31" s="893" t="s">
        <v>5344</v>
      </c>
      <c r="C31" s="2405" t="str">
        <f>IF('Customer Information'!K23="","",'Customer Information'!K23)</f>
        <v/>
      </c>
      <c r="D31" s="2405"/>
      <c r="E31" s="2405"/>
      <c r="F31" s="2405"/>
      <c r="G31" s="893"/>
      <c r="I31" s="1670" t="s">
        <v>226</v>
      </c>
      <c r="J31" s="1665" t="str">
        <f>IF('Customer Information'!L43="","",'Customer Information'!L43)</f>
        <v/>
      </c>
      <c r="K31" s="1665"/>
      <c r="L31" s="1665"/>
      <c r="M31" s="1665"/>
      <c r="N31" s="1663"/>
      <c r="O31" s="1663"/>
    </row>
    <row r="32" spans="2:15" ht="25.5" customHeight="1">
      <c r="B32" s="995"/>
      <c r="C32" s="1663"/>
      <c r="D32" s="1663"/>
      <c r="E32" s="1663"/>
      <c r="F32" s="1663"/>
      <c r="G32" s="1663"/>
      <c r="I32" s="1666"/>
      <c r="J32" s="1663"/>
      <c r="K32" s="1663"/>
      <c r="L32" s="1663"/>
      <c r="M32" s="1663"/>
      <c r="N32" s="1663"/>
      <c r="O32" s="1663"/>
    </row>
    <row r="33" spans="2:15" ht="16.5" customHeight="1">
      <c r="B33" s="1659" t="s">
        <v>5349</v>
      </c>
      <c r="C33" s="1667"/>
      <c r="D33" s="1667"/>
      <c r="E33" s="1667"/>
      <c r="F33" s="1667"/>
      <c r="G33" s="1667"/>
      <c r="H33" s="94"/>
      <c r="I33" s="1667"/>
      <c r="J33" s="1667"/>
      <c r="K33" s="1667"/>
      <c r="L33" s="1667"/>
      <c r="M33" s="1667"/>
      <c r="N33" s="1668"/>
      <c r="O33" s="1668"/>
    </row>
    <row r="34" spans="2:15" ht="28.5" customHeight="1">
      <c r="B34" s="1672" t="s">
        <v>5350</v>
      </c>
      <c r="C34" s="1673"/>
      <c r="D34" s="1673"/>
      <c r="E34" s="1673"/>
      <c r="F34" s="1673"/>
      <c r="G34" s="1673"/>
      <c r="I34" s="1673"/>
      <c r="J34" s="1673"/>
      <c r="K34" s="1673"/>
      <c r="L34" s="1673"/>
      <c r="M34" s="1673"/>
      <c r="N34" s="1668"/>
      <c r="O34" s="1668"/>
    </row>
    <row r="35" spans="2:15" ht="31" customHeight="1">
      <c r="C35" s="2388" t="s">
        <v>645</v>
      </c>
      <c r="D35" s="2388"/>
      <c r="E35" s="1674" t="s">
        <v>3259</v>
      </c>
      <c r="F35" s="2389" t="s">
        <v>5351</v>
      </c>
      <c r="G35" s="2389"/>
      <c r="H35" s="2389" t="s">
        <v>5352</v>
      </c>
      <c r="I35" s="2389"/>
      <c r="L35" s="1668"/>
      <c r="M35" s="1668"/>
      <c r="N35" s="1668"/>
      <c r="O35" s="1668"/>
    </row>
    <row r="36" spans="2:15" ht="31" customHeight="1">
      <c r="B36" s="1675">
        <v>1</v>
      </c>
      <c r="C36" s="2390" t="str">
        <f>IF('In Unit HVAC Worksheet'!T61="","",'In Unit HVAC Worksheet'!T61)</f>
        <v>None</v>
      </c>
      <c r="D36" s="2390"/>
      <c r="E36" s="1676" t="str">
        <f>IF('In Unit HVAC Worksheet'!X61="","",'In Unit HVAC Worksheet'!X61)</f>
        <v/>
      </c>
      <c r="F36" s="2398">
        <f>IF('In Unit HVAC Worksheet'!AA82="","",'In Unit HVAC Worksheet'!AA82)</f>
        <v>13000</v>
      </c>
      <c r="G36" s="2399"/>
      <c r="H36" s="2400"/>
      <c r="I36" s="2400"/>
      <c r="L36" s="1668"/>
      <c r="M36" s="1668"/>
      <c r="N36" s="1668"/>
      <c r="O36" s="1668"/>
    </row>
    <row r="37" spans="2:15" s="262" customFormat="1" ht="31" customHeight="1">
      <c r="B37" s="1675">
        <v>2</v>
      </c>
      <c r="C37" s="2390" t="str">
        <f>IF('In Unit HVAC Worksheet'!T62="","",'In Unit HVAC Worksheet'!T62)</f>
        <v>None</v>
      </c>
      <c r="D37" s="2390"/>
      <c r="E37" s="1676" t="str">
        <f>IF('In Unit HVAC Worksheet'!X62="","",'In Unit HVAC Worksheet'!X62)</f>
        <v/>
      </c>
      <c r="F37" s="2398">
        <f>IF('In Unit HVAC Worksheet'!AA83="","",'In Unit HVAC Worksheet'!AA83)</f>
        <v>15000</v>
      </c>
      <c r="G37" s="2399"/>
      <c r="H37" s="2400"/>
      <c r="I37" s="2400"/>
      <c r="L37" s="1668"/>
      <c r="M37" s="1668"/>
      <c r="N37" s="1668"/>
      <c r="O37" s="1668"/>
    </row>
    <row r="38" spans="2:15" s="262" customFormat="1" ht="31" customHeight="1">
      <c r="B38" s="1675">
        <v>3</v>
      </c>
      <c r="C38" s="2390" t="str">
        <f>IF('In Unit HVAC Worksheet'!T63="","",'In Unit HVAC Worksheet'!T63)</f>
        <v/>
      </c>
      <c r="D38" s="2390"/>
      <c r="E38" s="1676" t="str">
        <f>IF('In Unit HVAC Worksheet'!X63="","",'In Unit HVAC Worksheet'!X63)</f>
        <v/>
      </c>
      <c r="F38" s="2398" t="str">
        <f>IF('In Unit HVAC Worksheet'!AA84="","",'In Unit HVAC Worksheet'!AA84)</f>
        <v/>
      </c>
      <c r="G38" s="2399"/>
      <c r="H38" s="2400"/>
      <c r="I38" s="2400"/>
      <c r="J38" s="1754"/>
      <c r="K38" s="1754"/>
      <c r="L38" s="1668"/>
      <c r="M38" s="1668"/>
      <c r="N38" s="1668"/>
      <c r="O38" s="1668"/>
    </row>
    <row r="39" spans="2:15" s="262" customFormat="1" ht="31" customHeight="1">
      <c r="B39" s="1675">
        <v>4</v>
      </c>
      <c r="C39" s="2390" t="str">
        <f>IF('In Unit HVAC Worksheet'!T64="","",'In Unit HVAC Worksheet'!T64)</f>
        <v/>
      </c>
      <c r="D39" s="2390"/>
      <c r="E39" s="1676" t="str">
        <f>IF('In Unit HVAC Worksheet'!X64="","",'In Unit HVAC Worksheet'!X64)</f>
        <v/>
      </c>
      <c r="F39" s="2398" t="str">
        <f>IF('In Unit HVAC Worksheet'!AA85="","",'In Unit HVAC Worksheet'!AA85)</f>
        <v/>
      </c>
      <c r="G39" s="2399"/>
      <c r="H39" s="2400"/>
      <c r="I39" s="2400"/>
      <c r="J39" s="1754"/>
      <c r="K39" s="1754"/>
      <c r="L39" s="1668"/>
      <c r="M39" s="1668"/>
      <c r="N39" s="1668"/>
      <c r="O39" s="1668"/>
    </row>
    <row r="40" spans="2:15" s="262" customFormat="1" ht="31" customHeight="1">
      <c r="B40" s="1675">
        <v>5</v>
      </c>
      <c r="C40" s="2390" t="str">
        <f>IF('In Unit HVAC Worksheet'!T65="","",'In Unit HVAC Worksheet'!T65)</f>
        <v/>
      </c>
      <c r="D40" s="2390"/>
      <c r="E40" s="1676" t="str">
        <f>IF('In Unit HVAC Worksheet'!X65="","",'In Unit HVAC Worksheet'!X65)</f>
        <v/>
      </c>
      <c r="F40" s="2398" t="str">
        <f>IF('In Unit HVAC Worksheet'!AA86="","",'In Unit HVAC Worksheet'!AA86)</f>
        <v/>
      </c>
      <c r="G40" s="2399"/>
      <c r="H40" s="2400"/>
      <c r="I40" s="2400"/>
      <c r="J40" s="1754"/>
      <c r="K40" s="1754"/>
      <c r="L40" s="1668"/>
      <c r="M40" s="1668"/>
      <c r="N40" s="1668"/>
      <c r="O40" s="1668"/>
    </row>
    <row r="41" spans="2:15" s="262" customFormat="1" ht="31" customHeight="1">
      <c r="B41" s="1675">
        <v>6</v>
      </c>
      <c r="C41" s="2390" t="str">
        <f>IF('In Unit HVAC Worksheet'!T66="","",'In Unit HVAC Worksheet'!T66)</f>
        <v/>
      </c>
      <c r="D41" s="2390"/>
      <c r="E41" s="1676" t="str">
        <f>IF('In Unit HVAC Worksheet'!X66="","",'In Unit HVAC Worksheet'!X66)</f>
        <v/>
      </c>
      <c r="F41" s="2398" t="str">
        <f>IF('In Unit HVAC Worksheet'!AA87="","",'In Unit HVAC Worksheet'!AA87)</f>
        <v/>
      </c>
      <c r="G41" s="2399"/>
      <c r="H41" s="2400"/>
      <c r="I41" s="2400"/>
      <c r="J41" s="1754"/>
      <c r="K41" s="1754"/>
      <c r="L41" s="1668"/>
      <c r="M41" s="1668"/>
      <c r="N41" s="1668"/>
      <c r="O41" s="1668"/>
    </row>
    <row r="42" spans="2:15" s="262" customFormat="1" ht="31" customHeight="1">
      <c r="B42" s="1675">
        <v>7</v>
      </c>
      <c r="C42" s="2390" t="str">
        <f>IF('In Unit HVAC Worksheet'!T67="","",'In Unit HVAC Worksheet'!T67)</f>
        <v/>
      </c>
      <c r="D42" s="2390"/>
      <c r="E42" s="1676" t="str">
        <f>IF('In Unit HVAC Worksheet'!X67="","",'In Unit HVAC Worksheet'!X67)</f>
        <v/>
      </c>
      <c r="F42" s="2398" t="str">
        <f>IF('In Unit HVAC Worksheet'!AA88="","",'In Unit HVAC Worksheet'!AA88)</f>
        <v/>
      </c>
      <c r="G42" s="2399"/>
      <c r="H42" s="2400"/>
      <c r="I42" s="2400"/>
      <c r="J42" s="1754"/>
      <c r="K42" s="1754"/>
      <c r="L42" s="1668"/>
      <c r="M42" s="1668"/>
      <c r="N42" s="1668"/>
      <c r="O42" s="1668"/>
    </row>
    <row r="43" spans="2:15" s="262" customFormat="1" ht="31" customHeight="1">
      <c r="B43" s="1675">
        <v>8</v>
      </c>
      <c r="C43" s="2390" t="str">
        <f>IF('In Unit HVAC Worksheet'!T68="","",'In Unit HVAC Worksheet'!T68)</f>
        <v/>
      </c>
      <c r="D43" s="2390"/>
      <c r="E43" s="1676" t="str">
        <f>IF('In Unit HVAC Worksheet'!X68="","",'In Unit HVAC Worksheet'!X68)</f>
        <v/>
      </c>
      <c r="F43" s="2398" t="str">
        <f>IF('In Unit HVAC Worksheet'!AA89="","",'In Unit HVAC Worksheet'!AA89)</f>
        <v/>
      </c>
      <c r="G43" s="2399"/>
      <c r="H43" s="2400"/>
      <c r="I43" s="2400"/>
      <c r="J43" s="1754"/>
      <c r="K43" s="1754"/>
      <c r="L43" s="1668"/>
      <c r="M43" s="1668"/>
      <c r="N43" s="1668"/>
      <c r="O43" s="1668"/>
    </row>
    <row r="44" spans="2:15" s="262" customFormat="1" ht="31" customHeight="1">
      <c r="B44" s="1675">
        <v>9</v>
      </c>
      <c r="C44" s="2390" t="str">
        <f>IF('In Unit HVAC Worksheet'!T69="","",'In Unit HVAC Worksheet'!T69)</f>
        <v/>
      </c>
      <c r="D44" s="2390"/>
      <c r="E44" s="1676" t="str">
        <f>IF('In Unit HVAC Worksheet'!X69="","",'In Unit HVAC Worksheet'!X69)</f>
        <v/>
      </c>
      <c r="F44" s="2398" t="str">
        <f>IF('In Unit HVAC Worksheet'!AA90="","",'In Unit HVAC Worksheet'!AA90)</f>
        <v/>
      </c>
      <c r="G44" s="2399"/>
      <c r="H44" s="2400"/>
      <c r="I44" s="2400"/>
      <c r="J44" s="1754"/>
      <c r="K44" s="1754"/>
      <c r="L44" s="1668"/>
      <c r="M44" s="1668"/>
      <c r="N44" s="1668"/>
      <c r="O44" s="1668"/>
    </row>
    <row r="45" spans="2:15" ht="31" customHeight="1">
      <c r="B45" s="1675">
        <v>10</v>
      </c>
      <c r="C45" s="2390" t="str">
        <f>IF('In Unit HVAC Worksheet'!T70="","",'In Unit HVAC Worksheet'!T70)</f>
        <v/>
      </c>
      <c r="D45" s="2390"/>
      <c r="E45" s="1676" t="str">
        <f>IF('In Unit HVAC Worksheet'!X70="","",'In Unit HVAC Worksheet'!X70)</f>
        <v/>
      </c>
      <c r="F45" s="2398" t="str">
        <f>IF('In Unit HVAC Worksheet'!AA91="","",'In Unit HVAC Worksheet'!AA91)</f>
        <v/>
      </c>
      <c r="G45" s="2399"/>
      <c r="H45" s="2400"/>
      <c r="I45" s="2400"/>
      <c r="J45" s="1754"/>
      <c r="K45" s="1754"/>
      <c r="L45" s="1668"/>
      <c r="M45" s="1668"/>
      <c r="N45" s="1668"/>
      <c r="O45" s="1668"/>
    </row>
    <row r="46" spans="2:15" ht="35.5" customHeight="1">
      <c r="B46" s="1672" t="s">
        <v>5354</v>
      </c>
      <c r="C46" s="1678"/>
      <c r="D46" s="1679"/>
      <c r="E46" s="1679"/>
      <c r="F46" s="1679"/>
      <c r="G46" s="1680"/>
      <c r="H46" s="1668"/>
      <c r="I46" s="1668"/>
      <c r="J46" s="1668"/>
      <c r="K46" s="1668"/>
      <c r="L46" s="1668"/>
      <c r="M46" s="1668"/>
      <c r="N46" s="1668"/>
      <c r="O46" s="1668"/>
    </row>
    <row r="47" spans="2:15" ht="26.25" customHeight="1">
      <c r="B47" s="1619"/>
      <c r="C47" s="2401" t="s">
        <v>240</v>
      </c>
      <c r="D47" s="2401"/>
      <c r="E47" s="1681" t="s">
        <v>80</v>
      </c>
      <c r="F47" s="2401" t="s">
        <v>5355</v>
      </c>
      <c r="G47" s="2401"/>
      <c r="H47" s="1681" t="s">
        <v>5356</v>
      </c>
      <c r="I47" s="2401" t="s">
        <v>653</v>
      </c>
      <c r="J47" s="2401"/>
      <c r="K47" s="2397" t="s">
        <v>5357</v>
      </c>
      <c r="L47" s="2397"/>
      <c r="M47" s="1682" t="s">
        <v>5352</v>
      </c>
      <c r="N47" s="1683"/>
      <c r="O47" s="1683"/>
    </row>
    <row r="48" spans="2:15" ht="25.5" customHeight="1">
      <c r="B48" s="1675">
        <v>1</v>
      </c>
      <c r="C48" s="2390" t="str">
        <f>IF('In Unit HVAC Worksheet'!S61="","",'In Unit HVAC Worksheet'!S61)</f>
        <v>Central Air Conditioner</v>
      </c>
      <c r="D48" s="2390"/>
      <c r="E48" s="1684"/>
      <c r="F48" s="2391"/>
      <c r="G48" s="2392"/>
      <c r="H48" s="1685">
        <f>IF('In Unit HVAC Worksheet'!Y82="","",'In Unit HVAC Worksheet'!Y82/12000)</f>
        <v>1</v>
      </c>
      <c r="I48" s="2391" t="str">
        <f>IF('In Unit HVAC Worksheet'!S82="","",'In Unit HVAC Worksheet'!S82)</f>
        <v>No</v>
      </c>
      <c r="J48" s="2392"/>
      <c r="K48" s="2393" t="str">
        <f>IF(OR('In Unit HVAC Worksheet'!U61="",'In Unit HVAC Worksheet'!V61="Select..."),"",'In Unit HVAC Worksheet'!U61&amp;" SEER/ "&amp;'In Unit HVAC Worksheet'!V61&amp;" EER")</f>
        <v/>
      </c>
      <c r="L48" s="2394"/>
      <c r="M48" s="1686"/>
      <c r="N48" s="893"/>
      <c r="O48" s="893"/>
    </row>
    <row r="49" spans="2:15" ht="25.5" customHeight="1">
      <c r="B49" s="1675">
        <v>2</v>
      </c>
      <c r="C49" s="2390" t="str">
        <f>IF('In Unit HVAC Worksheet'!S62="","",'In Unit HVAC Worksheet'!S62)</f>
        <v>None</v>
      </c>
      <c r="D49" s="2390"/>
      <c r="E49" s="1684"/>
      <c r="F49" s="2391"/>
      <c r="G49" s="2392"/>
      <c r="H49" s="1878">
        <f>IF('In Unit HVAC Worksheet'!Y83="","",'In Unit HVAC Worksheet'!Y83/12000)</f>
        <v>1.1666666666666667</v>
      </c>
      <c r="I49" s="2395" t="str">
        <f>IF('In Unit HVAC Worksheet'!S83="","",'In Unit HVAC Worksheet'!S83)</f>
        <v>No</v>
      </c>
      <c r="J49" s="2396"/>
      <c r="K49" s="2393" t="str">
        <f>IF(OR('In Unit HVAC Worksheet'!U62="",'In Unit HVAC Worksheet'!V62="Select..."),"",'In Unit HVAC Worksheet'!U62&amp;" SEER/ "&amp;'In Unit HVAC Worksheet'!V62&amp;" EER")</f>
        <v/>
      </c>
      <c r="L49" s="2394"/>
      <c r="M49" s="1686"/>
      <c r="N49" s="893"/>
      <c r="O49" s="893"/>
    </row>
    <row r="50" spans="2:15" ht="25.5" customHeight="1">
      <c r="B50" s="1675">
        <v>3</v>
      </c>
      <c r="C50" s="2390" t="str">
        <f>IF('In Unit HVAC Worksheet'!S63="","",'In Unit HVAC Worksheet'!S63)</f>
        <v/>
      </c>
      <c r="D50" s="2390"/>
      <c r="E50" s="1684"/>
      <c r="F50" s="2391"/>
      <c r="G50" s="2392"/>
      <c r="H50" s="1878" t="str">
        <f>IF('In Unit HVAC Worksheet'!Y84="","",'In Unit HVAC Worksheet'!Y84/12000)</f>
        <v/>
      </c>
      <c r="I50" s="2395" t="str">
        <f>IF('In Unit HVAC Worksheet'!S84="","",'In Unit HVAC Worksheet'!S84)</f>
        <v/>
      </c>
      <c r="J50" s="2396"/>
      <c r="K50" s="2393" t="str">
        <f>IF(OR('In Unit HVAC Worksheet'!U63="",'In Unit HVAC Worksheet'!V63="Select..."),"",'In Unit HVAC Worksheet'!U63&amp;" SEER/ "&amp;'In Unit HVAC Worksheet'!V63&amp;" EER")</f>
        <v/>
      </c>
      <c r="L50" s="2394"/>
      <c r="M50" s="1686"/>
      <c r="N50" s="893"/>
      <c r="O50" s="893"/>
    </row>
    <row r="51" spans="2:15" ht="25.5" customHeight="1">
      <c r="B51" s="1675">
        <v>4</v>
      </c>
      <c r="C51" s="2390" t="str">
        <f>IF('In Unit HVAC Worksheet'!S64="","",'In Unit HVAC Worksheet'!S64)</f>
        <v/>
      </c>
      <c r="D51" s="2390"/>
      <c r="E51" s="1684"/>
      <c r="F51" s="2391"/>
      <c r="G51" s="2392"/>
      <c r="H51" s="1878" t="str">
        <f>IF('In Unit HVAC Worksheet'!Y85="","",'In Unit HVAC Worksheet'!Y85/12000)</f>
        <v/>
      </c>
      <c r="I51" s="2395" t="str">
        <f>IF('In Unit HVAC Worksheet'!S85="","",'In Unit HVAC Worksheet'!S85)</f>
        <v/>
      </c>
      <c r="J51" s="2396"/>
      <c r="K51" s="2393" t="str">
        <f>IF(OR('In Unit HVAC Worksheet'!U64="",'In Unit HVAC Worksheet'!V64="Select..."),"",'In Unit HVAC Worksheet'!U64&amp;" SEER/ "&amp;'In Unit HVAC Worksheet'!V64&amp;" EER")</f>
        <v/>
      </c>
      <c r="L51" s="2394"/>
      <c r="M51" s="1686"/>
      <c r="N51" s="893"/>
      <c r="O51" s="893"/>
    </row>
    <row r="52" spans="2:15" ht="25.5" customHeight="1">
      <c r="B52" s="1675">
        <v>5</v>
      </c>
      <c r="C52" s="2390" t="str">
        <f>IF('In Unit HVAC Worksheet'!S65="","",'In Unit HVAC Worksheet'!S65)</f>
        <v/>
      </c>
      <c r="D52" s="2390"/>
      <c r="E52" s="1684"/>
      <c r="F52" s="2391"/>
      <c r="G52" s="2392"/>
      <c r="H52" s="1878" t="str">
        <f>IF('In Unit HVAC Worksheet'!Y86="","",'In Unit HVAC Worksheet'!Y86/12000)</f>
        <v/>
      </c>
      <c r="I52" s="2395" t="str">
        <f>IF('In Unit HVAC Worksheet'!S86="","",'In Unit HVAC Worksheet'!S86)</f>
        <v/>
      </c>
      <c r="J52" s="2396"/>
      <c r="K52" s="2393" t="str">
        <f>IF(OR('In Unit HVAC Worksheet'!U65="",'In Unit HVAC Worksheet'!V65="Select..."),"",'In Unit HVAC Worksheet'!U65&amp;" SEER/ "&amp;'In Unit HVAC Worksheet'!V65&amp;" EER")</f>
        <v/>
      </c>
      <c r="L52" s="2394"/>
      <c r="M52" s="1686"/>
      <c r="N52" s="893"/>
      <c r="O52" s="893"/>
    </row>
    <row r="53" spans="2:15" ht="25.5" customHeight="1">
      <c r="B53" s="1675">
        <v>6</v>
      </c>
      <c r="C53" s="2390" t="str">
        <f>IF('In Unit HVAC Worksheet'!S66="","",'In Unit HVAC Worksheet'!S66)</f>
        <v/>
      </c>
      <c r="D53" s="2390"/>
      <c r="E53" s="1684"/>
      <c r="F53" s="2391"/>
      <c r="G53" s="2392"/>
      <c r="H53" s="1878" t="str">
        <f>IF('In Unit HVAC Worksheet'!Y87="","",'In Unit HVAC Worksheet'!Y87/12000)</f>
        <v/>
      </c>
      <c r="I53" s="2395" t="str">
        <f>IF('In Unit HVAC Worksheet'!S87="","",'In Unit HVAC Worksheet'!S87)</f>
        <v/>
      </c>
      <c r="J53" s="2396"/>
      <c r="K53" s="2393" t="str">
        <f>IF(OR('In Unit HVAC Worksheet'!U66="",'In Unit HVAC Worksheet'!V66="Select..."),"",'In Unit HVAC Worksheet'!U66&amp;" SEER/ "&amp;'In Unit HVAC Worksheet'!V66&amp;" EER")</f>
        <v/>
      </c>
      <c r="L53" s="2394"/>
      <c r="M53" s="1686"/>
      <c r="N53" s="893"/>
      <c r="O53" s="893"/>
    </row>
    <row r="54" spans="2:15" ht="25.5" customHeight="1">
      <c r="B54" s="1675">
        <v>7</v>
      </c>
      <c r="C54" s="2390" t="str">
        <f>IF('In Unit HVAC Worksheet'!S67="","",'In Unit HVAC Worksheet'!S67)</f>
        <v/>
      </c>
      <c r="D54" s="2390"/>
      <c r="E54" s="1684"/>
      <c r="F54" s="2391"/>
      <c r="G54" s="2392"/>
      <c r="H54" s="1878" t="str">
        <f>IF('In Unit HVAC Worksheet'!Y88="","",'In Unit HVAC Worksheet'!Y88/12000)</f>
        <v/>
      </c>
      <c r="I54" s="2395" t="str">
        <f>IF('In Unit HVAC Worksheet'!S88="","",'In Unit HVAC Worksheet'!S88)</f>
        <v/>
      </c>
      <c r="J54" s="2396"/>
      <c r="K54" s="2393" t="str">
        <f>IF(OR('In Unit HVAC Worksheet'!U67="",'In Unit HVAC Worksheet'!V67="Select..."),"",'In Unit HVAC Worksheet'!U67&amp;" SEER/ "&amp;'In Unit HVAC Worksheet'!V67&amp;" EER")</f>
        <v/>
      </c>
      <c r="L54" s="2394"/>
      <c r="M54" s="1686"/>
      <c r="N54" s="893"/>
      <c r="O54" s="893"/>
    </row>
    <row r="55" spans="2:15" ht="25.5" customHeight="1">
      <c r="B55" s="1675">
        <v>8</v>
      </c>
      <c r="C55" s="2390" t="str">
        <f>IF('In Unit HVAC Worksheet'!S68="","",'In Unit HVAC Worksheet'!S68)</f>
        <v/>
      </c>
      <c r="D55" s="2390"/>
      <c r="E55" s="1684"/>
      <c r="F55" s="2391"/>
      <c r="G55" s="2392"/>
      <c r="H55" s="1878" t="str">
        <f>IF('In Unit HVAC Worksheet'!Y89="","",'In Unit HVAC Worksheet'!Y89/12000)</f>
        <v/>
      </c>
      <c r="I55" s="2395" t="str">
        <f>IF('In Unit HVAC Worksheet'!S89="","",'In Unit HVAC Worksheet'!S89)</f>
        <v/>
      </c>
      <c r="J55" s="2396"/>
      <c r="K55" s="2393" t="str">
        <f>IF(OR('In Unit HVAC Worksheet'!U68="",'In Unit HVAC Worksheet'!V68="Select..."),"",'In Unit HVAC Worksheet'!U68&amp;" SEER/ "&amp;'In Unit HVAC Worksheet'!V68&amp;" EER")</f>
        <v/>
      </c>
      <c r="L55" s="2394"/>
      <c r="M55" s="1686"/>
      <c r="N55" s="893"/>
      <c r="O55" s="893"/>
    </row>
    <row r="56" spans="2:15" ht="25.5" customHeight="1">
      <c r="B56" s="1675">
        <v>9</v>
      </c>
      <c r="C56" s="2390" t="str">
        <f>IF('In Unit HVAC Worksheet'!S69="","",'In Unit HVAC Worksheet'!S69)</f>
        <v/>
      </c>
      <c r="D56" s="2390"/>
      <c r="E56" s="1684"/>
      <c r="F56" s="2391"/>
      <c r="G56" s="2392"/>
      <c r="H56" s="1878" t="str">
        <f>IF('In Unit HVAC Worksheet'!Y90="","",'In Unit HVAC Worksheet'!Y90/12000)</f>
        <v/>
      </c>
      <c r="I56" s="2395" t="str">
        <f>IF('In Unit HVAC Worksheet'!S90="","",'In Unit HVAC Worksheet'!S90)</f>
        <v/>
      </c>
      <c r="J56" s="2396"/>
      <c r="K56" s="2393" t="str">
        <f>IF(OR('In Unit HVAC Worksheet'!U69="",'In Unit HVAC Worksheet'!V69="Select..."),"",'In Unit HVAC Worksheet'!U69&amp;" SEER/ "&amp;'In Unit HVAC Worksheet'!V69&amp;" EER")</f>
        <v/>
      </c>
      <c r="L56" s="2394"/>
      <c r="M56" s="1686"/>
      <c r="N56" s="893"/>
      <c r="O56" s="893"/>
    </row>
    <row r="57" spans="2:15" ht="25.5" customHeight="1">
      <c r="B57" s="1675">
        <v>10</v>
      </c>
      <c r="C57" s="2390" t="str">
        <f>IF('In Unit HVAC Worksheet'!S70="","",'In Unit HVAC Worksheet'!S70)</f>
        <v/>
      </c>
      <c r="D57" s="2390"/>
      <c r="E57" s="1684"/>
      <c r="F57" s="2391"/>
      <c r="G57" s="2392"/>
      <c r="H57" s="1878" t="str">
        <f>IF('In Unit HVAC Worksheet'!Y91="","",'In Unit HVAC Worksheet'!Y91/12000)</f>
        <v/>
      </c>
      <c r="I57" s="2395" t="str">
        <f>IF('In Unit HVAC Worksheet'!S91="","",'In Unit HVAC Worksheet'!S91)</f>
        <v/>
      </c>
      <c r="J57" s="2396"/>
      <c r="K57" s="2393" t="str">
        <f>IF(OR('In Unit HVAC Worksheet'!U70="",'In Unit HVAC Worksheet'!V70="Select..."),"",'In Unit HVAC Worksheet'!U70&amp;" SEER/ "&amp;'In Unit HVAC Worksheet'!V70&amp;" EER")</f>
        <v/>
      </c>
      <c r="L57" s="2394"/>
      <c r="M57" s="1686"/>
      <c r="N57" s="893"/>
      <c r="O57" s="893"/>
    </row>
    <row r="58" spans="2:15" ht="21.75" customHeight="1">
      <c r="B58" s="1687"/>
      <c r="C58" s="1687"/>
      <c r="D58" s="262"/>
      <c r="E58" s="262"/>
      <c r="F58" s="262"/>
      <c r="G58" s="262"/>
      <c r="H58" s="262"/>
      <c r="I58" s="262"/>
      <c r="J58" s="262"/>
      <c r="K58" s="262"/>
      <c r="L58" s="262"/>
      <c r="M58" s="262"/>
      <c r="N58" s="262"/>
      <c r="O58" s="262"/>
    </row>
    <row r="59" spans="2:15" ht="21.75" customHeight="1">
      <c r="B59" s="1687"/>
      <c r="C59" s="1687"/>
      <c r="D59" s="262"/>
      <c r="E59" s="262"/>
      <c r="F59" s="262"/>
      <c r="G59" s="262"/>
      <c r="H59" s="262"/>
      <c r="I59" s="262"/>
      <c r="J59" s="262"/>
      <c r="K59" s="262"/>
      <c r="L59" s="262"/>
      <c r="M59" s="262"/>
      <c r="N59" s="262"/>
      <c r="O59" s="262"/>
    </row>
    <row r="60" spans="2:15" ht="16.5" hidden="1" customHeight="1">
      <c r="B60" s="1672" t="s">
        <v>4145</v>
      </c>
      <c r="C60" s="1687"/>
      <c r="D60" s="262"/>
      <c r="E60" s="262"/>
      <c r="F60" s="262"/>
      <c r="G60" s="262"/>
      <c r="H60" s="262"/>
      <c r="I60" s="262"/>
      <c r="J60" s="262"/>
      <c r="K60" s="262"/>
      <c r="L60" s="262"/>
      <c r="M60" s="262"/>
      <c r="N60" s="262"/>
      <c r="O60" s="262"/>
    </row>
    <row r="61" spans="2:15" ht="10" hidden="1" customHeight="1">
      <c r="B61" s="1619"/>
      <c r="C61" s="2386"/>
      <c r="D61" s="2386"/>
      <c r="E61" s="2386"/>
      <c r="F61" s="2386"/>
      <c r="G61" s="2386"/>
      <c r="H61" s="2386"/>
      <c r="I61" s="2386"/>
      <c r="J61" s="2386"/>
      <c r="K61" s="2385"/>
      <c r="L61" s="2385"/>
      <c r="M61" s="1682"/>
      <c r="N61" s="262"/>
      <c r="O61" s="262"/>
    </row>
    <row r="62" spans="2:15" ht="21.75" hidden="1" customHeight="1">
      <c r="C62" s="2388" t="s">
        <v>645</v>
      </c>
      <c r="D62" s="2388"/>
      <c r="E62" s="2388"/>
      <c r="F62" s="2389" t="s">
        <v>5352</v>
      </c>
      <c r="G62" s="2389"/>
      <c r="H62" s="2389"/>
      <c r="I62" s="2389"/>
      <c r="J62" s="1688"/>
      <c r="K62" s="2385"/>
      <c r="L62" s="2385"/>
      <c r="M62" s="1682"/>
      <c r="N62" s="262"/>
      <c r="O62" s="262"/>
    </row>
    <row r="63" spans="2:15" ht="21.75" hidden="1" customHeight="1">
      <c r="B63" s="1675" t="s">
        <v>5353</v>
      </c>
      <c r="C63" s="2379" t="str">
        <f>IF([9]References!H26="New Construction","New Construction",'[9]Water Heating Worksheet'!$G$21)</f>
        <v>Select…</v>
      </c>
      <c r="D63" s="2380"/>
      <c r="E63" s="2381"/>
      <c r="F63" s="2382"/>
      <c r="G63" s="2383"/>
      <c r="H63" s="2383"/>
      <c r="I63" s="2384"/>
      <c r="J63" s="1688"/>
      <c r="K63" s="2385"/>
      <c r="L63" s="2385"/>
      <c r="M63" s="1682"/>
      <c r="N63" s="262"/>
      <c r="O63" s="262"/>
    </row>
    <row r="64" spans="2:15" ht="21.75" customHeight="1">
      <c r="B64" s="1619"/>
      <c r="C64" s="2386"/>
      <c r="D64" s="2386"/>
      <c r="E64" s="2386"/>
      <c r="F64" s="2386"/>
      <c r="G64" s="2386"/>
      <c r="H64" s="2386"/>
      <c r="I64" s="2386"/>
      <c r="J64" s="2386"/>
      <c r="K64" s="2385"/>
      <c r="L64" s="2385"/>
      <c r="M64" s="1682"/>
      <c r="N64" s="262"/>
      <c r="O64" s="262"/>
    </row>
    <row r="65" spans="2:15" ht="21.65" hidden="1" customHeight="1">
      <c r="B65" s="1687"/>
      <c r="C65" s="1687"/>
      <c r="D65" s="262"/>
      <c r="E65" s="262"/>
      <c r="F65" s="262"/>
      <c r="G65" s="262"/>
      <c r="H65" s="262"/>
      <c r="I65" s="262"/>
      <c r="J65" s="262"/>
      <c r="K65" s="262"/>
      <c r="L65" s="262"/>
      <c r="M65" s="262"/>
      <c r="N65" s="262"/>
      <c r="O65" s="262"/>
    </row>
    <row r="66" spans="2:15" ht="16.5" hidden="1" customHeight="1">
      <c r="B66" s="1659" t="s">
        <v>5358</v>
      </c>
      <c r="C66" s="1667"/>
      <c r="D66" s="1667"/>
      <c r="E66" s="1667"/>
      <c r="F66" s="1667"/>
      <c r="G66" s="1667"/>
      <c r="H66" s="1667"/>
      <c r="I66" s="1667"/>
      <c r="J66" s="1667"/>
      <c r="K66" s="1667"/>
      <c r="L66" s="1667"/>
      <c r="M66" s="1668"/>
      <c r="N66" s="1689"/>
      <c r="O66" s="1689"/>
    </row>
    <row r="67" spans="2:15" ht="20.149999999999999" hidden="1" customHeight="1">
      <c r="B67" s="1690"/>
      <c r="C67" s="1691"/>
      <c r="E67" s="1692" t="s">
        <v>5359</v>
      </c>
      <c r="F67" s="2387"/>
      <c r="G67" s="2387"/>
      <c r="H67" s="2387"/>
      <c r="I67" s="1693"/>
      <c r="J67" s="1693"/>
      <c r="K67" s="1693"/>
      <c r="L67" s="1694"/>
      <c r="M67" s="262"/>
      <c r="N67" s="262"/>
      <c r="O67" s="262"/>
    </row>
    <row r="68" spans="2:15" ht="21.75" hidden="1" customHeight="1">
      <c r="E68" s="1695"/>
      <c r="F68" s="1695"/>
      <c r="G68" s="1695"/>
      <c r="H68" s="1695"/>
      <c r="I68" s="1695"/>
      <c r="J68" s="1695"/>
      <c r="K68" s="1695"/>
      <c r="L68" s="1695"/>
      <c r="M68" s="1695"/>
      <c r="N68" s="1695"/>
      <c r="O68" s="1695"/>
    </row>
    <row r="69" spans="2:15" ht="16.5" hidden="1" customHeight="1">
      <c r="B69" s="893" t="s">
        <v>5360</v>
      </c>
      <c r="C69" s="995"/>
      <c r="D69" s="1696" t="s">
        <v>651</v>
      </c>
      <c r="O69" s="995"/>
    </row>
    <row r="70" spans="2:15" ht="16.5" hidden="1" customHeight="1">
      <c r="B70" s="995"/>
      <c r="C70" s="995"/>
      <c r="D70" s="1697"/>
      <c r="O70" s="995"/>
    </row>
    <row r="71" spans="2:15" ht="22.4" hidden="1" customHeight="1">
      <c r="C71" s="2377" t="s">
        <v>5361</v>
      </c>
      <c r="D71" s="2377"/>
      <c r="E71" s="2377" t="s">
        <v>5362</v>
      </c>
      <c r="F71" s="2377"/>
      <c r="G71" s="2378" t="s">
        <v>5363</v>
      </c>
      <c r="H71" s="2378"/>
      <c r="I71" s="1699"/>
      <c r="J71" s="1699"/>
      <c r="K71" s="1699"/>
      <c r="L71" s="1700"/>
      <c r="M71" s="1700"/>
    </row>
    <row r="72" spans="2:15" ht="16.5" hidden="1" customHeight="1">
      <c r="B72" s="1701" t="s">
        <v>151</v>
      </c>
      <c r="C72" s="2370" t="s">
        <v>651</v>
      </c>
      <c r="D72" s="2374"/>
      <c r="E72" s="2375" t="s">
        <v>651</v>
      </c>
      <c r="F72" s="2376"/>
      <c r="G72" s="2375" t="s">
        <v>651</v>
      </c>
      <c r="H72" s="2376"/>
      <c r="I72" s="1702"/>
      <c r="J72" s="1703">
        <v>24</v>
      </c>
      <c r="K72" s="1699"/>
      <c r="L72" s="1700"/>
      <c r="M72" s="1700"/>
    </row>
    <row r="73" spans="2:15" ht="14" hidden="1">
      <c r="B73" s="1701" t="s">
        <v>152</v>
      </c>
      <c r="C73" s="2370" t="s">
        <v>651</v>
      </c>
      <c r="D73" s="2374"/>
      <c r="E73" s="2375" t="s">
        <v>651</v>
      </c>
      <c r="F73" s="2376"/>
      <c r="G73" s="2375" t="s">
        <v>651</v>
      </c>
      <c r="H73" s="2376"/>
      <c r="I73" s="1702"/>
      <c r="J73" s="1703">
        <v>29</v>
      </c>
      <c r="K73" s="1699"/>
      <c r="L73" s="1700"/>
      <c r="M73" s="1700"/>
    </row>
    <row r="74" spans="2:15" ht="14" hidden="1">
      <c r="B74" s="1701" t="s">
        <v>161</v>
      </c>
      <c r="C74" s="2370" t="s">
        <v>651</v>
      </c>
      <c r="D74" s="2374"/>
      <c r="E74" s="2375" t="s">
        <v>651</v>
      </c>
      <c r="F74" s="2376"/>
      <c r="G74" s="2375" t="s">
        <v>651</v>
      </c>
      <c r="H74" s="2376"/>
      <c r="I74" s="1702"/>
      <c r="J74" s="1703">
        <v>34</v>
      </c>
      <c r="K74" s="1699"/>
      <c r="L74" s="1700"/>
      <c r="M74" s="1700"/>
    </row>
    <row r="75" spans="2:15" ht="14" hidden="1">
      <c r="B75" s="1701" t="s">
        <v>5364</v>
      </c>
      <c r="C75" s="2370" t="s">
        <v>651</v>
      </c>
      <c r="D75" s="2374"/>
      <c r="E75" s="2375" t="s">
        <v>651</v>
      </c>
      <c r="F75" s="2376"/>
      <c r="G75" s="2375" t="s">
        <v>651</v>
      </c>
      <c r="H75" s="2376"/>
      <c r="I75" s="1702"/>
      <c r="J75" s="1703">
        <v>39</v>
      </c>
      <c r="K75" s="1699"/>
      <c r="L75" s="1700"/>
      <c r="M75" s="1700"/>
    </row>
    <row r="76" spans="2:15" ht="14" hidden="1">
      <c r="B76" s="1704" t="s">
        <v>180</v>
      </c>
      <c r="C76" s="2370" t="s">
        <v>651</v>
      </c>
      <c r="D76" s="2374"/>
      <c r="E76" s="2375" t="s">
        <v>651</v>
      </c>
      <c r="F76" s="2376"/>
      <c r="G76" s="2375" t="s">
        <v>651</v>
      </c>
      <c r="H76" s="2376"/>
      <c r="I76" s="1702"/>
      <c r="J76" s="1703">
        <v>44</v>
      </c>
      <c r="K76" s="1699"/>
      <c r="L76" s="1700"/>
      <c r="M76" s="1700"/>
    </row>
    <row r="77" spans="2:15" ht="14" hidden="1">
      <c r="B77" s="1704" t="s">
        <v>5365</v>
      </c>
      <c r="C77" s="2370" t="s">
        <v>651</v>
      </c>
      <c r="D77" s="2374"/>
      <c r="E77" s="2375" t="s">
        <v>651</v>
      </c>
      <c r="F77" s="2376"/>
      <c r="G77" s="2375" t="s">
        <v>651</v>
      </c>
      <c r="H77" s="2376"/>
      <c r="I77" s="1702"/>
      <c r="J77" s="1703">
        <v>49</v>
      </c>
      <c r="K77" s="1699"/>
      <c r="L77" s="1700"/>
      <c r="M77" s="1700"/>
    </row>
    <row r="78" spans="2:15" ht="14" hidden="1">
      <c r="B78" s="1704" t="s">
        <v>5366</v>
      </c>
      <c r="C78" s="2370" t="s">
        <v>651</v>
      </c>
      <c r="D78" s="2374"/>
      <c r="E78" s="2375" t="s">
        <v>651</v>
      </c>
      <c r="F78" s="2376"/>
      <c r="G78" s="2375" t="s">
        <v>651</v>
      </c>
      <c r="H78" s="2376"/>
      <c r="I78" s="1702"/>
      <c r="J78" s="1703">
        <v>54</v>
      </c>
      <c r="K78" s="1699"/>
      <c r="L78" s="1700"/>
      <c r="M78" s="1700"/>
    </row>
    <row r="79" spans="2:15" ht="14" hidden="1">
      <c r="B79" s="1704" t="s">
        <v>5367</v>
      </c>
      <c r="C79" s="2370" t="s">
        <v>651</v>
      </c>
      <c r="D79" s="2374"/>
      <c r="E79" s="2375" t="s">
        <v>651</v>
      </c>
      <c r="F79" s="2376"/>
      <c r="G79" s="2375" t="s">
        <v>651</v>
      </c>
      <c r="H79" s="2376"/>
      <c r="I79" s="1705"/>
      <c r="J79" s="1703">
        <v>59</v>
      </c>
      <c r="N79" s="262"/>
      <c r="O79" s="262"/>
    </row>
    <row r="80" spans="2:15" ht="14" hidden="1">
      <c r="B80" s="1704" t="s">
        <v>5368</v>
      </c>
      <c r="C80" s="2370" t="s">
        <v>651</v>
      </c>
      <c r="D80" s="2374"/>
      <c r="E80" s="2375" t="s">
        <v>651</v>
      </c>
      <c r="F80" s="2376"/>
      <c r="G80" s="2375" t="s">
        <v>651</v>
      </c>
      <c r="H80" s="2376"/>
      <c r="I80" s="1705"/>
      <c r="J80" s="1703">
        <v>64</v>
      </c>
      <c r="N80" s="1706"/>
      <c r="O80" s="1706"/>
    </row>
    <row r="81" spans="2:15" ht="14" hidden="1">
      <c r="B81" s="1704" t="s">
        <v>5369</v>
      </c>
      <c r="C81" s="2370" t="s">
        <v>651</v>
      </c>
      <c r="D81" s="2371"/>
      <c r="E81" s="2372" t="s">
        <v>651</v>
      </c>
      <c r="F81" s="2373"/>
      <c r="G81" s="2372" t="s">
        <v>651</v>
      </c>
      <c r="H81" s="2373"/>
      <c r="I81" s="1705"/>
      <c r="J81" s="1703">
        <v>69</v>
      </c>
    </row>
    <row r="82" spans="2:15" ht="22.4" customHeight="1">
      <c r="C82" s="1706"/>
      <c r="D82" s="2367"/>
      <c r="E82" s="2367"/>
      <c r="F82" s="2367"/>
      <c r="G82" s="2367"/>
      <c r="H82" s="2367"/>
      <c r="I82" s="2367"/>
      <c r="J82" s="2367"/>
      <c r="K82" s="2367"/>
      <c r="L82" s="1618"/>
      <c r="M82" s="1618"/>
      <c r="N82" s="1706"/>
      <c r="O82" s="262"/>
    </row>
    <row r="83" spans="2:15" ht="22.4" customHeight="1">
      <c r="B83" s="1707" t="s">
        <v>241</v>
      </c>
      <c r="C83" s="2368"/>
      <c r="D83" s="2368"/>
      <c r="E83" s="2368"/>
      <c r="F83" s="2368"/>
      <c r="G83" s="2368"/>
      <c r="H83" s="2368"/>
      <c r="I83" s="2368"/>
      <c r="J83" s="2368"/>
      <c r="K83" s="2368"/>
      <c r="L83" s="2368"/>
      <c r="M83" s="2368"/>
      <c r="N83" s="1706"/>
      <c r="O83" s="262"/>
    </row>
    <row r="84" spans="2:15" ht="22.4" customHeight="1">
      <c r="B84" s="2369"/>
      <c r="C84" s="2369"/>
      <c r="D84" s="2369"/>
      <c r="E84" s="2369"/>
      <c r="F84" s="2369"/>
      <c r="G84" s="2369"/>
      <c r="H84" s="2369"/>
      <c r="I84" s="2369"/>
      <c r="J84" s="2369"/>
      <c r="K84" s="2369"/>
      <c r="L84" s="2369"/>
      <c r="M84" s="2369"/>
      <c r="N84" s="1706"/>
      <c r="O84" s="262"/>
    </row>
    <row r="85" spans="2:15" ht="22.4" customHeight="1">
      <c r="B85" s="2108"/>
      <c r="C85" s="2108"/>
      <c r="D85" s="2108"/>
      <c r="E85" s="2108"/>
      <c r="F85" s="2108"/>
      <c r="G85" s="2108"/>
      <c r="H85" s="2108"/>
      <c r="I85" s="2108"/>
      <c r="J85" s="2108"/>
      <c r="K85" s="2108"/>
      <c r="L85" s="2108"/>
      <c r="M85" s="2108"/>
      <c r="N85" s="1706"/>
      <c r="O85" s="262"/>
    </row>
    <row r="86" spans="2:15" ht="15.5">
      <c r="B86" s="1708"/>
      <c r="J86" s="1709"/>
    </row>
    <row r="87" spans="2:15" ht="32.15" customHeight="1">
      <c r="B87" s="1708" t="s">
        <v>140</v>
      </c>
      <c r="D87" s="2116"/>
      <c r="E87" s="2116"/>
      <c r="F87" s="2116"/>
      <c r="G87" s="2116"/>
      <c r="J87" s="1709" t="s">
        <v>9</v>
      </c>
      <c r="K87" s="2365"/>
      <c r="L87" s="2365"/>
      <c r="M87" s="2365"/>
    </row>
    <row r="88" spans="2:15" ht="14"/>
    <row r="89" spans="2:15" ht="32.15" customHeight="1">
      <c r="B89" s="1708" t="s">
        <v>5370</v>
      </c>
      <c r="D89" s="2116"/>
      <c r="E89" s="2116"/>
      <c r="F89" s="2116"/>
      <c r="G89" s="2116"/>
      <c r="J89" s="1709" t="s">
        <v>9</v>
      </c>
      <c r="K89" s="2365"/>
      <c r="L89" s="2365"/>
      <c r="M89" s="2365"/>
    </row>
    <row r="90" spans="2:15" ht="14"/>
    <row r="91" spans="2:15" ht="14"/>
    <row r="92" spans="2:15" ht="14"/>
    <row r="93" spans="2:15" ht="14"/>
    <row r="94" spans="2:15" ht="14"/>
    <row r="95" spans="2:15" ht="14"/>
    <row r="96" spans="2:15" ht="14"/>
    <row r="97" ht="14"/>
    <row r="98" ht="14"/>
    <row r="99" ht="14"/>
    <row r="100" ht="14"/>
    <row r="101" ht="14"/>
    <row r="102" ht="14"/>
    <row r="103" ht="14"/>
    <row r="104" ht="14"/>
    <row r="105" ht="14"/>
    <row r="106" ht="14"/>
    <row r="107" ht="14"/>
    <row r="108" ht="14"/>
    <row r="109" ht="14"/>
    <row r="110" ht="14"/>
    <row r="111" ht="14"/>
    <row r="112" ht="14"/>
    <row r="113" ht="14"/>
    <row r="114" ht="14"/>
    <row r="115" ht="14"/>
  </sheetData>
  <mergeCells count="149">
    <mergeCell ref="I50:J50"/>
    <mergeCell ref="K57:L57"/>
    <mergeCell ref="K56:L56"/>
    <mergeCell ref="K55:L55"/>
    <mergeCell ref="K54:L54"/>
    <mergeCell ref="K53:L53"/>
    <mergeCell ref="K52:L52"/>
    <mergeCell ref="K51:L51"/>
    <mergeCell ref="K50:L50"/>
    <mergeCell ref="I55:J55"/>
    <mergeCell ref="I54:J54"/>
    <mergeCell ref="I53:J53"/>
    <mergeCell ref="I52:J52"/>
    <mergeCell ref="I51:J51"/>
    <mergeCell ref="C54:D54"/>
    <mergeCell ref="C53:D53"/>
    <mergeCell ref="C52:D52"/>
    <mergeCell ref="C51:D51"/>
    <mergeCell ref="C50:D50"/>
    <mergeCell ref="F50:G50"/>
    <mergeCell ref="F51:G51"/>
    <mergeCell ref="F52:G52"/>
    <mergeCell ref="F53:G53"/>
    <mergeCell ref="F54:G54"/>
    <mergeCell ref="C35:D35"/>
    <mergeCell ref="F35:G35"/>
    <mergeCell ref="H35:I35"/>
    <mergeCell ref="C6:F6"/>
    <mergeCell ref="J6:M6"/>
    <mergeCell ref="C20:F20"/>
    <mergeCell ref="C22:F22"/>
    <mergeCell ref="J22:M22"/>
    <mergeCell ref="C24:F24"/>
    <mergeCell ref="J24:K24"/>
    <mergeCell ref="C26:F26"/>
    <mergeCell ref="C29:F29"/>
    <mergeCell ref="C31:F31"/>
    <mergeCell ref="C36:D36"/>
    <mergeCell ref="F36:G36"/>
    <mergeCell ref="H36:I36"/>
    <mergeCell ref="C37:D37"/>
    <mergeCell ref="F37:G37"/>
    <mergeCell ref="H37:I37"/>
    <mergeCell ref="C47:D47"/>
    <mergeCell ref="F47:G47"/>
    <mergeCell ref="I47:J47"/>
    <mergeCell ref="C43:D43"/>
    <mergeCell ref="F43:G43"/>
    <mergeCell ref="H43:I43"/>
    <mergeCell ref="C44:D44"/>
    <mergeCell ref="F44:G44"/>
    <mergeCell ref="H44:I44"/>
    <mergeCell ref="H40:I40"/>
    <mergeCell ref="C41:D41"/>
    <mergeCell ref="F41:G41"/>
    <mergeCell ref="H41:I41"/>
    <mergeCell ref="C42:D42"/>
    <mergeCell ref="F42:G42"/>
    <mergeCell ref="H42:I42"/>
    <mergeCell ref="C45:D45"/>
    <mergeCell ref="F45:G45"/>
    <mergeCell ref="K47:L47"/>
    <mergeCell ref="C38:D38"/>
    <mergeCell ref="F38:G38"/>
    <mergeCell ref="H38:I38"/>
    <mergeCell ref="C39:D39"/>
    <mergeCell ref="F39:G39"/>
    <mergeCell ref="H39:I39"/>
    <mergeCell ref="C40:D40"/>
    <mergeCell ref="F40:G40"/>
    <mergeCell ref="H45:I45"/>
    <mergeCell ref="C62:E62"/>
    <mergeCell ref="F62:I62"/>
    <mergeCell ref="K62:L62"/>
    <mergeCell ref="C48:D48"/>
    <mergeCell ref="F48:G48"/>
    <mergeCell ref="I48:J48"/>
    <mergeCell ref="K48:L48"/>
    <mergeCell ref="C49:D49"/>
    <mergeCell ref="F49:G49"/>
    <mergeCell ref="I49:J49"/>
    <mergeCell ref="K49:L49"/>
    <mergeCell ref="F55:G55"/>
    <mergeCell ref="F56:G56"/>
    <mergeCell ref="F57:G57"/>
    <mergeCell ref="I57:J57"/>
    <mergeCell ref="I56:J56"/>
    <mergeCell ref="C61:D61"/>
    <mergeCell ref="E61:F61"/>
    <mergeCell ref="G61:H61"/>
    <mergeCell ref="I61:J61"/>
    <mergeCell ref="K61:L61"/>
    <mergeCell ref="C57:D57"/>
    <mergeCell ref="C56:D56"/>
    <mergeCell ref="C55:D55"/>
    <mergeCell ref="C63:E63"/>
    <mergeCell ref="F63:I63"/>
    <mergeCell ref="K63:L63"/>
    <mergeCell ref="C64:D64"/>
    <mergeCell ref="E64:F64"/>
    <mergeCell ref="G64:H64"/>
    <mergeCell ref="I64:J64"/>
    <mergeCell ref="K64:L64"/>
    <mergeCell ref="F67:H67"/>
    <mergeCell ref="C71:D71"/>
    <mergeCell ref="E71:F71"/>
    <mergeCell ref="G71:H71"/>
    <mergeCell ref="C72:D72"/>
    <mergeCell ref="E72:F72"/>
    <mergeCell ref="G72:H72"/>
    <mergeCell ref="C73:D73"/>
    <mergeCell ref="E73:F73"/>
    <mergeCell ref="G73:H73"/>
    <mergeCell ref="C80:D80"/>
    <mergeCell ref="E80:F80"/>
    <mergeCell ref="G80:H80"/>
    <mergeCell ref="C74:D74"/>
    <mergeCell ref="E74:F74"/>
    <mergeCell ref="G74:H74"/>
    <mergeCell ref="C75:D75"/>
    <mergeCell ref="E75:F75"/>
    <mergeCell ref="G75:H75"/>
    <mergeCell ref="C76:D76"/>
    <mergeCell ref="E76:F76"/>
    <mergeCell ref="G76:H76"/>
    <mergeCell ref="D89:G89"/>
    <mergeCell ref="K89:M89"/>
    <mergeCell ref="B4:H4"/>
    <mergeCell ref="J82:K82"/>
    <mergeCell ref="C83:M83"/>
    <mergeCell ref="B84:M84"/>
    <mergeCell ref="B85:M85"/>
    <mergeCell ref="D87:G87"/>
    <mergeCell ref="K87:M87"/>
    <mergeCell ref="C81:D81"/>
    <mergeCell ref="E81:F81"/>
    <mergeCell ref="G81:H81"/>
    <mergeCell ref="D82:E82"/>
    <mergeCell ref="F82:G82"/>
    <mergeCell ref="H82:I82"/>
    <mergeCell ref="C79:D79"/>
    <mergeCell ref="C77:D77"/>
    <mergeCell ref="E77:F77"/>
    <mergeCell ref="G77:H77"/>
    <mergeCell ref="C78:D78"/>
    <mergeCell ref="E78:F78"/>
    <mergeCell ref="G78:H78"/>
    <mergeCell ref="E79:F79"/>
    <mergeCell ref="G79:H79"/>
  </mergeCells>
  <conditionalFormatting sqref="H48:H57">
    <cfRule type="expression" priority="1">
      <formula>$H$48&lt;&gt;""</formula>
    </cfRule>
  </conditionalFormatting>
  <conditionalFormatting sqref="H48:J57 E48:F57">
    <cfRule type="expression" dxfId="79" priority="2" stopIfTrue="1">
      <formula>E48&lt;&gt;""</formula>
    </cfRule>
  </conditionalFormatting>
  <dataValidations count="1">
    <dataValidation type="list" allowBlank="1" showInputMessage="1" showErrorMessage="1" sqref="C26:F26" xr:uid="{705A14DF-342B-46E0-8653-2801A1A86504}">
      <formula1>"Virtual, On-Site"</formula1>
    </dataValidation>
  </dataValidations>
  <pageMargins left="0.7" right="0.7" top="1.0416666666666666E-2" bottom="0.75" header="0.3" footer="0.3"/>
  <pageSetup scale="51"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471041" r:id="rId4" name="CheckBox1">
          <controlPr defaultSize="0" autoLine="0" r:id="rId5">
            <anchor moveWithCells="1">
              <from>
                <xdr:col>8</xdr:col>
                <xdr:colOff>50800</xdr:colOff>
                <xdr:row>7</xdr:row>
                <xdr:rowOff>0</xdr:rowOff>
              </from>
              <to>
                <xdr:col>10</xdr:col>
                <xdr:colOff>781050</xdr:colOff>
                <xdr:row>8</xdr:row>
                <xdr:rowOff>31750</xdr:rowOff>
              </to>
            </anchor>
          </controlPr>
        </control>
      </mc:Choice>
      <mc:Fallback>
        <control shapeId="471041" r:id="rId4" name="CheckBox1"/>
      </mc:Fallback>
    </mc:AlternateContent>
    <mc:AlternateContent xmlns:mc="http://schemas.openxmlformats.org/markup-compatibility/2006">
      <mc:Choice Requires="x14">
        <control shapeId="471042" r:id="rId6" name="CheckBox2">
          <controlPr defaultSize="0" autoLine="0" r:id="rId7">
            <anchor moveWithCells="1">
              <from>
                <xdr:col>1</xdr:col>
                <xdr:colOff>57150</xdr:colOff>
                <xdr:row>7</xdr:row>
                <xdr:rowOff>0</xdr:rowOff>
              </from>
              <to>
                <xdr:col>4</xdr:col>
                <xdr:colOff>374650</xdr:colOff>
                <xdr:row>8</xdr:row>
                <xdr:rowOff>19050</xdr:rowOff>
              </to>
            </anchor>
          </controlPr>
        </control>
      </mc:Choice>
      <mc:Fallback>
        <control shapeId="471042" r:id="rId6" name="CheckBox2"/>
      </mc:Fallback>
    </mc:AlternateContent>
    <mc:AlternateContent xmlns:mc="http://schemas.openxmlformats.org/markup-compatibility/2006">
      <mc:Choice Requires="x14">
        <control shapeId="471043" r:id="rId8" name="Option Button 3">
          <controlPr defaultSize="0" autoFill="0" autoLine="0" autoPict="0">
            <anchor moveWithCells="1">
              <from>
                <xdr:col>1</xdr:col>
                <xdr:colOff>50800</xdr:colOff>
                <xdr:row>57</xdr:row>
                <xdr:rowOff>57150</xdr:rowOff>
              </from>
              <to>
                <xdr:col>2</xdr:col>
                <xdr:colOff>203200</xdr:colOff>
                <xdr:row>58</xdr:row>
                <xdr:rowOff>12700</xdr:rowOff>
              </to>
            </anchor>
          </controlPr>
        </control>
      </mc:Choice>
    </mc:AlternateContent>
    <mc:AlternateContent xmlns:mc="http://schemas.openxmlformats.org/markup-compatibility/2006">
      <mc:Choice Requires="x14">
        <control shapeId="471044" r:id="rId9" name="Option Button 4">
          <controlPr defaultSize="0" autoFill="0" autoLine="0" autoPict="0">
            <anchor moveWithCells="1">
              <from>
                <xdr:col>1</xdr:col>
                <xdr:colOff>1574800</xdr:colOff>
                <xdr:row>57</xdr:row>
                <xdr:rowOff>57150</xdr:rowOff>
              </from>
              <to>
                <xdr:col>3</xdr:col>
                <xdr:colOff>57150</xdr:colOff>
                <xdr:row>58</xdr:row>
                <xdr:rowOff>0</xdr:rowOff>
              </to>
            </anchor>
          </controlPr>
        </control>
      </mc:Choice>
    </mc:AlternateContent>
    <mc:AlternateContent xmlns:mc="http://schemas.openxmlformats.org/markup-compatibility/2006">
      <mc:Choice Requires="x14">
        <control shapeId="471045" r:id="rId10" name="Group Box 5">
          <controlPr defaultSize="0" autoFill="0" autoPict="0">
            <anchor moveWithCells="1">
              <from>
                <xdr:col>0</xdr:col>
                <xdr:colOff>57150</xdr:colOff>
                <xdr:row>57</xdr:row>
                <xdr:rowOff>0</xdr:rowOff>
              </from>
              <to>
                <xdr:col>4</xdr:col>
                <xdr:colOff>38100</xdr:colOff>
                <xdr:row>81</xdr:row>
                <xdr:rowOff>69850</xdr:rowOff>
              </to>
            </anchor>
          </controlPr>
        </control>
      </mc:Choice>
    </mc:AlternateContent>
    <mc:AlternateContent xmlns:mc="http://schemas.openxmlformats.org/markup-compatibility/2006">
      <mc:Choice Requires="x14">
        <control shapeId="471046" r:id="rId11" name="Group Box 6">
          <controlPr defaultSize="0" autoFill="0" autoPict="0">
            <anchor moveWithCells="1">
              <from>
                <xdr:col>0</xdr:col>
                <xdr:colOff>57150</xdr:colOff>
                <xdr:row>65</xdr:row>
                <xdr:rowOff>114300</xdr:rowOff>
              </from>
              <to>
                <xdr:col>4</xdr:col>
                <xdr:colOff>0</xdr:colOff>
                <xdr:row>83</xdr:row>
                <xdr:rowOff>171450</xdr:rowOff>
              </to>
            </anchor>
          </controlPr>
        </control>
      </mc:Choice>
    </mc:AlternateContent>
    <mc:AlternateContent xmlns:mc="http://schemas.openxmlformats.org/markup-compatibility/2006">
      <mc:Choice Requires="x14">
        <control shapeId="471047" r:id="rId12" name="Check Box 7">
          <controlPr defaultSize="0" autoFill="0" autoLine="0" autoPict="0">
            <anchor moveWithCells="1">
              <from>
                <xdr:col>1</xdr:col>
                <xdr:colOff>107950</xdr:colOff>
                <xdr:row>11</xdr:row>
                <xdr:rowOff>12700</xdr:rowOff>
              </from>
              <to>
                <xdr:col>1</xdr:col>
                <xdr:colOff>698500</xdr:colOff>
                <xdr:row>11</xdr:row>
                <xdr:rowOff>228600</xdr:rowOff>
              </to>
            </anchor>
          </controlPr>
        </control>
      </mc:Choice>
    </mc:AlternateContent>
    <mc:AlternateContent xmlns:mc="http://schemas.openxmlformats.org/markup-compatibility/2006">
      <mc:Choice Requires="x14">
        <control shapeId="471048" r:id="rId13" name="Check Box 8">
          <controlPr defaultSize="0" autoFill="0" autoLine="0" autoPict="0">
            <anchor moveWithCells="1">
              <from>
                <xdr:col>1</xdr:col>
                <xdr:colOff>736600</xdr:colOff>
                <xdr:row>11</xdr:row>
                <xdr:rowOff>12700</xdr:rowOff>
              </from>
              <to>
                <xdr:col>3</xdr:col>
                <xdr:colOff>12700</xdr:colOff>
                <xdr:row>11</xdr:row>
                <xdr:rowOff>260350</xdr:rowOff>
              </to>
            </anchor>
          </controlPr>
        </control>
      </mc:Choice>
    </mc:AlternateContent>
    <mc:AlternateContent xmlns:mc="http://schemas.openxmlformats.org/markup-compatibility/2006">
      <mc:Choice Requires="x14">
        <control shapeId="471049" r:id="rId14" name="Check Box 9">
          <controlPr defaultSize="0" autoFill="0" autoLine="0" autoPict="0">
            <anchor moveWithCells="1">
              <from>
                <xdr:col>1</xdr:col>
                <xdr:colOff>107950</xdr:colOff>
                <xdr:row>13</xdr:row>
                <xdr:rowOff>12700</xdr:rowOff>
              </from>
              <to>
                <xdr:col>1</xdr:col>
                <xdr:colOff>698500</xdr:colOff>
                <xdr:row>13</xdr:row>
                <xdr:rowOff>228600</xdr:rowOff>
              </to>
            </anchor>
          </controlPr>
        </control>
      </mc:Choice>
    </mc:AlternateContent>
    <mc:AlternateContent xmlns:mc="http://schemas.openxmlformats.org/markup-compatibility/2006">
      <mc:Choice Requires="x14">
        <control shapeId="471050" r:id="rId15" name="Check Box 10">
          <controlPr defaultSize="0" autoFill="0" autoLine="0" autoPict="0">
            <anchor moveWithCells="1">
              <from>
                <xdr:col>1</xdr:col>
                <xdr:colOff>736600</xdr:colOff>
                <xdr:row>13</xdr:row>
                <xdr:rowOff>0</xdr:rowOff>
              </from>
              <to>
                <xdr:col>3</xdr:col>
                <xdr:colOff>12700</xdr:colOff>
                <xdr:row>13</xdr:row>
                <xdr:rowOff>247650</xdr:rowOff>
              </to>
            </anchor>
          </controlPr>
        </control>
      </mc:Choice>
    </mc:AlternateContent>
    <mc:AlternateContent xmlns:mc="http://schemas.openxmlformats.org/markup-compatibility/2006">
      <mc:Choice Requires="x14">
        <control shapeId="471051" r:id="rId16" name="Check Box 11">
          <controlPr defaultSize="0" autoFill="0" autoLine="0" autoPict="0">
            <anchor moveWithCells="1">
              <from>
                <xdr:col>1</xdr:col>
                <xdr:colOff>114300</xdr:colOff>
                <xdr:row>15</xdr:row>
                <xdr:rowOff>50800</xdr:rowOff>
              </from>
              <to>
                <xdr:col>1</xdr:col>
                <xdr:colOff>704850</xdr:colOff>
                <xdr:row>15</xdr:row>
                <xdr:rowOff>260350</xdr:rowOff>
              </to>
            </anchor>
          </controlPr>
        </control>
      </mc:Choice>
    </mc:AlternateContent>
    <mc:AlternateContent xmlns:mc="http://schemas.openxmlformats.org/markup-compatibility/2006">
      <mc:Choice Requires="x14">
        <control shapeId="471052" r:id="rId17" name="Check Box 12">
          <controlPr defaultSize="0" autoFill="0" autoLine="0" autoPict="0">
            <anchor moveWithCells="1">
              <from>
                <xdr:col>1</xdr:col>
                <xdr:colOff>736600</xdr:colOff>
                <xdr:row>15</xdr:row>
                <xdr:rowOff>31750</xdr:rowOff>
              </from>
              <to>
                <xdr:col>3</xdr:col>
                <xdr:colOff>19050</xdr:colOff>
                <xdr:row>15</xdr:row>
                <xdr:rowOff>298450</xdr:rowOff>
              </to>
            </anchor>
          </controlPr>
        </control>
      </mc:Choice>
    </mc:AlternateContent>
  </control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AB286-F82B-4F65-93B6-370E05EC13E3}">
  <sheetPr codeName="Sheet40">
    <tabColor theme="4"/>
  </sheetPr>
  <dimension ref="A1:N123"/>
  <sheetViews>
    <sheetView showGridLines="0" zoomScaleNormal="100" workbookViewId="0">
      <selection activeCell="I51" sqref="I51"/>
    </sheetView>
  </sheetViews>
  <sheetFormatPr defaultColWidth="0" defaultRowHeight="14" zeroHeight="1"/>
  <cols>
    <col min="1" max="1" width="3.54296875" style="157" customWidth="1"/>
    <col min="2" max="2" width="15.54296875" style="157" customWidth="1"/>
    <col min="3" max="3" width="8.81640625" style="157" customWidth="1"/>
    <col min="4" max="4" width="9" style="157" customWidth="1"/>
    <col min="5" max="5" width="10.453125" style="157" customWidth="1"/>
    <col min="6" max="6" width="11.54296875" style="157" customWidth="1"/>
    <col min="7" max="7" width="12.453125" style="157" customWidth="1"/>
    <col min="8" max="8" width="14.54296875" style="157" customWidth="1"/>
    <col min="9" max="11" width="8.81640625" style="157" customWidth="1"/>
    <col min="12" max="12" width="14.453125" style="157" customWidth="1"/>
    <col min="13" max="13" width="8.81640625" style="157" customWidth="1"/>
    <col min="14" max="14" width="8.7265625" style="157" customWidth="1"/>
    <col min="15" max="16384" width="8.7265625" style="157" hidden="1"/>
  </cols>
  <sheetData>
    <row r="1" spans="2:14" ht="30">
      <c r="B1" s="1648" t="str">
        <f>'Customer Information'!A1</f>
        <v>2024 Multi-Family Program</v>
      </c>
    </row>
    <row r="2" spans="2:14"/>
    <row r="3" spans="2:14"/>
    <row r="4" spans="2:14" ht="23">
      <c r="B4" s="1715" t="str">
        <f>"In-Unit HVAC Post-Inspection Form, Version "&amp;Version</f>
        <v>In-Unit HVAC Post-Inspection Form, Version 2.0</v>
      </c>
    </row>
    <row r="5" spans="2:14" ht="23.5" customHeight="1"/>
    <row r="6" spans="2:14"/>
    <row r="7" spans="2:14" ht="25.4" customHeight="1">
      <c r="B7" s="157" t="s">
        <v>243</v>
      </c>
      <c r="C7" s="2116"/>
      <c r="D7" s="2116"/>
      <c r="E7" s="2116"/>
      <c r="F7" s="2116"/>
      <c r="H7" s="157" t="s">
        <v>220</v>
      </c>
      <c r="I7" s="2404" t="str">
        <f>IF('Customer Information'!C5="","",'Customer Information'!C5)</f>
        <v/>
      </c>
      <c r="J7" s="2404"/>
      <c r="K7" s="2404"/>
      <c r="L7" s="2404"/>
    </row>
    <row r="8" spans="2:14" ht="8.25" customHeight="1"/>
    <row r="9" spans="2:14" ht="25.5" customHeight="1">
      <c r="B9" s="1604"/>
      <c r="C9" s="1604"/>
      <c r="D9" s="1604"/>
      <c r="E9" s="1604"/>
      <c r="F9" s="1604"/>
      <c r="G9" s="1604"/>
      <c r="H9" s="1604"/>
      <c r="I9" s="1604"/>
      <c r="J9" s="1604"/>
      <c r="K9" s="1604"/>
      <c r="L9" s="1604"/>
      <c r="M9" s="1604"/>
      <c r="N9" s="1604"/>
    </row>
    <row r="10" spans="2:14" ht="8.25" customHeight="1" thickBot="1">
      <c r="B10" s="1604"/>
      <c r="C10" s="1604"/>
      <c r="D10" s="1604"/>
      <c r="E10" s="1604"/>
      <c r="F10" s="1604"/>
      <c r="G10" s="1604"/>
      <c r="H10" s="1604"/>
      <c r="I10" s="1604"/>
      <c r="J10" s="1604"/>
      <c r="K10" s="1604"/>
      <c r="L10" s="1604"/>
      <c r="M10" s="1604"/>
      <c r="N10" s="1604"/>
    </row>
    <row r="11" spans="2:14" ht="25.5" customHeight="1" thickBot="1">
      <c r="B11" s="1651" t="s">
        <v>5337</v>
      </c>
      <c r="C11" s="1652"/>
      <c r="D11" s="1652"/>
      <c r="E11" s="1652"/>
      <c r="F11" s="1652"/>
      <c r="G11" s="1652"/>
      <c r="H11" s="1652"/>
      <c r="I11" s="1652"/>
      <c r="J11" s="1652"/>
      <c r="K11" s="1652"/>
      <c r="L11" s="1652"/>
      <c r="M11" s="1653"/>
      <c r="N11" s="1604"/>
    </row>
    <row r="12" spans="2:14" ht="25.5" customHeight="1">
      <c r="B12" s="1654" t="s">
        <v>5338</v>
      </c>
      <c r="K12" s="186"/>
      <c r="L12" s="186"/>
      <c r="M12" s="1655"/>
      <c r="N12" s="1604"/>
    </row>
    <row r="13" spans="2:14" ht="25.5" customHeight="1">
      <c r="B13" s="1654"/>
      <c r="K13" s="186"/>
      <c r="L13" s="186"/>
      <c r="M13" s="1655"/>
      <c r="N13" s="1604"/>
    </row>
    <row r="14" spans="2:14" ht="25.5" customHeight="1">
      <c r="B14" s="1654" t="s">
        <v>5339</v>
      </c>
      <c r="K14" s="186"/>
      <c r="L14" s="186"/>
      <c r="M14" s="1655"/>
      <c r="N14" s="1604"/>
    </row>
    <row r="15" spans="2:14" ht="25.5" customHeight="1">
      <c r="B15" s="1654"/>
      <c r="K15" s="186"/>
      <c r="L15" s="186"/>
      <c r="M15" s="1655"/>
      <c r="N15" s="1604"/>
    </row>
    <row r="16" spans="2:14" ht="25.5" customHeight="1">
      <c r="B16" s="1654" t="s">
        <v>5340</v>
      </c>
      <c r="K16" s="186"/>
      <c r="L16" s="186"/>
      <c r="M16" s="1655"/>
      <c r="N16" s="1604"/>
    </row>
    <row r="17" spans="2:14" ht="25.5" customHeight="1">
      <c r="B17" s="1654"/>
      <c r="K17" s="186"/>
      <c r="L17" s="186"/>
      <c r="M17" s="1655"/>
      <c r="N17" s="1604"/>
    </row>
    <row r="18" spans="2:14" ht="25.5" customHeight="1" thickBot="1">
      <c r="B18" s="1656" t="s">
        <v>5341</v>
      </c>
      <c r="C18" s="1657"/>
      <c r="D18" s="1657"/>
      <c r="E18" s="1657"/>
      <c r="F18" s="1657"/>
      <c r="G18" s="1657"/>
      <c r="H18" s="1657"/>
      <c r="I18" s="1657"/>
      <c r="J18" s="1657"/>
      <c r="K18" s="1657"/>
      <c r="L18" s="1657"/>
      <c r="M18" s="1658"/>
      <c r="N18" s="1604"/>
    </row>
    <row r="19" spans="2:14" ht="8.25" customHeight="1">
      <c r="B19" s="1604"/>
      <c r="C19" s="1604"/>
      <c r="D19" s="1604"/>
      <c r="E19" s="1604"/>
      <c r="F19" s="1604"/>
      <c r="G19" s="1604"/>
      <c r="H19" s="1604"/>
      <c r="I19" s="1604"/>
      <c r="J19" s="1604"/>
      <c r="K19" s="1604"/>
      <c r="L19" s="1604"/>
      <c r="M19" s="1604"/>
      <c r="N19" s="1604"/>
    </row>
    <row r="20" spans="2:14" ht="25.5" customHeight="1">
      <c r="B20" s="1659" t="s">
        <v>164</v>
      </c>
      <c r="C20" s="1660"/>
      <c r="D20" s="1660"/>
      <c r="E20" s="1660"/>
      <c r="F20" s="1660"/>
      <c r="G20" s="1660"/>
      <c r="H20" s="1660"/>
      <c r="I20" s="1660"/>
      <c r="J20" s="1660"/>
      <c r="K20" s="1660"/>
      <c r="L20" s="1660"/>
      <c r="M20" s="1661"/>
      <c r="N20" s="1661"/>
    </row>
    <row r="21" spans="2:14" ht="25.5" customHeight="1">
      <c r="B21" s="893" t="s">
        <v>5380</v>
      </c>
      <c r="C21" s="2403" t="str">
        <f>IF('Customer Information'!C6="","",'Customer Information'!C6)</f>
        <v/>
      </c>
      <c r="D21" s="2403"/>
      <c r="E21" s="2403"/>
      <c r="F21" s="2403"/>
      <c r="G21" s="893"/>
      <c r="H21" s="1012" t="s">
        <v>5342</v>
      </c>
      <c r="I21" s="2403" t="str">
        <f>IF('Customer Information'!C7="","",'Customer Information'!C7)</f>
        <v/>
      </c>
      <c r="J21" s="2403"/>
      <c r="K21" s="2403"/>
      <c r="L21" s="2403"/>
      <c r="M21" s="1663"/>
      <c r="N21" s="1663"/>
    </row>
    <row r="22" spans="2:14" ht="5.15" customHeight="1">
      <c r="B22" s="761"/>
      <c r="C22" s="724"/>
      <c r="D22" s="724"/>
      <c r="E22" s="724"/>
      <c r="F22" s="724"/>
      <c r="G22" s="761"/>
      <c r="H22" s="1628"/>
      <c r="I22" s="724"/>
      <c r="J22" s="724"/>
      <c r="K22" s="724"/>
      <c r="L22" s="724"/>
      <c r="M22" s="1664"/>
      <c r="N22" s="1664"/>
    </row>
    <row r="23" spans="2:14" ht="25.5" customHeight="1">
      <c r="B23" s="893" t="s">
        <v>5343</v>
      </c>
      <c r="C23" s="2404" t="str">
        <f>IF('Customer Information'!I7="","",'Customer Information'!I7)</f>
        <v/>
      </c>
      <c r="D23" s="2404"/>
      <c r="E23" s="2404"/>
      <c r="F23" s="2404"/>
      <c r="G23" s="893"/>
      <c r="H23" s="1012" t="s">
        <v>5344</v>
      </c>
      <c r="I23" s="2405" t="str">
        <f>IF('Customer Information'!K9="","",'Customer Information'!K9)</f>
        <v/>
      </c>
      <c r="J23" s="2405"/>
      <c r="K23" s="2405"/>
      <c r="L23" s="2405"/>
      <c r="M23" s="1663"/>
      <c r="N23" s="1663"/>
    </row>
    <row r="24" spans="2:14" ht="5.15" customHeight="1">
      <c r="B24" s="761"/>
      <c r="C24" s="724"/>
      <c r="D24" s="724"/>
      <c r="E24" s="724"/>
      <c r="F24" s="724"/>
      <c r="G24" s="761"/>
      <c r="H24" s="1628"/>
      <c r="I24" s="724"/>
      <c r="J24" s="724"/>
      <c r="K24" s="724"/>
      <c r="L24" s="724"/>
      <c r="M24" s="1664"/>
      <c r="N24" s="1664"/>
    </row>
    <row r="25" spans="2:14" ht="25.5" customHeight="1">
      <c r="B25" s="893" t="s">
        <v>5345</v>
      </c>
      <c r="C25" s="2406"/>
      <c r="D25" s="2406"/>
      <c r="E25" s="2406"/>
      <c r="F25" s="2406"/>
      <c r="G25" s="893"/>
      <c r="H25" s="1012" t="s">
        <v>9</v>
      </c>
      <c r="I25" s="2406"/>
      <c r="J25" s="2406"/>
      <c r="K25" s="761"/>
      <c r="L25" s="761"/>
      <c r="M25" s="1663"/>
      <c r="N25" s="1663"/>
    </row>
    <row r="26" spans="2:14" ht="5.15" customHeight="1">
      <c r="B26" s="761"/>
      <c r="C26" s="724"/>
      <c r="D26" s="724"/>
      <c r="E26" s="761"/>
      <c r="F26" s="761"/>
      <c r="G26" s="761"/>
      <c r="H26" s="1628"/>
      <c r="I26" s="724"/>
      <c r="J26" s="724"/>
      <c r="K26" s="761"/>
      <c r="L26" s="761"/>
      <c r="M26" s="1664"/>
      <c r="N26" s="1664"/>
    </row>
    <row r="27" spans="2:14" ht="25.5" customHeight="1">
      <c r="B27" s="893" t="s">
        <v>5346</v>
      </c>
      <c r="C27" s="2406"/>
      <c r="D27" s="2406"/>
      <c r="E27" s="2406"/>
      <c r="F27" s="2406"/>
      <c r="G27" s="761"/>
      <c r="H27" s="1628"/>
      <c r="I27" s="761"/>
      <c r="J27" s="761"/>
      <c r="K27" s="761"/>
      <c r="L27" s="761"/>
      <c r="M27" s="1664"/>
      <c r="N27" s="1664"/>
    </row>
    <row r="28" spans="2:14" ht="25.5" customHeight="1">
      <c r="B28" s="995"/>
      <c r="C28" s="1663"/>
      <c r="D28" s="1663"/>
      <c r="E28" s="1663"/>
      <c r="F28" s="1663"/>
      <c r="G28" s="1663"/>
      <c r="H28" s="1666"/>
      <c r="I28" s="1663"/>
      <c r="J28" s="1663"/>
      <c r="K28" s="1663"/>
      <c r="L28" s="1663"/>
      <c r="M28" s="1663"/>
      <c r="N28" s="1663"/>
    </row>
    <row r="29" spans="2:14" ht="16.5" customHeight="1">
      <c r="B29" s="1659" t="s">
        <v>6</v>
      </c>
      <c r="C29" s="1667"/>
      <c r="D29" s="1667"/>
      <c r="E29" s="1667"/>
      <c r="F29" s="1667"/>
      <c r="G29" s="1667"/>
      <c r="H29" s="1667"/>
      <c r="I29" s="1667"/>
      <c r="J29" s="1667"/>
      <c r="K29" s="1667"/>
      <c r="L29" s="1667"/>
      <c r="M29" s="1668"/>
      <c r="N29" s="1668"/>
    </row>
    <row r="30" spans="2:14" ht="25.5" customHeight="1">
      <c r="B30" s="893" t="s">
        <v>5347</v>
      </c>
      <c r="C30" s="2408" t="str">
        <f>IF('Customer Information'!C21="","",'Customer Information'!C21)</f>
        <v/>
      </c>
      <c r="D30" s="2408"/>
      <c r="E30" s="2408"/>
      <c r="F30" s="2408"/>
      <c r="G30" s="893"/>
      <c r="H30" s="1012" t="s">
        <v>5348</v>
      </c>
      <c r="I30" s="2408" t="str">
        <f>IF('Customer Information'!C23="","",'Customer Information'!C23)</f>
        <v/>
      </c>
      <c r="J30" s="2408"/>
      <c r="K30" s="2408"/>
      <c r="L30" s="2408"/>
      <c r="M30" s="1663"/>
      <c r="N30" s="1663"/>
    </row>
    <row r="31" spans="2:14" ht="5.15" customHeight="1">
      <c r="B31" s="893"/>
      <c r="C31" s="1671"/>
      <c r="D31" s="1671"/>
      <c r="E31" s="1671"/>
      <c r="F31" s="1671"/>
      <c r="G31" s="893"/>
      <c r="H31" s="1012"/>
      <c r="I31" s="1671"/>
      <c r="J31" s="1671"/>
      <c r="K31" s="1671"/>
      <c r="L31" s="1671"/>
      <c r="M31" s="1663"/>
      <c r="N31" s="1663"/>
    </row>
    <row r="32" spans="2:14" ht="25.5" customHeight="1">
      <c r="B32" s="893" t="s">
        <v>5344</v>
      </c>
      <c r="C32" s="2405" t="str">
        <f>IF('Customer Information'!K23="","",'Customer Information'!K23)</f>
        <v/>
      </c>
      <c r="D32" s="2405"/>
      <c r="E32" s="2405"/>
      <c r="F32" s="2405"/>
      <c r="G32" s="893"/>
      <c r="H32" s="1012" t="s">
        <v>226</v>
      </c>
      <c r="I32" s="2404" t="str">
        <f>IF('Customer Information'!L43="","",'Customer Information'!L43)</f>
        <v/>
      </c>
      <c r="J32" s="2404"/>
      <c r="K32" s="2404"/>
      <c r="L32" s="2404"/>
      <c r="M32" s="1663"/>
      <c r="N32" s="1663"/>
    </row>
    <row r="33" spans="2:14" ht="25.5" customHeight="1">
      <c r="B33" s="995"/>
      <c r="C33" s="1663"/>
      <c r="D33" s="1663"/>
      <c r="E33" s="1663"/>
      <c r="F33" s="1663"/>
      <c r="G33" s="1663"/>
      <c r="H33" s="1666"/>
      <c r="I33" s="1663"/>
      <c r="J33" s="1663"/>
      <c r="K33" s="1663"/>
      <c r="L33" s="1663"/>
      <c r="M33" s="1663"/>
      <c r="N33" s="1663"/>
    </row>
    <row r="34" spans="2:14" ht="16.5" customHeight="1">
      <c r="B34" s="1659" t="s">
        <v>5379</v>
      </c>
      <c r="C34" s="1667"/>
      <c r="D34" s="1667"/>
      <c r="E34" s="1667"/>
      <c r="F34" s="1667"/>
      <c r="G34" s="1667"/>
      <c r="H34" s="1667"/>
      <c r="I34" s="1667"/>
      <c r="J34" s="1667"/>
      <c r="K34" s="1667"/>
      <c r="L34" s="1667"/>
      <c r="M34" s="1668"/>
      <c r="N34" s="1668"/>
    </row>
    <row r="35" spans="2:14" ht="16.5" customHeight="1">
      <c r="B35" s="1714"/>
      <c r="C35" s="1673"/>
      <c r="D35" s="1673"/>
      <c r="E35" s="1673"/>
      <c r="F35" s="1673"/>
      <c r="G35" s="1673"/>
      <c r="H35" s="1673"/>
      <c r="I35" s="1673"/>
      <c r="J35" s="1673"/>
      <c r="K35" s="1673"/>
      <c r="L35" s="1673"/>
      <c r="M35" s="1668"/>
      <c r="N35" s="1668"/>
    </row>
    <row r="36" spans="2:14" ht="16.5" customHeight="1">
      <c r="B36" s="1677" t="s">
        <v>5378</v>
      </c>
      <c r="C36" s="1668"/>
      <c r="D36" s="1668"/>
      <c r="E36" s="1668"/>
      <c r="F36" s="1668"/>
      <c r="G36" s="1668"/>
      <c r="H36" s="1668"/>
      <c r="I36" s="1668"/>
      <c r="J36" s="1668"/>
      <c r="K36" s="1668"/>
      <c r="L36" s="1668"/>
      <c r="M36" s="1668"/>
      <c r="N36" s="1668"/>
    </row>
    <row r="37" spans="2:14" ht="26.25" customHeight="1">
      <c r="B37" s="1619" t="s">
        <v>5376</v>
      </c>
      <c r="C37" s="2401" t="s">
        <v>240</v>
      </c>
      <c r="D37" s="2401"/>
      <c r="E37" s="2401" t="s">
        <v>80</v>
      </c>
      <c r="F37" s="2401"/>
      <c r="G37" s="2401" t="s">
        <v>5355</v>
      </c>
      <c r="H37" s="2401"/>
      <c r="I37" s="2401" t="s">
        <v>5375</v>
      </c>
      <c r="J37" s="2401"/>
      <c r="K37" s="2397" t="s">
        <v>5371</v>
      </c>
      <c r="L37" s="2397"/>
      <c r="M37" s="1683"/>
      <c r="N37" s="1683"/>
    </row>
    <row r="38" spans="2:14" ht="25.5" customHeight="1">
      <c r="B38" s="1711">
        <v>1</v>
      </c>
      <c r="C38" s="2415" t="str">
        <f>IF('In Unit HVAC Worksheet'!C61="","",'In Unit HVAC Worksheet'!C61)</f>
        <v>Ducted ccASHP</v>
      </c>
      <c r="D38" s="2416"/>
      <c r="E38" s="2417" t="str">
        <f>IF('In Unit HVAC Worksheet'!C82="","",'In Unit HVAC Worksheet'!C82)</f>
        <v>x</v>
      </c>
      <c r="F38" s="2418"/>
      <c r="G38" s="2417" t="str">
        <f>IF('In Unit HVAC Worksheet'!E82="","",'In Unit HVAC Worksheet'!E82)</f>
        <v>c</v>
      </c>
      <c r="H38" s="2418"/>
      <c r="I38" s="2417" t="str">
        <f>IF('In Unit HVAC Worksheet'!F82="","",'In Unit HVAC Worksheet'!F82)</f>
        <v>v</v>
      </c>
      <c r="J38" s="2418"/>
      <c r="K38" s="2419"/>
      <c r="L38" s="2420"/>
      <c r="M38" s="893"/>
      <c r="N38" s="893"/>
    </row>
    <row r="39" spans="2:14" ht="25.5" customHeight="1">
      <c r="B39" s="1711">
        <f t="shared" ref="B39:B47" si="0">B38+1</f>
        <v>2</v>
      </c>
      <c r="C39" s="2415" t="str">
        <f>IF('In Unit HVAC Worksheet'!C62="","",'In Unit HVAC Worksheet'!C62)</f>
        <v>Ducted ccASHP</v>
      </c>
      <c r="D39" s="2416"/>
      <c r="E39" s="2417" t="str">
        <f>IF('In Unit HVAC Worksheet'!C83="","",'In Unit HVAC Worksheet'!C83)</f>
        <v>z</v>
      </c>
      <c r="F39" s="2418"/>
      <c r="G39" s="2417" t="str">
        <f>IF('In Unit HVAC Worksheet'!E83="","",'In Unit HVAC Worksheet'!E83)</f>
        <v>z</v>
      </c>
      <c r="H39" s="2418"/>
      <c r="I39" s="2417" t="str">
        <f>IF('In Unit HVAC Worksheet'!F83="","",'In Unit HVAC Worksheet'!F83)</f>
        <v>z</v>
      </c>
      <c r="J39" s="2418"/>
      <c r="K39" s="2419"/>
      <c r="L39" s="2420"/>
      <c r="M39" s="893"/>
      <c r="N39" s="893"/>
    </row>
    <row r="40" spans="2:14" ht="25.5" customHeight="1">
      <c r="B40" s="1711">
        <f t="shared" si="0"/>
        <v>3</v>
      </c>
      <c r="C40" s="2415" t="str">
        <f>IF('In Unit HVAC Worksheet'!C63="","",'In Unit HVAC Worksheet'!C63)</f>
        <v/>
      </c>
      <c r="D40" s="2416"/>
      <c r="E40" s="2417" t="str">
        <f>IF('In Unit HVAC Worksheet'!C84="","",'In Unit HVAC Worksheet'!C84)</f>
        <v/>
      </c>
      <c r="F40" s="2418"/>
      <c r="G40" s="2417" t="str">
        <f>IF('In Unit HVAC Worksheet'!E84="","",'In Unit HVAC Worksheet'!E84)</f>
        <v/>
      </c>
      <c r="H40" s="2418"/>
      <c r="I40" s="2417" t="str">
        <f>IF('In Unit HVAC Worksheet'!F84="","",'In Unit HVAC Worksheet'!F84)</f>
        <v/>
      </c>
      <c r="J40" s="2418"/>
      <c r="K40" s="2419"/>
      <c r="L40" s="2420"/>
      <c r="M40" s="893"/>
      <c r="N40" s="893"/>
    </row>
    <row r="41" spans="2:14" ht="25.5" customHeight="1">
      <c r="B41" s="1711">
        <f t="shared" si="0"/>
        <v>4</v>
      </c>
      <c r="C41" s="2415" t="str">
        <f>IF('In Unit HVAC Worksheet'!C64="","",'In Unit HVAC Worksheet'!C64)</f>
        <v/>
      </c>
      <c r="D41" s="2416"/>
      <c r="E41" s="2417" t="str">
        <f>IF('In Unit HVAC Worksheet'!C85="","",'In Unit HVAC Worksheet'!C85)</f>
        <v/>
      </c>
      <c r="F41" s="2418"/>
      <c r="G41" s="2417" t="str">
        <f>IF('In Unit HVAC Worksheet'!E85="","",'In Unit HVAC Worksheet'!E85)</f>
        <v/>
      </c>
      <c r="H41" s="2418"/>
      <c r="I41" s="2417" t="str">
        <f>IF('In Unit HVAC Worksheet'!F85="","",'In Unit HVAC Worksheet'!F85)</f>
        <v/>
      </c>
      <c r="J41" s="2418"/>
      <c r="K41" s="2419"/>
      <c r="L41" s="2420"/>
      <c r="M41" s="893"/>
      <c r="N41" s="893"/>
    </row>
    <row r="42" spans="2:14" ht="25.5" customHeight="1">
      <c r="B42" s="1711">
        <f t="shared" si="0"/>
        <v>5</v>
      </c>
      <c r="C42" s="2415" t="str">
        <f>IF('In Unit HVAC Worksheet'!C65="","",'In Unit HVAC Worksheet'!C65)</f>
        <v/>
      </c>
      <c r="D42" s="2416"/>
      <c r="E42" s="2417" t="str">
        <f>IF('In Unit HVAC Worksheet'!C86="","",'In Unit HVAC Worksheet'!C86)</f>
        <v/>
      </c>
      <c r="F42" s="2418"/>
      <c r="G42" s="2417" t="str">
        <f>IF('In Unit HVAC Worksheet'!E86="","",'In Unit HVAC Worksheet'!E86)</f>
        <v/>
      </c>
      <c r="H42" s="2418"/>
      <c r="I42" s="2417" t="str">
        <f>IF('In Unit HVAC Worksheet'!F86="","",'In Unit HVAC Worksheet'!F86)</f>
        <v/>
      </c>
      <c r="J42" s="2418"/>
      <c r="K42" s="2419"/>
      <c r="L42" s="2420"/>
      <c r="M42" s="893"/>
      <c r="N42" s="893"/>
    </row>
    <row r="43" spans="2:14" ht="25.5" customHeight="1">
      <c r="B43" s="1711">
        <f t="shared" si="0"/>
        <v>6</v>
      </c>
      <c r="C43" s="2415" t="str">
        <f>IF('In Unit HVAC Worksheet'!C66="","",'In Unit HVAC Worksheet'!C66)</f>
        <v/>
      </c>
      <c r="D43" s="2416"/>
      <c r="E43" s="2417" t="str">
        <f>IF('In Unit HVAC Worksheet'!C87="","",'In Unit HVAC Worksheet'!C87)</f>
        <v/>
      </c>
      <c r="F43" s="2418"/>
      <c r="G43" s="2417" t="str">
        <f>IF('In Unit HVAC Worksheet'!E87="","",'In Unit HVAC Worksheet'!E87)</f>
        <v/>
      </c>
      <c r="H43" s="2418"/>
      <c r="I43" s="2417" t="str">
        <f>IF('In Unit HVAC Worksheet'!F87="","",'In Unit HVAC Worksheet'!F87)</f>
        <v/>
      </c>
      <c r="J43" s="2418"/>
      <c r="K43" s="2419"/>
      <c r="L43" s="2420"/>
      <c r="M43" s="893"/>
      <c r="N43" s="893"/>
    </row>
    <row r="44" spans="2:14" ht="25.5" customHeight="1">
      <c r="B44" s="1711">
        <f t="shared" si="0"/>
        <v>7</v>
      </c>
      <c r="C44" s="2415" t="str">
        <f>IF('In Unit HVAC Worksheet'!C67="","",'In Unit HVAC Worksheet'!C67)</f>
        <v/>
      </c>
      <c r="D44" s="2416"/>
      <c r="E44" s="2417" t="str">
        <f>IF('In Unit HVAC Worksheet'!C88="","",'In Unit HVAC Worksheet'!C88)</f>
        <v/>
      </c>
      <c r="F44" s="2418"/>
      <c r="G44" s="2417" t="str">
        <f>IF('In Unit HVAC Worksheet'!E88="","",'In Unit HVAC Worksheet'!E88)</f>
        <v/>
      </c>
      <c r="H44" s="2418"/>
      <c r="I44" s="2417" t="str">
        <f>IF('In Unit HVAC Worksheet'!F88="","",'In Unit HVAC Worksheet'!F88)</f>
        <v/>
      </c>
      <c r="J44" s="2418"/>
      <c r="K44" s="2419"/>
      <c r="L44" s="2420"/>
      <c r="M44" s="893"/>
      <c r="N44" s="893"/>
    </row>
    <row r="45" spans="2:14" ht="30.65" customHeight="1">
      <c r="B45" s="1711">
        <f t="shared" si="0"/>
        <v>8</v>
      </c>
      <c r="C45" s="2415" t="str">
        <f>IF('In Unit HVAC Worksheet'!C68="","",'In Unit HVAC Worksheet'!C68)</f>
        <v/>
      </c>
      <c r="D45" s="2416"/>
      <c r="E45" s="2417" t="str">
        <f>IF('In Unit HVAC Worksheet'!C89="","",'In Unit HVAC Worksheet'!C89)</f>
        <v/>
      </c>
      <c r="F45" s="2418"/>
      <c r="G45" s="2417" t="str">
        <f>IF('In Unit HVAC Worksheet'!E89="","",'In Unit HVAC Worksheet'!E89)</f>
        <v/>
      </c>
      <c r="H45" s="2418"/>
      <c r="I45" s="2417" t="str">
        <f>IF('In Unit HVAC Worksheet'!F89="","",'In Unit HVAC Worksheet'!F89)</f>
        <v/>
      </c>
      <c r="J45" s="2418"/>
      <c r="K45" s="2419"/>
      <c r="L45" s="2420"/>
      <c r="M45" s="893"/>
      <c r="N45" s="893"/>
    </row>
    <row r="46" spans="2:14" ht="25.5" customHeight="1">
      <c r="B46" s="1711">
        <f t="shared" si="0"/>
        <v>9</v>
      </c>
      <c r="C46" s="2415" t="str">
        <f>IF('In Unit HVAC Worksheet'!C69="","",'In Unit HVAC Worksheet'!C69)</f>
        <v/>
      </c>
      <c r="D46" s="2416"/>
      <c r="E46" s="2417" t="str">
        <f>IF('In Unit HVAC Worksheet'!C90="","",'In Unit HVAC Worksheet'!C90)</f>
        <v/>
      </c>
      <c r="F46" s="2418"/>
      <c r="G46" s="2417" t="str">
        <f>IF('In Unit HVAC Worksheet'!E90="","",'In Unit HVAC Worksheet'!E90)</f>
        <v/>
      </c>
      <c r="H46" s="2418"/>
      <c r="I46" s="2417" t="str">
        <f>IF('In Unit HVAC Worksheet'!F90="","",'In Unit HVAC Worksheet'!F90)</f>
        <v/>
      </c>
      <c r="J46" s="2418"/>
      <c r="K46" s="2419"/>
      <c r="L46" s="2420"/>
      <c r="M46" s="893"/>
      <c r="N46" s="893"/>
    </row>
    <row r="47" spans="2:14" ht="25.5" customHeight="1">
      <c r="B47" s="1711">
        <f t="shared" si="0"/>
        <v>10</v>
      </c>
      <c r="C47" s="2415" t="str">
        <f>IF('In Unit HVAC Worksheet'!C70="","",'In Unit HVAC Worksheet'!C70)</f>
        <v/>
      </c>
      <c r="D47" s="2416"/>
      <c r="E47" s="2417" t="str">
        <f>IF('In Unit HVAC Worksheet'!C91="","",'In Unit HVAC Worksheet'!C91)</f>
        <v/>
      </c>
      <c r="F47" s="2418"/>
      <c r="G47" s="2417" t="str">
        <f>IF('In Unit HVAC Worksheet'!E91="","",'In Unit HVAC Worksheet'!E91)</f>
        <v/>
      </c>
      <c r="H47" s="2418"/>
      <c r="I47" s="2417" t="str">
        <f>IF('In Unit HVAC Worksheet'!F91="","",'In Unit HVAC Worksheet'!F91)</f>
        <v/>
      </c>
      <c r="J47" s="2418"/>
      <c r="K47" s="2419"/>
      <c r="L47" s="2420"/>
      <c r="M47" s="893"/>
      <c r="N47" s="893"/>
    </row>
    <row r="48" spans="2:14" ht="21.75" customHeight="1">
      <c r="B48" s="1687"/>
      <c r="C48" s="1687"/>
      <c r="D48" s="262"/>
      <c r="E48" s="262"/>
      <c r="F48" s="262"/>
      <c r="G48" s="262"/>
      <c r="H48" s="262"/>
      <c r="I48" s="262"/>
      <c r="J48" s="262"/>
      <c r="K48" s="262"/>
      <c r="L48" s="262"/>
      <c r="M48" s="262"/>
      <c r="N48" s="262"/>
    </row>
    <row r="49" spans="2:14" ht="11.5" customHeight="1">
      <c r="B49" s="1687"/>
      <c r="C49" s="1687"/>
      <c r="D49" s="262"/>
      <c r="E49" s="262"/>
      <c r="F49" s="262"/>
      <c r="G49" s="262"/>
      <c r="H49" s="262"/>
      <c r="I49" s="262"/>
      <c r="J49" s="262"/>
      <c r="K49" s="262"/>
      <c r="L49" s="262"/>
      <c r="M49" s="262"/>
      <c r="N49" s="262"/>
    </row>
    <row r="50" spans="2:14" ht="21.75" customHeight="1">
      <c r="B50" s="2421" t="s">
        <v>5377</v>
      </c>
      <c r="C50" s="2421"/>
      <c r="D50" s="2108"/>
      <c r="E50" s="2108"/>
      <c r="F50" s="2108"/>
      <c r="G50" s="2108"/>
      <c r="J50" s="2377"/>
      <c r="K50" s="2377"/>
      <c r="L50" s="2377"/>
      <c r="M50" s="262"/>
      <c r="N50" s="262"/>
    </row>
    <row r="51" spans="2:14" ht="21.75" customHeight="1">
      <c r="B51" s="1713"/>
      <c r="C51" s="1713"/>
      <c r="D51" s="1698"/>
      <c r="E51" s="1698"/>
      <c r="F51" s="1698"/>
      <c r="G51" s="1698"/>
      <c r="H51" s="1712"/>
      <c r="I51" s="1712"/>
      <c r="J51" s="1698"/>
      <c r="K51" s="1698"/>
      <c r="L51" s="1698"/>
      <c r="M51" s="262"/>
      <c r="N51" s="262"/>
    </row>
    <row r="52" spans="2:14" ht="21.75" customHeight="1">
      <c r="B52" s="2422" t="s">
        <v>1037</v>
      </c>
      <c r="C52" s="2422"/>
      <c r="D52" s="1698"/>
      <c r="E52" s="1698"/>
      <c r="F52" s="1698"/>
      <c r="G52" s="1698"/>
      <c r="H52" s="1712"/>
      <c r="I52" s="1712"/>
      <c r="J52" s="1698"/>
      <c r="K52" s="1698"/>
      <c r="L52" s="1698"/>
      <c r="M52" s="262"/>
      <c r="N52" s="262"/>
    </row>
    <row r="53" spans="2:14" ht="21.75" customHeight="1">
      <c r="B53" s="1619" t="s">
        <v>5376</v>
      </c>
      <c r="C53" s="2401" t="s">
        <v>240</v>
      </c>
      <c r="D53" s="2401"/>
      <c r="E53" s="2401" t="s">
        <v>80</v>
      </c>
      <c r="F53" s="2401"/>
      <c r="G53" s="2401" t="s">
        <v>5355</v>
      </c>
      <c r="H53" s="2401"/>
      <c r="I53" s="2401" t="s">
        <v>5375</v>
      </c>
      <c r="J53" s="2401"/>
      <c r="K53" s="2397" t="s">
        <v>5371</v>
      </c>
      <c r="L53" s="2397"/>
      <c r="M53" s="262"/>
      <c r="N53" s="262"/>
    </row>
    <row r="54" spans="2:14" ht="31.5" customHeight="1">
      <c r="B54" s="1711">
        <v>1</v>
      </c>
      <c r="C54" s="2409" t="str">
        <f>IF('Integrated Controls'!C17="","",'Integrated Controls'!C17)</f>
        <v/>
      </c>
      <c r="D54" s="2410"/>
      <c r="E54" s="2413" t="str">
        <f>IF('Integrated Controls'!D17="","",'Integrated Controls'!D17)</f>
        <v/>
      </c>
      <c r="F54" s="2414"/>
      <c r="G54" s="2413" t="str">
        <f>IF('Integrated Controls'!F17="","",'Integrated Controls'!F17)</f>
        <v/>
      </c>
      <c r="H54" s="2414"/>
      <c r="I54" s="2413" t="str">
        <f>IF('Integrated Controls'!G17="","",'Integrated Controls'!G17)</f>
        <v/>
      </c>
      <c r="J54" s="2414"/>
      <c r="K54" s="2411"/>
      <c r="L54" s="2412"/>
      <c r="M54" s="262"/>
      <c r="N54" s="262"/>
    </row>
    <row r="55" spans="2:14" ht="31.5" customHeight="1">
      <c r="B55" s="1711">
        <v>2</v>
      </c>
      <c r="C55" s="2409" t="str">
        <f>IF('Integrated Controls'!C18="","",'Integrated Controls'!C18)</f>
        <v/>
      </c>
      <c r="D55" s="2410"/>
      <c r="E55" s="2413" t="str">
        <f>IF('Integrated Controls'!D18="","",'Integrated Controls'!D18)</f>
        <v/>
      </c>
      <c r="F55" s="2414"/>
      <c r="G55" s="2413" t="str">
        <f>IF('Integrated Controls'!F18="","",'Integrated Controls'!F18)</f>
        <v/>
      </c>
      <c r="H55" s="2414"/>
      <c r="I55" s="2413" t="str">
        <f>IF('Integrated Controls'!G18="","",'Integrated Controls'!G18)</f>
        <v/>
      </c>
      <c r="J55" s="2414"/>
      <c r="K55" s="2411"/>
      <c r="L55" s="2412"/>
      <c r="M55" s="262"/>
      <c r="N55" s="262"/>
    </row>
    <row r="56" spans="2:14" ht="21.75" customHeight="1">
      <c r="B56" s="1687"/>
      <c r="C56" s="1687"/>
      <c r="D56" s="262"/>
      <c r="E56" s="262"/>
      <c r="F56" s="262"/>
      <c r="G56" s="262"/>
      <c r="H56" s="262"/>
      <c r="I56" s="262"/>
      <c r="J56" s="262"/>
      <c r="K56" s="262"/>
      <c r="L56" s="262"/>
      <c r="M56" s="262"/>
      <c r="N56" s="262"/>
    </row>
    <row r="57" spans="2:14">
      <c r="B57" s="1677" t="s">
        <v>296</v>
      </c>
      <c r="C57" s="1687"/>
      <c r="D57" s="262"/>
      <c r="E57" s="262"/>
      <c r="F57" s="262"/>
      <c r="G57" s="262"/>
      <c r="H57" s="262"/>
      <c r="I57" s="262"/>
      <c r="J57" s="262"/>
      <c r="K57" s="262"/>
      <c r="L57" s="262"/>
      <c r="M57" s="262"/>
      <c r="N57" s="262"/>
    </row>
    <row r="58" spans="2:14" ht="27.65" customHeight="1">
      <c r="B58" s="1619" t="s">
        <v>5376</v>
      </c>
      <c r="C58" s="2401" t="s">
        <v>240</v>
      </c>
      <c r="D58" s="2401"/>
      <c r="E58" s="2401" t="s">
        <v>80</v>
      </c>
      <c r="F58" s="2401"/>
      <c r="G58" s="2401" t="s">
        <v>5355</v>
      </c>
      <c r="H58" s="2401"/>
      <c r="I58" s="2401" t="s">
        <v>5375</v>
      </c>
      <c r="J58" s="2401"/>
      <c r="K58" s="2397" t="s">
        <v>5371</v>
      </c>
      <c r="L58" s="2397"/>
      <c r="M58" s="262"/>
      <c r="N58" s="262"/>
    </row>
    <row r="59" spans="2:14" ht="21.75" customHeight="1">
      <c r="B59" s="1711">
        <v>1</v>
      </c>
      <c r="C59" s="2409" t="str">
        <f>IF('Smart T-Stats'!L21&lt;&gt;"","Smart Thermostat","")</f>
        <v>Smart Thermostat</v>
      </c>
      <c r="D59" s="2410"/>
      <c r="E59" s="2409" t="str">
        <f>IF($C59="","",'Smart T-Stats'!B21)</f>
        <v>Google Nest</v>
      </c>
      <c r="F59" s="2410"/>
      <c r="G59" s="2409" t="str">
        <f>IF($C59="","",'Smart T-Stats'!D21)</f>
        <v>Google Nest Learning Thermostat</v>
      </c>
      <c r="H59" s="2410"/>
      <c r="I59" s="2409">
        <f>IF($C59="","",'Smart T-Stats'!F21)</f>
        <v>12345</v>
      </c>
      <c r="J59" s="2410"/>
      <c r="K59" s="2411"/>
      <c r="L59" s="2412"/>
      <c r="M59" s="262"/>
      <c r="N59" s="262"/>
    </row>
    <row r="60" spans="2:14" ht="21.75" customHeight="1">
      <c r="B60" s="1711">
        <f t="shared" ref="B60:B69" si="1">B59+1</f>
        <v>2</v>
      </c>
      <c r="C60" s="2409" t="str">
        <f>IF('Smart T-Stats'!L22&lt;&gt;"","Smart Thermostat","")</f>
        <v>Smart Thermostat</v>
      </c>
      <c r="D60" s="2410"/>
      <c r="E60" s="2409" t="str">
        <f>IF($C60="","",'Smart T-Stats'!B22)</f>
        <v>Google Nest</v>
      </c>
      <c r="F60" s="2410"/>
      <c r="G60" s="2409" t="str">
        <f>IF($C60="","",'Smart T-Stats'!D22)</f>
        <v>Google Nest Learning Thermostat</v>
      </c>
      <c r="H60" s="2410"/>
      <c r="I60" s="2409">
        <f>IF($C60="","",'Smart T-Stats'!F22)</f>
        <v>54321</v>
      </c>
      <c r="J60" s="2410"/>
      <c r="K60" s="2411"/>
      <c r="L60" s="2412"/>
      <c r="M60" s="262"/>
      <c r="N60" s="262"/>
    </row>
    <row r="61" spans="2:14" ht="21.75" customHeight="1">
      <c r="B61" s="1711">
        <f t="shared" si="1"/>
        <v>3</v>
      </c>
      <c r="C61" s="2409" t="str">
        <f>IF('Smart T-Stats'!L23&lt;&gt;"","Smart Thermostat","")</f>
        <v/>
      </c>
      <c r="D61" s="2410"/>
      <c r="E61" s="2409" t="str">
        <f>IF($C61="","",'Smart T-Stats'!B23)</f>
        <v/>
      </c>
      <c r="F61" s="2410"/>
      <c r="G61" s="2409" t="str">
        <f>IF($C61="","",'Smart T-Stats'!D23)</f>
        <v/>
      </c>
      <c r="H61" s="2410"/>
      <c r="I61" s="2409" t="str">
        <f>IF($C61="","",'Smart T-Stats'!F23)</f>
        <v/>
      </c>
      <c r="J61" s="2410"/>
      <c r="K61" s="2411"/>
      <c r="L61" s="2412"/>
      <c r="M61" s="262"/>
      <c r="N61" s="262"/>
    </row>
    <row r="62" spans="2:14" ht="21.75" customHeight="1">
      <c r="B62" s="1711">
        <f t="shared" si="1"/>
        <v>4</v>
      </c>
      <c r="C62" s="2409" t="str">
        <f>IF('Smart T-Stats'!L24&lt;&gt;"","Smart Thermostat","")</f>
        <v/>
      </c>
      <c r="D62" s="2410"/>
      <c r="E62" s="2409" t="str">
        <f>IF($C62="","",'Smart T-Stats'!B24)</f>
        <v/>
      </c>
      <c r="F62" s="2410"/>
      <c r="G62" s="2409" t="str">
        <f>IF($C62="","",'Smart T-Stats'!D24)</f>
        <v/>
      </c>
      <c r="H62" s="2410"/>
      <c r="I62" s="2409" t="str">
        <f>IF($C62="","",'Smart T-Stats'!F24)</f>
        <v/>
      </c>
      <c r="J62" s="2410"/>
      <c r="K62" s="2411"/>
      <c r="L62" s="2412"/>
      <c r="M62" s="262"/>
      <c r="N62" s="262"/>
    </row>
    <row r="63" spans="2:14" ht="21.75" customHeight="1">
      <c r="B63" s="1711">
        <f t="shared" si="1"/>
        <v>5</v>
      </c>
      <c r="C63" s="2409" t="str">
        <f>IF('Smart T-Stats'!L25&lt;&gt;"","Smart Thermostat","")</f>
        <v/>
      </c>
      <c r="D63" s="2410"/>
      <c r="E63" s="2409" t="str">
        <f>IF($C63="","",'Smart T-Stats'!B25)</f>
        <v/>
      </c>
      <c r="F63" s="2410"/>
      <c r="G63" s="2409" t="str">
        <f>IF($C63="","",'Smart T-Stats'!D25)</f>
        <v/>
      </c>
      <c r="H63" s="2410"/>
      <c r="I63" s="2409" t="str">
        <f>IF($C63="","",'Smart T-Stats'!F25)</f>
        <v/>
      </c>
      <c r="J63" s="2410"/>
      <c r="K63" s="2411"/>
      <c r="L63" s="2412"/>
      <c r="M63" s="262"/>
      <c r="N63" s="262"/>
    </row>
    <row r="64" spans="2:14" ht="21.75" customHeight="1">
      <c r="B64" s="1711">
        <f t="shared" si="1"/>
        <v>6</v>
      </c>
      <c r="C64" s="2409" t="str">
        <f>IF('Smart T-Stats'!L26&lt;&gt;"","Smart Thermostat","")</f>
        <v/>
      </c>
      <c r="D64" s="2410"/>
      <c r="E64" s="2409" t="str">
        <f>IF($C64="","",'Smart T-Stats'!B26)</f>
        <v/>
      </c>
      <c r="F64" s="2410"/>
      <c r="G64" s="2409" t="str">
        <f>IF($C64="","",'Smart T-Stats'!D26)</f>
        <v/>
      </c>
      <c r="H64" s="2410"/>
      <c r="I64" s="2409" t="str">
        <f>IF($C64="","",'Smart T-Stats'!F26)</f>
        <v/>
      </c>
      <c r="J64" s="2410"/>
      <c r="K64" s="2411"/>
      <c r="L64" s="2412"/>
      <c r="M64" s="262"/>
      <c r="N64" s="262"/>
    </row>
    <row r="65" spans="2:14" ht="21.75" customHeight="1">
      <c r="B65" s="1711">
        <f t="shared" si="1"/>
        <v>7</v>
      </c>
      <c r="C65" s="2409" t="str">
        <f>IF('Smart T-Stats'!L27&lt;&gt;"","Smart Thermostat","")</f>
        <v/>
      </c>
      <c r="D65" s="2410"/>
      <c r="E65" s="2409" t="str">
        <f>IF($C65="","",'Smart T-Stats'!B27)</f>
        <v/>
      </c>
      <c r="F65" s="2410"/>
      <c r="G65" s="2409" t="str">
        <f>IF($C65="","",'Smart T-Stats'!D27)</f>
        <v/>
      </c>
      <c r="H65" s="2410"/>
      <c r="I65" s="2409" t="str">
        <f>IF($C65="","",'Smart T-Stats'!F27)</f>
        <v/>
      </c>
      <c r="J65" s="2410"/>
      <c r="K65" s="2411"/>
      <c r="L65" s="2412"/>
      <c r="M65" s="262"/>
      <c r="N65" s="262"/>
    </row>
    <row r="66" spans="2:14" ht="21.75" customHeight="1">
      <c r="B66" s="1711">
        <f t="shared" si="1"/>
        <v>8</v>
      </c>
      <c r="C66" s="2409" t="str">
        <f>IF('Smart T-Stats'!L28&lt;&gt;"","Smart Thermostat","")</f>
        <v/>
      </c>
      <c r="D66" s="2410"/>
      <c r="E66" s="2409" t="str">
        <f>IF($C66="","",'Smart T-Stats'!B28)</f>
        <v/>
      </c>
      <c r="F66" s="2410"/>
      <c r="G66" s="2409" t="str">
        <f>IF($C66="","",'Smart T-Stats'!D28)</f>
        <v/>
      </c>
      <c r="H66" s="2410"/>
      <c r="I66" s="2409" t="str">
        <f>IF($C66="","",'Smart T-Stats'!F28)</f>
        <v/>
      </c>
      <c r="J66" s="2410"/>
      <c r="K66" s="2411"/>
      <c r="L66" s="2412"/>
      <c r="M66" s="262"/>
      <c r="N66" s="262"/>
    </row>
    <row r="67" spans="2:14" ht="21.75" customHeight="1">
      <c r="B67" s="1711">
        <f t="shared" si="1"/>
        <v>9</v>
      </c>
      <c r="C67" s="2409" t="str">
        <f>IF('Smart T-Stats'!L29&lt;&gt;"","Smart Thermostat","")</f>
        <v/>
      </c>
      <c r="D67" s="2410"/>
      <c r="E67" s="2409" t="str">
        <f>IF($C67="","",'Smart T-Stats'!B29)</f>
        <v/>
      </c>
      <c r="F67" s="2410"/>
      <c r="G67" s="2409" t="str">
        <f>IF($C67="","",'Smart T-Stats'!D29)</f>
        <v/>
      </c>
      <c r="H67" s="2410"/>
      <c r="I67" s="2409" t="str">
        <f>IF($C67="","",'Smart T-Stats'!F29)</f>
        <v/>
      </c>
      <c r="J67" s="2410"/>
      <c r="K67" s="2411"/>
      <c r="L67" s="2412"/>
      <c r="M67" s="262"/>
      <c r="N67" s="262"/>
    </row>
    <row r="68" spans="2:14" ht="21.75" customHeight="1">
      <c r="B68" s="1711">
        <f t="shared" si="1"/>
        <v>10</v>
      </c>
      <c r="C68" s="2409" t="str">
        <f>IF('Smart T-Stats'!L30&lt;&gt;"","Smart Thermostat","")</f>
        <v/>
      </c>
      <c r="D68" s="2410"/>
      <c r="E68" s="2409" t="str">
        <f>IF($C68="","",'Smart T-Stats'!B30)</f>
        <v/>
      </c>
      <c r="F68" s="2410"/>
      <c r="G68" s="2409" t="str">
        <f>IF($C68="","",'Smart T-Stats'!D30)</f>
        <v/>
      </c>
      <c r="H68" s="2410"/>
      <c r="I68" s="2409" t="str">
        <f>IF($C68="","",'Smart T-Stats'!F30)</f>
        <v/>
      </c>
      <c r="J68" s="2410"/>
      <c r="K68" s="2411"/>
      <c r="L68" s="2412"/>
      <c r="M68" s="262"/>
      <c r="N68" s="262"/>
    </row>
    <row r="69" spans="2:14" ht="21.75" customHeight="1">
      <c r="B69" s="1711">
        <f t="shared" si="1"/>
        <v>11</v>
      </c>
      <c r="C69" s="2409" t="str">
        <f>IF('Smart T-Stats'!L31&lt;&gt;"","Smart Thermostat","")</f>
        <v/>
      </c>
      <c r="D69" s="2410"/>
      <c r="E69" s="2409" t="str">
        <f>IF($C69="","",'Smart T-Stats'!B31)</f>
        <v/>
      </c>
      <c r="F69" s="2410"/>
      <c r="G69" s="2409" t="str">
        <f>IF($C69="","",'Smart T-Stats'!D31)</f>
        <v/>
      </c>
      <c r="H69" s="2410"/>
      <c r="I69" s="2409" t="str">
        <f>IF($C69="","",'Smart T-Stats'!F31)</f>
        <v/>
      </c>
      <c r="J69" s="2410"/>
      <c r="K69" s="2411"/>
      <c r="L69" s="2412"/>
      <c r="M69" s="262"/>
      <c r="N69" s="262"/>
    </row>
    <row r="70" spans="2:14" ht="21.75" customHeight="1">
      <c r="B70" s="1687"/>
      <c r="C70" s="1687"/>
      <c r="D70" s="262"/>
      <c r="E70" s="262"/>
      <c r="F70" s="262"/>
      <c r="G70" s="262"/>
      <c r="H70" s="262"/>
      <c r="I70" s="262"/>
      <c r="J70" s="262"/>
      <c r="K70" s="262"/>
      <c r="L70" s="262"/>
      <c r="M70" s="262"/>
      <c r="N70" s="262"/>
    </row>
    <row r="71" spans="2:14" ht="21.75" hidden="1" customHeight="1">
      <c r="B71" s="1677" t="s">
        <v>4145</v>
      </c>
      <c r="C71" s="1687"/>
      <c r="D71" s="262"/>
      <c r="E71" s="262"/>
      <c r="F71" s="262"/>
      <c r="G71" s="262"/>
      <c r="H71" s="262"/>
      <c r="I71" s="262"/>
      <c r="J71" s="262"/>
      <c r="K71" s="262"/>
      <c r="L71" s="262"/>
      <c r="M71" s="262"/>
      <c r="N71" s="262"/>
    </row>
    <row r="72" spans="2:14" ht="21.75" hidden="1" customHeight="1">
      <c r="B72" s="2386" t="s">
        <v>240</v>
      </c>
      <c r="C72" s="2386"/>
      <c r="D72" s="2386"/>
      <c r="E72" s="2401" t="s">
        <v>80</v>
      </c>
      <c r="F72" s="2401"/>
      <c r="G72" s="2401" t="s">
        <v>5355</v>
      </c>
      <c r="H72" s="2401"/>
      <c r="I72" s="2401" t="s">
        <v>5375</v>
      </c>
      <c r="J72" s="2401"/>
      <c r="K72" s="2397" t="s">
        <v>5371</v>
      </c>
      <c r="L72" s="2397"/>
      <c r="M72" s="262"/>
      <c r="N72" s="262"/>
    </row>
    <row r="73" spans="2:14" ht="21.75" hidden="1" customHeight="1">
      <c r="B73" s="2409" t="str">
        <f>IF('[9]Water Heating Worksheet'!$D$21="","",'[9]Water Heating Worksheet'!$D$21)</f>
        <v>Select…</v>
      </c>
      <c r="C73" s="2425"/>
      <c r="D73" s="2410"/>
      <c r="E73" s="2413" t="str">
        <f>IF('[9]Water Heating Worksheet'!$D$25="","",'[9]Water Heating Worksheet'!$D$25)</f>
        <v/>
      </c>
      <c r="F73" s="2414"/>
      <c r="G73" s="2413" t="str">
        <f>IF('[9]Water Heating Worksheet'!$G$25="","",'[9]Water Heating Worksheet'!$G$25)</f>
        <v/>
      </c>
      <c r="H73" s="2414"/>
      <c r="I73" s="2413" t="str">
        <f>IF('[9]Water Heating Worksheet'!$G$27="","",'[9]Water Heating Worksheet'!$G$27)</f>
        <v/>
      </c>
      <c r="J73" s="2414"/>
      <c r="K73" s="2411"/>
      <c r="L73" s="2412"/>
      <c r="M73" s="262"/>
      <c r="N73" s="262"/>
    </row>
    <row r="74" spans="2:14" ht="21.75" customHeight="1">
      <c r="B74"/>
      <c r="C74"/>
      <c r="D74"/>
      <c r="E74"/>
      <c r="F74"/>
      <c r="G74"/>
      <c r="H74"/>
      <c r="I74"/>
      <c r="J74"/>
      <c r="K74"/>
      <c r="L74"/>
      <c r="M74" s="262"/>
      <c r="N74" s="262"/>
    </row>
    <row r="75" spans="2:14" ht="21.75" hidden="1" customHeight="1">
      <c r="B75" s="1677" t="s">
        <v>5374</v>
      </c>
      <c r="C75" s="1687"/>
      <c r="D75" s="262"/>
      <c r="E75" s="262"/>
      <c r="F75" s="262"/>
      <c r="G75" s="262"/>
      <c r="H75" s="262"/>
      <c r="I75" s="262"/>
      <c r="J75" s="262"/>
      <c r="K75" s="262"/>
      <c r="L75" s="262"/>
      <c r="M75" s="262"/>
      <c r="N75" s="262"/>
    </row>
    <row r="76" spans="2:14" ht="21.75" hidden="1" customHeight="1">
      <c r="B76" s="1619" t="s">
        <v>5373</v>
      </c>
      <c r="C76" s="2401" t="s">
        <v>5372</v>
      </c>
      <c r="D76" s="2401"/>
      <c r="E76" s="2401" t="s">
        <v>686</v>
      </c>
      <c r="F76" s="2401"/>
      <c r="G76" s="2401" t="s">
        <v>1300</v>
      </c>
      <c r="H76" s="2401"/>
      <c r="I76" s="2397" t="s">
        <v>5371</v>
      </c>
      <c r="J76" s="2397"/>
      <c r="M76" s="262"/>
      <c r="N76" s="262"/>
    </row>
    <row r="77" spans="2:14" ht="21.75" hidden="1" customHeight="1">
      <c r="B77" s="1711">
        <v>1</v>
      </c>
      <c r="C77" s="2415" t="str">
        <f>IF(E77="","","Duct Sealing")</f>
        <v/>
      </c>
      <c r="D77" s="2416"/>
      <c r="E77" s="2417" t="str">
        <f>IF([9]HPwES!$D$60="","",[9]HPwES!$D$60)</f>
        <v/>
      </c>
      <c r="F77" s="2418"/>
      <c r="G77" s="2417" t="str">
        <f>IF([9]HPwES!$D$62="","",[9]HPwES!$D$62)</f>
        <v/>
      </c>
      <c r="H77" s="2418"/>
      <c r="I77" s="2419"/>
      <c r="J77" s="2420"/>
      <c r="M77" s="262"/>
      <c r="N77" s="262"/>
    </row>
    <row r="78" spans="2:14" ht="21.75" hidden="1" customHeight="1">
      <c r="B78" s="1711">
        <f t="shared" ref="B78:B85" si="2">B77+1</f>
        <v>2</v>
      </c>
      <c r="C78" s="2415" t="str">
        <f>IF(E78="","","Duct Sealing")</f>
        <v/>
      </c>
      <c r="D78" s="2416"/>
      <c r="E78" s="2417" t="str">
        <f>IF([9]HPwES!$J$60="","",[9]HPwES!$J$60)</f>
        <v/>
      </c>
      <c r="F78" s="2418"/>
      <c r="G78" s="2417" t="str">
        <f>IF([9]HPwES!$J$62="","",[9]HPwES!$J$62)</f>
        <v/>
      </c>
      <c r="H78" s="2418"/>
      <c r="I78" s="2419"/>
      <c r="J78" s="2420"/>
      <c r="M78" s="262"/>
      <c r="N78" s="262"/>
    </row>
    <row r="79" spans="2:14" ht="21.75" hidden="1" customHeight="1">
      <c r="B79" s="1711">
        <f t="shared" si="2"/>
        <v>3</v>
      </c>
      <c r="C79" s="2415" t="str">
        <f>IF(E79="","","Duct Sealing")</f>
        <v/>
      </c>
      <c r="D79" s="2416"/>
      <c r="E79" s="2417" t="str">
        <f>IF([9]HPwES!$D$72="","",[9]HPwES!$D$72)</f>
        <v/>
      </c>
      <c r="F79" s="2418"/>
      <c r="G79" s="2417" t="str">
        <f>IF([9]HPwES!$D$74="","",[9]HPwES!$D$74)</f>
        <v/>
      </c>
      <c r="H79" s="2418"/>
      <c r="I79" s="2419"/>
      <c r="J79" s="2420"/>
      <c r="M79" s="262"/>
      <c r="N79" s="262"/>
    </row>
    <row r="80" spans="2:14" ht="21.75" hidden="1" customHeight="1">
      <c r="B80" s="1711">
        <f t="shared" si="2"/>
        <v>4</v>
      </c>
      <c r="C80" s="2415" t="str">
        <f>IF([9]HPwES!D107="YES","Air Sealing","")</f>
        <v/>
      </c>
      <c r="D80" s="2416"/>
      <c r="E80" s="2415"/>
      <c r="F80" s="2416"/>
      <c r="G80" s="2415"/>
      <c r="H80" s="2416"/>
      <c r="I80" s="2419"/>
      <c r="J80" s="2420"/>
      <c r="M80" s="262"/>
      <c r="N80" s="262"/>
    </row>
    <row r="81" spans="2:14" ht="21.75" hidden="1" customHeight="1">
      <c r="B81" s="1711">
        <f t="shared" si="2"/>
        <v>5</v>
      </c>
      <c r="C81" s="2415" t="str">
        <f>IF(E81="","","Insulation")</f>
        <v/>
      </c>
      <c r="D81" s="2416"/>
      <c r="E81" s="2415" t="str">
        <f>IF([9]HPwES!$D$152="","",[9]HPwES!$D$152)</f>
        <v/>
      </c>
      <c r="F81" s="2416"/>
      <c r="G81" s="2415" t="str">
        <f>IF([9]HPwES!$D$154="","",[9]HPwES!$D$154)</f>
        <v/>
      </c>
      <c r="H81" s="2416"/>
      <c r="I81" s="2419"/>
      <c r="J81" s="2420"/>
      <c r="M81" s="262"/>
      <c r="N81" s="262"/>
    </row>
    <row r="82" spans="2:14" ht="21.75" hidden="1" customHeight="1">
      <c r="B82" s="1711">
        <f t="shared" si="2"/>
        <v>6</v>
      </c>
      <c r="C82" s="2415" t="str">
        <f>IF(E82="","","Insulation")</f>
        <v/>
      </c>
      <c r="D82" s="2416"/>
      <c r="E82" s="2415" t="str">
        <f>IF([9]HPwES!$J$152="","",[9]HPwES!$J$152)</f>
        <v/>
      </c>
      <c r="F82" s="2416"/>
      <c r="G82" s="2415" t="str">
        <f>IF([9]HPwES!$J$154="","",[9]HPwES!$J$154)</f>
        <v/>
      </c>
      <c r="H82" s="2416"/>
      <c r="I82" s="2419"/>
      <c r="J82" s="2420"/>
      <c r="M82" s="262"/>
      <c r="N82" s="262"/>
    </row>
    <row r="83" spans="2:14" ht="21.75" hidden="1" customHeight="1">
      <c r="B83" s="1711">
        <f t="shared" si="2"/>
        <v>7</v>
      </c>
      <c r="C83" s="2415" t="str">
        <f>IF(E83="","","Insulation")</f>
        <v/>
      </c>
      <c r="D83" s="2416"/>
      <c r="E83" s="2415" t="str">
        <f>IF([9]HPwES!$D$164="","",[9]HPwES!$D$164)</f>
        <v/>
      </c>
      <c r="F83" s="2416"/>
      <c r="G83" s="2415" t="str">
        <f>IF([9]HPwES!$D$166="","",[9]HPwES!$D$166)</f>
        <v/>
      </c>
      <c r="H83" s="2416"/>
      <c r="I83" s="2419"/>
      <c r="J83" s="2420"/>
      <c r="M83" s="262"/>
      <c r="N83" s="262"/>
    </row>
    <row r="84" spans="2:14" ht="21.75" hidden="1" customHeight="1">
      <c r="B84" s="1711">
        <f t="shared" si="2"/>
        <v>8</v>
      </c>
      <c r="C84" s="2415" t="str">
        <f>IF(E84="","","Insulation")</f>
        <v/>
      </c>
      <c r="D84" s="2416"/>
      <c r="E84" s="2415" t="str">
        <f>IF([9]HPwES!$J$164="","",[9]HPwES!$J$164)</f>
        <v/>
      </c>
      <c r="F84" s="2416"/>
      <c r="G84" s="2415" t="str">
        <f>IF([9]HPwES!$J$166="","",[9]HPwES!$J$166)</f>
        <v/>
      </c>
      <c r="H84" s="2416"/>
      <c r="I84" s="2419"/>
      <c r="J84" s="2420"/>
      <c r="M84" s="262"/>
      <c r="N84" s="262"/>
    </row>
    <row r="85" spans="2:14" ht="21.75" hidden="1" customHeight="1">
      <c r="B85" s="1711">
        <f t="shared" si="2"/>
        <v>9</v>
      </c>
      <c r="C85" s="2415" t="str">
        <f>IF(E85="","","Insulation")</f>
        <v/>
      </c>
      <c r="D85" s="2416"/>
      <c r="E85" s="2415" t="str">
        <f>IF([9]HPwES!$D$176="","",[9]HPwES!$D$176)</f>
        <v/>
      </c>
      <c r="F85" s="2416"/>
      <c r="G85" s="2415" t="str">
        <f>IF([9]HPwES!$D$178="","",[9]HPwES!$D$178)</f>
        <v/>
      </c>
      <c r="H85" s="2416"/>
      <c r="I85" s="2419"/>
      <c r="J85" s="2420"/>
      <c r="M85" s="262"/>
      <c r="N85" s="262"/>
    </row>
    <row r="86" spans="2:14" ht="21.75" hidden="1" customHeight="1">
      <c r="B86"/>
      <c r="C86"/>
      <c r="D86"/>
      <c r="E86"/>
      <c r="F86"/>
      <c r="G86"/>
      <c r="H86"/>
      <c r="I86"/>
      <c r="J86"/>
      <c r="K86"/>
      <c r="L86"/>
      <c r="M86" s="262"/>
      <c r="N86" s="262"/>
    </row>
    <row r="87" spans="2:14" ht="21.75" customHeight="1">
      <c r="B87" s="1687"/>
      <c r="C87" s="1687"/>
      <c r="D87" s="262"/>
      <c r="E87" s="262"/>
      <c r="F87" s="262"/>
      <c r="G87" s="262"/>
      <c r="H87" s="262"/>
      <c r="I87" s="262"/>
      <c r="J87" s="262"/>
      <c r="K87" s="262"/>
      <c r="L87" s="262"/>
      <c r="M87" s="262"/>
      <c r="N87" s="262"/>
    </row>
    <row r="88" spans="2:14" ht="16.5" customHeight="1">
      <c r="B88" s="1659" t="s">
        <v>5358</v>
      </c>
      <c r="C88" s="1667"/>
      <c r="D88" s="1667"/>
      <c r="E88" s="1667"/>
      <c r="F88" s="1667"/>
      <c r="G88" s="1667"/>
      <c r="H88" s="1667"/>
      <c r="I88" s="1667"/>
      <c r="J88" s="1667"/>
      <c r="K88" s="1667"/>
      <c r="L88" s="1667"/>
      <c r="M88" s="1689"/>
      <c r="N88" s="1689"/>
    </row>
    <row r="89" spans="2:14" ht="20.149999999999999" customHeight="1">
      <c r="B89" s="1690"/>
      <c r="C89" s="1691"/>
      <c r="E89" s="1692" t="s">
        <v>5359</v>
      </c>
      <c r="F89" s="2424"/>
      <c r="G89" s="2424"/>
      <c r="H89" s="2424"/>
      <c r="I89" s="1693"/>
      <c r="J89" s="1693"/>
      <c r="K89" s="1693"/>
      <c r="L89" s="1694"/>
      <c r="M89" s="262"/>
      <c r="N89" s="262"/>
    </row>
    <row r="90" spans="2:14" ht="21.75" customHeight="1">
      <c r="E90" s="1695"/>
      <c r="F90" s="1695"/>
      <c r="G90" s="1695"/>
      <c r="H90" s="1695"/>
      <c r="I90" s="1695"/>
      <c r="J90" s="1695"/>
      <c r="K90" s="1695"/>
      <c r="L90" s="1695"/>
      <c r="M90" s="1695"/>
      <c r="N90" s="1695"/>
    </row>
    <row r="91" spans="2:14" ht="16.5" customHeight="1">
      <c r="B91" s="893" t="s">
        <v>5360</v>
      </c>
      <c r="C91" s="995"/>
      <c r="D91" s="1696">
        <f>IF(SUM(C94:D103)&lt;=0,"",SUM(C94:D103)/12000)</f>
        <v>2.3333333333333335</v>
      </c>
      <c r="N91" s="995"/>
    </row>
    <row r="92" spans="2:14" ht="16.5" customHeight="1">
      <c r="B92" s="995"/>
      <c r="C92" s="995"/>
      <c r="D92" s="1697"/>
      <c r="N92" s="995"/>
    </row>
    <row r="93" spans="2:14" ht="22.4" customHeight="1">
      <c r="C93" s="2377" t="s">
        <v>5361</v>
      </c>
      <c r="D93" s="2377"/>
      <c r="E93" s="2377" t="s">
        <v>5362</v>
      </c>
      <c r="F93" s="2377"/>
      <c r="G93" s="2378" t="s">
        <v>5363</v>
      </c>
      <c r="H93" s="2378"/>
      <c r="I93" s="1699"/>
      <c r="J93" s="1699"/>
      <c r="K93" s="1699"/>
      <c r="L93" s="1700"/>
    </row>
    <row r="94" spans="2:14" ht="16.5" customHeight="1">
      <c r="B94" s="1701" t="s">
        <v>151</v>
      </c>
      <c r="C94" s="2370">
        <f>IF('In Unit HVAC Worksheet'!AA82="","",'In Unit HVAC Worksheet'!AA82)</f>
        <v>13000</v>
      </c>
      <c r="D94" s="2374"/>
      <c r="E94" s="2375">
        <f>IF('In Unit HVAC Worksheet'!J61="","",'In Unit HVAC Worksheet'!J61)</f>
        <v>12345678</v>
      </c>
      <c r="F94" s="2376"/>
      <c r="G94" s="2375" t="str">
        <f>IF('In Unit HVAC Worksheet'!C61="","",IF('In Unit HVAC Worksheet'!N61="",'In Unit HVAC Worksheet'!L61&amp;" SEER / "&amp;'In Unit HVAC Worksheet'!M61&amp;" EER",IF('In Unit HVAC Worksheet'!C61="Packaged Terminal Heat Pump",'In Unit HVAC Worksheet'!L61&amp;" SEER / "&amp;'In Unit HVAC Worksheet'!M61&amp;" EER / "&amp;'In Unit HVAC Worksheet'!N61&amp;" COP",'In Unit HVAC Worksheet'!L61&amp;" SEER / "&amp;'In Unit HVAC Worksheet'!M61&amp;" EER / "&amp;'In Unit HVAC Worksheet'!N61&amp;" HSPF")))</f>
        <v>16 SEER / 12 EER / 7.7 HSPF</v>
      </c>
      <c r="H94" s="2376"/>
      <c r="I94" s="1702"/>
      <c r="J94" s="1703">
        <f>((MID(B94,SEARCH(" ",B94,1)+1,LEN(B94)-SEARCH(" ",B94,1))-1)*5+ROW('[9]ASHP Equipment Information'!$B$10))</f>
        <v>10</v>
      </c>
      <c r="K94" s="1699"/>
      <c r="L94" s="1700"/>
    </row>
    <row r="95" spans="2:14">
      <c r="B95" s="1701" t="s">
        <v>152</v>
      </c>
      <c r="C95" s="2370">
        <f>IF('In Unit HVAC Worksheet'!AA83="","",'In Unit HVAC Worksheet'!AA83)</f>
        <v>15000</v>
      </c>
      <c r="D95" s="2374"/>
      <c r="E95" s="2375">
        <f>IF('In Unit HVAC Worksheet'!J62="","",'In Unit HVAC Worksheet'!J62)</f>
        <v>123456789</v>
      </c>
      <c r="F95" s="2376"/>
      <c r="G95" s="2375" t="str">
        <f>IF('In Unit HVAC Worksheet'!C62="","",IF('In Unit HVAC Worksheet'!N62="",'In Unit HVAC Worksheet'!L62&amp;" SEER / "&amp;'In Unit HVAC Worksheet'!M62&amp;" EER",IF('In Unit HVAC Worksheet'!C62="Packaged Terminal Heat Pump",'In Unit HVAC Worksheet'!L62&amp;" SEER / "&amp;'In Unit HVAC Worksheet'!M62&amp;" EER / "&amp;'In Unit HVAC Worksheet'!N62&amp;" COP",'In Unit HVAC Worksheet'!L62&amp;" SEER / "&amp;'In Unit HVAC Worksheet'!M62&amp;" EER / "&amp;'In Unit HVAC Worksheet'!N62&amp;" HSPF")))</f>
        <v>20 SEER / 17 EER / 10 HSPF</v>
      </c>
      <c r="H95" s="2376"/>
      <c r="I95" s="1702"/>
      <c r="J95" s="1703">
        <f>((MID(B95,SEARCH(" ",B95,1)+1,LEN(B95)-SEARCH(" ",B95,1))-1)*5+ROW('[9]ASHP Equipment Information'!$B$10))</f>
        <v>15</v>
      </c>
      <c r="K95" s="1699"/>
      <c r="L95" s="1700"/>
    </row>
    <row r="96" spans="2:14">
      <c r="B96" s="1701" t="s">
        <v>161</v>
      </c>
      <c r="C96" s="2370" t="str">
        <f>IF('In Unit HVAC Worksheet'!AA84="","",'In Unit HVAC Worksheet'!AA84)</f>
        <v/>
      </c>
      <c r="D96" s="2374"/>
      <c r="E96" s="2375" t="str">
        <f>IF('In Unit HVAC Worksheet'!J63="","",'In Unit HVAC Worksheet'!J63)</f>
        <v/>
      </c>
      <c r="F96" s="2376"/>
      <c r="G96" s="2375" t="str">
        <f>IF('In Unit HVAC Worksheet'!C63="","",IF('In Unit HVAC Worksheet'!N63="",'In Unit HVAC Worksheet'!L63&amp;" SEER / "&amp;'In Unit HVAC Worksheet'!M63&amp;" EER",IF('In Unit HVAC Worksheet'!C63="Packaged Terminal Heat Pump",'In Unit HVAC Worksheet'!L63&amp;" SEER / "&amp;'In Unit HVAC Worksheet'!M63&amp;" EER / "&amp;'In Unit HVAC Worksheet'!N63&amp;" COP",'In Unit HVAC Worksheet'!L63&amp;" SEER / "&amp;'In Unit HVAC Worksheet'!M63&amp;" EER / "&amp;'In Unit HVAC Worksheet'!N63&amp;" HSPF")))</f>
        <v/>
      </c>
      <c r="H96" s="2376"/>
      <c r="I96" s="1702"/>
      <c r="J96" s="1703">
        <f>((MID(B96,SEARCH(" ",B96,1)+1,LEN(B96)-SEARCH(" ",B96,1))-1)*5+ROW('[9]ASHP Equipment Information'!$B$10))</f>
        <v>20</v>
      </c>
      <c r="K96" s="1699"/>
      <c r="L96" s="1700"/>
    </row>
    <row r="97" spans="2:14">
      <c r="B97" s="1701" t="s">
        <v>5364</v>
      </c>
      <c r="C97" s="2370" t="str">
        <f>IF('In Unit HVAC Worksheet'!AA85="","",'In Unit HVAC Worksheet'!AA85)</f>
        <v/>
      </c>
      <c r="D97" s="2374"/>
      <c r="E97" s="2375" t="str">
        <f>IF('In Unit HVAC Worksheet'!J64="","",'In Unit HVAC Worksheet'!J64)</f>
        <v/>
      </c>
      <c r="F97" s="2376"/>
      <c r="G97" s="2375" t="str">
        <f>IF('In Unit HVAC Worksheet'!C64="","",IF('In Unit HVAC Worksheet'!N64="",'In Unit HVAC Worksheet'!L64&amp;" SEER / "&amp;'In Unit HVAC Worksheet'!M64&amp;" EER",IF('In Unit HVAC Worksheet'!C64="Packaged Terminal Heat Pump",'In Unit HVAC Worksheet'!L64&amp;" SEER / "&amp;'In Unit HVAC Worksheet'!M64&amp;" EER / "&amp;'In Unit HVAC Worksheet'!N64&amp;" COP",'In Unit HVAC Worksheet'!L64&amp;" SEER / "&amp;'In Unit HVAC Worksheet'!M64&amp;" EER / "&amp;'In Unit HVAC Worksheet'!N64&amp;" HSPF")))</f>
        <v/>
      </c>
      <c r="H97" s="2376"/>
      <c r="I97" s="1702"/>
      <c r="J97" s="1703">
        <f>((MID(B97,SEARCH(" ",B97,1)+1,LEN(B97)-SEARCH(" ",B97,1))-1)*5+ROW('[9]ASHP Equipment Information'!$B$10))</f>
        <v>25</v>
      </c>
      <c r="K97" s="1699"/>
      <c r="L97" s="1700"/>
    </row>
    <row r="98" spans="2:14">
      <c r="B98" s="1704" t="s">
        <v>180</v>
      </c>
      <c r="C98" s="2370" t="str">
        <f>IF('In Unit HVAC Worksheet'!AA86="","",'In Unit HVAC Worksheet'!AA86)</f>
        <v/>
      </c>
      <c r="D98" s="2374"/>
      <c r="E98" s="2375" t="str">
        <f>IF('In Unit HVAC Worksheet'!J65="","",'In Unit HVAC Worksheet'!J65)</f>
        <v/>
      </c>
      <c r="F98" s="2376"/>
      <c r="G98" s="2375" t="str">
        <f>IF('In Unit HVAC Worksheet'!C65="","",IF('In Unit HVAC Worksheet'!N65="",'In Unit HVAC Worksheet'!L65&amp;" SEER / "&amp;'In Unit HVAC Worksheet'!M65&amp;" EER",IF('In Unit HVAC Worksheet'!C65="Packaged Terminal Heat Pump",'In Unit HVAC Worksheet'!L65&amp;" SEER / "&amp;'In Unit HVAC Worksheet'!M65&amp;" EER / "&amp;'In Unit HVAC Worksheet'!N65&amp;" COP",'In Unit HVAC Worksheet'!L65&amp;" SEER / "&amp;'In Unit HVAC Worksheet'!M65&amp;" EER / "&amp;'In Unit HVAC Worksheet'!N65&amp;" HSPF")))</f>
        <v/>
      </c>
      <c r="H98" s="2376"/>
      <c r="I98" s="1702"/>
      <c r="J98" s="1703">
        <f>((MID(B98,SEARCH(" ",B98,1)+1,LEN(B98)-SEARCH(" ",B98,1))-1)*5+ROW('[9]ASHP Equipment Information'!$B$10))</f>
        <v>30</v>
      </c>
      <c r="K98" s="1699"/>
      <c r="L98" s="1700"/>
    </row>
    <row r="99" spans="2:14">
      <c r="B99" s="1704" t="s">
        <v>5365</v>
      </c>
      <c r="C99" s="2370" t="str">
        <f>IF('In Unit HVAC Worksheet'!AA87="","",'In Unit HVAC Worksheet'!AA87)</f>
        <v/>
      </c>
      <c r="D99" s="2374"/>
      <c r="E99" s="2375" t="str">
        <f>IF('In Unit HVAC Worksheet'!J66="","",'In Unit HVAC Worksheet'!J66)</f>
        <v/>
      </c>
      <c r="F99" s="2376"/>
      <c r="G99" s="2375" t="str">
        <f>IF('In Unit HVAC Worksheet'!C66="","",IF('In Unit HVAC Worksheet'!N66="",'In Unit HVAC Worksheet'!L66&amp;" SEER / "&amp;'In Unit HVAC Worksheet'!M66&amp;" EER",IF('In Unit HVAC Worksheet'!C66="Packaged Terminal Heat Pump",'In Unit HVAC Worksheet'!L66&amp;" SEER / "&amp;'In Unit HVAC Worksheet'!M66&amp;" EER / "&amp;'In Unit HVAC Worksheet'!N66&amp;" COP",'In Unit HVAC Worksheet'!L66&amp;" SEER / "&amp;'In Unit HVAC Worksheet'!M66&amp;" EER / "&amp;'In Unit HVAC Worksheet'!N66&amp;" HSPF")))</f>
        <v/>
      </c>
      <c r="H99" s="2376"/>
      <c r="I99" s="1702"/>
      <c r="J99" s="1703">
        <f>((MID(B99,SEARCH(" ",B99,1)+1,LEN(B99)-SEARCH(" ",B99,1))-1)*5+ROW('[9]ASHP Equipment Information'!$B$10))</f>
        <v>35</v>
      </c>
      <c r="K99" s="1699"/>
      <c r="L99" s="1700"/>
    </row>
    <row r="100" spans="2:14">
      <c r="B100" s="1704" t="s">
        <v>5366</v>
      </c>
      <c r="C100" s="2370" t="str">
        <f>IF('In Unit HVAC Worksheet'!AA88="","",'In Unit HVAC Worksheet'!AA88)</f>
        <v/>
      </c>
      <c r="D100" s="2374"/>
      <c r="E100" s="2375" t="str">
        <f>IF('In Unit HVAC Worksheet'!J67="","",'In Unit HVAC Worksheet'!J67)</f>
        <v/>
      </c>
      <c r="F100" s="2376"/>
      <c r="G100" s="2375" t="str">
        <f>IF('In Unit HVAC Worksheet'!C67="","",IF('In Unit HVAC Worksheet'!N67="",'In Unit HVAC Worksheet'!L67&amp;" SEER / "&amp;'In Unit HVAC Worksheet'!M67&amp;" EER",IF('In Unit HVAC Worksheet'!C67="Packaged Terminal Heat Pump",'In Unit HVAC Worksheet'!L67&amp;" SEER / "&amp;'In Unit HVAC Worksheet'!M67&amp;" EER / "&amp;'In Unit HVAC Worksheet'!N67&amp;" COP",'In Unit HVAC Worksheet'!L67&amp;" SEER / "&amp;'In Unit HVAC Worksheet'!M67&amp;" EER / "&amp;'In Unit HVAC Worksheet'!N67&amp;" HSPF")))</f>
        <v/>
      </c>
      <c r="H100" s="2376"/>
      <c r="I100" s="1702"/>
      <c r="J100" s="1703">
        <f>((MID(B100,SEARCH(" ",B100,1)+1,LEN(B100)-SEARCH(" ",B100,1))-1)*5+ROW('[9]ASHP Equipment Information'!$B$10))</f>
        <v>40</v>
      </c>
      <c r="K100" s="1699"/>
      <c r="L100" s="1700"/>
    </row>
    <row r="101" spans="2:14">
      <c r="B101" s="1704" t="s">
        <v>5367</v>
      </c>
      <c r="C101" s="2370" t="str">
        <f>IF('In Unit HVAC Worksheet'!AA89="","",'In Unit HVAC Worksheet'!AA89)</f>
        <v/>
      </c>
      <c r="D101" s="2374"/>
      <c r="E101" s="2375" t="str">
        <f>IF('In Unit HVAC Worksheet'!J68="","",'In Unit HVAC Worksheet'!J68)</f>
        <v/>
      </c>
      <c r="F101" s="2376"/>
      <c r="G101" s="2375" t="str">
        <f>IF('In Unit HVAC Worksheet'!C68="","",IF('In Unit HVAC Worksheet'!N68="",'In Unit HVAC Worksheet'!L68&amp;" SEER / "&amp;'In Unit HVAC Worksheet'!M68&amp;" EER",IF('In Unit HVAC Worksheet'!C68="Packaged Terminal Heat Pump",'In Unit HVAC Worksheet'!L68&amp;" SEER / "&amp;'In Unit HVAC Worksheet'!M68&amp;" EER / "&amp;'In Unit HVAC Worksheet'!N68&amp;" COP",'In Unit HVAC Worksheet'!L68&amp;" SEER / "&amp;'In Unit HVAC Worksheet'!M68&amp;" EER / "&amp;'In Unit HVAC Worksheet'!N68&amp;" HSPF")))</f>
        <v/>
      </c>
      <c r="H101" s="2376"/>
      <c r="I101" s="1705"/>
      <c r="J101" s="1703">
        <f>((MID(B101,SEARCH(" ",B101,1)+1,LEN(B101)-SEARCH(" ",B101,1))-1)*5+ROW('[9]ASHP Equipment Information'!$B$10))</f>
        <v>45</v>
      </c>
      <c r="M101" s="262"/>
      <c r="N101" s="262"/>
    </row>
    <row r="102" spans="2:14">
      <c r="B102" s="1704" t="s">
        <v>5368</v>
      </c>
      <c r="C102" s="2370" t="str">
        <f>IF('In Unit HVAC Worksheet'!AA90="","",'In Unit HVAC Worksheet'!AA90)</f>
        <v/>
      </c>
      <c r="D102" s="2374"/>
      <c r="E102" s="2375" t="str">
        <f>IF('In Unit HVAC Worksheet'!J69="","",'In Unit HVAC Worksheet'!J69)</f>
        <v/>
      </c>
      <c r="F102" s="2376"/>
      <c r="G102" s="2375" t="str">
        <f>IF('In Unit HVAC Worksheet'!C69="","",IF('In Unit HVAC Worksheet'!N69="",'In Unit HVAC Worksheet'!L69&amp;" SEER / "&amp;'In Unit HVAC Worksheet'!M69&amp;" EER",IF('In Unit HVAC Worksheet'!C69="Packaged Terminal Heat Pump",'In Unit HVAC Worksheet'!L69&amp;" SEER / "&amp;'In Unit HVAC Worksheet'!M69&amp;" EER / "&amp;'In Unit HVAC Worksheet'!N69&amp;" COP",'In Unit HVAC Worksheet'!L69&amp;" SEER / "&amp;'In Unit HVAC Worksheet'!M69&amp;" EER / "&amp;'In Unit HVAC Worksheet'!N69&amp;" HSPF")))</f>
        <v/>
      </c>
      <c r="H102" s="2376"/>
      <c r="I102" s="1705"/>
      <c r="J102" s="1703">
        <f>((MID(B102,SEARCH(" ",B102,1)+1,LEN(B102)-SEARCH(" ",B102,1))-1)*5+ROW('[9]ASHP Equipment Information'!$B$10))</f>
        <v>50</v>
      </c>
      <c r="M102" s="1706"/>
      <c r="N102" s="1706"/>
    </row>
    <row r="103" spans="2:14">
      <c r="B103" s="1704" t="s">
        <v>5369</v>
      </c>
      <c r="C103" s="2370" t="str">
        <f>IF('In Unit HVAC Worksheet'!AA91="","",'In Unit HVAC Worksheet'!AA91)</f>
        <v/>
      </c>
      <c r="D103" s="2374"/>
      <c r="E103" s="2375" t="str">
        <f>IF('In Unit HVAC Worksheet'!J70="","",'In Unit HVAC Worksheet'!J70)</f>
        <v/>
      </c>
      <c r="F103" s="2376"/>
      <c r="G103" s="2375" t="str">
        <f>IF('In Unit HVAC Worksheet'!C70="","",IF('In Unit HVAC Worksheet'!N70="",'In Unit HVAC Worksheet'!L70&amp;" SEER / "&amp;'In Unit HVAC Worksheet'!M70&amp;" EER",IF('In Unit HVAC Worksheet'!C70="Packaged Terminal Heat Pump",'In Unit HVAC Worksheet'!L70&amp;" SEER / "&amp;'In Unit HVAC Worksheet'!M70&amp;" EER / "&amp;'In Unit HVAC Worksheet'!N70&amp;" COP",'In Unit HVAC Worksheet'!L70&amp;" SEER / "&amp;'In Unit HVAC Worksheet'!M70&amp;" EER / "&amp;'In Unit HVAC Worksheet'!N70&amp;" HSPF")))</f>
        <v/>
      </c>
      <c r="H103" s="2376"/>
      <c r="I103" s="1705"/>
      <c r="J103" s="1703">
        <f>((MID(B103,SEARCH(" ",B103,1)+1,LEN(B103)-SEARCH(" ",B103,1))-1)*5+ROW('[9]ASHP Equipment Information'!$B$10))</f>
        <v>55</v>
      </c>
    </row>
    <row r="104" spans="2:14" ht="22.4" customHeight="1">
      <c r="C104" s="1706"/>
      <c r="D104" s="2423"/>
      <c r="E104" s="2423"/>
      <c r="F104" s="2423"/>
      <c r="G104" s="2423"/>
      <c r="H104" s="2423"/>
      <c r="I104" s="2367"/>
      <c r="J104" s="2367"/>
      <c r="K104" s="2367"/>
      <c r="L104" s="1618"/>
      <c r="M104" s="1706"/>
      <c r="N104" s="262"/>
    </row>
    <row r="105" spans="2:14" ht="22.4" customHeight="1">
      <c r="B105" s="1710" t="s">
        <v>241</v>
      </c>
      <c r="C105" s="2428"/>
      <c r="D105" s="2428"/>
      <c r="E105" s="2428"/>
      <c r="F105" s="2428"/>
      <c r="G105" s="2428"/>
      <c r="H105" s="2428"/>
      <c r="I105" s="2428"/>
      <c r="J105" s="2428"/>
      <c r="K105" s="2428"/>
      <c r="L105" s="2428"/>
      <c r="M105" s="1706"/>
      <c r="N105" s="262"/>
    </row>
    <row r="106" spans="2:14" ht="22.4" customHeight="1">
      <c r="B106" s="2426"/>
      <c r="C106" s="2426"/>
      <c r="D106" s="2426"/>
      <c r="E106" s="2426"/>
      <c r="F106" s="2426"/>
      <c r="G106" s="2426"/>
      <c r="H106" s="2426"/>
      <c r="I106" s="2426"/>
      <c r="J106" s="2426"/>
      <c r="K106" s="2426"/>
      <c r="L106" s="2426"/>
      <c r="M106" s="1706"/>
      <c r="N106" s="262"/>
    </row>
    <row r="107" spans="2:14" ht="22.4" customHeight="1">
      <c r="B107" s="2427"/>
      <c r="C107" s="2427"/>
      <c r="D107" s="2427"/>
      <c r="E107" s="2427"/>
      <c r="F107" s="2427"/>
      <c r="G107" s="2427"/>
      <c r="H107" s="2427"/>
      <c r="I107" s="2427"/>
      <c r="J107" s="2427"/>
      <c r="K107" s="2427"/>
      <c r="L107" s="2427"/>
      <c r="M107" s="1706"/>
      <c r="N107" s="262"/>
    </row>
    <row r="108" spans="2:14" ht="15.5">
      <c r="B108" s="1708"/>
      <c r="J108" s="1709"/>
    </row>
    <row r="109" spans="2:14" ht="32.15" customHeight="1">
      <c r="B109" s="1708" t="s">
        <v>140</v>
      </c>
      <c r="D109" s="2116"/>
      <c r="E109" s="2116"/>
      <c r="F109" s="2116"/>
      <c r="G109" s="2116"/>
      <c r="J109" s="1709" t="s">
        <v>9</v>
      </c>
      <c r="K109" s="2429"/>
      <c r="L109" s="2429"/>
    </row>
    <row r="110" spans="2:14"/>
    <row r="111" spans="2:14" ht="32.15" customHeight="1">
      <c r="B111" s="1708" t="s">
        <v>5370</v>
      </c>
      <c r="D111" s="2116"/>
      <c r="E111" s="2116"/>
      <c r="F111" s="2116"/>
      <c r="G111" s="2116"/>
      <c r="J111" s="1709" t="s">
        <v>9</v>
      </c>
      <c r="K111" s="2429"/>
      <c r="L111" s="2429"/>
    </row>
    <row r="112" spans="2:14"/>
    <row r="113" s="157" customFormat="1"/>
    <row r="114" s="157" customFormat="1"/>
    <row r="115" s="157" customFormat="1"/>
    <row r="116" s="157" customFormat="1"/>
    <row r="117" s="157" customFormat="1"/>
    <row r="118" s="157" customFormat="1"/>
    <row r="119" s="157" customFormat="1"/>
    <row r="120" s="157" customFormat="1"/>
    <row r="121" s="157" customFormat="1"/>
    <row r="122" s="157" customFormat="1"/>
    <row r="123" s="157" customFormat="1"/>
  </sheetData>
  <mergeCells count="242">
    <mergeCell ref="D111:G111"/>
    <mergeCell ref="K111:L111"/>
    <mergeCell ref="C84:D84"/>
    <mergeCell ref="E84:F84"/>
    <mergeCell ref="G84:H84"/>
    <mergeCell ref="I84:J84"/>
    <mergeCell ref="C85:D85"/>
    <mergeCell ref="E85:F85"/>
    <mergeCell ref="G85:H85"/>
    <mergeCell ref="I85:J85"/>
    <mergeCell ref="E103:F103"/>
    <mergeCell ref="C95:D95"/>
    <mergeCell ref="C96:D96"/>
    <mergeCell ref="C97:D97"/>
    <mergeCell ref="G95:H95"/>
    <mergeCell ref="G99:H99"/>
    <mergeCell ref="C99:D99"/>
    <mergeCell ref="C94:D94"/>
    <mergeCell ref="G96:H96"/>
    <mergeCell ref="G97:H97"/>
    <mergeCell ref="C101:D101"/>
    <mergeCell ref="E101:F101"/>
    <mergeCell ref="G101:H101"/>
    <mergeCell ref="D104:E104"/>
    <mergeCell ref="C93:D93"/>
    <mergeCell ref="E93:F93"/>
    <mergeCell ref="G93:H93"/>
    <mergeCell ref="G98:H98"/>
    <mergeCell ref="G94:H94"/>
    <mergeCell ref="E99:F99"/>
    <mergeCell ref="C98:D98"/>
    <mergeCell ref="G103:H103"/>
    <mergeCell ref="C100:D100"/>
    <mergeCell ref="E100:F100"/>
    <mergeCell ref="E98:F98"/>
    <mergeCell ref="D109:G109"/>
    <mergeCell ref="B106:L106"/>
    <mergeCell ref="B107:L107"/>
    <mergeCell ref="C105:L105"/>
    <mergeCell ref="K109:L109"/>
    <mergeCell ref="E94:F94"/>
    <mergeCell ref="E95:F95"/>
    <mergeCell ref="E96:F96"/>
    <mergeCell ref="E97:F97"/>
    <mergeCell ref="C103:D103"/>
    <mergeCell ref="J104:K104"/>
    <mergeCell ref="C81:D81"/>
    <mergeCell ref="E81:F81"/>
    <mergeCell ref="G81:H81"/>
    <mergeCell ref="I81:J81"/>
    <mergeCell ref="G82:H82"/>
    <mergeCell ref="I82:J82"/>
    <mergeCell ref="C83:D83"/>
    <mergeCell ref="E83:F83"/>
    <mergeCell ref="G83:H83"/>
    <mergeCell ref="I83:J83"/>
    <mergeCell ref="C82:D82"/>
    <mergeCell ref="E82:F82"/>
    <mergeCell ref="F89:H89"/>
    <mergeCell ref="C76:D76"/>
    <mergeCell ref="B72:D72"/>
    <mergeCell ref="B73:D73"/>
    <mergeCell ref="E72:F72"/>
    <mergeCell ref="E76:F76"/>
    <mergeCell ref="G76:H76"/>
    <mergeCell ref="I76:J76"/>
    <mergeCell ref="C77:D77"/>
    <mergeCell ref="E77:F77"/>
    <mergeCell ref="G77:H77"/>
    <mergeCell ref="I77:J77"/>
    <mergeCell ref="C78:D78"/>
    <mergeCell ref="E78:F78"/>
    <mergeCell ref="G78:H78"/>
    <mergeCell ref="I78:J78"/>
    <mergeCell ref="C79:D79"/>
    <mergeCell ref="E79:F79"/>
    <mergeCell ref="G79:H79"/>
    <mergeCell ref="I79:J79"/>
    <mergeCell ref="C80:D80"/>
    <mergeCell ref="E80:F80"/>
    <mergeCell ref="G80:H80"/>
    <mergeCell ref="I80:J80"/>
    <mergeCell ref="I59:J59"/>
    <mergeCell ref="K59:L59"/>
    <mergeCell ref="C55:D55"/>
    <mergeCell ref="C67:D67"/>
    <mergeCell ref="C62:D62"/>
    <mergeCell ref="E62:F62"/>
    <mergeCell ref="G62:H62"/>
    <mergeCell ref="C61:D61"/>
    <mergeCell ref="E61:F61"/>
    <mergeCell ref="G61:H61"/>
    <mergeCell ref="I61:J61"/>
    <mergeCell ref="K61:L61"/>
    <mergeCell ref="I62:J62"/>
    <mergeCell ref="K62:L62"/>
    <mergeCell ref="C63:D63"/>
    <mergeCell ref="E63:F63"/>
    <mergeCell ref="G63:H63"/>
    <mergeCell ref="I63:J63"/>
    <mergeCell ref="K63:L63"/>
    <mergeCell ref="C66:D66"/>
    <mergeCell ref="C64:D64"/>
    <mergeCell ref="G65:H65"/>
    <mergeCell ref="K64:L64"/>
    <mergeCell ref="E64:F64"/>
    <mergeCell ref="I44:J44"/>
    <mergeCell ref="F104:G104"/>
    <mergeCell ref="H104:I104"/>
    <mergeCell ref="C102:D102"/>
    <mergeCell ref="E102:F102"/>
    <mergeCell ref="G102:H102"/>
    <mergeCell ref="G100:H100"/>
    <mergeCell ref="K44:L44"/>
    <mergeCell ref="K45:L45"/>
    <mergeCell ref="C46:D46"/>
    <mergeCell ref="E46:F46"/>
    <mergeCell ref="C45:D45"/>
    <mergeCell ref="E45:F45"/>
    <mergeCell ref="G45:H45"/>
    <mergeCell ref="I45:J45"/>
    <mergeCell ref="G46:H46"/>
    <mergeCell ref="I46:J46"/>
    <mergeCell ref="K58:L58"/>
    <mergeCell ref="C65:D65"/>
    <mergeCell ref="E69:F69"/>
    <mergeCell ref="K55:L55"/>
    <mergeCell ref="C53:D53"/>
    <mergeCell ref="E53:F53"/>
    <mergeCell ref="K53:L53"/>
    <mergeCell ref="I54:J54"/>
    <mergeCell ref="B50:C50"/>
    <mergeCell ref="C58:D58"/>
    <mergeCell ref="E58:F58"/>
    <mergeCell ref="G58:H58"/>
    <mergeCell ref="D50:G50"/>
    <mergeCell ref="J50:L50"/>
    <mergeCell ref="K46:L46"/>
    <mergeCell ref="K60:L60"/>
    <mergeCell ref="K54:L54"/>
    <mergeCell ref="I47:J47"/>
    <mergeCell ref="K47:L47"/>
    <mergeCell ref="G59:H59"/>
    <mergeCell ref="B52:C52"/>
    <mergeCell ref="G53:H53"/>
    <mergeCell ref="I53:J53"/>
    <mergeCell ref="C54:D54"/>
    <mergeCell ref="I60:J60"/>
    <mergeCell ref="E55:F55"/>
    <mergeCell ref="G55:H55"/>
    <mergeCell ref="I55:J55"/>
    <mergeCell ref="I58:J58"/>
    <mergeCell ref="C59:D59"/>
    <mergeCell ref="E59:F59"/>
    <mergeCell ref="K38:L38"/>
    <mergeCell ref="K39:L39"/>
    <mergeCell ref="K40:L40"/>
    <mergeCell ref="I40:J40"/>
    <mergeCell ref="G40:H40"/>
    <mergeCell ref="I25:J25"/>
    <mergeCell ref="C37:D37"/>
    <mergeCell ref="E37:F37"/>
    <mergeCell ref="G37:H37"/>
    <mergeCell ref="I37:J37"/>
    <mergeCell ref="K37:L37"/>
    <mergeCell ref="C32:F32"/>
    <mergeCell ref="I32:L32"/>
    <mergeCell ref="C38:D38"/>
    <mergeCell ref="E38:F38"/>
    <mergeCell ref="I39:J39"/>
    <mergeCell ref="G38:H38"/>
    <mergeCell ref="C39:D39"/>
    <mergeCell ref="E39:F39"/>
    <mergeCell ref="G39:H39"/>
    <mergeCell ref="E40:F40"/>
    <mergeCell ref="C40:D40"/>
    <mergeCell ref="I38:J38"/>
    <mergeCell ref="C7:F7"/>
    <mergeCell ref="I7:L7"/>
    <mergeCell ref="C21:F21"/>
    <mergeCell ref="I21:L21"/>
    <mergeCell ref="C23:F23"/>
    <mergeCell ref="I23:L23"/>
    <mergeCell ref="C25:F25"/>
    <mergeCell ref="C30:F30"/>
    <mergeCell ref="I30:L30"/>
    <mergeCell ref="C27:F27"/>
    <mergeCell ref="K43:L43"/>
    <mergeCell ref="C41:D41"/>
    <mergeCell ref="E41:F41"/>
    <mergeCell ref="G41:H41"/>
    <mergeCell ref="I41:J41"/>
    <mergeCell ref="K41:L41"/>
    <mergeCell ref="K42:L42"/>
    <mergeCell ref="I42:J42"/>
    <mergeCell ref="G42:H42"/>
    <mergeCell ref="E42:F42"/>
    <mergeCell ref="C42:D42"/>
    <mergeCell ref="I43:J43"/>
    <mergeCell ref="C47:D47"/>
    <mergeCell ref="E47:F47"/>
    <mergeCell ref="G47:H47"/>
    <mergeCell ref="C43:D43"/>
    <mergeCell ref="E43:F43"/>
    <mergeCell ref="C60:D60"/>
    <mergeCell ref="E60:F60"/>
    <mergeCell ref="G60:H60"/>
    <mergeCell ref="G43:H43"/>
    <mergeCell ref="E54:F54"/>
    <mergeCell ref="G54:H54"/>
    <mergeCell ref="C44:D44"/>
    <mergeCell ref="E44:F44"/>
    <mergeCell ref="G44:H44"/>
    <mergeCell ref="C68:D68"/>
    <mergeCell ref="E65:F65"/>
    <mergeCell ref="I69:J69"/>
    <mergeCell ref="G69:H69"/>
    <mergeCell ref="C69:D69"/>
    <mergeCell ref="E73:F73"/>
    <mergeCell ref="G73:H73"/>
    <mergeCell ref="I73:J73"/>
    <mergeCell ref="K73:L73"/>
    <mergeCell ref="E68:F68"/>
    <mergeCell ref="G68:H68"/>
    <mergeCell ref="G72:H72"/>
    <mergeCell ref="I65:J65"/>
    <mergeCell ref="E66:F66"/>
    <mergeCell ref="E67:F67"/>
    <mergeCell ref="G67:H67"/>
    <mergeCell ref="I67:J67"/>
    <mergeCell ref="G66:H66"/>
    <mergeCell ref="G64:H64"/>
    <mergeCell ref="I64:J64"/>
    <mergeCell ref="K65:L65"/>
    <mergeCell ref="K67:L67"/>
    <mergeCell ref="I68:J68"/>
    <mergeCell ref="K68:L68"/>
    <mergeCell ref="I72:J72"/>
    <mergeCell ref="K72:L72"/>
    <mergeCell ref="I66:J66"/>
    <mergeCell ref="K69:L69"/>
    <mergeCell ref="K66:L66"/>
  </mergeCells>
  <conditionalFormatting sqref="C77:H85">
    <cfRule type="expression" dxfId="78" priority="1" stopIfTrue="1">
      <formula>C77&lt;&gt;""</formula>
    </cfRule>
  </conditionalFormatting>
  <conditionalFormatting sqref="C38:J47 B73 E73:J73">
    <cfRule type="expression" dxfId="77" priority="4" stopIfTrue="1">
      <formula>B38&lt;&gt;""</formula>
    </cfRule>
  </conditionalFormatting>
  <conditionalFormatting sqref="C54:J55">
    <cfRule type="expression" dxfId="76" priority="2" stopIfTrue="1">
      <formula>C54&lt;&gt;""</formula>
    </cfRule>
  </conditionalFormatting>
  <conditionalFormatting sqref="C59:J69">
    <cfRule type="expression" dxfId="75" priority="3" stopIfTrue="1">
      <formula>C59&lt;&gt;""</formula>
    </cfRule>
  </conditionalFormatting>
  <dataValidations count="1">
    <dataValidation type="list" allowBlank="1" showInputMessage="1" showErrorMessage="1" sqref="C27:F27" xr:uid="{DD2819D0-AE5C-46C4-BA1E-EDB17D307CFD}">
      <formula1>"Virtual, On-Site"</formula1>
    </dataValidation>
  </dataValidations>
  <pageMargins left="0.7" right="0.7" top="1.0416666666666666E-2" bottom="0.75" header="0.3" footer="0.3"/>
  <pageSetup scale="59"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51" max="16383" man="1"/>
  </rowBreaks>
  <drawing r:id="rId2"/>
  <legacyDrawing r:id="rId3"/>
  <controls>
    <mc:AlternateContent xmlns:mc="http://schemas.openxmlformats.org/markup-compatibility/2006">
      <mc:Choice Requires="x14">
        <control shapeId="472065" r:id="rId4" name="CheckBox1">
          <controlPr defaultSize="0" autoLine="0" autoPict="0" r:id="rId5">
            <anchor moveWithCells="1">
              <from>
                <xdr:col>8</xdr:col>
                <xdr:colOff>50800</xdr:colOff>
                <xdr:row>8</xdr:row>
                <xdr:rowOff>0</xdr:rowOff>
              </from>
              <to>
                <xdr:col>11</xdr:col>
                <xdr:colOff>171450</xdr:colOff>
                <xdr:row>9</xdr:row>
                <xdr:rowOff>19050</xdr:rowOff>
              </to>
            </anchor>
          </controlPr>
        </control>
      </mc:Choice>
      <mc:Fallback>
        <control shapeId="472065" r:id="rId4" name="CheckBox1"/>
      </mc:Fallback>
    </mc:AlternateContent>
    <mc:AlternateContent xmlns:mc="http://schemas.openxmlformats.org/markup-compatibility/2006">
      <mc:Choice Requires="x14">
        <control shapeId="472066" r:id="rId6" name="CheckBox2">
          <controlPr defaultSize="0" autoLine="0" autoPict="0" r:id="rId7">
            <anchor moveWithCells="1">
              <from>
                <xdr:col>1</xdr:col>
                <xdr:colOff>57150</xdr:colOff>
                <xdr:row>8</xdr:row>
                <xdr:rowOff>0</xdr:rowOff>
              </from>
              <to>
                <xdr:col>3</xdr:col>
                <xdr:colOff>488950</xdr:colOff>
                <xdr:row>9</xdr:row>
                <xdr:rowOff>19050</xdr:rowOff>
              </to>
            </anchor>
          </controlPr>
        </control>
      </mc:Choice>
      <mc:Fallback>
        <control shapeId="472066" r:id="rId6" name="CheckBox2"/>
      </mc:Fallback>
    </mc:AlternateContent>
    <mc:AlternateContent xmlns:mc="http://schemas.openxmlformats.org/markup-compatibility/2006">
      <mc:Choice Requires="x14">
        <control shapeId="472067" r:id="rId8" name="Option Button 3">
          <controlPr defaultSize="0" autoFill="0" autoLine="0" autoPict="0">
            <anchor moveWithCells="1">
              <from>
                <xdr:col>1</xdr:col>
                <xdr:colOff>50800</xdr:colOff>
                <xdr:row>47</xdr:row>
                <xdr:rowOff>57150</xdr:rowOff>
              </from>
              <to>
                <xdr:col>1</xdr:col>
                <xdr:colOff>1009650</xdr:colOff>
                <xdr:row>48</xdr:row>
                <xdr:rowOff>12700</xdr:rowOff>
              </to>
            </anchor>
          </controlPr>
        </control>
      </mc:Choice>
    </mc:AlternateContent>
    <mc:AlternateContent xmlns:mc="http://schemas.openxmlformats.org/markup-compatibility/2006">
      <mc:Choice Requires="x14">
        <control shapeId="472068" r:id="rId9" name="Option Button 4">
          <controlPr defaultSize="0" autoFill="0" autoLine="0" autoPict="0">
            <anchor moveWithCells="1">
              <from>
                <xdr:col>1</xdr:col>
                <xdr:colOff>1574800</xdr:colOff>
                <xdr:row>47</xdr:row>
                <xdr:rowOff>57150</xdr:rowOff>
              </from>
              <to>
                <xdr:col>3</xdr:col>
                <xdr:colOff>50800</xdr:colOff>
                <xdr:row>48</xdr:row>
                <xdr:rowOff>0</xdr:rowOff>
              </to>
            </anchor>
          </controlPr>
        </control>
      </mc:Choice>
    </mc:AlternateContent>
    <mc:AlternateContent xmlns:mc="http://schemas.openxmlformats.org/markup-compatibility/2006">
      <mc:Choice Requires="x14">
        <control shapeId="472069" r:id="rId10" name="Group Box 5">
          <controlPr defaultSize="0" autoFill="0" autoPict="0">
            <anchor moveWithCells="1">
              <from>
                <xdr:col>0</xdr:col>
                <xdr:colOff>57150</xdr:colOff>
                <xdr:row>46</xdr:row>
                <xdr:rowOff>0</xdr:rowOff>
              </from>
              <to>
                <xdr:col>3</xdr:col>
                <xdr:colOff>514350</xdr:colOff>
                <xdr:row>49</xdr:row>
                <xdr:rowOff>127000</xdr:rowOff>
              </to>
            </anchor>
          </controlPr>
        </control>
      </mc:Choice>
    </mc:AlternateContent>
    <mc:AlternateContent xmlns:mc="http://schemas.openxmlformats.org/markup-compatibility/2006">
      <mc:Choice Requires="x14">
        <control shapeId="472070" r:id="rId11" name="Option Button 6">
          <controlPr defaultSize="0" autoFill="0" autoLine="0" autoPict="0">
            <anchor moveWithCells="1">
              <from>
                <xdr:col>1</xdr:col>
                <xdr:colOff>323850</xdr:colOff>
                <xdr:row>88</xdr:row>
                <xdr:rowOff>114300</xdr:rowOff>
              </from>
              <to>
                <xdr:col>1</xdr:col>
                <xdr:colOff>889000</xdr:colOff>
                <xdr:row>89</xdr:row>
                <xdr:rowOff>107950</xdr:rowOff>
              </to>
            </anchor>
          </controlPr>
        </control>
      </mc:Choice>
    </mc:AlternateContent>
    <mc:AlternateContent xmlns:mc="http://schemas.openxmlformats.org/markup-compatibility/2006">
      <mc:Choice Requires="x14">
        <control shapeId="472071" r:id="rId12" name="Option Button 7">
          <controlPr defaultSize="0" autoFill="0" autoLine="0" autoPict="0">
            <anchor moveWithCells="1">
              <from>
                <xdr:col>1</xdr:col>
                <xdr:colOff>1574800</xdr:colOff>
                <xdr:row>88</xdr:row>
                <xdr:rowOff>114300</xdr:rowOff>
              </from>
              <to>
                <xdr:col>3</xdr:col>
                <xdr:colOff>50800</xdr:colOff>
                <xdr:row>89</xdr:row>
                <xdr:rowOff>127000</xdr:rowOff>
              </to>
            </anchor>
          </controlPr>
        </control>
      </mc:Choice>
    </mc:AlternateContent>
    <mc:AlternateContent xmlns:mc="http://schemas.openxmlformats.org/markup-compatibility/2006">
      <mc:Choice Requires="x14">
        <control shapeId="472072" r:id="rId13" name="Group Box 8">
          <controlPr defaultSize="0" autoFill="0" autoPict="0">
            <anchor moveWithCells="1">
              <from>
                <xdr:col>0</xdr:col>
                <xdr:colOff>57150</xdr:colOff>
                <xdr:row>87</xdr:row>
                <xdr:rowOff>114300</xdr:rowOff>
              </from>
              <to>
                <xdr:col>3</xdr:col>
                <xdr:colOff>476250</xdr:colOff>
                <xdr:row>90</xdr:row>
                <xdr:rowOff>114300</xdr:rowOff>
              </to>
            </anchor>
          </controlPr>
        </control>
      </mc:Choice>
    </mc:AlternateContent>
    <mc:AlternateContent xmlns:mc="http://schemas.openxmlformats.org/markup-compatibility/2006">
      <mc:Choice Requires="x14">
        <control shapeId="472073" r:id="rId14" name="Check Box 9">
          <controlPr defaultSize="0" autoFill="0" autoLine="0" autoPict="0">
            <anchor moveWithCells="1">
              <from>
                <xdr:col>1</xdr:col>
                <xdr:colOff>107950</xdr:colOff>
                <xdr:row>12</xdr:row>
                <xdr:rowOff>12700</xdr:rowOff>
              </from>
              <to>
                <xdr:col>1</xdr:col>
                <xdr:colOff>698500</xdr:colOff>
                <xdr:row>12</xdr:row>
                <xdr:rowOff>222250</xdr:rowOff>
              </to>
            </anchor>
          </controlPr>
        </control>
      </mc:Choice>
    </mc:AlternateContent>
    <mc:AlternateContent xmlns:mc="http://schemas.openxmlformats.org/markup-compatibility/2006">
      <mc:Choice Requires="x14">
        <control shapeId="472074" r:id="rId15" name="Check Box 10">
          <controlPr defaultSize="0" autoFill="0" autoLine="0" autoPict="0">
            <anchor moveWithCells="1">
              <from>
                <xdr:col>1</xdr:col>
                <xdr:colOff>736600</xdr:colOff>
                <xdr:row>12</xdr:row>
                <xdr:rowOff>12700</xdr:rowOff>
              </from>
              <to>
                <xdr:col>2</xdr:col>
                <xdr:colOff>355600</xdr:colOff>
                <xdr:row>12</xdr:row>
                <xdr:rowOff>260350</xdr:rowOff>
              </to>
            </anchor>
          </controlPr>
        </control>
      </mc:Choice>
    </mc:AlternateContent>
    <mc:AlternateContent xmlns:mc="http://schemas.openxmlformats.org/markup-compatibility/2006">
      <mc:Choice Requires="x14">
        <control shapeId="472075" r:id="rId16" name="Check Box 11">
          <controlPr defaultSize="0" autoFill="0" autoLine="0" autoPict="0">
            <anchor moveWithCells="1">
              <from>
                <xdr:col>1</xdr:col>
                <xdr:colOff>107950</xdr:colOff>
                <xdr:row>14</xdr:row>
                <xdr:rowOff>12700</xdr:rowOff>
              </from>
              <to>
                <xdr:col>1</xdr:col>
                <xdr:colOff>698500</xdr:colOff>
                <xdr:row>14</xdr:row>
                <xdr:rowOff>222250</xdr:rowOff>
              </to>
            </anchor>
          </controlPr>
        </control>
      </mc:Choice>
    </mc:AlternateContent>
    <mc:AlternateContent xmlns:mc="http://schemas.openxmlformats.org/markup-compatibility/2006">
      <mc:Choice Requires="x14">
        <control shapeId="472076" r:id="rId17" name="Check Box 12">
          <controlPr defaultSize="0" autoFill="0" autoLine="0" autoPict="0">
            <anchor moveWithCells="1">
              <from>
                <xdr:col>1</xdr:col>
                <xdr:colOff>736600</xdr:colOff>
                <xdr:row>14</xdr:row>
                <xdr:rowOff>0</xdr:rowOff>
              </from>
              <to>
                <xdr:col>2</xdr:col>
                <xdr:colOff>355600</xdr:colOff>
                <xdr:row>14</xdr:row>
                <xdr:rowOff>247650</xdr:rowOff>
              </to>
            </anchor>
          </controlPr>
        </control>
      </mc:Choice>
    </mc:AlternateContent>
    <mc:AlternateContent xmlns:mc="http://schemas.openxmlformats.org/markup-compatibility/2006">
      <mc:Choice Requires="x14">
        <control shapeId="472077" r:id="rId18" name="Check Box 13">
          <controlPr defaultSize="0" autoFill="0" autoLine="0" autoPict="0">
            <anchor moveWithCells="1">
              <from>
                <xdr:col>1</xdr:col>
                <xdr:colOff>114300</xdr:colOff>
                <xdr:row>16</xdr:row>
                <xdr:rowOff>50800</xdr:rowOff>
              </from>
              <to>
                <xdr:col>1</xdr:col>
                <xdr:colOff>704850</xdr:colOff>
                <xdr:row>16</xdr:row>
                <xdr:rowOff>260350</xdr:rowOff>
              </to>
            </anchor>
          </controlPr>
        </control>
      </mc:Choice>
    </mc:AlternateContent>
    <mc:AlternateContent xmlns:mc="http://schemas.openxmlformats.org/markup-compatibility/2006">
      <mc:Choice Requires="x14">
        <control shapeId="472078" r:id="rId19" name="Check Box 14">
          <controlPr defaultSize="0" autoFill="0" autoLine="0" autoPict="0">
            <anchor moveWithCells="1">
              <from>
                <xdr:col>1</xdr:col>
                <xdr:colOff>736600</xdr:colOff>
                <xdr:row>16</xdr:row>
                <xdr:rowOff>31750</xdr:rowOff>
              </from>
              <to>
                <xdr:col>2</xdr:col>
                <xdr:colOff>355600</xdr:colOff>
                <xdr:row>16</xdr:row>
                <xdr:rowOff>298450</xdr:rowOff>
              </to>
            </anchor>
          </controlPr>
        </control>
      </mc:Choice>
    </mc:AlternateContent>
  </control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5">
    <tabColor rgb="FF142C41"/>
    <pageSetUpPr fitToPage="1"/>
  </sheetPr>
  <dimension ref="A1:V43"/>
  <sheetViews>
    <sheetView showGridLines="0" topLeftCell="A2" zoomScaleNormal="100" workbookViewId="0">
      <selection activeCell="O61" sqref="O61"/>
    </sheetView>
  </sheetViews>
  <sheetFormatPr defaultColWidth="0" defaultRowHeight="14.5"/>
  <cols>
    <col min="1" max="1" width="4" style="42" customWidth="1"/>
    <col min="2" max="2" width="4.453125" style="42" customWidth="1"/>
    <col min="3" max="3" width="29.1796875" style="42" customWidth="1"/>
    <col min="4" max="4" width="37.453125" style="42" customWidth="1"/>
    <col min="5" max="5" width="35" style="42" hidden="1" customWidth="1"/>
    <col min="6" max="6" width="23.1796875" style="42" customWidth="1"/>
    <col min="7" max="7" width="17.81640625" style="42" customWidth="1"/>
    <col min="8" max="8" width="10.26953125" style="42" customWidth="1"/>
    <col min="9" max="11" width="10.26953125" style="42" hidden="1" customWidth="1"/>
    <col min="12" max="12" width="10.26953125" style="42" customWidth="1"/>
    <col min="13" max="13" width="5.54296875" style="42" customWidth="1"/>
    <col min="14" max="16384" width="0" style="42" hidden="1"/>
  </cols>
  <sheetData>
    <row r="1" spans="1:22" ht="32.5">
      <c r="A1" s="1892"/>
      <c r="B1" s="1911" t="str">
        <f>Development!$A$3&amp;" Residential Efficiency Program"</f>
        <v>2024 Residential Efficiency Program</v>
      </c>
      <c r="C1" s="1892"/>
      <c r="D1" s="1892"/>
      <c r="E1" s="1892"/>
      <c r="F1" s="1892"/>
      <c r="G1" s="1895"/>
      <c r="H1" s="1895"/>
      <c r="I1" s="1895"/>
      <c r="J1" s="10"/>
      <c r="K1" s="1895"/>
      <c r="L1" s="1895"/>
      <c r="M1" s="1895"/>
    </row>
    <row r="2" spans="1:22" ht="60" customHeight="1">
      <c r="A2" s="1892"/>
      <c r="B2" s="1910" t="str">
        <f>"Smart Thermostat Eligibility Table &amp; Worksheet, Version "&amp;Development!A2</f>
        <v>Smart Thermostat Eligibility Table &amp; Worksheet, Version 2.0</v>
      </c>
      <c r="C2" s="1894"/>
      <c r="D2" s="1892"/>
      <c r="E2" s="1892"/>
      <c r="F2" s="1892"/>
      <c r="G2" s="1895"/>
      <c r="H2" s="1895"/>
      <c r="I2" s="1895"/>
      <c r="J2" s="1895"/>
      <c r="K2" s="1909"/>
      <c r="L2" s="1895"/>
      <c r="M2" s="1895"/>
      <c r="N2" s="350"/>
      <c r="O2" s="350"/>
      <c r="P2" s="350"/>
      <c r="Q2" s="350"/>
      <c r="R2" s="350"/>
      <c r="S2" s="350"/>
      <c r="T2" s="350"/>
      <c r="U2" s="350"/>
      <c r="V2" s="350"/>
    </row>
    <row r="3" spans="1:22" ht="14.5" customHeight="1" thickBot="1">
      <c r="A3" s="1892"/>
      <c r="B3" s="1906"/>
      <c r="C3" s="1892"/>
      <c r="D3" s="1892"/>
      <c r="E3" s="1892"/>
      <c r="F3" s="1892"/>
      <c r="G3" s="1895"/>
      <c r="H3" s="1895"/>
      <c r="I3" s="1895"/>
      <c r="J3" s="10"/>
      <c r="K3" s="1895"/>
      <c r="L3" s="1895"/>
      <c r="M3" s="1895"/>
      <c r="N3" s="11"/>
      <c r="O3" s="11"/>
      <c r="P3" s="11"/>
      <c r="Q3" s="11"/>
      <c r="R3" s="11"/>
      <c r="S3" s="11"/>
      <c r="T3" s="11"/>
      <c r="U3" s="11"/>
      <c r="V3" s="11"/>
    </row>
    <row r="4" spans="1:22" ht="49.4" customHeight="1" thickTop="1">
      <c r="A4" s="1073"/>
      <c r="B4" s="2430" t="s">
        <v>4036</v>
      </c>
      <c r="C4" s="2430"/>
      <c r="D4" s="2430"/>
      <c r="E4" s="2430"/>
      <c r="F4" s="2430"/>
      <c r="G4" s="2430"/>
      <c r="H4" s="2430"/>
      <c r="I4" s="2430"/>
      <c r="J4" s="2430"/>
      <c r="K4" s="2430"/>
      <c r="L4" s="2430"/>
      <c r="M4" s="1073"/>
    </row>
    <row r="5" spans="1:22" ht="5.15" customHeight="1">
      <c r="B5" s="196"/>
      <c r="C5" s="59"/>
      <c r="D5" s="59"/>
      <c r="E5" s="59"/>
      <c r="F5" s="59"/>
      <c r="G5" s="59"/>
      <c r="H5" s="59"/>
      <c r="I5" s="59"/>
      <c r="J5" s="59"/>
      <c r="K5" s="59"/>
      <c r="L5" s="59"/>
    </row>
    <row r="6" spans="1:22" ht="20">
      <c r="B6" s="197" t="s">
        <v>29</v>
      </c>
    </row>
    <row r="7" spans="1:22" ht="10.4" customHeight="1">
      <c r="B7" s="197"/>
    </row>
    <row r="8" spans="1:22">
      <c r="B8" s="198" t="s">
        <v>23</v>
      </c>
      <c r="C8" s="42" t="s">
        <v>4931</v>
      </c>
    </row>
    <row r="9" spans="1:22" ht="15" customHeight="1">
      <c r="B9" s="198" t="s">
        <v>24</v>
      </c>
      <c r="C9" s="2318" t="s">
        <v>3601</v>
      </c>
      <c r="D9" s="2318"/>
      <c r="E9" s="2318"/>
      <c r="F9" s="2318"/>
      <c r="G9" s="2318"/>
      <c r="H9" s="2318"/>
      <c r="I9" s="2318"/>
      <c r="J9" s="2318"/>
    </row>
    <row r="10" spans="1:22">
      <c r="B10" s="198"/>
      <c r="C10" s="2318"/>
      <c r="D10" s="2318"/>
      <c r="E10" s="2318"/>
      <c r="F10" s="2318"/>
      <c r="G10" s="2318"/>
      <c r="H10" s="2318"/>
      <c r="I10" s="2318"/>
      <c r="J10" s="2318"/>
    </row>
    <row r="11" spans="1:22">
      <c r="B11" s="199"/>
      <c r="C11" s="1052" t="s">
        <v>3602</v>
      </c>
    </row>
    <row r="12" spans="1:22" ht="18.5">
      <c r="B12" s="199"/>
      <c r="C12" s="1907" t="s">
        <v>21</v>
      </c>
      <c r="D12" s="1907" t="s">
        <v>233</v>
      </c>
      <c r="F12" s="1515"/>
      <c r="G12" s="692"/>
    </row>
    <row r="13" spans="1:22">
      <c r="C13" s="1514" t="s">
        <v>949</v>
      </c>
      <c r="D13" s="666">
        <v>100</v>
      </c>
      <c r="F13" s="1516"/>
    </row>
    <row r="14" spans="1:22">
      <c r="C14" s="1514" t="s">
        <v>1956</v>
      </c>
      <c r="D14" s="666">
        <v>130</v>
      </c>
      <c r="F14" s="1516"/>
    </row>
    <row r="16" spans="1:22" hidden="1"/>
    <row r="17" spans="2:12" hidden="1"/>
    <row r="18" spans="2:12" ht="26.5" customHeight="1">
      <c r="C18" s="200" t="s">
        <v>4932</v>
      </c>
      <c r="F18" s="201" t="s">
        <v>359</v>
      </c>
    </row>
    <row r="19" spans="2:12" ht="14.5" customHeight="1">
      <c r="B19" s="200"/>
      <c r="E19" s="201"/>
    </row>
    <row r="20" spans="2:12" ht="28.4" customHeight="1">
      <c r="B20" s="2319" t="s">
        <v>80</v>
      </c>
      <c r="C20" s="2321"/>
      <c r="D20" s="1899" t="s">
        <v>360</v>
      </c>
      <c r="E20" s="1899" t="s">
        <v>78</v>
      </c>
      <c r="F20" s="1899" t="s">
        <v>79</v>
      </c>
      <c r="G20" s="1899" t="s">
        <v>289</v>
      </c>
      <c r="H20" s="1899" t="s">
        <v>2624</v>
      </c>
      <c r="I20" s="1899" t="s">
        <v>290</v>
      </c>
      <c r="J20" s="1899" t="s">
        <v>291</v>
      </c>
      <c r="K20" s="1908"/>
      <c r="L20" s="1908" t="s">
        <v>293</v>
      </c>
    </row>
    <row r="21" spans="2:12" ht="30" customHeight="1">
      <c r="B21" s="2358" t="s">
        <v>4933</v>
      </c>
      <c r="C21" s="2359"/>
      <c r="D21" s="235" t="s">
        <v>4936</v>
      </c>
      <c r="E21" s="235"/>
      <c r="F21" s="235">
        <v>12345</v>
      </c>
      <c r="G21" s="236">
        <v>1</v>
      </c>
      <c r="H21" s="236">
        <v>15</v>
      </c>
      <c r="I21" s="378"/>
      <c r="J21" s="235"/>
      <c r="K21" s="203" t="str">
        <f>IF(G21="","",IF(References!$C$42=TRUE,"HP Thermostat",IF(OR(RIGHT(I21,2)="HP",J21="Electric Heat"),"CH Thermostat Heating Cooling","CH Thermostat Cooling")))</f>
        <v>CH Thermostat Cooling</v>
      </c>
      <c r="L21" s="117">
        <f>IF(OR(B21="",D21="",G21="",H21=""),"",Qualifying_Index!W42)</f>
        <v>1950</v>
      </c>
    </row>
    <row r="22" spans="2:12" ht="30" customHeight="1">
      <c r="B22" s="2310" t="s">
        <v>4933</v>
      </c>
      <c r="C22" s="2312"/>
      <c r="D22" s="235" t="s">
        <v>4936</v>
      </c>
      <c r="E22" s="235"/>
      <c r="F22" s="235">
        <v>54321</v>
      </c>
      <c r="G22" s="236">
        <v>2</v>
      </c>
      <c r="H22" s="236">
        <v>15</v>
      </c>
      <c r="I22" s="378"/>
      <c r="J22" s="235"/>
      <c r="K22" s="203" t="str">
        <f>IF(G22="","",IF(References!$C$42=TRUE,"HP Thermostat",IF(OR(RIGHT(I22,2)="HP",J22="Electric Heat"),"CH Thermostat Heating Cooling","CH Thermostat Cooling")))</f>
        <v>CH Thermostat Cooling</v>
      </c>
      <c r="L22" s="117">
        <f>IF(OR(B22="",D22="",G22="",H22=""),"",Qualifying_Index!W43)</f>
        <v>1950</v>
      </c>
    </row>
    <row r="23" spans="2:12" ht="30" customHeight="1">
      <c r="B23" s="2310"/>
      <c r="C23" s="2312"/>
      <c r="D23" s="235"/>
      <c r="E23" s="235"/>
      <c r="F23" s="235"/>
      <c r="G23" s="236"/>
      <c r="H23" s="236"/>
      <c r="I23" s="378"/>
      <c r="J23" s="235"/>
      <c r="K23" s="203" t="str">
        <f>IF(G23="","",IF(References!$C$42=TRUE,"HP Thermostat",IF(OR(RIGHT(I23,2)="HP",J23="Electric Heat"),"CH Thermostat Heating Cooling","CH Thermostat Cooling")))</f>
        <v/>
      </c>
      <c r="L23" s="117" t="str">
        <f>IF(OR(B23="",D23="",G23="",H23=""),"",Qualifying_Index!W44)</f>
        <v/>
      </c>
    </row>
    <row r="24" spans="2:12" ht="30" customHeight="1">
      <c r="B24" s="2310"/>
      <c r="C24" s="2312"/>
      <c r="D24" s="235"/>
      <c r="E24" s="235"/>
      <c r="F24" s="235"/>
      <c r="G24" s="236"/>
      <c r="H24" s="236"/>
      <c r="I24" s="378"/>
      <c r="J24" s="235"/>
      <c r="K24" s="203" t="str">
        <f>IF(G24="","",IF(References!$C$42=TRUE,"HP Thermostat",IF(OR(RIGHT(I24,2)="HP",J24="Electric Heat"),"CH Thermostat Heating Cooling","CH Thermostat Cooling")))</f>
        <v/>
      </c>
      <c r="L24" s="117" t="str">
        <f>IF(OR(B24="",D24="",G24="",H24=""),"",Qualifying_Index!W45)</f>
        <v/>
      </c>
    </row>
    <row r="25" spans="2:12" ht="30" customHeight="1">
      <c r="B25" s="2310"/>
      <c r="C25" s="2312"/>
      <c r="D25" s="235"/>
      <c r="E25" s="235"/>
      <c r="F25" s="235"/>
      <c r="G25" s="236"/>
      <c r="H25" s="236"/>
      <c r="I25" s="378"/>
      <c r="J25" s="235"/>
      <c r="K25" s="203" t="str">
        <f>IF(G25="","",IF(References!$C$42=TRUE,"HP Thermostat",IF(OR(RIGHT(I25,2)="HP",J25="Electric Heat"),"CH Thermostat Heating Cooling","CH Thermostat Cooling")))</f>
        <v/>
      </c>
      <c r="L25" s="117" t="str">
        <f>IF(OR(B25="",D25="",G25="",H25=""),"",Qualifying_Index!W46)</f>
        <v/>
      </c>
    </row>
    <row r="26" spans="2:12" ht="30" customHeight="1">
      <c r="B26" s="2310"/>
      <c r="C26" s="2312"/>
      <c r="D26" s="235"/>
      <c r="E26" s="235"/>
      <c r="F26" s="235"/>
      <c r="G26" s="236"/>
      <c r="H26" s="236"/>
      <c r="I26" s="378"/>
      <c r="J26" s="235"/>
      <c r="K26" s="203" t="str">
        <f>IF(G26="","",IF(References!$C$42=TRUE,"HP Thermostat",IF(OR(RIGHT(I26,2)="HP",J26="Electric Heat"),"CH Thermostat Heating Cooling","CH Thermostat Cooling")))</f>
        <v/>
      </c>
      <c r="L26" s="117" t="str">
        <f>IF(OR(B26="",D26="",G26="",H26=""),"",Qualifying_Index!W47)</f>
        <v/>
      </c>
    </row>
    <row r="27" spans="2:12" ht="30" customHeight="1">
      <c r="B27" s="2310"/>
      <c r="C27" s="2312"/>
      <c r="D27" s="235"/>
      <c r="E27" s="235"/>
      <c r="F27" s="235"/>
      <c r="G27" s="236"/>
      <c r="H27" s="236"/>
      <c r="I27" s="378"/>
      <c r="J27" s="235"/>
      <c r="K27" s="203" t="str">
        <f>IF(G27="","",IF(References!$C$42=TRUE,"HP Thermostat",IF(OR(RIGHT(I27,2)="HP",J27="Electric Heat"),"CH Thermostat Heating Cooling","CH Thermostat Cooling")))</f>
        <v/>
      </c>
      <c r="L27" s="117" t="str">
        <f>IF(OR(B27="",D27="",G27="",H27=""),"",Qualifying_Index!W48)</f>
        <v/>
      </c>
    </row>
    <row r="28" spans="2:12" ht="30" customHeight="1">
      <c r="B28" s="2310"/>
      <c r="C28" s="2312"/>
      <c r="D28" s="235"/>
      <c r="E28" s="235"/>
      <c r="F28" s="235"/>
      <c r="G28" s="236"/>
      <c r="H28" s="236"/>
      <c r="I28" s="378"/>
      <c r="J28" s="235"/>
      <c r="K28" s="203" t="str">
        <f>IF(G28="","",IF(References!$C$42=TRUE,"HP Thermostat",IF(OR(RIGHT(I28,2)="HP",J28="Electric Heat"),"CH Thermostat Heating Cooling","CH Thermostat Cooling")))</f>
        <v/>
      </c>
      <c r="L28" s="117" t="str">
        <f>IF(OR(B28="",D28="",G28="",H28=""),"",Qualifying_Index!W49)</f>
        <v/>
      </c>
    </row>
    <row r="29" spans="2:12" ht="30" customHeight="1">
      <c r="B29" s="2310"/>
      <c r="C29" s="2312"/>
      <c r="D29" s="235"/>
      <c r="E29" s="235"/>
      <c r="F29" s="235"/>
      <c r="G29" s="236"/>
      <c r="H29" s="236"/>
      <c r="I29" s="378"/>
      <c r="J29" s="235"/>
      <c r="K29" s="203" t="str">
        <f>IF(G29="","",IF(References!$C$42=TRUE,"HP Thermostat",IF(OR(RIGHT(I29,2)="HP",J29="Electric Heat"),"CH Thermostat Heating Cooling","CH Thermostat Cooling")))</f>
        <v/>
      </c>
      <c r="L29" s="117" t="str">
        <f>IF(OR(B29="",D29="",G29="",H29=""),"",Qualifying_Index!W50)</f>
        <v/>
      </c>
    </row>
    <row r="30" spans="2:12" ht="30" customHeight="1">
      <c r="B30" s="2310"/>
      <c r="C30" s="2312"/>
      <c r="D30" s="235"/>
      <c r="E30" s="235"/>
      <c r="F30" s="235"/>
      <c r="G30" s="236"/>
      <c r="H30" s="236"/>
      <c r="I30" s="378"/>
      <c r="J30" s="235"/>
      <c r="K30" s="203" t="str">
        <f>IF(G30="","",IF(References!$C$42=TRUE,"HP Thermostat",IF(OR(RIGHT(I30,2)="HP",J30="Electric Heat"),"CH Thermostat Heating Cooling","CH Thermostat Cooling")))</f>
        <v/>
      </c>
      <c r="L30" s="117" t="str">
        <f>IF(OR(B30="",D30="",G30="",H30=""),"",Qualifying_Index!W51)</f>
        <v/>
      </c>
    </row>
    <row r="31" spans="2:12" ht="30" hidden="1" customHeight="1">
      <c r="B31" s="2310"/>
      <c r="C31" s="2312"/>
      <c r="D31" s="235"/>
      <c r="E31" s="235"/>
      <c r="F31" s="235"/>
      <c r="G31" s="236"/>
      <c r="H31" s="236"/>
      <c r="I31" s="378"/>
      <c r="J31" s="235"/>
      <c r="K31" s="203" t="str">
        <f>IF(I31="","",IF(References!$C$42=TRUE,"HP Thermostat",IF(OR(RIGHT(I31,2)="HP",J31="Electric Heat"),"CH Thermostat Heating Cooling","CH Thermostat Cooling")))</f>
        <v/>
      </c>
      <c r="L31" s="117" t="str">
        <f>IF(OR(B31="",D31="",F31="",,I31="",J31=""),"",Qualifying_Index!U52)</f>
        <v/>
      </c>
    </row>
    <row r="33" spans="2:12">
      <c r="I33" s="43" t="s">
        <v>272</v>
      </c>
      <c r="K33" s="135"/>
      <c r="L33" s="118">
        <f>SUM(L21:L31)</f>
        <v>3900</v>
      </c>
    </row>
    <row r="42" spans="2:12">
      <c r="B42" s="59"/>
      <c r="C42" s="59"/>
      <c r="D42" s="59"/>
      <c r="E42" s="59"/>
      <c r="F42" s="59"/>
      <c r="G42" s="59"/>
      <c r="H42" s="59"/>
      <c r="I42" s="59"/>
      <c r="J42" s="59"/>
      <c r="K42" s="59"/>
      <c r="L42" s="59"/>
    </row>
    <row r="43" spans="2:12">
      <c r="B43" s="195" t="s">
        <v>223</v>
      </c>
      <c r="D43" s="670" t="str">
        <f>Development!$A$2</f>
        <v>2.0</v>
      </c>
      <c r="I43" s="204" t="s">
        <v>225</v>
      </c>
      <c r="K43" s="205"/>
      <c r="L43" s="205" t="str">
        <f>Development!$A$4</f>
        <v>4.01.2024</v>
      </c>
    </row>
  </sheetData>
  <dataConsolidate/>
  <mergeCells count="14">
    <mergeCell ref="B28:C28"/>
    <mergeCell ref="B29:C29"/>
    <mergeCell ref="B30:C30"/>
    <mergeCell ref="B31:C31"/>
    <mergeCell ref="B23:C23"/>
    <mergeCell ref="B24:C24"/>
    <mergeCell ref="B25:C25"/>
    <mergeCell ref="B26:C26"/>
    <mergeCell ref="B27:C27"/>
    <mergeCell ref="B4:L4"/>
    <mergeCell ref="B20:C20"/>
    <mergeCell ref="B21:C21"/>
    <mergeCell ref="B22:C22"/>
    <mergeCell ref="C9:J10"/>
  </mergeCells>
  <dataValidations count="8">
    <dataValidation type="list" allowBlank="1" showInputMessage="1" showErrorMessage="1" sqref="G31:H31" xr:uid="{00000000-0002-0000-0500-000000000000}">
      <formula1>Unit_Number</formula1>
    </dataValidation>
    <dataValidation type="list" allowBlank="1" showInputMessage="1" showErrorMessage="1" sqref="I21:I31" xr:uid="{00000000-0002-0000-0500-000001000000}">
      <formula1>TStat_Equipment_Type</formula1>
    </dataValidation>
    <dataValidation type="list" allowBlank="1" showInputMessage="1" showErrorMessage="1" sqref="J21:J31" xr:uid="{00000000-0002-0000-0500-000002000000}">
      <formula1>Heating_Type</formula1>
    </dataValidation>
    <dataValidation type="list" allowBlank="1" showInputMessage="1" showErrorMessage="1" sqref="B21 B22:C31" xr:uid="{00000000-0002-0000-0500-000003000000}">
      <formula1>Tstat_Manufacturers</formula1>
    </dataValidation>
    <dataValidation type="list" allowBlank="1" showInputMessage="1" showErrorMessage="1" sqref="D31" xr:uid="{00000000-0002-0000-0500-000004000000}">
      <formula1>OFFSET(Start_ApprovedStats,0,MATCH(B31,Manufacturers,0)-1,8)</formula1>
    </dataValidation>
    <dataValidation type="list" allowBlank="1" showInputMessage="1" showErrorMessage="1" sqref="E21:E31" xr:uid="{00000000-0002-0000-0500-000005000000}">
      <formula1>OFFSET(Start_Models,0,MATCH(B21,Manufacturers2,0)-1,13)</formula1>
    </dataValidation>
    <dataValidation type="list" showInputMessage="1" showErrorMessage="1" sqref="G21:G30" xr:uid="{F22EEF13-2214-4043-A025-D46A0F0E9E89}">
      <formula1>Unit_Number</formula1>
    </dataValidation>
    <dataValidation type="list" allowBlank="1" showInputMessage="1" showErrorMessage="1" sqref="D21:D30" xr:uid="{D4EC62BD-6624-4F24-83A8-E63057C40DC3}">
      <formula1>OFFSET(Start_ApprovedStats,0,MATCH(B21,Manufacturers,0)-1,11)</formula1>
    </dataValidation>
  </dataValidations>
  <hyperlinks>
    <hyperlink ref="F18" r:id="rId1" xr:uid="{00000000-0004-0000-0500-000000000000}"/>
  </hyperlinks>
  <pageMargins left="0.7" right="0.7" top="0.75" bottom="0.75" header="0.3" footer="0.3"/>
  <pageSetup scale="39" fitToHeight="3"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extLst>
    <ext xmlns:x14="http://schemas.microsoft.com/office/spreadsheetml/2009/9/main" uri="{CCE6A557-97BC-4b89-ADB6-D9C93CAAB3DF}">
      <x14:dataValidations xmlns:xm="http://schemas.microsoft.com/office/excel/2006/main" count="1">
        <x14:dataValidation type="whole" allowBlank="1" showInputMessage="1" showErrorMessage="1" xr:uid="{6BE79F29-75A0-4E3C-919D-BB27DCC9C2BB}">
          <x14:formula1>
            <xm:f>1</xm:f>
          </x14:formula1>
          <x14:formula2>
            <xm:f>IF(OR(G21="",G21=0),0,INDEX('In Unit HVAC Worksheet'!$F$61:$F$70,MATCH(G21,'In Unit HVAC Worksheet'!$B$61:$B$70,0)))</xm:f>
          </x14:formula2>
          <xm:sqref>H21:H30</xm:sqref>
        </x14:dataValidation>
      </x14:dataValidation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7118AF-F7FB-4FE5-9D63-B70C036FCEF4}">
  <sheetPr codeName="Sheet47">
    <tabColor rgb="FF142C41"/>
    <pageSetUpPr fitToPage="1"/>
  </sheetPr>
  <dimension ref="A1:AH42"/>
  <sheetViews>
    <sheetView showGridLines="0" topLeftCell="E1" zoomScale="80" zoomScaleNormal="80" workbookViewId="0">
      <selection activeCell="O61" sqref="O61"/>
    </sheetView>
  </sheetViews>
  <sheetFormatPr defaultColWidth="0" defaultRowHeight="14"/>
  <cols>
    <col min="1" max="1" width="4.453125" style="157" customWidth="1"/>
    <col min="2" max="2" width="38.81640625" style="157" bestFit="1" customWidth="1"/>
    <col min="3" max="3" width="26.1796875" style="157" bestFit="1" customWidth="1"/>
    <col min="4" max="4" width="15.7265625" style="157" hidden="1" customWidth="1"/>
    <col min="5" max="5" width="19.453125" style="157" bestFit="1" customWidth="1"/>
    <col min="6" max="6" width="23.54296875" style="157" customWidth="1"/>
    <col min="7" max="7" width="15.453125" style="157" customWidth="1"/>
    <col min="8" max="8" width="13.54296875" style="157" bestFit="1" customWidth="1"/>
    <col min="9" max="9" width="11.54296875" style="157" customWidth="1"/>
    <col min="10" max="10" width="12.1796875" style="157" customWidth="1"/>
    <col min="11" max="13" width="8.54296875" style="157" customWidth="1"/>
    <col min="14" max="14" width="2.54296875" style="157" customWidth="1"/>
    <col min="15" max="16" width="11" style="157" customWidth="1"/>
    <col min="17" max="17" width="11.81640625" style="157" customWidth="1"/>
    <col min="18" max="18" width="17.453125" style="157" hidden="1" customWidth="1"/>
    <col min="19" max="19" width="2.54296875" style="157" customWidth="1"/>
    <col min="20" max="20" width="17.54296875" style="157" customWidth="1"/>
    <col min="21" max="21" width="15" style="157" customWidth="1"/>
    <col min="22" max="22" width="18.54296875" style="157" hidden="1" customWidth="1"/>
    <col min="23" max="23" width="15" style="157" customWidth="1"/>
    <col min="24" max="24" width="10.1796875" style="157" customWidth="1"/>
    <col min="25" max="26" width="10" style="157" customWidth="1"/>
    <col min="27" max="27" width="8.54296875" style="157" customWidth="1"/>
    <col min="28" max="28" width="2.54296875" style="157" customWidth="1"/>
    <col min="29" max="29" width="25.7265625" style="157" customWidth="1"/>
    <col min="30" max="30" width="21" style="157" customWidth="1"/>
    <col min="31" max="31" width="9" style="157" hidden="1" customWidth="1"/>
    <col min="32" max="32" width="11.453125" style="157" hidden="1" customWidth="1"/>
    <col min="33" max="33" width="16.54296875" style="157" customWidth="1"/>
    <col min="34" max="34" width="0" style="157" hidden="1" customWidth="1"/>
    <col min="35" max="16384" width="16.54296875" style="157" hidden="1"/>
  </cols>
  <sheetData>
    <row r="1" spans="1:33" ht="48" customHeight="1">
      <c r="A1" s="1891"/>
      <c r="B1" s="1891" t="str">
        <f>Development!$A$3&amp;" Multi-Family Program"</f>
        <v>2024 Multi-Family Program</v>
      </c>
      <c r="C1" s="1892"/>
      <c r="D1" s="1892"/>
      <c r="E1" s="1892"/>
      <c r="F1" s="1892"/>
      <c r="G1" s="1891"/>
      <c r="H1" s="1892"/>
      <c r="I1" s="1892"/>
      <c r="J1" s="1892"/>
      <c r="K1" s="1892"/>
      <c r="L1" s="1892"/>
      <c r="M1" s="1891"/>
      <c r="N1" s="1892"/>
      <c r="O1" s="1895"/>
      <c r="P1" s="1895"/>
      <c r="Q1" s="1895"/>
      <c r="R1" s="1895"/>
      <c r="S1" s="1897"/>
      <c r="T1" s="1895"/>
      <c r="U1" s="1895"/>
      <c r="V1" s="1895"/>
      <c r="W1" s="1895"/>
      <c r="X1" s="1895"/>
      <c r="Y1" s="1897"/>
      <c r="Z1" s="1895"/>
      <c r="AA1" s="1895"/>
      <c r="AB1" s="1895"/>
      <c r="AC1" s="1895"/>
      <c r="AD1" s="1895"/>
      <c r="AE1" s="1897"/>
      <c r="AF1" s="1895"/>
      <c r="AG1" s="1895"/>
    </row>
    <row r="2" spans="1:33" ht="47.5" customHeight="1" thickBot="1">
      <c r="A2" s="1893"/>
      <c r="B2" s="1894" t="str">
        <f>'Customer Information'!A2</f>
        <v>Multi-Family 
Rebate Application, Version 2.0</v>
      </c>
      <c r="C2" s="1892"/>
      <c r="D2" s="1892"/>
      <c r="E2" s="1892"/>
      <c r="F2" s="1892"/>
      <c r="G2" s="1893"/>
      <c r="H2" s="1892"/>
      <c r="I2" s="1892"/>
      <c r="J2" s="1892"/>
      <c r="K2" s="1892"/>
      <c r="L2" s="1892"/>
      <c r="M2" s="1893"/>
      <c r="N2" s="1892"/>
      <c r="O2" s="1895"/>
      <c r="P2" s="1895"/>
      <c r="Q2" s="1895"/>
      <c r="R2" s="1895"/>
      <c r="S2" s="1898"/>
      <c r="T2" s="1895"/>
      <c r="U2" s="1895"/>
      <c r="V2" s="1895"/>
      <c r="W2" s="1895"/>
      <c r="X2" s="1895"/>
      <c r="Y2" s="1898"/>
      <c r="Z2" s="1895"/>
      <c r="AA2" s="1895"/>
      <c r="AB2" s="1895"/>
      <c r="AC2" s="1895"/>
      <c r="AD2" s="1895"/>
      <c r="AE2" s="1898"/>
      <c r="AF2" s="1895"/>
      <c r="AG2" s="1895"/>
    </row>
    <row r="3" spans="1:33" ht="43.5" customHeight="1" thickTop="1">
      <c r="A3" s="1073"/>
      <c r="B3" s="1068" t="s">
        <v>2641</v>
      </c>
      <c r="C3" s="1073"/>
      <c r="D3" s="1073"/>
      <c r="E3" s="1073"/>
      <c r="F3" s="1073"/>
      <c r="G3" s="1073"/>
      <c r="H3" s="1073"/>
      <c r="I3" s="1073"/>
      <c r="J3" s="1073"/>
      <c r="K3" s="1073"/>
      <c r="L3" s="1073"/>
      <c r="M3" s="1073"/>
      <c r="N3" s="1073"/>
      <c r="O3" s="1073"/>
      <c r="P3" s="1073"/>
      <c r="Q3" s="1073"/>
      <c r="R3" s="1073"/>
      <c r="S3" s="1073"/>
      <c r="T3" s="1073"/>
      <c r="U3" s="1073"/>
      <c r="V3" s="1073"/>
      <c r="W3" s="1073"/>
      <c r="X3" s="1073"/>
      <c r="Y3" s="1073"/>
      <c r="Z3" s="1073"/>
      <c r="AA3" s="1073"/>
      <c r="AB3" s="1073"/>
      <c r="AC3" s="1073"/>
      <c r="AD3" s="1073"/>
      <c r="AE3" s="1073"/>
      <c r="AF3" s="1073"/>
      <c r="AG3" s="1073"/>
    </row>
    <row r="4" spans="1:33" ht="22.4" customHeight="1">
      <c r="A4"/>
      <c r="B4" s="783"/>
      <c r="C4" s="1018"/>
      <c r="D4" s="1018"/>
      <c r="AB4" s="894"/>
      <c r="AC4" s="2431" t="s">
        <v>2632</v>
      </c>
      <c r="AD4" s="2432"/>
      <c r="AE4" s="899"/>
    </row>
    <row r="5" spans="1:33" ht="16.5" customHeight="1">
      <c r="A5" s="699"/>
      <c r="B5" s="792" t="s">
        <v>2642</v>
      </c>
      <c r="C5" s="262"/>
      <c r="D5" s="262"/>
      <c r="F5" s="262"/>
      <c r="H5" s="262"/>
      <c r="U5" s="2023"/>
      <c r="AC5" s="2433"/>
      <c r="AD5" s="2434"/>
      <c r="AE5" s="925"/>
    </row>
    <row r="6" spans="1:33" ht="16.5" customHeight="1">
      <c r="A6" s="699" t="s">
        <v>23</v>
      </c>
      <c r="B6" s="1446" t="s">
        <v>3591</v>
      </c>
      <c r="C6" s="1019"/>
      <c r="D6" s="1019"/>
      <c r="E6" s="1019"/>
      <c r="F6" s="1016"/>
      <c r="G6" s="1020"/>
      <c r="H6" s="1020"/>
      <c r="AC6" s="784" t="s">
        <v>2633</v>
      </c>
      <c r="AD6" s="1025">
        <f>SUMIF('Common HVAC Calculation'!$AR$7:$AR$31,"&lt;&gt;#VALUE!")</f>
        <v>0.32142860000000001</v>
      </c>
      <c r="AE6" s="894"/>
    </row>
    <row r="7" spans="1:33" ht="16.5" customHeight="1">
      <c r="A7" s="699" t="s">
        <v>24</v>
      </c>
      <c r="B7" s="123" t="s">
        <v>3592</v>
      </c>
      <c r="C7" s="1019"/>
      <c r="D7" s="1019"/>
      <c r="E7" s="1019"/>
      <c r="F7" s="1017"/>
      <c r="G7" s="1019"/>
      <c r="H7" s="1019"/>
      <c r="R7" s="263" t="s">
        <v>3283</v>
      </c>
      <c r="AC7" s="785" t="s">
        <v>2634</v>
      </c>
      <c r="AD7" s="1028">
        <f>SUMIF('Common HVAC Calculation'!$BK$7:$BK$31,"&lt;&gt;#VALUE!")</f>
        <v>237.78461999999999</v>
      </c>
      <c r="AE7" s="894"/>
    </row>
    <row r="8" spans="1:33" ht="15.5">
      <c r="A8" s="699" t="s">
        <v>25</v>
      </c>
      <c r="B8" s="1029" t="s">
        <v>3344</v>
      </c>
      <c r="C8" s="1019"/>
      <c r="D8" s="1019"/>
      <c r="E8" s="1019"/>
      <c r="F8" s="1017"/>
      <c r="G8" s="2438"/>
      <c r="H8" s="2438"/>
      <c r="R8" s="1411" t="s">
        <v>292</v>
      </c>
      <c r="U8" s="2023"/>
      <c r="Y8" s="1412"/>
      <c r="Z8" s="1412"/>
      <c r="AA8" s="1412"/>
      <c r="AC8" s="785" t="s">
        <v>2635</v>
      </c>
      <c r="AD8" s="924">
        <f>SUMIF('Common HVAC Calculation'!$BI$7:$BI$31,"&lt;&gt;#VALUE!")</f>
        <v>7.0872863714400003</v>
      </c>
      <c r="AE8" s="894"/>
    </row>
    <row r="9" spans="1:33" ht="15.5">
      <c r="A9" s="699" t="s">
        <v>26</v>
      </c>
      <c r="B9" s="1029" t="s">
        <v>3345</v>
      </c>
      <c r="C9" s="1019"/>
      <c r="D9" s="1019"/>
      <c r="E9" s="1019"/>
      <c r="F9" s="1017"/>
      <c r="G9" s="2438"/>
      <c r="H9" s="2438"/>
      <c r="U9" s="2026"/>
      <c r="AC9" s="786" t="s">
        <v>2636</v>
      </c>
      <c r="AD9" s="923">
        <f>IF(SUM(AD16:AD40)=0,"",SUM(AD16:AD40))</f>
        <v>475.56923999999998</v>
      </c>
      <c r="AE9" s="894"/>
    </row>
    <row r="10" spans="1:33" ht="15.5">
      <c r="A10" s="699" t="s">
        <v>27</v>
      </c>
      <c r="B10" s="1029" t="s">
        <v>3346</v>
      </c>
      <c r="C10" s="1019"/>
      <c r="D10" s="1019"/>
      <c r="E10" s="1019"/>
      <c r="F10" s="1017"/>
      <c r="G10" s="2438"/>
      <c r="H10" s="2438"/>
      <c r="AC10" s="787" t="s">
        <v>2637</v>
      </c>
      <c r="AD10" s="922">
        <f>IF(AD9="","",MIN(SUM(R16:R40)*0.7,AD9))</f>
        <v>475.56923999999998</v>
      </c>
      <c r="AE10" s="895"/>
      <c r="AF10" s="921">
        <f>IF(AD9=0,"",AD10/AD9)</f>
        <v>1</v>
      </c>
    </row>
    <row r="11" spans="1:33" ht="15.5">
      <c r="B11" s="896"/>
      <c r="C11" s="1019"/>
      <c r="D11" s="1019"/>
      <c r="E11" s="1019"/>
      <c r="F11" s="1017"/>
      <c r="G11" s="1017"/>
      <c r="H11" s="1017"/>
    </row>
    <row r="12" spans="1:33" ht="15.5">
      <c r="B12" s="896"/>
      <c r="C12" s="896"/>
      <c r="D12" s="896"/>
      <c r="E12" s="896"/>
      <c r="F12" s="896"/>
      <c r="G12" s="896"/>
      <c r="H12" s="896"/>
    </row>
    <row r="13" spans="1:33">
      <c r="B13" s="2435" t="s">
        <v>2620</v>
      </c>
      <c r="C13" s="2436"/>
      <c r="D13" s="2436"/>
      <c r="E13" s="2436"/>
      <c r="F13" s="2436"/>
      <c r="G13" s="2436"/>
      <c r="H13" s="2436"/>
      <c r="I13" s="2436"/>
      <c r="J13" s="2436"/>
      <c r="K13" s="2436"/>
      <c r="L13" s="2436"/>
      <c r="M13" s="2437"/>
      <c r="N13" s="920"/>
      <c r="O13" s="2435" t="s">
        <v>2621</v>
      </c>
      <c r="P13" s="2436"/>
      <c r="Q13" s="2437"/>
      <c r="R13" s="919"/>
      <c r="S13" s="918"/>
      <c r="T13" s="2435" t="s">
        <v>2622</v>
      </c>
      <c r="U13" s="2436"/>
      <c r="V13" s="2436"/>
      <c r="W13" s="2436"/>
      <c r="X13" s="2436"/>
      <c r="Y13" s="2436"/>
      <c r="Z13" s="2436"/>
      <c r="AA13" s="2437"/>
      <c r="AB13" s="918"/>
      <c r="AC13" s="2435"/>
      <c r="AD13" s="2437"/>
    </row>
    <row r="14" spans="1:33" s="344" customFormat="1" ht="42" customHeight="1">
      <c r="A14" s="157"/>
      <c r="B14" s="1912" t="s">
        <v>1776</v>
      </c>
      <c r="C14" s="1912" t="s">
        <v>2152</v>
      </c>
      <c r="D14" s="1912"/>
      <c r="E14" s="1912" t="s">
        <v>2153</v>
      </c>
      <c r="F14" s="1912" t="s">
        <v>80</v>
      </c>
      <c r="G14" s="1912" t="s">
        <v>78</v>
      </c>
      <c r="H14" s="1912" t="s">
        <v>2623</v>
      </c>
      <c r="I14" s="1912" t="s">
        <v>2624</v>
      </c>
      <c r="J14" s="1912" t="s">
        <v>2625</v>
      </c>
      <c r="K14" s="1912" t="s">
        <v>13</v>
      </c>
      <c r="L14" s="1912" t="s">
        <v>14</v>
      </c>
      <c r="M14" s="1912" t="s">
        <v>2202</v>
      </c>
      <c r="N14" s="917"/>
      <c r="O14" s="1912" t="s">
        <v>3328</v>
      </c>
      <c r="P14" s="1912" t="s">
        <v>2626</v>
      </c>
      <c r="Q14" s="1912" t="s">
        <v>2627</v>
      </c>
      <c r="R14" s="916"/>
      <c r="S14" s="908"/>
      <c r="T14" s="1912" t="s">
        <v>2628</v>
      </c>
      <c r="U14" s="1912" t="s">
        <v>3327</v>
      </c>
      <c r="V14" s="1912"/>
      <c r="W14" s="1912" t="s">
        <v>2629</v>
      </c>
      <c r="X14" s="1912" t="s">
        <v>3326</v>
      </c>
      <c r="Y14" s="1912" t="s">
        <v>3325</v>
      </c>
      <c r="Z14" s="1912" t="s">
        <v>3324</v>
      </c>
      <c r="AA14" s="1912" t="s">
        <v>3323</v>
      </c>
      <c r="AB14" s="908"/>
      <c r="AC14" s="1912" t="s">
        <v>2630</v>
      </c>
      <c r="AD14" s="1912" t="s">
        <v>2631</v>
      </c>
    </row>
    <row r="15" spans="1:33" ht="20.149999999999999" customHeight="1">
      <c r="A15" s="788" t="s">
        <v>2638</v>
      </c>
      <c r="B15" s="789" t="s">
        <v>2189</v>
      </c>
      <c r="C15" s="789" t="s">
        <v>2157</v>
      </c>
      <c r="D15" s="789"/>
      <c r="E15" s="789" t="s">
        <v>2158</v>
      </c>
      <c r="F15" s="789" t="s">
        <v>2639</v>
      </c>
      <c r="G15" s="789" t="s">
        <v>2640</v>
      </c>
      <c r="H15" s="789">
        <v>5</v>
      </c>
      <c r="I15" s="789">
        <v>3</v>
      </c>
      <c r="J15" s="789">
        <v>16</v>
      </c>
      <c r="K15" s="789">
        <v>13</v>
      </c>
      <c r="L15" s="789">
        <v>8.5</v>
      </c>
      <c r="M15" s="789">
        <v>3.5</v>
      </c>
      <c r="N15" s="904"/>
      <c r="O15" s="790">
        <v>5000</v>
      </c>
      <c r="P15" s="790">
        <v>1500</v>
      </c>
      <c r="Q15" s="790">
        <v>6500</v>
      </c>
      <c r="R15" s="790"/>
      <c r="S15" s="908"/>
      <c r="T15" s="789" t="s">
        <v>2207</v>
      </c>
      <c r="U15" s="789" t="s">
        <v>1413</v>
      </c>
      <c r="V15" s="789"/>
      <c r="W15" s="915">
        <v>13</v>
      </c>
      <c r="X15" s="915">
        <v>9</v>
      </c>
      <c r="Y15" s="789">
        <v>8.5</v>
      </c>
      <c r="Z15" s="789">
        <v>1</v>
      </c>
      <c r="AA15" s="914">
        <v>0.8</v>
      </c>
      <c r="AB15" s="904"/>
      <c r="AC15" s="789"/>
      <c r="AD15" s="913"/>
    </row>
    <row r="16" spans="1:33" ht="20.149999999999999" customHeight="1">
      <c r="A16" s="157">
        <v>1</v>
      </c>
      <c r="B16" s="791" t="s">
        <v>2192</v>
      </c>
      <c r="C16" s="791" t="s">
        <v>2157</v>
      </c>
      <c r="D16" s="791">
        <f>IF(OR(B16="",C16="",IF(RIGHT(B16,18)&lt;&gt;"Climate Heat Pumps",E16="")),"",INDEX('Common HVAC References'!$T$4:$T$44,MATCH('Common HVAC Calculation'!$H7,'Common HVAC References'!$S$4:$S$44,0)))</f>
        <v>4</v>
      </c>
      <c r="E16" s="791" t="s">
        <v>2155</v>
      </c>
      <c r="F16" s="791" t="s">
        <v>5497</v>
      </c>
      <c r="G16" s="791" t="s">
        <v>5498</v>
      </c>
      <c r="H16" s="791">
        <v>1</v>
      </c>
      <c r="I16" s="791">
        <v>1</v>
      </c>
      <c r="J16" s="791">
        <v>20</v>
      </c>
      <c r="K16" s="791">
        <v>16</v>
      </c>
      <c r="L16" s="907">
        <v>10</v>
      </c>
      <c r="M16" s="907"/>
      <c r="N16" s="904"/>
      <c r="O16" s="911">
        <v>5000</v>
      </c>
      <c r="P16" s="911">
        <v>2500</v>
      </c>
      <c r="Q16" s="910">
        <f t="shared" ref="Q16:Q40" si="0">IF(OR(O16="",P16=""),"",P16+O16)</f>
        <v>7500</v>
      </c>
      <c r="R16" s="909">
        <f t="shared" ref="R16:R40" si="1">IF(OR(I16="",Q16=""),"",Q16*I16)</f>
        <v>7500</v>
      </c>
      <c r="S16" s="908"/>
      <c r="T16" s="791" t="s">
        <v>1404</v>
      </c>
      <c r="U16" s="791" t="s">
        <v>1404</v>
      </c>
      <c r="V16" s="791">
        <f>IF(OR(B16="",C16="",IF(RIGHT(B16,18)&lt;&gt;"Climate Heat Pumps",E16="")),"",IF(LEFT(T16,4)="Room",2,INDEX('Common HVAC References'!$U$4:$U$44,MATCH('Common HVAC Calculation'!$H7,'Common HVAC References'!$S$4:$S$44,0))))</f>
        <v>3</v>
      </c>
      <c r="W16" s="907"/>
      <c r="X16" s="791"/>
      <c r="Y16" s="906"/>
      <c r="Z16" s="906"/>
      <c r="AA16" s="905"/>
      <c r="AB16" s="904"/>
      <c r="AC16" s="903" t="str">
        <f>IF(OR(ISERROR('Common HVAC Calculation'!Y7),'Common HVAC Calculation'!C7=""),"",'Common HVAC Calculation'!Y7)</f>
        <v>PASS</v>
      </c>
      <c r="AD16" s="902">
        <f>IF(OR(I16="",T16="",U16="",Q16=""),"",'Common HVAC Calculation'!BM7)</f>
        <v>475.56923999999998</v>
      </c>
      <c r="AE16" s="901">
        <f t="shared" ref="AE16:AE40" si="2">IF(AD16="","",AD16*AF$10)</f>
        <v>475.56923999999998</v>
      </c>
      <c r="AF16" s="901">
        <f t="shared" ref="AF16:AF40" si="3">IF(AE16="","",AE16/I16)</f>
        <v>475.56923999999998</v>
      </c>
      <c r="AG16" s="900" t="str">
        <f t="shared" ref="AG16:AG40" si="4">IF(AND(OR(T16="",U16=""),AC16="PASS"),"*Please enter Existing Equipment Type. Enter ''None'' for New Construction*","")</f>
        <v/>
      </c>
    </row>
    <row r="17" spans="1:33" ht="20.149999999999999" customHeight="1">
      <c r="A17" s="912">
        <v>2</v>
      </c>
      <c r="B17" s="791"/>
      <c r="C17" s="791"/>
      <c r="D17" s="791" t="str">
        <f>IF(OR(B17="",C17="",IF(RIGHT(B17,18)&lt;&gt;"Climate Heat Pumps",E17="")),"",INDEX('Common HVAC References'!$T$4:$T$44,MATCH('Common HVAC Calculation'!$H8,'Common HVAC References'!$S$4:$S$44,0)))</f>
        <v/>
      </c>
      <c r="E17" s="791"/>
      <c r="F17" s="791"/>
      <c r="G17" s="791"/>
      <c r="H17" s="791"/>
      <c r="I17" s="791"/>
      <c r="J17" s="791"/>
      <c r="K17" s="791"/>
      <c r="L17" s="907"/>
      <c r="M17" s="907"/>
      <c r="N17" s="904"/>
      <c r="O17" s="911"/>
      <c r="P17" s="911"/>
      <c r="Q17" s="910" t="str">
        <f t="shared" si="0"/>
        <v/>
      </c>
      <c r="R17" s="909" t="str">
        <f t="shared" si="1"/>
        <v/>
      </c>
      <c r="S17" s="908"/>
      <c r="T17" s="791"/>
      <c r="U17" s="791"/>
      <c r="V17" s="791" t="str">
        <f>IF(OR(B17="",C17="",IF(RIGHT(B17,18)&lt;&gt;"Climate Heat Pumps",E17="")),"",IF(LEFT(T17,4)="Room",2,INDEX('Common HVAC References'!$U$4:$U$44,MATCH('Common HVAC Calculation'!$H8,'Common HVAC References'!$S$4:$S$44,0))))</f>
        <v/>
      </c>
      <c r="W17" s="907"/>
      <c r="X17" s="791"/>
      <c r="Y17" s="906"/>
      <c r="Z17" s="906"/>
      <c r="AA17" s="905"/>
      <c r="AB17" s="904"/>
      <c r="AC17" s="903" t="str">
        <f>IF(OR(ISERROR('Common HVAC Calculation'!Y8),'Common HVAC Calculation'!C8=""),"",'Common HVAC Calculation'!Y8)</f>
        <v/>
      </c>
      <c r="AD17" s="902" t="str">
        <f>IF(OR(I17="",T17="",U17="",Q17=""),"",'Common HVAC Calculation'!BM8)</f>
        <v/>
      </c>
      <c r="AE17" s="901" t="str">
        <f t="shared" si="2"/>
        <v/>
      </c>
      <c r="AF17" s="901" t="str">
        <f t="shared" si="3"/>
        <v/>
      </c>
      <c r="AG17" s="900" t="str">
        <f t="shared" si="4"/>
        <v/>
      </c>
    </row>
    <row r="18" spans="1:33" ht="20.149999999999999" customHeight="1">
      <c r="A18" s="912">
        <v>3</v>
      </c>
      <c r="B18" s="791"/>
      <c r="C18" s="791"/>
      <c r="D18" s="791" t="str">
        <f>IF(OR(B18="",C18="",IF(RIGHT(B18,18)&lt;&gt;"Climate Heat Pumps",E18="")),"",INDEX('Common HVAC References'!$T$4:$T$44,MATCH('Common HVAC Calculation'!$H9,'Common HVAC References'!$S$4:$S$44,0)))</f>
        <v/>
      </c>
      <c r="E18" s="791"/>
      <c r="F18" s="791"/>
      <c r="G18" s="791"/>
      <c r="H18" s="791"/>
      <c r="I18" s="791"/>
      <c r="J18" s="791"/>
      <c r="K18" s="791"/>
      <c r="L18" s="907"/>
      <c r="M18" s="907"/>
      <c r="N18" s="904"/>
      <c r="O18" s="911"/>
      <c r="P18" s="911"/>
      <c r="Q18" s="910" t="str">
        <f t="shared" si="0"/>
        <v/>
      </c>
      <c r="R18" s="909" t="str">
        <f t="shared" si="1"/>
        <v/>
      </c>
      <c r="S18" s="908"/>
      <c r="T18" s="791"/>
      <c r="U18" s="791"/>
      <c r="V18" s="791" t="str">
        <f>IF(OR(B18="",C18="",IF(RIGHT(B18,18)&lt;&gt;"Climate Heat Pumps",E18="")),"",IF(LEFT(T18,4)="Room",2,INDEX('Common HVAC References'!$U$4:$U$44,MATCH('Common HVAC Calculation'!$H9,'Common HVAC References'!$S$4:$S$44,0))))</f>
        <v/>
      </c>
      <c r="W18" s="907"/>
      <c r="X18" s="791"/>
      <c r="Y18" s="906"/>
      <c r="Z18" s="906"/>
      <c r="AA18" s="905"/>
      <c r="AB18" s="904"/>
      <c r="AC18" s="903" t="str">
        <f>IF(OR(ISERROR('Common HVAC Calculation'!Y9),'Common HVAC Calculation'!C9=""),"",'Common HVAC Calculation'!Y9)</f>
        <v/>
      </c>
      <c r="AD18" s="902" t="str">
        <f>IF(OR(I18="",T18="",U18="",Q18=""),"",'Common HVAC Calculation'!BM9)</f>
        <v/>
      </c>
      <c r="AE18" s="901" t="str">
        <f t="shared" si="2"/>
        <v/>
      </c>
      <c r="AF18" s="901" t="str">
        <f t="shared" si="3"/>
        <v/>
      </c>
      <c r="AG18" s="900" t="str">
        <f t="shared" si="4"/>
        <v/>
      </c>
    </row>
    <row r="19" spans="1:33" ht="20.149999999999999" customHeight="1">
      <c r="A19" s="912">
        <v>4</v>
      </c>
      <c r="B19" s="791"/>
      <c r="C19" s="791"/>
      <c r="D19" s="791" t="str">
        <f>IF(OR(B19="",C19="",IF(RIGHT(B19,18)&lt;&gt;"Climate Heat Pumps",E19="")),"",INDEX('Common HVAC References'!$T$4:$T$44,MATCH('Common HVAC Calculation'!$H10,'Common HVAC References'!$S$4:$S$44,0)))</f>
        <v/>
      </c>
      <c r="E19" s="791"/>
      <c r="F19" s="791"/>
      <c r="G19" s="791"/>
      <c r="H19" s="791"/>
      <c r="I19" s="791"/>
      <c r="J19" s="791"/>
      <c r="K19" s="791"/>
      <c r="L19" s="907"/>
      <c r="M19" s="907"/>
      <c r="N19" s="904"/>
      <c r="O19" s="911"/>
      <c r="P19" s="911"/>
      <c r="Q19" s="910" t="str">
        <f t="shared" si="0"/>
        <v/>
      </c>
      <c r="R19" s="909" t="str">
        <f t="shared" si="1"/>
        <v/>
      </c>
      <c r="S19" s="908"/>
      <c r="T19" s="791"/>
      <c r="U19" s="791"/>
      <c r="V19" s="791" t="str">
        <f>IF(OR(B19="",C19="",IF(RIGHT(B19,18)&lt;&gt;"Climate Heat Pumps",E19="")),"",IF(LEFT(T19,4)="Room",2,INDEX('Common HVAC References'!$U$4:$U$44,MATCH('Common HVAC Calculation'!$H10,'Common HVAC References'!$S$4:$S$44,0))))</f>
        <v/>
      </c>
      <c r="W19" s="907"/>
      <c r="X19" s="791"/>
      <c r="Y19" s="906"/>
      <c r="Z19" s="906"/>
      <c r="AA19" s="905"/>
      <c r="AB19" s="904"/>
      <c r="AC19" s="903" t="str">
        <f>IF(OR(ISERROR('Common HVAC Calculation'!Y10),'Common HVAC Calculation'!C10=""),"",'Common HVAC Calculation'!Y10)</f>
        <v/>
      </c>
      <c r="AD19" s="902" t="str">
        <f>IF(OR(I19="",T19="",U19="",Q19=""),"",'Common HVAC Calculation'!BM10)</f>
        <v/>
      </c>
      <c r="AE19" s="901" t="str">
        <f t="shared" si="2"/>
        <v/>
      </c>
      <c r="AF19" s="901" t="str">
        <f t="shared" si="3"/>
        <v/>
      </c>
      <c r="AG19" s="900" t="str">
        <f t="shared" si="4"/>
        <v/>
      </c>
    </row>
    <row r="20" spans="1:33" ht="20.149999999999999" customHeight="1">
      <c r="A20" s="912">
        <v>5</v>
      </c>
      <c r="B20" s="791"/>
      <c r="C20" s="791"/>
      <c r="D20" s="791" t="str">
        <f>IF(OR(B20="",C20="",IF(RIGHT(B20,18)&lt;&gt;"Climate Heat Pumps",E20="")),"",INDEX('Common HVAC References'!$T$4:$T$44,MATCH('Common HVAC Calculation'!$H11,'Common HVAC References'!$S$4:$S$44,0)))</f>
        <v/>
      </c>
      <c r="E20" s="791"/>
      <c r="F20" s="791"/>
      <c r="G20" s="791"/>
      <c r="H20" s="791"/>
      <c r="I20" s="791"/>
      <c r="J20" s="791"/>
      <c r="K20" s="791"/>
      <c r="L20" s="907"/>
      <c r="M20" s="907"/>
      <c r="N20" s="904"/>
      <c r="O20" s="911"/>
      <c r="P20" s="911"/>
      <c r="Q20" s="910" t="str">
        <f t="shared" si="0"/>
        <v/>
      </c>
      <c r="R20" s="909" t="str">
        <f t="shared" si="1"/>
        <v/>
      </c>
      <c r="S20" s="908"/>
      <c r="T20" s="791"/>
      <c r="U20" s="791"/>
      <c r="V20" s="791" t="str">
        <f>IF(OR(B20="",C20="",IF(RIGHT(B20,18)&lt;&gt;"Climate Heat Pumps",E20="")),"",IF(LEFT(T20,4)="Room",2,INDEX('Common HVAC References'!$U$4:$U$44,MATCH('Common HVAC Calculation'!$H11,'Common HVAC References'!$S$4:$S$44,0))))</f>
        <v/>
      </c>
      <c r="W20" s="907"/>
      <c r="X20" s="791"/>
      <c r="Y20" s="906"/>
      <c r="Z20" s="906"/>
      <c r="AA20" s="905"/>
      <c r="AB20" s="904"/>
      <c r="AC20" s="903" t="str">
        <f>IF(OR(ISERROR('Common HVAC Calculation'!Y11),'Common HVAC Calculation'!C11=""),"",'Common HVAC Calculation'!Y11)</f>
        <v/>
      </c>
      <c r="AD20" s="902" t="str">
        <f>IF(OR(I20="",T20="",U20="",Q20=""),"",'Common HVAC Calculation'!BM11)</f>
        <v/>
      </c>
      <c r="AE20" s="901" t="str">
        <f t="shared" si="2"/>
        <v/>
      </c>
      <c r="AF20" s="901" t="str">
        <f t="shared" si="3"/>
        <v/>
      </c>
      <c r="AG20" s="900" t="str">
        <f t="shared" si="4"/>
        <v/>
      </c>
    </row>
    <row r="21" spans="1:33" ht="20.149999999999999" customHeight="1">
      <c r="A21" s="912">
        <v>6</v>
      </c>
      <c r="B21" s="791"/>
      <c r="C21" s="791"/>
      <c r="D21" s="791" t="str">
        <f>IF(OR(B21="",C21="",IF(RIGHT(B21,18)&lt;&gt;"Climate Heat Pumps",E21="")),"",INDEX('Common HVAC References'!$T$4:$T$44,MATCH('Common HVAC Calculation'!$H12,'Common HVAC References'!$S$4:$S$44,0)))</f>
        <v/>
      </c>
      <c r="E21" s="791"/>
      <c r="F21" s="791"/>
      <c r="G21" s="791"/>
      <c r="H21" s="791"/>
      <c r="I21" s="791"/>
      <c r="J21" s="791"/>
      <c r="K21" s="791"/>
      <c r="L21" s="907"/>
      <c r="M21" s="907"/>
      <c r="N21" s="904"/>
      <c r="O21" s="911"/>
      <c r="P21" s="911"/>
      <c r="Q21" s="910" t="str">
        <f t="shared" si="0"/>
        <v/>
      </c>
      <c r="R21" s="909" t="str">
        <f t="shared" si="1"/>
        <v/>
      </c>
      <c r="S21" s="908"/>
      <c r="T21" s="791"/>
      <c r="U21" s="791"/>
      <c r="V21" s="791" t="str">
        <f>IF(OR(B21="",C21="",IF(RIGHT(B21,18)&lt;&gt;"Climate Heat Pumps",E21="")),"",IF(LEFT(T21,4)="Room",2,INDEX('Common HVAC References'!$U$4:$U$44,MATCH('Common HVAC Calculation'!$H12,'Common HVAC References'!$S$4:$S$44,0))))</f>
        <v/>
      </c>
      <c r="W21" s="907"/>
      <c r="X21" s="791"/>
      <c r="Y21" s="906"/>
      <c r="Z21" s="906"/>
      <c r="AA21" s="905"/>
      <c r="AB21" s="904"/>
      <c r="AC21" s="903" t="str">
        <f>IF(OR(ISERROR('Common HVAC Calculation'!Y12),'Common HVAC Calculation'!C12=""),"",'Common HVAC Calculation'!Y12)</f>
        <v/>
      </c>
      <c r="AD21" s="902" t="str">
        <f>IF(OR(I21="",T21="",U21="",Q21=""),"",'Common HVAC Calculation'!BM12)</f>
        <v/>
      </c>
      <c r="AE21" s="901" t="str">
        <f t="shared" si="2"/>
        <v/>
      </c>
      <c r="AF21" s="901" t="str">
        <f t="shared" si="3"/>
        <v/>
      </c>
      <c r="AG21" s="900" t="str">
        <f t="shared" si="4"/>
        <v/>
      </c>
    </row>
    <row r="22" spans="1:33" ht="20.149999999999999" customHeight="1">
      <c r="A22" s="912">
        <v>7</v>
      </c>
      <c r="B22" s="791"/>
      <c r="C22" s="791"/>
      <c r="D22" s="791" t="str">
        <f>IF(OR(B22="",C22="",IF(RIGHT(B22,18)&lt;&gt;"Climate Heat Pumps",E22="")),"",INDEX('Common HVAC References'!$T$4:$T$44,MATCH('Common HVAC Calculation'!$H13,'Common HVAC References'!$S$4:$S$44,0)))</f>
        <v/>
      </c>
      <c r="E22" s="791"/>
      <c r="F22" s="791"/>
      <c r="G22" s="791"/>
      <c r="H22" s="791"/>
      <c r="I22" s="791"/>
      <c r="J22" s="791"/>
      <c r="K22" s="791"/>
      <c r="L22" s="907"/>
      <c r="M22" s="907"/>
      <c r="N22" s="904"/>
      <c r="O22" s="911"/>
      <c r="P22" s="911"/>
      <c r="Q22" s="910" t="str">
        <f t="shared" si="0"/>
        <v/>
      </c>
      <c r="R22" s="909" t="str">
        <f t="shared" si="1"/>
        <v/>
      </c>
      <c r="S22" s="908"/>
      <c r="T22" s="791"/>
      <c r="U22" s="791"/>
      <c r="V22" s="791" t="str">
        <f>IF(OR(B22="",C22="",IF(RIGHT(B22,18)&lt;&gt;"Climate Heat Pumps",E22="")),"",IF(LEFT(T22,4)="Room",2,INDEX('Common HVAC References'!$U$4:$U$44,MATCH('Common HVAC Calculation'!$H13,'Common HVAC References'!$S$4:$S$44,0))))</f>
        <v/>
      </c>
      <c r="W22" s="907"/>
      <c r="X22" s="791"/>
      <c r="Y22" s="906"/>
      <c r="Z22" s="906"/>
      <c r="AA22" s="905"/>
      <c r="AB22" s="904"/>
      <c r="AC22" s="903" t="str">
        <f>IF(OR(ISERROR('Common HVAC Calculation'!Y13),'Common HVAC Calculation'!C13=""),"",'Common HVAC Calculation'!Y13)</f>
        <v/>
      </c>
      <c r="AD22" s="902" t="str">
        <f>IF(OR(I22="",T22="",U22="",Q22=""),"",'Common HVAC Calculation'!BM13)</f>
        <v/>
      </c>
      <c r="AE22" s="901" t="str">
        <f t="shared" si="2"/>
        <v/>
      </c>
      <c r="AF22" s="901" t="str">
        <f t="shared" si="3"/>
        <v/>
      </c>
      <c r="AG22" s="900" t="str">
        <f t="shared" si="4"/>
        <v/>
      </c>
    </row>
    <row r="23" spans="1:33" ht="20.149999999999999" customHeight="1">
      <c r="A23" s="912">
        <v>8</v>
      </c>
      <c r="B23" s="791"/>
      <c r="C23" s="791"/>
      <c r="D23" s="791" t="str">
        <f>IF(OR(B23="",C23="",IF(RIGHT(B23,18)&lt;&gt;"Climate Heat Pumps",E23="")),"",INDEX('Common HVAC References'!$T$4:$T$44,MATCH('Common HVAC Calculation'!$H14,'Common HVAC References'!$S$4:$S$44,0)))</f>
        <v/>
      </c>
      <c r="E23" s="791"/>
      <c r="F23" s="791"/>
      <c r="G23" s="791"/>
      <c r="H23" s="791"/>
      <c r="I23" s="791"/>
      <c r="J23" s="791"/>
      <c r="K23" s="791"/>
      <c r="L23" s="907"/>
      <c r="M23" s="907"/>
      <c r="N23" s="904"/>
      <c r="O23" s="911"/>
      <c r="P23" s="911"/>
      <c r="Q23" s="910" t="str">
        <f t="shared" si="0"/>
        <v/>
      </c>
      <c r="R23" s="909" t="str">
        <f t="shared" si="1"/>
        <v/>
      </c>
      <c r="S23" s="908"/>
      <c r="T23" s="791"/>
      <c r="U23" s="791"/>
      <c r="V23" s="791" t="str">
        <f>IF(OR(B23="",C23="",IF(RIGHT(B23,18)&lt;&gt;"Climate Heat Pumps",E23="")),"",IF(LEFT(T23,4)="Room",2,INDEX('Common HVAC References'!$U$4:$U$44,MATCH('Common HVAC Calculation'!$H14,'Common HVAC References'!$S$4:$S$44,0))))</f>
        <v/>
      </c>
      <c r="W23" s="907"/>
      <c r="X23" s="791"/>
      <c r="Y23" s="906"/>
      <c r="Z23" s="906"/>
      <c r="AA23" s="905"/>
      <c r="AB23" s="904"/>
      <c r="AC23" s="903" t="str">
        <f>IF(OR(ISERROR('Common HVAC Calculation'!Y14),'Common HVAC Calculation'!C14=""),"",'Common HVAC Calculation'!Y14)</f>
        <v/>
      </c>
      <c r="AD23" s="902" t="str">
        <f>IF(OR(I23="",T23="",U23="",Q23=""),"",'Common HVAC Calculation'!BM14)</f>
        <v/>
      </c>
      <c r="AE23" s="901" t="str">
        <f t="shared" si="2"/>
        <v/>
      </c>
      <c r="AF23" s="901" t="str">
        <f t="shared" si="3"/>
        <v/>
      </c>
      <c r="AG23" s="900" t="str">
        <f t="shared" si="4"/>
        <v/>
      </c>
    </row>
    <row r="24" spans="1:33" ht="20.149999999999999" customHeight="1">
      <c r="A24" s="912">
        <v>9</v>
      </c>
      <c r="B24" s="791"/>
      <c r="C24" s="791"/>
      <c r="D24" s="791" t="str">
        <f>IF(OR(B24="",C24="",IF(RIGHT(B24,18)&lt;&gt;"Climate Heat Pumps",E24="")),"",INDEX('Common HVAC References'!$T$4:$T$44,MATCH('Common HVAC Calculation'!$H15,'Common HVAC References'!$S$4:$S$44,0)))</f>
        <v/>
      </c>
      <c r="E24" s="791"/>
      <c r="F24" s="791"/>
      <c r="G24" s="791"/>
      <c r="H24" s="791"/>
      <c r="I24" s="791"/>
      <c r="J24" s="791"/>
      <c r="K24" s="791"/>
      <c r="L24" s="907"/>
      <c r="M24" s="907"/>
      <c r="N24" s="904"/>
      <c r="O24" s="911"/>
      <c r="P24" s="911"/>
      <c r="Q24" s="910" t="str">
        <f t="shared" si="0"/>
        <v/>
      </c>
      <c r="R24" s="909" t="str">
        <f t="shared" si="1"/>
        <v/>
      </c>
      <c r="S24" s="908"/>
      <c r="T24" s="791"/>
      <c r="U24" s="791"/>
      <c r="V24" s="791" t="str">
        <f>IF(OR(B24="",C24="",IF(RIGHT(B24,18)&lt;&gt;"Climate Heat Pumps",E24="")),"",IF(LEFT(T24,4)="Room",2,INDEX('Common HVAC References'!$U$4:$U$44,MATCH('Common HVAC Calculation'!$H15,'Common HVAC References'!$S$4:$S$44,0))))</f>
        <v/>
      </c>
      <c r="W24" s="907"/>
      <c r="X24" s="791"/>
      <c r="Y24" s="906"/>
      <c r="Z24" s="906"/>
      <c r="AA24" s="905"/>
      <c r="AB24" s="904"/>
      <c r="AC24" s="903" t="str">
        <f>IF(OR(ISERROR('Common HVAC Calculation'!Y15),'Common HVAC Calculation'!C15=""),"",'Common HVAC Calculation'!Y15)</f>
        <v/>
      </c>
      <c r="AD24" s="902" t="str">
        <f>IF(OR(I24="",T24="",U24="",Q24=""),"",'Common HVAC Calculation'!BM15)</f>
        <v/>
      </c>
      <c r="AE24" s="901" t="str">
        <f t="shared" si="2"/>
        <v/>
      </c>
      <c r="AF24" s="901" t="str">
        <f t="shared" si="3"/>
        <v/>
      </c>
      <c r="AG24" s="900" t="str">
        <f t="shared" si="4"/>
        <v/>
      </c>
    </row>
    <row r="25" spans="1:33" ht="20.149999999999999" customHeight="1">
      <c r="A25" s="912">
        <v>10</v>
      </c>
      <c r="B25" s="791"/>
      <c r="C25" s="791"/>
      <c r="D25" s="791" t="str">
        <f>IF(OR(B25="",C25="",IF(RIGHT(B25,18)&lt;&gt;"Climate Heat Pumps",E25="")),"",INDEX('Common HVAC References'!$T$4:$T$44,MATCH('Common HVAC Calculation'!$H16,'Common HVAC References'!$S$4:$S$44,0)))</f>
        <v/>
      </c>
      <c r="E25" s="791"/>
      <c r="F25" s="791"/>
      <c r="G25" s="791"/>
      <c r="H25" s="791"/>
      <c r="I25" s="791"/>
      <c r="J25" s="791"/>
      <c r="K25" s="791"/>
      <c r="L25" s="907"/>
      <c r="M25" s="907"/>
      <c r="N25" s="904"/>
      <c r="O25" s="911"/>
      <c r="P25" s="911"/>
      <c r="Q25" s="910" t="str">
        <f t="shared" si="0"/>
        <v/>
      </c>
      <c r="R25" s="909" t="str">
        <f t="shared" si="1"/>
        <v/>
      </c>
      <c r="S25" s="908"/>
      <c r="T25" s="791"/>
      <c r="U25" s="791"/>
      <c r="V25" s="791" t="str">
        <f>IF(OR(B25="",C25="",IF(RIGHT(B25,18)&lt;&gt;"Climate Heat Pumps",E25="")),"",IF(LEFT(T25,4)="Room",2,INDEX('Common HVAC References'!$U$4:$U$44,MATCH('Common HVAC Calculation'!$H16,'Common HVAC References'!$S$4:$S$44,0))))</f>
        <v/>
      </c>
      <c r="W25" s="907"/>
      <c r="X25" s="791"/>
      <c r="Y25" s="906"/>
      <c r="Z25" s="906"/>
      <c r="AA25" s="905"/>
      <c r="AB25" s="904"/>
      <c r="AC25" s="903" t="str">
        <f>IF(OR(ISERROR('Common HVAC Calculation'!Y16),'Common HVAC Calculation'!C16=""),"",'Common HVAC Calculation'!Y16)</f>
        <v/>
      </c>
      <c r="AD25" s="902" t="str">
        <f>IF(OR(I25="",T25="",U25="",Q25=""),"",'Common HVAC Calculation'!BM16)</f>
        <v/>
      </c>
      <c r="AE25" s="901" t="str">
        <f t="shared" si="2"/>
        <v/>
      </c>
      <c r="AF25" s="901" t="str">
        <f t="shared" si="3"/>
        <v/>
      </c>
      <c r="AG25" s="900" t="str">
        <f t="shared" si="4"/>
        <v/>
      </c>
    </row>
    <row r="26" spans="1:33" ht="20.149999999999999" customHeight="1">
      <c r="A26" s="912">
        <v>11</v>
      </c>
      <c r="B26" s="791"/>
      <c r="C26" s="791"/>
      <c r="D26" s="791" t="str">
        <f>IF(OR(B26="",C26="",IF(RIGHT(B26,18)&lt;&gt;"Climate Heat Pumps",E26="")),"",INDEX('Common HVAC References'!$T$4:$T$44,MATCH('Common HVAC Calculation'!$H17,'Common HVAC References'!$S$4:$S$44,0)))</f>
        <v/>
      </c>
      <c r="E26" s="791"/>
      <c r="F26" s="791"/>
      <c r="G26" s="791"/>
      <c r="H26" s="791"/>
      <c r="I26" s="791"/>
      <c r="J26" s="791"/>
      <c r="K26" s="791"/>
      <c r="L26" s="907"/>
      <c r="M26" s="907"/>
      <c r="N26" s="904"/>
      <c r="O26" s="911"/>
      <c r="P26" s="911"/>
      <c r="Q26" s="910" t="str">
        <f t="shared" si="0"/>
        <v/>
      </c>
      <c r="R26" s="909" t="str">
        <f t="shared" si="1"/>
        <v/>
      </c>
      <c r="S26" s="908"/>
      <c r="T26" s="791"/>
      <c r="U26" s="791"/>
      <c r="V26" s="791" t="str">
        <f>IF(OR(B26="",C26="",IF(RIGHT(B26,18)&lt;&gt;"Climate Heat Pumps",E26="")),"",IF(LEFT(T26,4)="Room",2,INDEX('Common HVAC References'!$U$4:$U$44,MATCH('Common HVAC Calculation'!$H17,'Common HVAC References'!$S$4:$S$44,0))))</f>
        <v/>
      </c>
      <c r="W26" s="907"/>
      <c r="X26" s="791"/>
      <c r="Y26" s="906"/>
      <c r="Z26" s="906"/>
      <c r="AA26" s="905"/>
      <c r="AB26" s="904"/>
      <c r="AC26" s="903" t="str">
        <f>IF(OR(ISERROR('Common HVAC Calculation'!Y17),'Common HVAC Calculation'!C17=""),"",'Common HVAC Calculation'!Y17)</f>
        <v/>
      </c>
      <c r="AD26" s="902" t="str">
        <f>IF(OR(I26="",T26="",U26="",Q26=""),"",'Common HVAC Calculation'!BM17)</f>
        <v/>
      </c>
      <c r="AE26" s="901" t="str">
        <f t="shared" si="2"/>
        <v/>
      </c>
      <c r="AF26" s="901" t="str">
        <f t="shared" si="3"/>
        <v/>
      </c>
      <c r="AG26" s="900" t="str">
        <f t="shared" si="4"/>
        <v/>
      </c>
    </row>
    <row r="27" spans="1:33" ht="20.149999999999999" customHeight="1">
      <c r="A27" s="912">
        <v>12</v>
      </c>
      <c r="B27" s="791"/>
      <c r="C27" s="791"/>
      <c r="D27" s="791" t="str">
        <f>IF(OR(B27="",C27="",IF(RIGHT(B27,18)&lt;&gt;"Climate Heat Pumps",E27="")),"",INDEX('Common HVAC References'!$T$4:$T$44,MATCH('Common HVAC Calculation'!$H18,'Common HVAC References'!$S$4:$S$44,0)))</f>
        <v/>
      </c>
      <c r="E27" s="791"/>
      <c r="F27" s="791"/>
      <c r="G27" s="791"/>
      <c r="H27" s="791"/>
      <c r="I27" s="791"/>
      <c r="J27" s="791"/>
      <c r="K27" s="791"/>
      <c r="L27" s="907"/>
      <c r="M27" s="907"/>
      <c r="N27" s="904"/>
      <c r="O27" s="911"/>
      <c r="P27" s="911"/>
      <c r="Q27" s="910" t="str">
        <f t="shared" si="0"/>
        <v/>
      </c>
      <c r="R27" s="909" t="str">
        <f t="shared" si="1"/>
        <v/>
      </c>
      <c r="S27" s="908"/>
      <c r="T27" s="791"/>
      <c r="U27" s="791"/>
      <c r="V27" s="791" t="str">
        <f>IF(OR(B27="",C27="",IF(RIGHT(B27,18)&lt;&gt;"Climate Heat Pumps",E27="")),"",IF(LEFT(T27,4)="Room",2,INDEX('Common HVAC References'!$U$4:$U$44,MATCH('Common HVAC Calculation'!$H18,'Common HVAC References'!$S$4:$S$44,0))))</f>
        <v/>
      </c>
      <c r="W27" s="907"/>
      <c r="X27" s="791"/>
      <c r="Y27" s="906"/>
      <c r="Z27" s="906"/>
      <c r="AA27" s="905"/>
      <c r="AB27" s="904"/>
      <c r="AC27" s="903" t="str">
        <f>IF(OR(ISERROR('Common HVAC Calculation'!Y18),'Common HVAC Calculation'!C18=""),"",'Common HVAC Calculation'!Y18)</f>
        <v/>
      </c>
      <c r="AD27" s="902" t="str">
        <f>IF(OR(I27="",T27="",U27="",Q27=""),"",'Common HVAC Calculation'!BM18)</f>
        <v/>
      </c>
      <c r="AE27" s="901" t="str">
        <f t="shared" si="2"/>
        <v/>
      </c>
      <c r="AF27" s="901" t="str">
        <f t="shared" si="3"/>
        <v/>
      </c>
      <c r="AG27" s="900" t="str">
        <f t="shared" si="4"/>
        <v/>
      </c>
    </row>
    <row r="28" spans="1:33" ht="20.149999999999999" customHeight="1">
      <c r="A28" s="912">
        <v>13</v>
      </c>
      <c r="B28" s="791"/>
      <c r="C28" s="791"/>
      <c r="D28" s="791" t="str">
        <f>IF(OR(B28="",C28="",IF(RIGHT(B28,18)&lt;&gt;"Climate Heat Pumps",E28="")),"",INDEX('Common HVAC References'!$T$4:$T$44,MATCH('Common HVAC Calculation'!$H19,'Common HVAC References'!$S$4:$S$44,0)))</f>
        <v/>
      </c>
      <c r="E28" s="791"/>
      <c r="F28" s="791"/>
      <c r="G28" s="791"/>
      <c r="H28" s="791"/>
      <c r="I28" s="791"/>
      <c r="J28" s="791"/>
      <c r="K28" s="791"/>
      <c r="L28" s="907"/>
      <c r="M28" s="907"/>
      <c r="N28" s="904"/>
      <c r="O28" s="911"/>
      <c r="P28" s="911"/>
      <c r="Q28" s="910" t="str">
        <f t="shared" si="0"/>
        <v/>
      </c>
      <c r="R28" s="909" t="str">
        <f t="shared" si="1"/>
        <v/>
      </c>
      <c r="S28" s="908"/>
      <c r="T28" s="791"/>
      <c r="U28" s="791"/>
      <c r="V28" s="791" t="str">
        <f>IF(OR(B28="",C28="",IF(RIGHT(B28,18)&lt;&gt;"Climate Heat Pumps",E28="")),"",IF(LEFT(T28,4)="Room",2,INDEX('Common HVAC References'!$U$4:$U$44,MATCH('Common HVAC Calculation'!$H19,'Common HVAC References'!$S$4:$S$44,0))))</f>
        <v/>
      </c>
      <c r="W28" s="907"/>
      <c r="X28" s="791"/>
      <c r="Y28" s="906"/>
      <c r="Z28" s="906"/>
      <c r="AA28" s="905"/>
      <c r="AB28" s="904"/>
      <c r="AC28" s="903" t="str">
        <f>IF(OR(ISERROR('Common HVAC Calculation'!Y19),'Common HVAC Calculation'!C19=""),"",'Common HVAC Calculation'!Y19)</f>
        <v/>
      </c>
      <c r="AD28" s="902" t="str">
        <f>IF(OR(I28="",T28="",U28="",Q28=""),"",'Common HVAC Calculation'!BM19)</f>
        <v/>
      </c>
      <c r="AE28" s="901" t="str">
        <f t="shared" si="2"/>
        <v/>
      </c>
      <c r="AF28" s="901" t="str">
        <f t="shared" si="3"/>
        <v/>
      </c>
      <c r="AG28" s="900" t="str">
        <f t="shared" si="4"/>
        <v/>
      </c>
    </row>
    <row r="29" spans="1:33" ht="20.149999999999999" customHeight="1">
      <c r="A29" s="912">
        <v>14</v>
      </c>
      <c r="B29" s="791"/>
      <c r="C29" s="791"/>
      <c r="D29" s="791" t="str">
        <f>IF(OR(B29="",C29="",IF(RIGHT(B29,18)&lt;&gt;"Climate Heat Pumps",E29="")),"",INDEX('Common HVAC References'!$T$4:$T$44,MATCH('Common HVAC Calculation'!$H20,'Common HVAC References'!$S$4:$S$44,0)))</f>
        <v/>
      </c>
      <c r="E29" s="791"/>
      <c r="F29" s="791"/>
      <c r="G29" s="791"/>
      <c r="H29" s="791"/>
      <c r="I29" s="791"/>
      <c r="J29" s="791"/>
      <c r="K29" s="791"/>
      <c r="L29" s="907"/>
      <c r="M29" s="907"/>
      <c r="N29" s="904"/>
      <c r="O29" s="911"/>
      <c r="P29" s="911"/>
      <c r="Q29" s="910" t="str">
        <f t="shared" si="0"/>
        <v/>
      </c>
      <c r="R29" s="909" t="str">
        <f t="shared" si="1"/>
        <v/>
      </c>
      <c r="S29" s="908"/>
      <c r="T29" s="791"/>
      <c r="U29" s="791"/>
      <c r="V29" s="791" t="str">
        <f>IF(OR(B29="",C29="",IF(RIGHT(B29,18)&lt;&gt;"Climate Heat Pumps",E29="")),"",IF(LEFT(T29,4)="Room",2,INDEX('Common HVAC References'!$U$4:$U$44,MATCH('Common HVAC Calculation'!$H20,'Common HVAC References'!$S$4:$S$44,0))))</f>
        <v/>
      </c>
      <c r="W29" s="907"/>
      <c r="X29" s="791"/>
      <c r="Y29" s="906"/>
      <c r="Z29" s="906"/>
      <c r="AA29" s="905"/>
      <c r="AB29" s="904"/>
      <c r="AC29" s="903" t="str">
        <f>IF(OR(ISERROR('Common HVAC Calculation'!Y20),'Common HVAC Calculation'!C20=""),"",'Common HVAC Calculation'!Y20)</f>
        <v/>
      </c>
      <c r="AD29" s="902" t="str">
        <f>IF(OR(I29="",T29="",U29="",Q29=""),"",'Common HVAC Calculation'!BM20)</f>
        <v/>
      </c>
      <c r="AE29" s="901" t="str">
        <f t="shared" si="2"/>
        <v/>
      </c>
      <c r="AF29" s="901" t="str">
        <f t="shared" si="3"/>
        <v/>
      </c>
      <c r="AG29" s="900" t="str">
        <f t="shared" si="4"/>
        <v/>
      </c>
    </row>
    <row r="30" spans="1:33" ht="20.149999999999999" customHeight="1">
      <c r="A30" s="912">
        <v>15</v>
      </c>
      <c r="B30" s="791"/>
      <c r="C30" s="791"/>
      <c r="D30" s="791" t="str">
        <f>IF(OR(B30="",C30="",IF(RIGHT(B30,18)&lt;&gt;"Climate Heat Pumps",E30="")),"",INDEX('Common HVAC References'!$T$4:$T$44,MATCH('Common HVAC Calculation'!$H21,'Common HVAC References'!$S$4:$S$44,0)))</f>
        <v/>
      </c>
      <c r="E30" s="791"/>
      <c r="F30" s="791"/>
      <c r="G30" s="791"/>
      <c r="H30" s="791"/>
      <c r="I30" s="791"/>
      <c r="J30" s="791"/>
      <c r="K30" s="791"/>
      <c r="L30" s="907"/>
      <c r="M30" s="907"/>
      <c r="N30" s="904"/>
      <c r="O30" s="911"/>
      <c r="P30" s="911"/>
      <c r="Q30" s="910" t="str">
        <f t="shared" si="0"/>
        <v/>
      </c>
      <c r="R30" s="909" t="str">
        <f t="shared" si="1"/>
        <v/>
      </c>
      <c r="S30" s="908"/>
      <c r="T30" s="791"/>
      <c r="U30" s="791"/>
      <c r="V30" s="791" t="str">
        <f>IF(OR(B30="",C30="",IF(RIGHT(B30,18)&lt;&gt;"Climate Heat Pumps",E30="")),"",IF(LEFT(T30,4)="Room",2,INDEX('Common HVAC References'!$U$4:$U$44,MATCH('Common HVAC Calculation'!$H21,'Common HVAC References'!$S$4:$S$44,0))))</f>
        <v/>
      </c>
      <c r="W30" s="907"/>
      <c r="X30" s="791"/>
      <c r="Y30" s="906"/>
      <c r="Z30" s="906"/>
      <c r="AA30" s="905"/>
      <c r="AB30" s="904"/>
      <c r="AC30" s="903" t="str">
        <f>IF(OR(ISERROR('Common HVAC Calculation'!Y21),'Common HVAC Calculation'!C21=""),"",'Common HVAC Calculation'!Y21)</f>
        <v/>
      </c>
      <c r="AD30" s="902" t="str">
        <f>IF(OR(I30="",T30="",U30="",Q30=""),"",'Common HVAC Calculation'!BM21)</f>
        <v/>
      </c>
      <c r="AE30" s="901" t="str">
        <f t="shared" si="2"/>
        <v/>
      </c>
      <c r="AF30" s="901" t="str">
        <f t="shared" si="3"/>
        <v/>
      </c>
      <c r="AG30" s="900" t="str">
        <f t="shared" si="4"/>
        <v/>
      </c>
    </row>
    <row r="31" spans="1:33" ht="20.149999999999999" customHeight="1">
      <c r="A31" s="912">
        <v>16</v>
      </c>
      <c r="B31" s="791"/>
      <c r="C31" s="791"/>
      <c r="D31" s="791" t="str">
        <f>IF(OR(B31="",C31="",IF(RIGHT(B31,18)&lt;&gt;"Climate Heat Pumps",E31="")),"",INDEX('Common HVAC References'!$T$4:$T$44,MATCH('Common HVAC Calculation'!$H22,'Common HVAC References'!$S$4:$S$44,0)))</f>
        <v/>
      </c>
      <c r="E31" s="791"/>
      <c r="F31" s="791"/>
      <c r="G31" s="791"/>
      <c r="H31" s="791"/>
      <c r="I31" s="791"/>
      <c r="J31" s="791"/>
      <c r="K31" s="791"/>
      <c r="L31" s="907"/>
      <c r="M31" s="907"/>
      <c r="N31" s="904"/>
      <c r="O31" s="911"/>
      <c r="P31" s="911"/>
      <c r="Q31" s="910" t="str">
        <f t="shared" si="0"/>
        <v/>
      </c>
      <c r="R31" s="909" t="str">
        <f t="shared" si="1"/>
        <v/>
      </c>
      <c r="S31" s="908"/>
      <c r="T31" s="791"/>
      <c r="U31" s="791"/>
      <c r="V31" s="791" t="str">
        <f>IF(OR(B31="",C31="",IF(RIGHT(B31,18)&lt;&gt;"Climate Heat Pumps",E31="")),"",IF(LEFT(T31,4)="Room",2,INDEX('Common HVAC References'!$U$4:$U$44,MATCH('Common HVAC Calculation'!$H22,'Common HVAC References'!$S$4:$S$44,0))))</f>
        <v/>
      </c>
      <c r="W31" s="907"/>
      <c r="X31" s="791"/>
      <c r="Y31" s="906"/>
      <c r="Z31" s="906"/>
      <c r="AA31" s="905"/>
      <c r="AB31" s="904"/>
      <c r="AC31" s="903" t="str">
        <f>IF(OR(ISERROR('Common HVAC Calculation'!Y22),'Common HVAC Calculation'!C22=""),"",'Common HVAC Calculation'!Y22)</f>
        <v/>
      </c>
      <c r="AD31" s="902" t="str">
        <f>IF(OR(I31="",T31="",U31="",Q31=""),"",'Common HVAC Calculation'!BM22)</f>
        <v/>
      </c>
      <c r="AE31" s="901" t="str">
        <f t="shared" si="2"/>
        <v/>
      </c>
      <c r="AF31" s="901" t="str">
        <f t="shared" si="3"/>
        <v/>
      </c>
      <c r="AG31" s="900" t="str">
        <f t="shared" si="4"/>
        <v/>
      </c>
    </row>
    <row r="32" spans="1:33" ht="20.149999999999999" customHeight="1">
      <c r="A32" s="912">
        <v>17</v>
      </c>
      <c r="B32" s="791"/>
      <c r="C32" s="791"/>
      <c r="D32" s="791" t="str">
        <f>IF(OR(B32="",C32="",IF(RIGHT(B32,18)&lt;&gt;"Climate Heat Pumps",E32="")),"",INDEX('Common HVAC References'!$T$4:$T$44,MATCH('Common HVAC Calculation'!$H23,'Common HVAC References'!$S$4:$S$44,0)))</f>
        <v/>
      </c>
      <c r="E32" s="791"/>
      <c r="F32" s="791"/>
      <c r="G32" s="791"/>
      <c r="H32" s="791"/>
      <c r="I32" s="791"/>
      <c r="J32" s="791"/>
      <c r="K32" s="791"/>
      <c r="L32" s="907"/>
      <c r="M32" s="907"/>
      <c r="N32" s="904"/>
      <c r="O32" s="911"/>
      <c r="P32" s="911"/>
      <c r="Q32" s="910" t="str">
        <f t="shared" si="0"/>
        <v/>
      </c>
      <c r="R32" s="909" t="str">
        <f t="shared" si="1"/>
        <v/>
      </c>
      <c r="S32" s="908"/>
      <c r="T32" s="791"/>
      <c r="U32" s="791"/>
      <c r="V32" s="791" t="str">
        <f>IF(OR(B32="",C32="",IF(RIGHT(B32,18)&lt;&gt;"Climate Heat Pumps",E32="")),"",IF(LEFT(T32,4)="Room",2,INDEX('Common HVAC References'!$U$4:$U$44,MATCH('Common HVAC Calculation'!$H23,'Common HVAC References'!$S$4:$S$44,0))))</f>
        <v/>
      </c>
      <c r="W32" s="907"/>
      <c r="X32" s="791"/>
      <c r="Y32" s="906"/>
      <c r="Z32" s="906"/>
      <c r="AA32" s="905"/>
      <c r="AB32" s="904"/>
      <c r="AC32" s="903" t="str">
        <f>IF(OR(ISERROR('Common HVAC Calculation'!Y23),'Common HVAC Calculation'!C23=""),"",'Common HVAC Calculation'!Y23)</f>
        <v/>
      </c>
      <c r="AD32" s="902" t="str">
        <f>IF(OR(I32="",T32="",U32="",Q32=""),"",'Common HVAC Calculation'!BM23)</f>
        <v/>
      </c>
      <c r="AE32" s="901" t="str">
        <f t="shared" si="2"/>
        <v/>
      </c>
      <c r="AF32" s="901" t="str">
        <f t="shared" si="3"/>
        <v/>
      </c>
      <c r="AG32" s="900" t="str">
        <f t="shared" si="4"/>
        <v/>
      </c>
    </row>
    <row r="33" spans="1:33" ht="20.149999999999999" customHeight="1">
      <c r="A33" s="912">
        <v>18</v>
      </c>
      <c r="B33" s="791"/>
      <c r="C33" s="791"/>
      <c r="D33" s="791" t="str">
        <f>IF(OR(B33="",C33="",IF(RIGHT(B33,18)&lt;&gt;"Climate Heat Pumps",E33="")),"",INDEX('Common HVAC References'!$T$4:$T$44,MATCH('Common HVAC Calculation'!$H24,'Common HVAC References'!$S$4:$S$44,0)))</f>
        <v/>
      </c>
      <c r="E33" s="791"/>
      <c r="F33" s="791"/>
      <c r="G33" s="791"/>
      <c r="H33" s="791"/>
      <c r="I33" s="791"/>
      <c r="J33" s="791"/>
      <c r="K33" s="791"/>
      <c r="L33" s="907"/>
      <c r="M33" s="907"/>
      <c r="N33" s="904"/>
      <c r="O33" s="911"/>
      <c r="P33" s="911"/>
      <c r="Q33" s="910" t="str">
        <f t="shared" si="0"/>
        <v/>
      </c>
      <c r="R33" s="909" t="str">
        <f t="shared" si="1"/>
        <v/>
      </c>
      <c r="S33" s="908"/>
      <c r="T33" s="791"/>
      <c r="U33" s="791"/>
      <c r="V33" s="791" t="str">
        <f>IF(OR(B33="",C33="",IF(RIGHT(B33,18)&lt;&gt;"Climate Heat Pumps",E33="")),"",IF(LEFT(T33,4)="Room",2,INDEX('Common HVAC References'!$U$4:$U$44,MATCH('Common HVAC Calculation'!$H24,'Common HVAC References'!$S$4:$S$44,0))))</f>
        <v/>
      </c>
      <c r="W33" s="907"/>
      <c r="X33" s="791"/>
      <c r="Y33" s="906"/>
      <c r="Z33" s="906"/>
      <c r="AA33" s="905"/>
      <c r="AB33" s="904"/>
      <c r="AC33" s="903" t="str">
        <f>IF(OR(ISERROR('Common HVAC Calculation'!Y24),'Common HVAC Calculation'!C24=""),"",'Common HVAC Calculation'!Y24)</f>
        <v/>
      </c>
      <c r="AD33" s="902" t="str">
        <f>IF(OR(I33="",T33="",U33="",Q33=""),"",'Common HVAC Calculation'!BM24)</f>
        <v/>
      </c>
      <c r="AE33" s="901" t="str">
        <f t="shared" si="2"/>
        <v/>
      </c>
      <c r="AF33" s="901" t="str">
        <f t="shared" si="3"/>
        <v/>
      </c>
      <c r="AG33" s="900" t="str">
        <f t="shared" si="4"/>
        <v/>
      </c>
    </row>
    <row r="34" spans="1:33" ht="20.149999999999999" customHeight="1">
      <c r="A34" s="912">
        <v>19</v>
      </c>
      <c r="B34" s="791"/>
      <c r="C34" s="791"/>
      <c r="D34" s="791" t="str">
        <f>IF(OR(B34="",C34="",IF(RIGHT(B34,18)&lt;&gt;"Climate Heat Pumps",E34="")),"",INDEX('Common HVAC References'!$T$4:$T$44,MATCH('Common HVAC Calculation'!$H25,'Common HVAC References'!$S$4:$S$44,0)))</f>
        <v/>
      </c>
      <c r="E34" s="791"/>
      <c r="F34" s="791"/>
      <c r="G34" s="791"/>
      <c r="H34" s="791"/>
      <c r="I34" s="791"/>
      <c r="J34" s="791"/>
      <c r="K34" s="791"/>
      <c r="L34" s="907"/>
      <c r="M34" s="907"/>
      <c r="N34" s="904"/>
      <c r="O34" s="911"/>
      <c r="P34" s="911"/>
      <c r="Q34" s="910" t="str">
        <f t="shared" si="0"/>
        <v/>
      </c>
      <c r="R34" s="909" t="str">
        <f t="shared" si="1"/>
        <v/>
      </c>
      <c r="S34" s="908"/>
      <c r="T34" s="791"/>
      <c r="U34" s="791"/>
      <c r="V34" s="791" t="str">
        <f>IF(OR(B34="",C34="",IF(RIGHT(B34,18)&lt;&gt;"Climate Heat Pumps",E34="")),"",IF(LEFT(T34,4)="Room",2,INDEX('Common HVAC References'!$U$4:$U$44,MATCH('Common HVAC Calculation'!$H25,'Common HVAC References'!$S$4:$S$44,0))))</f>
        <v/>
      </c>
      <c r="W34" s="907"/>
      <c r="X34" s="791"/>
      <c r="Y34" s="906"/>
      <c r="Z34" s="906"/>
      <c r="AA34" s="905"/>
      <c r="AB34" s="904"/>
      <c r="AC34" s="903" t="str">
        <f>IF(OR(ISERROR('Common HVAC Calculation'!Y25),'Common HVAC Calculation'!C25=""),"",'Common HVAC Calculation'!Y25)</f>
        <v/>
      </c>
      <c r="AD34" s="902" t="str">
        <f>IF(OR(I34="",T34="",U34="",Q34=""),"",'Common HVAC Calculation'!BM25)</f>
        <v/>
      </c>
      <c r="AE34" s="901" t="str">
        <f t="shared" si="2"/>
        <v/>
      </c>
      <c r="AF34" s="901" t="str">
        <f t="shared" si="3"/>
        <v/>
      </c>
      <c r="AG34" s="900" t="str">
        <f t="shared" si="4"/>
        <v/>
      </c>
    </row>
    <row r="35" spans="1:33" ht="20.149999999999999" customHeight="1">
      <c r="A35" s="912">
        <v>20</v>
      </c>
      <c r="B35" s="791"/>
      <c r="C35" s="791"/>
      <c r="D35" s="791" t="str">
        <f>IF(OR(B35="",C35="",IF(RIGHT(B35,18)&lt;&gt;"Climate Heat Pumps",E35="")),"",INDEX('Common HVAC References'!$T$4:$T$44,MATCH('Common HVAC Calculation'!$H26,'Common HVAC References'!$S$4:$S$44,0)))</f>
        <v/>
      </c>
      <c r="E35" s="791"/>
      <c r="F35" s="791"/>
      <c r="G35" s="791"/>
      <c r="H35" s="791"/>
      <c r="I35" s="791"/>
      <c r="J35" s="791"/>
      <c r="K35" s="791"/>
      <c r="L35" s="907"/>
      <c r="M35" s="907"/>
      <c r="N35" s="904"/>
      <c r="O35" s="911"/>
      <c r="P35" s="911"/>
      <c r="Q35" s="910" t="str">
        <f t="shared" si="0"/>
        <v/>
      </c>
      <c r="R35" s="909" t="str">
        <f t="shared" si="1"/>
        <v/>
      </c>
      <c r="S35" s="908"/>
      <c r="T35" s="791"/>
      <c r="U35" s="791"/>
      <c r="V35" s="791" t="str">
        <f>IF(OR(B35="",C35="",IF(RIGHT(B35,18)&lt;&gt;"Climate Heat Pumps",E35="")),"",IF(LEFT(T35,4)="Room",2,INDEX('Common HVAC References'!$U$4:$U$44,MATCH('Common HVAC Calculation'!$H26,'Common HVAC References'!$S$4:$S$44,0))))</f>
        <v/>
      </c>
      <c r="W35" s="907"/>
      <c r="X35" s="791"/>
      <c r="Y35" s="906"/>
      <c r="Z35" s="906"/>
      <c r="AA35" s="905"/>
      <c r="AB35" s="904"/>
      <c r="AC35" s="903" t="str">
        <f>IF(OR(ISERROR('Common HVAC Calculation'!Y26),'Common HVAC Calculation'!C26=""),"",'Common HVAC Calculation'!Y26)</f>
        <v/>
      </c>
      <c r="AD35" s="902" t="str">
        <f>IF(OR(I35="",T35="",U35="",Q35=""),"",'Common HVAC Calculation'!BM26)</f>
        <v/>
      </c>
      <c r="AE35" s="901" t="str">
        <f t="shared" si="2"/>
        <v/>
      </c>
      <c r="AF35" s="901" t="str">
        <f t="shared" si="3"/>
        <v/>
      </c>
      <c r="AG35" s="900" t="str">
        <f t="shared" si="4"/>
        <v/>
      </c>
    </row>
    <row r="36" spans="1:33" ht="20.149999999999999" customHeight="1">
      <c r="A36" s="912">
        <v>21</v>
      </c>
      <c r="B36" s="791"/>
      <c r="C36" s="791"/>
      <c r="D36" s="791" t="str">
        <f>IF(OR(B36="",C36="",IF(RIGHT(B36,18)&lt;&gt;"Climate Heat Pumps",E36="")),"",INDEX('Common HVAC References'!$T$4:$T$44,MATCH('Common HVAC Calculation'!$H27,'Common HVAC References'!$S$4:$S$44,0)))</f>
        <v/>
      </c>
      <c r="E36" s="791"/>
      <c r="F36" s="791"/>
      <c r="G36" s="791"/>
      <c r="H36" s="791"/>
      <c r="I36" s="791"/>
      <c r="J36" s="791"/>
      <c r="K36" s="791"/>
      <c r="L36" s="907"/>
      <c r="M36" s="907"/>
      <c r="N36" s="904"/>
      <c r="O36" s="911"/>
      <c r="P36" s="911"/>
      <c r="Q36" s="910" t="str">
        <f t="shared" si="0"/>
        <v/>
      </c>
      <c r="R36" s="909" t="str">
        <f t="shared" si="1"/>
        <v/>
      </c>
      <c r="S36" s="908"/>
      <c r="T36" s="791"/>
      <c r="U36" s="791"/>
      <c r="V36" s="791" t="str">
        <f>IF(OR(B36="",C36="",IF(RIGHT(B36,18)&lt;&gt;"Climate Heat Pumps",E36="")),"",IF(LEFT(T36,4)="Room",2,INDEX('Common HVAC References'!$U$4:$U$44,MATCH('Common HVAC Calculation'!$H27,'Common HVAC References'!$S$4:$S$44,0))))</f>
        <v/>
      </c>
      <c r="W36" s="907"/>
      <c r="X36" s="791"/>
      <c r="Y36" s="906"/>
      <c r="Z36" s="906"/>
      <c r="AA36" s="905"/>
      <c r="AB36" s="904"/>
      <c r="AC36" s="903" t="str">
        <f>IF(OR(ISERROR('Common HVAC Calculation'!Y27),'Common HVAC Calculation'!C27=""),"",'Common HVAC Calculation'!Y27)</f>
        <v/>
      </c>
      <c r="AD36" s="902" t="str">
        <f>IF(OR(I36="",T36="",U36="",Q36=""),"",'Common HVAC Calculation'!BM27)</f>
        <v/>
      </c>
      <c r="AE36" s="901" t="str">
        <f t="shared" si="2"/>
        <v/>
      </c>
      <c r="AF36" s="901" t="str">
        <f t="shared" si="3"/>
        <v/>
      </c>
      <c r="AG36" s="900" t="str">
        <f t="shared" si="4"/>
        <v/>
      </c>
    </row>
    <row r="37" spans="1:33" ht="20.149999999999999" customHeight="1">
      <c r="A37" s="912">
        <v>22</v>
      </c>
      <c r="B37" s="791"/>
      <c r="C37" s="791"/>
      <c r="D37" s="791" t="str">
        <f>IF(OR(B37="",C37="",IF(RIGHT(B37,18)&lt;&gt;"Climate Heat Pumps",E37="")),"",INDEX('Common HVAC References'!$T$4:$T$44,MATCH('Common HVAC Calculation'!$H28,'Common HVAC References'!$S$4:$S$44,0)))</f>
        <v/>
      </c>
      <c r="E37" s="791"/>
      <c r="F37" s="791"/>
      <c r="G37" s="791"/>
      <c r="H37" s="791"/>
      <c r="I37" s="791"/>
      <c r="J37" s="791"/>
      <c r="K37" s="791"/>
      <c r="L37" s="907"/>
      <c r="M37" s="907"/>
      <c r="N37" s="904"/>
      <c r="O37" s="911"/>
      <c r="P37" s="911"/>
      <c r="Q37" s="910" t="str">
        <f t="shared" si="0"/>
        <v/>
      </c>
      <c r="R37" s="909" t="str">
        <f t="shared" si="1"/>
        <v/>
      </c>
      <c r="S37" s="908"/>
      <c r="T37" s="791"/>
      <c r="U37" s="791"/>
      <c r="V37" s="791" t="str">
        <f>IF(OR(B37="",C37="",IF(RIGHT(B37,18)&lt;&gt;"Climate Heat Pumps",E37="")),"",IF(LEFT(T37,4)="Room",2,INDEX('Common HVAC References'!$U$4:$U$44,MATCH('Common HVAC Calculation'!$H28,'Common HVAC References'!$S$4:$S$44,0))))</f>
        <v/>
      </c>
      <c r="W37" s="907"/>
      <c r="X37" s="791"/>
      <c r="Y37" s="906"/>
      <c r="Z37" s="906"/>
      <c r="AA37" s="905"/>
      <c r="AB37" s="904"/>
      <c r="AC37" s="903" t="str">
        <f>IF(OR(ISERROR('Common HVAC Calculation'!Y28),'Common HVAC Calculation'!C28=""),"",'Common HVAC Calculation'!Y28)</f>
        <v/>
      </c>
      <c r="AD37" s="902" t="str">
        <f>IF(OR(I37="",T37="",U37="",Q37=""),"",'Common HVAC Calculation'!BM28)</f>
        <v/>
      </c>
      <c r="AE37" s="901" t="str">
        <f t="shared" si="2"/>
        <v/>
      </c>
      <c r="AF37" s="901" t="str">
        <f t="shared" si="3"/>
        <v/>
      </c>
      <c r="AG37" s="900" t="str">
        <f t="shared" si="4"/>
        <v/>
      </c>
    </row>
    <row r="38" spans="1:33" ht="20.149999999999999" customHeight="1">
      <c r="A38" s="912">
        <v>23</v>
      </c>
      <c r="B38" s="791"/>
      <c r="C38" s="791"/>
      <c r="D38" s="791" t="str">
        <f>IF(OR(B38="",C38="",IF(RIGHT(B38,18)&lt;&gt;"Climate Heat Pumps",E38="")),"",INDEX('Common HVAC References'!$T$4:$T$44,MATCH('Common HVAC Calculation'!$H29,'Common HVAC References'!$S$4:$S$44,0)))</f>
        <v/>
      </c>
      <c r="E38" s="791"/>
      <c r="F38" s="791"/>
      <c r="G38" s="791"/>
      <c r="H38" s="791"/>
      <c r="I38" s="791"/>
      <c r="J38" s="791"/>
      <c r="K38" s="791"/>
      <c r="L38" s="907"/>
      <c r="M38" s="907"/>
      <c r="N38" s="904"/>
      <c r="O38" s="911"/>
      <c r="P38" s="911"/>
      <c r="Q38" s="910" t="str">
        <f t="shared" si="0"/>
        <v/>
      </c>
      <c r="R38" s="909" t="str">
        <f t="shared" si="1"/>
        <v/>
      </c>
      <c r="S38" s="908"/>
      <c r="T38" s="791"/>
      <c r="U38" s="791"/>
      <c r="V38" s="791" t="str">
        <f>IF(OR(B38="",C38="",IF(RIGHT(B38,18)&lt;&gt;"Climate Heat Pumps",E38="")),"",IF(LEFT(T38,4)="Room",2,INDEX('Common HVAC References'!$U$4:$U$44,MATCH('Common HVAC Calculation'!$H29,'Common HVAC References'!$S$4:$S$44,0))))</f>
        <v/>
      </c>
      <c r="W38" s="907"/>
      <c r="X38" s="791"/>
      <c r="Y38" s="906"/>
      <c r="Z38" s="906"/>
      <c r="AA38" s="905"/>
      <c r="AB38" s="904"/>
      <c r="AC38" s="903" t="str">
        <f>IF(OR(ISERROR('Common HVAC Calculation'!Y29),'Common HVAC Calculation'!C29=""),"",'Common HVAC Calculation'!Y29)</f>
        <v/>
      </c>
      <c r="AD38" s="902" t="str">
        <f>IF(OR(I38="",T38="",U38="",Q38=""),"",'Common HVAC Calculation'!BM29)</f>
        <v/>
      </c>
      <c r="AE38" s="901" t="str">
        <f t="shared" si="2"/>
        <v/>
      </c>
      <c r="AF38" s="901" t="str">
        <f t="shared" si="3"/>
        <v/>
      </c>
      <c r="AG38" s="900" t="str">
        <f t="shared" si="4"/>
        <v/>
      </c>
    </row>
    <row r="39" spans="1:33" ht="20.149999999999999" customHeight="1">
      <c r="A39" s="912">
        <v>24</v>
      </c>
      <c r="B39" s="791"/>
      <c r="C39" s="791"/>
      <c r="D39" s="791" t="str">
        <f>IF(OR(B39="",C39="",IF(RIGHT(B39,18)&lt;&gt;"Climate Heat Pumps",E39="")),"",INDEX('Common HVAC References'!$T$4:$T$44,MATCH('Common HVAC Calculation'!$H30,'Common HVAC References'!$S$4:$S$44,0)))</f>
        <v/>
      </c>
      <c r="E39" s="791"/>
      <c r="F39" s="791"/>
      <c r="G39" s="791"/>
      <c r="H39" s="791"/>
      <c r="I39" s="791"/>
      <c r="J39" s="791"/>
      <c r="K39" s="791"/>
      <c r="L39" s="907"/>
      <c r="M39" s="907"/>
      <c r="N39" s="904"/>
      <c r="O39" s="911"/>
      <c r="P39" s="911"/>
      <c r="Q39" s="910" t="str">
        <f t="shared" si="0"/>
        <v/>
      </c>
      <c r="R39" s="909" t="str">
        <f t="shared" si="1"/>
        <v/>
      </c>
      <c r="S39" s="908"/>
      <c r="T39" s="791"/>
      <c r="U39" s="791"/>
      <c r="V39" s="791" t="str">
        <f>IF(OR(B39="",C39="",IF(RIGHT(B39,18)&lt;&gt;"Climate Heat Pumps",E39="")),"",IF(LEFT(T39,4)="Room",2,INDEX('Common HVAC References'!$U$4:$U$44,MATCH('Common HVAC Calculation'!$H30,'Common HVAC References'!$S$4:$S$44,0))))</f>
        <v/>
      </c>
      <c r="W39" s="907"/>
      <c r="X39" s="791"/>
      <c r="Y39" s="906"/>
      <c r="Z39" s="906"/>
      <c r="AA39" s="905"/>
      <c r="AB39" s="904"/>
      <c r="AC39" s="903" t="str">
        <f>IF(OR(ISERROR('Common HVAC Calculation'!Y30),'Common HVAC Calculation'!C30=""),"",'Common HVAC Calculation'!Y30)</f>
        <v/>
      </c>
      <c r="AD39" s="902" t="str">
        <f>IF(OR(I39="",T39="",U39="",Q39=""),"",'Common HVAC Calculation'!BM30)</f>
        <v/>
      </c>
      <c r="AE39" s="901" t="str">
        <f t="shared" si="2"/>
        <v/>
      </c>
      <c r="AF39" s="901" t="str">
        <f t="shared" si="3"/>
        <v/>
      </c>
      <c r="AG39" s="900" t="str">
        <f t="shared" si="4"/>
        <v/>
      </c>
    </row>
    <row r="40" spans="1:33" ht="20.149999999999999" customHeight="1">
      <c r="A40" s="912">
        <v>25</v>
      </c>
      <c r="B40" s="791"/>
      <c r="C40" s="791"/>
      <c r="D40" s="791" t="str">
        <f>IF(OR(B40="",C40="",IF(RIGHT(B40,18)&lt;&gt;"Climate Heat Pumps",E40="")),"",INDEX('Common HVAC References'!$T$4:$T$44,MATCH('Common HVAC Calculation'!$H31,'Common HVAC References'!$S$4:$S$44,0)))</f>
        <v/>
      </c>
      <c r="E40" s="791"/>
      <c r="F40" s="791"/>
      <c r="G40" s="791"/>
      <c r="H40" s="791"/>
      <c r="I40" s="791"/>
      <c r="J40" s="791"/>
      <c r="K40" s="791"/>
      <c r="L40" s="907"/>
      <c r="M40" s="907"/>
      <c r="N40" s="904"/>
      <c r="O40" s="911"/>
      <c r="P40" s="911"/>
      <c r="Q40" s="910" t="str">
        <f t="shared" si="0"/>
        <v/>
      </c>
      <c r="R40" s="909" t="str">
        <f t="shared" si="1"/>
        <v/>
      </c>
      <c r="S40" s="908"/>
      <c r="T40" s="791"/>
      <c r="U40" s="791"/>
      <c r="V40" s="791" t="str">
        <f>IF(OR(B40="",C40="",IF(RIGHT(B40,18)&lt;&gt;"Climate Heat Pumps",E40="")),"",IF(LEFT(T40,4)="Room",2,INDEX('Common HVAC References'!$U$4:$U$44,MATCH('Common HVAC Calculation'!$H31,'Common HVAC References'!$S$4:$S$44,0))))</f>
        <v/>
      </c>
      <c r="W40" s="907"/>
      <c r="X40" s="791"/>
      <c r="Y40" s="906"/>
      <c r="Z40" s="906"/>
      <c r="AA40" s="905"/>
      <c r="AB40" s="904"/>
      <c r="AC40" s="903" t="str">
        <f>IF(OR(ISERROR('Common HVAC Calculation'!Y31),'Common HVAC Calculation'!C31=""),"",'Common HVAC Calculation'!Y31)</f>
        <v/>
      </c>
      <c r="AD40" s="902" t="str">
        <f>IF(OR(I40="",T40="",U40="",Q40=""),"",'Common HVAC Calculation'!BM31)</f>
        <v/>
      </c>
      <c r="AE40" s="901" t="str">
        <f t="shared" si="2"/>
        <v/>
      </c>
      <c r="AF40" s="901" t="str">
        <f t="shared" si="3"/>
        <v/>
      </c>
      <c r="AG40" s="900" t="str">
        <f t="shared" si="4"/>
        <v/>
      </c>
    </row>
    <row r="42" spans="1:33">
      <c r="A42" s="194"/>
      <c r="B42" s="1021"/>
      <c r="C42" s="1022"/>
      <c r="D42" s="1022"/>
      <c r="E42" s="194"/>
      <c r="F42" s="194"/>
      <c r="G42" s="194"/>
      <c r="H42" s="194"/>
      <c r="I42" s="194"/>
      <c r="J42" s="194"/>
      <c r="K42" s="194"/>
      <c r="L42" s="194"/>
      <c r="M42" s="194"/>
      <c r="N42" s="194"/>
      <c r="O42" s="194"/>
      <c r="P42" s="194"/>
      <c r="Q42" s="194"/>
      <c r="R42" s="194"/>
      <c r="S42" s="194"/>
      <c r="T42" s="194"/>
      <c r="U42" s="194"/>
      <c r="V42" s="194"/>
      <c r="W42" s="194"/>
      <c r="X42" s="194"/>
      <c r="Y42" s="194"/>
      <c r="Z42" s="194"/>
      <c r="AA42" s="194"/>
      <c r="AB42" s="194"/>
      <c r="AC42" s="190"/>
      <c r="AD42" s="1023"/>
    </row>
  </sheetData>
  <dataConsolidate/>
  <mergeCells count="8">
    <mergeCell ref="AC4:AD5"/>
    <mergeCell ref="T13:AA13"/>
    <mergeCell ref="O13:Q13"/>
    <mergeCell ref="AC13:AD13"/>
    <mergeCell ref="G8:H8"/>
    <mergeCell ref="G9:H9"/>
    <mergeCell ref="G10:H10"/>
    <mergeCell ref="B13:M13"/>
  </mergeCells>
  <conditionalFormatting sqref="A1:AG1">
    <cfRule type="cellIs" dxfId="74" priority="1" stopIfTrue="1" operator="equal">
      <formula>"Missing Info"</formula>
    </cfRule>
  </conditionalFormatting>
  <conditionalFormatting sqref="J16:J40">
    <cfRule type="expression" dxfId="73" priority="5" stopIfTrue="1">
      <formula>$D16=2</formula>
    </cfRule>
    <cfRule type="expression" dxfId="72" priority="6" stopIfTrue="1">
      <formula>$D16=5</formula>
    </cfRule>
  </conditionalFormatting>
  <conditionalFormatting sqref="L16:L40">
    <cfRule type="expression" dxfId="71" priority="18" stopIfTrue="1">
      <formula>$D16=4</formula>
    </cfRule>
  </conditionalFormatting>
  <conditionalFormatting sqref="L16:M40">
    <cfRule type="expression" dxfId="70" priority="11" stopIfTrue="1">
      <formula>$D16=""</formula>
    </cfRule>
  </conditionalFormatting>
  <conditionalFormatting sqref="M16:M40">
    <cfRule type="expression" dxfId="69" priority="12" stopIfTrue="1">
      <formula>$D16=5</formula>
    </cfRule>
    <cfRule type="expression" dxfId="68" priority="13" stopIfTrue="1">
      <formula>$D16=3</formula>
    </cfRule>
  </conditionalFormatting>
  <conditionalFormatting sqref="W16:W40">
    <cfRule type="expression" dxfId="67" priority="9" stopIfTrue="1">
      <formula>OR($V16=1,$V16=3,$V16=6)</formula>
    </cfRule>
    <cfRule type="expression" dxfId="66" priority="10" stopIfTrue="1">
      <formula>$D16=""</formula>
    </cfRule>
  </conditionalFormatting>
  <conditionalFormatting sqref="Y16:Y40">
    <cfRule type="expression" dxfId="65" priority="3" stopIfTrue="1">
      <formula>AND(OR($V16=3,$V16=4,$V16=6),OR($U16="Electric",$U16="Other"))</formula>
    </cfRule>
  </conditionalFormatting>
  <conditionalFormatting sqref="Y16:AA40">
    <cfRule type="expression" dxfId="64" priority="7" stopIfTrue="1">
      <formula>$D16=""</formula>
    </cfRule>
  </conditionalFormatting>
  <conditionalFormatting sqref="Z16:Z40">
    <cfRule type="expression" dxfId="63" priority="2">
      <formula>OR($U16="Other",$U16="Electric")</formula>
    </cfRule>
  </conditionalFormatting>
  <conditionalFormatting sqref="AA16:AA40">
    <cfRule type="expression" dxfId="62" priority="4" stopIfTrue="1">
      <formula>AND($U16&lt;&gt;"Electric",$U16&lt;&gt;"None")</formula>
    </cfRule>
  </conditionalFormatting>
  <conditionalFormatting sqref="AC4 AE4:AE5">
    <cfRule type="expression" dxfId="61" priority="25" stopIfTrue="1">
      <formula>$AF$4="Total Expected Rebate has been capped at 70% of Total Estimated Cost"</formula>
    </cfRule>
  </conditionalFormatting>
  <conditionalFormatting sqref="AC4">
    <cfRule type="expression" dxfId="60" priority="26" stopIfTrue="1">
      <formula>$AG$9="Ineligible"</formula>
    </cfRule>
  </conditionalFormatting>
  <conditionalFormatting sqref="AD16:AD40">
    <cfRule type="expression" dxfId="59" priority="27" stopIfTrue="1">
      <formula>$Q16=""</formula>
    </cfRule>
  </conditionalFormatting>
  <dataValidations count="10">
    <dataValidation type="list" allowBlank="1" showInputMessage="1" showErrorMessage="1" sqref="C16:C40" xr:uid="{00000000-0002-0000-0600-000009000000}">
      <formula1>OFFSET(Start_SizeCategory,0,MATCH(B16,SizeCategory,0)-1,5)</formula1>
    </dataValidation>
    <dataValidation type="list" operator="greaterThanOrEqual" allowBlank="1" showInputMessage="1" showErrorMessage="1" sqref="T16:T40" xr:uid="{00000000-0002-0000-0600-000008000000}">
      <formula1>OFFSET(Start_ExistingUnitType,MATCH(B16&amp;" "&amp;C16&amp;" "&amp;E16,ExistingUnitType,0)-1,0,1,6)</formula1>
    </dataValidation>
    <dataValidation type="list" allowBlank="1" showInputMessage="1" showErrorMessage="1" sqref="B16:B40" xr:uid="{00000000-0002-0000-0600-000007000000}">
      <formula1>EquipmentTypeEE</formula1>
    </dataValidation>
    <dataValidation type="decimal" allowBlank="1" showInputMessage="1" showErrorMessage="1" sqref="K16:K40" xr:uid="{00000000-0002-0000-0600-000006000000}">
      <formula1>0</formula1>
      <formula2>35</formula2>
    </dataValidation>
    <dataValidation type="decimal" operator="greaterThanOrEqual" allowBlank="1" showInputMessage="1" showErrorMessage="1" sqref="Y15:AB40 S15:S40 Q15:R15 I15:I40 H15 L15:P40 V15:X15" xr:uid="{00000000-0002-0000-0600-000005000000}">
      <formula1>0</formula1>
    </dataValidation>
    <dataValidation operator="greaterThanOrEqual" allowBlank="1" showInputMessage="1" showErrorMessage="1" sqref="Q16:R40 AC15:AC40 T15:U15" xr:uid="{00000000-0002-0000-0600-000004000000}"/>
    <dataValidation type="list" allowBlank="1" showInputMessage="1" showErrorMessage="1" sqref="G6" xr:uid="{00000000-0002-0000-0600-000003000000}">
      <formula1>BuildingType_List</formula1>
    </dataValidation>
    <dataValidation type="decimal" allowBlank="1" showInputMessage="1" showErrorMessage="1" sqref="J15:J40 W16:W40" xr:uid="{00000000-0002-0000-0600-000002000000}">
      <formula1>0</formula1>
      <formula2>30</formula2>
    </dataValidation>
    <dataValidation type="decimal" allowBlank="1" showInputMessage="1" showErrorMessage="1" sqref="K15 X16:X40" xr:uid="{00000000-0002-0000-0600-000001000000}">
      <formula1>0</formula1>
      <formula2>15</formula2>
    </dataValidation>
    <dataValidation type="list" allowBlank="1" showInputMessage="1" showErrorMessage="1" sqref="E16:E40" xr:uid="{00000000-0002-0000-0600-000000000000}">
      <formula1>OFFSET(Start_SubCategory,0,MATCH(B16,SubCategory,0)-1,4)</formula1>
    </dataValidation>
  </dataValidations>
  <pageMargins left="0.7" right="0.7" top="0.75" bottom="0.75" header="0.3" footer="0.3"/>
  <pageSetup paperSize="5" scale="42" fitToHeight="3"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3106" r:id="rId4" name="Group Box 2">
              <controlPr defaultSize="0" autoFill="0" autoPict="0">
                <anchor moveWithCells="1">
                  <from>
                    <xdr:col>19</xdr:col>
                    <xdr:colOff>0</xdr:colOff>
                    <xdr:row>3</xdr:row>
                    <xdr:rowOff>660400</xdr:rowOff>
                  </from>
                  <to>
                    <xdr:col>22</xdr:col>
                    <xdr:colOff>508000</xdr:colOff>
                    <xdr:row>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decimal" allowBlank="1" showInputMessage="1" showErrorMessage="1" error="Please enter a valid Size for the Size Category selected." xr:uid="{36672847-0FD1-48F4-AC29-DEBD92F2BB6D}">
          <x14:formula1>
            <xm:f>INDEX('Common HVAC References'!$K$21:$M$32,MATCH($C16,'Common HVAC References'!$K$21:$K$32,0),2)</xm:f>
          </x14:formula1>
          <x14:formula2>
            <xm:f>INDEX('Common HVAC References'!$K$21:$M$32,MATCH($C16,'Common HVAC References'!$K$21:$K$32,0),3)</xm:f>
          </x14:formula2>
          <xm:sqref>H16:H40</xm:sqref>
        </x14:dataValidation>
        <x14:dataValidation type="list" operator="greaterThanOrEqual" allowBlank="1" showInputMessage="1" showErrorMessage="1" xr:uid="{750F3BA4-4C1D-495A-8F77-FFCBE85E7DB0}">
          <x14:formula1>
            <xm:f>'Common HVAC References'!$B$11:$B$17</xm:f>
          </x14:formula1>
          <xm:sqref>U16:U40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E08C2-7BFB-4A38-95DF-E5F12F20D336}">
  <sheetPr codeName="Sheet41">
    <tabColor rgb="FF00B0F0"/>
  </sheetPr>
  <dimension ref="A1:Y78"/>
  <sheetViews>
    <sheetView showGridLines="0" topLeftCell="A20" zoomScale="90" zoomScaleNormal="90" workbookViewId="0">
      <selection activeCell="J56" sqref="J56"/>
    </sheetView>
  </sheetViews>
  <sheetFormatPr defaultColWidth="8.81640625" defaultRowHeight="14.5"/>
  <cols>
    <col min="1" max="1" width="3.54296875" style="42" customWidth="1"/>
    <col min="2" max="2" width="9.54296875" style="42" customWidth="1"/>
    <col min="3" max="3" width="12.54296875" style="42" customWidth="1"/>
    <col min="4" max="4" width="25.54296875" style="42" customWidth="1"/>
    <col min="5" max="5" width="14.453125" style="42" customWidth="1"/>
    <col min="6" max="6" width="7.453125" style="42" bestFit="1" customWidth="1"/>
    <col min="7" max="7" width="5.453125" style="42" customWidth="1"/>
    <col min="8" max="8" width="14" style="42" customWidth="1"/>
    <col min="9" max="9" width="20.54296875" style="42" customWidth="1"/>
    <col min="10" max="10" width="26.54296875" style="42" customWidth="1"/>
    <col min="11" max="11" width="4.81640625" style="42" customWidth="1"/>
    <col min="12" max="12" width="9.81640625" style="42" customWidth="1"/>
    <col min="13" max="13" width="13.1796875" style="42" customWidth="1"/>
    <col min="14" max="14" width="18.81640625" style="42" customWidth="1"/>
    <col min="15" max="16" width="11.7265625" style="42" customWidth="1"/>
    <col min="17" max="16384" width="8.81640625" style="42"/>
  </cols>
  <sheetData>
    <row r="1" spans="2:18" ht="30">
      <c r="B1" s="350" t="str">
        <f>'Customer Information'!A1</f>
        <v>2024 Multi-Family Program</v>
      </c>
      <c r="D1" s="350"/>
      <c r="E1" s="350"/>
      <c r="F1" s="350"/>
      <c r="G1" s="350"/>
      <c r="H1" s="350"/>
      <c r="I1" s="350"/>
      <c r="J1" s="350"/>
      <c r="K1" s="350"/>
      <c r="L1" s="350"/>
      <c r="M1" s="350"/>
    </row>
    <row r="3" spans="2:18" ht="23">
      <c r="C3" s="11" t="str">
        <f>"Common Area HVAC Inspection Form, Version "&amp;Development!A2</f>
        <v>Common Area HVAC Inspection Form, Version 2.0</v>
      </c>
      <c r="D3" s="11"/>
      <c r="E3" s="11"/>
      <c r="F3" s="11"/>
      <c r="G3" s="11"/>
      <c r="H3" s="11"/>
      <c r="I3" s="11"/>
      <c r="J3" s="11"/>
      <c r="K3" s="11"/>
      <c r="L3" s="11"/>
      <c r="M3" s="11"/>
      <c r="N3" s="11"/>
      <c r="O3" s="11"/>
    </row>
    <row r="5" spans="2:18" ht="24" customHeight="1">
      <c r="C5" s="1716" t="s">
        <v>5381</v>
      </c>
      <c r="D5" s="1717" t="str">
        <f>References!$C$45</f>
        <v>PSEGLI_2023_MultiFamilyRebateApplication_Version 2.0_Draft11_ForTestSB.xlsm</v>
      </c>
      <c r="E5" s="1718"/>
    </row>
    <row r="6" spans="2:18" ht="24" customHeight="1">
      <c r="C6" s="1716" t="s">
        <v>5382</v>
      </c>
      <c r="D6" s="1717" t="str">
        <f>IF('Customer Information'!L43="","",'Customer Information'!L43)</f>
        <v/>
      </c>
      <c r="E6" s="1718"/>
    </row>
    <row r="7" spans="2:18" ht="24" customHeight="1">
      <c r="C7" s="1716" t="s">
        <v>5383</v>
      </c>
      <c r="D7" s="1717" t="str">
        <f>IF('Customer Information'!C6="","",'Customer Information'!C6)</f>
        <v/>
      </c>
      <c r="E7" s="1718"/>
      <c r="F7" s="1594"/>
      <c r="G7" s="1594"/>
      <c r="H7" s="2453" t="s">
        <v>5384</v>
      </c>
      <c r="I7" s="2454"/>
      <c r="J7" s="2454"/>
      <c r="K7" s="2454"/>
      <c r="L7" s="2454"/>
      <c r="M7" s="2454"/>
      <c r="N7" s="2454"/>
      <c r="O7" s="2454"/>
      <c r="P7" s="2455"/>
      <c r="R7" s="1719"/>
    </row>
    <row r="8" spans="2:18" ht="25.4" customHeight="1">
      <c r="C8" s="1716" t="s">
        <v>5385</v>
      </c>
      <c r="D8" s="1717" t="str">
        <f>IF('Customer Information'!C7="","",'Customer Information'!C7)</f>
        <v/>
      </c>
      <c r="E8" s="1718"/>
      <c r="F8" s="1594"/>
      <c r="G8" s="1594"/>
      <c r="H8" s="1720"/>
      <c r="I8" s="1721"/>
      <c r="J8" s="1721"/>
      <c r="K8" s="1721"/>
      <c r="L8" s="1721"/>
      <c r="M8" s="1721"/>
      <c r="N8" s="1721"/>
      <c r="O8" s="1721"/>
      <c r="P8" s="1722"/>
      <c r="R8" s="157"/>
    </row>
    <row r="9" spans="2:18" ht="25.4" customHeight="1">
      <c r="C9" s="1716" t="s">
        <v>5414</v>
      </c>
      <c r="D9" s="1717" t="str">
        <f>IF('Customer Information'!I7="","",'Customer Information'!I7)</f>
        <v/>
      </c>
      <c r="E9" s="1718"/>
      <c r="F9" s="1594"/>
      <c r="H9" s="1723"/>
      <c r="I9" s="1716" t="s">
        <v>5386</v>
      </c>
      <c r="J9" s="2451"/>
      <c r="K9" s="2451"/>
      <c r="L9" s="1594"/>
      <c r="M9" s="1716" t="s">
        <v>5387</v>
      </c>
      <c r="N9" s="2452"/>
      <c r="O9" s="2452"/>
      <c r="P9" s="1725"/>
    </row>
    <row r="10" spans="2:18" ht="25.4" customHeight="1">
      <c r="C10" s="1716" t="s">
        <v>5388</v>
      </c>
      <c r="D10" s="1717" t="str">
        <f>IF('Customer Information'!C10="","",'Customer Information'!C10)</f>
        <v/>
      </c>
      <c r="E10" s="1718"/>
      <c r="F10" s="1594"/>
      <c r="H10" s="1723"/>
      <c r="I10" s="1594"/>
      <c r="J10" s="1594"/>
      <c r="M10" s="1594"/>
      <c r="N10" s="1594"/>
      <c r="O10" s="1594"/>
      <c r="P10" s="208"/>
    </row>
    <row r="11" spans="2:18" ht="25.4" customHeight="1">
      <c r="C11" s="1716" t="s">
        <v>5389</v>
      </c>
      <c r="D11" s="1726" t="str">
        <f>IF('Customer Information'!K9="","",'Customer Information'!K9)</f>
        <v/>
      </c>
      <c r="E11" s="1718" t="str">
        <f>IF('[7]HVAC Worksheet'!E11="","",'[7]HVAC Worksheet'!E11)</f>
        <v/>
      </c>
      <c r="F11" s="1594"/>
      <c r="H11" s="1723"/>
      <c r="I11" s="1716" t="s">
        <v>5390</v>
      </c>
      <c r="J11" s="2451"/>
      <c r="K11" s="2451"/>
      <c r="L11" s="1594"/>
      <c r="M11" s="1716" t="s">
        <v>9</v>
      </c>
      <c r="N11" s="2452"/>
      <c r="O11" s="2452"/>
      <c r="P11" s="1725"/>
    </row>
    <row r="12" spans="2:18" ht="25.4" customHeight="1">
      <c r="C12" s="1716" t="s">
        <v>5391</v>
      </c>
      <c r="D12" s="1726" t="str">
        <f>IF('Customer Information'!K10="","",'Customer Information'!K10)</f>
        <v/>
      </c>
      <c r="E12" s="1718" t="str">
        <f>IF('[7]HVAC Worksheet'!E12="","",'[7]HVAC Worksheet'!E12)</f>
        <v/>
      </c>
      <c r="F12" s="1594"/>
      <c r="H12" s="1723"/>
      <c r="I12" s="1594"/>
      <c r="J12" s="1594"/>
      <c r="M12" s="1594"/>
      <c r="N12" s="1594"/>
      <c r="O12" s="1594"/>
      <c r="P12" s="208"/>
    </row>
    <row r="13" spans="2:18" ht="25.4" customHeight="1">
      <c r="C13" s="1716" t="s">
        <v>3283</v>
      </c>
      <c r="D13" s="1717" t="str">
        <f>IF('Customer Information'!K13="","",'Customer Information'!K13)</f>
        <v/>
      </c>
      <c r="E13" s="1718"/>
      <c r="F13" s="1594"/>
      <c r="H13" s="1723"/>
      <c r="I13" s="1716" t="s">
        <v>10</v>
      </c>
      <c r="J13" s="2451"/>
      <c r="K13" s="2451"/>
      <c r="L13" s="1594"/>
      <c r="M13" s="1716" t="s">
        <v>140</v>
      </c>
      <c r="N13" s="2452"/>
      <c r="O13" s="2452"/>
      <c r="P13" s="1725"/>
    </row>
    <row r="14" spans="2:18" ht="25.4" customHeight="1">
      <c r="C14" s="1727" t="s">
        <v>5392</v>
      </c>
      <c r="D14" s="1728"/>
      <c r="E14" s="1729"/>
      <c r="F14" s="1594"/>
      <c r="G14" s="1594"/>
      <c r="H14" s="1723"/>
      <c r="I14" s="1594"/>
      <c r="J14" s="1594"/>
      <c r="K14" s="1594"/>
      <c r="L14" s="1594"/>
      <c r="M14" s="1594"/>
      <c r="N14" s="1594"/>
      <c r="O14" s="1594"/>
      <c r="P14" s="894"/>
      <c r="R14" s="157"/>
    </row>
    <row r="15" spans="2:18" ht="25.4" customHeight="1">
      <c r="C15" s="1727"/>
      <c r="D15" s="1730"/>
      <c r="E15" s="1731"/>
      <c r="F15" s="1594"/>
      <c r="G15" s="1594"/>
      <c r="H15" s="1723" t="s">
        <v>5393</v>
      </c>
      <c r="I15" s="1594"/>
      <c r="J15" s="1594"/>
      <c r="K15" s="1594"/>
      <c r="L15" s="1594"/>
      <c r="M15" s="1594"/>
      <c r="N15" s="1594"/>
      <c r="O15" s="1594"/>
      <c r="P15" s="894"/>
      <c r="R15" s="157"/>
    </row>
    <row r="16" spans="2:18" ht="25.4" customHeight="1">
      <c r="C16" s="1727"/>
      <c r="D16" s="1730"/>
      <c r="E16" s="1731"/>
      <c r="F16" s="1594"/>
      <c r="G16" s="1594"/>
      <c r="H16" s="1723"/>
      <c r="I16" s="1594"/>
      <c r="J16" s="1594"/>
      <c r="K16" s="1594"/>
      <c r="L16" s="1594"/>
      <c r="M16" s="1594"/>
      <c r="N16" s="1594"/>
      <c r="O16" s="1594"/>
      <c r="P16" s="894"/>
      <c r="R16" s="157"/>
    </row>
    <row r="17" spans="1:25" ht="25.4" customHeight="1">
      <c r="C17" s="1727"/>
      <c r="D17" s="1730"/>
      <c r="E17" s="1731"/>
      <c r="F17" s="1594"/>
      <c r="G17" s="1594"/>
      <c r="H17" s="1723" t="s">
        <v>5394</v>
      </c>
      <c r="I17" s="1594"/>
      <c r="J17" s="1594"/>
      <c r="K17" s="1594"/>
      <c r="L17" s="1594"/>
      <c r="M17" s="1594"/>
      <c r="N17" s="1594"/>
      <c r="O17" s="1594"/>
      <c r="P17" s="894"/>
      <c r="R17" s="157"/>
    </row>
    <row r="18" spans="1:25" ht="25.4" customHeight="1">
      <c r="C18" s="1727"/>
      <c r="D18" s="1730"/>
      <c r="E18" s="1731"/>
      <c r="F18" s="1594"/>
      <c r="G18" s="1594"/>
      <c r="H18" s="1723"/>
      <c r="I18" s="1594"/>
      <c r="J18" s="1594"/>
      <c r="K18" s="1594"/>
      <c r="L18" s="1594"/>
      <c r="M18" s="1594"/>
      <c r="N18" s="1594"/>
      <c r="O18" s="1594"/>
      <c r="P18" s="894"/>
      <c r="R18" s="157"/>
    </row>
    <row r="19" spans="1:25" ht="25.4" customHeight="1">
      <c r="C19" s="1727"/>
      <c r="D19" s="1730"/>
      <c r="E19" s="1731"/>
      <c r="F19" s="1594"/>
      <c r="G19" s="1594"/>
      <c r="H19" s="1723" t="s">
        <v>5340</v>
      </c>
      <c r="I19" s="1594"/>
      <c r="J19" s="1594"/>
      <c r="K19" s="1594"/>
      <c r="L19" s="1594"/>
      <c r="M19" s="1594"/>
      <c r="N19" s="1594"/>
      <c r="O19" s="1594"/>
      <c r="P19" s="894"/>
      <c r="R19" s="157"/>
    </row>
    <row r="20" spans="1:25" ht="25.4" customHeight="1">
      <c r="C20" s="1727"/>
      <c r="D20" s="1730"/>
      <c r="E20" s="1731"/>
      <c r="F20" s="1594"/>
      <c r="G20" s="1594"/>
      <c r="H20" s="1723"/>
      <c r="I20" s="1594"/>
      <c r="J20" s="1594"/>
      <c r="K20" s="1594"/>
      <c r="L20" s="1594"/>
      <c r="M20" s="1594"/>
      <c r="N20" s="1594"/>
      <c r="O20" s="1594"/>
      <c r="P20" s="894"/>
      <c r="R20" s="157"/>
    </row>
    <row r="21" spans="1:25" ht="30" customHeight="1">
      <c r="C21" s="1727"/>
      <c r="D21" s="1730"/>
      <c r="E21" s="1731"/>
      <c r="F21" s="1594"/>
      <c r="G21" s="1594"/>
      <c r="H21" s="1732" t="s">
        <v>5341</v>
      </c>
      <c r="I21" s="1718"/>
      <c r="J21" s="1718"/>
      <c r="K21" s="1718"/>
      <c r="L21" s="1718"/>
      <c r="M21" s="1718"/>
      <c r="N21" s="1718"/>
      <c r="O21" s="1718"/>
      <c r="P21" s="895"/>
      <c r="R21" s="157"/>
    </row>
    <row r="22" spans="1:25" ht="25.4" customHeight="1">
      <c r="F22" s="1594"/>
      <c r="G22" s="1594"/>
      <c r="H22" s="1594"/>
      <c r="I22" s="1594"/>
      <c r="J22" s="1594"/>
      <c r="K22" s="1594"/>
      <c r="L22" s="1594"/>
      <c r="M22" s="1594"/>
      <c r="N22" s="1594"/>
      <c r="O22" s="1594"/>
      <c r="P22" s="1594"/>
    </row>
    <row r="23" spans="1:25" ht="15.5">
      <c r="C23" s="1594"/>
      <c r="D23" s="1594"/>
      <c r="E23" s="1594"/>
      <c r="F23" s="1594"/>
      <c r="G23" s="1594"/>
      <c r="H23" s="1594"/>
      <c r="I23" s="1594"/>
      <c r="J23" s="1594"/>
      <c r="K23" s="1594"/>
      <c r="L23" s="1594"/>
      <c r="N23" s="1716" t="s">
        <v>5382</v>
      </c>
      <c r="O23" s="2450" t="str">
        <f>IF(D6="","",D6)</f>
        <v/>
      </c>
      <c r="P23" s="2450"/>
    </row>
    <row r="24" spans="1:25" ht="20">
      <c r="B24" s="1436" t="s">
        <v>5395</v>
      </c>
      <c r="D24" s="1733"/>
      <c r="E24" s="1733"/>
      <c r="F24" s="1733"/>
      <c r="G24" s="1733"/>
      <c r="H24" s="1733"/>
      <c r="I24" s="1733"/>
      <c r="J24" s="1733"/>
      <c r="K24" s="1733"/>
      <c r="L24" s="1733"/>
      <c r="M24" s="1733"/>
      <c r="N24" s="1733"/>
      <c r="O24" s="1733"/>
      <c r="P24" s="1733"/>
      <c r="Q24" s="1436"/>
      <c r="R24" s="1436"/>
      <c r="S24" s="1436"/>
      <c r="T24" s="1436"/>
      <c r="U24" s="1436"/>
      <c r="V24" s="1436"/>
      <c r="W24" s="1436"/>
      <c r="X24" s="1436"/>
      <c r="Y24" s="1436"/>
    </row>
    <row r="25" spans="1:25" s="659" customFormat="1" ht="27" customHeight="1">
      <c r="B25" s="1734" t="s">
        <v>5396</v>
      </c>
      <c r="C25" s="2444" t="s">
        <v>1776</v>
      </c>
      <c r="D25" s="2445"/>
      <c r="E25" s="1734" t="s">
        <v>5397</v>
      </c>
      <c r="F25" s="1734" t="s">
        <v>5398</v>
      </c>
      <c r="G25" s="1589"/>
      <c r="H25" s="1734" t="s">
        <v>80</v>
      </c>
      <c r="I25" s="1734" t="s">
        <v>5450</v>
      </c>
      <c r="J25" s="1734" t="s">
        <v>5399</v>
      </c>
      <c r="K25" s="1589"/>
      <c r="L25" s="1734" t="s">
        <v>5400</v>
      </c>
      <c r="M25" s="1734" t="s">
        <v>5401</v>
      </c>
      <c r="N25" s="2444" t="s">
        <v>5402</v>
      </c>
      <c r="O25" s="2446"/>
      <c r="P25" s="2445"/>
    </row>
    <row r="26" spans="1:25" ht="15.5">
      <c r="A26" s="42">
        <v>1</v>
      </c>
      <c r="B26" s="1137"/>
      <c r="C26" s="2439" t="str">
        <f>IF('Worksheet Common HVAC'!T16="","",'Worksheet Common HVAC'!T16)</f>
        <v>None</v>
      </c>
      <c r="D26" s="2440"/>
      <c r="E26" s="1735" t="str">
        <f>IF(OR(C26="",'Worksheet Common HVAC'!U16=""),"",'Worksheet Common HVAC'!U16)</f>
        <v>None</v>
      </c>
      <c r="F26" s="1736"/>
      <c r="H26" s="1737"/>
      <c r="I26" s="1737"/>
      <c r="J26" s="1737"/>
      <c r="L26" s="1737"/>
      <c r="M26" s="1737"/>
      <c r="N26" s="2447"/>
      <c r="O26" s="2448"/>
      <c r="P26" s="2449"/>
    </row>
    <row r="27" spans="1:25" ht="15.5">
      <c r="A27" s="42">
        <f>A26+1</f>
        <v>2</v>
      </c>
      <c r="B27" s="1137"/>
      <c r="C27" s="2439" t="str">
        <f>IF('Worksheet Common HVAC'!T17="","",'Worksheet Common HVAC'!T17)</f>
        <v/>
      </c>
      <c r="D27" s="2440"/>
      <c r="E27" s="1735" t="str">
        <f>IF(OR(C27="",'Worksheet Common HVAC'!U17=""),"",'Worksheet Common HVAC'!U17)</f>
        <v/>
      </c>
      <c r="F27" s="1736"/>
      <c r="H27" s="1737"/>
      <c r="I27" s="1737"/>
      <c r="J27" s="1737"/>
      <c r="L27" s="1737"/>
      <c r="M27" s="1737"/>
      <c r="N27" s="2447"/>
      <c r="O27" s="2448"/>
      <c r="P27" s="2449"/>
    </row>
    <row r="28" spans="1:25" ht="15.5">
      <c r="A28" s="42">
        <f t="shared" ref="A28:A50" si="0">A27+1</f>
        <v>3</v>
      </c>
      <c r="B28" s="1137"/>
      <c r="C28" s="2439" t="str">
        <f>IF('Worksheet Common HVAC'!T18="","",'Worksheet Common HVAC'!T18)</f>
        <v/>
      </c>
      <c r="D28" s="2440"/>
      <c r="E28" s="1735" t="str">
        <f>IF(OR(C28="",'Worksheet Common HVAC'!U18=""),"",'Worksheet Common HVAC'!U18)</f>
        <v/>
      </c>
      <c r="F28" s="1736"/>
      <c r="H28" s="1737"/>
      <c r="I28" s="1737"/>
      <c r="J28" s="1737"/>
      <c r="L28" s="1737"/>
      <c r="M28" s="1737"/>
      <c r="N28" s="2447"/>
      <c r="O28" s="2448"/>
      <c r="P28" s="2449"/>
    </row>
    <row r="29" spans="1:25" ht="15.5">
      <c r="A29" s="42">
        <f t="shared" si="0"/>
        <v>4</v>
      </c>
      <c r="B29" s="1137"/>
      <c r="C29" s="2439" t="str">
        <f>IF('Worksheet Common HVAC'!T19="","",'Worksheet Common HVAC'!T19)</f>
        <v/>
      </c>
      <c r="D29" s="2440"/>
      <c r="E29" s="1735" t="str">
        <f>IF(OR(C29="",'Worksheet Common HVAC'!U19=""),"",'Worksheet Common HVAC'!U19)</f>
        <v/>
      </c>
      <c r="F29" s="1736"/>
      <c r="H29" s="1737"/>
      <c r="I29" s="1737"/>
      <c r="J29" s="1737"/>
      <c r="L29" s="1737"/>
      <c r="M29" s="1737"/>
      <c r="N29" s="2447"/>
      <c r="O29" s="2448"/>
      <c r="P29" s="2449"/>
    </row>
    <row r="30" spans="1:25" ht="15.5">
      <c r="A30" s="42">
        <f t="shared" si="0"/>
        <v>5</v>
      </c>
      <c r="B30" s="1137"/>
      <c r="C30" s="2439" t="str">
        <f>IF('Worksheet Common HVAC'!T20="","",'Worksheet Common HVAC'!T20)</f>
        <v/>
      </c>
      <c r="D30" s="2440"/>
      <c r="E30" s="1735" t="str">
        <f>IF(OR(C30="",'Worksheet Common HVAC'!U20=""),"",'Worksheet Common HVAC'!U20)</f>
        <v/>
      </c>
      <c r="F30" s="1736"/>
      <c r="H30" s="1737"/>
      <c r="I30" s="1737"/>
      <c r="J30" s="1737"/>
      <c r="L30" s="1737"/>
      <c r="M30" s="1737"/>
      <c r="N30" s="1739"/>
      <c r="O30" s="1740"/>
      <c r="P30" s="1741"/>
    </row>
    <row r="31" spans="1:25" ht="15.5">
      <c r="A31" s="42">
        <f t="shared" si="0"/>
        <v>6</v>
      </c>
      <c r="B31" s="1137"/>
      <c r="C31" s="2439" t="str">
        <f>IF('Worksheet Common HVAC'!T21="","",'Worksheet Common HVAC'!T21)</f>
        <v/>
      </c>
      <c r="D31" s="2440"/>
      <c r="E31" s="1735" t="str">
        <f>IF(OR(C31="",'Worksheet Common HVAC'!U21=""),"",'Worksheet Common HVAC'!U21)</f>
        <v/>
      </c>
      <c r="F31" s="1736"/>
      <c r="H31" s="1737"/>
      <c r="I31" s="1737"/>
      <c r="J31" s="1737"/>
      <c r="L31" s="1737"/>
      <c r="M31" s="1737"/>
      <c r="N31" s="1739"/>
      <c r="O31" s="1740"/>
      <c r="P31" s="1741"/>
    </row>
    <row r="32" spans="1:25" ht="15.5">
      <c r="A32" s="42">
        <f t="shared" si="0"/>
        <v>7</v>
      </c>
      <c r="B32" s="1137"/>
      <c r="C32" s="2439" t="str">
        <f>IF('Worksheet Common HVAC'!T22="","",'Worksheet Common HVAC'!T22)</f>
        <v/>
      </c>
      <c r="D32" s="2440"/>
      <c r="E32" s="1735" t="str">
        <f>IF(OR(C32="",'Worksheet Common HVAC'!U22=""),"",'Worksheet Common HVAC'!U22)</f>
        <v/>
      </c>
      <c r="F32" s="1736"/>
      <c r="H32" s="1737"/>
      <c r="I32" s="1737"/>
      <c r="J32" s="1737"/>
      <c r="L32" s="1737"/>
      <c r="M32" s="1737"/>
      <c r="N32" s="1739"/>
      <c r="O32" s="1740"/>
      <c r="P32" s="1741"/>
    </row>
    <row r="33" spans="1:16" ht="15.5">
      <c r="A33" s="42">
        <f t="shared" si="0"/>
        <v>8</v>
      </c>
      <c r="B33" s="1137"/>
      <c r="C33" s="2439" t="str">
        <f>IF('Worksheet Common HVAC'!T23="","",'Worksheet Common HVAC'!T23)</f>
        <v/>
      </c>
      <c r="D33" s="2440"/>
      <c r="E33" s="1735" t="str">
        <f>IF(OR(C33="",'Worksheet Common HVAC'!U23=""),"",'Worksheet Common HVAC'!U23)</f>
        <v/>
      </c>
      <c r="F33" s="1736"/>
      <c r="H33" s="1737"/>
      <c r="I33" s="1737"/>
      <c r="J33" s="1737"/>
      <c r="L33" s="1737"/>
      <c r="M33" s="1737"/>
      <c r="N33" s="1739"/>
      <c r="O33" s="1740"/>
      <c r="P33" s="1741"/>
    </row>
    <row r="34" spans="1:16" ht="15.5">
      <c r="A34" s="42">
        <f t="shared" si="0"/>
        <v>9</v>
      </c>
      <c r="B34" s="1137"/>
      <c r="C34" s="2439" t="str">
        <f>IF('Worksheet Common HVAC'!T24="","",'Worksheet Common HVAC'!T24)</f>
        <v/>
      </c>
      <c r="D34" s="2440"/>
      <c r="E34" s="1735" t="str">
        <f>IF(OR(C34="",'Worksheet Common HVAC'!U24=""),"",'Worksheet Common HVAC'!U24)</f>
        <v/>
      </c>
      <c r="F34" s="1736"/>
      <c r="H34" s="1737"/>
      <c r="I34" s="1737"/>
      <c r="J34" s="1737"/>
      <c r="L34" s="1737"/>
      <c r="M34" s="1737"/>
      <c r="N34" s="1739"/>
      <c r="O34" s="1740"/>
      <c r="P34" s="1741"/>
    </row>
    <row r="35" spans="1:16" ht="15.5">
      <c r="A35" s="42">
        <f t="shared" si="0"/>
        <v>10</v>
      </c>
      <c r="B35" s="1137"/>
      <c r="C35" s="2439" t="str">
        <f>IF('Worksheet Common HVAC'!T25="","",'Worksheet Common HVAC'!T25)</f>
        <v/>
      </c>
      <c r="D35" s="2440"/>
      <c r="E35" s="1735" t="str">
        <f>IF(OR(C35="",'Worksheet Common HVAC'!U25=""),"",'Worksheet Common HVAC'!U25)</f>
        <v/>
      </c>
      <c r="F35" s="1736"/>
      <c r="H35" s="1737"/>
      <c r="I35" s="1737"/>
      <c r="J35" s="1737"/>
      <c r="L35" s="1737"/>
      <c r="M35" s="1737"/>
      <c r="N35" s="1739"/>
      <c r="O35" s="1740"/>
      <c r="P35" s="1741"/>
    </row>
    <row r="36" spans="1:16" ht="15.5">
      <c r="A36" s="42">
        <f t="shared" si="0"/>
        <v>11</v>
      </c>
      <c r="B36" s="1137"/>
      <c r="C36" s="2439" t="str">
        <f>IF('Worksheet Common HVAC'!T26="","",'Worksheet Common HVAC'!T26)</f>
        <v/>
      </c>
      <c r="D36" s="2440"/>
      <c r="E36" s="1735" t="str">
        <f>IF(OR(C36="",'Worksheet Common HVAC'!U26=""),"",'Worksheet Common HVAC'!U26)</f>
        <v/>
      </c>
      <c r="F36" s="1736"/>
      <c r="H36" s="1737"/>
      <c r="I36" s="1737"/>
      <c r="J36" s="1737"/>
      <c r="L36" s="1737"/>
      <c r="M36" s="1737"/>
      <c r="N36" s="1739"/>
      <c r="O36" s="1740"/>
      <c r="P36" s="1741"/>
    </row>
    <row r="37" spans="1:16" ht="15.5">
      <c r="A37" s="42">
        <f t="shared" si="0"/>
        <v>12</v>
      </c>
      <c r="B37" s="1137"/>
      <c r="C37" s="2439" t="str">
        <f>IF('Worksheet Common HVAC'!T27="","",'Worksheet Common HVAC'!T27)</f>
        <v/>
      </c>
      <c r="D37" s="2440"/>
      <c r="E37" s="1735" t="str">
        <f>IF(OR(C37="",'Worksheet Common HVAC'!U27=""),"",'Worksheet Common HVAC'!U27)</f>
        <v/>
      </c>
      <c r="F37" s="1736"/>
      <c r="H37" s="1737"/>
      <c r="I37" s="1737"/>
      <c r="J37" s="1737"/>
      <c r="L37" s="1737"/>
      <c r="M37" s="1737"/>
      <c r="N37" s="1739"/>
      <c r="O37" s="1740"/>
      <c r="P37" s="1741"/>
    </row>
    <row r="38" spans="1:16" ht="15.5">
      <c r="A38" s="42">
        <f t="shared" si="0"/>
        <v>13</v>
      </c>
      <c r="B38" s="1137"/>
      <c r="C38" s="2439" t="str">
        <f>IF('Worksheet Common HVAC'!T28="","",'Worksheet Common HVAC'!T28)</f>
        <v/>
      </c>
      <c r="D38" s="2440"/>
      <c r="E38" s="1735" t="str">
        <f>IF(OR(C38="",'Worksheet Common HVAC'!U28=""),"",'Worksheet Common HVAC'!U28)</f>
        <v/>
      </c>
      <c r="F38" s="1736"/>
      <c r="H38" s="1737"/>
      <c r="I38" s="1737"/>
      <c r="J38" s="1737"/>
      <c r="L38" s="1737"/>
      <c r="M38" s="1737"/>
      <c r="N38" s="1739"/>
      <c r="O38" s="1740"/>
      <c r="P38" s="1741"/>
    </row>
    <row r="39" spans="1:16" ht="15.5">
      <c r="A39" s="42">
        <f t="shared" si="0"/>
        <v>14</v>
      </c>
      <c r="B39" s="1137"/>
      <c r="C39" s="2439" t="str">
        <f>IF('Worksheet Common HVAC'!T29="","",'Worksheet Common HVAC'!T29)</f>
        <v/>
      </c>
      <c r="D39" s="2440"/>
      <c r="E39" s="1735" t="str">
        <f>IF(OR(C39="",'Worksheet Common HVAC'!U29=""),"",'Worksheet Common HVAC'!U29)</f>
        <v/>
      </c>
      <c r="F39" s="1736"/>
      <c r="H39" s="1737"/>
      <c r="I39" s="1737"/>
      <c r="J39" s="1737"/>
      <c r="L39" s="1737"/>
      <c r="M39" s="1737"/>
      <c r="N39" s="1739"/>
      <c r="O39" s="1740"/>
      <c r="P39" s="1741"/>
    </row>
    <row r="40" spans="1:16" ht="15.5">
      <c r="A40" s="42">
        <f t="shared" si="0"/>
        <v>15</v>
      </c>
      <c r="B40" s="1137"/>
      <c r="C40" s="2439" t="str">
        <f>IF('Worksheet Common HVAC'!T30="","",'Worksheet Common HVAC'!T30)</f>
        <v/>
      </c>
      <c r="D40" s="2440"/>
      <c r="E40" s="1735" t="str">
        <f>IF(OR(C40="",'Worksheet Common HVAC'!U30=""),"",'Worksheet Common HVAC'!U30)</f>
        <v/>
      </c>
      <c r="F40" s="1736"/>
      <c r="H40" s="1737"/>
      <c r="I40" s="1737"/>
      <c r="J40" s="1737"/>
      <c r="L40" s="1737"/>
      <c r="M40" s="1737"/>
      <c r="N40" s="1739"/>
      <c r="O40" s="1740"/>
      <c r="P40" s="1741"/>
    </row>
    <row r="41" spans="1:16" ht="15.5">
      <c r="A41" s="42">
        <f t="shared" si="0"/>
        <v>16</v>
      </c>
      <c r="B41" s="1137"/>
      <c r="C41" s="2439" t="str">
        <f>IF('Worksheet Common HVAC'!T31="","",'Worksheet Common HVAC'!T31)</f>
        <v/>
      </c>
      <c r="D41" s="2440"/>
      <c r="E41" s="1735" t="str">
        <f>IF(OR(C41="",'Worksheet Common HVAC'!U31=""),"",'Worksheet Common HVAC'!U31)</f>
        <v/>
      </c>
      <c r="F41" s="1736"/>
      <c r="H41" s="1737"/>
      <c r="I41" s="1737"/>
      <c r="J41" s="1737"/>
      <c r="L41" s="1737"/>
      <c r="M41" s="1737"/>
      <c r="N41" s="1739"/>
      <c r="O41" s="1740"/>
      <c r="P41" s="1741"/>
    </row>
    <row r="42" spans="1:16" ht="15.5">
      <c r="A42" s="42">
        <f t="shared" si="0"/>
        <v>17</v>
      </c>
      <c r="B42" s="1137"/>
      <c r="C42" s="2439" t="str">
        <f>IF('Worksheet Common HVAC'!T32="","",'Worksheet Common HVAC'!T32)</f>
        <v/>
      </c>
      <c r="D42" s="2440"/>
      <c r="E42" s="1735" t="str">
        <f>IF(OR(C42="",'Worksheet Common HVAC'!U32=""),"",'Worksheet Common HVAC'!U32)</f>
        <v/>
      </c>
      <c r="F42" s="1736"/>
      <c r="H42" s="1737"/>
      <c r="I42" s="1737"/>
      <c r="J42" s="1737"/>
      <c r="L42" s="1737"/>
      <c r="M42" s="1737"/>
      <c r="N42" s="1739"/>
      <c r="O42" s="1740"/>
      <c r="P42" s="1741"/>
    </row>
    <row r="43" spans="1:16" ht="15.5">
      <c r="A43" s="42">
        <f t="shared" si="0"/>
        <v>18</v>
      </c>
      <c r="B43" s="1137"/>
      <c r="C43" s="2439" t="str">
        <f>IF('Worksheet Common HVAC'!T33="","",'Worksheet Common HVAC'!T33)</f>
        <v/>
      </c>
      <c r="D43" s="2440"/>
      <c r="E43" s="1735" t="str">
        <f>IF(OR(C43="",'Worksheet Common HVAC'!U33=""),"",'Worksheet Common HVAC'!U33)</f>
        <v/>
      </c>
      <c r="F43" s="1736"/>
      <c r="H43" s="1737"/>
      <c r="I43" s="1737"/>
      <c r="J43" s="1737"/>
      <c r="L43" s="1737"/>
      <c r="M43" s="1737"/>
      <c r="N43" s="1739"/>
      <c r="O43" s="1740"/>
      <c r="P43" s="1741"/>
    </row>
    <row r="44" spans="1:16" ht="15.5">
      <c r="A44" s="42">
        <f t="shared" si="0"/>
        <v>19</v>
      </c>
      <c r="B44" s="1137"/>
      <c r="C44" s="2439" t="str">
        <f>IF('Worksheet Common HVAC'!T34="","",'Worksheet Common HVAC'!T34)</f>
        <v/>
      </c>
      <c r="D44" s="2440"/>
      <c r="E44" s="1735" t="str">
        <f>IF(OR(C44="",'Worksheet Common HVAC'!U34=""),"",'Worksheet Common HVAC'!U34)</f>
        <v/>
      </c>
      <c r="F44" s="1736"/>
      <c r="H44" s="1737"/>
      <c r="I44" s="1737"/>
      <c r="J44" s="1737"/>
      <c r="L44" s="1737"/>
      <c r="M44" s="1737"/>
      <c r="N44" s="1739"/>
      <c r="O44" s="1740"/>
      <c r="P44" s="1741"/>
    </row>
    <row r="45" spans="1:16" ht="15.5">
      <c r="A45" s="42">
        <f>A44+1</f>
        <v>20</v>
      </c>
      <c r="B45" s="1137"/>
      <c r="C45" s="2439" t="str">
        <f>IF('Worksheet Common HVAC'!T35="","",'Worksheet Common HVAC'!T35)</f>
        <v/>
      </c>
      <c r="D45" s="2440"/>
      <c r="E45" s="1735" t="str">
        <f>IF(OR(C45="",'Worksheet Common HVAC'!U35=""),"",'Worksheet Common HVAC'!U35)</f>
        <v/>
      </c>
      <c r="F45" s="1736"/>
      <c r="H45" s="1737"/>
      <c r="I45" s="1737"/>
      <c r="J45" s="1737"/>
      <c r="L45" s="1737"/>
      <c r="M45" s="1737"/>
      <c r="N45" s="1739"/>
      <c r="O45" s="1740"/>
      <c r="P45" s="1741"/>
    </row>
    <row r="46" spans="1:16" ht="15.5">
      <c r="A46" s="42">
        <f t="shared" si="0"/>
        <v>21</v>
      </c>
      <c r="B46" s="1137"/>
      <c r="C46" s="2439" t="str">
        <f>IF('Worksheet Common HVAC'!T36="","",'Worksheet Common HVAC'!T36)</f>
        <v/>
      </c>
      <c r="D46" s="2440"/>
      <c r="E46" s="1735" t="str">
        <f>IF(OR(C46="",'Worksheet Common HVAC'!U36=""),"",'Worksheet Common HVAC'!U36)</f>
        <v/>
      </c>
      <c r="F46" s="1736"/>
      <c r="H46" s="1737"/>
      <c r="I46" s="1737"/>
      <c r="J46" s="1737"/>
      <c r="L46" s="1737"/>
      <c r="M46" s="1737"/>
      <c r="N46" s="2447"/>
      <c r="O46" s="2448"/>
      <c r="P46" s="2449"/>
    </row>
    <row r="47" spans="1:16" ht="15.5">
      <c r="A47" s="42">
        <f t="shared" si="0"/>
        <v>22</v>
      </c>
      <c r="B47" s="1137"/>
      <c r="C47" s="2439" t="str">
        <f>IF('Worksheet Common HVAC'!T37="","",'Worksheet Common HVAC'!T37)</f>
        <v/>
      </c>
      <c r="D47" s="2440"/>
      <c r="E47" s="1735" t="str">
        <f>IF(OR(C47="",'Worksheet Common HVAC'!U37=""),"",'Worksheet Common HVAC'!U37)</f>
        <v/>
      </c>
      <c r="F47" s="1736"/>
      <c r="H47" s="1737"/>
      <c r="I47" s="1737"/>
      <c r="J47" s="1737"/>
      <c r="L47" s="1737"/>
      <c r="M47" s="1737"/>
      <c r="N47" s="2447"/>
      <c r="O47" s="2448"/>
      <c r="P47" s="2449"/>
    </row>
    <row r="48" spans="1:16" ht="15.5">
      <c r="A48" s="42">
        <f t="shared" si="0"/>
        <v>23</v>
      </c>
      <c r="B48" s="1137"/>
      <c r="C48" s="2439" t="str">
        <f>IF('Worksheet Common HVAC'!T38="","",'Worksheet Common HVAC'!T38)</f>
        <v/>
      </c>
      <c r="D48" s="2440"/>
      <c r="E48" s="1735" t="str">
        <f>IF(OR(C48="",'Worksheet Common HVAC'!U38=""),"",'Worksheet Common HVAC'!U38)</f>
        <v/>
      </c>
      <c r="F48" s="1736"/>
      <c r="H48" s="1737"/>
      <c r="I48" s="1737"/>
      <c r="J48" s="1737"/>
      <c r="L48" s="1737"/>
      <c r="M48" s="1737"/>
      <c r="N48" s="2447"/>
      <c r="O48" s="2448"/>
      <c r="P48" s="2449"/>
    </row>
    <row r="49" spans="1:17" ht="15.5">
      <c r="A49" s="42">
        <f t="shared" si="0"/>
        <v>24</v>
      </c>
      <c r="B49" s="1137"/>
      <c r="C49" s="2439" t="str">
        <f>IF('Worksheet Common HVAC'!T39="","",'Worksheet Common HVAC'!T39)</f>
        <v/>
      </c>
      <c r="D49" s="2440"/>
      <c r="E49" s="1735" t="str">
        <f>IF(OR(C49="",'Worksheet Common HVAC'!U39=""),"",'Worksheet Common HVAC'!U39)</f>
        <v/>
      </c>
      <c r="F49" s="1736"/>
      <c r="H49" s="1737"/>
      <c r="I49" s="1737"/>
      <c r="J49" s="1737"/>
      <c r="L49" s="1737"/>
      <c r="M49" s="1737"/>
      <c r="N49" s="2447"/>
      <c r="O49" s="2448"/>
      <c r="P49" s="2449"/>
    </row>
    <row r="50" spans="1:17" ht="15.5">
      <c r="A50" s="42">
        <f t="shared" si="0"/>
        <v>25</v>
      </c>
      <c r="B50" s="1137"/>
      <c r="C50" s="2439" t="str">
        <f>IF('Worksheet Common HVAC'!T40="","",'Worksheet Common HVAC'!T40)</f>
        <v/>
      </c>
      <c r="D50" s="2440"/>
      <c r="E50" s="1735" t="str">
        <f>IF(OR(C50="",'Worksheet Common HVAC'!U40=""),"",'Worksheet Common HVAC'!U40)</f>
        <v/>
      </c>
      <c r="F50" s="1736"/>
      <c r="H50" s="1737"/>
      <c r="I50" s="1737"/>
      <c r="J50" s="1737"/>
      <c r="L50" s="1737"/>
      <c r="M50" s="1737"/>
      <c r="N50" s="2447"/>
      <c r="O50" s="2448"/>
      <c r="P50" s="2449"/>
    </row>
    <row r="52" spans="1:17" ht="20">
      <c r="B52" s="1436" t="s">
        <v>5403</v>
      </c>
      <c r="D52" s="1733"/>
      <c r="E52" s="1733"/>
      <c r="F52" s="1733"/>
      <c r="G52" s="1733"/>
      <c r="H52" s="1733"/>
      <c r="I52" s="1733"/>
      <c r="J52" s="1733"/>
      <c r="K52" s="1733"/>
      <c r="L52" s="1733"/>
      <c r="M52" s="1733"/>
      <c r="N52" s="1733"/>
      <c r="O52" s="1733"/>
      <c r="P52" s="1733"/>
      <c r="Q52" s="1436"/>
    </row>
    <row r="53" spans="1:17" ht="27.65" customHeight="1">
      <c r="B53" s="1734" t="s">
        <v>5396</v>
      </c>
      <c r="C53" s="2444" t="s">
        <v>1776</v>
      </c>
      <c r="D53" s="2445"/>
      <c r="E53" s="1734" t="s">
        <v>5404</v>
      </c>
      <c r="F53" s="1734" t="s">
        <v>5398</v>
      </c>
      <c r="G53" s="1589"/>
      <c r="H53" s="1734" t="s">
        <v>80</v>
      </c>
      <c r="I53" s="1734" t="s">
        <v>135</v>
      </c>
      <c r="J53" s="1734" t="s">
        <v>5399</v>
      </c>
      <c r="K53" s="1589"/>
      <c r="L53" s="1734" t="s">
        <v>5400</v>
      </c>
      <c r="M53" s="1734" t="s">
        <v>5401</v>
      </c>
      <c r="N53" s="2444" t="s">
        <v>5402</v>
      </c>
      <c r="O53" s="2446"/>
      <c r="P53" s="2445"/>
    </row>
    <row r="54" spans="1:17" ht="15.5">
      <c r="A54" s="42">
        <v>1</v>
      </c>
      <c r="B54" s="1137"/>
      <c r="C54" s="2439" t="str">
        <f>IF('Worksheet Common HVAC'!B16="","",'Worksheet Common HVAC'!B16)</f>
        <v>Ductless Mini-Split Heat Pumps</v>
      </c>
      <c r="D54" s="2440"/>
      <c r="E54" s="1735">
        <f>IF('Worksheet Common HVAC'!H16="","",'Worksheet Common HVAC'!H16)</f>
        <v>1</v>
      </c>
      <c r="F54" s="1735">
        <f>IF('Worksheet Common HVAC'!I16="","",'Worksheet Common HVAC'!I16)</f>
        <v>1</v>
      </c>
      <c r="G54" s="1594"/>
      <c r="H54" s="1738" t="str">
        <f>IF('Worksheet Common HVAC'!F16="","",'Worksheet Common HVAC'!F16)</f>
        <v>Boshe</v>
      </c>
      <c r="I54" s="1738" t="str">
        <f>IF('Worksheet Common HVAC'!G16="","",'Worksheet Common HVAC'!G16)</f>
        <v>yeh57d</v>
      </c>
      <c r="J54" s="1737"/>
      <c r="K54" s="1594"/>
      <c r="L54" s="1737"/>
      <c r="M54" s="1737"/>
      <c r="N54" s="2441"/>
      <c r="O54" s="2442"/>
      <c r="P54" s="2443"/>
    </row>
    <row r="55" spans="1:17" ht="15.5">
      <c r="A55" s="42">
        <f>A54+1</f>
        <v>2</v>
      </c>
      <c r="B55" s="1137"/>
      <c r="C55" s="2439" t="str">
        <f>IF('Worksheet Common HVAC'!B17="","",'Worksheet Common HVAC'!B17)</f>
        <v/>
      </c>
      <c r="D55" s="2440"/>
      <c r="E55" s="1735" t="str">
        <f>IF('Worksheet Common HVAC'!H17="","",'Worksheet Common HVAC'!H17)</f>
        <v/>
      </c>
      <c r="F55" s="1735" t="str">
        <f>IF('Worksheet Common HVAC'!I17="","",'Worksheet Common HVAC'!I17)</f>
        <v/>
      </c>
      <c r="G55" s="1594"/>
      <c r="H55" s="1738" t="str">
        <f>IF('Worksheet Common HVAC'!F17="","",'Worksheet Common HVAC'!F17)</f>
        <v/>
      </c>
      <c r="I55" s="1738" t="str">
        <f>IF('Worksheet Common HVAC'!G17="","",'Worksheet Common HVAC'!G17)</f>
        <v/>
      </c>
      <c r="J55" s="1737"/>
      <c r="K55" s="1594"/>
      <c r="L55" s="1737"/>
      <c r="M55" s="1737"/>
      <c r="N55" s="2441"/>
      <c r="O55" s="2442"/>
      <c r="P55" s="2443"/>
    </row>
    <row r="56" spans="1:17" ht="15.5">
      <c r="A56" s="42">
        <f t="shared" ref="A56:A77" si="1">A55+1</f>
        <v>3</v>
      </c>
      <c r="B56" s="1137"/>
      <c r="C56" s="2439" t="str">
        <f>IF('Worksheet Common HVAC'!B18="","",'Worksheet Common HVAC'!B18)</f>
        <v/>
      </c>
      <c r="D56" s="2440"/>
      <c r="E56" s="1735" t="str">
        <f>IF('Worksheet Common HVAC'!H18="","",'Worksheet Common HVAC'!H18)</f>
        <v/>
      </c>
      <c r="F56" s="1735" t="str">
        <f>IF('Worksheet Common HVAC'!I18="","",'Worksheet Common HVAC'!I18)</f>
        <v/>
      </c>
      <c r="G56" s="1594"/>
      <c r="H56" s="1738" t="str">
        <f>IF('Worksheet Common HVAC'!F18="","",'Worksheet Common HVAC'!F18)</f>
        <v/>
      </c>
      <c r="I56" s="1738" t="str">
        <f>IF('Worksheet Common HVAC'!G18="","",'Worksheet Common HVAC'!G18)</f>
        <v/>
      </c>
      <c r="J56" s="1737"/>
      <c r="K56" s="1594"/>
      <c r="L56" s="1737"/>
      <c r="M56" s="1737"/>
      <c r="N56" s="2441"/>
      <c r="O56" s="2442"/>
      <c r="P56" s="2443"/>
    </row>
    <row r="57" spans="1:17" ht="15.5">
      <c r="A57" s="42">
        <f t="shared" si="1"/>
        <v>4</v>
      </c>
      <c r="B57" s="1137"/>
      <c r="C57" s="2439" t="str">
        <f>IF('Worksheet Common HVAC'!B19="","",'Worksheet Common HVAC'!B19)</f>
        <v/>
      </c>
      <c r="D57" s="2440"/>
      <c r="E57" s="1735" t="str">
        <f>IF('Worksheet Common HVAC'!H19="","",'Worksheet Common HVAC'!H19)</f>
        <v/>
      </c>
      <c r="F57" s="1735" t="str">
        <f>IF('Worksheet Common HVAC'!I19="","",'Worksheet Common HVAC'!I19)</f>
        <v/>
      </c>
      <c r="G57" s="1594"/>
      <c r="H57" s="1738" t="str">
        <f>IF('Worksheet Common HVAC'!F19="","",'Worksheet Common HVAC'!F19)</f>
        <v/>
      </c>
      <c r="I57" s="1738" t="str">
        <f>IF('Worksheet Common HVAC'!G19="","",'Worksheet Common HVAC'!G19)</f>
        <v/>
      </c>
      <c r="J57" s="1737"/>
      <c r="K57" s="1594"/>
      <c r="L57" s="1737"/>
      <c r="M57" s="1737"/>
      <c r="N57" s="2441"/>
      <c r="O57" s="2442"/>
      <c r="P57" s="2443"/>
    </row>
    <row r="58" spans="1:17" ht="15.5">
      <c r="A58" s="42">
        <f t="shared" si="1"/>
        <v>5</v>
      </c>
      <c r="B58" s="1137"/>
      <c r="C58" s="2439" t="str">
        <f>IF('Worksheet Common HVAC'!B20="","",'Worksheet Common HVAC'!B20)</f>
        <v/>
      </c>
      <c r="D58" s="2440"/>
      <c r="E58" s="1735" t="str">
        <f>IF('Worksheet Common HVAC'!H20="","",'Worksheet Common HVAC'!H20)</f>
        <v/>
      </c>
      <c r="F58" s="1735" t="str">
        <f>IF('Worksheet Common HVAC'!I20="","",'Worksheet Common HVAC'!I20)</f>
        <v/>
      </c>
      <c r="G58" s="1594"/>
      <c r="H58" s="1738" t="str">
        <f>IF('Worksheet Common HVAC'!F20="","",'Worksheet Common HVAC'!F20)</f>
        <v/>
      </c>
      <c r="I58" s="1738" t="str">
        <f>IF('Worksheet Common HVAC'!G20="","",'Worksheet Common HVAC'!G20)</f>
        <v/>
      </c>
      <c r="J58" s="1737"/>
      <c r="K58" s="1594"/>
      <c r="L58" s="1737"/>
      <c r="M58" s="1737"/>
      <c r="N58" s="2441"/>
      <c r="O58" s="2442"/>
      <c r="P58" s="2443"/>
    </row>
    <row r="59" spans="1:17" ht="15.5">
      <c r="A59" s="42">
        <f t="shared" si="1"/>
        <v>6</v>
      </c>
      <c r="B59" s="1137"/>
      <c r="C59" s="2439" t="str">
        <f>IF('Worksheet Common HVAC'!B21="","",'Worksheet Common HVAC'!B21)</f>
        <v/>
      </c>
      <c r="D59" s="2440"/>
      <c r="E59" s="1735" t="str">
        <f>IF('Worksheet Common HVAC'!H21="","",'Worksheet Common HVAC'!H21)</f>
        <v/>
      </c>
      <c r="F59" s="1735" t="str">
        <f>IF('Worksheet Common HVAC'!I21="","",'Worksheet Common HVAC'!I21)</f>
        <v/>
      </c>
      <c r="G59" s="1594"/>
      <c r="H59" s="1738" t="str">
        <f>IF('Worksheet Common HVAC'!F21="","",'Worksheet Common HVAC'!F21)</f>
        <v/>
      </c>
      <c r="I59" s="1738" t="str">
        <f>IF('Worksheet Common HVAC'!G21="","",'Worksheet Common HVAC'!G21)</f>
        <v/>
      </c>
      <c r="J59" s="1737"/>
      <c r="K59" s="1594"/>
      <c r="L59" s="1737"/>
      <c r="M59" s="1737"/>
      <c r="N59" s="2441"/>
      <c r="O59" s="2442"/>
      <c r="P59" s="2443"/>
    </row>
    <row r="60" spans="1:17" ht="15.5">
      <c r="A60" s="42">
        <f t="shared" si="1"/>
        <v>7</v>
      </c>
      <c r="B60" s="1137"/>
      <c r="C60" s="2439" t="str">
        <f>IF('Worksheet Common HVAC'!B22="","",'Worksheet Common HVAC'!B22)</f>
        <v/>
      </c>
      <c r="D60" s="2440"/>
      <c r="E60" s="1735" t="str">
        <f>IF('Worksheet Common HVAC'!H22="","",'Worksheet Common HVAC'!H22)</f>
        <v/>
      </c>
      <c r="F60" s="1735" t="str">
        <f>IF('Worksheet Common HVAC'!I22="","",'Worksheet Common HVAC'!I22)</f>
        <v/>
      </c>
      <c r="G60" s="1594"/>
      <c r="H60" s="1738" t="str">
        <f>IF('Worksheet Common HVAC'!F22="","",'Worksheet Common HVAC'!F22)</f>
        <v/>
      </c>
      <c r="I60" s="1738" t="str">
        <f>IF('Worksheet Common HVAC'!G22="","",'Worksheet Common HVAC'!G22)</f>
        <v/>
      </c>
      <c r="J60" s="1737"/>
      <c r="K60" s="1594"/>
      <c r="L60" s="1737"/>
      <c r="M60" s="1737"/>
      <c r="N60" s="1742"/>
      <c r="O60" s="1743"/>
      <c r="P60" s="1744"/>
    </row>
    <row r="61" spans="1:17" ht="15.5">
      <c r="A61" s="42">
        <f t="shared" si="1"/>
        <v>8</v>
      </c>
      <c r="B61" s="1137"/>
      <c r="C61" s="2439" t="str">
        <f>IF('Worksheet Common HVAC'!B23="","",'Worksheet Common HVAC'!B23)</f>
        <v/>
      </c>
      <c r="D61" s="2440"/>
      <c r="E61" s="1735" t="str">
        <f>IF('Worksheet Common HVAC'!H23="","",'Worksheet Common HVAC'!H23)</f>
        <v/>
      </c>
      <c r="F61" s="1735" t="str">
        <f>IF('Worksheet Common HVAC'!I23="","",'Worksheet Common HVAC'!I23)</f>
        <v/>
      </c>
      <c r="G61" s="1594"/>
      <c r="H61" s="1738" t="str">
        <f>IF('Worksheet Common HVAC'!F23="","",'Worksheet Common HVAC'!F23)</f>
        <v/>
      </c>
      <c r="I61" s="1738" t="str">
        <f>IF('Worksheet Common HVAC'!G23="","",'Worksheet Common HVAC'!G23)</f>
        <v/>
      </c>
      <c r="J61" s="1737"/>
      <c r="K61" s="1594"/>
      <c r="L61" s="1737"/>
      <c r="M61" s="1737"/>
      <c r="N61" s="1742"/>
      <c r="O61" s="1743"/>
      <c r="P61" s="1744"/>
    </row>
    <row r="62" spans="1:17" ht="15.5">
      <c r="A62" s="42">
        <f t="shared" si="1"/>
        <v>9</v>
      </c>
      <c r="B62" s="1137"/>
      <c r="C62" s="2439" t="str">
        <f>IF('Worksheet Common HVAC'!B24="","",'Worksheet Common HVAC'!B24)</f>
        <v/>
      </c>
      <c r="D62" s="2440"/>
      <c r="E62" s="1735" t="str">
        <f>IF('Worksheet Common HVAC'!H24="","",'Worksheet Common HVAC'!H24)</f>
        <v/>
      </c>
      <c r="F62" s="1735" t="str">
        <f>IF('Worksheet Common HVAC'!I24="","",'Worksheet Common HVAC'!I24)</f>
        <v/>
      </c>
      <c r="G62" s="1594"/>
      <c r="H62" s="1738" t="str">
        <f>IF('Worksheet Common HVAC'!F24="","",'Worksheet Common HVAC'!F24)</f>
        <v/>
      </c>
      <c r="I62" s="1738" t="str">
        <f>IF('Worksheet Common HVAC'!G24="","",'Worksheet Common HVAC'!G24)</f>
        <v/>
      </c>
      <c r="J62" s="1737"/>
      <c r="K62" s="1594"/>
      <c r="L62" s="1737"/>
      <c r="M62" s="1737"/>
      <c r="N62" s="1742"/>
      <c r="O62" s="1743"/>
      <c r="P62" s="1744"/>
    </row>
    <row r="63" spans="1:17" ht="15.5">
      <c r="A63" s="42">
        <f t="shared" si="1"/>
        <v>10</v>
      </c>
      <c r="B63" s="1137"/>
      <c r="C63" s="2439" t="str">
        <f>IF('Worksheet Common HVAC'!B25="","",'Worksheet Common HVAC'!B25)</f>
        <v/>
      </c>
      <c r="D63" s="2440"/>
      <c r="E63" s="1735" t="str">
        <f>IF('Worksheet Common HVAC'!H25="","",'Worksheet Common HVAC'!H25)</f>
        <v/>
      </c>
      <c r="F63" s="1735" t="str">
        <f>IF('Worksheet Common HVAC'!I25="","",'Worksheet Common HVAC'!I25)</f>
        <v/>
      </c>
      <c r="G63" s="1594"/>
      <c r="H63" s="1738" t="str">
        <f>IF('Worksheet Common HVAC'!F25="","",'Worksheet Common HVAC'!F25)</f>
        <v/>
      </c>
      <c r="I63" s="1738" t="str">
        <f>IF('Worksheet Common HVAC'!G25="","",'Worksheet Common HVAC'!G25)</f>
        <v/>
      </c>
      <c r="J63" s="1737"/>
      <c r="K63" s="1594"/>
      <c r="L63" s="1737"/>
      <c r="M63" s="1737"/>
      <c r="N63" s="1742"/>
      <c r="O63" s="1743"/>
      <c r="P63" s="1744"/>
    </row>
    <row r="64" spans="1:17" ht="15.5">
      <c r="A64" s="42">
        <f t="shared" si="1"/>
        <v>11</v>
      </c>
      <c r="B64" s="1137"/>
      <c r="C64" s="2439" t="str">
        <f>IF('Worksheet Common HVAC'!B26="","",'Worksheet Common HVAC'!B26)</f>
        <v/>
      </c>
      <c r="D64" s="2440"/>
      <c r="E64" s="1735" t="str">
        <f>IF('Worksheet Common HVAC'!H26="","",'Worksheet Common HVAC'!H26)</f>
        <v/>
      </c>
      <c r="F64" s="1735" t="str">
        <f>IF('Worksheet Common HVAC'!I26="","",'Worksheet Common HVAC'!I26)</f>
        <v/>
      </c>
      <c r="G64" s="1594"/>
      <c r="H64" s="1738" t="str">
        <f>IF('Worksheet Common HVAC'!F26="","",'Worksheet Common HVAC'!F26)</f>
        <v/>
      </c>
      <c r="I64" s="1738" t="str">
        <f>IF('Worksheet Common HVAC'!G26="","",'Worksheet Common HVAC'!G26)</f>
        <v/>
      </c>
      <c r="J64" s="1737"/>
      <c r="K64" s="1594"/>
      <c r="L64" s="1737"/>
      <c r="M64" s="1737"/>
      <c r="N64" s="1742"/>
      <c r="O64" s="1743"/>
      <c r="P64" s="1744"/>
    </row>
    <row r="65" spans="1:16" ht="15.5">
      <c r="A65" s="42">
        <f t="shared" si="1"/>
        <v>12</v>
      </c>
      <c r="B65" s="1137"/>
      <c r="C65" s="2439" t="str">
        <f>IF('Worksheet Common HVAC'!B27="","",'Worksheet Common HVAC'!B27)</f>
        <v/>
      </c>
      <c r="D65" s="2440"/>
      <c r="E65" s="1735" t="str">
        <f>IF('Worksheet Common HVAC'!H27="","",'Worksheet Common HVAC'!H27)</f>
        <v/>
      </c>
      <c r="F65" s="1735" t="str">
        <f>IF('Worksheet Common HVAC'!I27="","",'Worksheet Common HVAC'!I27)</f>
        <v/>
      </c>
      <c r="G65" s="1594"/>
      <c r="H65" s="1738" t="str">
        <f>IF('Worksheet Common HVAC'!F27="","",'Worksheet Common HVAC'!F27)</f>
        <v/>
      </c>
      <c r="I65" s="1738" t="str">
        <f>IF('Worksheet Common HVAC'!G27="","",'Worksheet Common HVAC'!G27)</f>
        <v/>
      </c>
      <c r="J65" s="1737"/>
      <c r="K65" s="1594"/>
      <c r="L65" s="1737"/>
      <c r="M65" s="1737"/>
      <c r="N65" s="1742"/>
      <c r="O65" s="1743"/>
      <c r="P65" s="1744"/>
    </row>
    <row r="66" spans="1:16" ht="15.5">
      <c r="A66" s="42">
        <f t="shared" si="1"/>
        <v>13</v>
      </c>
      <c r="B66" s="1137"/>
      <c r="C66" s="2439" t="str">
        <f>IF('Worksheet Common HVAC'!B28="","",'Worksheet Common HVAC'!B28)</f>
        <v/>
      </c>
      <c r="D66" s="2440"/>
      <c r="E66" s="1735" t="str">
        <f>IF('Worksheet Common HVAC'!H28="","",'Worksheet Common HVAC'!H28)</f>
        <v/>
      </c>
      <c r="F66" s="1735" t="str">
        <f>IF('Worksheet Common HVAC'!I28="","",'Worksheet Common HVAC'!I28)</f>
        <v/>
      </c>
      <c r="G66" s="1594"/>
      <c r="H66" s="1738" t="str">
        <f>IF('Worksheet Common HVAC'!F28="","",'Worksheet Common HVAC'!F28)</f>
        <v/>
      </c>
      <c r="I66" s="1738" t="str">
        <f>IF('Worksheet Common HVAC'!G28="","",'Worksheet Common HVAC'!G28)</f>
        <v/>
      </c>
      <c r="J66" s="1737"/>
      <c r="K66" s="1594"/>
      <c r="L66" s="1737"/>
      <c r="M66" s="1737"/>
      <c r="N66" s="2441"/>
      <c r="O66" s="2442"/>
      <c r="P66" s="2443"/>
    </row>
    <row r="67" spans="1:16" ht="15.5">
      <c r="A67" s="42">
        <f t="shared" si="1"/>
        <v>14</v>
      </c>
      <c r="B67" s="1137"/>
      <c r="C67" s="2439" t="str">
        <f>IF('Worksheet Common HVAC'!B29="","",'Worksheet Common HVAC'!B29)</f>
        <v/>
      </c>
      <c r="D67" s="2440"/>
      <c r="E67" s="1735" t="str">
        <f>IF('Worksheet Common HVAC'!H29="","",'Worksheet Common HVAC'!H29)</f>
        <v/>
      </c>
      <c r="F67" s="1735" t="str">
        <f>IF('Worksheet Common HVAC'!I29="","",'Worksheet Common HVAC'!I29)</f>
        <v/>
      </c>
      <c r="G67" s="1594"/>
      <c r="H67" s="1738" t="str">
        <f>IF('Worksheet Common HVAC'!F29="","",'Worksheet Common HVAC'!F29)</f>
        <v/>
      </c>
      <c r="I67" s="1738" t="str">
        <f>IF('Worksheet Common HVAC'!G29="","",'Worksheet Common HVAC'!G29)</f>
        <v/>
      </c>
      <c r="J67" s="1737"/>
      <c r="K67" s="1594"/>
      <c r="L67" s="1737"/>
      <c r="M67" s="1737"/>
      <c r="N67" s="2441"/>
      <c r="O67" s="2442"/>
      <c r="P67" s="2443"/>
    </row>
    <row r="68" spans="1:16" ht="15.5">
      <c r="A68" s="42">
        <f t="shared" si="1"/>
        <v>15</v>
      </c>
      <c r="B68" s="1137"/>
      <c r="C68" s="2439" t="str">
        <f>IF('Worksheet Common HVAC'!B30="","",'Worksheet Common HVAC'!B30)</f>
        <v/>
      </c>
      <c r="D68" s="2440"/>
      <c r="E68" s="1735" t="str">
        <f>IF('Worksheet Common HVAC'!H30="","",'Worksheet Common HVAC'!H30)</f>
        <v/>
      </c>
      <c r="F68" s="1735" t="str">
        <f>IF('Worksheet Common HVAC'!I30="","",'Worksheet Common HVAC'!I30)</f>
        <v/>
      </c>
      <c r="G68" s="1594"/>
      <c r="H68" s="1738" t="str">
        <f>IF('Worksheet Common HVAC'!F30="","",'Worksheet Common HVAC'!F30)</f>
        <v/>
      </c>
      <c r="I68" s="1738" t="str">
        <f>IF('Worksheet Common HVAC'!G30="","",'Worksheet Common HVAC'!G30)</f>
        <v/>
      </c>
      <c r="J68" s="1737"/>
      <c r="K68" s="1594"/>
      <c r="L68" s="1737"/>
      <c r="M68" s="1737"/>
      <c r="N68" s="2441"/>
      <c r="O68" s="2442"/>
      <c r="P68" s="2443"/>
    </row>
    <row r="69" spans="1:16" ht="15.5">
      <c r="A69" s="42">
        <f t="shared" si="1"/>
        <v>16</v>
      </c>
      <c r="B69" s="1137"/>
      <c r="C69" s="2439" t="str">
        <f>IF('Worksheet Common HVAC'!B31="","",'Worksheet Common HVAC'!B31)</f>
        <v/>
      </c>
      <c r="D69" s="2440"/>
      <c r="E69" s="1735" t="str">
        <f>IF('Worksheet Common HVAC'!H31="","",'Worksheet Common HVAC'!H31)</f>
        <v/>
      </c>
      <c r="F69" s="1735" t="str">
        <f>IF('Worksheet Common HVAC'!I31="","",'Worksheet Common HVAC'!I31)</f>
        <v/>
      </c>
      <c r="G69" s="1594"/>
      <c r="H69" s="1738" t="str">
        <f>IF('Worksheet Common HVAC'!F31="","",'Worksheet Common HVAC'!F31)</f>
        <v/>
      </c>
      <c r="I69" s="1738" t="str">
        <f>IF('Worksheet Common HVAC'!G31="","",'Worksheet Common HVAC'!G31)</f>
        <v/>
      </c>
      <c r="J69" s="1737"/>
      <c r="K69" s="1594"/>
      <c r="L69" s="1737"/>
      <c r="M69" s="1737"/>
      <c r="N69" s="2441"/>
      <c r="O69" s="2442"/>
      <c r="P69" s="2443"/>
    </row>
    <row r="70" spans="1:16" ht="15.5">
      <c r="A70" s="42">
        <f t="shared" si="1"/>
        <v>17</v>
      </c>
      <c r="B70" s="1137"/>
      <c r="C70" s="2439" t="str">
        <f>IF('Worksheet Common HVAC'!B32="","",'Worksheet Common HVAC'!B32)</f>
        <v/>
      </c>
      <c r="D70" s="2440"/>
      <c r="E70" s="1735" t="str">
        <f>IF('Worksheet Common HVAC'!H32="","",'Worksheet Common HVAC'!H32)</f>
        <v/>
      </c>
      <c r="F70" s="1735" t="str">
        <f>IF('Worksheet Common HVAC'!I32="","",'Worksheet Common HVAC'!I32)</f>
        <v/>
      </c>
      <c r="G70" s="1594"/>
      <c r="H70" s="1738" t="str">
        <f>IF('Worksheet Common HVAC'!F32="","",'Worksheet Common HVAC'!F32)</f>
        <v/>
      </c>
      <c r="I70" s="1738" t="str">
        <f>IF('Worksheet Common HVAC'!G32="","",'Worksheet Common HVAC'!G32)</f>
        <v/>
      </c>
      <c r="J70" s="1737"/>
      <c r="K70" s="1594"/>
      <c r="L70" s="1737"/>
      <c r="M70" s="1737"/>
      <c r="N70" s="2441"/>
      <c r="O70" s="2442"/>
      <c r="P70" s="2443"/>
    </row>
    <row r="71" spans="1:16" ht="15.5">
      <c r="A71" s="42">
        <f t="shared" si="1"/>
        <v>18</v>
      </c>
      <c r="B71" s="1137"/>
      <c r="C71" s="2439" t="str">
        <f>IF('Worksheet Common HVAC'!B33="","",'Worksheet Common HVAC'!B33)</f>
        <v/>
      </c>
      <c r="D71" s="2440"/>
      <c r="E71" s="1735" t="str">
        <f>IF('Worksheet Common HVAC'!H33="","",'Worksheet Common HVAC'!H33)</f>
        <v/>
      </c>
      <c r="F71" s="1735" t="str">
        <f>IF('Worksheet Common HVAC'!I33="","",'Worksheet Common HVAC'!I33)</f>
        <v/>
      </c>
      <c r="G71" s="1594"/>
      <c r="H71" s="1738" t="str">
        <f>IF('Worksheet Common HVAC'!F33="","",'Worksheet Common HVAC'!F33)</f>
        <v/>
      </c>
      <c r="I71" s="1738" t="str">
        <f>IF('Worksheet Common HVAC'!G33="","",'Worksheet Common HVAC'!G33)</f>
        <v/>
      </c>
      <c r="J71" s="1737"/>
      <c r="K71" s="1594"/>
      <c r="L71" s="1737"/>
      <c r="M71" s="1737"/>
      <c r="N71" s="2441"/>
      <c r="O71" s="2442"/>
      <c r="P71" s="2443"/>
    </row>
    <row r="72" spans="1:16" ht="15.5">
      <c r="A72" s="42">
        <f>A71+1</f>
        <v>19</v>
      </c>
      <c r="B72" s="1137"/>
      <c r="C72" s="2439" t="str">
        <f>IF('Worksheet Common HVAC'!B34="","",'Worksheet Common HVAC'!B34)</f>
        <v/>
      </c>
      <c r="D72" s="2440"/>
      <c r="E72" s="1735" t="str">
        <f>IF('Worksheet Common HVAC'!H34="","",'Worksheet Common HVAC'!H34)</f>
        <v/>
      </c>
      <c r="F72" s="1735" t="str">
        <f>IF('Worksheet Common HVAC'!I34="","",'Worksheet Common HVAC'!I34)</f>
        <v/>
      </c>
      <c r="H72" s="1738" t="str">
        <f>IF('Worksheet Common HVAC'!F34="","",'Worksheet Common HVAC'!F34)</f>
        <v/>
      </c>
      <c r="I72" s="1738" t="str">
        <f>IF('Worksheet Common HVAC'!G34="","",'Worksheet Common HVAC'!G34)</f>
        <v/>
      </c>
      <c r="J72" s="1137"/>
      <c r="L72" s="1137"/>
      <c r="M72" s="1137"/>
      <c r="N72" s="2441"/>
      <c r="O72" s="2442"/>
      <c r="P72" s="2443"/>
    </row>
    <row r="73" spans="1:16" ht="15.5">
      <c r="A73" s="42">
        <f t="shared" si="1"/>
        <v>20</v>
      </c>
      <c r="B73" s="1137"/>
      <c r="C73" s="2439" t="str">
        <f>IF('Worksheet Common HVAC'!B35="","",'Worksheet Common HVAC'!B35)</f>
        <v/>
      </c>
      <c r="D73" s="2440"/>
      <c r="E73" s="1735" t="str">
        <f>IF('Worksheet Common HVAC'!H35="","",'Worksheet Common HVAC'!H35)</f>
        <v/>
      </c>
      <c r="F73" s="1735" t="str">
        <f>IF('Worksheet Common HVAC'!I35="","",'Worksheet Common HVAC'!I35)</f>
        <v/>
      </c>
      <c r="H73" s="1738" t="str">
        <f>IF('Worksheet Common HVAC'!F35="","",'Worksheet Common HVAC'!F35)</f>
        <v/>
      </c>
      <c r="I73" s="1738" t="str">
        <f>IF('Worksheet Common HVAC'!G35="","",'Worksheet Common HVAC'!G35)</f>
        <v/>
      </c>
      <c r="J73" s="1137"/>
      <c r="L73" s="1137"/>
      <c r="M73" s="1137"/>
      <c r="N73" s="2441"/>
      <c r="O73" s="2442"/>
      <c r="P73" s="2443"/>
    </row>
    <row r="74" spans="1:16" ht="15.5">
      <c r="A74" s="42">
        <f t="shared" si="1"/>
        <v>21</v>
      </c>
      <c r="B74" s="1137"/>
      <c r="C74" s="2439" t="str">
        <f>IF('Worksheet Common HVAC'!B36="","",'Worksheet Common HVAC'!B36)</f>
        <v/>
      </c>
      <c r="D74" s="2440"/>
      <c r="E74" s="1735" t="str">
        <f>IF('Worksheet Common HVAC'!H36="","",'Worksheet Common HVAC'!H36)</f>
        <v/>
      </c>
      <c r="F74" s="1735" t="str">
        <f>IF('Worksheet Common HVAC'!I36="","",'Worksheet Common HVAC'!I36)</f>
        <v/>
      </c>
      <c r="H74" s="1738" t="str">
        <f>IF('Worksheet Common HVAC'!F36="","",'Worksheet Common HVAC'!F36)</f>
        <v/>
      </c>
      <c r="I74" s="1738" t="str">
        <f>IF('Worksheet Common HVAC'!G36="","",'Worksheet Common HVAC'!G36)</f>
        <v/>
      </c>
      <c r="J74" s="1137"/>
      <c r="L74" s="1137"/>
      <c r="M74" s="1137"/>
      <c r="N74" s="2441"/>
      <c r="O74" s="2442"/>
      <c r="P74" s="2443"/>
    </row>
    <row r="75" spans="1:16" ht="15.5">
      <c r="A75" s="42">
        <f t="shared" si="1"/>
        <v>22</v>
      </c>
      <c r="B75" s="1137"/>
      <c r="C75" s="2439" t="str">
        <f>IF('Worksheet Common HVAC'!B37="","",'Worksheet Common HVAC'!B37)</f>
        <v/>
      </c>
      <c r="D75" s="2440"/>
      <c r="E75" s="1735" t="str">
        <f>IF('Worksheet Common HVAC'!H37="","",'Worksheet Common HVAC'!H37)</f>
        <v/>
      </c>
      <c r="F75" s="1735" t="str">
        <f>IF('Worksheet Common HVAC'!I37="","",'Worksheet Common HVAC'!I37)</f>
        <v/>
      </c>
      <c r="H75" s="1738" t="str">
        <f>IF('Worksheet Common HVAC'!F37="","",'Worksheet Common HVAC'!F37)</f>
        <v/>
      </c>
      <c r="I75" s="1738" t="str">
        <f>IF('Worksheet Common HVAC'!G37="","",'Worksheet Common HVAC'!G37)</f>
        <v/>
      </c>
      <c r="J75" s="1137"/>
      <c r="L75" s="1137"/>
      <c r="M75" s="1137"/>
      <c r="N75" s="2441"/>
      <c r="O75" s="2442"/>
      <c r="P75" s="2443"/>
    </row>
    <row r="76" spans="1:16" ht="15.5">
      <c r="A76" s="42">
        <f>A75+1</f>
        <v>23</v>
      </c>
      <c r="B76" s="1137"/>
      <c r="C76" s="2439" t="str">
        <f>IF('Worksheet Common HVAC'!B38="","",'Worksheet Common HVAC'!B38)</f>
        <v/>
      </c>
      <c r="D76" s="2440"/>
      <c r="E76" s="1735" t="str">
        <f>IF('Worksheet Common HVAC'!H38="","",'Worksheet Common HVAC'!H38)</f>
        <v/>
      </c>
      <c r="F76" s="1735" t="str">
        <f>IF('Worksheet Common HVAC'!I38="","",'Worksheet Common HVAC'!I38)</f>
        <v/>
      </c>
      <c r="H76" s="1738" t="str">
        <f>IF('Worksheet Common HVAC'!F38="","",'Worksheet Common HVAC'!F38)</f>
        <v/>
      </c>
      <c r="I76" s="1738" t="str">
        <f>IF('Worksheet Common HVAC'!G38="","",'Worksheet Common HVAC'!G38)</f>
        <v/>
      </c>
      <c r="J76" s="1137"/>
      <c r="L76" s="1137"/>
      <c r="M76" s="1137"/>
      <c r="N76" s="2441"/>
      <c r="O76" s="2442"/>
      <c r="P76" s="2443"/>
    </row>
    <row r="77" spans="1:16" ht="15.5">
      <c r="A77" s="42">
        <f t="shared" si="1"/>
        <v>24</v>
      </c>
      <c r="B77" s="1137"/>
      <c r="C77" s="2439" t="str">
        <f>IF('Worksheet Common HVAC'!B39="","",'Worksheet Common HVAC'!B39)</f>
        <v/>
      </c>
      <c r="D77" s="2440"/>
      <c r="E77" s="1735" t="str">
        <f>IF('Worksheet Common HVAC'!H39="","",'Worksheet Common HVAC'!H39)</f>
        <v/>
      </c>
      <c r="F77" s="1735" t="str">
        <f>IF('Worksheet Common HVAC'!I39="","",'Worksheet Common HVAC'!I39)</f>
        <v/>
      </c>
      <c r="H77" s="1738" t="str">
        <f>IF('Worksheet Common HVAC'!F39="","",'Worksheet Common HVAC'!F39)</f>
        <v/>
      </c>
      <c r="I77" s="1738" t="str">
        <f>IF('Worksheet Common HVAC'!G39="","",'Worksheet Common HVAC'!G39)</f>
        <v/>
      </c>
      <c r="J77" s="1137"/>
      <c r="L77" s="1137"/>
      <c r="M77" s="1137"/>
      <c r="N77" s="2441"/>
      <c r="O77" s="2442"/>
      <c r="P77" s="2443"/>
    </row>
    <row r="78" spans="1:16" ht="15.5">
      <c r="A78" s="42">
        <f>A77+1</f>
        <v>25</v>
      </c>
      <c r="B78" s="1137"/>
      <c r="C78" s="2439" t="str">
        <f>IF('Worksheet Common HVAC'!B40="","",'Worksheet Common HVAC'!B40)</f>
        <v/>
      </c>
      <c r="D78" s="2440"/>
      <c r="E78" s="1735" t="str">
        <f>IF('Worksheet Common HVAC'!H40="","",'Worksheet Common HVAC'!H40)</f>
        <v/>
      </c>
      <c r="F78" s="1735" t="str">
        <f>IF('Worksheet Common HVAC'!I40="","",'Worksheet Common HVAC'!I40)</f>
        <v/>
      </c>
      <c r="H78" s="1738" t="str">
        <f>IF('Worksheet Common HVAC'!F40="","",'Worksheet Common HVAC'!F40)</f>
        <v/>
      </c>
      <c r="I78" s="1738" t="str">
        <f>IF('Worksheet Common HVAC'!G40="","",'Worksheet Common HVAC'!G40)</f>
        <v/>
      </c>
      <c r="J78" s="1137"/>
      <c r="L78" s="1137"/>
      <c r="M78" s="1137"/>
      <c r="N78" s="2441"/>
      <c r="O78" s="2442"/>
      <c r="P78" s="2443"/>
    </row>
  </sheetData>
  <sheetProtection algorithmName="SHA-512" hashValue="UiNfkvGH8N1jfcA2zFCUQfylHQ8GcFUfDJZyCNXZ4ajwTtrUUmlbdxOwjuNkk2bwhiMo/GqjWP6skDvz5gz7MQ==" saltValue="bmFeF5BmygVQPTVO0Vk1Gg==" spinCount="100000" sheet="1" objects="1" scenarios="1"/>
  <mergeCells count="90">
    <mergeCell ref="J13:K13"/>
    <mergeCell ref="N13:O13"/>
    <mergeCell ref="H7:P7"/>
    <mergeCell ref="J9:K9"/>
    <mergeCell ref="N9:O9"/>
    <mergeCell ref="J11:K11"/>
    <mergeCell ref="N11:O11"/>
    <mergeCell ref="C31:D31"/>
    <mergeCell ref="O23:P23"/>
    <mergeCell ref="C25:D25"/>
    <mergeCell ref="N25:P25"/>
    <mergeCell ref="C26:D26"/>
    <mergeCell ref="N26:P26"/>
    <mergeCell ref="C27:D27"/>
    <mergeCell ref="N27:P27"/>
    <mergeCell ref="C28:D28"/>
    <mergeCell ref="N28:P28"/>
    <mergeCell ref="C29:D29"/>
    <mergeCell ref="N29:P29"/>
    <mergeCell ref="C30:D30"/>
    <mergeCell ref="C43:D43"/>
    <mergeCell ref="C32:D32"/>
    <mergeCell ref="C33:D33"/>
    <mergeCell ref="C34:D34"/>
    <mergeCell ref="C35:D35"/>
    <mergeCell ref="C36:D36"/>
    <mergeCell ref="C37:D37"/>
    <mergeCell ref="C38:D38"/>
    <mergeCell ref="C39:D39"/>
    <mergeCell ref="C40:D40"/>
    <mergeCell ref="C41:D41"/>
    <mergeCell ref="C42:D42"/>
    <mergeCell ref="C44:D44"/>
    <mergeCell ref="C45:D45"/>
    <mergeCell ref="C46:D46"/>
    <mergeCell ref="N46:P46"/>
    <mergeCell ref="C47:D47"/>
    <mergeCell ref="N47:P47"/>
    <mergeCell ref="C48:D48"/>
    <mergeCell ref="N48:P48"/>
    <mergeCell ref="C49:D49"/>
    <mergeCell ref="N49:P49"/>
    <mergeCell ref="C50:D50"/>
    <mergeCell ref="N50:P50"/>
    <mergeCell ref="C53:D53"/>
    <mergeCell ref="N53:P53"/>
    <mergeCell ref="C54:D54"/>
    <mergeCell ref="N54:P54"/>
    <mergeCell ref="C55:D55"/>
    <mergeCell ref="N55:P55"/>
    <mergeCell ref="C63:D63"/>
    <mergeCell ref="C56:D56"/>
    <mergeCell ref="N56:P56"/>
    <mergeCell ref="C57:D57"/>
    <mergeCell ref="N57:P57"/>
    <mergeCell ref="C58:D58"/>
    <mergeCell ref="N58:P58"/>
    <mergeCell ref="C59:D59"/>
    <mergeCell ref="N59:P59"/>
    <mergeCell ref="C60:D60"/>
    <mergeCell ref="C61:D61"/>
    <mergeCell ref="C62:D62"/>
    <mergeCell ref="C64:D64"/>
    <mergeCell ref="C65:D65"/>
    <mergeCell ref="C66:D66"/>
    <mergeCell ref="N66:P66"/>
    <mergeCell ref="C67:D67"/>
    <mergeCell ref="N67:P67"/>
    <mergeCell ref="C68:D68"/>
    <mergeCell ref="N68:P68"/>
    <mergeCell ref="C69:D69"/>
    <mergeCell ref="N69:P69"/>
    <mergeCell ref="C70:D70"/>
    <mergeCell ref="N70:P70"/>
    <mergeCell ref="C71:D71"/>
    <mergeCell ref="N71:P71"/>
    <mergeCell ref="C72:D72"/>
    <mergeCell ref="N72:P72"/>
    <mergeCell ref="C73:D73"/>
    <mergeCell ref="N73:P73"/>
    <mergeCell ref="C77:D77"/>
    <mergeCell ref="N77:P77"/>
    <mergeCell ref="C78:D78"/>
    <mergeCell ref="N78:P78"/>
    <mergeCell ref="C74:D74"/>
    <mergeCell ref="N74:P74"/>
    <mergeCell ref="C75:D75"/>
    <mergeCell ref="N75:P75"/>
    <mergeCell ref="C76:D76"/>
    <mergeCell ref="N76:P76"/>
  </mergeCells>
  <pageMargins left="0.7" right="0.7" top="0.75" bottom="0.75" header="0.3" footer="0.3"/>
  <pageSetup scale="39"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3089" r:id="rId4" name="Check Box 1">
              <controlPr defaultSize="0" autoFill="0" autoLine="0" autoPict="0">
                <anchor moveWithCells="1">
                  <from>
                    <xdr:col>7</xdr:col>
                    <xdr:colOff>279400</xdr:colOff>
                    <xdr:row>15</xdr:row>
                    <xdr:rowOff>50800</xdr:rowOff>
                  </from>
                  <to>
                    <xdr:col>7</xdr:col>
                    <xdr:colOff>869950</xdr:colOff>
                    <xdr:row>15</xdr:row>
                    <xdr:rowOff>260350</xdr:rowOff>
                  </to>
                </anchor>
              </controlPr>
            </control>
          </mc:Choice>
        </mc:AlternateContent>
        <mc:AlternateContent xmlns:mc="http://schemas.openxmlformats.org/markup-compatibility/2006">
          <mc:Choice Requires="x14">
            <control shapeId="473090" r:id="rId5" name="Check Box 2">
              <controlPr defaultSize="0" autoFill="0" autoLine="0" autoPict="0">
                <anchor moveWithCells="1">
                  <from>
                    <xdr:col>7</xdr:col>
                    <xdr:colOff>260350</xdr:colOff>
                    <xdr:row>17</xdr:row>
                    <xdr:rowOff>31750</xdr:rowOff>
                  </from>
                  <to>
                    <xdr:col>7</xdr:col>
                    <xdr:colOff>850900</xdr:colOff>
                    <xdr:row>17</xdr:row>
                    <xdr:rowOff>241300</xdr:rowOff>
                  </to>
                </anchor>
              </controlPr>
            </control>
          </mc:Choice>
        </mc:AlternateContent>
        <mc:AlternateContent xmlns:mc="http://schemas.openxmlformats.org/markup-compatibility/2006">
          <mc:Choice Requires="x14">
            <control shapeId="473091" r:id="rId6" name="Check Box 3">
              <controlPr defaultSize="0" autoFill="0" autoLine="0" autoPict="0">
                <anchor moveWithCells="1">
                  <from>
                    <xdr:col>7</xdr:col>
                    <xdr:colOff>241300</xdr:colOff>
                    <xdr:row>19</xdr:row>
                    <xdr:rowOff>69850</xdr:rowOff>
                  </from>
                  <to>
                    <xdr:col>7</xdr:col>
                    <xdr:colOff>838200</xdr:colOff>
                    <xdr:row>19</xdr:row>
                    <xdr:rowOff>279400</xdr:rowOff>
                  </to>
                </anchor>
              </controlPr>
            </control>
          </mc:Choice>
        </mc:AlternateContent>
        <mc:AlternateContent xmlns:mc="http://schemas.openxmlformats.org/markup-compatibility/2006">
          <mc:Choice Requires="x14">
            <control shapeId="473092" r:id="rId7" name="Check Box 4">
              <controlPr defaultSize="0" autoFill="0" autoLine="0" autoPict="0">
                <anchor moveWithCells="1">
                  <from>
                    <xdr:col>7</xdr:col>
                    <xdr:colOff>965200</xdr:colOff>
                    <xdr:row>15</xdr:row>
                    <xdr:rowOff>31750</xdr:rowOff>
                  </from>
                  <to>
                    <xdr:col>8</xdr:col>
                    <xdr:colOff>679450</xdr:colOff>
                    <xdr:row>15</xdr:row>
                    <xdr:rowOff>279400</xdr:rowOff>
                  </to>
                </anchor>
              </controlPr>
            </control>
          </mc:Choice>
        </mc:AlternateContent>
        <mc:AlternateContent xmlns:mc="http://schemas.openxmlformats.org/markup-compatibility/2006">
          <mc:Choice Requires="x14">
            <control shapeId="473093" r:id="rId8" name="Check Box 5">
              <controlPr defaultSize="0" autoFill="0" autoLine="0" autoPict="0">
                <anchor moveWithCells="1">
                  <from>
                    <xdr:col>7</xdr:col>
                    <xdr:colOff>971550</xdr:colOff>
                    <xdr:row>17</xdr:row>
                    <xdr:rowOff>12700</xdr:rowOff>
                  </from>
                  <to>
                    <xdr:col>8</xdr:col>
                    <xdr:colOff>679450</xdr:colOff>
                    <xdr:row>17</xdr:row>
                    <xdr:rowOff>260350</xdr:rowOff>
                  </to>
                </anchor>
              </controlPr>
            </control>
          </mc:Choice>
        </mc:AlternateContent>
        <mc:AlternateContent xmlns:mc="http://schemas.openxmlformats.org/markup-compatibility/2006">
          <mc:Choice Requires="x14">
            <control shapeId="473094" r:id="rId9" name="Check Box 6">
              <controlPr defaultSize="0" autoFill="0" autoLine="0" autoPict="0">
                <anchor moveWithCells="1">
                  <from>
                    <xdr:col>7</xdr:col>
                    <xdr:colOff>952500</xdr:colOff>
                    <xdr:row>19</xdr:row>
                    <xdr:rowOff>50800</xdr:rowOff>
                  </from>
                  <to>
                    <xdr:col>8</xdr:col>
                    <xdr:colOff>660400</xdr:colOff>
                    <xdr:row>19</xdr:row>
                    <xdr:rowOff>298450</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E142BE-E570-406E-A469-E6BE7862A21C}">
  <sheetPr codeName="Sheet36">
    <tabColor rgb="FF92D050"/>
  </sheetPr>
  <dimension ref="A1:XFB382"/>
  <sheetViews>
    <sheetView showGridLines="0" zoomScale="80" zoomScaleNormal="80" workbookViewId="0">
      <selection activeCell="O61" sqref="O61"/>
    </sheetView>
  </sheetViews>
  <sheetFormatPr defaultColWidth="0" defaultRowHeight="14.5"/>
  <cols>
    <col min="1" max="1" width="4.26953125" customWidth="1"/>
    <col min="2" max="4" width="8.7265625" customWidth="1"/>
    <col min="5" max="5" width="21.54296875" customWidth="1"/>
    <col min="6" max="6" width="3.81640625" customWidth="1"/>
    <col min="7" max="7" width="10.54296875" customWidth="1"/>
    <col min="8" max="8" width="1.54296875" customWidth="1"/>
    <col min="9" max="9" width="10.54296875" customWidth="1"/>
    <col min="10" max="10" width="1.54296875" customWidth="1"/>
    <col min="11" max="11" width="17.54296875" customWidth="1"/>
    <col min="12" max="12" width="1.54296875" customWidth="1"/>
    <col min="13" max="13" width="8.7265625" customWidth="1"/>
    <col min="14" max="14" width="1.54296875" customWidth="1"/>
    <col min="15" max="15" width="16.54296875" customWidth="1"/>
    <col min="16" max="16" width="1.54296875" customWidth="1"/>
    <col min="17" max="17" width="28.1796875" customWidth="1"/>
    <col min="18" max="18" width="1.54296875" customWidth="1"/>
    <col min="19" max="19" width="20.81640625" customWidth="1"/>
    <col min="20" max="21" width="8.7265625" customWidth="1"/>
    <col min="22" max="16384" width="8.7265625" hidden="1"/>
  </cols>
  <sheetData>
    <row r="1" spans="1:1022 1034:2042 2054:3062 3074:4094 4106:5114 5126:6134 6146:7166 7178:8186 8198:9206 9218:10238 10250:11258 11270:12278 12290:13310 13322:14330 14342:15350 15362:16382" s="1070" customFormat="1" ht="39" customHeight="1">
      <c r="A1" s="1891"/>
      <c r="B1" s="1891" t="str">
        <f>Development!$A$3&amp;" Multi-Family Program"</f>
        <v>2024 Multi-Family Program</v>
      </c>
      <c r="C1" s="1892"/>
      <c r="D1" s="1892"/>
      <c r="E1" s="1892"/>
      <c r="F1" s="1892"/>
      <c r="G1" s="1892"/>
      <c r="H1" s="1892"/>
      <c r="I1" s="1892"/>
      <c r="J1" s="1892"/>
      <c r="K1" s="1892"/>
      <c r="L1" s="1892"/>
      <c r="M1" s="1892"/>
      <c r="N1" s="1891"/>
      <c r="O1" s="1892"/>
      <c r="P1" s="1895"/>
      <c r="Q1" s="1895"/>
      <c r="R1" s="1895"/>
      <c r="S1" s="1895"/>
      <c r="T1" s="1895"/>
      <c r="U1" s="1895"/>
      <c r="Z1" s="1071"/>
      <c r="AL1" s="1071"/>
      <c r="AX1" s="1071"/>
      <c r="BJ1" s="1071"/>
      <c r="BV1" s="1071"/>
      <c r="CH1" s="1071"/>
      <c r="CT1" s="1071"/>
      <c r="DF1" s="1071"/>
      <c r="DR1" s="1071"/>
      <c r="ED1" s="1071"/>
      <c r="EP1" s="1071"/>
      <c r="FB1" s="1071"/>
      <c r="FN1" s="1071"/>
      <c r="FZ1" s="1071"/>
      <c r="GL1" s="1071"/>
      <c r="GX1" s="1071"/>
      <c r="HJ1" s="1071"/>
      <c r="HV1" s="1071"/>
      <c r="IH1" s="1071"/>
      <c r="IT1" s="1071"/>
      <c r="JF1" s="1071"/>
      <c r="JR1" s="1071"/>
      <c r="KD1" s="1071"/>
      <c r="KP1" s="1071"/>
      <c r="LB1" s="1071"/>
      <c r="LN1" s="1071"/>
      <c r="LZ1" s="1071"/>
      <c r="ML1" s="1071"/>
      <c r="MX1" s="1071"/>
      <c r="NJ1" s="1071"/>
      <c r="NV1" s="1071"/>
      <c r="OH1" s="1071"/>
      <c r="OT1" s="1071"/>
      <c r="PF1" s="1071"/>
      <c r="PR1" s="1071"/>
      <c r="QD1" s="1071"/>
      <c r="QP1" s="1071"/>
      <c r="RB1" s="1071"/>
      <c r="RN1" s="1071"/>
      <c r="RZ1" s="1071"/>
      <c r="SL1" s="1071"/>
      <c r="SX1" s="1071"/>
      <c r="TJ1" s="1071"/>
      <c r="TV1" s="1071"/>
      <c r="UH1" s="1071"/>
      <c r="UT1" s="1071"/>
      <c r="VF1" s="1071"/>
      <c r="VR1" s="1071"/>
      <c r="WD1" s="1071"/>
      <c r="WP1" s="1071"/>
      <c r="XB1" s="1071"/>
      <c r="XN1" s="1071"/>
      <c r="XZ1" s="1071"/>
      <c r="YL1" s="1071"/>
      <c r="YX1" s="1071"/>
      <c r="ZJ1" s="1071"/>
      <c r="ZV1" s="1071"/>
      <c r="AAH1" s="1071"/>
      <c r="AAT1" s="1071"/>
      <c r="ABF1" s="1071"/>
      <c r="ABR1" s="1071"/>
      <c r="ACD1" s="1071"/>
      <c r="ACP1" s="1071"/>
      <c r="ADB1" s="1071"/>
      <c r="ADN1" s="1071"/>
      <c r="ADZ1" s="1071"/>
      <c r="AEL1" s="1071"/>
      <c r="AEX1" s="1071"/>
      <c r="AFJ1" s="1071"/>
      <c r="AFV1" s="1071"/>
      <c r="AGH1" s="1071"/>
      <c r="AGT1" s="1071"/>
      <c r="AHF1" s="1071"/>
      <c r="AHR1" s="1071"/>
      <c r="AID1" s="1071"/>
      <c r="AIP1" s="1071"/>
      <c r="AJB1" s="1071"/>
      <c r="AJN1" s="1071"/>
      <c r="AJZ1" s="1071"/>
      <c r="AKL1" s="1071"/>
      <c r="AKX1" s="1071"/>
      <c r="ALJ1" s="1071"/>
      <c r="ALV1" s="1071"/>
      <c r="AMH1" s="1071"/>
      <c r="AMT1" s="1071"/>
      <c r="ANF1" s="1071"/>
      <c r="ANR1" s="1071"/>
      <c r="AOD1" s="1071"/>
      <c r="AOP1" s="1071"/>
      <c r="APB1" s="1071"/>
      <c r="APN1" s="1071"/>
      <c r="APZ1" s="1071"/>
      <c r="AQL1" s="1071"/>
      <c r="AQX1" s="1071"/>
      <c r="ARJ1" s="1071"/>
      <c r="ARV1" s="1071"/>
      <c r="ASH1" s="1071"/>
      <c r="AST1" s="1071"/>
      <c r="ATF1" s="1071"/>
      <c r="ATR1" s="1071"/>
      <c r="AUD1" s="1071"/>
      <c r="AUP1" s="1071"/>
      <c r="AVB1" s="1071"/>
      <c r="AVN1" s="1071"/>
      <c r="AVZ1" s="1071"/>
      <c r="AWL1" s="1071"/>
      <c r="AWX1" s="1071"/>
      <c r="AXJ1" s="1071"/>
      <c r="AXV1" s="1071"/>
      <c r="AYH1" s="1071"/>
      <c r="AYT1" s="1071"/>
      <c r="AZF1" s="1071"/>
      <c r="AZR1" s="1071"/>
      <c r="BAD1" s="1071"/>
      <c r="BAP1" s="1071"/>
      <c r="BBB1" s="1071"/>
      <c r="BBN1" s="1071"/>
      <c r="BBZ1" s="1071"/>
      <c r="BCL1" s="1071"/>
      <c r="BCX1" s="1071"/>
      <c r="BDJ1" s="1071"/>
      <c r="BDV1" s="1071"/>
      <c r="BEH1" s="1071"/>
      <c r="BET1" s="1071"/>
      <c r="BFF1" s="1071"/>
      <c r="BFR1" s="1071"/>
      <c r="BGD1" s="1071"/>
      <c r="BGP1" s="1071"/>
      <c r="BHB1" s="1071"/>
      <c r="BHN1" s="1071"/>
      <c r="BHZ1" s="1071"/>
      <c r="BIL1" s="1071"/>
      <c r="BIX1" s="1071"/>
      <c r="BJJ1" s="1071"/>
      <c r="BJV1" s="1071"/>
      <c r="BKH1" s="1071"/>
      <c r="BKT1" s="1071"/>
      <c r="BLF1" s="1071"/>
      <c r="BLR1" s="1071"/>
      <c r="BMD1" s="1071"/>
      <c r="BMP1" s="1071"/>
      <c r="BNB1" s="1071"/>
      <c r="BNN1" s="1071"/>
      <c r="BNZ1" s="1071"/>
      <c r="BOL1" s="1071"/>
      <c r="BOX1" s="1071"/>
      <c r="BPJ1" s="1071"/>
      <c r="BPV1" s="1071"/>
      <c r="BQH1" s="1071"/>
      <c r="BQT1" s="1071"/>
      <c r="BRF1" s="1071"/>
      <c r="BRR1" s="1071"/>
      <c r="BSD1" s="1071"/>
      <c r="BSP1" s="1071"/>
      <c r="BTB1" s="1071"/>
      <c r="BTN1" s="1071"/>
      <c r="BTZ1" s="1071"/>
      <c r="BUL1" s="1071"/>
      <c r="BUX1" s="1071"/>
      <c r="BVJ1" s="1071"/>
      <c r="BVV1" s="1071"/>
      <c r="BWH1" s="1071"/>
      <c r="BWT1" s="1071"/>
      <c r="BXF1" s="1071"/>
      <c r="BXR1" s="1071"/>
      <c r="BYD1" s="1071"/>
      <c r="BYP1" s="1071"/>
      <c r="BZB1" s="1071"/>
      <c r="BZN1" s="1071"/>
      <c r="BZZ1" s="1071"/>
      <c r="CAL1" s="1071"/>
      <c r="CAX1" s="1071"/>
      <c r="CBJ1" s="1071"/>
      <c r="CBV1" s="1071"/>
      <c r="CCH1" s="1071"/>
      <c r="CCT1" s="1071"/>
      <c r="CDF1" s="1071"/>
      <c r="CDR1" s="1071"/>
      <c r="CED1" s="1071"/>
      <c r="CEP1" s="1071"/>
      <c r="CFB1" s="1071"/>
      <c r="CFN1" s="1071"/>
      <c r="CFZ1" s="1071"/>
      <c r="CGL1" s="1071"/>
      <c r="CGX1" s="1071"/>
      <c r="CHJ1" s="1071"/>
      <c r="CHV1" s="1071"/>
      <c r="CIH1" s="1071"/>
      <c r="CIT1" s="1071"/>
      <c r="CJF1" s="1071"/>
      <c r="CJR1" s="1071"/>
      <c r="CKD1" s="1071"/>
      <c r="CKP1" s="1071"/>
      <c r="CLB1" s="1071"/>
      <c r="CLN1" s="1071"/>
      <c r="CLZ1" s="1071"/>
      <c r="CML1" s="1071"/>
      <c r="CMX1" s="1071"/>
      <c r="CNJ1" s="1071"/>
      <c r="CNV1" s="1071"/>
      <c r="COH1" s="1071"/>
      <c r="COT1" s="1071"/>
      <c r="CPF1" s="1071"/>
      <c r="CPR1" s="1071"/>
      <c r="CQD1" s="1071"/>
      <c r="CQP1" s="1071"/>
      <c r="CRB1" s="1071"/>
      <c r="CRN1" s="1071"/>
      <c r="CRZ1" s="1071"/>
      <c r="CSL1" s="1071"/>
      <c r="CSX1" s="1071"/>
      <c r="CTJ1" s="1071"/>
      <c r="CTV1" s="1071"/>
      <c r="CUH1" s="1071"/>
      <c r="CUT1" s="1071"/>
      <c r="CVF1" s="1071"/>
      <c r="CVR1" s="1071"/>
      <c r="CWD1" s="1071"/>
      <c r="CWP1" s="1071"/>
      <c r="CXB1" s="1071"/>
      <c r="CXN1" s="1071"/>
      <c r="CXZ1" s="1071"/>
      <c r="CYL1" s="1071"/>
      <c r="CYX1" s="1071"/>
      <c r="CZJ1" s="1071"/>
      <c r="CZV1" s="1071"/>
      <c r="DAH1" s="1071"/>
      <c r="DAT1" s="1071"/>
      <c r="DBF1" s="1071"/>
      <c r="DBR1" s="1071"/>
      <c r="DCD1" s="1071"/>
      <c r="DCP1" s="1071"/>
      <c r="DDB1" s="1071"/>
      <c r="DDN1" s="1071"/>
      <c r="DDZ1" s="1071"/>
      <c r="DEL1" s="1071"/>
      <c r="DEX1" s="1071"/>
      <c r="DFJ1" s="1071"/>
      <c r="DFV1" s="1071"/>
      <c r="DGH1" s="1071"/>
      <c r="DGT1" s="1071"/>
      <c r="DHF1" s="1071"/>
      <c r="DHR1" s="1071"/>
      <c r="DID1" s="1071"/>
      <c r="DIP1" s="1071"/>
      <c r="DJB1" s="1071"/>
      <c r="DJN1" s="1071"/>
      <c r="DJZ1" s="1071"/>
      <c r="DKL1" s="1071"/>
      <c r="DKX1" s="1071"/>
      <c r="DLJ1" s="1071"/>
      <c r="DLV1" s="1071"/>
      <c r="DMH1" s="1071"/>
      <c r="DMT1" s="1071"/>
      <c r="DNF1" s="1071"/>
      <c r="DNR1" s="1071"/>
      <c r="DOD1" s="1071"/>
      <c r="DOP1" s="1071"/>
      <c r="DPB1" s="1071"/>
      <c r="DPN1" s="1071"/>
      <c r="DPZ1" s="1071"/>
      <c r="DQL1" s="1071"/>
      <c r="DQX1" s="1071"/>
      <c r="DRJ1" s="1071"/>
      <c r="DRV1" s="1071"/>
      <c r="DSH1" s="1071"/>
      <c r="DST1" s="1071"/>
      <c r="DTF1" s="1071"/>
      <c r="DTR1" s="1071"/>
      <c r="DUD1" s="1071"/>
      <c r="DUP1" s="1071"/>
      <c r="DVB1" s="1071"/>
      <c r="DVN1" s="1071"/>
      <c r="DVZ1" s="1071"/>
      <c r="DWL1" s="1071"/>
      <c r="DWX1" s="1071"/>
      <c r="DXJ1" s="1071"/>
      <c r="DXV1" s="1071"/>
      <c r="DYH1" s="1071"/>
      <c r="DYT1" s="1071"/>
      <c r="DZF1" s="1071"/>
      <c r="DZR1" s="1071"/>
      <c r="EAD1" s="1071"/>
      <c r="EAP1" s="1071"/>
      <c r="EBB1" s="1071"/>
      <c r="EBN1" s="1071"/>
      <c r="EBZ1" s="1071"/>
      <c r="ECL1" s="1071"/>
      <c r="ECX1" s="1071"/>
      <c r="EDJ1" s="1071"/>
      <c r="EDV1" s="1071"/>
      <c r="EEH1" s="1071"/>
      <c r="EET1" s="1071"/>
      <c r="EFF1" s="1071"/>
      <c r="EFR1" s="1071"/>
      <c r="EGD1" s="1071"/>
      <c r="EGP1" s="1071"/>
      <c r="EHB1" s="1071"/>
      <c r="EHN1" s="1071"/>
      <c r="EHZ1" s="1071"/>
      <c r="EIL1" s="1071"/>
      <c r="EIX1" s="1071"/>
      <c r="EJJ1" s="1071"/>
      <c r="EJV1" s="1071"/>
      <c r="EKH1" s="1071"/>
      <c r="EKT1" s="1071"/>
      <c r="ELF1" s="1071"/>
      <c r="ELR1" s="1071"/>
      <c r="EMD1" s="1071"/>
      <c r="EMP1" s="1071"/>
      <c r="ENB1" s="1071"/>
      <c r="ENN1" s="1071"/>
      <c r="ENZ1" s="1071"/>
      <c r="EOL1" s="1071"/>
      <c r="EOX1" s="1071"/>
      <c r="EPJ1" s="1071"/>
      <c r="EPV1" s="1071"/>
      <c r="EQH1" s="1071"/>
      <c r="EQT1" s="1071"/>
      <c r="ERF1" s="1071"/>
      <c r="ERR1" s="1071"/>
      <c r="ESD1" s="1071"/>
      <c r="ESP1" s="1071"/>
      <c r="ETB1" s="1071"/>
      <c r="ETN1" s="1071"/>
      <c r="ETZ1" s="1071"/>
      <c r="EUL1" s="1071"/>
      <c r="EUX1" s="1071"/>
      <c r="EVJ1" s="1071"/>
      <c r="EVV1" s="1071"/>
      <c r="EWH1" s="1071"/>
      <c r="EWT1" s="1071"/>
      <c r="EXF1" s="1071"/>
      <c r="EXR1" s="1071"/>
      <c r="EYD1" s="1071"/>
      <c r="EYP1" s="1071"/>
      <c r="EZB1" s="1071"/>
      <c r="EZN1" s="1071"/>
      <c r="EZZ1" s="1071"/>
      <c r="FAL1" s="1071"/>
      <c r="FAX1" s="1071"/>
      <c r="FBJ1" s="1071"/>
      <c r="FBV1" s="1071"/>
      <c r="FCH1" s="1071"/>
      <c r="FCT1" s="1071"/>
      <c r="FDF1" s="1071"/>
      <c r="FDR1" s="1071"/>
      <c r="FED1" s="1071"/>
      <c r="FEP1" s="1071"/>
      <c r="FFB1" s="1071"/>
      <c r="FFN1" s="1071"/>
      <c r="FFZ1" s="1071"/>
      <c r="FGL1" s="1071"/>
      <c r="FGX1" s="1071"/>
      <c r="FHJ1" s="1071"/>
      <c r="FHV1" s="1071"/>
      <c r="FIH1" s="1071"/>
      <c r="FIT1" s="1071"/>
      <c r="FJF1" s="1071"/>
      <c r="FJR1" s="1071"/>
      <c r="FKD1" s="1071"/>
      <c r="FKP1" s="1071"/>
      <c r="FLB1" s="1071"/>
      <c r="FLN1" s="1071"/>
      <c r="FLZ1" s="1071"/>
      <c r="FML1" s="1071"/>
      <c r="FMX1" s="1071"/>
      <c r="FNJ1" s="1071"/>
      <c r="FNV1" s="1071"/>
      <c r="FOH1" s="1071"/>
      <c r="FOT1" s="1071"/>
      <c r="FPF1" s="1071"/>
      <c r="FPR1" s="1071"/>
      <c r="FQD1" s="1071"/>
      <c r="FQP1" s="1071"/>
      <c r="FRB1" s="1071"/>
      <c r="FRN1" s="1071"/>
      <c r="FRZ1" s="1071"/>
      <c r="FSL1" s="1071"/>
      <c r="FSX1" s="1071"/>
      <c r="FTJ1" s="1071"/>
      <c r="FTV1" s="1071"/>
      <c r="FUH1" s="1071"/>
      <c r="FUT1" s="1071"/>
      <c r="FVF1" s="1071"/>
      <c r="FVR1" s="1071"/>
      <c r="FWD1" s="1071"/>
      <c r="FWP1" s="1071"/>
      <c r="FXB1" s="1071"/>
      <c r="FXN1" s="1071"/>
      <c r="FXZ1" s="1071"/>
      <c r="FYL1" s="1071"/>
      <c r="FYX1" s="1071"/>
      <c r="FZJ1" s="1071"/>
      <c r="FZV1" s="1071"/>
      <c r="GAH1" s="1071"/>
      <c r="GAT1" s="1071"/>
      <c r="GBF1" s="1071"/>
      <c r="GBR1" s="1071"/>
      <c r="GCD1" s="1071"/>
      <c r="GCP1" s="1071"/>
      <c r="GDB1" s="1071"/>
      <c r="GDN1" s="1071"/>
      <c r="GDZ1" s="1071"/>
      <c r="GEL1" s="1071"/>
      <c r="GEX1" s="1071"/>
      <c r="GFJ1" s="1071"/>
      <c r="GFV1" s="1071"/>
      <c r="GGH1" s="1071"/>
      <c r="GGT1" s="1071"/>
      <c r="GHF1" s="1071"/>
      <c r="GHR1" s="1071"/>
      <c r="GID1" s="1071"/>
      <c r="GIP1" s="1071"/>
      <c r="GJB1" s="1071"/>
      <c r="GJN1" s="1071"/>
      <c r="GJZ1" s="1071"/>
      <c r="GKL1" s="1071"/>
      <c r="GKX1" s="1071"/>
      <c r="GLJ1" s="1071"/>
      <c r="GLV1" s="1071"/>
      <c r="GMH1" s="1071"/>
      <c r="GMT1" s="1071"/>
      <c r="GNF1" s="1071"/>
      <c r="GNR1" s="1071"/>
      <c r="GOD1" s="1071"/>
      <c r="GOP1" s="1071"/>
      <c r="GPB1" s="1071"/>
      <c r="GPN1" s="1071"/>
      <c r="GPZ1" s="1071"/>
      <c r="GQL1" s="1071"/>
      <c r="GQX1" s="1071"/>
      <c r="GRJ1" s="1071"/>
      <c r="GRV1" s="1071"/>
      <c r="GSH1" s="1071"/>
      <c r="GST1" s="1071"/>
      <c r="GTF1" s="1071"/>
      <c r="GTR1" s="1071"/>
      <c r="GUD1" s="1071"/>
      <c r="GUP1" s="1071"/>
      <c r="GVB1" s="1071"/>
      <c r="GVN1" s="1071"/>
      <c r="GVZ1" s="1071"/>
      <c r="GWL1" s="1071"/>
      <c r="GWX1" s="1071"/>
      <c r="GXJ1" s="1071"/>
      <c r="GXV1" s="1071"/>
      <c r="GYH1" s="1071"/>
      <c r="GYT1" s="1071"/>
      <c r="GZF1" s="1071"/>
      <c r="GZR1" s="1071"/>
      <c r="HAD1" s="1071"/>
      <c r="HAP1" s="1071"/>
      <c r="HBB1" s="1071"/>
      <c r="HBN1" s="1071"/>
      <c r="HBZ1" s="1071"/>
      <c r="HCL1" s="1071"/>
      <c r="HCX1" s="1071"/>
      <c r="HDJ1" s="1071"/>
      <c r="HDV1" s="1071"/>
      <c r="HEH1" s="1071"/>
      <c r="HET1" s="1071"/>
      <c r="HFF1" s="1071"/>
      <c r="HFR1" s="1071"/>
      <c r="HGD1" s="1071"/>
      <c r="HGP1" s="1071"/>
      <c r="HHB1" s="1071"/>
      <c r="HHN1" s="1071"/>
      <c r="HHZ1" s="1071"/>
      <c r="HIL1" s="1071"/>
      <c r="HIX1" s="1071"/>
      <c r="HJJ1" s="1071"/>
      <c r="HJV1" s="1071"/>
      <c r="HKH1" s="1071"/>
      <c r="HKT1" s="1071"/>
      <c r="HLF1" s="1071"/>
      <c r="HLR1" s="1071"/>
      <c r="HMD1" s="1071"/>
      <c r="HMP1" s="1071"/>
      <c r="HNB1" s="1071"/>
      <c r="HNN1" s="1071"/>
      <c r="HNZ1" s="1071"/>
      <c r="HOL1" s="1071"/>
      <c r="HOX1" s="1071"/>
      <c r="HPJ1" s="1071"/>
      <c r="HPV1" s="1071"/>
      <c r="HQH1" s="1071"/>
      <c r="HQT1" s="1071"/>
      <c r="HRF1" s="1071"/>
      <c r="HRR1" s="1071"/>
      <c r="HSD1" s="1071"/>
      <c r="HSP1" s="1071"/>
      <c r="HTB1" s="1071"/>
      <c r="HTN1" s="1071"/>
      <c r="HTZ1" s="1071"/>
      <c r="HUL1" s="1071"/>
      <c r="HUX1" s="1071"/>
      <c r="HVJ1" s="1071"/>
      <c r="HVV1" s="1071"/>
      <c r="HWH1" s="1071"/>
      <c r="HWT1" s="1071"/>
      <c r="HXF1" s="1071"/>
      <c r="HXR1" s="1071"/>
      <c r="HYD1" s="1071"/>
      <c r="HYP1" s="1071"/>
      <c r="HZB1" s="1071"/>
      <c r="HZN1" s="1071"/>
      <c r="HZZ1" s="1071"/>
      <c r="IAL1" s="1071"/>
      <c r="IAX1" s="1071"/>
      <c r="IBJ1" s="1071"/>
      <c r="IBV1" s="1071"/>
      <c r="ICH1" s="1071"/>
      <c r="ICT1" s="1071"/>
      <c r="IDF1" s="1071"/>
      <c r="IDR1" s="1071"/>
      <c r="IED1" s="1071"/>
      <c r="IEP1" s="1071"/>
      <c r="IFB1" s="1071"/>
      <c r="IFN1" s="1071"/>
      <c r="IFZ1" s="1071"/>
      <c r="IGL1" s="1071"/>
      <c r="IGX1" s="1071"/>
      <c r="IHJ1" s="1071"/>
      <c r="IHV1" s="1071"/>
      <c r="IIH1" s="1071"/>
      <c r="IIT1" s="1071"/>
      <c r="IJF1" s="1071"/>
      <c r="IJR1" s="1071"/>
      <c r="IKD1" s="1071"/>
      <c r="IKP1" s="1071"/>
      <c r="ILB1" s="1071"/>
      <c r="ILN1" s="1071"/>
      <c r="ILZ1" s="1071"/>
      <c r="IML1" s="1071"/>
      <c r="IMX1" s="1071"/>
      <c r="INJ1" s="1071"/>
      <c r="INV1" s="1071"/>
      <c r="IOH1" s="1071"/>
      <c r="IOT1" s="1071"/>
      <c r="IPF1" s="1071"/>
      <c r="IPR1" s="1071"/>
      <c r="IQD1" s="1071"/>
      <c r="IQP1" s="1071"/>
      <c r="IRB1" s="1071"/>
      <c r="IRN1" s="1071"/>
      <c r="IRZ1" s="1071"/>
      <c r="ISL1" s="1071"/>
      <c r="ISX1" s="1071"/>
      <c r="ITJ1" s="1071"/>
      <c r="ITV1" s="1071"/>
      <c r="IUH1" s="1071"/>
      <c r="IUT1" s="1071"/>
      <c r="IVF1" s="1071"/>
      <c r="IVR1" s="1071"/>
      <c r="IWD1" s="1071"/>
      <c r="IWP1" s="1071"/>
      <c r="IXB1" s="1071"/>
      <c r="IXN1" s="1071"/>
      <c r="IXZ1" s="1071"/>
      <c r="IYL1" s="1071"/>
      <c r="IYX1" s="1071"/>
      <c r="IZJ1" s="1071"/>
      <c r="IZV1" s="1071"/>
      <c r="JAH1" s="1071"/>
      <c r="JAT1" s="1071"/>
      <c r="JBF1" s="1071"/>
      <c r="JBR1" s="1071"/>
      <c r="JCD1" s="1071"/>
      <c r="JCP1" s="1071"/>
      <c r="JDB1" s="1071"/>
      <c r="JDN1" s="1071"/>
      <c r="JDZ1" s="1071"/>
      <c r="JEL1" s="1071"/>
      <c r="JEX1" s="1071"/>
      <c r="JFJ1" s="1071"/>
      <c r="JFV1" s="1071"/>
      <c r="JGH1" s="1071"/>
      <c r="JGT1" s="1071"/>
      <c r="JHF1" s="1071"/>
      <c r="JHR1" s="1071"/>
      <c r="JID1" s="1071"/>
      <c r="JIP1" s="1071"/>
      <c r="JJB1" s="1071"/>
      <c r="JJN1" s="1071"/>
      <c r="JJZ1" s="1071"/>
      <c r="JKL1" s="1071"/>
      <c r="JKX1" s="1071"/>
      <c r="JLJ1" s="1071"/>
      <c r="JLV1" s="1071"/>
      <c r="JMH1" s="1071"/>
      <c r="JMT1" s="1071"/>
      <c r="JNF1" s="1071"/>
      <c r="JNR1" s="1071"/>
      <c r="JOD1" s="1071"/>
      <c r="JOP1" s="1071"/>
      <c r="JPB1" s="1071"/>
      <c r="JPN1" s="1071"/>
      <c r="JPZ1" s="1071"/>
      <c r="JQL1" s="1071"/>
      <c r="JQX1" s="1071"/>
      <c r="JRJ1" s="1071"/>
      <c r="JRV1" s="1071"/>
      <c r="JSH1" s="1071"/>
      <c r="JST1" s="1071"/>
      <c r="JTF1" s="1071"/>
      <c r="JTR1" s="1071"/>
      <c r="JUD1" s="1071"/>
      <c r="JUP1" s="1071"/>
      <c r="JVB1" s="1071"/>
      <c r="JVN1" s="1071"/>
      <c r="JVZ1" s="1071"/>
      <c r="JWL1" s="1071"/>
      <c r="JWX1" s="1071"/>
      <c r="JXJ1" s="1071"/>
      <c r="JXV1" s="1071"/>
      <c r="JYH1" s="1071"/>
      <c r="JYT1" s="1071"/>
      <c r="JZF1" s="1071"/>
      <c r="JZR1" s="1071"/>
      <c r="KAD1" s="1071"/>
      <c r="KAP1" s="1071"/>
      <c r="KBB1" s="1071"/>
      <c r="KBN1" s="1071"/>
      <c r="KBZ1" s="1071"/>
      <c r="KCL1" s="1071"/>
      <c r="KCX1" s="1071"/>
      <c r="KDJ1" s="1071"/>
      <c r="KDV1" s="1071"/>
      <c r="KEH1" s="1071"/>
      <c r="KET1" s="1071"/>
      <c r="KFF1" s="1071"/>
      <c r="KFR1" s="1071"/>
      <c r="KGD1" s="1071"/>
      <c r="KGP1" s="1071"/>
      <c r="KHB1" s="1071"/>
      <c r="KHN1" s="1071"/>
      <c r="KHZ1" s="1071"/>
      <c r="KIL1" s="1071"/>
      <c r="KIX1" s="1071"/>
      <c r="KJJ1" s="1071"/>
      <c r="KJV1" s="1071"/>
      <c r="KKH1" s="1071"/>
      <c r="KKT1" s="1071"/>
      <c r="KLF1" s="1071"/>
      <c r="KLR1" s="1071"/>
      <c r="KMD1" s="1071"/>
      <c r="KMP1" s="1071"/>
      <c r="KNB1" s="1071"/>
      <c r="KNN1" s="1071"/>
      <c r="KNZ1" s="1071"/>
      <c r="KOL1" s="1071"/>
      <c r="KOX1" s="1071"/>
      <c r="KPJ1" s="1071"/>
      <c r="KPV1" s="1071"/>
      <c r="KQH1" s="1071"/>
      <c r="KQT1" s="1071"/>
      <c r="KRF1" s="1071"/>
      <c r="KRR1" s="1071"/>
      <c r="KSD1" s="1071"/>
      <c r="KSP1" s="1071"/>
      <c r="KTB1" s="1071"/>
      <c r="KTN1" s="1071"/>
      <c r="KTZ1" s="1071"/>
      <c r="KUL1" s="1071"/>
      <c r="KUX1" s="1071"/>
      <c r="KVJ1" s="1071"/>
      <c r="KVV1" s="1071"/>
      <c r="KWH1" s="1071"/>
      <c r="KWT1" s="1071"/>
      <c r="KXF1" s="1071"/>
      <c r="KXR1" s="1071"/>
      <c r="KYD1" s="1071"/>
      <c r="KYP1" s="1071"/>
      <c r="KZB1" s="1071"/>
      <c r="KZN1" s="1071"/>
      <c r="KZZ1" s="1071"/>
      <c r="LAL1" s="1071"/>
      <c r="LAX1" s="1071"/>
      <c r="LBJ1" s="1071"/>
      <c r="LBV1" s="1071"/>
      <c r="LCH1" s="1071"/>
      <c r="LCT1" s="1071"/>
      <c r="LDF1" s="1071"/>
      <c r="LDR1" s="1071"/>
      <c r="LED1" s="1071"/>
      <c r="LEP1" s="1071"/>
      <c r="LFB1" s="1071"/>
      <c r="LFN1" s="1071"/>
      <c r="LFZ1" s="1071"/>
      <c r="LGL1" s="1071"/>
      <c r="LGX1" s="1071"/>
      <c r="LHJ1" s="1071"/>
      <c r="LHV1" s="1071"/>
      <c r="LIH1" s="1071"/>
      <c r="LIT1" s="1071"/>
      <c r="LJF1" s="1071"/>
      <c r="LJR1" s="1071"/>
      <c r="LKD1" s="1071"/>
      <c r="LKP1" s="1071"/>
      <c r="LLB1" s="1071"/>
      <c r="LLN1" s="1071"/>
      <c r="LLZ1" s="1071"/>
      <c r="LML1" s="1071"/>
      <c r="LMX1" s="1071"/>
      <c r="LNJ1" s="1071"/>
      <c r="LNV1" s="1071"/>
      <c r="LOH1" s="1071"/>
      <c r="LOT1" s="1071"/>
      <c r="LPF1" s="1071"/>
      <c r="LPR1" s="1071"/>
      <c r="LQD1" s="1071"/>
      <c r="LQP1" s="1071"/>
      <c r="LRB1" s="1071"/>
      <c r="LRN1" s="1071"/>
      <c r="LRZ1" s="1071"/>
      <c r="LSL1" s="1071"/>
      <c r="LSX1" s="1071"/>
      <c r="LTJ1" s="1071"/>
      <c r="LTV1" s="1071"/>
      <c r="LUH1" s="1071"/>
      <c r="LUT1" s="1071"/>
      <c r="LVF1" s="1071"/>
      <c r="LVR1" s="1071"/>
      <c r="LWD1" s="1071"/>
      <c r="LWP1" s="1071"/>
      <c r="LXB1" s="1071"/>
      <c r="LXN1" s="1071"/>
      <c r="LXZ1" s="1071"/>
      <c r="LYL1" s="1071"/>
      <c r="LYX1" s="1071"/>
      <c r="LZJ1" s="1071"/>
      <c r="LZV1" s="1071"/>
      <c r="MAH1" s="1071"/>
      <c r="MAT1" s="1071"/>
      <c r="MBF1" s="1071"/>
      <c r="MBR1" s="1071"/>
      <c r="MCD1" s="1071"/>
      <c r="MCP1" s="1071"/>
      <c r="MDB1" s="1071"/>
      <c r="MDN1" s="1071"/>
      <c r="MDZ1" s="1071"/>
      <c r="MEL1" s="1071"/>
      <c r="MEX1" s="1071"/>
      <c r="MFJ1" s="1071"/>
      <c r="MFV1" s="1071"/>
      <c r="MGH1" s="1071"/>
      <c r="MGT1" s="1071"/>
      <c r="MHF1" s="1071"/>
      <c r="MHR1" s="1071"/>
      <c r="MID1" s="1071"/>
      <c r="MIP1" s="1071"/>
      <c r="MJB1" s="1071"/>
      <c r="MJN1" s="1071"/>
      <c r="MJZ1" s="1071"/>
      <c r="MKL1" s="1071"/>
      <c r="MKX1" s="1071"/>
      <c r="MLJ1" s="1071"/>
      <c r="MLV1" s="1071"/>
      <c r="MMH1" s="1071"/>
      <c r="MMT1" s="1071"/>
      <c r="MNF1" s="1071"/>
      <c r="MNR1" s="1071"/>
      <c r="MOD1" s="1071"/>
      <c r="MOP1" s="1071"/>
      <c r="MPB1" s="1071"/>
      <c r="MPN1" s="1071"/>
      <c r="MPZ1" s="1071"/>
      <c r="MQL1" s="1071"/>
      <c r="MQX1" s="1071"/>
      <c r="MRJ1" s="1071"/>
      <c r="MRV1" s="1071"/>
      <c r="MSH1" s="1071"/>
      <c r="MST1" s="1071"/>
      <c r="MTF1" s="1071"/>
      <c r="MTR1" s="1071"/>
      <c r="MUD1" s="1071"/>
      <c r="MUP1" s="1071"/>
      <c r="MVB1" s="1071"/>
      <c r="MVN1" s="1071"/>
      <c r="MVZ1" s="1071"/>
      <c r="MWL1" s="1071"/>
      <c r="MWX1" s="1071"/>
      <c r="MXJ1" s="1071"/>
      <c r="MXV1" s="1071"/>
      <c r="MYH1" s="1071"/>
      <c r="MYT1" s="1071"/>
      <c r="MZF1" s="1071"/>
      <c r="MZR1" s="1071"/>
      <c r="NAD1" s="1071"/>
      <c r="NAP1" s="1071"/>
      <c r="NBB1" s="1071"/>
      <c r="NBN1" s="1071"/>
      <c r="NBZ1" s="1071"/>
      <c r="NCL1" s="1071"/>
      <c r="NCX1" s="1071"/>
      <c r="NDJ1" s="1071"/>
      <c r="NDV1" s="1071"/>
      <c r="NEH1" s="1071"/>
      <c r="NET1" s="1071"/>
      <c r="NFF1" s="1071"/>
      <c r="NFR1" s="1071"/>
      <c r="NGD1" s="1071"/>
      <c r="NGP1" s="1071"/>
      <c r="NHB1" s="1071"/>
      <c r="NHN1" s="1071"/>
      <c r="NHZ1" s="1071"/>
      <c r="NIL1" s="1071"/>
      <c r="NIX1" s="1071"/>
      <c r="NJJ1" s="1071"/>
      <c r="NJV1" s="1071"/>
      <c r="NKH1" s="1071"/>
      <c r="NKT1" s="1071"/>
      <c r="NLF1" s="1071"/>
      <c r="NLR1" s="1071"/>
      <c r="NMD1" s="1071"/>
      <c r="NMP1" s="1071"/>
      <c r="NNB1" s="1071"/>
      <c r="NNN1" s="1071"/>
      <c r="NNZ1" s="1071"/>
      <c r="NOL1" s="1071"/>
      <c r="NOX1" s="1071"/>
      <c r="NPJ1" s="1071"/>
      <c r="NPV1" s="1071"/>
      <c r="NQH1" s="1071"/>
      <c r="NQT1" s="1071"/>
      <c r="NRF1" s="1071"/>
      <c r="NRR1" s="1071"/>
      <c r="NSD1" s="1071"/>
      <c r="NSP1" s="1071"/>
      <c r="NTB1" s="1071"/>
      <c r="NTN1" s="1071"/>
      <c r="NTZ1" s="1071"/>
      <c r="NUL1" s="1071"/>
      <c r="NUX1" s="1071"/>
      <c r="NVJ1" s="1071"/>
      <c r="NVV1" s="1071"/>
      <c r="NWH1" s="1071"/>
      <c r="NWT1" s="1071"/>
      <c r="NXF1" s="1071"/>
      <c r="NXR1" s="1071"/>
      <c r="NYD1" s="1071"/>
      <c r="NYP1" s="1071"/>
      <c r="NZB1" s="1071"/>
      <c r="NZN1" s="1071"/>
      <c r="NZZ1" s="1071"/>
      <c r="OAL1" s="1071"/>
      <c r="OAX1" s="1071"/>
      <c r="OBJ1" s="1071"/>
      <c r="OBV1" s="1071"/>
      <c r="OCH1" s="1071"/>
      <c r="OCT1" s="1071"/>
      <c r="ODF1" s="1071"/>
      <c r="ODR1" s="1071"/>
      <c r="OED1" s="1071"/>
      <c r="OEP1" s="1071"/>
      <c r="OFB1" s="1071"/>
      <c r="OFN1" s="1071"/>
      <c r="OFZ1" s="1071"/>
      <c r="OGL1" s="1071"/>
      <c r="OGX1" s="1071"/>
      <c r="OHJ1" s="1071"/>
      <c r="OHV1" s="1071"/>
      <c r="OIH1" s="1071"/>
      <c r="OIT1" s="1071"/>
      <c r="OJF1" s="1071"/>
      <c r="OJR1" s="1071"/>
      <c r="OKD1" s="1071"/>
      <c r="OKP1" s="1071"/>
      <c r="OLB1" s="1071"/>
      <c r="OLN1" s="1071"/>
      <c r="OLZ1" s="1071"/>
      <c r="OML1" s="1071"/>
      <c r="OMX1" s="1071"/>
      <c r="ONJ1" s="1071"/>
      <c r="ONV1" s="1071"/>
      <c r="OOH1" s="1071"/>
      <c r="OOT1" s="1071"/>
      <c r="OPF1" s="1071"/>
      <c r="OPR1" s="1071"/>
      <c r="OQD1" s="1071"/>
      <c r="OQP1" s="1071"/>
      <c r="ORB1" s="1071"/>
      <c r="ORN1" s="1071"/>
      <c r="ORZ1" s="1071"/>
      <c r="OSL1" s="1071"/>
      <c r="OSX1" s="1071"/>
      <c r="OTJ1" s="1071"/>
      <c r="OTV1" s="1071"/>
      <c r="OUH1" s="1071"/>
      <c r="OUT1" s="1071"/>
      <c r="OVF1" s="1071"/>
      <c r="OVR1" s="1071"/>
      <c r="OWD1" s="1071"/>
      <c r="OWP1" s="1071"/>
      <c r="OXB1" s="1071"/>
      <c r="OXN1" s="1071"/>
      <c r="OXZ1" s="1071"/>
      <c r="OYL1" s="1071"/>
      <c r="OYX1" s="1071"/>
      <c r="OZJ1" s="1071"/>
      <c r="OZV1" s="1071"/>
      <c r="PAH1" s="1071"/>
      <c r="PAT1" s="1071"/>
      <c r="PBF1" s="1071"/>
      <c r="PBR1" s="1071"/>
      <c r="PCD1" s="1071"/>
      <c r="PCP1" s="1071"/>
      <c r="PDB1" s="1071"/>
      <c r="PDN1" s="1071"/>
      <c r="PDZ1" s="1071"/>
      <c r="PEL1" s="1071"/>
      <c r="PEX1" s="1071"/>
      <c r="PFJ1" s="1071"/>
      <c r="PFV1" s="1071"/>
      <c r="PGH1" s="1071"/>
      <c r="PGT1" s="1071"/>
      <c r="PHF1" s="1071"/>
      <c r="PHR1" s="1071"/>
      <c r="PID1" s="1071"/>
      <c r="PIP1" s="1071"/>
      <c r="PJB1" s="1071"/>
      <c r="PJN1" s="1071"/>
      <c r="PJZ1" s="1071"/>
      <c r="PKL1" s="1071"/>
      <c r="PKX1" s="1071"/>
      <c r="PLJ1" s="1071"/>
      <c r="PLV1" s="1071"/>
      <c r="PMH1" s="1071"/>
      <c r="PMT1" s="1071"/>
      <c r="PNF1" s="1071"/>
      <c r="PNR1" s="1071"/>
      <c r="POD1" s="1071"/>
      <c r="POP1" s="1071"/>
      <c r="PPB1" s="1071"/>
      <c r="PPN1" s="1071"/>
      <c r="PPZ1" s="1071"/>
      <c r="PQL1" s="1071"/>
      <c r="PQX1" s="1071"/>
      <c r="PRJ1" s="1071"/>
      <c r="PRV1" s="1071"/>
      <c r="PSH1" s="1071"/>
      <c r="PST1" s="1071"/>
      <c r="PTF1" s="1071"/>
      <c r="PTR1" s="1071"/>
      <c r="PUD1" s="1071"/>
      <c r="PUP1" s="1071"/>
      <c r="PVB1" s="1071"/>
      <c r="PVN1" s="1071"/>
      <c r="PVZ1" s="1071"/>
      <c r="PWL1" s="1071"/>
      <c r="PWX1" s="1071"/>
      <c r="PXJ1" s="1071"/>
      <c r="PXV1" s="1071"/>
      <c r="PYH1" s="1071"/>
      <c r="PYT1" s="1071"/>
      <c r="PZF1" s="1071"/>
      <c r="PZR1" s="1071"/>
      <c r="QAD1" s="1071"/>
      <c r="QAP1" s="1071"/>
      <c r="QBB1" s="1071"/>
      <c r="QBN1" s="1071"/>
      <c r="QBZ1" s="1071"/>
      <c r="QCL1" s="1071"/>
      <c r="QCX1" s="1071"/>
      <c r="QDJ1" s="1071"/>
      <c r="QDV1" s="1071"/>
      <c r="QEH1" s="1071"/>
      <c r="QET1" s="1071"/>
      <c r="QFF1" s="1071"/>
      <c r="QFR1" s="1071"/>
      <c r="QGD1" s="1071"/>
      <c r="QGP1" s="1071"/>
      <c r="QHB1" s="1071"/>
      <c r="QHN1" s="1071"/>
      <c r="QHZ1" s="1071"/>
      <c r="QIL1" s="1071"/>
      <c r="QIX1" s="1071"/>
      <c r="QJJ1" s="1071"/>
      <c r="QJV1" s="1071"/>
      <c r="QKH1" s="1071"/>
      <c r="QKT1" s="1071"/>
      <c r="QLF1" s="1071"/>
      <c r="QLR1" s="1071"/>
      <c r="QMD1" s="1071"/>
      <c r="QMP1" s="1071"/>
      <c r="QNB1" s="1071"/>
      <c r="QNN1" s="1071"/>
      <c r="QNZ1" s="1071"/>
      <c r="QOL1" s="1071"/>
      <c r="QOX1" s="1071"/>
      <c r="QPJ1" s="1071"/>
      <c r="QPV1" s="1071"/>
      <c r="QQH1" s="1071"/>
      <c r="QQT1" s="1071"/>
      <c r="QRF1" s="1071"/>
      <c r="QRR1" s="1071"/>
      <c r="QSD1" s="1071"/>
      <c r="QSP1" s="1071"/>
      <c r="QTB1" s="1071"/>
      <c r="QTN1" s="1071"/>
      <c r="QTZ1" s="1071"/>
      <c r="QUL1" s="1071"/>
      <c r="QUX1" s="1071"/>
      <c r="QVJ1" s="1071"/>
      <c r="QVV1" s="1071"/>
      <c r="QWH1" s="1071"/>
      <c r="QWT1" s="1071"/>
      <c r="QXF1" s="1071"/>
      <c r="QXR1" s="1071"/>
      <c r="QYD1" s="1071"/>
      <c r="QYP1" s="1071"/>
      <c r="QZB1" s="1071"/>
      <c r="QZN1" s="1071"/>
      <c r="QZZ1" s="1071"/>
      <c r="RAL1" s="1071"/>
      <c r="RAX1" s="1071"/>
      <c r="RBJ1" s="1071"/>
      <c r="RBV1" s="1071"/>
      <c r="RCH1" s="1071"/>
      <c r="RCT1" s="1071"/>
      <c r="RDF1" s="1071"/>
      <c r="RDR1" s="1071"/>
      <c r="RED1" s="1071"/>
      <c r="REP1" s="1071"/>
      <c r="RFB1" s="1071"/>
      <c r="RFN1" s="1071"/>
      <c r="RFZ1" s="1071"/>
      <c r="RGL1" s="1071"/>
      <c r="RGX1" s="1071"/>
      <c r="RHJ1" s="1071"/>
      <c r="RHV1" s="1071"/>
      <c r="RIH1" s="1071"/>
      <c r="RIT1" s="1071"/>
      <c r="RJF1" s="1071"/>
      <c r="RJR1" s="1071"/>
      <c r="RKD1" s="1071"/>
      <c r="RKP1" s="1071"/>
      <c r="RLB1" s="1071"/>
      <c r="RLN1" s="1071"/>
      <c r="RLZ1" s="1071"/>
      <c r="RML1" s="1071"/>
      <c r="RMX1" s="1071"/>
      <c r="RNJ1" s="1071"/>
      <c r="RNV1" s="1071"/>
      <c r="ROH1" s="1071"/>
      <c r="ROT1" s="1071"/>
      <c r="RPF1" s="1071"/>
      <c r="RPR1" s="1071"/>
      <c r="RQD1" s="1071"/>
      <c r="RQP1" s="1071"/>
      <c r="RRB1" s="1071"/>
      <c r="RRN1" s="1071"/>
      <c r="RRZ1" s="1071"/>
      <c r="RSL1" s="1071"/>
      <c r="RSX1" s="1071"/>
      <c r="RTJ1" s="1071"/>
      <c r="RTV1" s="1071"/>
      <c r="RUH1" s="1071"/>
      <c r="RUT1" s="1071"/>
      <c r="RVF1" s="1071"/>
      <c r="RVR1" s="1071"/>
      <c r="RWD1" s="1071"/>
      <c r="RWP1" s="1071"/>
      <c r="RXB1" s="1071"/>
      <c r="RXN1" s="1071"/>
      <c r="RXZ1" s="1071"/>
      <c r="RYL1" s="1071"/>
      <c r="RYX1" s="1071"/>
      <c r="RZJ1" s="1071"/>
      <c r="RZV1" s="1071"/>
      <c r="SAH1" s="1071"/>
      <c r="SAT1" s="1071"/>
      <c r="SBF1" s="1071"/>
      <c r="SBR1" s="1071"/>
      <c r="SCD1" s="1071"/>
      <c r="SCP1" s="1071"/>
      <c r="SDB1" s="1071"/>
      <c r="SDN1" s="1071"/>
      <c r="SDZ1" s="1071"/>
      <c r="SEL1" s="1071"/>
      <c r="SEX1" s="1071"/>
      <c r="SFJ1" s="1071"/>
      <c r="SFV1" s="1071"/>
      <c r="SGH1" s="1071"/>
      <c r="SGT1" s="1071"/>
      <c r="SHF1" s="1071"/>
      <c r="SHR1" s="1071"/>
      <c r="SID1" s="1071"/>
      <c r="SIP1" s="1071"/>
      <c r="SJB1" s="1071"/>
      <c r="SJN1" s="1071"/>
      <c r="SJZ1" s="1071"/>
      <c r="SKL1" s="1071"/>
      <c r="SKX1" s="1071"/>
      <c r="SLJ1" s="1071"/>
      <c r="SLV1" s="1071"/>
      <c r="SMH1" s="1071"/>
      <c r="SMT1" s="1071"/>
      <c r="SNF1" s="1071"/>
      <c r="SNR1" s="1071"/>
      <c r="SOD1" s="1071"/>
      <c r="SOP1" s="1071"/>
      <c r="SPB1" s="1071"/>
      <c r="SPN1" s="1071"/>
      <c r="SPZ1" s="1071"/>
      <c r="SQL1" s="1071"/>
      <c r="SQX1" s="1071"/>
      <c r="SRJ1" s="1071"/>
      <c r="SRV1" s="1071"/>
      <c r="SSH1" s="1071"/>
      <c r="SST1" s="1071"/>
      <c r="STF1" s="1071"/>
      <c r="STR1" s="1071"/>
      <c r="SUD1" s="1071"/>
      <c r="SUP1" s="1071"/>
      <c r="SVB1" s="1071"/>
      <c r="SVN1" s="1071"/>
      <c r="SVZ1" s="1071"/>
      <c r="SWL1" s="1071"/>
      <c r="SWX1" s="1071"/>
      <c r="SXJ1" s="1071"/>
      <c r="SXV1" s="1071"/>
      <c r="SYH1" s="1071"/>
      <c r="SYT1" s="1071"/>
      <c r="SZF1" s="1071"/>
      <c r="SZR1" s="1071"/>
      <c r="TAD1" s="1071"/>
      <c r="TAP1" s="1071"/>
      <c r="TBB1" s="1071"/>
      <c r="TBN1" s="1071"/>
      <c r="TBZ1" s="1071"/>
      <c r="TCL1" s="1071"/>
      <c r="TCX1" s="1071"/>
      <c r="TDJ1" s="1071"/>
      <c r="TDV1" s="1071"/>
      <c r="TEH1" s="1071"/>
      <c r="TET1" s="1071"/>
      <c r="TFF1" s="1071"/>
      <c r="TFR1" s="1071"/>
      <c r="TGD1" s="1071"/>
      <c r="TGP1" s="1071"/>
      <c r="THB1" s="1071"/>
      <c r="THN1" s="1071"/>
      <c r="THZ1" s="1071"/>
      <c r="TIL1" s="1071"/>
      <c r="TIX1" s="1071"/>
      <c r="TJJ1" s="1071"/>
      <c r="TJV1" s="1071"/>
      <c r="TKH1" s="1071"/>
      <c r="TKT1" s="1071"/>
      <c r="TLF1" s="1071"/>
      <c r="TLR1" s="1071"/>
      <c r="TMD1" s="1071"/>
      <c r="TMP1" s="1071"/>
      <c r="TNB1" s="1071"/>
      <c r="TNN1" s="1071"/>
      <c r="TNZ1" s="1071"/>
      <c r="TOL1" s="1071"/>
      <c r="TOX1" s="1071"/>
      <c r="TPJ1" s="1071"/>
      <c r="TPV1" s="1071"/>
      <c r="TQH1" s="1071"/>
      <c r="TQT1" s="1071"/>
      <c r="TRF1" s="1071"/>
      <c r="TRR1" s="1071"/>
      <c r="TSD1" s="1071"/>
      <c r="TSP1" s="1071"/>
      <c r="TTB1" s="1071"/>
      <c r="TTN1" s="1071"/>
      <c r="TTZ1" s="1071"/>
      <c r="TUL1" s="1071"/>
      <c r="TUX1" s="1071"/>
      <c r="TVJ1" s="1071"/>
      <c r="TVV1" s="1071"/>
      <c r="TWH1" s="1071"/>
      <c r="TWT1" s="1071"/>
      <c r="TXF1" s="1071"/>
      <c r="TXR1" s="1071"/>
      <c r="TYD1" s="1071"/>
      <c r="TYP1" s="1071"/>
      <c r="TZB1" s="1071"/>
      <c r="TZN1" s="1071"/>
      <c r="TZZ1" s="1071"/>
      <c r="UAL1" s="1071"/>
      <c r="UAX1" s="1071"/>
      <c r="UBJ1" s="1071"/>
      <c r="UBV1" s="1071"/>
      <c r="UCH1" s="1071"/>
      <c r="UCT1" s="1071"/>
      <c r="UDF1" s="1071"/>
      <c r="UDR1" s="1071"/>
      <c r="UED1" s="1071"/>
      <c r="UEP1" s="1071"/>
      <c r="UFB1" s="1071"/>
      <c r="UFN1" s="1071"/>
      <c r="UFZ1" s="1071"/>
      <c r="UGL1" s="1071"/>
      <c r="UGX1" s="1071"/>
      <c r="UHJ1" s="1071"/>
      <c r="UHV1" s="1071"/>
      <c r="UIH1" s="1071"/>
      <c r="UIT1" s="1071"/>
      <c r="UJF1" s="1071"/>
      <c r="UJR1" s="1071"/>
      <c r="UKD1" s="1071"/>
      <c r="UKP1" s="1071"/>
      <c r="ULB1" s="1071"/>
      <c r="ULN1" s="1071"/>
      <c r="ULZ1" s="1071"/>
      <c r="UML1" s="1071"/>
      <c r="UMX1" s="1071"/>
      <c r="UNJ1" s="1071"/>
      <c r="UNV1" s="1071"/>
      <c r="UOH1" s="1071"/>
      <c r="UOT1" s="1071"/>
      <c r="UPF1" s="1071"/>
      <c r="UPR1" s="1071"/>
      <c r="UQD1" s="1071"/>
      <c r="UQP1" s="1071"/>
      <c r="URB1" s="1071"/>
      <c r="URN1" s="1071"/>
      <c r="URZ1" s="1071"/>
      <c r="USL1" s="1071"/>
      <c r="USX1" s="1071"/>
      <c r="UTJ1" s="1071"/>
      <c r="UTV1" s="1071"/>
      <c r="UUH1" s="1071"/>
      <c r="UUT1" s="1071"/>
      <c r="UVF1" s="1071"/>
      <c r="UVR1" s="1071"/>
      <c r="UWD1" s="1071"/>
      <c r="UWP1" s="1071"/>
      <c r="UXB1" s="1071"/>
      <c r="UXN1" s="1071"/>
      <c r="UXZ1" s="1071"/>
      <c r="UYL1" s="1071"/>
      <c r="UYX1" s="1071"/>
      <c r="UZJ1" s="1071"/>
      <c r="UZV1" s="1071"/>
      <c r="VAH1" s="1071"/>
      <c r="VAT1" s="1071"/>
      <c r="VBF1" s="1071"/>
      <c r="VBR1" s="1071"/>
      <c r="VCD1" s="1071"/>
      <c r="VCP1" s="1071"/>
      <c r="VDB1" s="1071"/>
      <c r="VDN1" s="1071"/>
      <c r="VDZ1" s="1071"/>
      <c r="VEL1" s="1071"/>
      <c r="VEX1" s="1071"/>
      <c r="VFJ1" s="1071"/>
      <c r="VFV1" s="1071"/>
      <c r="VGH1" s="1071"/>
      <c r="VGT1" s="1071"/>
      <c r="VHF1" s="1071"/>
      <c r="VHR1" s="1071"/>
      <c r="VID1" s="1071"/>
      <c r="VIP1" s="1071"/>
      <c r="VJB1" s="1071"/>
      <c r="VJN1" s="1071"/>
      <c r="VJZ1" s="1071"/>
      <c r="VKL1" s="1071"/>
      <c r="VKX1" s="1071"/>
      <c r="VLJ1" s="1071"/>
      <c r="VLV1" s="1071"/>
      <c r="VMH1" s="1071"/>
      <c r="VMT1" s="1071"/>
      <c r="VNF1" s="1071"/>
      <c r="VNR1" s="1071"/>
      <c r="VOD1" s="1071"/>
      <c r="VOP1" s="1071"/>
      <c r="VPB1" s="1071"/>
      <c r="VPN1" s="1071"/>
      <c r="VPZ1" s="1071"/>
      <c r="VQL1" s="1071"/>
      <c r="VQX1" s="1071"/>
      <c r="VRJ1" s="1071"/>
      <c r="VRV1" s="1071"/>
      <c r="VSH1" s="1071"/>
      <c r="VST1" s="1071"/>
      <c r="VTF1" s="1071"/>
      <c r="VTR1" s="1071"/>
      <c r="VUD1" s="1071"/>
      <c r="VUP1" s="1071"/>
      <c r="VVB1" s="1071"/>
      <c r="VVN1" s="1071"/>
      <c r="VVZ1" s="1071"/>
      <c r="VWL1" s="1071"/>
      <c r="VWX1" s="1071"/>
      <c r="VXJ1" s="1071"/>
      <c r="VXV1" s="1071"/>
      <c r="VYH1" s="1071"/>
      <c r="VYT1" s="1071"/>
      <c r="VZF1" s="1071"/>
      <c r="VZR1" s="1071"/>
      <c r="WAD1" s="1071"/>
      <c r="WAP1" s="1071"/>
      <c r="WBB1" s="1071"/>
      <c r="WBN1" s="1071"/>
      <c r="WBZ1" s="1071"/>
      <c r="WCL1" s="1071"/>
      <c r="WCX1" s="1071"/>
      <c r="WDJ1" s="1071"/>
      <c r="WDV1" s="1071"/>
      <c r="WEH1" s="1071"/>
      <c r="WET1" s="1071"/>
      <c r="WFF1" s="1071"/>
      <c r="WFR1" s="1071"/>
      <c r="WGD1" s="1071"/>
      <c r="WGP1" s="1071"/>
      <c r="WHB1" s="1071"/>
      <c r="WHN1" s="1071"/>
      <c r="WHZ1" s="1071"/>
      <c r="WIL1" s="1071"/>
      <c r="WIX1" s="1071"/>
      <c r="WJJ1" s="1071"/>
      <c r="WJV1" s="1071"/>
      <c r="WKH1" s="1071"/>
      <c r="WKT1" s="1071"/>
      <c r="WLF1" s="1071"/>
      <c r="WLR1" s="1071"/>
      <c r="WMD1" s="1071"/>
      <c r="WMP1" s="1071"/>
      <c r="WNB1" s="1071"/>
      <c r="WNN1" s="1071"/>
      <c r="WNZ1" s="1071"/>
      <c r="WOL1" s="1071"/>
      <c r="WOX1" s="1071"/>
      <c r="WPJ1" s="1071"/>
      <c r="WPV1" s="1071"/>
      <c r="WQH1" s="1071"/>
      <c r="WQT1" s="1071"/>
      <c r="WRF1" s="1071"/>
      <c r="WRR1" s="1071"/>
      <c r="WSD1" s="1071"/>
      <c r="WSP1" s="1071"/>
      <c r="WTB1" s="1071"/>
      <c r="WTN1" s="1071"/>
      <c r="WTZ1" s="1071"/>
      <c r="WUL1" s="1071"/>
      <c r="WUX1" s="1071"/>
      <c r="WVJ1" s="1071"/>
      <c r="WVV1" s="1071"/>
      <c r="WWH1" s="1071"/>
      <c r="WWT1" s="1071"/>
      <c r="WXF1" s="1071"/>
      <c r="WXR1" s="1071"/>
      <c r="WYD1" s="1071"/>
      <c r="WYP1" s="1071"/>
      <c r="WZB1" s="1071"/>
      <c r="WZN1" s="1071"/>
      <c r="WZZ1" s="1071"/>
      <c r="XAL1" s="1071"/>
      <c r="XAX1" s="1071"/>
      <c r="XBJ1" s="1071"/>
      <c r="XBV1" s="1071"/>
      <c r="XCH1" s="1071"/>
      <c r="XCT1" s="1071"/>
      <c r="XDF1" s="1071"/>
      <c r="XDR1" s="1071"/>
      <c r="XED1" s="1071"/>
      <c r="XEP1" s="1071"/>
      <c r="XFB1" s="1071"/>
    </row>
    <row r="2" spans="1:1022 1034:2042 2054:3062 3074:4094 4106:5114 5126:6134 6146:7166 7178:8186 8198:9206 9218:10238 10250:11258 11270:12278 12290:13310 13322:14330 14342:15350 15362:16382" s="1070" customFormat="1" ht="52" customHeight="1" thickBot="1">
      <c r="A2" s="1891"/>
      <c r="B2" s="1894" t="str">
        <f>'Customer Information'!A2</f>
        <v>Multi-Family 
Rebate Application, Version 2.0</v>
      </c>
      <c r="C2" s="1892"/>
      <c r="D2" s="1892"/>
      <c r="E2" s="1892"/>
      <c r="F2" s="1892"/>
      <c r="G2" s="1892"/>
      <c r="H2" s="1892"/>
      <c r="I2" s="1892"/>
      <c r="J2" s="1892"/>
      <c r="K2" s="1892"/>
      <c r="L2" s="1892"/>
      <c r="M2" s="1892"/>
      <c r="N2" s="1893"/>
      <c r="O2" s="1892"/>
      <c r="P2" s="1895"/>
      <c r="Q2" s="1895"/>
      <c r="R2" s="1895"/>
      <c r="S2" s="1895"/>
      <c r="T2" s="1895"/>
      <c r="U2" s="1895"/>
      <c r="Z2" s="1072"/>
      <c r="AL2" s="1072"/>
      <c r="AX2" s="1072"/>
      <c r="BJ2" s="1072"/>
      <c r="BV2" s="1072"/>
      <c r="CH2" s="1072"/>
      <c r="CT2" s="1072"/>
      <c r="DF2" s="1072"/>
      <c r="DR2" s="1072"/>
      <c r="ED2" s="1072"/>
      <c r="EP2" s="1072"/>
      <c r="FB2" s="1072"/>
      <c r="FN2" s="1072"/>
      <c r="FZ2" s="1072"/>
      <c r="GL2" s="1072"/>
      <c r="GX2" s="1072"/>
      <c r="HJ2" s="1072"/>
      <c r="HV2" s="1072"/>
      <c r="IH2" s="1072"/>
      <c r="IT2" s="1072"/>
      <c r="JF2" s="1072"/>
      <c r="JR2" s="1072"/>
      <c r="KD2" s="1072"/>
      <c r="KP2" s="1072"/>
      <c r="LB2" s="1072"/>
      <c r="LN2" s="1072"/>
      <c r="LZ2" s="1072"/>
      <c r="ML2" s="1072"/>
      <c r="MX2" s="1072"/>
      <c r="NJ2" s="1072"/>
      <c r="NV2" s="1072"/>
      <c r="OH2" s="1072"/>
      <c r="OT2" s="1072"/>
      <c r="PF2" s="1072"/>
      <c r="PR2" s="1072"/>
      <c r="QD2" s="1072"/>
      <c r="QP2" s="1072"/>
      <c r="RB2" s="1072"/>
      <c r="RN2" s="1072"/>
      <c r="RZ2" s="1072"/>
      <c r="SL2" s="1072"/>
      <c r="SX2" s="1072"/>
      <c r="TJ2" s="1072"/>
      <c r="TV2" s="1072"/>
      <c r="UH2" s="1072"/>
      <c r="UT2" s="1072"/>
      <c r="VF2" s="1072"/>
      <c r="VR2" s="1072"/>
      <c r="WD2" s="1072"/>
      <c r="WP2" s="1072"/>
      <c r="XB2" s="1072"/>
      <c r="XN2" s="1072"/>
      <c r="XZ2" s="1072"/>
      <c r="YL2" s="1072"/>
      <c r="YX2" s="1072"/>
      <c r="ZJ2" s="1072"/>
      <c r="ZV2" s="1072"/>
      <c r="AAH2" s="1072"/>
      <c r="AAT2" s="1072"/>
      <c r="ABF2" s="1072"/>
      <c r="ABR2" s="1072"/>
      <c r="ACD2" s="1072"/>
      <c r="ACP2" s="1072"/>
      <c r="ADB2" s="1072"/>
      <c r="ADN2" s="1072"/>
      <c r="ADZ2" s="1072"/>
      <c r="AEL2" s="1072"/>
      <c r="AEX2" s="1072"/>
      <c r="AFJ2" s="1072"/>
      <c r="AFV2" s="1072"/>
      <c r="AGH2" s="1072"/>
      <c r="AGT2" s="1072"/>
      <c r="AHF2" s="1072"/>
      <c r="AHR2" s="1072"/>
      <c r="AID2" s="1072"/>
      <c r="AIP2" s="1072"/>
      <c r="AJB2" s="1072"/>
      <c r="AJN2" s="1072"/>
      <c r="AJZ2" s="1072"/>
      <c r="AKL2" s="1072"/>
      <c r="AKX2" s="1072"/>
      <c r="ALJ2" s="1072"/>
      <c r="ALV2" s="1072"/>
      <c r="AMH2" s="1072"/>
      <c r="AMT2" s="1072"/>
      <c r="ANF2" s="1072"/>
      <c r="ANR2" s="1072"/>
      <c r="AOD2" s="1072"/>
      <c r="AOP2" s="1072"/>
      <c r="APB2" s="1072"/>
      <c r="APN2" s="1072"/>
      <c r="APZ2" s="1072"/>
      <c r="AQL2" s="1072"/>
      <c r="AQX2" s="1072"/>
      <c r="ARJ2" s="1072"/>
      <c r="ARV2" s="1072"/>
      <c r="ASH2" s="1072"/>
      <c r="AST2" s="1072"/>
      <c r="ATF2" s="1072"/>
      <c r="ATR2" s="1072"/>
      <c r="AUD2" s="1072"/>
      <c r="AUP2" s="1072"/>
      <c r="AVB2" s="1072"/>
      <c r="AVN2" s="1072"/>
      <c r="AVZ2" s="1072"/>
      <c r="AWL2" s="1072"/>
      <c r="AWX2" s="1072"/>
      <c r="AXJ2" s="1072"/>
      <c r="AXV2" s="1072"/>
      <c r="AYH2" s="1072"/>
      <c r="AYT2" s="1072"/>
      <c r="AZF2" s="1072"/>
      <c r="AZR2" s="1072"/>
      <c r="BAD2" s="1072"/>
      <c r="BAP2" s="1072"/>
      <c r="BBB2" s="1072"/>
      <c r="BBN2" s="1072"/>
      <c r="BBZ2" s="1072"/>
      <c r="BCL2" s="1072"/>
      <c r="BCX2" s="1072"/>
      <c r="BDJ2" s="1072"/>
      <c r="BDV2" s="1072"/>
      <c r="BEH2" s="1072"/>
      <c r="BET2" s="1072"/>
      <c r="BFF2" s="1072"/>
      <c r="BFR2" s="1072"/>
      <c r="BGD2" s="1072"/>
      <c r="BGP2" s="1072"/>
      <c r="BHB2" s="1072"/>
      <c r="BHN2" s="1072"/>
      <c r="BHZ2" s="1072"/>
      <c r="BIL2" s="1072"/>
      <c r="BIX2" s="1072"/>
      <c r="BJJ2" s="1072"/>
      <c r="BJV2" s="1072"/>
      <c r="BKH2" s="1072"/>
      <c r="BKT2" s="1072"/>
      <c r="BLF2" s="1072"/>
      <c r="BLR2" s="1072"/>
      <c r="BMD2" s="1072"/>
      <c r="BMP2" s="1072"/>
      <c r="BNB2" s="1072"/>
      <c r="BNN2" s="1072"/>
      <c r="BNZ2" s="1072"/>
      <c r="BOL2" s="1072"/>
      <c r="BOX2" s="1072"/>
      <c r="BPJ2" s="1072"/>
      <c r="BPV2" s="1072"/>
      <c r="BQH2" s="1072"/>
      <c r="BQT2" s="1072"/>
      <c r="BRF2" s="1072"/>
      <c r="BRR2" s="1072"/>
      <c r="BSD2" s="1072"/>
      <c r="BSP2" s="1072"/>
      <c r="BTB2" s="1072"/>
      <c r="BTN2" s="1072"/>
      <c r="BTZ2" s="1072"/>
      <c r="BUL2" s="1072"/>
      <c r="BUX2" s="1072"/>
      <c r="BVJ2" s="1072"/>
      <c r="BVV2" s="1072"/>
      <c r="BWH2" s="1072"/>
      <c r="BWT2" s="1072"/>
      <c r="BXF2" s="1072"/>
      <c r="BXR2" s="1072"/>
      <c r="BYD2" s="1072"/>
      <c r="BYP2" s="1072"/>
      <c r="BZB2" s="1072"/>
      <c r="BZN2" s="1072"/>
      <c r="BZZ2" s="1072"/>
      <c r="CAL2" s="1072"/>
      <c r="CAX2" s="1072"/>
      <c r="CBJ2" s="1072"/>
      <c r="CBV2" s="1072"/>
      <c r="CCH2" s="1072"/>
      <c r="CCT2" s="1072"/>
      <c r="CDF2" s="1072"/>
      <c r="CDR2" s="1072"/>
      <c r="CED2" s="1072"/>
      <c r="CEP2" s="1072"/>
      <c r="CFB2" s="1072"/>
      <c r="CFN2" s="1072"/>
      <c r="CFZ2" s="1072"/>
      <c r="CGL2" s="1072"/>
      <c r="CGX2" s="1072"/>
      <c r="CHJ2" s="1072"/>
      <c r="CHV2" s="1072"/>
      <c r="CIH2" s="1072"/>
      <c r="CIT2" s="1072"/>
      <c r="CJF2" s="1072"/>
      <c r="CJR2" s="1072"/>
      <c r="CKD2" s="1072"/>
      <c r="CKP2" s="1072"/>
      <c r="CLB2" s="1072"/>
      <c r="CLN2" s="1072"/>
      <c r="CLZ2" s="1072"/>
      <c r="CML2" s="1072"/>
      <c r="CMX2" s="1072"/>
      <c r="CNJ2" s="1072"/>
      <c r="CNV2" s="1072"/>
      <c r="COH2" s="1072"/>
      <c r="COT2" s="1072"/>
      <c r="CPF2" s="1072"/>
      <c r="CPR2" s="1072"/>
      <c r="CQD2" s="1072"/>
      <c r="CQP2" s="1072"/>
      <c r="CRB2" s="1072"/>
      <c r="CRN2" s="1072"/>
      <c r="CRZ2" s="1072"/>
      <c r="CSL2" s="1072"/>
      <c r="CSX2" s="1072"/>
      <c r="CTJ2" s="1072"/>
      <c r="CTV2" s="1072"/>
      <c r="CUH2" s="1072"/>
      <c r="CUT2" s="1072"/>
      <c r="CVF2" s="1072"/>
      <c r="CVR2" s="1072"/>
      <c r="CWD2" s="1072"/>
      <c r="CWP2" s="1072"/>
      <c r="CXB2" s="1072"/>
      <c r="CXN2" s="1072"/>
      <c r="CXZ2" s="1072"/>
      <c r="CYL2" s="1072"/>
      <c r="CYX2" s="1072"/>
      <c r="CZJ2" s="1072"/>
      <c r="CZV2" s="1072"/>
      <c r="DAH2" s="1072"/>
      <c r="DAT2" s="1072"/>
      <c r="DBF2" s="1072"/>
      <c r="DBR2" s="1072"/>
      <c r="DCD2" s="1072"/>
      <c r="DCP2" s="1072"/>
      <c r="DDB2" s="1072"/>
      <c r="DDN2" s="1072"/>
      <c r="DDZ2" s="1072"/>
      <c r="DEL2" s="1072"/>
      <c r="DEX2" s="1072"/>
      <c r="DFJ2" s="1072"/>
      <c r="DFV2" s="1072"/>
      <c r="DGH2" s="1072"/>
      <c r="DGT2" s="1072"/>
      <c r="DHF2" s="1072"/>
      <c r="DHR2" s="1072"/>
      <c r="DID2" s="1072"/>
      <c r="DIP2" s="1072"/>
      <c r="DJB2" s="1072"/>
      <c r="DJN2" s="1072"/>
      <c r="DJZ2" s="1072"/>
      <c r="DKL2" s="1072"/>
      <c r="DKX2" s="1072"/>
      <c r="DLJ2" s="1072"/>
      <c r="DLV2" s="1072"/>
      <c r="DMH2" s="1072"/>
      <c r="DMT2" s="1072"/>
      <c r="DNF2" s="1072"/>
      <c r="DNR2" s="1072"/>
      <c r="DOD2" s="1072"/>
      <c r="DOP2" s="1072"/>
      <c r="DPB2" s="1072"/>
      <c r="DPN2" s="1072"/>
      <c r="DPZ2" s="1072"/>
      <c r="DQL2" s="1072"/>
      <c r="DQX2" s="1072"/>
      <c r="DRJ2" s="1072"/>
      <c r="DRV2" s="1072"/>
      <c r="DSH2" s="1072"/>
      <c r="DST2" s="1072"/>
      <c r="DTF2" s="1072"/>
      <c r="DTR2" s="1072"/>
      <c r="DUD2" s="1072"/>
      <c r="DUP2" s="1072"/>
      <c r="DVB2" s="1072"/>
      <c r="DVN2" s="1072"/>
      <c r="DVZ2" s="1072"/>
      <c r="DWL2" s="1072"/>
      <c r="DWX2" s="1072"/>
      <c r="DXJ2" s="1072"/>
      <c r="DXV2" s="1072"/>
      <c r="DYH2" s="1072"/>
      <c r="DYT2" s="1072"/>
      <c r="DZF2" s="1072"/>
      <c r="DZR2" s="1072"/>
      <c r="EAD2" s="1072"/>
      <c r="EAP2" s="1072"/>
      <c r="EBB2" s="1072"/>
      <c r="EBN2" s="1072"/>
      <c r="EBZ2" s="1072"/>
      <c r="ECL2" s="1072"/>
      <c r="ECX2" s="1072"/>
      <c r="EDJ2" s="1072"/>
      <c r="EDV2" s="1072"/>
      <c r="EEH2" s="1072"/>
      <c r="EET2" s="1072"/>
      <c r="EFF2" s="1072"/>
      <c r="EFR2" s="1072"/>
      <c r="EGD2" s="1072"/>
      <c r="EGP2" s="1072"/>
      <c r="EHB2" s="1072"/>
      <c r="EHN2" s="1072"/>
      <c r="EHZ2" s="1072"/>
      <c r="EIL2" s="1072"/>
      <c r="EIX2" s="1072"/>
      <c r="EJJ2" s="1072"/>
      <c r="EJV2" s="1072"/>
      <c r="EKH2" s="1072"/>
      <c r="EKT2" s="1072"/>
      <c r="ELF2" s="1072"/>
      <c r="ELR2" s="1072"/>
      <c r="EMD2" s="1072"/>
      <c r="EMP2" s="1072"/>
      <c r="ENB2" s="1072"/>
      <c r="ENN2" s="1072"/>
      <c r="ENZ2" s="1072"/>
      <c r="EOL2" s="1072"/>
      <c r="EOX2" s="1072"/>
      <c r="EPJ2" s="1072"/>
      <c r="EPV2" s="1072"/>
      <c r="EQH2" s="1072"/>
      <c r="EQT2" s="1072"/>
      <c r="ERF2" s="1072"/>
      <c r="ERR2" s="1072"/>
      <c r="ESD2" s="1072"/>
      <c r="ESP2" s="1072"/>
      <c r="ETB2" s="1072"/>
      <c r="ETN2" s="1072"/>
      <c r="ETZ2" s="1072"/>
      <c r="EUL2" s="1072"/>
      <c r="EUX2" s="1072"/>
      <c r="EVJ2" s="1072"/>
      <c r="EVV2" s="1072"/>
      <c r="EWH2" s="1072"/>
      <c r="EWT2" s="1072"/>
      <c r="EXF2" s="1072"/>
      <c r="EXR2" s="1072"/>
      <c r="EYD2" s="1072"/>
      <c r="EYP2" s="1072"/>
      <c r="EZB2" s="1072"/>
      <c r="EZN2" s="1072"/>
      <c r="EZZ2" s="1072"/>
      <c r="FAL2" s="1072"/>
      <c r="FAX2" s="1072"/>
      <c r="FBJ2" s="1072"/>
      <c r="FBV2" s="1072"/>
      <c r="FCH2" s="1072"/>
      <c r="FCT2" s="1072"/>
      <c r="FDF2" s="1072"/>
      <c r="FDR2" s="1072"/>
      <c r="FED2" s="1072"/>
      <c r="FEP2" s="1072"/>
      <c r="FFB2" s="1072"/>
      <c r="FFN2" s="1072"/>
      <c r="FFZ2" s="1072"/>
      <c r="FGL2" s="1072"/>
      <c r="FGX2" s="1072"/>
      <c r="FHJ2" s="1072"/>
      <c r="FHV2" s="1072"/>
      <c r="FIH2" s="1072"/>
      <c r="FIT2" s="1072"/>
      <c r="FJF2" s="1072"/>
      <c r="FJR2" s="1072"/>
      <c r="FKD2" s="1072"/>
      <c r="FKP2" s="1072"/>
      <c r="FLB2" s="1072"/>
      <c r="FLN2" s="1072"/>
      <c r="FLZ2" s="1072"/>
      <c r="FML2" s="1072"/>
      <c r="FMX2" s="1072"/>
      <c r="FNJ2" s="1072"/>
      <c r="FNV2" s="1072"/>
      <c r="FOH2" s="1072"/>
      <c r="FOT2" s="1072"/>
      <c r="FPF2" s="1072"/>
      <c r="FPR2" s="1072"/>
      <c r="FQD2" s="1072"/>
      <c r="FQP2" s="1072"/>
      <c r="FRB2" s="1072"/>
      <c r="FRN2" s="1072"/>
      <c r="FRZ2" s="1072"/>
      <c r="FSL2" s="1072"/>
      <c r="FSX2" s="1072"/>
      <c r="FTJ2" s="1072"/>
      <c r="FTV2" s="1072"/>
      <c r="FUH2" s="1072"/>
      <c r="FUT2" s="1072"/>
      <c r="FVF2" s="1072"/>
      <c r="FVR2" s="1072"/>
      <c r="FWD2" s="1072"/>
      <c r="FWP2" s="1072"/>
      <c r="FXB2" s="1072"/>
      <c r="FXN2" s="1072"/>
      <c r="FXZ2" s="1072"/>
      <c r="FYL2" s="1072"/>
      <c r="FYX2" s="1072"/>
      <c r="FZJ2" s="1072"/>
      <c r="FZV2" s="1072"/>
      <c r="GAH2" s="1072"/>
      <c r="GAT2" s="1072"/>
      <c r="GBF2" s="1072"/>
      <c r="GBR2" s="1072"/>
      <c r="GCD2" s="1072"/>
      <c r="GCP2" s="1072"/>
      <c r="GDB2" s="1072"/>
      <c r="GDN2" s="1072"/>
      <c r="GDZ2" s="1072"/>
      <c r="GEL2" s="1072"/>
      <c r="GEX2" s="1072"/>
      <c r="GFJ2" s="1072"/>
      <c r="GFV2" s="1072"/>
      <c r="GGH2" s="1072"/>
      <c r="GGT2" s="1072"/>
      <c r="GHF2" s="1072"/>
      <c r="GHR2" s="1072"/>
      <c r="GID2" s="1072"/>
      <c r="GIP2" s="1072"/>
      <c r="GJB2" s="1072"/>
      <c r="GJN2" s="1072"/>
      <c r="GJZ2" s="1072"/>
      <c r="GKL2" s="1072"/>
      <c r="GKX2" s="1072"/>
      <c r="GLJ2" s="1072"/>
      <c r="GLV2" s="1072"/>
      <c r="GMH2" s="1072"/>
      <c r="GMT2" s="1072"/>
      <c r="GNF2" s="1072"/>
      <c r="GNR2" s="1072"/>
      <c r="GOD2" s="1072"/>
      <c r="GOP2" s="1072"/>
      <c r="GPB2" s="1072"/>
      <c r="GPN2" s="1072"/>
      <c r="GPZ2" s="1072"/>
      <c r="GQL2" s="1072"/>
      <c r="GQX2" s="1072"/>
      <c r="GRJ2" s="1072"/>
      <c r="GRV2" s="1072"/>
      <c r="GSH2" s="1072"/>
      <c r="GST2" s="1072"/>
      <c r="GTF2" s="1072"/>
      <c r="GTR2" s="1072"/>
      <c r="GUD2" s="1072"/>
      <c r="GUP2" s="1072"/>
      <c r="GVB2" s="1072"/>
      <c r="GVN2" s="1072"/>
      <c r="GVZ2" s="1072"/>
      <c r="GWL2" s="1072"/>
      <c r="GWX2" s="1072"/>
      <c r="GXJ2" s="1072"/>
      <c r="GXV2" s="1072"/>
      <c r="GYH2" s="1072"/>
      <c r="GYT2" s="1072"/>
      <c r="GZF2" s="1072"/>
      <c r="GZR2" s="1072"/>
      <c r="HAD2" s="1072"/>
      <c r="HAP2" s="1072"/>
      <c r="HBB2" s="1072"/>
      <c r="HBN2" s="1072"/>
      <c r="HBZ2" s="1072"/>
      <c r="HCL2" s="1072"/>
      <c r="HCX2" s="1072"/>
      <c r="HDJ2" s="1072"/>
      <c r="HDV2" s="1072"/>
      <c r="HEH2" s="1072"/>
      <c r="HET2" s="1072"/>
      <c r="HFF2" s="1072"/>
      <c r="HFR2" s="1072"/>
      <c r="HGD2" s="1072"/>
      <c r="HGP2" s="1072"/>
      <c r="HHB2" s="1072"/>
      <c r="HHN2" s="1072"/>
      <c r="HHZ2" s="1072"/>
      <c r="HIL2" s="1072"/>
      <c r="HIX2" s="1072"/>
      <c r="HJJ2" s="1072"/>
      <c r="HJV2" s="1072"/>
      <c r="HKH2" s="1072"/>
      <c r="HKT2" s="1072"/>
      <c r="HLF2" s="1072"/>
      <c r="HLR2" s="1072"/>
      <c r="HMD2" s="1072"/>
      <c r="HMP2" s="1072"/>
      <c r="HNB2" s="1072"/>
      <c r="HNN2" s="1072"/>
      <c r="HNZ2" s="1072"/>
      <c r="HOL2" s="1072"/>
      <c r="HOX2" s="1072"/>
      <c r="HPJ2" s="1072"/>
      <c r="HPV2" s="1072"/>
      <c r="HQH2" s="1072"/>
      <c r="HQT2" s="1072"/>
      <c r="HRF2" s="1072"/>
      <c r="HRR2" s="1072"/>
      <c r="HSD2" s="1072"/>
      <c r="HSP2" s="1072"/>
      <c r="HTB2" s="1072"/>
      <c r="HTN2" s="1072"/>
      <c r="HTZ2" s="1072"/>
      <c r="HUL2" s="1072"/>
      <c r="HUX2" s="1072"/>
      <c r="HVJ2" s="1072"/>
      <c r="HVV2" s="1072"/>
      <c r="HWH2" s="1072"/>
      <c r="HWT2" s="1072"/>
      <c r="HXF2" s="1072"/>
      <c r="HXR2" s="1072"/>
      <c r="HYD2" s="1072"/>
      <c r="HYP2" s="1072"/>
      <c r="HZB2" s="1072"/>
      <c r="HZN2" s="1072"/>
      <c r="HZZ2" s="1072"/>
      <c r="IAL2" s="1072"/>
      <c r="IAX2" s="1072"/>
      <c r="IBJ2" s="1072"/>
      <c r="IBV2" s="1072"/>
      <c r="ICH2" s="1072"/>
      <c r="ICT2" s="1072"/>
      <c r="IDF2" s="1072"/>
      <c r="IDR2" s="1072"/>
      <c r="IED2" s="1072"/>
      <c r="IEP2" s="1072"/>
      <c r="IFB2" s="1072"/>
      <c r="IFN2" s="1072"/>
      <c r="IFZ2" s="1072"/>
      <c r="IGL2" s="1072"/>
      <c r="IGX2" s="1072"/>
      <c r="IHJ2" s="1072"/>
      <c r="IHV2" s="1072"/>
      <c r="IIH2" s="1072"/>
      <c r="IIT2" s="1072"/>
      <c r="IJF2" s="1072"/>
      <c r="IJR2" s="1072"/>
      <c r="IKD2" s="1072"/>
      <c r="IKP2" s="1072"/>
      <c r="ILB2" s="1072"/>
      <c r="ILN2" s="1072"/>
      <c r="ILZ2" s="1072"/>
      <c r="IML2" s="1072"/>
      <c r="IMX2" s="1072"/>
      <c r="INJ2" s="1072"/>
      <c r="INV2" s="1072"/>
      <c r="IOH2" s="1072"/>
      <c r="IOT2" s="1072"/>
      <c r="IPF2" s="1072"/>
      <c r="IPR2" s="1072"/>
      <c r="IQD2" s="1072"/>
      <c r="IQP2" s="1072"/>
      <c r="IRB2" s="1072"/>
      <c r="IRN2" s="1072"/>
      <c r="IRZ2" s="1072"/>
      <c r="ISL2" s="1072"/>
      <c r="ISX2" s="1072"/>
      <c r="ITJ2" s="1072"/>
      <c r="ITV2" s="1072"/>
      <c r="IUH2" s="1072"/>
      <c r="IUT2" s="1072"/>
      <c r="IVF2" s="1072"/>
      <c r="IVR2" s="1072"/>
      <c r="IWD2" s="1072"/>
      <c r="IWP2" s="1072"/>
      <c r="IXB2" s="1072"/>
      <c r="IXN2" s="1072"/>
      <c r="IXZ2" s="1072"/>
      <c r="IYL2" s="1072"/>
      <c r="IYX2" s="1072"/>
      <c r="IZJ2" s="1072"/>
      <c r="IZV2" s="1072"/>
      <c r="JAH2" s="1072"/>
      <c r="JAT2" s="1072"/>
      <c r="JBF2" s="1072"/>
      <c r="JBR2" s="1072"/>
      <c r="JCD2" s="1072"/>
      <c r="JCP2" s="1072"/>
      <c r="JDB2" s="1072"/>
      <c r="JDN2" s="1072"/>
      <c r="JDZ2" s="1072"/>
      <c r="JEL2" s="1072"/>
      <c r="JEX2" s="1072"/>
      <c r="JFJ2" s="1072"/>
      <c r="JFV2" s="1072"/>
      <c r="JGH2" s="1072"/>
      <c r="JGT2" s="1072"/>
      <c r="JHF2" s="1072"/>
      <c r="JHR2" s="1072"/>
      <c r="JID2" s="1072"/>
      <c r="JIP2" s="1072"/>
      <c r="JJB2" s="1072"/>
      <c r="JJN2" s="1072"/>
      <c r="JJZ2" s="1072"/>
      <c r="JKL2" s="1072"/>
      <c r="JKX2" s="1072"/>
      <c r="JLJ2" s="1072"/>
      <c r="JLV2" s="1072"/>
      <c r="JMH2" s="1072"/>
      <c r="JMT2" s="1072"/>
      <c r="JNF2" s="1072"/>
      <c r="JNR2" s="1072"/>
      <c r="JOD2" s="1072"/>
      <c r="JOP2" s="1072"/>
      <c r="JPB2" s="1072"/>
      <c r="JPN2" s="1072"/>
      <c r="JPZ2" s="1072"/>
      <c r="JQL2" s="1072"/>
      <c r="JQX2" s="1072"/>
      <c r="JRJ2" s="1072"/>
      <c r="JRV2" s="1072"/>
      <c r="JSH2" s="1072"/>
      <c r="JST2" s="1072"/>
      <c r="JTF2" s="1072"/>
      <c r="JTR2" s="1072"/>
      <c r="JUD2" s="1072"/>
      <c r="JUP2" s="1072"/>
      <c r="JVB2" s="1072"/>
      <c r="JVN2" s="1072"/>
      <c r="JVZ2" s="1072"/>
      <c r="JWL2" s="1072"/>
      <c r="JWX2" s="1072"/>
      <c r="JXJ2" s="1072"/>
      <c r="JXV2" s="1072"/>
      <c r="JYH2" s="1072"/>
      <c r="JYT2" s="1072"/>
      <c r="JZF2" s="1072"/>
      <c r="JZR2" s="1072"/>
      <c r="KAD2" s="1072"/>
      <c r="KAP2" s="1072"/>
      <c r="KBB2" s="1072"/>
      <c r="KBN2" s="1072"/>
      <c r="KBZ2" s="1072"/>
      <c r="KCL2" s="1072"/>
      <c r="KCX2" s="1072"/>
      <c r="KDJ2" s="1072"/>
      <c r="KDV2" s="1072"/>
      <c r="KEH2" s="1072"/>
      <c r="KET2" s="1072"/>
      <c r="KFF2" s="1072"/>
      <c r="KFR2" s="1072"/>
      <c r="KGD2" s="1072"/>
      <c r="KGP2" s="1072"/>
      <c r="KHB2" s="1072"/>
      <c r="KHN2" s="1072"/>
      <c r="KHZ2" s="1072"/>
      <c r="KIL2" s="1072"/>
      <c r="KIX2" s="1072"/>
      <c r="KJJ2" s="1072"/>
      <c r="KJV2" s="1072"/>
      <c r="KKH2" s="1072"/>
      <c r="KKT2" s="1072"/>
      <c r="KLF2" s="1072"/>
      <c r="KLR2" s="1072"/>
      <c r="KMD2" s="1072"/>
      <c r="KMP2" s="1072"/>
      <c r="KNB2" s="1072"/>
      <c r="KNN2" s="1072"/>
      <c r="KNZ2" s="1072"/>
      <c r="KOL2" s="1072"/>
      <c r="KOX2" s="1072"/>
      <c r="KPJ2" s="1072"/>
      <c r="KPV2" s="1072"/>
      <c r="KQH2" s="1072"/>
      <c r="KQT2" s="1072"/>
      <c r="KRF2" s="1072"/>
      <c r="KRR2" s="1072"/>
      <c r="KSD2" s="1072"/>
      <c r="KSP2" s="1072"/>
      <c r="KTB2" s="1072"/>
      <c r="KTN2" s="1072"/>
      <c r="KTZ2" s="1072"/>
      <c r="KUL2" s="1072"/>
      <c r="KUX2" s="1072"/>
      <c r="KVJ2" s="1072"/>
      <c r="KVV2" s="1072"/>
      <c r="KWH2" s="1072"/>
      <c r="KWT2" s="1072"/>
      <c r="KXF2" s="1072"/>
      <c r="KXR2" s="1072"/>
      <c r="KYD2" s="1072"/>
      <c r="KYP2" s="1072"/>
      <c r="KZB2" s="1072"/>
      <c r="KZN2" s="1072"/>
      <c r="KZZ2" s="1072"/>
      <c r="LAL2" s="1072"/>
      <c r="LAX2" s="1072"/>
      <c r="LBJ2" s="1072"/>
      <c r="LBV2" s="1072"/>
      <c r="LCH2" s="1072"/>
      <c r="LCT2" s="1072"/>
      <c r="LDF2" s="1072"/>
      <c r="LDR2" s="1072"/>
      <c r="LED2" s="1072"/>
      <c r="LEP2" s="1072"/>
      <c r="LFB2" s="1072"/>
      <c r="LFN2" s="1072"/>
      <c r="LFZ2" s="1072"/>
      <c r="LGL2" s="1072"/>
      <c r="LGX2" s="1072"/>
      <c r="LHJ2" s="1072"/>
      <c r="LHV2" s="1072"/>
      <c r="LIH2" s="1072"/>
      <c r="LIT2" s="1072"/>
      <c r="LJF2" s="1072"/>
      <c r="LJR2" s="1072"/>
      <c r="LKD2" s="1072"/>
      <c r="LKP2" s="1072"/>
      <c r="LLB2" s="1072"/>
      <c r="LLN2" s="1072"/>
      <c r="LLZ2" s="1072"/>
      <c r="LML2" s="1072"/>
      <c r="LMX2" s="1072"/>
      <c r="LNJ2" s="1072"/>
      <c r="LNV2" s="1072"/>
      <c r="LOH2" s="1072"/>
      <c r="LOT2" s="1072"/>
      <c r="LPF2" s="1072"/>
      <c r="LPR2" s="1072"/>
      <c r="LQD2" s="1072"/>
      <c r="LQP2" s="1072"/>
      <c r="LRB2" s="1072"/>
      <c r="LRN2" s="1072"/>
      <c r="LRZ2" s="1072"/>
      <c r="LSL2" s="1072"/>
      <c r="LSX2" s="1072"/>
      <c r="LTJ2" s="1072"/>
      <c r="LTV2" s="1072"/>
      <c r="LUH2" s="1072"/>
      <c r="LUT2" s="1072"/>
      <c r="LVF2" s="1072"/>
      <c r="LVR2" s="1072"/>
      <c r="LWD2" s="1072"/>
      <c r="LWP2" s="1072"/>
      <c r="LXB2" s="1072"/>
      <c r="LXN2" s="1072"/>
      <c r="LXZ2" s="1072"/>
      <c r="LYL2" s="1072"/>
      <c r="LYX2" s="1072"/>
      <c r="LZJ2" s="1072"/>
      <c r="LZV2" s="1072"/>
      <c r="MAH2" s="1072"/>
      <c r="MAT2" s="1072"/>
      <c r="MBF2" s="1072"/>
      <c r="MBR2" s="1072"/>
      <c r="MCD2" s="1072"/>
      <c r="MCP2" s="1072"/>
      <c r="MDB2" s="1072"/>
      <c r="MDN2" s="1072"/>
      <c r="MDZ2" s="1072"/>
      <c r="MEL2" s="1072"/>
      <c r="MEX2" s="1072"/>
      <c r="MFJ2" s="1072"/>
      <c r="MFV2" s="1072"/>
      <c r="MGH2" s="1072"/>
      <c r="MGT2" s="1072"/>
      <c r="MHF2" s="1072"/>
      <c r="MHR2" s="1072"/>
      <c r="MID2" s="1072"/>
      <c r="MIP2" s="1072"/>
      <c r="MJB2" s="1072"/>
      <c r="MJN2" s="1072"/>
      <c r="MJZ2" s="1072"/>
      <c r="MKL2" s="1072"/>
      <c r="MKX2" s="1072"/>
      <c r="MLJ2" s="1072"/>
      <c r="MLV2" s="1072"/>
      <c r="MMH2" s="1072"/>
      <c r="MMT2" s="1072"/>
      <c r="MNF2" s="1072"/>
      <c r="MNR2" s="1072"/>
      <c r="MOD2" s="1072"/>
      <c r="MOP2" s="1072"/>
      <c r="MPB2" s="1072"/>
      <c r="MPN2" s="1072"/>
      <c r="MPZ2" s="1072"/>
      <c r="MQL2" s="1072"/>
      <c r="MQX2" s="1072"/>
      <c r="MRJ2" s="1072"/>
      <c r="MRV2" s="1072"/>
      <c r="MSH2" s="1072"/>
      <c r="MST2" s="1072"/>
      <c r="MTF2" s="1072"/>
      <c r="MTR2" s="1072"/>
      <c r="MUD2" s="1072"/>
      <c r="MUP2" s="1072"/>
      <c r="MVB2" s="1072"/>
      <c r="MVN2" s="1072"/>
      <c r="MVZ2" s="1072"/>
      <c r="MWL2" s="1072"/>
      <c r="MWX2" s="1072"/>
      <c r="MXJ2" s="1072"/>
      <c r="MXV2" s="1072"/>
      <c r="MYH2" s="1072"/>
      <c r="MYT2" s="1072"/>
      <c r="MZF2" s="1072"/>
      <c r="MZR2" s="1072"/>
      <c r="NAD2" s="1072"/>
      <c r="NAP2" s="1072"/>
      <c r="NBB2" s="1072"/>
      <c r="NBN2" s="1072"/>
      <c r="NBZ2" s="1072"/>
      <c r="NCL2" s="1072"/>
      <c r="NCX2" s="1072"/>
      <c r="NDJ2" s="1072"/>
      <c r="NDV2" s="1072"/>
      <c r="NEH2" s="1072"/>
      <c r="NET2" s="1072"/>
      <c r="NFF2" s="1072"/>
      <c r="NFR2" s="1072"/>
      <c r="NGD2" s="1072"/>
      <c r="NGP2" s="1072"/>
      <c r="NHB2" s="1072"/>
      <c r="NHN2" s="1072"/>
      <c r="NHZ2" s="1072"/>
      <c r="NIL2" s="1072"/>
      <c r="NIX2" s="1072"/>
      <c r="NJJ2" s="1072"/>
      <c r="NJV2" s="1072"/>
      <c r="NKH2" s="1072"/>
      <c r="NKT2" s="1072"/>
      <c r="NLF2" s="1072"/>
      <c r="NLR2" s="1072"/>
      <c r="NMD2" s="1072"/>
      <c r="NMP2" s="1072"/>
      <c r="NNB2" s="1072"/>
      <c r="NNN2" s="1072"/>
      <c r="NNZ2" s="1072"/>
      <c r="NOL2" s="1072"/>
      <c r="NOX2" s="1072"/>
      <c r="NPJ2" s="1072"/>
      <c r="NPV2" s="1072"/>
      <c r="NQH2" s="1072"/>
      <c r="NQT2" s="1072"/>
      <c r="NRF2" s="1072"/>
      <c r="NRR2" s="1072"/>
      <c r="NSD2" s="1072"/>
      <c r="NSP2" s="1072"/>
      <c r="NTB2" s="1072"/>
      <c r="NTN2" s="1072"/>
      <c r="NTZ2" s="1072"/>
      <c r="NUL2" s="1072"/>
      <c r="NUX2" s="1072"/>
      <c r="NVJ2" s="1072"/>
      <c r="NVV2" s="1072"/>
      <c r="NWH2" s="1072"/>
      <c r="NWT2" s="1072"/>
      <c r="NXF2" s="1072"/>
      <c r="NXR2" s="1072"/>
      <c r="NYD2" s="1072"/>
      <c r="NYP2" s="1072"/>
      <c r="NZB2" s="1072"/>
      <c r="NZN2" s="1072"/>
      <c r="NZZ2" s="1072"/>
      <c r="OAL2" s="1072"/>
      <c r="OAX2" s="1072"/>
      <c r="OBJ2" s="1072"/>
      <c r="OBV2" s="1072"/>
      <c r="OCH2" s="1072"/>
      <c r="OCT2" s="1072"/>
      <c r="ODF2" s="1072"/>
      <c r="ODR2" s="1072"/>
      <c r="OED2" s="1072"/>
      <c r="OEP2" s="1072"/>
      <c r="OFB2" s="1072"/>
      <c r="OFN2" s="1072"/>
      <c r="OFZ2" s="1072"/>
      <c r="OGL2" s="1072"/>
      <c r="OGX2" s="1072"/>
      <c r="OHJ2" s="1072"/>
      <c r="OHV2" s="1072"/>
      <c r="OIH2" s="1072"/>
      <c r="OIT2" s="1072"/>
      <c r="OJF2" s="1072"/>
      <c r="OJR2" s="1072"/>
      <c r="OKD2" s="1072"/>
      <c r="OKP2" s="1072"/>
      <c r="OLB2" s="1072"/>
      <c r="OLN2" s="1072"/>
      <c r="OLZ2" s="1072"/>
      <c r="OML2" s="1072"/>
      <c r="OMX2" s="1072"/>
      <c r="ONJ2" s="1072"/>
      <c r="ONV2" s="1072"/>
      <c r="OOH2" s="1072"/>
      <c r="OOT2" s="1072"/>
      <c r="OPF2" s="1072"/>
      <c r="OPR2" s="1072"/>
      <c r="OQD2" s="1072"/>
      <c r="OQP2" s="1072"/>
      <c r="ORB2" s="1072"/>
      <c r="ORN2" s="1072"/>
      <c r="ORZ2" s="1072"/>
      <c r="OSL2" s="1072"/>
      <c r="OSX2" s="1072"/>
      <c r="OTJ2" s="1072"/>
      <c r="OTV2" s="1072"/>
      <c r="OUH2" s="1072"/>
      <c r="OUT2" s="1072"/>
      <c r="OVF2" s="1072"/>
      <c r="OVR2" s="1072"/>
      <c r="OWD2" s="1072"/>
      <c r="OWP2" s="1072"/>
      <c r="OXB2" s="1072"/>
      <c r="OXN2" s="1072"/>
      <c r="OXZ2" s="1072"/>
      <c r="OYL2" s="1072"/>
      <c r="OYX2" s="1072"/>
      <c r="OZJ2" s="1072"/>
      <c r="OZV2" s="1072"/>
      <c r="PAH2" s="1072"/>
      <c r="PAT2" s="1072"/>
      <c r="PBF2" s="1072"/>
      <c r="PBR2" s="1072"/>
      <c r="PCD2" s="1072"/>
      <c r="PCP2" s="1072"/>
      <c r="PDB2" s="1072"/>
      <c r="PDN2" s="1072"/>
      <c r="PDZ2" s="1072"/>
      <c r="PEL2" s="1072"/>
      <c r="PEX2" s="1072"/>
      <c r="PFJ2" s="1072"/>
      <c r="PFV2" s="1072"/>
      <c r="PGH2" s="1072"/>
      <c r="PGT2" s="1072"/>
      <c r="PHF2" s="1072"/>
      <c r="PHR2" s="1072"/>
      <c r="PID2" s="1072"/>
      <c r="PIP2" s="1072"/>
      <c r="PJB2" s="1072"/>
      <c r="PJN2" s="1072"/>
      <c r="PJZ2" s="1072"/>
      <c r="PKL2" s="1072"/>
      <c r="PKX2" s="1072"/>
      <c r="PLJ2" s="1072"/>
      <c r="PLV2" s="1072"/>
      <c r="PMH2" s="1072"/>
      <c r="PMT2" s="1072"/>
      <c r="PNF2" s="1072"/>
      <c r="PNR2" s="1072"/>
      <c r="POD2" s="1072"/>
      <c r="POP2" s="1072"/>
      <c r="PPB2" s="1072"/>
      <c r="PPN2" s="1072"/>
      <c r="PPZ2" s="1072"/>
      <c r="PQL2" s="1072"/>
      <c r="PQX2" s="1072"/>
      <c r="PRJ2" s="1072"/>
      <c r="PRV2" s="1072"/>
      <c r="PSH2" s="1072"/>
      <c r="PST2" s="1072"/>
      <c r="PTF2" s="1072"/>
      <c r="PTR2" s="1072"/>
      <c r="PUD2" s="1072"/>
      <c r="PUP2" s="1072"/>
      <c r="PVB2" s="1072"/>
      <c r="PVN2" s="1072"/>
      <c r="PVZ2" s="1072"/>
      <c r="PWL2" s="1072"/>
      <c r="PWX2" s="1072"/>
      <c r="PXJ2" s="1072"/>
      <c r="PXV2" s="1072"/>
      <c r="PYH2" s="1072"/>
      <c r="PYT2" s="1072"/>
      <c r="PZF2" s="1072"/>
      <c r="PZR2" s="1072"/>
      <c r="QAD2" s="1072"/>
      <c r="QAP2" s="1072"/>
      <c r="QBB2" s="1072"/>
      <c r="QBN2" s="1072"/>
      <c r="QBZ2" s="1072"/>
      <c r="QCL2" s="1072"/>
      <c r="QCX2" s="1072"/>
      <c r="QDJ2" s="1072"/>
      <c r="QDV2" s="1072"/>
      <c r="QEH2" s="1072"/>
      <c r="QET2" s="1072"/>
      <c r="QFF2" s="1072"/>
      <c r="QFR2" s="1072"/>
      <c r="QGD2" s="1072"/>
      <c r="QGP2" s="1072"/>
      <c r="QHB2" s="1072"/>
      <c r="QHN2" s="1072"/>
      <c r="QHZ2" s="1072"/>
      <c r="QIL2" s="1072"/>
      <c r="QIX2" s="1072"/>
      <c r="QJJ2" s="1072"/>
      <c r="QJV2" s="1072"/>
      <c r="QKH2" s="1072"/>
      <c r="QKT2" s="1072"/>
      <c r="QLF2" s="1072"/>
      <c r="QLR2" s="1072"/>
      <c r="QMD2" s="1072"/>
      <c r="QMP2" s="1072"/>
      <c r="QNB2" s="1072"/>
      <c r="QNN2" s="1072"/>
      <c r="QNZ2" s="1072"/>
      <c r="QOL2" s="1072"/>
      <c r="QOX2" s="1072"/>
      <c r="QPJ2" s="1072"/>
      <c r="QPV2" s="1072"/>
      <c r="QQH2" s="1072"/>
      <c r="QQT2" s="1072"/>
      <c r="QRF2" s="1072"/>
      <c r="QRR2" s="1072"/>
      <c r="QSD2" s="1072"/>
      <c r="QSP2" s="1072"/>
      <c r="QTB2" s="1072"/>
      <c r="QTN2" s="1072"/>
      <c r="QTZ2" s="1072"/>
      <c r="QUL2" s="1072"/>
      <c r="QUX2" s="1072"/>
      <c r="QVJ2" s="1072"/>
      <c r="QVV2" s="1072"/>
      <c r="QWH2" s="1072"/>
      <c r="QWT2" s="1072"/>
      <c r="QXF2" s="1072"/>
      <c r="QXR2" s="1072"/>
      <c r="QYD2" s="1072"/>
      <c r="QYP2" s="1072"/>
      <c r="QZB2" s="1072"/>
      <c r="QZN2" s="1072"/>
      <c r="QZZ2" s="1072"/>
      <c r="RAL2" s="1072"/>
      <c r="RAX2" s="1072"/>
      <c r="RBJ2" s="1072"/>
      <c r="RBV2" s="1072"/>
      <c r="RCH2" s="1072"/>
      <c r="RCT2" s="1072"/>
      <c r="RDF2" s="1072"/>
      <c r="RDR2" s="1072"/>
      <c r="RED2" s="1072"/>
      <c r="REP2" s="1072"/>
      <c r="RFB2" s="1072"/>
      <c r="RFN2" s="1072"/>
      <c r="RFZ2" s="1072"/>
      <c r="RGL2" s="1072"/>
      <c r="RGX2" s="1072"/>
      <c r="RHJ2" s="1072"/>
      <c r="RHV2" s="1072"/>
      <c r="RIH2" s="1072"/>
      <c r="RIT2" s="1072"/>
      <c r="RJF2" s="1072"/>
      <c r="RJR2" s="1072"/>
      <c r="RKD2" s="1072"/>
      <c r="RKP2" s="1072"/>
      <c r="RLB2" s="1072"/>
      <c r="RLN2" s="1072"/>
      <c r="RLZ2" s="1072"/>
      <c r="RML2" s="1072"/>
      <c r="RMX2" s="1072"/>
      <c r="RNJ2" s="1072"/>
      <c r="RNV2" s="1072"/>
      <c r="ROH2" s="1072"/>
      <c r="ROT2" s="1072"/>
      <c r="RPF2" s="1072"/>
      <c r="RPR2" s="1072"/>
      <c r="RQD2" s="1072"/>
      <c r="RQP2" s="1072"/>
      <c r="RRB2" s="1072"/>
      <c r="RRN2" s="1072"/>
      <c r="RRZ2" s="1072"/>
      <c r="RSL2" s="1072"/>
      <c r="RSX2" s="1072"/>
      <c r="RTJ2" s="1072"/>
      <c r="RTV2" s="1072"/>
      <c r="RUH2" s="1072"/>
      <c r="RUT2" s="1072"/>
      <c r="RVF2" s="1072"/>
      <c r="RVR2" s="1072"/>
      <c r="RWD2" s="1072"/>
      <c r="RWP2" s="1072"/>
      <c r="RXB2" s="1072"/>
      <c r="RXN2" s="1072"/>
      <c r="RXZ2" s="1072"/>
      <c r="RYL2" s="1072"/>
      <c r="RYX2" s="1072"/>
      <c r="RZJ2" s="1072"/>
      <c r="RZV2" s="1072"/>
      <c r="SAH2" s="1072"/>
      <c r="SAT2" s="1072"/>
      <c r="SBF2" s="1072"/>
      <c r="SBR2" s="1072"/>
      <c r="SCD2" s="1072"/>
      <c r="SCP2" s="1072"/>
      <c r="SDB2" s="1072"/>
      <c r="SDN2" s="1072"/>
      <c r="SDZ2" s="1072"/>
      <c r="SEL2" s="1072"/>
      <c r="SEX2" s="1072"/>
      <c r="SFJ2" s="1072"/>
      <c r="SFV2" s="1072"/>
      <c r="SGH2" s="1072"/>
      <c r="SGT2" s="1072"/>
      <c r="SHF2" s="1072"/>
      <c r="SHR2" s="1072"/>
      <c r="SID2" s="1072"/>
      <c r="SIP2" s="1072"/>
      <c r="SJB2" s="1072"/>
      <c r="SJN2" s="1072"/>
      <c r="SJZ2" s="1072"/>
      <c r="SKL2" s="1072"/>
      <c r="SKX2" s="1072"/>
      <c r="SLJ2" s="1072"/>
      <c r="SLV2" s="1072"/>
      <c r="SMH2" s="1072"/>
      <c r="SMT2" s="1072"/>
      <c r="SNF2" s="1072"/>
      <c r="SNR2" s="1072"/>
      <c r="SOD2" s="1072"/>
      <c r="SOP2" s="1072"/>
      <c r="SPB2" s="1072"/>
      <c r="SPN2" s="1072"/>
      <c r="SPZ2" s="1072"/>
      <c r="SQL2" s="1072"/>
      <c r="SQX2" s="1072"/>
      <c r="SRJ2" s="1072"/>
      <c r="SRV2" s="1072"/>
      <c r="SSH2" s="1072"/>
      <c r="SST2" s="1072"/>
      <c r="STF2" s="1072"/>
      <c r="STR2" s="1072"/>
      <c r="SUD2" s="1072"/>
      <c r="SUP2" s="1072"/>
      <c r="SVB2" s="1072"/>
      <c r="SVN2" s="1072"/>
      <c r="SVZ2" s="1072"/>
      <c r="SWL2" s="1072"/>
      <c r="SWX2" s="1072"/>
      <c r="SXJ2" s="1072"/>
      <c r="SXV2" s="1072"/>
      <c r="SYH2" s="1072"/>
      <c r="SYT2" s="1072"/>
      <c r="SZF2" s="1072"/>
      <c r="SZR2" s="1072"/>
      <c r="TAD2" s="1072"/>
      <c r="TAP2" s="1072"/>
      <c r="TBB2" s="1072"/>
      <c r="TBN2" s="1072"/>
      <c r="TBZ2" s="1072"/>
      <c r="TCL2" s="1072"/>
      <c r="TCX2" s="1072"/>
      <c r="TDJ2" s="1072"/>
      <c r="TDV2" s="1072"/>
      <c r="TEH2" s="1072"/>
      <c r="TET2" s="1072"/>
      <c r="TFF2" s="1072"/>
      <c r="TFR2" s="1072"/>
      <c r="TGD2" s="1072"/>
      <c r="TGP2" s="1072"/>
      <c r="THB2" s="1072"/>
      <c r="THN2" s="1072"/>
      <c r="THZ2" s="1072"/>
      <c r="TIL2" s="1072"/>
      <c r="TIX2" s="1072"/>
      <c r="TJJ2" s="1072"/>
      <c r="TJV2" s="1072"/>
      <c r="TKH2" s="1072"/>
      <c r="TKT2" s="1072"/>
      <c r="TLF2" s="1072"/>
      <c r="TLR2" s="1072"/>
      <c r="TMD2" s="1072"/>
      <c r="TMP2" s="1072"/>
      <c r="TNB2" s="1072"/>
      <c r="TNN2" s="1072"/>
      <c r="TNZ2" s="1072"/>
      <c r="TOL2" s="1072"/>
      <c r="TOX2" s="1072"/>
      <c r="TPJ2" s="1072"/>
      <c r="TPV2" s="1072"/>
      <c r="TQH2" s="1072"/>
      <c r="TQT2" s="1072"/>
      <c r="TRF2" s="1072"/>
      <c r="TRR2" s="1072"/>
      <c r="TSD2" s="1072"/>
      <c r="TSP2" s="1072"/>
      <c r="TTB2" s="1072"/>
      <c r="TTN2" s="1072"/>
      <c r="TTZ2" s="1072"/>
      <c r="TUL2" s="1072"/>
      <c r="TUX2" s="1072"/>
      <c r="TVJ2" s="1072"/>
      <c r="TVV2" s="1072"/>
      <c r="TWH2" s="1072"/>
      <c r="TWT2" s="1072"/>
      <c r="TXF2" s="1072"/>
      <c r="TXR2" s="1072"/>
      <c r="TYD2" s="1072"/>
      <c r="TYP2" s="1072"/>
      <c r="TZB2" s="1072"/>
      <c r="TZN2" s="1072"/>
      <c r="TZZ2" s="1072"/>
      <c r="UAL2" s="1072"/>
      <c r="UAX2" s="1072"/>
      <c r="UBJ2" s="1072"/>
      <c r="UBV2" s="1072"/>
      <c r="UCH2" s="1072"/>
      <c r="UCT2" s="1072"/>
      <c r="UDF2" s="1072"/>
      <c r="UDR2" s="1072"/>
      <c r="UED2" s="1072"/>
      <c r="UEP2" s="1072"/>
      <c r="UFB2" s="1072"/>
      <c r="UFN2" s="1072"/>
      <c r="UFZ2" s="1072"/>
      <c r="UGL2" s="1072"/>
      <c r="UGX2" s="1072"/>
      <c r="UHJ2" s="1072"/>
      <c r="UHV2" s="1072"/>
      <c r="UIH2" s="1072"/>
      <c r="UIT2" s="1072"/>
      <c r="UJF2" s="1072"/>
      <c r="UJR2" s="1072"/>
      <c r="UKD2" s="1072"/>
      <c r="UKP2" s="1072"/>
      <c r="ULB2" s="1072"/>
      <c r="ULN2" s="1072"/>
      <c r="ULZ2" s="1072"/>
      <c r="UML2" s="1072"/>
      <c r="UMX2" s="1072"/>
      <c r="UNJ2" s="1072"/>
      <c r="UNV2" s="1072"/>
      <c r="UOH2" s="1072"/>
      <c r="UOT2" s="1072"/>
      <c r="UPF2" s="1072"/>
      <c r="UPR2" s="1072"/>
      <c r="UQD2" s="1072"/>
      <c r="UQP2" s="1072"/>
      <c r="URB2" s="1072"/>
      <c r="URN2" s="1072"/>
      <c r="URZ2" s="1072"/>
      <c r="USL2" s="1072"/>
      <c r="USX2" s="1072"/>
      <c r="UTJ2" s="1072"/>
      <c r="UTV2" s="1072"/>
      <c r="UUH2" s="1072"/>
      <c r="UUT2" s="1072"/>
      <c r="UVF2" s="1072"/>
      <c r="UVR2" s="1072"/>
      <c r="UWD2" s="1072"/>
      <c r="UWP2" s="1072"/>
      <c r="UXB2" s="1072"/>
      <c r="UXN2" s="1072"/>
      <c r="UXZ2" s="1072"/>
      <c r="UYL2" s="1072"/>
      <c r="UYX2" s="1072"/>
      <c r="UZJ2" s="1072"/>
      <c r="UZV2" s="1072"/>
      <c r="VAH2" s="1072"/>
      <c r="VAT2" s="1072"/>
      <c r="VBF2" s="1072"/>
      <c r="VBR2" s="1072"/>
      <c r="VCD2" s="1072"/>
      <c r="VCP2" s="1072"/>
      <c r="VDB2" s="1072"/>
      <c r="VDN2" s="1072"/>
      <c r="VDZ2" s="1072"/>
      <c r="VEL2" s="1072"/>
      <c r="VEX2" s="1072"/>
      <c r="VFJ2" s="1072"/>
      <c r="VFV2" s="1072"/>
      <c r="VGH2" s="1072"/>
      <c r="VGT2" s="1072"/>
      <c r="VHF2" s="1072"/>
      <c r="VHR2" s="1072"/>
      <c r="VID2" s="1072"/>
      <c r="VIP2" s="1072"/>
      <c r="VJB2" s="1072"/>
      <c r="VJN2" s="1072"/>
      <c r="VJZ2" s="1072"/>
      <c r="VKL2" s="1072"/>
      <c r="VKX2" s="1072"/>
      <c r="VLJ2" s="1072"/>
      <c r="VLV2" s="1072"/>
      <c r="VMH2" s="1072"/>
      <c r="VMT2" s="1072"/>
      <c r="VNF2" s="1072"/>
      <c r="VNR2" s="1072"/>
      <c r="VOD2" s="1072"/>
      <c r="VOP2" s="1072"/>
      <c r="VPB2" s="1072"/>
      <c r="VPN2" s="1072"/>
      <c r="VPZ2" s="1072"/>
      <c r="VQL2" s="1072"/>
      <c r="VQX2" s="1072"/>
      <c r="VRJ2" s="1072"/>
      <c r="VRV2" s="1072"/>
      <c r="VSH2" s="1072"/>
      <c r="VST2" s="1072"/>
      <c r="VTF2" s="1072"/>
      <c r="VTR2" s="1072"/>
      <c r="VUD2" s="1072"/>
      <c r="VUP2" s="1072"/>
      <c r="VVB2" s="1072"/>
      <c r="VVN2" s="1072"/>
      <c r="VVZ2" s="1072"/>
      <c r="VWL2" s="1072"/>
      <c r="VWX2" s="1072"/>
      <c r="VXJ2" s="1072"/>
      <c r="VXV2" s="1072"/>
      <c r="VYH2" s="1072"/>
      <c r="VYT2" s="1072"/>
      <c r="VZF2" s="1072"/>
      <c r="VZR2" s="1072"/>
      <c r="WAD2" s="1072"/>
      <c r="WAP2" s="1072"/>
      <c r="WBB2" s="1072"/>
      <c r="WBN2" s="1072"/>
      <c r="WBZ2" s="1072"/>
      <c r="WCL2" s="1072"/>
      <c r="WCX2" s="1072"/>
      <c r="WDJ2" s="1072"/>
      <c r="WDV2" s="1072"/>
      <c r="WEH2" s="1072"/>
      <c r="WET2" s="1072"/>
      <c r="WFF2" s="1072"/>
      <c r="WFR2" s="1072"/>
      <c r="WGD2" s="1072"/>
      <c r="WGP2" s="1072"/>
      <c r="WHB2" s="1072"/>
      <c r="WHN2" s="1072"/>
      <c r="WHZ2" s="1072"/>
      <c r="WIL2" s="1072"/>
      <c r="WIX2" s="1072"/>
      <c r="WJJ2" s="1072"/>
      <c r="WJV2" s="1072"/>
      <c r="WKH2" s="1072"/>
      <c r="WKT2" s="1072"/>
      <c r="WLF2" s="1072"/>
      <c r="WLR2" s="1072"/>
      <c r="WMD2" s="1072"/>
      <c r="WMP2" s="1072"/>
      <c r="WNB2" s="1072"/>
      <c r="WNN2" s="1072"/>
      <c r="WNZ2" s="1072"/>
      <c r="WOL2" s="1072"/>
      <c r="WOX2" s="1072"/>
      <c r="WPJ2" s="1072"/>
      <c r="WPV2" s="1072"/>
      <c r="WQH2" s="1072"/>
      <c r="WQT2" s="1072"/>
      <c r="WRF2" s="1072"/>
      <c r="WRR2" s="1072"/>
      <c r="WSD2" s="1072"/>
      <c r="WSP2" s="1072"/>
      <c r="WTB2" s="1072"/>
      <c r="WTN2" s="1072"/>
      <c r="WTZ2" s="1072"/>
      <c r="WUL2" s="1072"/>
      <c r="WUX2" s="1072"/>
      <c r="WVJ2" s="1072"/>
      <c r="WVV2" s="1072"/>
      <c r="WWH2" s="1072"/>
      <c r="WWT2" s="1072"/>
      <c r="WXF2" s="1072"/>
      <c r="WXR2" s="1072"/>
      <c r="WYD2" s="1072"/>
      <c r="WYP2" s="1072"/>
      <c r="WZB2" s="1072"/>
      <c r="WZN2" s="1072"/>
      <c r="WZZ2" s="1072"/>
      <c r="XAL2" s="1072"/>
      <c r="XAX2" s="1072"/>
      <c r="XBJ2" s="1072"/>
      <c r="XBV2" s="1072"/>
      <c r="XCH2" s="1072"/>
      <c r="XCT2" s="1072"/>
      <c r="XDF2" s="1072"/>
      <c r="XDR2" s="1072"/>
      <c r="XED2" s="1072"/>
      <c r="XEP2" s="1072"/>
      <c r="XFB2" s="1072"/>
    </row>
    <row r="3" spans="1:1022 1034:2042 2054:3062 3074:4094 4106:5114 5126:6134 6146:7166 7178:8186 8198:9206 9218:10238 10250:11258 11270:12278 12290:13310 13322:14330 14342:15350 15362:16382" ht="15" thickTop="1">
      <c r="A3" s="1073"/>
      <c r="B3" s="1073"/>
      <c r="C3" s="1073"/>
      <c r="D3" s="1073"/>
      <c r="E3" s="1073"/>
      <c r="F3" s="1073"/>
      <c r="G3" s="1073"/>
      <c r="H3" s="1073"/>
      <c r="I3" s="1073"/>
      <c r="J3" s="1073"/>
      <c r="K3" s="1073"/>
      <c r="L3" s="1073"/>
      <c r="M3" s="1073"/>
      <c r="N3" s="1073"/>
      <c r="O3" s="1073"/>
      <c r="P3" s="1073"/>
      <c r="Q3" s="1073"/>
      <c r="R3" s="1073"/>
      <c r="S3" s="1073"/>
      <c r="T3" s="1073"/>
      <c r="U3" s="1073"/>
    </row>
    <row r="5" spans="1:1022 1034:2042 2054:3062 3074:4094 4106:5114 5126:6134 6146:7166 7178:8186 8198:9206 9218:10238 10250:11258 11270:12278 12290:13310 13322:14330 14342:15350 15362:16382" ht="23.15" customHeight="1">
      <c r="A5" s="699" t="s">
        <v>23</v>
      </c>
      <c r="B5" s="2462" t="s">
        <v>2072</v>
      </c>
      <c r="C5" s="2462"/>
      <c r="D5" s="2462"/>
      <c r="E5" s="2462"/>
      <c r="F5" s="2462"/>
      <c r="G5" s="2462"/>
      <c r="H5" s="2462"/>
      <c r="I5" s="2462"/>
      <c r="J5" s="2462"/>
      <c r="K5" s="2462"/>
      <c r="L5" s="2462"/>
      <c r="M5" s="2462"/>
      <c r="N5" s="2462"/>
      <c r="O5" s="2462"/>
      <c r="P5" s="2462"/>
      <c r="Q5" s="2462"/>
      <c r="R5" s="2462"/>
    </row>
    <row r="6" spans="1:1022 1034:2042 2054:3062 3074:4094 4106:5114 5126:6134 6146:7166 7178:8186 8198:9206 9218:10238 10250:11258 11270:12278 12290:13310 13322:14330 14342:15350 15362:16382" ht="23.15" customHeight="1">
      <c r="A6" s="699" t="s">
        <v>24</v>
      </c>
      <c r="B6" s="592" t="s">
        <v>2056</v>
      </c>
      <c r="C6" s="592"/>
      <c r="D6" s="592"/>
      <c r="E6" s="592"/>
      <c r="F6" s="592"/>
      <c r="G6" s="592"/>
      <c r="H6" s="592"/>
      <c r="I6" s="592"/>
      <c r="J6" s="592"/>
      <c r="K6" s="592"/>
      <c r="L6" s="592"/>
      <c r="M6" s="592"/>
      <c r="N6" s="592"/>
      <c r="O6" s="592"/>
      <c r="P6" s="592"/>
      <c r="Q6" s="592"/>
      <c r="R6" s="592"/>
    </row>
    <row r="7" spans="1:1022 1034:2042 2054:3062 3074:4094 4106:5114 5126:6134 6146:7166 7178:8186 8198:9206 9218:10238 10250:11258 11270:12278 12290:13310 13322:14330 14342:15350 15362:16382" ht="23.15" customHeight="1">
      <c r="A7" s="699" t="s">
        <v>25</v>
      </c>
      <c r="B7" s="2462" t="s">
        <v>2057</v>
      </c>
      <c r="C7" s="2462"/>
      <c r="D7" s="2462"/>
      <c r="E7" s="2462"/>
      <c r="F7" s="2462"/>
      <c r="G7" s="2462"/>
      <c r="H7" s="2462"/>
      <c r="I7" s="2462"/>
      <c r="J7" s="2462"/>
      <c r="K7" s="2462"/>
      <c r="L7" s="2462"/>
      <c r="M7" s="2462"/>
      <c r="N7" s="2462"/>
      <c r="O7" s="2462"/>
      <c r="P7" s="2462"/>
      <c r="Q7" s="2462"/>
    </row>
    <row r="8" spans="1:1022 1034:2042 2054:3062 3074:4094 4106:5114 5126:6134 6146:7166 7178:8186 8198:9206 9218:10238 10250:11258 11270:12278 12290:13310 13322:14330 14342:15350 15362:16382" ht="23.15" customHeight="1">
      <c r="A8" s="699" t="s">
        <v>26</v>
      </c>
      <c r="B8" s="592" t="s">
        <v>4537</v>
      </c>
      <c r="C8" s="592"/>
      <c r="D8" s="592"/>
      <c r="E8" s="592"/>
      <c r="F8" s="592"/>
      <c r="G8" s="592"/>
      <c r="H8" s="592"/>
      <c r="I8" s="592"/>
      <c r="J8" s="592"/>
      <c r="K8" s="592"/>
      <c r="L8" s="592"/>
      <c r="M8" s="592"/>
      <c r="N8" s="592"/>
      <c r="O8" s="592"/>
      <c r="P8" s="592"/>
      <c r="Q8" s="2457" t="s">
        <v>2631</v>
      </c>
      <c r="R8" s="2457"/>
    </row>
    <row r="9" spans="1:1022 1034:2042 2054:3062 3074:4094 4106:5114 5126:6134 6146:7166 7178:8186 8198:9206 9218:10238 10250:11258 11270:12278 12290:13310 13322:14330 14342:15350 15362:16382" ht="23.15" customHeight="1">
      <c r="A9" s="699" t="s">
        <v>27</v>
      </c>
      <c r="B9" t="s">
        <v>4538</v>
      </c>
      <c r="Q9" s="2458">
        <f>SUM(S20,S21,S22,S23,S28,S29,S30,S31,S37,S38,S39,S40,S45,S46,S47,S48,S53,S54,S55,S56,S61,S62,S63,S64,S69,S70,S71,S72,S77,S78,S79,S80,S85,S86,S87,S88,S93,S94,S95,S96,S101,S102,S103,S104,S110,S111,S112,S113,S120,S121,S122,S123,S129,S130,S131,S132,S137,S138,S139,S140,S145,S146,S147,S148,Q169,Q170,Q171,Q172,Q173,S182,S183,S184,S185,S190,S191,S192,S193,S198,S199,S200,S201,S206,S207,S208,S209,S214,S215,S216,S217,S222,S223,S224,S225,S231,S232,S233,S234,S239,S240,S241,S242,S247,S248,S249,S250,S255,S256,S257,S258,S263,S264,S265,S266,S271,S272,S273,S274,S280,S281,S282,S283,S288,S289,S290,S291,S296,S297,S298,S299,S304,S305,S306,S307,S313,S314,S315,S316,S321,S322,S323,S324,S329,S330,S331,S332,S337,S338,S339,S340,S345,S346,S347,S348,S353,S354,S355,S356,S153,S154,S155,S156,S161,S162,S163,S164,S363,S364,S365,S366,S371,S372,S373,S374)</f>
        <v>8760</v>
      </c>
      <c r="R9" s="2336"/>
    </row>
    <row r="10" spans="1:1022 1034:2042 2054:3062 3074:4094 4106:5114 5126:6134 6146:7166 7178:8186 8198:9206 9218:10238 10250:11258 11270:12278 12290:13310 13322:14330 14342:15350 15362:16382" ht="23.15" customHeight="1">
      <c r="A10" s="699" t="s">
        <v>28</v>
      </c>
      <c r="B10" t="s">
        <v>2109</v>
      </c>
    </row>
    <row r="15" spans="1:1022 1034:2042 2054:3062 3074:4094 4106:5114 5126:6134 6146:7166 7178:8186 8198:9206 9218:10238 10250:11258 11270:12278 12290:13310 13322:14330 14342:15350 15362:16382" ht="31.5" hidden="1" customHeight="1">
      <c r="B15" s="698" t="s">
        <v>2085</v>
      </c>
    </row>
    <row r="16" spans="1:1022 1034:2042 2054:3062 3074:4094 4106:5114 5126:6134 6146:7166 7178:8186 8198:9206 9218:10238 10250:11258 11270:12278 12290:13310 13322:14330 14342:15350 15362:16382" ht="16" hidden="1" customHeight="1">
      <c r="B16" s="698"/>
      <c r="C16" s="698"/>
      <c r="D16" s="698"/>
      <c r="E16" s="698"/>
      <c r="F16" s="698"/>
      <c r="G16" s="698"/>
      <c r="H16" s="698"/>
      <c r="I16" s="698"/>
      <c r="J16" s="698"/>
      <c r="K16" s="698"/>
      <c r="L16" s="698"/>
      <c r="M16" s="698"/>
      <c r="N16" s="698"/>
      <c r="O16" s="698"/>
      <c r="P16" s="698"/>
      <c r="Q16" s="698"/>
    </row>
    <row r="17" spans="1:19" ht="22" hidden="1" customHeight="1">
      <c r="A17" s="699"/>
      <c r="B17" s="2237" t="s">
        <v>2058</v>
      </c>
      <c r="C17" s="2237"/>
      <c r="D17" s="2237"/>
      <c r="E17" s="2237"/>
      <c r="F17" s="2237"/>
      <c r="G17" s="2237"/>
      <c r="H17" s="2237"/>
      <c r="I17" s="2237"/>
      <c r="J17" s="2237"/>
      <c r="K17" s="2237"/>
      <c r="L17" s="2237"/>
      <c r="M17" s="2237"/>
      <c r="N17" s="2237"/>
      <c r="O17" s="2237"/>
      <c r="P17" s="2237"/>
      <c r="Q17" s="2237"/>
      <c r="R17" s="2237"/>
      <c r="S17" s="2237"/>
    </row>
    <row r="18" spans="1:19" ht="14.5" hidden="1" customHeight="1">
      <c r="A18" s="699"/>
    </row>
    <row r="19" spans="1:19" ht="30" hidden="1" customHeight="1">
      <c r="A19" s="699"/>
      <c r="E19" s="700" t="s">
        <v>2059</v>
      </c>
      <c r="F19" s="700"/>
      <c r="G19" s="700" t="s">
        <v>2060</v>
      </c>
      <c r="H19" s="143"/>
      <c r="I19" s="700" t="s">
        <v>2061</v>
      </c>
      <c r="K19" s="700" t="s">
        <v>2062</v>
      </c>
      <c r="L19" s="700"/>
      <c r="M19" s="700" t="s">
        <v>2063</v>
      </c>
      <c r="N19" s="700"/>
      <c r="O19" s="700" t="s">
        <v>80</v>
      </c>
      <c r="P19" s="700"/>
      <c r="Q19" s="700" t="s">
        <v>655</v>
      </c>
      <c r="R19" s="700"/>
      <c r="S19" s="700" t="s">
        <v>216</v>
      </c>
    </row>
    <row r="20" spans="1:19" ht="23.15" hidden="1" customHeight="1">
      <c r="A20" s="699"/>
      <c r="E20" s="1050"/>
      <c r="G20" s="1050"/>
      <c r="I20" s="1050"/>
      <c r="K20" s="1050"/>
      <c r="M20" s="1050"/>
      <c r="O20" s="1050"/>
      <c r="Q20" s="1050"/>
      <c r="S20" s="1058" t="str">
        <f>IF(OR(E20="",G20=0,I20=0,M20=""),"",G20*'Common Lighting References'!$Y$89)</f>
        <v/>
      </c>
    </row>
    <row r="21" spans="1:19" ht="23.15" hidden="1" customHeight="1">
      <c r="A21" s="699"/>
      <c r="E21" s="1049"/>
      <c r="G21" s="1049"/>
      <c r="I21" s="1050"/>
      <c r="K21" s="1050"/>
      <c r="M21" s="1050"/>
      <c r="O21" s="1050"/>
      <c r="Q21" s="1050"/>
      <c r="S21" s="1058" t="str">
        <f>IF(OR(E21="",G21=0,I21=0,M21=""),"",G21*'Common Lighting References'!$Y$89)</f>
        <v/>
      </c>
    </row>
    <row r="22" spans="1:19" ht="23.15" hidden="1" customHeight="1">
      <c r="A22" s="699"/>
      <c r="E22" s="1049"/>
      <c r="G22" s="1049"/>
      <c r="I22" s="1050"/>
      <c r="K22" s="1050"/>
      <c r="M22" s="1050"/>
      <c r="O22" s="1050"/>
      <c r="Q22" s="1050"/>
      <c r="S22" s="1058" t="str">
        <f>IF(OR(E22="",G22=0,I22=0,M22=""),"",G22*'Common Lighting References'!$Y$89)</f>
        <v/>
      </c>
    </row>
    <row r="23" spans="1:19" ht="23.15" hidden="1" customHeight="1">
      <c r="A23" s="699"/>
      <c r="E23" s="1049"/>
      <c r="G23" s="1049"/>
      <c r="I23" s="1050"/>
      <c r="K23" s="1050"/>
      <c r="M23" s="1050"/>
      <c r="O23" s="1050"/>
      <c r="Q23" s="1050"/>
      <c r="S23" s="1058" t="str">
        <f>IF(OR(E23="",G23=0,I23=0,M23=""),"",G23*'Common Lighting References'!$Y$89)</f>
        <v/>
      </c>
    </row>
    <row r="24" spans="1:19" hidden="1"/>
    <row r="25" spans="1:19" ht="22" hidden="1" customHeight="1">
      <c r="A25" s="699"/>
      <c r="B25" s="2237" t="s">
        <v>2065</v>
      </c>
      <c r="C25" s="2237"/>
      <c r="D25" s="2237"/>
      <c r="E25" s="2237"/>
      <c r="F25" s="2237"/>
      <c r="G25" s="2237"/>
      <c r="H25" s="2237"/>
      <c r="I25" s="2237"/>
      <c r="J25" s="2237"/>
      <c r="K25" s="2237"/>
      <c r="L25" s="2237"/>
      <c r="M25" s="2237"/>
      <c r="N25" s="2237"/>
      <c r="O25" s="2237"/>
      <c r="P25" s="2237"/>
      <c r="Q25" s="2237"/>
      <c r="R25" s="2237"/>
      <c r="S25" s="2237"/>
    </row>
    <row r="26" spans="1:19" ht="14.5" hidden="1" customHeight="1">
      <c r="A26" s="699"/>
    </row>
    <row r="27" spans="1:19" ht="30" hidden="1" customHeight="1">
      <c r="A27" s="699"/>
      <c r="E27" s="700" t="s">
        <v>2059</v>
      </c>
      <c r="F27" s="700"/>
      <c r="G27" s="700" t="s">
        <v>2060</v>
      </c>
      <c r="H27" s="143"/>
      <c r="I27" s="700" t="s">
        <v>2061</v>
      </c>
      <c r="K27" s="2232" t="s">
        <v>2064</v>
      </c>
      <c r="L27" s="2232"/>
      <c r="M27" s="2232"/>
      <c r="N27" s="700"/>
      <c r="O27" s="700" t="s">
        <v>80</v>
      </c>
      <c r="P27" s="700"/>
      <c r="Q27" s="700" t="s">
        <v>655</v>
      </c>
      <c r="R27" s="700"/>
      <c r="S27" s="700" t="s">
        <v>216</v>
      </c>
    </row>
    <row r="28" spans="1:19" ht="23.15" hidden="1" customHeight="1">
      <c r="A28" s="699"/>
      <c r="E28" s="1050"/>
      <c r="G28" s="1050"/>
      <c r="I28" s="1050"/>
      <c r="K28" s="2230"/>
      <c r="L28" s="2230"/>
      <c r="M28" s="2230"/>
      <c r="O28" s="1050"/>
      <c r="Q28" s="1050"/>
      <c r="S28" s="1058" t="str">
        <f>IF(OR(E28="",G28=0,I28=0),"",G28*'Common Lighting References'!$Y$91)</f>
        <v/>
      </c>
    </row>
    <row r="29" spans="1:19" ht="23.15" hidden="1" customHeight="1">
      <c r="A29" s="699"/>
      <c r="E29" s="1049"/>
      <c r="G29" s="1049"/>
      <c r="I29" s="1050"/>
      <c r="K29" s="2230"/>
      <c r="L29" s="2230"/>
      <c r="M29" s="2230"/>
      <c r="O29" s="1050"/>
      <c r="Q29" s="1050"/>
      <c r="S29" s="1058" t="str">
        <f>IF(OR(E29="",G29=0,I29=0),"",G29*'Common Lighting References'!$Y$91)</f>
        <v/>
      </c>
    </row>
    <row r="30" spans="1:19" ht="23.15" hidden="1" customHeight="1">
      <c r="A30" s="699"/>
      <c r="E30" s="1049"/>
      <c r="G30" s="1049"/>
      <c r="I30" s="1050"/>
      <c r="K30" s="2230"/>
      <c r="L30" s="2230"/>
      <c r="M30" s="2230"/>
      <c r="O30" s="1050"/>
      <c r="Q30" s="1050"/>
      <c r="S30" s="1058" t="str">
        <f>IF(OR(E30="",G30=0,I30=0),"",G30*'Common Lighting References'!$Y$91)</f>
        <v/>
      </c>
    </row>
    <row r="31" spans="1:19" ht="23.15" hidden="1" customHeight="1">
      <c r="A31" s="699"/>
      <c r="E31" s="1049"/>
      <c r="G31" s="1049"/>
      <c r="I31" s="1050"/>
      <c r="K31" s="2230"/>
      <c r="L31" s="2230"/>
      <c r="M31" s="2230"/>
      <c r="O31" s="1050"/>
      <c r="Q31" s="1050"/>
      <c r="S31" s="1058" t="str">
        <f>IF(OR(E31="",G31=0,I31=0),"",G31*'Common Lighting References'!$Y$91)</f>
        <v/>
      </c>
    </row>
    <row r="32" spans="1:19" ht="23.15" hidden="1" customHeight="1">
      <c r="A32" s="699"/>
    </row>
    <row r="33" spans="1:19" hidden="1"/>
    <row r="34" spans="1:19" ht="22" hidden="1" customHeight="1">
      <c r="A34" s="699"/>
      <c r="B34" s="2237" t="s">
        <v>2067</v>
      </c>
      <c r="C34" s="2237"/>
      <c r="D34" s="2237"/>
      <c r="E34" s="2237"/>
      <c r="F34" s="2237"/>
      <c r="G34" s="2237"/>
      <c r="H34" s="2237"/>
      <c r="I34" s="2237"/>
      <c r="J34" s="2237"/>
      <c r="K34" s="2237"/>
      <c r="L34" s="2237"/>
      <c r="M34" s="2237"/>
      <c r="N34" s="2237"/>
      <c r="O34" s="2237"/>
      <c r="P34" s="2237"/>
      <c r="Q34" s="2237"/>
      <c r="R34" s="2237"/>
      <c r="S34" s="2237"/>
    </row>
    <row r="35" spans="1:19" ht="14.5" hidden="1" customHeight="1">
      <c r="A35" s="699"/>
    </row>
    <row r="36" spans="1:19" ht="30" hidden="1" customHeight="1">
      <c r="A36" s="699"/>
      <c r="E36" s="700" t="s">
        <v>2059</v>
      </c>
      <c r="F36" s="700"/>
      <c r="G36" s="700" t="s">
        <v>2060</v>
      </c>
      <c r="H36" s="143"/>
      <c r="I36" s="700" t="s">
        <v>2061</v>
      </c>
      <c r="K36" s="2232" t="s">
        <v>2064</v>
      </c>
      <c r="L36" s="2232"/>
      <c r="M36" s="2232"/>
      <c r="N36" s="700"/>
      <c r="O36" s="700" t="s">
        <v>80</v>
      </c>
      <c r="P36" s="700"/>
      <c r="Q36" s="700" t="s">
        <v>655</v>
      </c>
      <c r="R36" s="700"/>
      <c r="S36" s="700" t="s">
        <v>216</v>
      </c>
    </row>
    <row r="37" spans="1:19" ht="23.15" hidden="1" customHeight="1">
      <c r="A37" s="699"/>
      <c r="E37" s="1050"/>
      <c r="G37" s="1050"/>
      <c r="I37" s="1050"/>
      <c r="K37" s="2230"/>
      <c r="L37" s="2230"/>
      <c r="M37" s="2230"/>
      <c r="O37" s="1050"/>
      <c r="Q37" s="1050"/>
      <c r="S37" s="1058" t="str">
        <f>IF(OR(E37="",G37=0,I37=0),"",G37*'Common Lighting References'!$Y$92)</f>
        <v/>
      </c>
    </row>
    <row r="38" spans="1:19" ht="23.15" hidden="1" customHeight="1">
      <c r="A38" s="699"/>
      <c r="E38" s="1049"/>
      <c r="G38" s="1049"/>
      <c r="I38" s="1050"/>
      <c r="K38" s="2230"/>
      <c r="L38" s="2230"/>
      <c r="M38" s="2230"/>
      <c r="O38" s="1050"/>
      <c r="Q38" s="1050"/>
      <c r="S38" s="1058" t="str">
        <f>IF(OR(E38="",G38=0,I38=0),"",G38*'Common Lighting References'!$Y$92)</f>
        <v/>
      </c>
    </row>
    <row r="39" spans="1:19" ht="23.15" hidden="1" customHeight="1">
      <c r="A39" s="699"/>
      <c r="E39" s="1049"/>
      <c r="G39" s="1049"/>
      <c r="I39" s="1050"/>
      <c r="K39" s="2230"/>
      <c r="L39" s="2230"/>
      <c r="M39" s="2230"/>
      <c r="O39" s="1050"/>
      <c r="Q39" s="1050"/>
      <c r="S39" s="1058" t="str">
        <f>IF(OR(E39="",G39=0,I39=0),"",G39*'Common Lighting References'!$Y$92)</f>
        <v/>
      </c>
    </row>
    <row r="40" spans="1:19" ht="23.15" hidden="1" customHeight="1">
      <c r="A40" s="699"/>
      <c r="E40" s="1049"/>
      <c r="G40" s="1049"/>
      <c r="I40" s="1050"/>
      <c r="K40" s="2230"/>
      <c r="L40" s="2230"/>
      <c r="M40" s="2230"/>
      <c r="O40" s="1050"/>
      <c r="Q40" s="1050"/>
      <c r="S40" s="1058" t="str">
        <f>IF(OR(E40="",G40=0,I40=0),"",G40*'Common Lighting References'!$Y$92)</f>
        <v/>
      </c>
    </row>
    <row r="41" spans="1:19" ht="23.15" hidden="1" customHeight="1">
      <c r="A41" s="699"/>
    </row>
    <row r="42" spans="1:19" ht="22" hidden="1" customHeight="1">
      <c r="A42" s="699"/>
      <c r="B42" s="2237" t="s">
        <v>2066</v>
      </c>
      <c r="C42" s="2237"/>
      <c r="D42" s="2237"/>
      <c r="E42" s="2237"/>
      <c r="F42" s="2237"/>
      <c r="G42" s="2237"/>
      <c r="H42" s="2237"/>
      <c r="I42" s="2237"/>
      <c r="J42" s="2237"/>
      <c r="K42" s="2237"/>
      <c r="L42" s="2237"/>
      <c r="M42" s="2237"/>
      <c r="N42" s="2237"/>
      <c r="O42" s="2237"/>
      <c r="P42" s="2237"/>
      <c r="Q42" s="2237"/>
      <c r="R42" s="2237"/>
      <c r="S42" s="2237"/>
    </row>
    <row r="43" spans="1:19" ht="14.5" hidden="1" customHeight="1">
      <c r="A43" s="699"/>
    </row>
    <row r="44" spans="1:19" ht="30" hidden="1" customHeight="1">
      <c r="A44" s="699"/>
      <c r="E44" s="700" t="s">
        <v>2059</v>
      </c>
      <c r="F44" s="700"/>
      <c r="G44" s="700" t="s">
        <v>2060</v>
      </c>
      <c r="H44" s="143"/>
      <c r="I44" s="700" t="s">
        <v>2061</v>
      </c>
      <c r="K44" s="2232" t="s">
        <v>2064</v>
      </c>
      <c r="L44" s="2232"/>
      <c r="M44" s="2232"/>
      <c r="N44" s="700"/>
      <c r="O44" s="700" t="s">
        <v>80</v>
      </c>
      <c r="P44" s="700"/>
      <c r="Q44" s="700" t="s">
        <v>655</v>
      </c>
      <c r="R44" s="700"/>
      <c r="S44" s="700" t="s">
        <v>216</v>
      </c>
    </row>
    <row r="45" spans="1:19" ht="23.15" hidden="1" customHeight="1">
      <c r="A45" s="699"/>
      <c r="E45" s="1050"/>
      <c r="G45" s="1050"/>
      <c r="I45" s="1050"/>
      <c r="K45" s="2230"/>
      <c r="L45" s="2230"/>
      <c r="M45" s="2230"/>
      <c r="O45" s="1050"/>
      <c r="Q45" s="1050"/>
      <c r="S45" s="1058" t="str">
        <f>IF(OR(E45="",G45=0,I45=0),"",G45*'Common Lighting References'!$Y$93)</f>
        <v/>
      </c>
    </row>
    <row r="46" spans="1:19" ht="23.15" hidden="1" customHeight="1">
      <c r="A46" s="699"/>
      <c r="E46" s="1049"/>
      <c r="G46" s="1049"/>
      <c r="I46" s="1050"/>
      <c r="K46" s="2230"/>
      <c r="L46" s="2230"/>
      <c r="M46" s="2230"/>
      <c r="O46" s="1050"/>
      <c r="Q46" s="1050"/>
      <c r="S46" s="1058" t="str">
        <f>IF(OR(E46="",G46=0,I46=0),"",G46*'Common Lighting References'!$Y$93)</f>
        <v/>
      </c>
    </row>
    <row r="47" spans="1:19" ht="23.15" hidden="1" customHeight="1">
      <c r="A47" s="699"/>
      <c r="E47" s="1049"/>
      <c r="G47" s="1049"/>
      <c r="I47" s="1050"/>
      <c r="K47" s="2230"/>
      <c r="L47" s="2230"/>
      <c r="M47" s="2230"/>
      <c r="O47" s="1050"/>
      <c r="Q47" s="1050"/>
      <c r="S47" s="1058" t="str">
        <f>IF(OR(E47="",G47=0,I47=0),"",G47*'Common Lighting References'!$Y$93)</f>
        <v/>
      </c>
    </row>
    <row r="48" spans="1:19" ht="23.15" hidden="1" customHeight="1">
      <c r="A48" s="699"/>
      <c r="E48" s="1049"/>
      <c r="G48" s="1049"/>
      <c r="I48" s="1050"/>
      <c r="K48" s="2230"/>
      <c r="L48" s="2230"/>
      <c r="M48" s="2230"/>
      <c r="O48" s="1050"/>
      <c r="Q48" s="1050"/>
      <c r="S48" s="1058" t="str">
        <f>IF(OR(E48="",G48=0,I48=0),"",G48*'Common Lighting References'!$Y$93)</f>
        <v/>
      </c>
    </row>
    <row r="49" spans="1:19" hidden="1"/>
    <row r="50" spans="1:19" ht="22" hidden="1" customHeight="1">
      <c r="A50" s="699"/>
      <c r="B50" s="2237" t="s">
        <v>2068</v>
      </c>
      <c r="C50" s="2237"/>
      <c r="D50" s="2237"/>
      <c r="E50" s="2237"/>
      <c r="F50" s="2237"/>
      <c r="G50" s="2237"/>
      <c r="H50" s="2237"/>
      <c r="I50" s="2237"/>
      <c r="J50" s="2237"/>
      <c r="K50" s="2237"/>
      <c r="L50" s="2237"/>
      <c r="M50" s="2237"/>
      <c r="N50" s="2237"/>
      <c r="O50" s="2237"/>
      <c r="P50" s="2237"/>
      <c r="Q50" s="2237"/>
      <c r="R50" s="2237"/>
      <c r="S50" s="2237"/>
    </row>
    <row r="51" spans="1:19" ht="14.5" hidden="1" customHeight="1">
      <c r="A51" s="699"/>
    </row>
    <row r="52" spans="1:19" ht="30" hidden="1" customHeight="1">
      <c r="A52" s="699"/>
      <c r="E52" s="700" t="s">
        <v>2059</v>
      </c>
      <c r="F52" s="700"/>
      <c r="G52" s="700" t="s">
        <v>2060</v>
      </c>
      <c r="H52" s="143"/>
      <c r="I52" s="700" t="s">
        <v>2061</v>
      </c>
      <c r="K52" s="2232" t="s">
        <v>2064</v>
      </c>
      <c r="L52" s="2232"/>
      <c r="M52" s="2232"/>
      <c r="N52" s="700"/>
      <c r="O52" s="700" t="s">
        <v>80</v>
      </c>
      <c r="P52" s="700"/>
      <c r="Q52" s="700" t="s">
        <v>655</v>
      </c>
      <c r="R52" s="700"/>
      <c r="S52" s="700" t="s">
        <v>216</v>
      </c>
    </row>
    <row r="53" spans="1:19" ht="23.15" hidden="1" customHeight="1">
      <c r="A53" s="699"/>
      <c r="E53" s="1050"/>
      <c r="G53" s="1050"/>
      <c r="I53" s="1050"/>
      <c r="K53" s="2230"/>
      <c r="L53" s="2230"/>
      <c r="M53" s="2230"/>
      <c r="O53" s="1050"/>
      <c r="Q53" s="1050"/>
      <c r="S53" s="1058" t="str">
        <f>IF(OR(E53="",G53=0,I53=0),"",G53*'Common Lighting References'!$Y$94)</f>
        <v/>
      </c>
    </row>
    <row r="54" spans="1:19" ht="23.15" hidden="1" customHeight="1">
      <c r="A54" s="699"/>
      <c r="E54" s="1049"/>
      <c r="G54" s="1049"/>
      <c r="I54" s="1050"/>
      <c r="K54" s="2230"/>
      <c r="L54" s="2230"/>
      <c r="M54" s="2230"/>
      <c r="O54" s="1050"/>
      <c r="Q54" s="1050"/>
      <c r="S54" s="1058" t="str">
        <f>IF(OR(E54="",G54=0,I54=0),"",G54*'Common Lighting References'!$Y$94)</f>
        <v/>
      </c>
    </row>
    <row r="55" spans="1:19" ht="23.15" hidden="1" customHeight="1">
      <c r="A55" s="699"/>
      <c r="E55" s="1049"/>
      <c r="G55" s="1049"/>
      <c r="I55" s="1050"/>
      <c r="K55" s="2230"/>
      <c r="L55" s="2230"/>
      <c r="M55" s="2230"/>
      <c r="O55" s="1050"/>
      <c r="Q55" s="1050"/>
      <c r="S55" s="1058" t="str">
        <f>IF(OR(E55="",G55=0,I55=0),"",G55*'Common Lighting References'!$Y$94)</f>
        <v/>
      </c>
    </row>
    <row r="56" spans="1:19" ht="23.15" hidden="1" customHeight="1">
      <c r="A56" s="699"/>
      <c r="E56" s="1049"/>
      <c r="G56" s="1049"/>
      <c r="I56" s="1050"/>
      <c r="K56" s="2230"/>
      <c r="L56" s="2230"/>
      <c r="M56" s="2230"/>
      <c r="O56" s="1050"/>
      <c r="Q56" s="1050"/>
      <c r="S56" s="1058" t="str">
        <f>IF(OR(E56="",G56=0,I56=0),"",G56*'Common Lighting References'!$Y$94)</f>
        <v/>
      </c>
    </row>
    <row r="57" spans="1:19" hidden="1"/>
    <row r="58" spans="1:19" ht="22" hidden="1" customHeight="1">
      <c r="A58" s="699"/>
      <c r="B58" s="2237" t="s">
        <v>2069</v>
      </c>
      <c r="C58" s="2237"/>
      <c r="D58" s="2237"/>
      <c r="E58" s="2237"/>
      <c r="F58" s="2237"/>
      <c r="G58" s="2237"/>
      <c r="H58" s="2237"/>
      <c r="I58" s="2237"/>
      <c r="J58" s="2237"/>
      <c r="K58" s="2237"/>
      <c r="L58" s="2237"/>
      <c r="M58" s="2237"/>
      <c r="N58" s="2237"/>
      <c r="O58" s="2237"/>
      <c r="P58" s="2237"/>
      <c r="Q58" s="2237"/>
      <c r="R58" s="2237"/>
      <c r="S58" s="2237"/>
    </row>
    <row r="59" spans="1:19" ht="14.5" hidden="1" customHeight="1">
      <c r="A59" s="699"/>
    </row>
    <row r="60" spans="1:19" ht="30" hidden="1" customHeight="1">
      <c r="A60" s="699"/>
      <c r="E60" s="700" t="s">
        <v>2059</v>
      </c>
      <c r="F60" s="700"/>
      <c r="G60" s="700" t="s">
        <v>2060</v>
      </c>
      <c r="H60" s="143"/>
      <c r="I60" s="700" t="s">
        <v>2061</v>
      </c>
      <c r="K60" s="700" t="s">
        <v>2062</v>
      </c>
      <c r="L60" s="700"/>
      <c r="M60" s="700" t="s">
        <v>2063</v>
      </c>
      <c r="N60" s="700"/>
      <c r="O60" s="700" t="s">
        <v>80</v>
      </c>
      <c r="P60" s="700"/>
      <c r="Q60" s="700" t="s">
        <v>655</v>
      </c>
      <c r="R60" s="700"/>
      <c r="S60" s="700" t="s">
        <v>216</v>
      </c>
    </row>
    <row r="61" spans="1:19" ht="23.15" hidden="1" customHeight="1">
      <c r="A61" s="699"/>
      <c r="E61" s="1050" t="s">
        <v>2871</v>
      </c>
      <c r="G61" s="1050">
        <v>30</v>
      </c>
      <c r="I61" s="1050">
        <v>25</v>
      </c>
      <c r="K61" s="1050">
        <v>1234567</v>
      </c>
      <c r="M61" s="1050" t="s">
        <v>2875</v>
      </c>
      <c r="O61" s="1050" t="s">
        <v>88</v>
      </c>
      <c r="Q61" s="1050" t="s">
        <v>88</v>
      </c>
      <c r="S61" s="1058">
        <f>IF(OR(E61="",G61=0,I61=0,M61=""),"",G61*'Common Lighting References'!$Y$95)</f>
        <v>1050</v>
      </c>
    </row>
    <row r="62" spans="1:19" ht="23.15" hidden="1" customHeight="1">
      <c r="A62" s="699"/>
      <c r="E62" s="1049"/>
      <c r="G62" s="1049"/>
      <c r="I62" s="1050"/>
      <c r="K62" s="1050"/>
      <c r="M62" s="1050"/>
      <c r="O62" s="1050"/>
      <c r="Q62" s="1050"/>
      <c r="S62" s="1058" t="str">
        <f>IF(OR(E62="",G62=0,I62=0,M62=""),"",G62*'Common Lighting References'!$Y$95)</f>
        <v/>
      </c>
    </row>
    <row r="63" spans="1:19" ht="23.15" hidden="1" customHeight="1">
      <c r="A63" s="699"/>
      <c r="E63" s="1049"/>
      <c r="G63" s="1049"/>
      <c r="I63" s="1050"/>
      <c r="K63" s="1050"/>
      <c r="M63" s="1050"/>
      <c r="O63" s="1050"/>
      <c r="Q63" s="1050"/>
      <c r="S63" s="1058" t="str">
        <f>IF(OR(E63="",G63=0,I63=0,M63=""),"",G63*'Common Lighting References'!$Y$95)</f>
        <v/>
      </c>
    </row>
    <row r="64" spans="1:19" ht="23.15" hidden="1" customHeight="1">
      <c r="A64" s="699"/>
      <c r="E64" s="1049"/>
      <c r="G64" s="1049"/>
      <c r="I64" s="1050"/>
      <c r="K64" s="1050"/>
      <c r="M64" s="1050"/>
      <c r="O64" s="1050"/>
      <c r="Q64" s="1050"/>
      <c r="S64" s="1058" t="str">
        <f>IF(OR(E64="",G64=0,I64=0,M64=""),"",G64*'Common Lighting References'!$Y$95)</f>
        <v/>
      </c>
    </row>
    <row r="65" spans="1:19" hidden="1"/>
    <row r="66" spans="1:19" ht="22" hidden="1" customHeight="1">
      <c r="A66" s="699"/>
      <c r="B66" s="2237" t="s">
        <v>2070</v>
      </c>
      <c r="C66" s="2237"/>
      <c r="D66" s="2237"/>
      <c r="E66" s="2237"/>
      <c r="F66" s="2237"/>
      <c r="G66" s="2237"/>
      <c r="H66" s="2237"/>
      <c r="I66" s="2237"/>
      <c r="J66" s="2237"/>
      <c r="K66" s="2237"/>
      <c r="L66" s="2237"/>
      <c r="M66" s="2237"/>
      <c r="N66" s="2237"/>
      <c r="O66" s="2237"/>
      <c r="P66" s="2237"/>
      <c r="Q66" s="2237"/>
      <c r="R66" s="2237"/>
      <c r="S66" s="2237"/>
    </row>
    <row r="67" spans="1:19" ht="14.5" hidden="1" customHeight="1">
      <c r="A67" s="699"/>
    </row>
    <row r="68" spans="1:19" ht="30" hidden="1" customHeight="1">
      <c r="A68" s="699"/>
      <c r="E68" s="700" t="s">
        <v>2059</v>
      </c>
      <c r="F68" s="700"/>
      <c r="G68" s="700" t="s">
        <v>2060</v>
      </c>
      <c r="H68" s="143"/>
      <c r="I68" s="700" t="s">
        <v>2061</v>
      </c>
      <c r="K68" s="700" t="s">
        <v>2062</v>
      </c>
      <c r="L68" s="700"/>
      <c r="M68" s="700" t="s">
        <v>2063</v>
      </c>
      <c r="N68" s="700"/>
      <c r="O68" s="700" t="s">
        <v>80</v>
      </c>
      <c r="P68" s="700"/>
      <c r="Q68" s="700" t="s">
        <v>655</v>
      </c>
      <c r="R68" s="700"/>
      <c r="S68" s="700" t="s">
        <v>216</v>
      </c>
    </row>
    <row r="69" spans="1:19" ht="23.15" hidden="1" customHeight="1">
      <c r="A69" s="699"/>
      <c r="E69" s="1050"/>
      <c r="G69" s="1050"/>
      <c r="I69" s="1050"/>
      <c r="K69" s="1050"/>
      <c r="M69" s="1050"/>
      <c r="O69" s="1050"/>
      <c r="Q69" s="1050"/>
      <c r="S69" s="1058" t="str">
        <f>IF(OR(E69="",G69=0,I69=0,M69=""),"",G69*'Common Lighting References'!$Y$97)</f>
        <v/>
      </c>
    </row>
    <row r="70" spans="1:19" ht="23.15" hidden="1" customHeight="1">
      <c r="A70" s="699"/>
      <c r="E70" s="1049"/>
      <c r="G70" s="1049"/>
      <c r="I70" s="1050"/>
      <c r="K70" s="1050"/>
      <c r="M70" s="1050"/>
      <c r="O70" s="1050"/>
      <c r="Q70" s="1050"/>
      <c r="S70" s="1058" t="str">
        <f>IF(OR(E70="",G70=0,I70=0,M70=""),"",G70*'Common Lighting References'!$Y$97)</f>
        <v/>
      </c>
    </row>
    <row r="71" spans="1:19" ht="23.15" hidden="1" customHeight="1">
      <c r="A71" s="699"/>
      <c r="E71" s="1049"/>
      <c r="G71" s="1049"/>
      <c r="I71" s="1050"/>
      <c r="K71" s="1050"/>
      <c r="M71" s="1050"/>
      <c r="O71" s="1050"/>
      <c r="Q71" s="1050"/>
      <c r="S71" s="1058" t="str">
        <f>IF(OR(E71="",G71=0,I71=0,M71=""),"",G71*'Common Lighting References'!$Y$97)</f>
        <v/>
      </c>
    </row>
    <row r="72" spans="1:19" ht="23.15" hidden="1" customHeight="1">
      <c r="A72" s="699"/>
      <c r="E72" s="1049"/>
      <c r="G72" s="1049"/>
      <c r="I72" s="1050"/>
      <c r="K72" s="1050"/>
      <c r="M72" s="1050"/>
      <c r="O72" s="1050"/>
      <c r="Q72" s="1050"/>
      <c r="S72" s="1058" t="str">
        <f>IF(OR(E72="",G72=0,I72=0,M72=""),"",G72*'Common Lighting References'!$Y$97)</f>
        <v/>
      </c>
    </row>
    <row r="73" spans="1:19" hidden="1"/>
    <row r="74" spans="1:19" ht="22" hidden="1" customHeight="1">
      <c r="A74" s="699"/>
      <c r="B74" s="2237" t="s">
        <v>2071</v>
      </c>
      <c r="C74" s="2237"/>
      <c r="D74" s="2237"/>
      <c r="E74" s="2237"/>
      <c r="F74" s="2237"/>
      <c r="G74" s="2237"/>
      <c r="H74" s="2237"/>
      <c r="I74" s="2237"/>
      <c r="J74" s="2237"/>
      <c r="K74" s="2237"/>
      <c r="L74" s="2237"/>
      <c r="M74" s="2237"/>
      <c r="N74" s="2237"/>
      <c r="O74" s="2237"/>
      <c r="P74" s="2237"/>
      <c r="Q74" s="2237"/>
      <c r="R74" s="2237"/>
      <c r="S74" s="2237"/>
    </row>
    <row r="75" spans="1:19" ht="14.5" hidden="1" customHeight="1">
      <c r="A75" s="699"/>
    </row>
    <row r="76" spans="1:19" ht="30" hidden="1" customHeight="1">
      <c r="A76" s="699"/>
      <c r="E76" s="700" t="s">
        <v>2059</v>
      </c>
      <c r="F76" s="700"/>
      <c r="G76" s="700" t="s">
        <v>2060</v>
      </c>
      <c r="H76" s="143"/>
      <c r="I76" s="700" t="s">
        <v>2061</v>
      </c>
      <c r="K76" s="700" t="s">
        <v>2062</v>
      </c>
      <c r="L76" s="700"/>
      <c r="M76" s="700" t="s">
        <v>2063</v>
      </c>
      <c r="N76" s="700"/>
      <c r="O76" s="700" t="s">
        <v>80</v>
      </c>
      <c r="P76" s="700"/>
      <c r="Q76" s="700" t="s">
        <v>655</v>
      </c>
      <c r="R76" s="700"/>
      <c r="S76" s="700" t="s">
        <v>216</v>
      </c>
    </row>
    <row r="77" spans="1:19" ht="23.15" hidden="1" customHeight="1">
      <c r="A77" s="699"/>
      <c r="E77" s="1050"/>
      <c r="G77" s="1050"/>
      <c r="I77" s="1050"/>
      <c r="K77" s="1050"/>
      <c r="M77" s="1050"/>
      <c r="O77" s="1050"/>
      <c r="Q77" s="1050"/>
      <c r="S77" s="1058" t="str">
        <f>IF(OR(E77="",G77=0,I77=0,M77=""),"",G77*'Common Lighting References'!$Y$99)</f>
        <v/>
      </c>
    </row>
    <row r="78" spans="1:19" ht="23.15" hidden="1" customHeight="1">
      <c r="A78" s="699"/>
      <c r="E78" s="1049"/>
      <c r="G78" s="1049"/>
      <c r="I78" s="1050"/>
      <c r="K78" s="1050"/>
      <c r="M78" s="1050"/>
      <c r="O78" s="1050"/>
      <c r="Q78" s="1050"/>
      <c r="S78" s="1058" t="str">
        <f>IF(OR(E78="",G78=0,I78=0,M78=""),"",G78*'Common Lighting References'!$Y$99)</f>
        <v/>
      </c>
    </row>
    <row r="79" spans="1:19" ht="23.15" hidden="1" customHeight="1">
      <c r="A79" s="699"/>
      <c r="E79" s="1049"/>
      <c r="G79" s="1049"/>
      <c r="I79" s="1050"/>
      <c r="K79" s="1050"/>
      <c r="M79" s="1050"/>
      <c r="O79" s="1050"/>
      <c r="Q79" s="1050"/>
      <c r="S79" s="1058" t="str">
        <f>IF(OR(E79="",G79=0,I79=0,M79=""),"",G79*'Common Lighting References'!$Y$99)</f>
        <v/>
      </c>
    </row>
    <row r="80" spans="1:19" ht="23.15" hidden="1" customHeight="1">
      <c r="A80" s="699"/>
      <c r="E80" s="1049"/>
      <c r="G80" s="1049"/>
      <c r="I80" s="1050"/>
      <c r="K80" s="1050"/>
      <c r="M80" s="1050"/>
      <c r="O80" s="1050"/>
      <c r="Q80" s="1050"/>
      <c r="S80" s="1058" t="str">
        <f>IF(OR(E80="",G80=0,I80=0,M80=""),"",G80*'Common Lighting References'!$Y$99)</f>
        <v/>
      </c>
    </row>
    <row r="81" spans="1:19" hidden="1"/>
    <row r="82" spans="1:19" ht="22" hidden="1" customHeight="1">
      <c r="A82" s="699"/>
      <c r="B82" s="2237" t="s">
        <v>2073</v>
      </c>
      <c r="C82" s="2237"/>
      <c r="D82" s="2237"/>
      <c r="E82" s="2237"/>
      <c r="F82" s="2237"/>
      <c r="G82" s="2237"/>
      <c r="H82" s="2237"/>
      <c r="I82" s="2237"/>
      <c r="J82" s="2237"/>
      <c r="K82" s="2237"/>
      <c r="L82" s="2237"/>
      <c r="M82" s="2237"/>
      <c r="N82" s="2237"/>
      <c r="O82" s="2237"/>
      <c r="P82" s="2237"/>
      <c r="Q82" s="2237"/>
      <c r="R82" s="2237"/>
      <c r="S82" s="2237"/>
    </row>
    <row r="83" spans="1:19" ht="14.5" hidden="1" customHeight="1">
      <c r="A83" s="699"/>
    </row>
    <row r="84" spans="1:19" ht="30" hidden="1" customHeight="1">
      <c r="A84" s="699"/>
      <c r="E84" s="700" t="s">
        <v>2059</v>
      </c>
      <c r="F84" s="700"/>
      <c r="G84" s="700" t="s">
        <v>2060</v>
      </c>
      <c r="H84" s="143"/>
      <c r="I84" s="700" t="s">
        <v>2061</v>
      </c>
      <c r="K84" s="700" t="s">
        <v>2062</v>
      </c>
      <c r="L84" s="700"/>
      <c r="M84" s="700" t="s">
        <v>2063</v>
      </c>
      <c r="N84" s="700"/>
      <c r="O84" s="700" t="s">
        <v>80</v>
      </c>
      <c r="P84" s="700"/>
      <c r="Q84" s="700" t="s">
        <v>655</v>
      </c>
      <c r="R84" s="700"/>
      <c r="S84" s="700" t="s">
        <v>216</v>
      </c>
    </row>
    <row r="85" spans="1:19" ht="23.15" hidden="1" customHeight="1">
      <c r="A85" s="699"/>
      <c r="E85" s="1050" t="s">
        <v>2873</v>
      </c>
      <c r="G85" s="1050">
        <v>12</v>
      </c>
      <c r="I85" s="1050">
        <v>35</v>
      </c>
      <c r="K85" s="1050">
        <v>53423</v>
      </c>
      <c r="M85" s="1050" t="s">
        <v>2876</v>
      </c>
      <c r="O85" s="1050" t="s">
        <v>88</v>
      </c>
      <c r="Q85" s="1050" t="s">
        <v>88</v>
      </c>
      <c r="S85" s="1058">
        <f>IF(OR(E85="",G85=0,I85=0,M85=""),"",G85*'Common Lighting References'!$Y$101)</f>
        <v>180</v>
      </c>
    </row>
    <row r="86" spans="1:19" ht="23.15" hidden="1" customHeight="1">
      <c r="A86" s="699"/>
      <c r="E86" s="1049"/>
      <c r="G86" s="1049"/>
      <c r="I86" s="1050"/>
      <c r="K86" s="1050"/>
      <c r="M86" s="1050"/>
      <c r="O86" s="1050"/>
      <c r="Q86" s="1050"/>
      <c r="S86" s="1058" t="str">
        <f>IF(OR(E86="",G86=0,I86=0,M86=""),"",G86*'Common Lighting References'!$Y$101)</f>
        <v/>
      </c>
    </row>
    <row r="87" spans="1:19" ht="23.15" hidden="1" customHeight="1">
      <c r="A87" s="699"/>
      <c r="E87" s="1049"/>
      <c r="G87" s="1049"/>
      <c r="I87" s="1050"/>
      <c r="K87" s="1050"/>
      <c r="M87" s="1050"/>
      <c r="O87" s="1050"/>
      <c r="Q87" s="1050"/>
      <c r="S87" s="1058" t="str">
        <f>IF(OR(E87="",G87=0,I87=0,M87=""),"",G87*'Common Lighting References'!$Y$101)</f>
        <v/>
      </c>
    </row>
    <row r="88" spans="1:19" ht="23.15" hidden="1" customHeight="1">
      <c r="A88" s="699"/>
      <c r="E88" s="1049"/>
      <c r="G88" s="1049"/>
      <c r="I88" s="1050"/>
      <c r="K88" s="1050"/>
      <c r="M88" s="1050"/>
      <c r="O88" s="1050"/>
      <c r="Q88" s="1050"/>
      <c r="S88" s="1058" t="str">
        <f>IF(OR(E88="",G88=0,I88=0,M88=""),"",G88*'Common Lighting References'!$Y$101)</f>
        <v/>
      </c>
    </row>
    <row r="89" spans="1:19" hidden="1"/>
    <row r="90" spans="1:19" ht="22" hidden="1" customHeight="1">
      <c r="A90" s="699"/>
      <c r="B90" s="2237" t="s">
        <v>2074</v>
      </c>
      <c r="C90" s="2237"/>
      <c r="D90" s="2237"/>
      <c r="E90" s="2237"/>
      <c r="F90" s="2237"/>
      <c r="G90" s="2237"/>
      <c r="H90" s="2237"/>
      <c r="I90" s="2237"/>
      <c r="J90" s="2237"/>
      <c r="K90" s="2237"/>
      <c r="L90" s="2237"/>
      <c r="M90" s="2237"/>
      <c r="N90" s="2237"/>
      <c r="O90" s="2237"/>
      <c r="P90" s="2237"/>
      <c r="Q90" s="2237"/>
      <c r="R90" s="2237"/>
      <c r="S90" s="2237"/>
    </row>
    <row r="91" spans="1:19" ht="14.5" hidden="1" customHeight="1">
      <c r="A91" s="699"/>
    </row>
    <row r="92" spans="1:19" ht="30" hidden="1" customHeight="1">
      <c r="A92" s="699"/>
      <c r="E92" s="700" t="s">
        <v>2059</v>
      </c>
      <c r="F92" s="700"/>
      <c r="G92" s="700" t="s">
        <v>2060</v>
      </c>
      <c r="H92" s="143"/>
      <c r="I92" s="700" t="s">
        <v>2061</v>
      </c>
      <c r="K92" s="700" t="s">
        <v>2062</v>
      </c>
      <c r="L92" s="700"/>
      <c r="M92" s="700" t="s">
        <v>2063</v>
      </c>
      <c r="N92" s="700"/>
      <c r="O92" s="700" t="s">
        <v>80</v>
      </c>
      <c r="P92" s="700"/>
      <c r="Q92" s="700" t="s">
        <v>655</v>
      </c>
      <c r="R92" s="700"/>
      <c r="S92" s="700" t="s">
        <v>216</v>
      </c>
    </row>
    <row r="93" spans="1:19" ht="23.15" hidden="1" customHeight="1">
      <c r="A93" s="699"/>
      <c r="E93" s="1050"/>
      <c r="G93" s="1050"/>
      <c r="I93" s="1050"/>
      <c r="K93" s="1050"/>
      <c r="M93" s="1050"/>
      <c r="O93" s="1050"/>
      <c r="Q93" s="1050"/>
      <c r="S93" s="1058" t="str">
        <f>IF(OR(E93="",G93=0,I93=0,M93=""),"",G93*'Common Lighting References'!$Y$103)</f>
        <v/>
      </c>
    </row>
    <row r="94" spans="1:19" ht="23.15" hidden="1" customHeight="1">
      <c r="A94" s="699"/>
      <c r="E94" s="1049"/>
      <c r="G94" s="1049"/>
      <c r="I94" s="1050"/>
      <c r="K94" s="1050"/>
      <c r="M94" s="1050"/>
      <c r="O94" s="1050"/>
      <c r="Q94" s="1050"/>
      <c r="S94" s="1058" t="str">
        <f>IF(OR(E94="",G94=0,I94=0,M94=""),"",G94*'Common Lighting References'!$Y$103)</f>
        <v/>
      </c>
    </row>
    <row r="95" spans="1:19" ht="23.15" hidden="1" customHeight="1">
      <c r="A95" s="699"/>
      <c r="E95" s="1049"/>
      <c r="G95" s="1049"/>
      <c r="I95" s="1050"/>
      <c r="K95" s="1050"/>
      <c r="M95" s="1050"/>
      <c r="O95" s="1050"/>
      <c r="Q95" s="1050"/>
      <c r="S95" s="1058" t="str">
        <f>IF(OR(E95="",G95=0,I95=0,M95=""),"",G95*'Common Lighting References'!$Y$103)</f>
        <v/>
      </c>
    </row>
    <row r="96" spans="1:19" ht="23.15" hidden="1" customHeight="1">
      <c r="A96" s="699"/>
      <c r="E96" s="1049"/>
      <c r="G96" s="1049"/>
      <c r="I96" s="1050"/>
      <c r="K96" s="1050"/>
      <c r="M96" s="1050"/>
      <c r="O96" s="1050"/>
      <c r="Q96" s="1050"/>
      <c r="S96" s="1058" t="str">
        <f>IF(OR(E96="",G96=0,I96=0,M96=""),"",G96*'Common Lighting References'!$Y$103)</f>
        <v/>
      </c>
    </row>
    <row r="97" spans="1:19" hidden="1"/>
    <row r="98" spans="1:19" ht="22" hidden="1" customHeight="1">
      <c r="A98" s="699"/>
      <c r="B98" s="2237" t="s">
        <v>2075</v>
      </c>
      <c r="C98" s="2237"/>
      <c r="D98" s="2237"/>
      <c r="E98" s="2237"/>
      <c r="F98" s="2237"/>
      <c r="G98" s="2237"/>
      <c r="H98" s="2237"/>
      <c r="I98" s="2237"/>
      <c r="J98" s="2237"/>
      <c r="K98" s="2237"/>
      <c r="L98" s="2237"/>
      <c r="M98" s="2237"/>
      <c r="N98" s="2237"/>
      <c r="O98" s="2237"/>
      <c r="P98" s="2237"/>
      <c r="Q98" s="2237"/>
      <c r="R98" s="2237"/>
      <c r="S98" s="2237"/>
    </row>
    <row r="99" spans="1:19" ht="14.5" hidden="1" customHeight="1">
      <c r="A99" s="699"/>
    </row>
    <row r="100" spans="1:19" ht="30" hidden="1" customHeight="1">
      <c r="A100" s="699"/>
      <c r="E100" s="700" t="s">
        <v>2059</v>
      </c>
      <c r="F100" s="700"/>
      <c r="G100" s="700" t="s">
        <v>2060</v>
      </c>
      <c r="H100" s="143"/>
      <c r="I100" s="700" t="s">
        <v>2061</v>
      </c>
      <c r="K100" s="700" t="s">
        <v>2062</v>
      </c>
      <c r="L100" s="700"/>
      <c r="M100" s="2232" t="s">
        <v>80</v>
      </c>
      <c r="N100" s="2232"/>
      <c r="O100" s="2232"/>
      <c r="P100" s="700"/>
      <c r="Q100" s="700" t="s">
        <v>655</v>
      </c>
      <c r="R100" s="700"/>
      <c r="S100" s="700" t="s">
        <v>216</v>
      </c>
    </row>
    <row r="101" spans="1:19" ht="23.15" hidden="1" customHeight="1">
      <c r="A101" s="699"/>
      <c r="E101" s="1050"/>
      <c r="G101" s="1050"/>
      <c r="I101" s="1050"/>
      <c r="K101" s="1050"/>
      <c r="M101" s="2230"/>
      <c r="N101" s="2230"/>
      <c r="O101" s="2230"/>
      <c r="Q101" s="1050"/>
      <c r="S101" s="1058" t="str">
        <f>IF(OR(E101="",G101=0,I101=0),"",G101*'Common Lighting References'!$Y$105)</f>
        <v/>
      </c>
    </row>
    <row r="102" spans="1:19" ht="23.15" hidden="1" customHeight="1">
      <c r="A102" s="699"/>
      <c r="E102" s="1049"/>
      <c r="G102" s="1049"/>
      <c r="I102" s="1050"/>
      <c r="K102" s="1050"/>
      <c r="M102" s="2230"/>
      <c r="N102" s="2230"/>
      <c r="O102" s="2230"/>
      <c r="Q102" s="1050"/>
      <c r="S102" s="1058" t="str">
        <f>IF(OR(E102="",G102=0,I102=0),"",G102*'Common Lighting References'!$Y$105)</f>
        <v/>
      </c>
    </row>
    <row r="103" spans="1:19" ht="23.15" hidden="1" customHeight="1">
      <c r="A103" s="699"/>
      <c r="E103" s="1049"/>
      <c r="G103" s="1049"/>
      <c r="I103" s="1050"/>
      <c r="K103" s="1050"/>
      <c r="M103" s="2230"/>
      <c r="N103" s="2230"/>
      <c r="O103" s="2230"/>
      <c r="Q103" s="1050"/>
      <c r="S103" s="1058" t="str">
        <f>IF(OR(E103="",G103=0,I103=0),"",G103*'Common Lighting References'!$Y$105)</f>
        <v/>
      </c>
    </row>
    <row r="104" spans="1:19" ht="23.15" hidden="1" customHeight="1">
      <c r="A104" s="699"/>
      <c r="E104" s="1049"/>
      <c r="G104" s="1049"/>
      <c r="I104" s="1050"/>
      <c r="K104" s="1050"/>
      <c r="M104" s="2230"/>
      <c r="N104" s="2230"/>
      <c r="O104" s="2230"/>
      <c r="Q104" s="1050"/>
      <c r="S104" s="1058" t="str">
        <f>IF(OR(E104="",G104=0,I104=0),"",G104*'Common Lighting References'!$Y$105)</f>
        <v/>
      </c>
    </row>
    <row r="105" spans="1:19" hidden="1"/>
    <row r="106" spans="1:19" hidden="1"/>
    <row r="107" spans="1:19" ht="22" hidden="1" customHeight="1">
      <c r="A107" s="699"/>
      <c r="B107" s="2237" t="s">
        <v>2076</v>
      </c>
      <c r="C107" s="2237"/>
      <c r="D107" s="2237"/>
      <c r="E107" s="2237"/>
      <c r="F107" s="2237"/>
      <c r="G107" s="2237"/>
      <c r="H107" s="2237"/>
      <c r="I107" s="2237"/>
      <c r="J107" s="2237"/>
      <c r="K107" s="2237"/>
      <c r="L107" s="2237"/>
      <c r="M107" s="2237"/>
      <c r="N107" s="2237"/>
      <c r="O107" s="2237"/>
      <c r="P107" s="2237"/>
      <c r="Q107" s="2237"/>
      <c r="R107" s="2237"/>
      <c r="S107" s="2237"/>
    </row>
    <row r="108" spans="1:19" ht="14.5" hidden="1" customHeight="1">
      <c r="A108" s="699"/>
    </row>
    <row r="109" spans="1:19" ht="30" hidden="1" customHeight="1">
      <c r="A109" s="699"/>
      <c r="E109" s="700" t="s">
        <v>2059</v>
      </c>
      <c r="F109" s="700"/>
      <c r="G109" s="700" t="s">
        <v>2060</v>
      </c>
      <c r="H109" s="143"/>
      <c r="I109" s="700" t="s">
        <v>2061</v>
      </c>
      <c r="K109" s="700" t="s">
        <v>2062</v>
      </c>
      <c r="L109" s="700"/>
      <c r="M109" s="2232" t="s">
        <v>80</v>
      </c>
      <c r="N109" s="2232"/>
      <c r="O109" s="2232"/>
      <c r="P109" s="700"/>
      <c r="Q109" s="700" t="s">
        <v>655</v>
      </c>
      <c r="R109" s="700"/>
      <c r="S109" s="700" t="s">
        <v>216</v>
      </c>
    </row>
    <row r="110" spans="1:19" ht="23.15" hidden="1" customHeight="1">
      <c r="A110" s="699"/>
      <c r="E110" s="1050"/>
      <c r="G110" s="1050"/>
      <c r="I110" s="1050"/>
      <c r="K110" s="1050"/>
      <c r="M110" s="2230"/>
      <c r="N110" s="2230"/>
      <c r="O110" s="2230"/>
      <c r="Q110" s="1050"/>
      <c r="S110" s="1058" t="str">
        <f>IF(OR(E110="",G110=0,I110=0),"",G110*'Common Lighting References'!$Y$106)</f>
        <v/>
      </c>
    </row>
    <row r="111" spans="1:19" ht="23.15" hidden="1" customHeight="1">
      <c r="A111" s="699"/>
      <c r="E111" s="1049"/>
      <c r="G111" s="1049"/>
      <c r="I111" s="1050"/>
      <c r="K111" s="1050"/>
      <c r="M111" s="2230"/>
      <c r="N111" s="2230"/>
      <c r="O111" s="2230"/>
      <c r="Q111" s="1050"/>
      <c r="S111" s="1058" t="str">
        <f>IF(OR(E111="",G111=0,I111=0),"",G111*'Common Lighting References'!$Y$106)</f>
        <v/>
      </c>
    </row>
    <row r="112" spans="1:19" ht="23.15" hidden="1" customHeight="1">
      <c r="A112" s="699"/>
      <c r="E112" s="1049"/>
      <c r="G112" s="1049"/>
      <c r="I112" s="1050"/>
      <c r="K112" s="1050"/>
      <c r="M112" s="2230"/>
      <c r="N112" s="2230"/>
      <c r="O112" s="2230"/>
      <c r="Q112" s="1050"/>
      <c r="S112" s="1058" t="str">
        <f>IF(OR(E112="",G112=0,I112=0),"",G112*'Common Lighting References'!$Y$106)</f>
        <v/>
      </c>
    </row>
    <row r="113" spans="1:19" ht="23.15" hidden="1" customHeight="1">
      <c r="A113" s="699"/>
      <c r="E113" s="1049"/>
      <c r="G113" s="1049"/>
      <c r="I113" s="1050"/>
      <c r="K113" s="1050"/>
      <c r="M113" s="2230"/>
      <c r="N113" s="2230"/>
      <c r="O113" s="2230"/>
      <c r="Q113" s="1050"/>
      <c r="S113" s="1058" t="str">
        <f>IF(OR(E113="",G113=0,I113=0),"",G113*'Common Lighting References'!$Y$106)</f>
        <v/>
      </c>
    </row>
    <row r="114" spans="1:19" hidden="1"/>
    <row r="115" spans="1:19" hidden="1"/>
    <row r="116" spans="1:19" hidden="1"/>
    <row r="117" spans="1:19" ht="22" hidden="1" customHeight="1">
      <c r="A117" s="699"/>
      <c r="B117" s="2237" t="s">
        <v>2948</v>
      </c>
      <c r="C117" s="2237"/>
      <c r="D117" s="2237"/>
      <c r="E117" s="2237"/>
      <c r="F117" s="2237"/>
      <c r="G117" s="2237"/>
      <c r="H117" s="2237"/>
      <c r="I117" s="2237"/>
      <c r="J117" s="2237"/>
      <c r="K117" s="2237"/>
      <c r="L117" s="2237"/>
      <c r="M117" s="2237"/>
      <c r="N117" s="2237"/>
      <c r="O117" s="2237"/>
      <c r="P117" s="2237"/>
      <c r="Q117" s="2237"/>
      <c r="R117" s="2237"/>
      <c r="S117" s="2237"/>
    </row>
    <row r="118" spans="1:19" ht="14.5" hidden="1" customHeight="1">
      <c r="A118" s="699"/>
    </row>
    <row r="119" spans="1:19" ht="30" hidden="1" customHeight="1">
      <c r="A119" s="699"/>
      <c r="E119" s="700" t="s">
        <v>2059</v>
      </c>
      <c r="F119" s="700"/>
      <c r="G119" s="700" t="s">
        <v>2060</v>
      </c>
      <c r="H119" s="143"/>
      <c r="I119" s="700" t="s">
        <v>2061</v>
      </c>
      <c r="K119" s="700" t="s">
        <v>2062</v>
      </c>
      <c r="L119" s="700"/>
      <c r="M119" s="700" t="s">
        <v>2063</v>
      </c>
      <c r="N119" s="700"/>
      <c r="O119" s="700" t="s">
        <v>80</v>
      </c>
      <c r="P119" s="700"/>
      <c r="Q119" s="700" t="s">
        <v>655</v>
      </c>
      <c r="R119" s="700"/>
      <c r="S119" s="700" t="s">
        <v>216</v>
      </c>
    </row>
    <row r="120" spans="1:19" ht="23.15" hidden="1" customHeight="1">
      <c r="A120" s="699"/>
      <c r="E120" s="1050" t="s">
        <v>2873</v>
      </c>
      <c r="G120" s="1050">
        <v>12</v>
      </c>
      <c r="I120" s="1050">
        <v>24</v>
      </c>
      <c r="K120" s="1050">
        <v>9876</v>
      </c>
      <c r="M120" s="1050" t="s">
        <v>2875</v>
      </c>
      <c r="O120" s="1050" t="s">
        <v>3890</v>
      </c>
      <c r="Q120" s="1050" t="s">
        <v>3887</v>
      </c>
      <c r="S120" s="1058">
        <f>IF(OR(E120="",G120=0,I120=0,K120=""),"",G120*'Common Lighting References'!$Y$107)</f>
        <v>360</v>
      </c>
    </row>
    <row r="121" spans="1:19" ht="23.15" hidden="1" customHeight="1">
      <c r="A121" s="699"/>
      <c r="E121" s="1049"/>
      <c r="G121" s="1049"/>
      <c r="I121" s="1050"/>
      <c r="K121" s="1050"/>
      <c r="M121" s="1050"/>
      <c r="O121" s="1050"/>
      <c r="Q121" s="1050"/>
      <c r="S121" s="1058" t="str">
        <f>IF(OR(E121="",G121=0,I121=0,K121=""),"",G121*'Common Lighting References'!$Y$107)</f>
        <v/>
      </c>
    </row>
    <row r="122" spans="1:19" ht="23.15" hidden="1" customHeight="1">
      <c r="A122" s="699"/>
      <c r="E122" s="1049"/>
      <c r="G122" s="1049"/>
      <c r="I122" s="1050"/>
      <c r="K122" s="1050"/>
      <c r="M122" s="1050"/>
      <c r="O122" s="1050"/>
      <c r="Q122" s="1050"/>
      <c r="S122" s="1058" t="str">
        <f>IF(OR(E122="",G122=0,I122=0,K122=""),"",G122*'Common Lighting References'!$Y$107)</f>
        <v/>
      </c>
    </row>
    <row r="123" spans="1:19" ht="23.15" hidden="1" customHeight="1">
      <c r="A123" s="699"/>
      <c r="E123" s="1049"/>
      <c r="G123" s="1049"/>
      <c r="I123" s="1050"/>
      <c r="K123" s="1050"/>
      <c r="M123" s="1050"/>
      <c r="O123" s="1050"/>
      <c r="Q123" s="1050"/>
      <c r="S123" s="1058" t="str">
        <f>IF(OR(E123="",G123=0,I123=0,K123=""),"",G123*'Common Lighting References'!$Y$107)</f>
        <v/>
      </c>
    </row>
    <row r="124" spans="1:19" hidden="1"/>
    <row r="125" spans="1:19" hidden="1"/>
    <row r="126" spans="1:19" ht="22" hidden="1" customHeight="1">
      <c r="A126" s="699"/>
      <c r="B126" s="2237" t="s">
        <v>2077</v>
      </c>
      <c r="C126" s="2237"/>
      <c r="D126" s="2237"/>
      <c r="E126" s="2237"/>
      <c r="F126" s="2237"/>
      <c r="G126" s="2237"/>
      <c r="H126" s="2237"/>
      <c r="I126" s="2237"/>
      <c r="J126" s="2237"/>
      <c r="K126" s="2237"/>
      <c r="L126" s="2237"/>
      <c r="M126" s="2237"/>
      <c r="N126" s="2237"/>
      <c r="O126" s="2237"/>
      <c r="P126" s="2237"/>
      <c r="Q126" s="2237"/>
      <c r="R126" s="2237"/>
      <c r="S126" s="2237"/>
    </row>
    <row r="127" spans="1:19" ht="14.5" hidden="1" customHeight="1">
      <c r="A127" s="699"/>
    </row>
    <row r="128" spans="1:19" ht="30" hidden="1" customHeight="1">
      <c r="A128" s="699"/>
      <c r="E128" s="700" t="s">
        <v>2059</v>
      </c>
      <c r="F128" s="700"/>
      <c r="G128" s="700" t="s">
        <v>2060</v>
      </c>
      <c r="H128" s="143"/>
      <c r="I128" s="700" t="s">
        <v>2061</v>
      </c>
      <c r="K128" s="700" t="s">
        <v>2062</v>
      </c>
      <c r="L128" s="700"/>
      <c r="M128" s="700" t="s">
        <v>2063</v>
      </c>
      <c r="N128" s="700"/>
      <c r="O128" s="700" t="s">
        <v>80</v>
      </c>
      <c r="P128" s="700"/>
      <c r="Q128" s="700" t="s">
        <v>655</v>
      </c>
      <c r="R128" s="700"/>
      <c r="S128" s="700" t="s">
        <v>216</v>
      </c>
    </row>
    <row r="129" spans="1:19" ht="23.15" hidden="1" customHeight="1">
      <c r="A129" s="699"/>
      <c r="E129" s="1050"/>
      <c r="G129" s="1050"/>
      <c r="I129" s="1050"/>
      <c r="K129" s="1050"/>
      <c r="M129" s="1050"/>
      <c r="O129" s="1050"/>
      <c r="Q129" s="1050"/>
      <c r="S129" s="1058" t="str">
        <f>IF(OR(E129="",G129=0,I129=0,K129=""),"",G129*'Common Lighting References'!$Y$109)</f>
        <v/>
      </c>
    </row>
    <row r="130" spans="1:19" ht="23.15" hidden="1" customHeight="1">
      <c r="A130" s="699"/>
      <c r="E130" s="1049"/>
      <c r="G130" s="1049"/>
      <c r="I130" s="1050"/>
      <c r="K130" s="1050"/>
      <c r="M130" s="1050"/>
      <c r="O130" s="1050"/>
      <c r="Q130" s="1050"/>
      <c r="S130" s="1058" t="str">
        <f>IF(OR(E130="",G130=0,I130=0,K130=""),"",G130*'Common Lighting References'!$Y$109)</f>
        <v/>
      </c>
    </row>
    <row r="131" spans="1:19" ht="23.15" hidden="1" customHeight="1">
      <c r="A131" s="699"/>
      <c r="E131" s="1049"/>
      <c r="G131" s="1049"/>
      <c r="I131" s="1050"/>
      <c r="K131" s="1050"/>
      <c r="M131" s="1050"/>
      <c r="O131" s="1050"/>
      <c r="Q131" s="1050"/>
      <c r="S131" s="1058" t="str">
        <f>IF(OR(E131="",G131=0,I131=0,K131=""),"",G131*'Common Lighting References'!$Y$109)</f>
        <v/>
      </c>
    </row>
    <row r="132" spans="1:19" ht="23.15" hidden="1" customHeight="1">
      <c r="A132" s="699"/>
      <c r="E132" s="1049"/>
      <c r="G132" s="1049"/>
      <c r="I132" s="1050"/>
      <c r="K132" s="1050"/>
      <c r="M132" s="1050"/>
      <c r="O132" s="1050"/>
      <c r="Q132" s="1050"/>
      <c r="S132" s="1058" t="str">
        <f>IF(OR(E132="",G132=0,I132=0,K132=""),"",G132*'Common Lighting References'!$Y$109)</f>
        <v/>
      </c>
    </row>
    <row r="133" spans="1:19" hidden="1"/>
    <row r="134" spans="1:19" ht="22" hidden="1" customHeight="1">
      <c r="A134" s="699"/>
      <c r="B134" s="2237" t="s">
        <v>2078</v>
      </c>
      <c r="C134" s="2237"/>
      <c r="D134" s="2237"/>
      <c r="E134" s="2237"/>
      <c r="F134" s="2237"/>
      <c r="G134" s="2237"/>
      <c r="H134" s="2237"/>
      <c r="I134" s="2237"/>
      <c r="J134" s="2237"/>
      <c r="K134" s="2237"/>
      <c r="L134" s="2237"/>
      <c r="M134" s="2237"/>
      <c r="N134" s="2237"/>
      <c r="O134" s="2237"/>
      <c r="P134" s="2237"/>
      <c r="Q134" s="2237"/>
      <c r="R134" s="2237"/>
      <c r="S134" s="2237"/>
    </row>
    <row r="135" spans="1:19" ht="14.5" hidden="1" customHeight="1">
      <c r="A135" s="699"/>
    </row>
    <row r="136" spans="1:19" ht="30" hidden="1" customHeight="1">
      <c r="A136" s="699"/>
      <c r="E136" s="700" t="s">
        <v>2059</v>
      </c>
      <c r="F136" s="700"/>
      <c r="G136" s="700" t="s">
        <v>2060</v>
      </c>
      <c r="H136" s="143"/>
      <c r="I136" s="700" t="s">
        <v>2061</v>
      </c>
      <c r="K136" s="700" t="s">
        <v>2062</v>
      </c>
      <c r="L136" s="700"/>
      <c r="M136" s="700" t="s">
        <v>2063</v>
      </c>
      <c r="N136" s="700"/>
      <c r="O136" s="700" t="s">
        <v>80</v>
      </c>
      <c r="P136" s="700"/>
      <c r="Q136" s="700" t="s">
        <v>655</v>
      </c>
      <c r="R136" s="700"/>
      <c r="S136" s="700" t="s">
        <v>216</v>
      </c>
    </row>
    <row r="137" spans="1:19" ht="23.15" hidden="1" customHeight="1">
      <c r="A137" s="699"/>
      <c r="E137" s="1050"/>
      <c r="G137" s="1050"/>
      <c r="I137" s="1050"/>
      <c r="K137" s="1050"/>
      <c r="M137" s="1050"/>
      <c r="O137" s="1050"/>
      <c r="Q137" s="1050"/>
      <c r="S137" s="1058" t="str">
        <f>IF(OR(E137="",G137=0,I137=0,K137=""),"",G137*'Common Lighting References'!$Y$111)</f>
        <v/>
      </c>
    </row>
    <row r="138" spans="1:19" ht="23.15" hidden="1" customHeight="1">
      <c r="A138" s="699"/>
      <c r="E138" s="1049"/>
      <c r="G138" s="1049"/>
      <c r="I138" s="1050"/>
      <c r="K138" s="1050"/>
      <c r="M138" s="1050"/>
      <c r="O138" s="1050"/>
      <c r="Q138" s="1050"/>
      <c r="S138" s="1058" t="str">
        <f>IF(OR(E138="",G138=0,I138=0,K138=""),"",G138*'Common Lighting References'!$Y$111)</f>
        <v/>
      </c>
    </row>
    <row r="139" spans="1:19" ht="23.15" hidden="1" customHeight="1">
      <c r="A139" s="699"/>
      <c r="E139" s="1049"/>
      <c r="G139" s="1049"/>
      <c r="I139" s="1050"/>
      <c r="K139" s="1050"/>
      <c r="M139" s="1050"/>
      <c r="O139" s="1050"/>
      <c r="Q139" s="1050"/>
      <c r="S139" s="1058" t="str">
        <f>IF(OR(E139="",G139=0,I139=0,K139=""),"",G139*'Common Lighting References'!$Y$111)</f>
        <v/>
      </c>
    </row>
    <row r="140" spans="1:19" ht="23.15" hidden="1" customHeight="1">
      <c r="A140" s="699"/>
      <c r="E140" s="1049"/>
      <c r="G140" s="1049"/>
      <c r="I140" s="1050"/>
      <c r="K140" s="1050"/>
      <c r="M140" s="1050"/>
      <c r="O140" s="1050"/>
      <c r="Q140" s="1050"/>
      <c r="S140" s="1058" t="str">
        <f>IF(OR(E140="",G140=0,I140=0,K140=""),"",G140*'Common Lighting References'!$Y$111)</f>
        <v/>
      </c>
    </row>
    <row r="141" spans="1:19" hidden="1"/>
    <row r="142" spans="1:19" ht="22" hidden="1" customHeight="1">
      <c r="A142" s="699"/>
      <c r="B142" s="2237" t="s">
        <v>2079</v>
      </c>
      <c r="C142" s="2237"/>
      <c r="D142" s="2237"/>
      <c r="E142" s="2237"/>
      <c r="F142" s="2237"/>
      <c r="G142" s="2237"/>
      <c r="H142" s="2237"/>
      <c r="I142" s="2237"/>
      <c r="J142" s="2237"/>
      <c r="K142" s="2237"/>
      <c r="L142" s="2237"/>
      <c r="M142" s="2237"/>
      <c r="N142" s="2237"/>
      <c r="O142" s="2237"/>
      <c r="P142" s="2237"/>
      <c r="Q142" s="2237"/>
      <c r="R142" s="2237"/>
      <c r="S142" s="2237"/>
    </row>
    <row r="143" spans="1:19" ht="14.5" hidden="1" customHeight="1">
      <c r="A143" s="699"/>
    </row>
    <row r="144" spans="1:19" ht="30" hidden="1" customHeight="1">
      <c r="A144" s="699"/>
      <c r="E144" s="700" t="s">
        <v>2059</v>
      </c>
      <c r="F144" s="700"/>
      <c r="G144" s="700" t="s">
        <v>2060</v>
      </c>
      <c r="H144" s="143"/>
      <c r="I144" s="700" t="s">
        <v>2061</v>
      </c>
      <c r="K144" s="700" t="s">
        <v>2062</v>
      </c>
      <c r="L144" s="700"/>
      <c r="M144" s="700" t="s">
        <v>2063</v>
      </c>
      <c r="N144" s="700"/>
      <c r="O144" s="700" t="s">
        <v>80</v>
      </c>
      <c r="P144" s="700"/>
      <c r="Q144" s="700" t="s">
        <v>655</v>
      </c>
      <c r="R144" s="700"/>
      <c r="S144" s="700" t="s">
        <v>216</v>
      </c>
    </row>
    <row r="145" spans="1:19" ht="23.15" hidden="1" customHeight="1">
      <c r="A145" s="699"/>
      <c r="E145" s="1050"/>
      <c r="G145" s="1050"/>
      <c r="I145" s="1050"/>
      <c r="K145" s="1050"/>
      <c r="M145" s="1050"/>
      <c r="O145" s="1050"/>
      <c r="Q145" s="1050"/>
      <c r="S145" s="1058" t="str">
        <f>IF(OR(E145="",G145=0,I145=0,K145=""),"",G145*'Common Lighting References'!$Y$113)</f>
        <v/>
      </c>
    </row>
    <row r="146" spans="1:19" ht="23.15" hidden="1" customHeight="1">
      <c r="A146" s="699"/>
      <c r="E146" s="1049"/>
      <c r="G146" s="1049"/>
      <c r="I146" s="1050"/>
      <c r="K146" s="1050"/>
      <c r="M146" s="1050"/>
      <c r="O146" s="1050"/>
      <c r="Q146" s="1050"/>
      <c r="S146" s="1058" t="str">
        <f>IF(OR(E146="",G146=0,I146=0,K146=""),"",G146*'Common Lighting References'!$Y$113)</f>
        <v/>
      </c>
    </row>
    <row r="147" spans="1:19" ht="23.15" hidden="1" customHeight="1">
      <c r="A147" s="699"/>
      <c r="E147" s="1049"/>
      <c r="G147" s="1049"/>
      <c r="I147" s="1050"/>
      <c r="K147" s="1050"/>
      <c r="M147" s="1050"/>
      <c r="O147" s="1050"/>
      <c r="Q147" s="1050"/>
      <c r="S147" s="1058" t="str">
        <f>IF(OR(E147="",G147=0,I147=0,K147=""),"",G147*'Common Lighting References'!$Y$113)</f>
        <v/>
      </c>
    </row>
    <row r="148" spans="1:19" ht="23.15" hidden="1" customHeight="1">
      <c r="A148" s="699"/>
      <c r="E148" s="1049"/>
      <c r="G148" s="1049"/>
      <c r="I148" s="1050"/>
      <c r="K148" s="1050"/>
      <c r="M148" s="1050"/>
      <c r="O148" s="1050"/>
      <c r="Q148" s="1050"/>
      <c r="S148" s="1058" t="str">
        <f>IF(OR(E148="",G148=0,I148=0,K148=""),"",G148*'Common Lighting References'!$Y$113)</f>
        <v/>
      </c>
    </row>
    <row r="149" spans="1:19" hidden="1"/>
    <row r="150" spans="1:19" s="42" customFormat="1" ht="25" hidden="1" customHeight="1">
      <c r="B150" s="2237" t="s">
        <v>5244</v>
      </c>
      <c r="C150" s="2237"/>
      <c r="D150" s="2237"/>
      <c r="E150" s="2237"/>
      <c r="F150" s="2237"/>
      <c r="G150" s="2237"/>
      <c r="H150" s="2237"/>
      <c r="I150" s="2237"/>
      <c r="J150" s="2237"/>
      <c r="K150" s="2237"/>
      <c r="L150" s="2237"/>
      <c r="M150" s="2237"/>
      <c r="N150" s="2237"/>
      <c r="O150" s="2237"/>
      <c r="P150" s="2237"/>
      <c r="Q150" s="2237"/>
      <c r="R150" s="2237"/>
      <c r="S150" s="2237"/>
    </row>
    <row r="151" spans="1:19" s="42" customFormat="1" ht="15" hidden="1" customHeight="1">
      <c r="B151" s="1608"/>
      <c r="C151" s="1608"/>
      <c r="D151" s="1608"/>
      <c r="E151" s="1608"/>
      <c r="F151" s="1608"/>
      <c r="G151" s="1608"/>
      <c r="H151" s="1608"/>
      <c r="I151" s="1608"/>
      <c r="J151" s="1608"/>
      <c r="K151" s="1608"/>
      <c r="L151" s="1608"/>
      <c r="M151" s="1608"/>
      <c r="N151" s="1608"/>
      <c r="O151" s="1608"/>
      <c r="P151" s="1608"/>
      <c r="Q151" s="1608"/>
      <c r="R151" s="1608"/>
      <c r="S151" s="1608"/>
    </row>
    <row r="152" spans="1:19" s="42" customFormat="1" ht="32.15" hidden="1" customHeight="1">
      <c r="B152" s="76"/>
      <c r="C152" s="76"/>
      <c r="D152" s="77"/>
      <c r="E152" s="1609" t="s">
        <v>2059</v>
      </c>
      <c r="F152" s="995"/>
      <c r="G152" s="1609" t="s">
        <v>5234</v>
      </c>
      <c r="H152" s="1609"/>
      <c r="I152" s="1609" t="s">
        <v>2061</v>
      </c>
      <c r="J152" s="1004"/>
      <c r="K152" s="1610" t="s">
        <v>2062</v>
      </c>
      <c r="L152" s="1003"/>
      <c r="M152" s="2459" t="s">
        <v>80</v>
      </c>
      <c r="N152" s="2459"/>
      <c r="O152" s="2459"/>
      <c r="P152" s="1003"/>
      <c r="Q152" s="1003" t="s">
        <v>655</v>
      </c>
      <c r="R152" s="1611"/>
      <c r="S152" s="1003" t="s">
        <v>216</v>
      </c>
    </row>
    <row r="153" spans="1:19" s="42" customFormat="1" ht="25" hidden="1" customHeight="1">
      <c r="B153" s="76"/>
      <c r="C153" s="76"/>
      <c r="D153" s="1612"/>
      <c r="E153" s="1613"/>
      <c r="F153" s="1614"/>
      <c r="G153" s="1613"/>
      <c r="H153" s="761"/>
      <c r="I153" s="1613"/>
      <c r="J153" s="761"/>
      <c r="K153" s="1613"/>
      <c r="L153" s="761"/>
      <c r="M153" s="2460"/>
      <c r="N153" s="2460"/>
      <c r="O153" s="2460"/>
      <c r="P153" s="761"/>
      <c r="Q153" s="1615"/>
      <c r="R153" s="172"/>
      <c r="S153" s="1058" t="str">
        <f>IF(OR(E153="",G153=0,I153=0,K153=""),"",G153*'Common Lighting References'!$Y$115)</f>
        <v/>
      </c>
    </row>
    <row r="154" spans="1:19" s="42" customFormat="1" ht="25" hidden="1" customHeight="1">
      <c r="B154" s="348"/>
      <c r="C154" s="348"/>
      <c r="D154" s="157"/>
      <c r="E154" s="1613"/>
      <c r="F154" s="1614"/>
      <c r="G154" s="1613"/>
      <c r="H154" s="761"/>
      <c r="I154" s="1613"/>
      <c r="J154" s="761"/>
      <c r="K154" s="1613"/>
      <c r="L154" s="761"/>
      <c r="M154" s="2461"/>
      <c r="N154" s="2461"/>
      <c r="O154" s="2461"/>
      <c r="P154" s="761"/>
      <c r="Q154" s="1615"/>
      <c r="R154" s="172"/>
      <c r="S154" s="1058" t="str">
        <f>IF(OR(E154="",G154=0,I154=0,K154=""),"",G154*'Common Lighting References'!$Y$115)</f>
        <v/>
      </c>
    </row>
    <row r="155" spans="1:19" s="42" customFormat="1" ht="25" hidden="1" customHeight="1">
      <c r="B155" s="76"/>
      <c r="C155" s="76"/>
      <c r="D155" s="157"/>
      <c r="E155" s="1613"/>
      <c r="F155" s="1614"/>
      <c r="G155" s="1613"/>
      <c r="H155" s="761"/>
      <c r="I155" s="1613"/>
      <c r="J155" s="761"/>
      <c r="K155" s="1613"/>
      <c r="L155" s="761"/>
      <c r="M155" s="2461"/>
      <c r="N155" s="2461"/>
      <c r="O155" s="2461"/>
      <c r="P155" s="761"/>
      <c r="Q155" s="1615"/>
      <c r="R155" s="172"/>
      <c r="S155" s="1058" t="str">
        <f>IF(OR(E155="",G155=0,I155=0,K155=""),"",G155*'Common Lighting References'!$Y$115)</f>
        <v/>
      </c>
    </row>
    <row r="156" spans="1:19" s="42" customFormat="1" ht="25" hidden="1" customHeight="1">
      <c r="B156" s="76"/>
      <c r="C156" s="76"/>
      <c r="D156" s="76"/>
      <c r="E156" s="1613"/>
      <c r="F156" s="1614"/>
      <c r="G156" s="1613"/>
      <c r="H156" s="761"/>
      <c r="I156" s="1613"/>
      <c r="J156" s="761"/>
      <c r="K156" s="1613"/>
      <c r="L156" s="761"/>
      <c r="M156" s="2461"/>
      <c r="N156" s="2461"/>
      <c r="O156" s="2461"/>
      <c r="P156" s="761"/>
      <c r="Q156" s="1615"/>
      <c r="R156" s="172"/>
      <c r="S156" s="1058" t="str">
        <f>IF(OR(E156="",G156=0,I156=0,K156=""),"",G156*'Common Lighting References'!$Y$115)</f>
        <v/>
      </c>
    </row>
    <row r="157" spans="1:19" s="42" customFormat="1" ht="20.149999999999999" hidden="1" customHeight="1">
      <c r="B157" s="76"/>
      <c r="C157" s="76"/>
      <c r="D157" s="76"/>
      <c r="E157" s="1614"/>
      <c r="F157" s="1614"/>
      <c r="G157" s="1594"/>
      <c r="H157" s="1594"/>
      <c r="I157" s="1594"/>
      <c r="J157" s="1594"/>
      <c r="K157" s="1594"/>
      <c r="L157" s="1594"/>
      <c r="M157" s="1594"/>
      <c r="N157" s="1594"/>
      <c r="O157" s="1594"/>
      <c r="P157" s="1594"/>
      <c r="Q157" s="1616"/>
      <c r="S157" s="1617"/>
    </row>
    <row r="158" spans="1:19" s="42" customFormat="1" ht="25" hidden="1" customHeight="1">
      <c r="B158" s="2237" t="s">
        <v>5245</v>
      </c>
      <c r="C158" s="2237"/>
      <c r="D158" s="2237"/>
      <c r="E158" s="2237"/>
      <c r="F158" s="2237"/>
      <c r="G158" s="2237"/>
      <c r="H158" s="2237"/>
      <c r="I158" s="2237"/>
      <c r="J158" s="2237"/>
      <c r="K158" s="2237"/>
      <c r="L158" s="2237"/>
      <c r="M158" s="2237"/>
      <c r="N158" s="2237"/>
      <c r="O158" s="2237"/>
      <c r="P158" s="2237"/>
      <c r="Q158" s="2237"/>
      <c r="R158" s="2237"/>
      <c r="S158" s="2237"/>
    </row>
    <row r="159" spans="1:19" s="42" customFormat="1" ht="15" hidden="1" customHeight="1">
      <c r="B159" s="1608"/>
      <c r="C159" s="1608"/>
      <c r="D159" s="1608"/>
      <c r="E159" s="1608"/>
      <c r="F159" s="1608"/>
      <c r="G159" s="1608"/>
      <c r="H159" s="1608"/>
      <c r="I159" s="1608"/>
      <c r="J159" s="1608"/>
      <c r="K159" s="1608"/>
      <c r="L159" s="1608"/>
      <c r="M159" s="1608"/>
      <c r="N159" s="1608"/>
      <c r="O159" s="1608"/>
      <c r="P159" s="1608"/>
      <c r="Q159" s="1608"/>
      <c r="R159" s="1608"/>
      <c r="S159" s="1608"/>
    </row>
    <row r="160" spans="1:19" s="42" customFormat="1" ht="32.15" hidden="1" customHeight="1">
      <c r="B160" s="76"/>
      <c r="C160" s="76"/>
      <c r="D160" s="77"/>
      <c r="E160" s="1618" t="s">
        <v>2059</v>
      </c>
      <c r="F160" s="1610"/>
      <c r="G160" s="1618" t="s">
        <v>5234</v>
      </c>
      <c r="H160" s="1618"/>
      <c r="I160" s="1618" t="s">
        <v>2061</v>
      </c>
      <c r="J160" s="1619"/>
      <c r="K160" s="1610" t="s">
        <v>2062</v>
      </c>
      <c r="L160" s="1610"/>
      <c r="M160" s="1610" t="s">
        <v>2063</v>
      </c>
      <c r="N160" s="1610"/>
      <c r="O160" s="1610" t="s">
        <v>80</v>
      </c>
      <c r="P160" s="1610"/>
      <c r="Q160" s="1610" t="s">
        <v>655</v>
      </c>
      <c r="R160" s="1620"/>
      <c r="S160" s="1610" t="s">
        <v>216</v>
      </c>
    </row>
    <row r="161" spans="1:19" s="42" customFormat="1" ht="25" hidden="1" customHeight="1">
      <c r="B161" s="76"/>
      <c r="C161" s="76"/>
      <c r="D161" s="1612"/>
      <c r="E161" s="1613"/>
      <c r="F161" s="1614"/>
      <c r="G161" s="1613"/>
      <c r="H161" s="761"/>
      <c r="I161" s="1613"/>
      <c r="J161" s="761"/>
      <c r="K161" s="1613"/>
      <c r="L161" s="761"/>
      <c r="M161" s="1613"/>
      <c r="N161" s="761"/>
      <c r="O161" s="1613"/>
      <c r="P161" s="761"/>
      <c r="Q161" s="1615"/>
      <c r="R161" s="172"/>
      <c r="S161" s="1058" t="str">
        <f>IF(OR(E161="",G161=0,I161=0,K161=""),"",G161*'Common Lighting References'!$Y$117)</f>
        <v/>
      </c>
    </row>
    <row r="162" spans="1:19" s="42" customFormat="1" ht="25" hidden="1" customHeight="1">
      <c r="B162" s="348"/>
      <c r="C162" s="348"/>
      <c r="D162" s="157"/>
      <c r="E162" s="1613"/>
      <c r="F162" s="1614"/>
      <c r="G162" s="1613"/>
      <c r="H162" s="761"/>
      <c r="I162" s="1613"/>
      <c r="J162" s="761"/>
      <c r="K162" s="1613"/>
      <c r="L162" s="761"/>
      <c r="M162" s="1613"/>
      <c r="N162" s="761"/>
      <c r="O162" s="1613"/>
      <c r="P162" s="761"/>
      <c r="Q162" s="1615"/>
      <c r="R162" s="172"/>
      <c r="S162" s="1058" t="str">
        <f>IF(OR(E162="",G162=0,I162=0,K162=""),"",G162*'Common Lighting References'!$Y$117)</f>
        <v/>
      </c>
    </row>
    <row r="163" spans="1:19" s="42" customFormat="1" ht="25" hidden="1" customHeight="1">
      <c r="B163" s="76"/>
      <c r="C163" s="76"/>
      <c r="D163" s="157"/>
      <c r="E163" s="1613"/>
      <c r="F163" s="1614"/>
      <c r="G163" s="1613"/>
      <c r="H163" s="761"/>
      <c r="I163" s="1613"/>
      <c r="J163" s="761"/>
      <c r="K163" s="1613"/>
      <c r="L163" s="761"/>
      <c r="M163" s="1613"/>
      <c r="N163" s="761"/>
      <c r="O163" s="1613"/>
      <c r="P163" s="761"/>
      <c r="Q163" s="1615"/>
      <c r="R163" s="172"/>
      <c r="S163" s="1058" t="str">
        <f>IF(OR(E163="",G163=0,I163=0,K163=""),"",G163*'Common Lighting References'!$Y$117)</f>
        <v/>
      </c>
    </row>
    <row r="164" spans="1:19" s="42" customFormat="1" ht="25" hidden="1" customHeight="1">
      <c r="B164" s="76"/>
      <c r="C164" s="76"/>
      <c r="D164" s="76"/>
      <c r="E164" s="1613"/>
      <c r="F164" s="1614"/>
      <c r="G164" s="1613"/>
      <c r="H164" s="761"/>
      <c r="I164" s="1613"/>
      <c r="J164" s="761"/>
      <c r="K164" s="1613"/>
      <c r="L164" s="761"/>
      <c r="M164" s="1613"/>
      <c r="N164" s="761"/>
      <c r="O164" s="1613"/>
      <c r="P164" s="761"/>
      <c r="Q164" s="1621"/>
      <c r="R164" s="172"/>
      <c r="S164" s="1058" t="str">
        <f>IF(OR(E164="",G164=0,I164=0,K164=""),"",G164*'Common Lighting References'!$Y$117)</f>
        <v/>
      </c>
    </row>
    <row r="165" spans="1:19" s="42" customFormat="1" ht="20.149999999999999" hidden="1" customHeight="1">
      <c r="B165" s="187"/>
      <c r="C165" s="1622"/>
      <c r="D165" s="77"/>
      <c r="E165" s="157"/>
      <c r="F165" s="157"/>
      <c r="G165" s="157"/>
      <c r="H165" s="157"/>
      <c r="I165" s="1623"/>
      <c r="J165" s="1623"/>
      <c r="K165" s="1623"/>
      <c r="L165" s="1623"/>
      <c r="M165" s="1623"/>
      <c r="N165" s="1623"/>
      <c r="O165" s="157"/>
      <c r="P165" s="157"/>
      <c r="Q165" s="157"/>
    </row>
    <row r="166" spans="1:19" ht="22" hidden="1" customHeight="1">
      <c r="A166" s="699"/>
      <c r="B166" s="2237" t="s">
        <v>2080</v>
      </c>
      <c r="C166" s="2237"/>
      <c r="D166" s="2237"/>
      <c r="E166" s="2237"/>
      <c r="F166" s="2237"/>
      <c r="G166" s="2237"/>
      <c r="H166" s="2237"/>
      <c r="I166" s="2237"/>
      <c r="J166" s="2237"/>
      <c r="K166" s="2237"/>
      <c r="L166" s="2237"/>
      <c r="M166" s="2237"/>
      <c r="N166" s="2237"/>
      <c r="O166" s="2237"/>
      <c r="P166" s="2237"/>
      <c r="Q166" s="2237"/>
      <c r="R166" s="2237"/>
      <c r="S166" s="2237"/>
    </row>
    <row r="167" spans="1:19" ht="14.5" hidden="1" customHeight="1">
      <c r="A167" s="699"/>
    </row>
    <row r="168" spans="1:19" ht="30" hidden="1" customHeight="1">
      <c r="A168" s="699"/>
      <c r="E168" s="700" t="s">
        <v>2081</v>
      </c>
      <c r="F168" s="700"/>
      <c r="G168" s="700" t="s">
        <v>2060</v>
      </c>
      <c r="H168" s="143"/>
      <c r="I168" s="2232" t="s">
        <v>80</v>
      </c>
      <c r="J168" s="2232"/>
      <c r="K168" s="2232"/>
      <c r="L168" s="700"/>
      <c r="M168" s="2232" t="s">
        <v>655</v>
      </c>
      <c r="N168" s="2232"/>
      <c r="O168" s="2232"/>
      <c r="P168" s="700"/>
      <c r="Q168" s="700" t="s">
        <v>216</v>
      </c>
      <c r="R168" s="700"/>
      <c r="S168" s="700"/>
    </row>
    <row r="169" spans="1:19" ht="23.15" hidden="1" customHeight="1">
      <c r="A169" s="699"/>
      <c r="E169" s="847" t="s">
        <v>3217</v>
      </c>
      <c r="G169" s="1050">
        <v>15</v>
      </c>
      <c r="I169" s="2230" t="s">
        <v>5499</v>
      </c>
      <c r="J169" s="2230"/>
      <c r="K169" s="2230"/>
      <c r="M169" s="2224" t="s">
        <v>5496</v>
      </c>
      <c r="N169" s="2224"/>
      <c r="O169" s="2224"/>
      <c r="Q169" s="1058">
        <f>IF(G169="","",G169*'Common Lighting References'!$Y$121)</f>
        <v>150</v>
      </c>
    </row>
    <row r="170" spans="1:19" ht="23.15" hidden="1" customHeight="1">
      <c r="A170" s="699"/>
      <c r="E170" s="847" t="s">
        <v>3218</v>
      </c>
      <c r="G170" s="1049"/>
      <c r="I170" s="2230"/>
      <c r="J170" s="2230"/>
      <c r="K170" s="2230"/>
      <c r="M170" s="2224"/>
      <c r="N170" s="2224"/>
      <c r="O170" s="2224"/>
      <c r="Q170" s="1058" t="str">
        <f>IF(G170="","",G170*'Common Lighting References'!$Y$122)</f>
        <v/>
      </c>
    </row>
    <row r="171" spans="1:19" ht="23.15" hidden="1" customHeight="1">
      <c r="A171" s="699"/>
      <c r="E171" s="847" t="s">
        <v>3219</v>
      </c>
      <c r="G171" s="1049"/>
      <c r="I171" s="2230"/>
      <c r="J171" s="2230"/>
      <c r="K171" s="2230"/>
      <c r="M171" s="2224"/>
      <c r="N171" s="2224"/>
      <c r="O171" s="2224"/>
      <c r="Q171" s="1058" t="str">
        <f>IF(G171="","",G171*'Common Lighting References'!$Y$123)</f>
        <v/>
      </c>
    </row>
    <row r="172" spans="1:19" ht="23.15" hidden="1" customHeight="1">
      <c r="A172" s="699"/>
      <c r="E172" s="847" t="s">
        <v>3220</v>
      </c>
      <c r="G172" s="1049"/>
      <c r="I172" s="2229"/>
      <c r="J172" s="2229"/>
      <c r="K172" s="2229"/>
      <c r="M172" s="2224"/>
      <c r="N172" s="2224"/>
      <c r="O172" s="2224"/>
      <c r="Q172" s="1058" t="str">
        <f>IF(G172="","",G172*'Common Lighting References'!$Y$124)</f>
        <v/>
      </c>
    </row>
    <row r="173" spans="1:19" ht="23.5" hidden="1" customHeight="1">
      <c r="E173" s="847" t="s">
        <v>3221</v>
      </c>
      <c r="G173" s="1049"/>
      <c r="I173" s="2229"/>
      <c r="J173" s="2229"/>
      <c r="K173" s="2229"/>
      <c r="M173" s="2224"/>
      <c r="N173" s="2224"/>
      <c r="O173" s="2224"/>
      <c r="Q173" s="1058" t="str">
        <f>IF(G173="","",G173*'Common Lighting References'!$Y$126)</f>
        <v/>
      </c>
    </row>
    <row r="174" spans="1:19" hidden="1"/>
    <row r="175" spans="1:19" hidden="1"/>
    <row r="177" spans="1:19" ht="23">
      <c r="B177" s="698" t="s">
        <v>2086</v>
      </c>
    </row>
    <row r="179" spans="1:19" ht="22" customHeight="1">
      <c r="A179" s="884"/>
      <c r="B179" s="2237" t="s">
        <v>2087</v>
      </c>
      <c r="C179" s="2237"/>
      <c r="D179" s="2237"/>
      <c r="E179" s="2237"/>
      <c r="F179" s="2237"/>
      <c r="G179" s="2237"/>
      <c r="H179" s="2237"/>
      <c r="I179" s="2237"/>
      <c r="J179" s="2237"/>
      <c r="K179" s="2237"/>
      <c r="L179" s="2237"/>
      <c r="M179" s="2237"/>
      <c r="N179" s="2237"/>
      <c r="O179" s="2237"/>
      <c r="P179" s="2237"/>
      <c r="Q179" s="2237"/>
      <c r="R179" s="2237"/>
      <c r="S179" s="2237"/>
    </row>
    <row r="180" spans="1:19" ht="14.5" customHeight="1">
      <c r="A180" s="699"/>
    </row>
    <row r="181" spans="1:19" ht="30" customHeight="1">
      <c r="A181" s="699"/>
      <c r="E181" s="700" t="s">
        <v>2059</v>
      </c>
      <c r="F181" s="700"/>
      <c r="G181" s="700" t="s">
        <v>2060</v>
      </c>
      <c r="H181" s="143"/>
      <c r="I181" s="700" t="s">
        <v>2061</v>
      </c>
      <c r="K181" s="700" t="s">
        <v>2062</v>
      </c>
      <c r="L181" s="700"/>
      <c r="M181" s="700" t="s">
        <v>2063</v>
      </c>
      <c r="N181" s="700"/>
      <c r="O181" s="700" t="s">
        <v>80</v>
      </c>
      <c r="P181" s="700"/>
      <c r="Q181" s="700" t="s">
        <v>655</v>
      </c>
      <c r="R181" s="700"/>
      <c r="S181" s="700" t="s">
        <v>216</v>
      </c>
    </row>
    <row r="182" spans="1:19" ht="23.15" customHeight="1">
      <c r="A182" s="699"/>
      <c r="E182" s="1050"/>
      <c r="G182" s="1050"/>
      <c r="I182" s="1050"/>
      <c r="K182" s="1050"/>
      <c r="M182" s="1050"/>
      <c r="O182" s="1050"/>
      <c r="Q182" s="1050"/>
      <c r="S182" s="1058" t="str">
        <f>IF(OR(E182="",G182=0,I182=0,K182=""),"",G182*'Common Lighting References'!$Y$51)</f>
        <v/>
      </c>
    </row>
    <row r="183" spans="1:19" ht="23.15" customHeight="1">
      <c r="A183" s="699"/>
      <c r="E183" s="1049"/>
      <c r="G183" s="1049"/>
      <c r="I183" s="1050"/>
      <c r="K183" s="1050"/>
      <c r="M183" s="1050"/>
      <c r="O183" s="1050"/>
      <c r="Q183" s="1050"/>
      <c r="S183" s="1058" t="str">
        <f>IF(OR(E183="",G183=0,I183=0,K183=""),"",G183*'Common Lighting References'!$Y$51)</f>
        <v/>
      </c>
    </row>
    <row r="184" spans="1:19" ht="23.15" customHeight="1">
      <c r="A184" s="699"/>
      <c r="E184" s="1049"/>
      <c r="G184" s="1049"/>
      <c r="I184" s="1050"/>
      <c r="K184" s="1050"/>
      <c r="M184" s="1050"/>
      <c r="O184" s="1050"/>
      <c r="Q184" s="1050"/>
      <c r="S184" s="1058" t="str">
        <f>IF(OR(E184="",G184=0,I184=0,K184=""),"",G184*'Common Lighting References'!$Y$51)</f>
        <v/>
      </c>
    </row>
    <row r="185" spans="1:19" ht="23.15" customHeight="1">
      <c r="A185" s="699"/>
      <c r="E185" s="1049"/>
      <c r="G185" s="1049"/>
      <c r="I185" s="1050"/>
      <c r="K185" s="1050"/>
      <c r="M185" s="1050"/>
      <c r="O185" s="1050"/>
      <c r="Q185" s="1050"/>
      <c r="S185" s="1058" t="str">
        <f>IF(OR(E185="",G185=0,I185=0,K185=""),"",G185*'Common Lighting References'!$Y$51)</f>
        <v/>
      </c>
    </row>
    <row r="187" spans="1:19" ht="22" customHeight="1">
      <c r="A187" s="884"/>
      <c r="B187" s="2237" t="s">
        <v>2088</v>
      </c>
      <c r="C187" s="2237"/>
      <c r="D187" s="2237"/>
      <c r="E187" s="2237"/>
      <c r="F187" s="2237"/>
      <c r="G187" s="2237"/>
      <c r="H187" s="2237"/>
      <c r="I187" s="2237"/>
      <c r="J187" s="2237"/>
      <c r="K187" s="2237"/>
      <c r="L187" s="2237"/>
      <c r="M187" s="2237"/>
      <c r="N187" s="2237"/>
      <c r="O187" s="2237"/>
      <c r="P187" s="2237"/>
      <c r="Q187" s="2237"/>
      <c r="R187" s="2237"/>
      <c r="S187" s="2237"/>
    </row>
    <row r="188" spans="1:19" ht="14.5" customHeight="1">
      <c r="A188" s="699"/>
    </row>
    <row r="189" spans="1:19" ht="30" customHeight="1">
      <c r="A189" s="699"/>
      <c r="E189" s="700" t="s">
        <v>2059</v>
      </c>
      <c r="F189" s="700"/>
      <c r="G189" s="700" t="s">
        <v>2060</v>
      </c>
      <c r="H189" s="143"/>
      <c r="I189" s="700" t="s">
        <v>2061</v>
      </c>
      <c r="K189" s="700" t="s">
        <v>2062</v>
      </c>
      <c r="L189" s="700"/>
      <c r="M189" s="700" t="s">
        <v>2063</v>
      </c>
      <c r="N189" s="700"/>
      <c r="O189" s="700" t="s">
        <v>80</v>
      </c>
      <c r="P189" s="700"/>
      <c r="Q189" s="700" t="s">
        <v>655</v>
      </c>
      <c r="R189" s="700"/>
      <c r="S189" s="700" t="s">
        <v>216</v>
      </c>
    </row>
    <row r="190" spans="1:19" ht="23.15" customHeight="1">
      <c r="A190" s="699"/>
      <c r="E190" s="1050"/>
      <c r="G190" s="1050"/>
      <c r="I190" s="1050"/>
      <c r="K190" s="1050"/>
      <c r="M190" s="1050"/>
      <c r="O190" s="1050"/>
      <c r="Q190" s="1050"/>
      <c r="S190" s="1058" t="str">
        <f>IF(OR(E190="",G190=0,I190=0,K190=""),"",G190*'Common Lighting References'!$Y$53)</f>
        <v/>
      </c>
    </row>
    <row r="191" spans="1:19" ht="23.15" customHeight="1">
      <c r="A191" s="699"/>
      <c r="E191" s="1049"/>
      <c r="G191" s="1049"/>
      <c r="I191" s="1050"/>
      <c r="K191" s="1050"/>
      <c r="M191" s="1050"/>
      <c r="O191" s="1050"/>
      <c r="Q191" s="1050"/>
      <c r="S191" s="1058" t="str">
        <f>IF(OR(E191="",G191=0,I191=0,K191=""),"",G191*'Common Lighting References'!$Y$53)</f>
        <v/>
      </c>
    </row>
    <row r="192" spans="1:19" ht="23.15" customHeight="1">
      <c r="A192" s="699"/>
      <c r="E192" s="1049"/>
      <c r="G192" s="1049"/>
      <c r="I192" s="1050"/>
      <c r="K192" s="1050"/>
      <c r="M192" s="1050"/>
      <c r="O192" s="1050"/>
      <c r="Q192" s="1050"/>
      <c r="S192" s="1058" t="str">
        <f>IF(OR(E192="",G192=0,I192=0,K192=""),"",G192*'Common Lighting References'!$Y$53)</f>
        <v/>
      </c>
    </row>
    <row r="193" spans="1:19" ht="23.15" customHeight="1">
      <c r="A193" s="699"/>
      <c r="E193" s="1049"/>
      <c r="G193" s="1049"/>
      <c r="I193" s="1050"/>
      <c r="K193" s="1050"/>
      <c r="M193" s="1050"/>
      <c r="O193" s="1050"/>
      <c r="Q193" s="1050"/>
      <c r="S193" s="1058" t="str">
        <f>IF(OR(E193="",G193=0,I193=0,K193=""),"",G193*'Common Lighting References'!$Y$53)</f>
        <v/>
      </c>
    </row>
    <row r="195" spans="1:19" ht="22" customHeight="1">
      <c r="A195" s="699"/>
      <c r="B195" s="2237" t="s">
        <v>2089</v>
      </c>
      <c r="C195" s="2237"/>
      <c r="D195" s="2237"/>
      <c r="E195" s="2237"/>
      <c r="F195" s="2237"/>
      <c r="G195" s="2237"/>
      <c r="H195" s="2237"/>
      <c r="I195" s="2237"/>
      <c r="J195" s="2237"/>
      <c r="K195" s="2237"/>
      <c r="L195" s="2237"/>
      <c r="M195" s="2237"/>
      <c r="N195" s="2237"/>
      <c r="O195" s="2237"/>
      <c r="P195" s="2237"/>
      <c r="Q195" s="2237"/>
      <c r="R195" s="2237"/>
      <c r="S195" s="2237"/>
    </row>
    <row r="196" spans="1:19" ht="14.5" customHeight="1">
      <c r="A196" s="699"/>
    </row>
    <row r="197" spans="1:19" ht="30" customHeight="1">
      <c r="A197" s="699"/>
      <c r="E197" s="700" t="s">
        <v>2059</v>
      </c>
      <c r="F197" s="700"/>
      <c r="G197" s="700" t="s">
        <v>2060</v>
      </c>
      <c r="H197" s="143"/>
      <c r="I197" s="700" t="s">
        <v>2061</v>
      </c>
      <c r="K197" s="700" t="s">
        <v>2062</v>
      </c>
      <c r="L197" s="700"/>
      <c r="M197" s="700" t="s">
        <v>2063</v>
      </c>
      <c r="N197" s="700"/>
      <c r="O197" s="700" t="s">
        <v>80</v>
      </c>
      <c r="P197" s="700"/>
      <c r="Q197" s="700" t="s">
        <v>655</v>
      </c>
      <c r="R197" s="700"/>
      <c r="S197" s="700" t="s">
        <v>216</v>
      </c>
    </row>
    <row r="198" spans="1:19" ht="23.15" customHeight="1">
      <c r="A198" s="699"/>
      <c r="E198" s="1050" t="s">
        <v>2871</v>
      </c>
      <c r="G198" s="1050">
        <v>10</v>
      </c>
      <c r="I198" s="1050">
        <v>35</v>
      </c>
      <c r="K198" s="1050">
        <v>76543</v>
      </c>
      <c r="M198" s="1050" t="s">
        <v>2876</v>
      </c>
      <c r="O198" s="1050" t="s">
        <v>88</v>
      </c>
      <c r="Q198" s="1050" t="s">
        <v>5496</v>
      </c>
      <c r="S198" s="1058">
        <f>IF(OR(E198="",G198=0,I198=0,K198=""),"",G198*'Common Lighting References'!$Y$55)</f>
        <v>1000</v>
      </c>
    </row>
    <row r="199" spans="1:19" ht="23.15" customHeight="1">
      <c r="A199" s="699"/>
      <c r="E199" s="1049"/>
      <c r="G199" s="1049"/>
      <c r="I199" s="1050"/>
      <c r="K199" s="1050"/>
      <c r="M199" s="1050"/>
      <c r="O199" s="1050"/>
      <c r="Q199" s="1050"/>
      <c r="S199" s="1058" t="str">
        <f>IF(OR(E199="",G199=0,I199=0,K199=""),"",G199*'Common Lighting References'!$Y$55)</f>
        <v/>
      </c>
    </row>
    <row r="200" spans="1:19" ht="23.15" customHeight="1">
      <c r="A200" s="699"/>
      <c r="E200" s="1049"/>
      <c r="G200" s="1049"/>
      <c r="I200" s="1050"/>
      <c r="K200" s="1050"/>
      <c r="M200" s="1050"/>
      <c r="O200" s="1050"/>
      <c r="Q200" s="1050"/>
      <c r="S200" s="1058" t="str">
        <f>IF(OR(E200="",G200=0,I200=0,K200=""),"",G200*'Common Lighting References'!$Y$55)</f>
        <v/>
      </c>
    </row>
    <row r="201" spans="1:19" ht="23.15" customHeight="1">
      <c r="A201" s="699"/>
      <c r="E201" s="1049"/>
      <c r="G201" s="1049"/>
      <c r="I201" s="1050"/>
      <c r="K201" s="1050"/>
      <c r="M201" s="1050"/>
      <c r="O201" s="1050"/>
      <c r="Q201" s="1050"/>
      <c r="S201" s="1058" t="str">
        <f>IF(OR(E201="",G201=0,I201=0,K201=""),"",G201*'Common Lighting References'!$Y$55)</f>
        <v/>
      </c>
    </row>
    <row r="203" spans="1:19" ht="22" customHeight="1">
      <c r="A203" s="699"/>
      <c r="B203" s="2237" t="s">
        <v>2090</v>
      </c>
      <c r="C203" s="2237"/>
      <c r="D203" s="2237"/>
      <c r="E203" s="2237"/>
      <c r="F203" s="2237"/>
      <c r="G203" s="2237"/>
      <c r="H203" s="2237"/>
      <c r="I203" s="2237"/>
      <c r="J203" s="2237"/>
      <c r="K203" s="2237"/>
      <c r="L203" s="2237"/>
      <c r="M203" s="2237"/>
      <c r="N203" s="2237"/>
      <c r="O203" s="2237"/>
      <c r="P203" s="2237"/>
      <c r="Q203" s="2237"/>
      <c r="R203" s="2237"/>
      <c r="S203" s="2237"/>
    </row>
    <row r="204" spans="1:19" ht="14.5" customHeight="1">
      <c r="A204" s="699"/>
    </row>
    <row r="205" spans="1:19" ht="30" customHeight="1">
      <c r="A205" s="699"/>
      <c r="E205" s="700" t="s">
        <v>2059</v>
      </c>
      <c r="F205" s="700"/>
      <c r="G205" s="700" t="s">
        <v>2060</v>
      </c>
      <c r="H205" s="143"/>
      <c r="I205" s="700" t="s">
        <v>2061</v>
      </c>
      <c r="K205" s="700" t="s">
        <v>2062</v>
      </c>
      <c r="L205" s="700"/>
      <c r="M205" s="700" t="s">
        <v>2063</v>
      </c>
      <c r="N205" s="700"/>
      <c r="O205" s="700" t="s">
        <v>80</v>
      </c>
      <c r="P205" s="700"/>
      <c r="Q205" s="700" t="s">
        <v>655</v>
      </c>
      <c r="R205" s="700"/>
      <c r="S205" s="700" t="s">
        <v>216</v>
      </c>
    </row>
    <row r="206" spans="1:19" ht="23.15" customHeight="1">
      <c r="A206" s="699"/>
      <c r="E206" s="1050"/>
      <c r="G206" s="1050"/>
      <c r="I206" s="1050"/>
      <c r="K206" s="1050"/>
      <c r="M206" s="1050"/>
      <c r="O206" s="1050"/>
      <c r="Q206" s="1050"/>
      <c r="S206" s="1058" t="str">
        <f>IF(OR(E206="",G206=0,I206=0,K206=""),"",G206*'Common Lighting References'!$Y$57)</f>
        <v/>
      </c>
    </row>
    <row r="207" spans="1:19" ht="23.15" customHeight="1">
      <c r="A207" s="699"/>
      <c r="E207" s="1049"/>
      <c r="G207" s="1049"/>
      <c r="I207" s="1050"/>
      <c r="K207" s="1050"/>
      <c r="M207" s="1050"/>
      <c r="O207" s="1050"/>
      <c r="Q207" s="1050"/>
      <c r="S207" s="1058" t="str">
        <f>IF(OR(E207="",G207=0,I207=0,K207=""),"",G207*'Common Lighting References'!$Y$57)</f>
        <v/>
      </c>
    </row>
    <row r="208" spans="1:19" ht="23.15" customHeight="1">
      <c r="A208" s="699"/>
      <c r="E208" s="1049"/>
      <c r="G208" s="1049"/>
      <c r="I208" s="1050"/>
      <c r="K208" s="1050"/>
      <c r="M208" s="1050"/>
      <c r="O208" s="1050"/>
      <c r="Q208" s="1050"/>
      <c r="S208" s="1058" t="str">
        <f>IF(OR(E208="",G208=0,I208=0,K208=""),"",G208*'Common Lighting References'!$Y$57)</f>
        <v/>
      </c>
    </row>
    <row r="209" spans="1:19" ht="23.15" customHeight="1">
      <c r="A209" s="699"/>
      <c r="E209" s="1049"/>
      <c r="G209" s="1049"/>
      <c r="I209" s="1050"/>
      <c r="K209" s="1050"/>
      <c r="M209" s="1050"/>
      <c r="O209" s="1050"/>
      <c r="Q209" s="1050"/>
      <c r="S209" s="1058" t="str">
        <f>IF(OR(E209="",G209=0,I209=0,K209=""),"",G209*'Common Lighting References'!$Y$57)</f>
        <v/>
      </c>
    </row>
    <row r="210" spans="1:19" ht="13.5" customHeight="1"/>
    <row r="211" spans="1:19" ht="22" customHeight="1">
      <c r="A211" s="699"/>
      <c r="B211" s="2237" t="s">
        <v>2091</v>
      </c>
      <c r="C211" s="2237"/>
      <c r="D211" s="2237"/>
      <c r="E211" s="2237"/>
      <c r="F211" s="2237"/>
      <c r="G211" s="2237"/>
      <c r="H211" s="2237"/>
      <c r="I211" s="2237"/>
      <c r="J211" s="2237"/>
      <c r="K211" s="2237"/>
      <c r="L211" s="2237"/>
      <c r="M211" s="2237"/>
      <c r="N211" s="2237"/>
      <c r="O211" s="2237"/>
      <c r="P211" s="2237"/>
      <c r="Q211" s="2237"/>
      <c r="R211" s="2237"/>
      <c r="S211" s="2237"/>
    </row>
    <row r="212" spans="1:19" ht="14.5" customHeight="1">
      <c r="A212" s="699"/>
    </row>
    <row r="213" spans="1:19" ht="30" customHeight="1">
      <c r="A213" s="699"/>
      <c r="E213" s="700" t="s">
        <v>2059</v>
      </c>
      <c r="F213" s="700"/>
      <c r="G213" s="700" t="s">
        <v>2060</v>
      </c>
      <c r="H213" s="143"/>
      <c r="I213" s="700" t="s">
        <v>2061</v>
      </c>
      <c r="K213" s="700" t="s">
        <v>2062</v>
      </c>
      <c r="L213" s="700"/>
      <c r="M213" s="2232" t="s">
        <v>80</v>
      </c>
      <c r="N213" s="2232"/>
      <c r="O213" s="2232"/>
      <c r="P213" s="700"/>
      <c r="Q213" s="700" t="s">
        <v>655</v>
      </c>
      <c r="R213" s="700"/>
      <c r="S213" s="700" t="s">
        <v>216</v>
      </c>
    </row>
    <row r="214" spans="1:19" ht="23.15" customHeight="1">
      <c r="A214" s="699"/>
      <c r="E214" s="1050"/>
      <c r="G214" s="1050"/>
      <c r="I214" s="1050"/>
      <c r="K214" s="1050"/>
      <c r="M214" s="2230"/>
      <c r="N214" s="2230"/>
      <c r="O214" s="2230"/>
      <c r="Q214" s="1050"/>
      <c r="S214" s="1058" t="str">
        <f>IF(OR(E214="",G214=0,I214=0,K214=""),"",G214*'Common Lighting References'!$Y$59)</f>
        <v/>
      </c>
    </row>
    <row r="215" spans="1:19" ht="23.15" customHeight="1">
      <c r="A215" s="699"/>
      <c r="E215" s="1049"/>
      <c r="G215" s="1049"/>
      <c r="I215" s="1050"/>
      <c r="K215" s="1050"/>
      <c r="M215" s="2230"/>
      <c r="N215" s="2230"/>
      <c r="O215" s="2230"/>
      <c r="Q215" s="1050"/>
      <c r="S215" s="1058" t="str">
        <f>IF(OR(E215="",G215=0,I215=0,K215=""),"",G215*'Common Lighting References'!$Y$59)</f>
        <v/>
      </c>
    </row>
    <row r="216" spans="1:19" ht="23.15" customHeight="1">
      <c r="A216" s="699"/>
      <c r="E216" s="1049"/>
      <c r="G216" s="1049"/>
      <c r="I216" s="1050"/>
      <c r="K216" s="1050"/>
      <c r="M216" s="2230"/>
      <c r="N216" s="2230"/>
      <c r="O216" s="2230"/>
      <c r="Q216" s="1050"/>
      <c r="S216" s="1058" t="str">
        <f>IF(OR(E216="",G216=0,I216=0,K216=""),"",G216*'Common Lighting References'!$Y$59)</f>
        <v/>
      </c>
    </row>
    <row r="217" spans="1:19" ht="23.15" customHeight="1">
      <c r="A217" s="699"/>
      <c r="E217" s="1049"/>
      <c r="G217" s="1049"/>
      <c r="I217" s="1050"/>
      <c r="K217" s="1050"/>
      <c r="M217" s="2230"/>
      <c r="N217" s="2230"/>
      <c r="O217" s="2230"/>
      <c r="Q217" s="1050"/>
      <c r="S217" s="1058" t="str">
        <f>IF(OR(E217="",G217=0,I217=0,K217=""),"",G217*'Common Lighting References'!$Y$59)</f>
        <v/>
      </c>
    </row>
    <row r="219" spans="1:19" ht="22" customHeight="1">
      <c r="A219" s="699"/>
      <c r="B219" s="2237" t="s">
        <v>2092</v>
      </c>
      <c r="C219" s="2237"/>
      <c r="D219" s="2237"/>
      <c r="E219" s="2237"/>
      <c r="F219" s="2237"/>
      <c r="G219" s="2237"/>
      <c r="H219" s="2237"/>
      <c r="I219" s="2237"/>
      <c r="J219" s="2237"/>
      <c r="K219" s="2237"/>
      <c r="L219" s="2237"/>
      <c r="M219" s="2237"/>
      <c r="N219" s="2237"/>
      <c r="O219" s="2237"/>
      <c r="P219" s="2237"/>
      <c r="Q219" s="2237"/>
      <c r="R219" s="2237"/>
      <c r="S219" s="2237"/>
    </row>
    <row r="220" spans="1:19" ht="14.5" customHeight="1">
      <c r="A220" s="699"/>
    </row>
    <row r="221" spans="1:19" ht="30" customHeight="1">
      <c r="A221" s="699"/>
      <c r="E221" s="700" t="s">
        <v>2059</v>
      </c>
      <c r="F221" s="700"/>
      <c r="G221" s="700" t="s">
        <v>2060</v>
      </c>
      <c r="H221" s="143"/>
      <c r="I221" s="700" t="s">
        <v>2061</v>
      </c>
      <c r="K221" s="700" t="s">
        <v>2062</v>
      </c>
      <c r="L221" s="700"/>
      <c r="M221" s="2232" t="s">
        <v>80</v>
      </c>
      <c r="N221" s="2232"/>
      <c r="O221" s="2232"/>
      <c r="P221" s="700"/>
      <c r="Q221" s="700" t="s">
        <v>655</v>
      </c>
      <c r="R221" s="700"/>
      <c r="S221" s="700" t="s">
        <v>216</v>
      </c>
    </row>
    <row r="222" spans="1:19" ht="23.15" customHeight="1">
      <c r="A222" s="699"/>
      <c r="E222" s="1050"/>
      <c r="G222" s="1050"/>
      <c r="I222" s="1050"/>
      <c r="K222" s="1050"/>
      <c r="M222" s="2230"/>
      <c r="N222" s="2230"/>
      <c r="O222" s="2230"/>
      <c r="Q222" s="1050"/>
      <c r="S222" s="1058" t="str">
        <f>IF(OR(E222="",G222=0,I222=0,K222=""),"",G222*'Common Lighting References'!$Y$60)</f>
        <v/>
      </c>
    </row>
    <row r="223" spans="1:19" ht="23.15" customHeight="1">
      <c r="A223" s="699"/>
      <c r="E223" s="1050"/>
      <c r="G223" s="1050"/>
      <c r="I223" s="1050"/>
      <c r="K223" s="1050"/>
      <c r="M223" s="2230"/>
      <c r="N223" s="2230"/>
      <c r="O223" s="2230"/>
      <c r="Q223" s="1050"/>
      <c r="S223" s="1058" t="str">
        <f>IF(OR(E223="",G223=0,I223=0,K223=""),"",G223*'Common Lighting References'!$Y$60)</f>
        <v/>
      </c>
    </row>
    <row r="224" spans="1:19" ht="23.15" customHeight="1">
      <c r="A224" s="699"/>
      <c r="E224" s="1050"/>
      <c r="G224" s="1050"/>
      <c r="I224" s="1050"/>
      <c r="K224" s="1050"/>
      <c r="M224" s="2230"/>
      <c r="N224" s="2230"/>
      <c r="O224" s="2230"/>
      <c r="Q224" s="1050"/>
      <c r="S224" s="1058" t="str">
        <f>IF(OR(E224="",G224=0,I224=0,K224=""),"",G224*'Common Lighting References'!$Y$60)</f>
        <v/>
      </c>
    </row>
    <row r="225" spans="1:19" ht="23.15" customHeight="1">
      <c r="A225" s="699"/>
      <c r="E225" s="1050"/>
      <c r="G225" s="1050"/>
      <c r="I225" s="1050"/>
      <c r="K225" s="1050"/>
      <c r="M225" s="2230"/>
      <c r="N225" s="2230"/>
      <c r="O225" s="2230"/>
      <c r="Q225" s="1050"/>
      <c r="S225" s="1058" t="str">
        <f>IF(OR(E225="",G225=0,I225=0,K225=""),"",G225*'Common Lighting References'!$Y$60)</f>
        <v/>
      </c>
    </row>
    <row r="228" spans="1:19" ht="22" customHeight="1">
      <c r="A228" s="699"/>
      <c r="B228" s="2237" t="s">
        <v>2093</v>
      </c>
      <c r="C228" s="2237"/>
      <c r="D228" s="2237"/>
      <c r="E228" s="2237"/>
      <c r="F228" s="2237"/>
      <c r="G228" s="2237"/>
      <c r="H228" s="2237"/>
      <c r="I228" s="2237"/>
      <c r="J228" s="2237"/>
      <c r="K228" s="2237"/>
      <c r="L228" s="2237"/>
      <c r="M228" s="2237"/>
      <c r="N228" s="2237"/>
      <c r="O228" s="2237"/>
      <c r="P228" s="2237"/>
      <c r="Q228" s="2237"/>
      <c r="R228" s="2237"/>
      <c r="S228" s="2237"/>
    </row>
    <row r="229" spans="1:19" ht="14.5" customHeight="1">
      <c r="A229" s="699"/>
    </row>
    <row r="230" spans="1:19" ht="30" customHeight="1">
      <c r="A230" s="699"/>
      <c r="E230" s="700" t="s">
        <v>2059</v>
      </c>
      <c r="F230" s="700"/>
      <c r="G230" s="700" t="s">
        <v>2060</v>
      </c>
      <c r="H230" s="143"/>
      <c r="I230" s="700" t="s">
        <v>2061</v>
      </c>
      <c r="K230" s="700" t="s">
        <v>2062</v>
      </c>
      <c r="L230" s="700"/>
      <c r="M230" s="700" t="s">
        <v>2063</v>
      </c>
      <c r="N230" s="700"/>
      <c r="O230" s="700" t="s">
        <v>80</v>
      </c>
      <c r="P230" s="700"/>
      <c r="Q230" s="700" t="s">
        <v>655</v>
      </c>
      <c r="R230" s="700"/>
      <c r="S230" s="700" t="s">
        <v>216</v>
      </c>
    </row>
    <row r="231" spans="1:19" ht="23.15" customHeight="1">
      <c r="A231" s="699"/>
      <c r="E231" s="1050"/>
      <c r="G231" s="1050"/>
      <c r="I231" s="1050"/>
      <c r="K231" s="1050"/>
      <c r="M231" s="1050"/>
      <c r="O231" s="1050"/>
      <c r="Q231" s="1050"/>
      <c r="S231" s="1058" t="str">
        <f>IF(OR(E231="",G231=0,I231=0,K231=""),"",G231*'Common Lighting References'!$Y$61)</f>
        <v/>
      </c>
    </row>
    <row r="232" spans="1:19" ht="23.15" customHeight="1">
      <c r="A232" s="699"/>
      <c r="E232" s="1049"/>
      <c r="G232" s="1049"/>
      <c r="I232" s="1050"/>
      <c r="K232" s="1050"/>
      <c r="M232" s="1050"/>
      <c r="O232" s="1050"/>
      <c r="Q232" s="1050"/>
      <c r="S232" s="1058" t="str">
        <f>IF(OR(E232="",G232=0,I232=0,K232=""),"",G232*'Common Lighting References'!$Y$61)</f>
        <v/>
      </c>
    </row>
    <row r="233" spans="1:19" ht="23.15" customHeight="1">
      <c r="A233" s="699"/>
      <c r="E233" s="1049"/>
      <c r="G233" s="1049"/>
      <c r="I233" s="1050"/>
      <c r="K233" s="1050"/>
      <c r="M233" s="1050"/>
      <c r="O233" s="1050"/>
      <c r="Q233" s="1050"/>
      <c r="S233" s="1058" t="str">
        <f>IF(OR(E233="",G233=0,I233=0,K233=""),"",G233*'Common Lighting References'!$Y$61)</f>
        <v/>
      </c>
    </row>
    <row r="234" spans="1:19" ht="23.15" customHeight="1">
      <c r="A234" s="699"/>
      <c r="E234" s="1049"/>
      <c r="G234" s="1049"/>
      <c r="I234" s="1050"/>
      <c r="K234" s="1050"/>
      <c r="M234" s="1050"/>
      <c r="O234" s="1050"/>
      <c r="Q234" s="1050"/>
      <c r="S234" s="1058" t="str">
        <f>IF(OR(E234="",G234=0,I234=0,K234=""),"",G234*'Common Lighting References'!$Y$61)</f>
        <v/>
      </c>
    </row>
    <row r="236" spans="1:19" ht="22" customHeight="1">
      <c r="A236" s="699"/>
      <c r="B236" s="2237" t="s">
        <v>2094</v>
      </c>
      <c r="C236" s="2237"/>
      <c r="D236" s="2237"/>
      <c r="E236" s="2237"/>
      <c r="F236" s="2237"/>
      <c r="G236" s="2237"/>
      <c r="H236" s="2237"/>
      <c r="I236" s="2237"/>
      <c r="J236" s="2237"/>
      <c r="K236" s="2237"/>
      <c r="L236" s="2237"/>
      <c r="M236" s="2237"/>
      <c r="N236" s="2237"/>
      <c r="O236" s="2237"/>
      <c r="P236" s="2237"/>
      <c r="Q236" s="2237"/>
      <c r="R236" s="2237"/>
      <c r="S236" s="2237"/>
    </row>
    <row r="237" spans="1:19" ht="14.5" customHeight="1">
      <c r="A237" s="699"/>
    </row>
    <row r="238" spans="1:19" ht="30" customHeight="1">
      <c r="A238" s="699"/>
      <c r="E238" s="700" t="s">
        <v>2059</v>
      </c>
      <c r="F238" s="700"/>
      <c r="G238" s="700" t="s">
        <v>2060</v>
      </c>
      <c r="H238" s="143"/>
      <c r="I238" s="700" t="s">
        <v>2061</v>
      </c>
      <c r="K238" s="700" t="s">
        <v>2062</v>
      </c>
      <c r="L238" s="700"/>
      <c r="M238" s="700" t="s">
        <v>2063</v>
      </c>
      <c r="N238" s="700"/>
      <c r="O238" s="700" t="s">
        <v>80</v>
      </c>
      <c r="P238" s="700"/>
      <c r="Q238" s="700" t="s">
        <v>655</v>
      </c>
      <c r="R238" s="700"/>
      <c r="S238" s="700" t="s">
        <v>216</v>
      </c>
    </row>
    <row r="239" spans="1:19" ht="23.15" customHeight="1">
      <c r="A239" s="699"/>
      <c r="E239" s="1050"/>
      <c r="G239" s="1050"/>
      <c r="I239" s="1050"/>
      <c r="K239" s="1050"/>
      <c r="M239" s="1050"/>
      <c r="O239" s="1050"/>
      <c r="Q239" s="1050"/>
      <c r="S239" s="1058" t="str">
        <f>IF(OR(E239="",G239=0,I239=0,K239=""),"",G239*'Common Lighting References'!$Y$63)</f>
        <v/>
      </c>
    </row>
    <row r="240" spans="1:19" ht="23.15" customHeight="1">
      <c r="A240" s="699"/>
      <c r="E240" s="1049"/>
      <c r="G240" s="1049"/>
      <c r="I240" s="1050"/>
      <c r="K240" s="1050"/>
      <c r="M240" s="1050"/>
      <c r="O240" s="1050"/>
      <c r="Q240" s="1050"/>
      <c r="S240" s="1058" t="str">
        <f>IF(OR(E240="",G240=0,I240=0,K240=""),"",G240*'Common Lighting References'!$Y$63)</f>
        <v/>
      </c>
    </row>
    <row r="241" spans="1:19" ht="23.15" customHeight="1">
      <c r="A241" s="699"/>
      <c r="E241" s="1049"/>
      <c r="G241" s="1049"/>
      <c r="I241" s="1050"/>
      <c r="K241" s="1050"/>
      <c r="M241" s="1050"/>
      <c r="O241" s="1050"/>
      <c r="Q241" s="1050"/>
      <c r="S241" s="1058" t="str">
        <f>IF(OR(E241="",G241=0,I241=0,K241=""),"",G241*'Common Lighting References'!$Y$63)</f>
        <v/>
      </c>
    </row>
    <row r="242" spans="1:19" ht="23.15" customHeight="1">
      <c r="A242" s="699"/>
      <c r="E242" s="1049"/>
      <c r="G242" s="1049"/>
      <c r="I242" s="1050"/>
      <c r="K242" s="1050"/>
      <c r="M242" s="1050"/>
      <c r="O242" s="1050"/>
      <c r="Q242" s="1050"/>
      <c r="S242" s="1058" t="str">
        <f>IF(OR(E242="",G242=0,I242=0,K242=""),"",G242*'Common Lighting References'!$Y$63)</f>
        <v/>
      </c>
    </row>
    <row r="243" spans="1:19" ht="23.15" customHeight="1">
      <c r="A243" s="699"/>
      <c r="S243" t="str">
        <f>IF(OR(E243="",G243=0,I243=0,K243=""),"",G243*'Common Lighting References'!$Y$63)</f>
        <v/>
      </c>
    </row>
    <row r="244" spans="1:19" ht="22" customHeight="1">
      <c r="A244" s="699"/>
      <c r="B244" s="2237" t="s">
        <v>2095</v>
      </c>
      <c r="C244" s="2237"/>
      <c r="D244" s="2237"/>
      <c r="E244" s="2237"/>
      <c r="F244" s="2237"/>
      <c r="G244" s="2237"/>
      <c r="H244" s="2237"/>
      <c r="I244" s="2237"/>
      <c r="J244" s="2237"/>
      <c r="K244" s="2237"/>
      <c r="L244" s="2237"/>
      <c r="M244" s="2237"/>
      <c r="N244" s="2237"/>
      <c r="O244" s="2237"/>
      <c r="P244" s="2237"/>
      <c r="Q244" s="2237"/>
      <c r="R244" s="2237"/>
      <c r="S244" s="2237"/>
    </row>
    <row r="245" spans="1:19" ht="14.5" customHeight="1">
      <c r="A245" s="699"/>
    </row>
    <row r="246" spans="1:19" ht="30" customHeight="1">
      <c r="A246" s="699"/>
      <c r="E246" s="700" t="s">
        <v>2059</v>
      </c>
      <c r="F246" s="700"/>
      <c r="G246" s="700" t="s">
        <v>2060</v>
      </c>
      <c r="H246" s="143"/>
      <c r="I246" s="700" t="s">
        <v>2061</v>
      </c>
      <c r="K246" s="700" t="s">
        <v>2062</v>
      </c>
      <c r="L246" s="700"/>
      <c r="M246" s="700" t="s">
        <v>2063</v>
      </c>
      <c r="N246" s="700"/>
      <c r="O246" s="700" t="s">
        <v>80</v>
      </c>
      <c r="P246" s="700"/>
      <c r="Q246" s="700" t="s">
        <v>655</v>
      </c>
      <c r="R246" s="700"/>
      <c r="S246" s="700" t="s">
        <v>216</v>
      </c>
    </row>
    <row r="247" spans="1:19" ht="23.15" customHeight="1">
      <c r="A247" s="699"/>
      <c r="E247" s="1050" t="s">
        <v>2871</v>
      </c>
      <c r="G247" s="1050">
        <v>54</v>
      </c>
      <c r="I247" s="1050">
        <v>15</v>
      </c>
      <c r="K247" s="1050">
        <v>4324</v>
      </c>
      <c r="M247" s="1050" t="s">
        <v>2875</v>
      </c>
      <c r="O247" s="1050" t="s">
        <v>3889</v>
      </c>
      <c r="Q247" s="1050" t="s">
        <v>5500</v>
      </c>
      <c r="S247" s="1058">
        <f>IF(OR(E247="",G247=0,I247=0,K247=""),"",G247*'Common Lighting References'!$Y$65)</f>
        <v>3240</v>
      </c>
    </row>
    <row r="248" spans="1:19" ht="23.15" customHeight="1">
      <c r="A248" s="699"/>
      <c r="E248" s="1049"/>
      <c r="G248" s="1049"/>
      <c r="I248" s="1050"/>
      <c r="K248" s="1050"/>
      <c r="M248" s="1050"/>
      <c r="O248" s="1050"/>
      <c r="Q248" s="1050"/>
      <c r="S248" s="1058" t="str">
        <f>IF(OR(E248="",G248=0,I248=0,K248=""),"",G248*'Common Lighting References'!$Y$65)</f>
        <v/>
      </c>
    </row>
    <row r="249" spans="1:19" ht="23.15" customHeight="1">
      <c r="A249" s="699"/>
      <c r="E249" s="1049"/>
      <c r="G249" s="1049"/>
      <c r="I249" s="1050"/>
      <c r="K249" s="1050"/>
      <c r="M249" s="1050"/>
      <c r="O249" s="1050"/>
      <c r="Q249" s="1050"/>
      <c r="S249" s="1058" t="str">
        <f>IF(OR(E249="",G249=0,I249=0,K249=""),"",G249*'Common Lighting References'!$Y$65)</f>
        <v/>
      </c>
    </row>
    <row r="250" spans="1:19" ht="23.15" customHeight="1">
      <c r="A250" s="699"/>
      <c r="E250" s="1049"/>
      <c r="G250" s="1049"/>
      <c r="I250" s="1050"/>
      <c r="K250" s="1050"/>
      <c r="M250" s="1050"/>
      <c r="O250" s="1050"/>
      <c r="Q250" s="1050"/>
      <c r="S250" s="1058" t="str">
        <f>IF(OR(E250="",G250=0,I250=0,K250=""),"",G250*'Common Lighting References'!$Y$65)</f>
        <v/>
      </c>
    </row>
    <row r="252" spans="1:19" ht="22" customHeight="1">
      <c r="A252" s="699"/>
      <c r="B252" s="2237" t="s">
        <v>2096</v>
      </c>
      <c r="C252" s="2237"/>
      <c r="D252" s="2237"/>
      <c r="E252" s="2237"/>
      <c r="F252" s="2237"/>
      <c r="G252" s="2237"/>
      <c r="H252" s="2237"/>
      <c r="I252" s="2237"/>
      <c r="J252" s="2237"/>
      <c r="K252" s="2237"/>
      <c r="L252" s="2237"/>
      <c r="M252" s="2237"/>
      <c r="N252" s="2237"/>
      <c r="O252" s="2237"/>
      <c r="P252" s="2237"/>
      <c r="Q252" s="2237"/>
      <c r="R252" s="2237"/>
      <c r="S252" s="2237"/>
    </row>
    <row r="253" spans="1:19" ht="14.5" customHeight="1">
      <c r="A253" s="699"/>
    </row>
    <row r="254" spans="1:19" ht="30" customHeight="1">
      <c r="A254" s="699"/>
      <c r="E254" s="700" t="s">
        <v>2059</v>
      </c>
      <c r="F254" s="700"/>
      <c r="G254" s="700" t="s">
        <v>2060</v>
      </c>
      <c r="H254" s="143"/>
      <c r="I254" s="700" t="s">
        <v>2061</v>
      </c>
      <c r="K254" s="700" t="s">
        <v>2062</v>
      </c>
      <c r="L254" s="700"/>
      <c r="M254" s="700" t="s">
        <v>2063</v>
      </c>
      <c r="N254" s="700"/>
      <c r="O254" s="700" t="s">
        <v>80</v>
      </c>
      <c r="P254" s="700"/>
      <c r="Q254" s="700" t="s">
        <v>655</v>
      </c>
      <c r="R254" s="700"/>
      <c r="S254" s="700" t="s">
        <v>216</v>
      </c>
    </row>
    <row r="255" spans="1:19" ht="23.15" customHeight="1">
      <c r="A255" s="699"/>
      <c r="E255" s="1050"/>
      <c r="G255" s="1050"/>
      <c r="I255" s="1050"/>
      <c r="K255" s="1050"/>
      <c r="M255" s="1050"/>
      <c r="O255" s="1050"/>
      <c r="Q255" s="1050"/>
      <c r="S255" s="1058" t="str">
        <f>IF(OR(E255="",G255=0,I255=0,K255=""),"",G255*'Common Lighting References'!$Y$67)</f>
        <v/>
      </c>
    </row>
    <row r="256" spans="1:19" ht="23.15" customHeight="1">
      <c r="A256" s="699"/>
      <c r="E256" s="1049"/>
      <c r="G256" s="1049"/>
      <c r="I256" s="1050"/>
      <c r="K256" s="1050"/>
      <c r="M256" s="1050"/>
      <c r="O256" s="1050"/>
      <c r="Q256" s="1050"/>
      <c r="S256" s="1058" t="str">
        <f>IF(OR(E256="",G256=0,I256=0,K256=""),"",G256*'Common Lighting References'!$Y$67)</f>
        <v/>
      </c>
    </row>
    <row r="257" spans="1:19" ht="23.15" customHeight="1">
      <c r="A257" s="699"/>
      <c r="E257" s="1049"/>
      <c r="G257" s="1049"/>
      <c r="I257" s="1050"/>
      <c r="K257" s="1050"/>
      <c r="M257" s="1050"/>
      <c r="O257" s="1050"/>
      <c r="Q257" s="1050"/>
      <c r="S257" s="1058" t="str">
        <f>IF(OR(E257="",G257=0,I257=0,K257=""),"",G257*'Common Lighting References'!$Y$67)</f>
        <v/>
      </c>
    </row>
    <row r="258" spans="1:19" ht="23.15" customHeight="1">
      <c r="A258" s="699"/>
      <c r="E258" s="1049"/>
      <c r="G258" s="1049"/>
      <c r="I258" s="1050"/>
      <c r="K258" s="1050"/>
      <c r="M258" s="1050"/>
      <c r="O258" s="1050"/>
      <c r="Q258" s="1050"/>
      <c r="S258" s="1058" t="str">
        <f>IF(OR(E258="",G258=0,I258=0,K258=""),"",G258*'Common Lighting References'!$Y$67)</f>
        <v/>
      </c>
    </row>
    <row r="260" spans="1:19" ht="22" customHeight="1">
      <c r="A260" s="699"/>
      <c r="B260" s="2237" t="s">
        <v>2097</v>
      </c>
      <c r="C260" s="2237"/>
      <c r="D260" s="2237"/>
      <c r="E260" s="2237"/>
      <c r="F260" s="2237"/>
      <c r="G260" s="2237"/>
      <c r="H260" s="2237"/>
      <c r="I260" s="2237"/>
      <c r="J260" s="2237"/>
      <c r="K260" s="2237"/>
      <c r="L260" s="2237"/>
      <c r="M260" s="2237"/>
      <c r="N260" s="2237"/>
      <c r="O260" s="2237"/>
      <c r="P260" s="2237"/>
      <c r="Q260" s="2237"/>
      <c r="R260" s="2237"/>
      <c r="S260" s="2237"/>
    </row>
    <row r="261" spans="1:19" ht="14.5" customHeight="1">
      <c r="A261" s="699"/>
    </row>
    <row r="262" spans="1:19" ht="30" customHeight="1">
      <c r="A262" s="699"/>
      <c r="E262" s="700" t="s">
        <v>2059</v>
      </c>
      <c r="F262" s="700"/>
      <c r="G262" s="700" t="s">
        <v>2060</v>
      </c>
      <c r="H262" s="143"/>
      <c r="I262" s="700" t="s">
        <v>2061</v>
      </c>
      <c r="K262" s="700" t="s">
        <v>2062</v>
      </c>
      <c r="L262" s="700"/>
      <c r="M262" s="2232" t="s">
        <v>80</v>
      </c>
      <c r="N262" s="2232"/>
      <c r="O262" s="2232"/>
      <c r="P262" s="700"/>
      <c r="Q262" s="700" t="s">
        <v>655</v>
      </c>
      <c r="R262" s="700"/>
      <c r="S262" s="700" t="s">
        <v>216</v>
      </c>
    </row>
    <row r="263" spans="1:19" ht="23.15" customHeight="1">
      <c r="A263" s="699"/>
      <c r="E263" s="1050"/>
      <c r="G263" s="1050"/>
      <c r="I263" s="1050"/>
      <c r="K263" s="1050"/>
      <c r="M263" s="2230"/>
      <c r="N263" s="2230"/>
      <c r="O263" s="2230"/>
      <c r="Q263" s="1050"/>
      <c r="S263" s="1058" t="str">
        <f>IF(OR(E263="",G263=0,I263=0,K263=""),"",G263*'Common Lighting References'!$Y$69)</f>
        <v/>
      </c>
    </row>
    <row r="264" spans="1:19" ht="23.15" customHeight="1">
      <c r="A264" s="699"/>
      <c r="E264" s="1049"/>
      <c r="G264" s="1049"/>
      <c r="I264" s="1050"/>
      <c r="K264" s="1050"/>
      <c r="M264" s="2230"/>
      <c r="N264" s="2230"/>
      <c r="O264" s="2230"/>
      <c r="Q264" s="1050"/>
      <c r="S264" s="1058" t="str">
        <f>IF(OR(E264="",G264=0,I264=0,K264=""),"",G264*'Common Lighting References'!$Y$69)</f>
        <v/>
      </c>
    </row>
    <row r="265" spans="1:19" ht="23.15" customHeight="1">
      <c r="A265" s="699"/>
      <c r="E265" s="1049"/>
      <c r="G265" s="1049"/>
      <c r="I265" s="1050"/>
      <c r="K265" s="1050"/>
      <c r="M265" s="2230"/>
      <c r="N265" s="2230"/>
      <c r="O265" s="2230"/>
      <c r="Q265" s="1050"/>
      <c r="S265" s="1058" t="str">
        <f>IF(OR(E265="",G265=0,I265=0,K265=""),"",G265*'Common Lighting References'!$Y$69)</f>
        <v/>
      </c>
    </row>
    <row r="266" spans="1:19" ht="23.15" customHeight="1">
      <c r="A266" s="699"/>
      <c r="E266" s="1049"/>
      <c r="G266" s="1049"/>
      <c r="I266" s="1050"/>
      <c r="K266" s="1050"/>
      <c r="M266" s="2230"/>
      <c r="N266" s="2230"/>
      <c r="O266" s="2230"/>
      <c r="Q266" s="1050"/>
      <c r="S266" s="1058" t="str">
        <f>IF(OR(E266="",G266=0,I266=0,K266=""),"",G266*'Common Lighting References'!$Y$69)</f>
        <v/>
      </c>
    </row>
    <row r="268" spans="1:19" ht="22" customHeight="1">
      <c r="A268" s="699"/>
      <c r="B268" s="2237" t="s">
        <v>2098</v>
      </c>
      <c r="C268" s="2237"/>
      <c r="D268" s="2237"/>
      <c r="E268" s="2237"/>
      <c r="F268" s="2237"/>
      <c r="G268" s="2237"/>
      <c r="H268" s="2237"/>
      <c r="I268" s="2237"/>
      <c r="J268" s="2237"/>
      <c r="K268" s="2237"/>
      <c r="L268" s="2237"/>
      <c r="M268" s="2237"/>
      <c r="N268" s="2237"/>
      <c r="O268" s="2237"/>
      <c r="P268" s="2237"/>
      <c r="Q268" s="2237"/>
      <c r="R268" s="2237"/>
      <c r="S268" s="2237"/>
    </row>
    <row r="269" spans="1:19" ht="14.5" customHeight="1">
      <c r="A269" s="699"/>
    </row>
    <row r="270" spans="1:19" ht="30" customHeight="1">
      <c r="A270" s="699"/>
      <c r="E270" s="700" t="s">
        <v>2059</v>
      </c>
      <c r="F270" s="700"/>
      <c r="G270" s="700" t="s">
        <v>2060</v>
      </c>
      <c r="H270" s="143"/>
      <c r="I270" s="700" t="s">
        <v>2061</v>
      </c>
      <c r="K270" s="700" t="s">
        <v>2062</v>
      </c>
      <c r="L270" s="700"/>
      <c r="M270" s="2232" t="s">
        <v>80</v>
      </c>
      <c r="N270" s="2232"/>
      <c r="O270" s="2232"/>
      <c r="P270" s="700"/>
      <c r="Q270" s="700" t="s">
        <v>655</v>
      </c>
      <c r="R270" s="700"/>
      <c r="S270" s="700" t="s">
        <v>216</v>
      </c>
    </row>
    <row r="271" spans="1:19" ht="23.15" customHeight="1">
      <c r="A271" s="699"/>
      <c r="E271" s="1050"/>
      <c r="G271" s="1050"/>
      <c r="I271" s="1050"/>
      <c r="K271" s="1050"/>
      <c r="M271" s="2230"/>
      <c r="N271" s="2230"/>
      <c r="O271" s="2230"/>
      <c r="Q271" s="1050"/>
      <c r="S271" s="1058" t="str">
        <f>IF(OR(E271="",G271=0,I271=0,K271=""),"",G271*'Common Lighting References'!$Y$70)</f>
        <v/>
      </c>
    </row>
    <row r="272" spans="1:19" ht="23.15" customHeight="1">
      <c r="A272" s="699"/>
      <c r="E272" s="1049"/>
      <c r="G272" s="1049"/>
      <c r="I272" s="1050"/>
      <c r="K272" s="1050"/>
      <c r="M272" s="2230"/>
      <c r="N272" s="2230"/>
      <c r="O272" s="2230"/>
      <c r="Q272" s="1050"/>
      <c r="S272" s="1058" t="str">
        <f>IF(OR(E272="",G272=0,I272=0,K272=""),"",G272*'Common Lighting References'!$Y$70)</f>
        <v/>
      </c>
    </row>
    <row r="273" spans="1:19" ht="23.15" customHeight="1">
      <c r="A273" s="699"/>
      <c r="E273" s="1049"/>
      <c r="G273" s="1049"/>
      <c r="I273" s="1050"/>
      <c r="K273" s="1050"/>
      <c r="M273" s="2230"/>
      <c r="N273" s="2230"/>
      <c r="O273" s="2230"/>
      <c r="Q273" s="1050"/>
      <c r="S273" s="1058" t="str">
        <f>IF(OR(E273="",G273=0,I273=0,K273=""),"",G273*'Common Lighting References'!$Y$70)</f>
        <v/>
      </c>
    </row>
    <row r="274" spans="1:19" ht="23.15" customHeight="1">
      <c r="A274" s="699"/>
      <c r="E274" s="1049"/>
      <c r="G274" s="1049"/>
      <c r="I274" s="1050"/>
      <c r="K274" s="1050"/>
      <c r="M274" s="2230"/>
      <c r="N274" s="2230"/>
      <c r="O274" s="2230"/>
      <c r="Q274" s="1050"/>
      <c r="S274" s="1058" t="str">
        <f>IF(OR(E274="",G274=0,I274=0,K274=""),"",G274*'Common Lighting References'!$Y$70)</f>
        <v/>
      </c>
    </row>
    <row r="277" spans="1:19" ht="22" customHeight="1">
      <c r="A277" s="699"/>
      <c r="B277" s="2237" t="s">
        <v>2099</v>
      </c>
      <c r="C277" s="2237"/>
      <c r="D277" s="2237"/>
      <c r="E277" s="2237"/>
      <c r="F277" s="2237"/>
      <c r="G277" s="2237"/>
      <c r="H277" s="2237"/>
      <c r="I277" s="2237"/>
      <c r="J277" s="2237"/>
      <c r="K277" s="2237"/>
      <c r="L277" s="2237"/>
      <c r="M277" s="2237"/>
      <c r="N277" s="2237"/>
      <c r="O277" s="2237"/>
      <c r="P277" s="2237"/>
      <c r="Q277" s="2237"/>
      <c r="R277" s="2237"/>
      <c r="S277" s="2237"/>
    </row>
    <row r="278" spans="1:19" ht="14.5" customHeight="1">
      <c r="A278" s="699"/>
    </row>
    <row r="279" spans="1:19" ht="30" customHeight="1">
      <c r="A279" s="699"/>
      <c r="E279" s="700" t="s">
        <v>2059</v>
      </c>
      <c r="F279" s="700"/>
      <c r="G279" s="700" t="s">
        <v>2060</v>
      </c>
      <c r="H279" s="143"/>
      <c r="I279" s="700" t="s">
        <v>2061</v>
      </c>
      <c r="K279" s="700" t="s">
        <v>2062</v>
      </c>
      <c r="L279" s="700"/>
      <c r="M279" s="700" t="s">
        <v>2063</v>
      </c>
      <c r="N279" s="700"/>
      <c r="O279" s="700" t="s">
        <v>80</v>
      </c>
      <c r="P279" s="700"/>
      <c r="Q279" s="700" t="s">
        <v>655</v>
      </c>
      <c r="R279" s="700"/>
      <c r="S279" s="700" t="s">
        <v>216</v>
      </c>
    </row>
    <row r="280" spans="1:19" ht="23.15" customHeight="1">
      <c r="A280" s="699"/>
      <c r="E280" s="1050"/>
      <c r="G280" s="1050"/>
      <c r="I280" s="1050"/>
      <c r="K280" s="1050"/>
      <c r="M280" s="1050"/>
      <c r="O280" s="1050"/>
      <c r="Q280" s="1050"/>
      <c r="S280" s="1058" t="str">
        <f>IF(OR(E280="",G280=0,I280=0,K280=""),"",G280*'Common Lighting References'!$Y$71)</f>
        <v/>
      </c>
    </row>
    <row r="281" spans="1:19" ht="23.15" customHeight="1">
      <c r="A281" s="699"/>
      <c r="E281" s="1049"/>
      <c r="G281" s="1049"/>
      <c r="I281" s="1050"/>
      <c r="K281" s="1050"/>
      <c r="M281" s="1050"/>
      <c r="O281" s="1050"/>
      <c r="Q281" s="1050"/>
      <c r="S281" s="1058" t="str">
        <f>IF(OR(E281="",G281=0,I281=0,K281=""),"",G281*'Common Lighting References'!$Y$71)</f>
        <v/>
      </c>
    </row>
    <row r="282" spans="1:19" ht="23.15" customHeight="1">
      <c r="A282" s="699"/>
      <c r="E282" s="1049"/>
      <c r="G282" s="1049"/>
      <c r="I282" s="1050"/>
      <c r="K282" s="1050"/>
      <c r="M282" s="1050"/>
      <c r="O282" s="1050"/>
      <c r="Q282" s="1050"/>
      <c r="S282" s="1058" t="str">
        <f>IF(OR(E282="",G282=0,I282=0,K282=""),"",G282*'Common Lighting References'!$Y$71)</f>
        <v/>
      </c>
    </row>
    <row r="283" spans="1:19" ht="23.15" customHeight="1">
      <c r="A283" s="699"/>
      <c r="E283" s="1049"/>
      <c r="G283" s="1049"/>
      <c r="I283" s="1050"/>
      <c r="K283" s="1050"/>
      <c r="M283" s="1050"/>
      <c r="O283" s="1050"/>
      <c r="Q283" s="1050"/>
      <c r="S283" s="1058" t="str">
        <f>IF(OR(E283="",G283=0,I283=0,K283=""),"",G283*'Common Lighting References'!$Y$71)</f>
        <v/>
      </c>
    </row>
    <row r="285" spans="1:19" ht="22" customHeight="1">
      <c r="A285" s="699"/>
      <c r="B285" s="2237" t="s">
        <v>2100</v>
      </c>
      <c r="C285" s="2237"/>
      <c r="D285" s="2237"/>
      <c r="E285" s="2237"/>
      <c r="F285" s="2237"/>
      <c r="G285" s="2237"/>
      <c r="H285" s="2237"/>
      <c r="I285" s="2237"/>
      <c r="J285" s="2237"/>
      <c r="K285" s="2237"/>
      <c r="L285" s="2237"/>
      <c r="M285" s="2237"/>
      <c r="N285" s="2237"/>
      <c r="O285" s="2237"/>
      <c r="P285" s="2237"/>
      <c r="Q285" s="2237"/>
      <c r="R285" s="2237"/>
      <c r="S285" s="2237"/>
    </row>
    <row r="286" spans="1:19" ht="14.5" customHeight="1">
      <c r="A286" s="699"/>
    </row>
    <row r="287" spans="1:19" ht="30" customHeight="1">
      <c r="A287" s="699"/>
      <c r="E287" s="700" t="s">
        <v>2059</v>
      </c>
      <c r="F287" s="700"/>
      <c r="G287" s="700" t="s">
        <v>2060</v>
      </c>
      <c r="H287" s="143"/>
      <c r="I287" s="700" t="s">
        <v>2061</v>
      </c>
      <c r="K287" s="700" t="s">
        <v>2062</v>
      </c>
      <c r="L287" s="700"/>
      <c r="M287" s="700" t="s">
        <v>2063</v>
      </c>
      <c r="N287" s="700"/>
      <c r="O287" s="700" t="s">
        <v>80</v>
      </c>
      <c r="P287" s="700"/>
      <c r="Q287" s="700" t="s">
        <v>655</v>
      </c>
      <c r="R287" s="700"/>
      <c r="S287" s="700" t="s">
        <v>216</v>
      </c>
    </row>
    <row r="288" spans="1:19" ht="23.15" customHeight="1">
      <c r="A288" s="699"/>
      <c r="E288" s="1050"/>
      <c r="G288" s="1050"/>
      <c r="I288" s="1050"/>
      <c r="K288" s="1050"/>
      <c r="M288" s="1050"/>
      <c r="O288" s="1050"/>
      <c r="Q288" s="1050"/>
      <c r="S288" s="1058" t="str">
        <f>IF(OR(E288="",G288=0,I288=0,K288=""),"",G288*'Common Lighting References'!$Y$73)</f>
        <v/>
      </c>
    </row>
    <row r="289" spans="1:19" ht="23.15" customHeight="1">
      <c r="A289" s="699"/>
      <c r="E289" s="1049"/>
      <c r="G289" s="1049"/>
      <c r="I289" s="1050"/>
      <c r="K289" s="1050"/>
      <c r="M289" s="1050"/>
      <c r="O289" s="1050"/>
      <c r="Q289" s="1050"/>
      <c r="S289" s="1058" t="str">
        <f>IF(OR(E289="",G289=0,I289=0,K289=""),"",G289*'Common Lighting References'!$Y$73)</f>
        <v/>
      </c>
    </row>
    <row r="290" spans="1:19" ht="23.15" customHeight="1">
      <c r="A290" s="699"/>
      <c r="E290" s="1049"/>
      <c r="G290" s="1049"/>
      <c r="I290" s="1050"/>
      <c r="K290" s="1050"/>
      <c r="M290" s="1050"/>
      <c r="O290" s="1050"/>
      <c r="Q290" s="1050"/>
      <c r="S290" s="1058" t="str">
        <f>IF(OR(E290="",G290=0,I290=0,K290=""),"",G290*'Common Lighting References'!$Y$73)</f>
        <v/>
      </c>
    </row>
    <row r="291" spans="1:19" ht="23.15" customHeight="1">
      <c r="A291" s="699"/>
      <c r="E291" s="1049"/>
      <c r="G291" s="1049"/>
      <c r="I291" s="1050"/>
      <c r="K291" s="1050"/>
      <c r="M291" s="1050"/>
      <c r="O291" s="1050"/>
      <c r="Q291" s="1050"/>
      <c r="S291" s="1058" t="str">
        <f>IF(OR(E291="",G291=0,I291=0,K291=""),"",G291*'Common Lighting References'!$Y$73)</f>
        <v/>
      </c>
    </row>
    <row r="293" spans="1:19" ht="22" customHeight="1">
      <c r="A293" s="699"/>
      <c r="B293" s="2237" t="s">
        <v>2101</v>
      </c>
      <c r="C293" s="2237"/>
      <c r="D293" s="2237"/>
      <c r="E293" s="2237"/>
      <c r="F293" s="2237"/>
      <c r="G293" s="2237"/>
      <c r="H293" s="2237"/>
      <c r="I293" s="2237"/>
      <c r="J293" s="2237"/>
      <c r="K293" s="2237"/>
      <c r="L293" s="2237"/>
      <c r="M293" s="2237"/>
      <c r="N293" s="2237"/>
      <c r="O293" s="2237"/>
      <c r="P293" s="2237"/>
      <c r="Q293" s="2237"/>
      <c r="R293" s="2237"/>
      <c r="S293" s="2237"/>
    </row>
    <row r="294" spans="1:19" ht="14.5" customHeight="1">
      <c r="A294" s="699"/>
    </row>
    <row r="295" spans="1:19" ht="30" customHeight="1">
      <c r="A295" s="699"/>
      <c r="E295" s="700" t="s">
        <v>2059</v>
      </c>
      <c r="F295" s="700"/>
      <c r="G295" s="700" t="s">
        <v>2060</v>
      </c>
      <c r="H295" s="143"/>
      <c r="I295" s="700" t="s">
        <v>2061</v>
      </c>
      <c r="K295" s="700" t="s">
        <v>2062</v>
      </c>
      <c r="L295" s="700"/>
      <c r="M295" s="700" t="s">
        <v>2063</v>
      </c>
      <c r="N295" s="700"/>
      <c r="O295" s="700" t="s">
        <v>80</v>
      </c>
      <c r="P295" s="700"/>
      <c r="Q295" s="700" t="s">
        <v>655</v>
      </c>
      <c r="R295" s="700"/>
      <c r="S295" s="700" t="s">
        <v>216</v>
      </c>
    </row>
    <row r="296" spans="1:19" ht="23.15" customHeight="1">
      <c r="A296" s="699"/>
      <c r="E296" s="1050"/>
      <c r="G296" s="1050"/>
      <c r="I296" s="1050"/>
      <c r="K296" s="1050"/>
      <c r="M296" s="1050"/>
      <c r="O296" s="1050"/>
      <c r="Q296" s="1050"/>
      <c r="S296" s="1058" t="str">
        <f>IF(OR(E296="",G296=0,I296=0,K296=""),"",G296*'Common Lighting References'!$Y$75)</f>
        <v/>
      </c>
    </row>
    <row r="297" spans="1:19" ht="23.15" customHeight="1">
      <c r="A297" s="699"/>
      <c r="E297" s="1049"/>
      <c r="G297" s="1049"/>
      <c r="I297" s="1050"/>
      <c r="K297" s="1050"/>
      <c r="M297" s="1050"/>
      <c r="O297" s="1050"/>
      <c r="Q297" s="1050"/>
      <c r="S297" s="1058" t="str">
        <f>IF(OR(E297="",G297=0,I297=0,K297=""),"",G297*'Common Lighting References'!$Y$75)</f>
        <v/>
      </c>
    </row>
    <row r="298" spans="1:19" ht="23.15" customHeight="1">
      <c r="A298" s="699"/>
      <c r="E298" s="1049"/>
      <c r="G298" s="1049"/>
      <c r="I298" s="1050"/>
      <c r="K298" s="1050"/>
      <c r="M298" s="1050"/>
      <c r="O298" s="1050"/>
      <c r="Q298" s="1050"/>
      <c r="S298" s="1058" t="str">
        <f>IF(OR(E298="",G298=0,I298=0,K298=""),"",G298*'Common Lighting References'!$Y$75)</f>
        <v/>
      </c>
    </row>
    <row r="299" spans="1:19" ht="23.15" customHeight="1">
      <c r="A299" s="699"/>
      <c r="E299" s="1049"/>
      <c r="G299" s="1049"/>
      <c r="I299" s="1050"/>
      <c r="K299" s="1050"/>
      <c r="M299" s="1050"/>
      <c r="O299" s="1050"/>
      <c r="Q299" s="1050"/>
      <c r="S299" s="1058" t="str">
        <f>IF(OR(E299="",G299=0,I299=0,K299=""),"",G299*'Common Lighting References'!$Y$75)</f>
        <v/>
      </c>
    </row>
    <row r="301" spans="1:19" ht="22" customHeight="1">
      <c r="A301" s="699"/>
      <c r="B301" s="2237" t="s">
        <v>2102</v>
      </c>
      <c r="C301" s="2237"/>
      <c r="D301" s="2237"/>
      <c r="E301" s="2237"/>
      <c r="F301" s="2237"/>
      <c r="G301" s="2237"/>
      <c r="H301" s="2237"/>
      <c r="I301" s="2237"/>
      <c r="J301" s="2237"/>
      <c r="K301" s="2237"/>
      <c r="L301" s="2237"/>
      <c r="M301" s="2237"/>
      <c r="N301" s="2237"/>
      <c r="O301" s="2237"/>
      <c r="P301" s="2237"/>
      <c r="Q301" s="2237"/>
      <c r="R301" s="2237"/>
      <c r="S301" s="2237"/>
    </row>
    <row r="302" spans="1:19" ht="14.5" customHeight="1">
      <c r="A302" s="699"/>
    </row>
    <row r="303" spans="1:19" ht="30" customHeight="1">
      <c r="A303" s="699"/>
      <c r="E303" s="700" t="s">
        <v>2059</v>
      </c>
      <c r="F303" s="700"/>
      <c r="G303" s="700" t="s">
        <v>2060</v>
      </c>
      <c r="H303" s="143"/>
      <c r="I303" s="700" t="s">
        <v>2061</v>
      </c>
      <c r="K303" s="700" t="s">
        <v>2062</v>
      </c>
      <c r="L303" s="700"/>
      <c r="M303" s="700" t="s">
        <v>2063</v>
      </c>
      <c r="N303" s="700"/>
      <c r="O303" s="700" t="s">
        <v>80</v>
      </c>
      <c r="P303" s="700"/>
      <c r="Q303" s="700" t="s">
        <v>655</v>
      </c>
      <c r="R303" s="700"/>
      <c r="S303" s="700" t="s">
        <v>216</v>
      </c>
    </row>
    <row r="304" spans="1:19" ht="23.15" customHeight="1">
      <c r="A304" s="699"/>
      <c r="E304" s="1050"/>
      <c r="G304" s="1050"/>
      <c r="I304" s="1050"/>
      <c r="K304" s="1050"/>
      <c r="M304" s="1050"/>
      <c r="O304" s="1050"/>
      <c r="Q304" s="1050"/>
      <c r="S304" s="1058" t="str">
        <f>IF(OR(E304="",G304=0,I304=0,K304=""),"",G304*'Common Lighting References'!$Y$78)</f>
        <v/>
      </c>
    </row>
    <row r="305" spans="1:19" ht="23.15" customHeight="1">
      <c r="A305" s="699"/>
      <c r="E305" s="1049"/>
      <c r="G305" s="1049"/>
      <c r="I305" s="1050"/>
      <c r="K305" s="1050"/>
      <c r="M305" s="1050"/>
      <c r="O305" s="1050"/>
      <c r="Q305" s="1050"/>
      <c r="S305" s="1058" t="str">
        <f>IF(OR(E305="",G305=0,I305=0,K305=""),"",G305*'Common Lighting References'!$Y$78)</f>
        <v/>
      </c>
    </row>
    <row r="306" spans="1:19" ht="23.15" customHeight="1">
      <c r="A306" s="699"/>
      <c r="E306" s="1049"/>
      <c r="G306" s="1049"/>
      <c r="I306" s="1050"/>
      <c r="K306" s="1050"/>
      <c r="M306" s="1050"/>
      <c r="O306" s="1050"/>
      <c r="Q306" s="1050"/>
      <c r="S306" s="1058" t="str">
        <f>IF(OR(E306="",G306=0,I306=0,K306=""),"",G306*'Common Lighting References'!$Y$78)</f>
        <v/>
      </c>
    </row>
    <row r="307" spans="1:19" ht="23.15" customHeight="1">
      <c r="A307" s="699"/>
      <c r="E307" s="1049"/>
      <c r="G307" s="1049"/>
      <c r="I307" s="1050"/>
      <c r="K307" s="1050"/>
      <c r="M307" s="1050"/>
      <c r="O307" s="1050"/>
      <c r="Q307" s="1050"/>
      <c r="S307" s="1058" t="str">
        <f>IF(OR(E307="",G307=0,I307=0,K307=""),"",G307*'Common Lighting References'!$Y$78)</f>
        <v/>
      </c>
    </row>
    <row r="310" spans="1:19" ht="22" customHeight="1">
      <c r="A310" s="699"/>
      <c r="B310" s="2237" t="s">
        <v>2103</v>
      </c>
      <c r="C310" s="2237"/>
      <c r="D310" s="2237"/>
      <c r="E310" s="2237"/>
      <c r="F310" s="2237"/>
      <c r="G310" s="2237"/>
      <c r="H310" s="2237"/>
      <c r="I310" s="2237"/>
      <c r="J310" s="2237"/>
      <c r="K310" s="2237"/>
      <c r="L310" s="2237"/>
      <c r="M310" s="2237"/>
      <c r="N310" s="2237"/>
      <c r="O310" s="2237"/>
      <c r="P310" s="2237"/>
      <c r="Q310" s="2237"/>
      <c r="R310" s="2237"/>
      <c r="S310" s="2237"/>
    </row>
    <row r="311" spans="1:19" ht="14.5" customHeight="1">
      <c r="A311" s="699"/>
    </row>
    <row r="312" spans="1:19" ht="30" customHeight="1">
      <c r="A312" s="699"/>
      <c r="E312" s="700" t="s">
        <v>2059</v>
      </c>
      <c r="F312" s="700"/>
      <c r="G312" s="700" t="s">
        <v>2060</v>
      </c>
      <c r="H312" s="143"/>
      <c r="I312" s="700" t="s">
        <v>2061</v>
      </c>
      <c r="K312" s="700" t="s">
        <v>2062</v>
      </c>
      <c r="L312" s="700"/>
      <c r="M312" s="2232" t="s">
        <v>80</v>
      </c>
      <c r="N312" s="2232"/>
      <c r="O312" s="2232"/>
      <c r="P312" s="700"/>
      <c r="Q312" s="700" t="s">
        <v>655</v>
      </c>
      <c r="R312" s="700"/>
      <c r="S312" s="700" t="s">
        <v>216</v>
      </c>
    </row>
    <row r="313" spans="1:19" ht="23.15" customHeight="1">
      <c r="A313" s="699"/>
      <c r="E313" s="1050"/>
      <c r="G313" s="1050"/>
      <c r="I313" s="1050"/>
      <c r="K313" s="1050"/>
      <c r="M313" s="2230"/>
      <c r="N313" s="2230"/>
      <c r="O313" s="2230"/>
      <c r="Q313" s="1050"/>
      <c r="S313" s="1058" t="str">
        <f>IF(OR(E313="",G313=0,I313=0,K313=""),"",G313*'Common Lighting References'!$Y$79)</f>
        <v/>
      </c>
    </row>
    <row r="314" spans="1:19" ht="23.15" customHeight="1">
      <c r="A314" s="699"/>
      <c r="E314" s="1049"/>
      <c r="G314" s="1049"/>
      <c r="I314" s="1050"/>
      <c r="K314" s="1050"/>
      <c r="M314" s="2230"/>
      <c r="N314" s="2230"/>
      <c r="O314" s="2230"/>
      <c r="Q314" s="1050"/>
      <c r="S314" s="1058" t="str">
        <f>IF(OR(E314="",G314=0,I314=0,K314=""),"",G314*'Common Lighting References'!$Y$79)</f>
        <v/>
      </c>
    </row>
    <row r="315" spans="1:19" ht="23.15" customHeight="1">
      <c r="A315" s="699"/>
      <c r="E315" s="1049"/>
      <c r="G315" s="1049"/>
      <c r="I315" s="1050"/>
      <c r="K315" s="1050"/>
      <c r="M315" s="2230"/>
      <c r="N315" s="2230"/>
      <c r="O315" s="2230"/>
      <c r="Q315" s="1050"/>
      <c r="S315" s="1058" t="str">
        <f>IF(OR(E315="",G315=0,I315=0,K315=""),"",G315*'Common Lighting References'!$Y$79)</f>
        <v/>
      </c>
    </row>
    <row r="316" spans="1:19" ht="23.15" customHeight="1">
      <c r="A316" s="699"/>
      <c r="E316" s="1049"/>
      <c r="G316" s="1049"/>
      <c r="I316" s="1050"/>
      <c r="K316" s="1050"/>
      <c r="M316" s="2230"/>
      <c r="N316" s="2230"/>
      <c r="O316" s="2230"/>
      <c r="Q316" s="1050"/>
      <c r="S316" s="1058" t="str">
        <f>IF(OR(E316="",G316=0,I316=0,K316=""),"",G316*'Common Lighting References'!$Y$79)</f>
        <v/>
      </c>
    </row>
    <row r="318" spans="1:19" ht="22" customHeight="1">
      <c r="A318" s="699"/>
      <c r="B318" s="2237" t="s">
        <v>2104</v>
      </c>
      <c r="C318" s="2237"/>
      <c r="D318" s="2237"/>
      <c r="E318" s="2237"/>
      <c r="F318" s="2237"/>
      <c r="G318" s="2237"/>
      <c r="H318" s="2237"/>
      <c r="I318" s="2237"/>
      <c r="J318" s="2237"/>
      <c r="K318" s="2237"/>
      <c r="L318" s="2237"/>
      <c r="M318" s="2237"/>
      <c r="N318" s="2237"/>
      <c r="O318" s="2237"/>
      <c r="P318" s="2237"/>
      <c r="Q318" s="2237"/>
      <c r="R318" s="2237"/>
      <c r="S318" s="2237"/>
    </row>
    <row r="319" spans="1:19" ht="14.5" customHeight="1">
      <c r="A319" s="699"/>
    </row>
    <row r="320" spans="1:19" ht="30" customHeight="1">
      <c r="A320" s="699"/>
      <c r="E320" s="700" t="s">
        <v>2059</v>
      </c>
      <c r="F320" s="700"/>
      <c r="G320" s="700" t="s">
        <v>2060</v>
      </c>
      <c r="H320" s="143"/>
      <c r="I320" s="700" t="s">
        <v>2061</v>
      </c>
      <c r="K320" s="700" t="s">
        <v>2062</v>
      </c>
      <c r="L320" s="700"/>
      <c r="M320" s="2232" t="s">
        <v>80</v>
      </c>
      <c r="N320" s="2232"/>
      <c r="O320" s="2232"/>
      <c r="P320" s="700"/>
      <c r="Q320" s="700" t="s">
        <v>655</v>
      </c>
      <c r="R320" s="700"/>
      <c r="S320" s="700" t="s">
        <v>216</v>
      </c>
    </row>
    <row r="321" spans="1:19" ht="23.15" customHeight="1">
      <c r="A321" s="699"/>
      <c r="E321" s="1050"/>
      <c r="G321" s="1050"/>
      <c r="I321" s="1050"/>
      <c r="K321" s="1050"/>
      <c r="M321" s="2230"/>
      <c r="N321" s="2230"/>
      <c r="O321" s="2230"/>
      <c r="Q321" s="1050"/>
      <c r="S321" s="1058" t="str">
        <f>IF(OR(E321="",G321=0,I321=0,K321=""),"",G321*'Common Lighting References'!$Y$80)</f>
        <v/>
      </c>
    </row>
    <row r="322" spans="1:19" ht="23.15" customHeight="1">
      <c r="A322" s="699"/>
      <c r="E322" s="1049"/>
      <c r="G322" s="1049"/>
      <c r="I322" s="1050"/>
      <c r="K322" s="1050"/>
      <c r="M322" s="2230"/>
      <c r="N322" s="2230"/>
      <c r="O322" s="2230"/>
      <c r="Q322" s="1050"/>
      <c r="S322" s="1058" t="str">
        <f>IF(OR(E322="",G322=0,I322=0,K322=""),"",G322*'Common Lighting References'!$Y$80)</f>
        <v/>
      </c>
    </row>
    <row r="323" spans="1:19" ht="23.15" customHeight="1">
      <c r="A323" s="699"/>
      <c r="E323" s="1049"/>
      <c r="G323" s="1049"/>
      <c r="I323" s="1050"/>
      <c r="K323" s="1050"/>
      <c r="M323" s="2230"/>
      <c r="N323" s="2230"/>
      <c r="O323" s="2230"/>
      <c r="Q323" s="1050"/>
      <c r="S323" s="1058" t="str">
        <f>IF(OR(E323="",G323=0,I323=0,K323=""),"",G323*'Common Lighting References'!$Y$80)</f>
        <v/>
      </c>
    </row>
    <row r="324" spans="1:19" ht="23.15" customHeight="1">
      <c r="A324" s="699"/>
      <c r="E324" s="1049"/>
      <c r="G324" s="1049"/>
      <c r="I324" s="1050"/>
      <c r="K324" s="1050"/>
      <c r="M324" s="2230"/>
      <c r="N324" s="2230"/>
      <c r="O324" s="2230"/>
      <c r="Q324" s="1050"/>
      <c r="S324" s="1058" t="str">
        <f>IF(OR(E324="",G324=0,I324=0,K324=""),"",G324*'Common Lighting References'!$Y$80)</f>
        <v/>
      </c>
    </row>
    <row r="326" spans="1:19" ht="22" customHeight="1">
      <c r="A326" s="699"/>
      <c r="B326" s="2237" t="s">
        <v>2105</v>
      </c>
      <c r="C326" s="2237"/>
      <c r="D326" s="2237"/>
      <c r="E326" s="2237"/>
      <c r="F326" s="2237"/>
      <c r="G326" s="2237"/>
      <c r="H326" s="2237"/>
      <c r="I326" s="2237"/>
      <c r="J326" s="2237"/>
      <c r="K326" s="2237"/>
      <c r="L326" s="2237"/>
      <c r="M326" s="2237"/>
      <c r="N326" s="2237"/>
      <c r="O326" s="2237"/>
      <c r="P326" s="2237"/>
      <c r="Q326" s="2237"/>
      <c r="R326" s="2237"/>
      <c r="S326" s="2237"/>
    </row>
    <row r="327" spans="1:19" ht="14.5" customHeight="1">
      <c r="A327" s="699"/>
    </row>
    <row r="328" spans="1:19" ht="30" customHeight="1">
      <c r="A328" s="699"/>
      <c r="E328" s="700" t="s">
        <v>2059</v>
      </c>
      <c r="F328" s="700"/>
      <c r="G328" s="700" t="s">
        <v>2060</v>
      </c>
      <c r="H328" s="143"/>
      <c r="I328" s="700" t="s">
        <v>2061</v>
      </c>
      <c r="K328" s="700" t="s">
        <v>2062</v>
      </c>
      <c r="L328" s="700"/>
      <c r="M328" s="700" t="s">
        <v>2063</v>
      </c>
      <c r="N328" s="700"/>
      <c r="O328" s="700" t="s">
        <v>80</v>
      </c>
      <c r="P328" s="700"/>
      <c r="Q328" s="700" t="s">
        <v>655</v>
      </c>
      <c r="R328" s="700"/>
      <c r="S328" s="700" t="s">
        <v>216</v>
      </c>
    </row>
    <row r="329" spans="1:19" ht="23.15" customHeight="1">
      <c r="A329" s="699"/>
      <c r="E329" s="1050"/>
      <c r="G329" s="1050"/>
      <c r="I329" s="1050"/>
      <c r="K329" s="1050"/>
      <c r="M329" s="1050"/>
      <c r="O329" s="1050"/>
      <c r="Q329" s="1050"/>
      <c r="S329" s="1058" t="str">
        <f>IF(OR(E329="",G329=0,I329=0,K329=""),"",G329*'Common Lighting References'!$Y$81)</f>
        <v/>
      </c>
    </row>
    <row r="330" spans="1:19" ht="23.15" customHeight="1">
      <c r="A330" s="699"/>
      <c r="E330" s="1049"/>
      <c r="G330" s="1049"/>
      <c r="I330" s="1050"/>
      <c r="K330" s="1050"/>
      <c r="M330" s="1050"/>
      <c r="O330" s="1050"/>
      <c r="Q330" s="1050"/>
      <c r="S330" s="1058" t="str">
        <f>IF(OR(E330="",G330=0,I330=0,K330=""),"",G330*'Common Lighting References'!$Y$81)</f>
        <v/>
      </c>
    </row>
    <row r="331" spans="1:19" ht="23.15" customHeight="1">
      <c r="A331" s="699"/>
      <c r="E331" s="1049"/>
      <c r="G331" s="1049"/>
      <c r="I331" s="1050"/>
      <c r="K331" s="1050"/>
      <c r="M331" s="1050"/>
      <c r="O331" s="1050"/>
      <c r="Q331" s="1050"/>
      <c r="S331" s="1058" t="str">
        <f>IF(OR(E331="",G331=0,I331=0,K331=""),"",G331*'Common Lighting References'!$Y$81)</f>
        <v/>
      </c>
    </row>
    <row r="332" spans="1:19" ht="23.15" customHeight="1">
      <c r="A332" s="699"/>
      <c r="E332" s="1049"/>
      <c r="G332" s="1049"/>
      <c r="I332" s="1050"/>
      <c r="K332" s="1050"/>
      <c r="M332" s="1050"/>
      <c r="O332" s="1050"/>
      <c r="Q332" s="1050"/>
      <c r="S332" s="1058" t="str">
        <f>IF(OR(E332="",G332=0,I332=0,K332=""),"",G332*'Common Lighting References'!$Y$81)</f>
        <v/>
      </c>
    </row>
    <row r="334" spans="1:19" ht="22" customHeight="1">
      <c r="A334" s="699"/>
      <c r="B334" s="2237" t="s">
        <v>2106</v>
      </c>
      <c r="C334" s="2237"/>
      <c r="D334" s="2237"/>
      <c r="E334" s="2237"/>
      <c r="F334" s="2237"/>
      <c r="G334" s="2237"/>
      <c r="H334" s="2237"/>
      <c r="I334" s="2237"/>
      <c r="J334" s="2237"/>
      <c r="K334" s="2237"/>
      <c r="L334" s="2237"/>
      <c r="M334" s="2237"/>
      <c r="N334" s="2237"/>
      <c r="O334" s="2237"/>
      <c r="P334" s="2237"/>
      <c r="Q334" s="2237"/>
      <c r="R334" s="2237"/>
      <c r="S334" s="2237"/>
    </row>
    <row r="335" spans="1:19" ht="14.5" customHeight="1">
      <c r="A335" s="699"/>
    </row>
    <row r="336" spans="1:19" ht="30" customHeight="1">
      <c r="A336" s="699"/>
      <c r="E336" s="700" t="s">
        <v>2059</v>
      </c>
      <c r="F336" s="700"/>
      <c r="G336" s="700" t="s">
        <v>2060</v>
      </c>
      <c r="H336" s="143"/>
      <c r="I336" s="700" t="s">
        <v>2061</v>
      </c>
      <c r="K336" s="700" t="s">
        <v>2062</v>
      </c>
      <c r="L336" s="700"/>
      <c r="M336" s="700" t="s">
        <v>2063</v>
      </c>
      <c r="N336" s="700"/>
      <c r="O336" s="700" t="s">
        <v>80</v>
      </c>
      <c r="P336" s="700"/>
      <c r="Q336" s="700" t="s">
        <v>655</v>
      </c>
      <c r="R336" s="700"/>
      <c r="S336" s="700" t="s">
        <v>216</v>
      </c>
    </row>
    <row r="337" spans="1:19" ht="23.15" customHeight="1">
      <c r="A337" s="699"/>
      <c r="E337" s="1050" t="s">
        <v>2871</v>
      </c>
      <c r="G337" s="1050">
        <v>14</v>
      </c>
      <c r="I337" s="1050">
        <v>25</v>
      </c>
      <c r="K337" s="1050" t="s">
        <v>5501</v>
      </c>
      <c r="M337" s="1050" t="s">
        <v>2876</v>
      </c>
      <c r="O337" s="1050" t="s">
        <v>5496</v>
      </c>
      <c r="Q337" s="1050" t="s">
        <v>5502</v>
      </c>
      <c r="S337" s="1058">
        <f>IF(OR(E337="",G337=0,I337=0,K337=""),"",G337*'Common Lighting References'!$Y$83)</f>
        <v>2380</v>
      </c>
    </row>
    <row r="338" spans="1:19" ht="23.15" customHeight="1">
      <c r="A338" s="699"/>
      <c r="E338" s="1049"/>
      <c r="G338" s="1049"/>
      <c r="I338" s="1050"/>
      <c r="K338" s="1050"/>
      <c r="M338" s="1050"/>
      <c r="O338" s="1050"/>
      <c r="Q338" s="1050"/>
      <c r="S338" s="1058" t="str">
        <f>IF(OR(E338="",G338=0,I338=0,K338=""),"",G338*'Common Lighting References'!$Y$83)</f>
        <v/>
      </c>
    </row>
    <row r="339" spans="1:19" ht="23.15" customHeight="1">
      <c r="A339" s="699"/>
      <c r="E339" s="1049"/>
      <c r="G339" s="1049"/>
      <c r="I339" s="1050"/>
      <c r="K339" s="1050"/>
      <c r="M339" s="1050"/>
      <c r="O339" s="1050"/>
      <c r="Q339" s="1050"/>
      <c r="S339" s="1058" t="str">
        <f>IF(OR(E339="",G339=0,I339=0,K339=""),"",G339*'Common Lighting References'!$Y$83)</f>
        <v/>
      </c>
    </row>
    <row r="340" spans="1:19" ht="23.15" customHeight="1">
      <c r="A340" s="699"/>
      <c r="E340" s="1049"/>
      <c r="G340" s="1049"/>
      <c r="I340" s="1050"/>
      <c r="K340" s="1050"/>
      <c r="M340" s="1050"/>
      <c r="O340" s="1050"/>
      <c r="Q340" s="1050"/>
      <c r="S340" s="1058" t="str">
        <f>IF(OR(E340="",G340=0,I340=0,K340=""),"",G340*'Common Lighting References'!$Y$83)</f>
        <v/>
      </c>
    </row>
    <row r="342" spans="1:19" ht="22" customHeight="1">
      <c r="A342" s="699"/>
      <c r="B342" s="2237" t="s">
        <v>2107</v>
      </c>
      <c r="C342" s="2237"/>
      <c r="D342" s="2237"/>
      <c r="E342" s="2237"/>
      <c r="F342" s="2237"/>
      <c r="G342" s="2237"/>
      <c r="H342" s="2237"/>
      <c r="I342" s="2237"/>
      <c r="J342" s="2237"/>
      <c r="K342" s="2237"/>
      <c r="L342" s="2237"/>
      <c r="M342" s="2237"/>
      <c r="N342" s="2237"/>
      <c r="O342" s="2237"/>
      <c r="P342" s="2237"/>
      <c r="Q342" s="2237"/>
      <c r="R342" s="2237"/>
      <c r="S342" s="2237"/>
    </row>
    <row r="343" spans="1:19" ht="14.5" customHeight="1">
      <c r="A343" s="699"/>
    </row>
    <row r="344" spans="1:19" ht="30" customHeight="1">
      <c r="A344" s="699"/>
      <c r="E344" s="700" t="s">
        <v>2059</v>
      </c>
      <c r="F344" s="700"/>
      <c r="G344" s="700" t="s">
        <v>2060</v>
      </c>
      <c r="H344" s="143"/>
      <c r="I344" s="700" t="s">
        <v>2061</v>
      </c>
      <c r="K344" s="700" t="s">
        <v>2062</v>
      </c>
      <c r="L344" s="700"/>
      <c r="M344" s="700" t="s">
        <v>2063</v>
      </c>
      <c r="N344" s="700"/>
      <c r="O344" s="700" t="s">
        <v>80</v>
      </c>
      <c r="P344" s="700"/>
      <c r="Q344" s="700" t="s">
        <v>655</v>
      </c>
      <c r="R344" s="700"/>
      <c r="S344" s="700" t="s">
        <v>216</v>
      </c>
    </row>
    <row r="345" spans="1:19" ht="23.15" customHeight="1">
      <c r="A345" s="699"/>
      <c r="E345" s="1050"/>
      <c r="G345" s="1050"/>
      <c r="I345" s="1050"/>
      <c r="K345" s="1050"/>
      <c r="M345" s="1050"/>
      <c r="O345" s="1050"/>
      <c r="Q345" s="1050"/>
      <c r="S345" s="1058" t="str">
        <f>IF(OR(E345="",G345=0,I345=0,K345=""),"",G345*'Common Lighting References'!$Y$85)</f>
        <v/>
      </c>
    </row>
    <row r="346" spans="1:19" ht="23.15" customHeight="1">
      <c r="A346" s="699"/>
      <c r="E346" s="1049"/>
      <c r="G346" s="1049"/>
      <c r="I346" s="1050"/>
      <c r="K346" s="1050"/>
      <c r="M346" s="1050"/>
      <c r="O346" s="1050"/>
      <c r="Q346" s="1050"/>
      <c r="S346" s="1058" t="str">
        <f>IF(OR(E346="",G346=0,I346=0,K346=""),"",G346*'Common Lighting References'!$Y$85)</f>
        <v/>
      </c>
    </row>
    <row r="347" spans="1:19" ht="23.15" customHeight="1">
      <c r="A347" s="699"/>
      <c r="E347" s="1049"/>
      <c r="G347" s="1049"/>
      <c r="I347" s="1050"/>
      <c r="K347" s="1050"/>
      <c r="M347" s="1050"/>
      <c r="O347" s="1050"/>
      <c r="Q347" s="1050"/>
      <c r="S347" s="1058" t="str">
        <f>IF(OR(E347="",G347=0,I347=0,K347=""),"",G347*'Common Lighting References'!$Y$85)</f>
        <v/>
      </c>
    </row>
    <row r="348" spans="1:19" ht="23.15" customHeight="1">
      <c r="A348" s="699"/>
      <c r="E348" s="1049"/>
      <c r="G348" s="1049"/>
      <c r="I348" s="1050"/>
      <c r="K348" s="1050"/>
      <c r="M348" s="1050"/>
      <c r="O348" s="1050"/>
      <c r="Q348" s="1050"/>
      <c r="S348" s="1058" t="str">
        <f>IF(OR(E348="",G348=0,I348=0,K348=""),"",G348*'Common Lighting References'!$Y$85)</f>
        <v/>
      </c>
    </row>
    <row r="350" spans="1:19" ht="22" customHeight="1">
      <c r="A350" s="699"/>
      <c r="B350" s="2237" t="s">
        <v>2108</v>
      </c>
      <c r="C350" s="2237"/>
      <c r="D350" s="2237"/>
      <c r="E350" s="2237"/>
      <c r="F350" s="2237"/>
      <c r="G350" s="2237"/>
      <c r="H350" s="2237"/>
      <c r="I350" s="2237"/>
      <c r="J350" s="2237"/>
      <c r="K350" s="2237"/>
      <c r="L350" s="2237"/>
      <c r="M350" s="2237"/>
      <c r="N350" s="2237"/>
      <c r="O350" s="2237"/>
      <c r="P350" s="2237"/>
      <c r="Q350" s="2237"/>
      <c r="R350" s="2237"/>
      <c r="S350" s="2237"/>
    </row>
    <row r="351" spans="1:19" ht="14.5" customHeight="1">
      <c r="A351" s="699"/>
    </row>
    <row r="352" spans="1:19" ht="30" customHeight="1">
      <c r="A352" s="699"/>
      <c r="E352" s="700" t="s">
        <v>2059</v>
      </c>
      <c r="F352" s="700"/>
      <c r="G352" s="700" t="s">
        <v>2060</v>
      </c>
      <c r="H352" s="143"/>
      <c r="I352" s="700" t="s">
        <v>2061</v>
      </c>
      <c r="K352" s="2232" t="s">
        <v>2064</v>
      </c>
      <c r="L352" s="2232"/>
      <c r="M352" s="2232"/>
      <c r="N352" s="700"/>
      <c r="O352" s="700" t="s">
        <v>80</v>
      </c>
      <c r="P352" s="700"/>
      <c r="Q352" s="700" t="s">
        <v>655</v>
      </c>
      <c r="R352" s="700"/>
      <c r="S352" s="700" t="s">
        <v>216</v>
      </c>
    </row>
    <row r="353" spans="1:20" ht="23.15" customHeight="1">
      <c r="A353" s="699"/>
      <c r="E353" s="1050"/>
      <c r="G353" s="1050"/>
      <c r="I353" s="1050"/>
      <c r="K353" s="2230"/>
      <c r="L353" s="2230"/>
      <c r="M353" s="2230"/>
      <c r="O353" s="1050"/>
      <c r="Q353" s="1050"/>
      <c r="S353" s="1058" t="str">
        <f>IF(OR(E353="",G353=0,I353=0),"",G353*'Common Lighting References'!$Y$86)</f>
        <v/>
      </c>
    </row>
    <row r="354" spans="1:20" ht="23.15" customHeight="1">
      <c r="A354" s="699"/>
      <c r="E354" s="1049"/>
      <c r="G354" s="1049"/>
      <c r="I354" s="1050"/>
      <c r="K354" s="2230"/>
      <c r="L354" s="2230"/>
      <c r="M354" s="2230"/>
      <c r="O354" s="1050"/>
      <c r="Q354" s="1050"/>
      <c r="S354" s="1058" t="str">
        <f>IF(OR(E354="",G354=0,I354=0),"",G354*'Common Lighting References'!$Y$86)</f>
        <v/>
      </c>
    </row>
    <row r="355" spans="1:20" ht="23.15" customHeight="1">
      <c r="A355" s="699"/>
      <c r="E355" s="1049"/>
      <c r="G355" s="1049"/>
      <c r="I355" s="1050"/>
      <c r="K355" s="2230"/>
      <c r="L355" s="2230"/>
      <c r="M355" s="2230"/>
      <c r="O355" s="1050"/>
      <c r="Q355" s="1050"/>
      <c r="S355" s="1058" t="str">
        <f>IF(OR(E355="",G355=0,I355=0),"",G355*'Common Lighting References'!$Y$86)</f>
        <v/>
      </c>
    </row>
    <row r="356" spans="1:20" ht="23.15" customHeight="1">
      <c r="A356" s="699"/>
      <c r="E356" s="1049"/>
      <c r="G356" s="1049"/>
      <c r="I356" s="1050"/>
      <c r="K356" s="2230"/>
      <c r="L356" s="2230"/>
      <c r="M356" s="2230"/>
      <c r="O356" s="1050"/>
      <c r="Q356" s="1050"/>
      <c r="S356" s="1058" t="str">
        <f>IF(OR(E356="",G356=0,I356=0),"",G356*'Common Lighting References'!$Y$86)</f>
        <v/>
      </c>
    </row>
    <row r="360" spans="1:20" s="42" customFormat="1" ht="22" customHeight="1">
      <c r="B360" s="2237" t="s">
        <v>5248</v>
      </c>
      <c r="C360" s="2237"/>
      <c r="D360" s="2237"/>
      <c r="E360" s="2237"/>
      <c r="F360" s="2237"/>
      <c r="G360" s="2237"/>
      <c r="H360" s="2237"/>
      <c r="I360" s="2237"/>
      <c r="J360" s="2237"/>
      <c r="K360" s="2237"/>
      <c r="L360" s="2237"/>
      <c r="M360" s="2237"/>
      <c r="N360" s="2237"/>
      <c r="O360" s="2237"/>
      <c r="P360" s="2237"/>
      <c r="Q360" s="2237"/>
      <c r="R360" s="2237"/>
      <c r="S360" s="2237"/>
      <c r="T360" s="2237"/>
    </row>
    <row r="361" spans="1:20" s="42" customFormat="1" ht="23.5" customHeight="1">
      <c r="B361" s="1608"/>
      <c r="C361" s="1608"/>
      <c r="D361" s="1608"/>
      <c r="E361" s="1608"/>
      <c r="F361" s="1608"/>
      <c r="G361" s="1608"/>
      <c r="H361" s="1608"/>
      <c r="I361" s="1608"/>
      <c r="J361" s="1608"/>
      <c r="K361" s="1608"/>
      <c r="L361" s="1608"/>
      <c r="M361" s="1608"/>
      <c r="N361" s="1608"/>
      <c r="O361" s="1608"/>
      <c r="P361" s="1608"/>
      <c r="Q361" s="1608"/>
      <c r="R361" s="1608"/>
      <c r="S361" s="1608"/>
      <c r="T361" s="1608"/>
    </row>
    <row r="362" spans="1:20" ht="23.5" customHeight="1">
      <c r="A362" s="42"/>
      <c r="B362" s="76"/>
      <c r="C362" s="76"/>
      <c r="D362" s="76"/>
      <c r="E362" s="700" t="s">
        <v>2059</v>
      </c>
      <c r="F362" s="1624"/>
      <c r="G362" s="700" t="s">
        <v>5234</v>
      </c>
      <c r="H362" s="700"/>
      <c r="I362" s="700" t="s">
        <v>2061</v>
      </c>
      <c r="J362" s="764"/>
      <c r="K362" s="2456" t="s">
        <v>2062</v>
      </c>
      <c r="L362" s="2456"/>
      <c r="M362" s="2456"/>
      <c r="N362" s="143"/>
      <c r="O362" s="1624" t="s">
        <v>80</v>
      </c>
      <c r="P362" s="1624"/>
      <c r="Q362" s="1624" t="s">
        <v>655</v>
      </c>
      <c r="R362" s="1625"/>
      <c r="S362" s="1624" t="s">
        <v>216</v>
      </c>
    </row>
    <row r="363" spans="1:20" ht="23.5" customHeight="1">
      <c r="A363" s="42"/>
      <c r="B363" s="76"/>
      <c r="C363" s="76"/>
      <c r="D363" s="76"/>
      <c r="E363" s="1613"/>
      <c r="F363" s="1614"/>
      <c r="G363" s="1613"/>
      <c r="H363" s="761"/>
      <c r="I363" s="1613"/>
      <c r="J363" s="761"/>
      <c r="K363" s="2230"/>
      <c r="L363" s="2230"/>
      <c r="M363" s="2230"/>
      <c r="O363" s="1050"/>
      <c r="P363" s="761"/>
      <c r="Q363" s="1615"/>
      <c r="R363" s="172"/>
      <c r="S363" s="1058" t="str">
        <f>IF(OR(E363="",G363=0,I363=0,K363=""),"",G363*'Common Lighting References'!$Y$87)</f>
        <v/>
      </c>
    </row>
    <row r="364" spans="1:20" ht="23.5" customHeight="1">
      <c r="A364" s="42"/>
      <c r="B364" s="348"/>
      <c r="C364" s="348"/>
      <c r="D364" s="348"/>
      <c r="E364" s="1613"/>
      <c r="F364" s="1614"/>
      <c r="G364" s="1613"/>
      <c r="H364" s="761"/>
      <c r="I364" s="1613"/>
      <c r="J364" s="761"/>
      <c r="K364" s="2230"/>
      <c r="L364" s="2230"/>
      <c r="M364" s="2230"/>
      <c r="O364" s="1050"/>
      <c r="P364" s="761"/>
      <c r="Q364" s="1615"/>
      <c r="R364" s="172"/>
      <c r="S364" s="1058" t="str">
        <f>IF(OR(E364="",G364=0,I364=0,K364=""),"",G364*'Common Lighting References'!$Y$87)</f>
        <v/>
      </c>
    </row>
    <row r="365" spans="1:20" ht="23.5" customHeight="1">
      <c r="A365" s="42"/>
      <c r="B365" s="76"/>
      <c r="C365" s="76"/>
      <c r="D365" s="76"/>
      <c r="E365" s="1613"/>
      <c r="F365" s="1614"/>
      <c r="G365" s="1613"/>
      <c r="H365" s="761"/>
      <c r="I365" s="1613"/>
      <c r="J365" s="761"/>
      <c r="K365" s="2230"/>
      <c r="L365" s="2230"/>
      <c r="M365" s="2230"/>
      <c r="O365" s="1050"/>
      <c r="P365" s="761"/>
      <c r="Q365" s="1615"/>
      <c r="R365" s="172"/>
      <c r="S365" s="1058" t="str">
        <f>IF(OR(E365="",G365=0,I365=0,K365=""),"",G365*'Common Lighting References'!$Y$87)</f>
        <v/>
      </c>
    </row>
    <row r="366" spans="1:20" ht="23.5" customHeight="1">
      <c r="A366" s="42"/>
      <c r="B366" s="76"/>
      <c r="C366" s="76"/>
      <c r="D366" s="76"/>
      <c r="E366" s="1613"/>
      <c r="F366" s="1614"/>
      <c r="G366" s="1613"/>
      <c r="H366" s="761"/>
      <c r="I366" s="1613"/>
      <c r="J366" s="761"/>
      <c r="K366" s="2230"/>
      <c r="L366" s="2230"/>
      <c r="M366" s="2230"/>
      <c r="O366" s="1050"/>
      <c r="P366" s="761"/>
      <c r="Q366" s="1615"/>
      <c r="R366" s="172"/>
      <c r="S366" s="1058" t="str">
        <f>IF(OR(E366="",G366=0,I366=0,K366=""),"",G366*'Common Lighting References'!$Y$87)</f>
        <v/>
      </c>
    </row>
    <row r="367" spans="1:20" s="42" customFormat="1" ht="23.5" customHeight="1">
      <c r="B367" s="76"/>
      <c r="C367" s="76"/>
      <c r="E367" s="1626"/>
      <c r="F367" s="1626"/>
      <c r="G367" s="1626"/>
      <c r="H367" s="1626"/>
      <c r="I367" s="92"/>
      <c r="J367" s="1627"/>
      <c r="K367" s="761"/>
      <c r="L367" s="761"/>
      <c r="M367" s="761"/>
      <c r="N367" s="1628"/>
      <c r="O367" s="1628"/>
      <c r="P367" s="1628"/>
      <c r="Q367" s="761"/>
      <c r="R367" s="1629"/>
      <c r="S367" s="172"/>
      <c r="T367" s="1630"/>
    </row>
    <row r="368" spans="1:20" s="42" customFormat="1" ht="22" customHeight="1">
      <c r="B368" s="2237" t="s">
        <v>5251</v>
      </c>
      <c r="C368" s="2237"/>
      <c r="D368" s="2237"/>
      <c r="E368" s="2237"/>
      <c r="F368" s="2237"/>
      <c r="G368" s="2237"/>
      <c r="H368" s="2237"/>
      <c r="I368" s="2237"/>
      <c r="J368" s="2237"/>
      <c r="K368" s="2237"/>
      <c r="L368" s="2237"/>
      <c r="M368" s="2237"/>
      <c r="N368" s="2237"/>
      <c r="O368" s="2237"/>
      <c r="P368" s="2237"/>
      <c r="Q368" s="2237"/>
      <c r="R368" s="2237"/>
      <c r="S368" s="2237"/>
      <c r="T368" s="2237"/>
    </row>
    <row r="369" spans="2:21" s="42" customFormat="1" ht="23.5" customHeight="1">
      <c r="B369" s="1608"/>
      <c r="C369" s="1608"/>
      <c r="D369" s="1608"/>
      <c r="E369" s="1608"/>
      <c r="F369" s="1608"/>
      <c r="G369" s="1608"/>
      <c r="H369" s="1608"/>
      <c r="I369" s="1608"/>
      <c r="J369" s="1608"/>
      <c r="K369" s="1608"/>
      <c r="L369" s="1608"/>
      <c r="M369" s="1608"/>
      <c r="N369" s="1608"/>
      <c r="O369" s="1608"/>
      <c r="P369" s="1608"/>
      <c r="Q369" s="1608"/>
      <c r="R369" s="1608"/>
      <c r="S369" s="1608"/>
      <c r="T369" s="1608"/>
    </row>
    <row r="370" spans="2:21" s="42" customFormat="1" ht="23.5" customHeight="1">
      <c r="B370" s="76"/>
      <c r="C370" s="76"/>
      <c r="D370" s="76"/>
      <c r="E370" s="700" t="s">
        <v>2059</v>
      </c>
      <c r="F370" s="1624"/>
      <c r="G370" s="700" t="s">
        <v>5234</v>
      </c>
      <c r="H370" s="700"/>
      <c r="I370" s="700" t="s">
        <v>2061</v>
      </c>
      <c r="J370" s="764"/>
      <c r="K370" s="2456" t="s">
        <v>2062</v>
      </c>
      <c r="L370" s="2456"/>
      <c r="M370" s="2456"/>
      <c r="N370" s="143"/>
      <c r="O370" s="1624" t="s">
        <v>80</v>
      </c>
      <c r="P370" s="1624"/>
      <c r="Q370" s="1624" t="s">
        <v>655</v>
      </c>
      <c r="R370" s="1625"/>
      <c r="S370" s="1624" t="s">
        <v>216</v>
      </c>
      <c r="T370"/>
      <c r="U370"/>
    </row>
    <row r="371" spans="2:21" s="42" customFormat="1" ht="23.5" customHeight="1">
      <c r="B371" s="76"/>
      <c r="C371" s="76"/>
      <c r="D371" s="76"/>
      <c r="E371" s="1613" t="s">
        <v>2871</v>
      </c>
      <c r="F371" s="1614"/>
      <c r="G371" s="1613">
        <v>10</v>
      </c>
      <c r="H371" s="761"/>
      <c r="I371" s="1613">
        <v>30</v>
      </c>
      <c r="J371" s="761"/>
      <c r="K371" s="2230" t="s">
        <v>5503</v>
      </c>
      <c r="L371" s="2230"/>
      <c r="M371" s="2230"/>
      <c r="N371"/>
      <c r="O371" s="1050" t="s">
        <v>88</v>
      </c>
      <c r="P371" s="761"/>
      <c r="Q371" s="1615" t="s">
        <v>5502</v>
      </c>
      <c r="R371" s="172"/>
      <c r="S371" s="1058">
        <f>IF(OR(E371="",G371=0,I371=0,K371=""),"",G371*'Common Lighting References'!$Y$88)</f>
        <v>400</v>
      </c>
      <c r="T371"/>
      <c r="U371"/>
    </row>
    <row r="372" spans="2:21" s="42" customFormat="1" ht="23.5" customHeight="1">
      <c r="B372" s="348"/>
      <c r="C372" s="348"/>
      <c r="D372" s="348"/>
      <c r="E372" s="1613"/>
      <c r="F372" s="1614"/>
      <c r="G372" s="1613"/>
      <c r="H372" s="761"/>
      <c r="I372" s="1613"/>
      <c r="J372" s="761"/>
      <c r="K372" s="2230"/>
      <c r="L372" s="2230"/>
      <c r="M372" s="2230"/>
      <c r="N372"/>
      <c r="O372" s="1050"/>
      <c r="P372" s="761"/>
      <c r="Q372" s="1615"/>
      <c r="R372" s="172"/>
      <c r="S372" s="1058" t="str">
        <f>IF(OR(E372="",G372=0,I372=0,K372=""),"",G372*'Common Lighting References'!$Y$88)</f>
        <v/>
      </c>
      <c r="T372"/>
      <c r="U372"/>
    </row>
    <row r="373" spans="2:21" s="42" customFormat="1" ht="23.5" customHeight="1">
      <c r="B373" s="76"/>
      <c r="C373" s="76"/>
      <c r="D373" s="76"/>
      <c r="E373" s="1613"/>
      <c r="F373" s="1614"/>
      <c r="G373" s="1613"/>
      <c r="H373" s="761"/>
      <c r="I373" s="1613"/>
      <c r="J373" s="761"/>
      <c r="K373" s="2230"/>
      <c r="L373" s="2230"/>
      <c r="M373" s="2230"/>
      <c r="N373"/>
      <c r="O373" s="1050"/>
      <c r="P373" s="761"/>
      <c r="Q373" s="1615"/>
      <c r="R373" s="172"/>
      <c r="S373" s="1058" t="str">
        <f>IF(OR(E373="",G373=0,I373=0,K373=""),"",G373*'Common Lighting References'!$Y$88)</f>
        <v/>
      </c>
      <c r="T373"/>
      <c r="U373"/>
    </row>
    <row r="374" spans="2:21" s="42" customFormat="1" ht="23.5" customHeight="1">
      <c r="B374" s="76"/>
      <c r="C374" s="76"/>
      <c r="D374" s="76"/>
      <c r="E374" s="1613"/>
      <c r="F374" s="1614"/>
      <c r="G374" s="1613"/>
      <c r="H374" s="761"/>
      <c r="I374" s="1613"/>
      <c r="J374" s="761"/>
      <c r="K374" s="2230"/>
      <c r="L374" s="2230"/>
      <c r="M374" s="2230"/>
      <c r="N374"/>
      <c r="O374" s="1050"/>
      <c r="P374" s="761"/>
      <c r="Q374" s="1615"/>
      <c r="R374" s="172"/>
      <c r="S374" s="1058" t="str">
        <f>IF(OR(E374="",G374=0,I374=0,K374=""),"",G374*'Common Lighting References'!$Y$88)</f>
        <v/>
      </c>
      <c r="T374"/>
      <c r="U374"/>
    </row>
    <row r="375" spans="2:21" s="42" customFormat="1" ht="23.5" customHeight="1">
      <c r="B375" s="76"/>
      <c r="C375" s="76"/>
      <c r="E375"/>
      <c r="F375"/>
      <c r="G375"/>
      <c r="H375"/>
      <c r="I375"/>
      <c r="J375"/>
      <c r="K375"/>
      <c r="L375"/>
      <c r="M375"/>
      <c r="N375"/>
      <c r="O375"/>
      <c r="P375"/>
      <c r="Q375"/>
      <c r="R375"/>
      <c r="S375"/>
      <c r="T375"/>
      <c r="U375"/>
    </row>
    <row r="376" spans="2:21" ht="23.5" customHeight="1"/>
    <row r="377" spans="2:21" ht="23.5" customHeight="1"/>
    <row r="378" spans="2:21" ht="23.5" customHeight="1"/>
    <row r="379" spans="2:21" ht="23.5" customHeight="1"/>
    <row r="380" spans="2:21" ht="23.5" customHeight="1"/>
    <row r="381" spans="2:21" ht="23.5" customHeight="1"/>
    <row r="382" spans="2:21" ht="23.5" customHeight="1"/>
  </sheetData>
  <mergeCells count="139">
    <mergeCell ref="K40:M40"/>
    <mergeCell ref="B42:S42"/>
    <mergeCell ref="K44:M44"/>
    <mergeCell ref="K45:M45"/>
    <mergeCell ref="K46:M46"/>
    <mergeCell ref="I173:K173"/>
    <mergeCell ref="M173:O173"/>
    <mergeCell ref="B5:R5"/>
    <mergeCell ref="B7:Q7"/>
    <mergeCell ref="B17:S17"/>
    <mergeCell ref="B25:S25"/>
    <mergeCell ref="K28:M28"/>
    <mergeCell ref="K29:M29"/>
    <mergeCell ref="K30:M30"/>
    <mergeCell ref="K31:M31"/>
    <mergeCell ref="K27:M27"/>
    <mergeCell ref="B34:S34"/>
    <mergeCell ref="K36:M36"/>
    <mergeCell ref="K37:M37"/>
    <mergeCell ref="K38:M38"/>
    <mergeCell ref="K39:M39"/>
    <mergeCell ref="K54:M54"/>
    <mergeCell ref="K55:M55"/>
    <mergeCell ref="K56:M56"/>
    <mergeCell ref="B58:S58"/>
    <mergeCell ref="B66:S66"/>
    <mergeCell ref="K47:M47"/>
    <mergeCell ref="K48:M48"/>
    <mergeCell ref="B50:S50"/>
    <mergeCell ref="K52:M52"/>
    <mergeCell ref="K53:M53"/>
    <mergeCell ref="B74:S74"/>
    <mergeCell ref="B82:S82"/>
    <mergeCell ref="B90:S90"/>
    <mergeCell ref="B98:S98"/>
    <mergeCell ref="B107:S107"/>
    <mergeCell ref="M101:O101"/>
    <mergeCell ref="M102:O102"/>
    <mergeCell ref="M103:O103"/>
    <mergeCell ref="M104:O104"/>
    <mergeCell ref="M100:O100"/>
    <mergeCell ref="I168:K168"/>
    <mergeCell ref="M168:O168"/>
    <mergeCell ref="B126:S126"/>
    <mergeCell ref="B117:S117"/>
    <mergeCell ref="B134:S134"/>
    <mergeCell ref="B142:S142"/>
    <mergeCell ref="B166:S166"/>
    <mergeCell ref="B150:S150"/>
    <mergeCell ref="M152:O152"/>
    <mergeCell ref="M153:O153"/>
    <mergeCell ref="M154:O154"/>
    <mergeCell ref="M155:O155"/>
    <mergeCell ref="M156:O156"/>
    <mergeCell ref="B158:S158"/>
    <mergeCell ref="M111:O111"/>
    <mergeCell ref="M112:O112"/>
    <mergeCell ref="I172:K172"/>
    <mergeCell ref="M169:O169"/>
    <mergeCell ref="M170:O170"/>
    <mergeCell ref="M171:O171"/>
    <mergeCell ref="M172:O172"/>
    <mergeCell ref="I169:K169"/>
    <mergeCell ref="I170:K170"/>
    <mergeCell ref="I171:K171"/>
    <mergeCell ref="B219:S219"/>
    <mergeCell ref="B277:S277"/>
    <mergeCell ref="B260:S260"/>
    <mergeCell ref="B268:S268"/>
    <mergeCell ref="B179:S179"/>
    <mergeCell ref="B187:S187"/>
    <mergeCell ref="B195:S195"/>
    <mergeCell ref="B203:S203"/>
    <mergeCell ref="B211:S211"/>
    <mergeCell ref="B228:S228"/>
    <mergeCell ref="B236:S236"/>
    <mergeCell ref="B244:S244"/>
    <mergeCell ref="B252:S252"/>
    <mergeCell ref="M222:O222"/>
    <mergeCell ref="M223:O223"/>
    <mergeCell ref="M224:O224"/>
    <mergeCell ref="M225:O225"/>
    <mergeCell ref="M221:O221"/>
    <mergeCell ref="K355:M355"/>
    <mergeCell ref="K356:M356"/>
    <mergeCell ref="B342:S342"/>
    <mergeCell ref="B350:S350"/>
    <mergeCell ref="K352:M352"/>
    <mergeCell ref="K353:M353"/>
    <mergeCell ref="K354:M354"/>
    <mergeCell ref="B301:S301"/>
    <mergeCell ref="B310:S310"/>
    <mergeCell ref="B318:S318"/>
    <mergeCell ref="B326:S326"/>
    <mergeCell ref="B334:S334"/>
    <mergeCell ref="M314:O314"/>
    <mergeCell ref="M315:O315"/>
    <mergeCell ref="M316:O316"/>
    <mergeCell ref="M320:O320"/>
    <mergeCell ref="M321:O321"/>
    <mergeCell ref="M322:O322"/>
    <mergeCell ref="M323:O323"/>
    <mergeCell ref="M324:O324"/>
    <mergeCell ref="M313:O313"/>
    <mergeCell ref="M312:O312"/>
    <mergeCell ref="B360:T360"/>
    <mergeCell ref="B368:T368"/>
    <mergeCell ref="Q8:R8"/>
    <mergeCell ref="Q9:R9"/>
    <mergeCell ref="B285:S285"/>
    <mergeCell ref="B293:S293"/>
    <mergeCell ref="M263:O263"/>
    <mergeCell ref="M264:O264"/>
    <mergeCell ref="M265:O265"/>
    <mergeCell ref="M266:O266"/>
    <mergeCell ref="M262:O262"/>
    <mergeCell ref="M271:O271"/>
    <mergeCell ref="M272:O272"/>
    <mergeCell ref="M273:O273"/>
    <mergeCell ref="M274:O274"/>
    <mergeCell ref="M270:O270"/>
    <mergeCell ref="M214:O214"/>
    <mergeCell ref="M215:O215"/>
    <mergeCell ref="M216:O216"/>
    <mergeCell ref="M217:O217"/>
    <mergeCell ref="M213:O213"/>
    <mergeCell ref="M109:O109"/>
    <mergeCell ref="M110:O110"/>
    <mergeCell ref="M113:O113"/>
    <mergeCell ref="K374:M374"/>
    <mergeCell ref="K362:M362"/>
    <mergeCell ref="K370:M370"/>
    <mergeCell ref="K363:M363"/>
    <mergeCell ref="K364:M364"/>
    <mergeCell ref="K365:M365"/>
    <mergeCell ref="K366:M366"/>
    <mergeCell ref="K371:M371"/>
    <mergeCell ref="K372:M372"/>
    <mergeCell ref="K373:M373"/>
  </mergeCells>
  <conditionalFormatting sqref="A1:A2">
    <cfRule type="cellIs" dxfId="100" priority="1" stopIfTrue="1" operator="equal">
      <formula>"Missing Info"</formula>
    </cfRule>
  </conditionalFormatting>
  <conditionalFormatting sqref="B1:I1 N1:U1 Z1:AG1 AL1:AS1 AX1:BE1 BJ1:BQ1 BV1:CC1 CH1:CO1 CT1:DA1 DF1:DM1 DR1:DY1 ED1:EK1 EP1:EW1 FB1:FI1 FN1:FU1 FZ1:GG1 GL1:GS1 GX1:HE1 HJ1:HQ1 HV1:IC1 IH1:IO1 IT1:JA1 JF1:JM1 JR1:JY1 KD1:KK1 KP1:KW1 LB1:LI1 LN1:LU1 LZ1:MG1 ML1:MS1 MX1:NE1 NJ1:NQ1 NV1:OC1 OH1:OO1 OT1:PA1 PF1:PM1 PR1:PY1 QD1:QK1 QP1:QW1 RB1:RI1 RN1:RU1 RZ1:SG1 SL1:SS1 SX1:TE1 TJ1:TQ1 TV1:UC1 UH1:UO1 UT1:VA1 VF1:VM1 VR1:VY1 WD1:WK1 WP1:WW1 XB1:XI1 XN1:XU1 XZ1:YG1 YL1:YS1 YX1:ZE1 ZJ1:ZQ1 ZV1:AAC1 AAH1:AAO1 AAT1:ABA1 ABF1:ABM1 ABR1:ABY1 ACD1:ACK1 ACP1:ACW1 ADB1:ADI1 ADN1:ADU1 ADZ1:AEG1 AEL1:AES1 AEX1:AFE1 AFJ1:AFQ1 AFV1:AGC1 AGH1:AGO1 AGT1:AHA1 AHF1:AHM1 AHR1:AHY1 AID1:AIK1 AIP1:AIW1 AJB1:AJI1 AJN1:AJU1 AJZ1:AKG1 AKL1:AKS1 AKX1:ALE1 ALJ1:ALQ1 ALV1:AMC1 AMH1:AMO1 AMT1:ANA1 ANF1:ANM1 ANR1:ANY1 AOD1:AOK1 AOP1:AOW1 APB1:API1 APN1:APU1 APZ1:AQG1 AQL1:AQS1 AQX1:ARE1 ARJ1:ARQ1 ARV1:ASC1 ASH1:ASO1 AST1:ATA1 ATF1:ATM1 ATR1:ATY1 AUD1:AUK1 AUP1:AUW1 AVB1:AVI1 AVN1:AVU1 AVZ1:AWG1 AWL1:AWS1 AWX1:AXE1 AXJ1:AXQ1 AXV1:AYC1 AYH1:AYO1 AYT1:AZA1 AZF1:AZM1 AZR1:AZY1 BAD1:BAK1 BAP1:BAW1 BBB1:BBI1 BBN1:BBU1 BBZ1:BCG1 BCL1:BCS1 BCX1:BDE1 BDJ1:BDQ1 BDV1:BEC1 BEH1:BEO1 BET1:BFA1 BFF1:BFM1 BFR1:BFY1 BGD1:BGK1 BGP1:BGW1 BHB1:BHI1 BHN1:BHU1 BHZ1:BIG1 BIL1:BIS1 BIX1:BJE1 BJJ1:BJQ1 BJV1:BKC1 BKH1:BKO1 BKT1:BLA1 BLF1:BLM1 BLR1:BLY1 BMD1:BMK1 BMP1:BMW1 BNB1:BNI1 BNN1:BNU1 BNZ1:BOG1 BOL1:BOS1 BOX1:BPE1 BPJ1:BPQ1 BPV1:BQC1 BQH1:BQO1 BQT1:BRA1 BRF1:BRM1 BRR1:BRY1 BSD1:BSK1 BSP1:BSW1 BTB1:BTI1 BTN1:BTU1 BTZ1:BUG1 BUL1:BUS1 BUX1:BVE1 BVJ1:BVQ1 BVV1:BWC1 BWH1:BWO1 BWT1:BXA1 BXF1:BXM1 BXR1:BXY1 BYD1:BYK1 BYP1:BYW1 BZB1:BZI1 BZN1:BZU1 BZZ1:CAG1 CAL1:CAS1 CAX1:CBE1 CBJ1:CBQ1 CBV1:CCC1 CCH1:CCO1 CCT1:CDA1 CDF1:CDM1 CDR1:CDY1 CED1:CEK1 CEP1:CEW1 CFB1:CFI1 CFN1:CFU1 CFZ1:CGG1 CGL1:CGS1 CGX1:CHE1 CHJ1:CHQ1 CHV1:CIC1 CIH1:CIO1 CIT1:CJA1 CJF1:CJM1 CJR1:CJY1 CKD1:CKK1 CKP1:CKW1 CLB1:CLI1 CLN1:CLU1 CLZ1:CMG1 CML1:CMS1 CMX1:CNE1 CNJ1:CNQ1 CNV1:COC1 COH1:COO1 COT1:CPA1 CPF1:CPM1 CPR1:CPY1 CQD1:CQK1 CQP1:CQW1 CRB1:CRI1 CRN1:CRU1 CRZ1:CSG1 CSL1:CSS1 CSX1:CTE1 CTJ1:CTQ1 CTV1:CUC1 CUH1:CUO1 CUT1:CVA1 CVF1:CVM1 CVR1:CVY1 CWD1:CWK1 CWP1:CWW1 CXB1:CXI1 CXN1:CXU1 CXZ1:CYG1 CYL1:CYS1 CYX1:CZE1 CZJ1:CZQ1 CZV1:DAC1 DAH1:DAO1 DAT1:DBA1 DBF1:DBM1 DBR1:DBY1 DCD1:DCK1 DCP1:DCW1 DDB1:DDI1 DDN1:DDU1 DDZ1:DEG1 DEL1:DES1 DEX1:DFE1 DFJ1:DFQ1 DFV1:DGC1 DGH1:DGO1 DGT1:DHA1 DHF1:DHM1 DHR1:DHY1 DID1:DIK1 DIP1:DIW1 DJB1:DJI1 DJN1:DJU1 DJZ1:DKG1 DKL1:DKS1 DKX1:DLE1 DLJ1:DLQ1 DLV1:DMC1 DMH1:DMO1 DMT1:DNA1 DNF1:DNM1 DNR1:DNY1 DOD1:DOK1 DOP1:DOW1 DPB1:DPI1 DPN1:DPU1 DPZ1:DQG1 DQL1:DQS1 DQX1:DRE1 DRJ1:DRQ1 DRV1:DSC1 DSH1:DSO1 DST1:DTA1 DTF1:DTM1 DTR1:DTY1 DUD1:DUK1 DUP1:DUW1 DVB1:DVI1 DVN1:DVU1 DVZ1:DWG1 DWL1:DWS1 DWX1:DXE1 DXJ1:DXQ1 DXV1:DYC1 DYH1:DYO1 DYT1:DZA1 DZF1:DZM1 DZR1:DZY1 EAD1:EAK1 EAP1:EAW1 EBB1:EBI1 EBN1:EBU1 EBZ1:ECG1 ECL1:ECS1 ECX1:EDE1 EDJ1:EDQ1 EDV1:EEC1 EEH1:EEO1 EET1:EFA1 EFF1:EFM1 EFR1:EFY1 EGD1:EGK1 EGP1:EGW1 EHB1:EHI1 EHN1:EHU1 EHZ1:EIG1 EIL1:EIS1 EIX1:EJE1 EJJ1:EJQ1 EJV1:EKC1 EKH1:EKO1 EKT1:ELA1 ELF1:ELM1 ELR1:ELY1 EMD1:EMK1 EMP1:EMW1 ENB1:ENI1 ENN1:ENU1 ENZ1:EOG1 EOL1:EOS1 EOX1:EPE1 EPJ1:EPQ1 EPV1:EQC1 EQH1:EQO1 EQT1:ERA1 ERF1:ERM1 ERR1:ERY1 ESD1:ESK1 ESP1:ESW1 ETB1:ETI1 ETN1:ETU1 ETZ1:EUG1 EUL1:EUS1 EUX1:EVE1 EVJ1:EVQ1 EVV1:EWC1 EWH1:EWO1 EWT1:EXA1 EXF1:EXM1 EXR1:EXY1 EYD1:EYK1 EYP1:EYW1 EZB1:EZI1 EZN1:EZU1 EZZ1:FAG1 FAL1:FAS1 FAX1:FBE1 FBJ1:FBQ1 FBV1:FCC1 FCH1:FCO1 FCT1:FDA1 FDF1:FDM1 FDR1:FDY1 FED1:FEK1 FEP1:FEW1 FFB1:FFI1 FFN1:FFU1 FFZ1:FGG1 FGL1:FGS1 FGX1:FHE1 FHJ1:FHQ1 FHV1:FIC1 FIH1:FIO1 FIT1:FJA1 FJF1:FJM1 FJR1:FJY1 FKD1:FKK1 FKP1:FKW1 FLB1:FLI1 FLN1:FLU1 FLZ1:FMG1 FML1:FMS1 FMX1:FNE1 FNJ1:FNQ1 FNV1:FOC1 FOH1:FOO1 FOT1:FPA1 FPF1:FPM1 FPR1:FPY1 FQD1:FQK1 FQP1:FQW1 FRB1:FRI1 FRN1:FRU1 FRZ1:FSG1 FSL1:FSS1 FSX1:FTE1 FTJ1:FTQ1 FTV1:FUC1 FUH1:FUO1 FUT1:FVA1 FVF1:FVM1 FVR1:FVY1 FWD1:FWK1 FWP1:FWW1 FXB1:FXI1 FXN1:FXU1 FXZ1:FYG1 FYL1:FYS1 FYX1:FZE1 FZJ1:FZQ1 FZV1:GAC1 GAH1:GAO1 GAT1:GBA1 GBF1:GBM1 GBR1:GBY1 GCD1:GCK1 GCP1:GCW1 GDB1:GDI1 GDN1:GDU1 GDZ1:GEG1 GEL1:GES1 GEX1:GFE1 GFJ1:GFQ1 GFV1:GGC1 GGH1:GGO1 GGT1:GHA1 GHF1:GHM1 GHR1:GHY1 GID1:GIK1 GIP1:GIW1 GJB1:GJI1 GJN1:GJU1 GJZ1:GKG1 GKL1:GKS1 GKX1:GLE1 GLJ1:GLQ1 GLV1:GMC1 GMH1:GMO1 GMT1:GNA1 GNF1:GNM1 GNR1:GNY1 GOD1:GOK1 GOP1:GOW1 GPB1:GPI1 GPN1:GPU1 GPZ1:GQG1 GQL1:GQS1 GQX1:GRE1 GRJ1:GRQ1 GRV1:GSC1 GSH1:GSO1 GST1:GTA1 GTF1:GTM1 GTR1:GTY1 GUD1:GUK1 GUP1:GUW1 GVB1:GVI1 GVN1:GVU1 GVZ1:GWG1 GWL1:GWS1 GWX1:GXE1 GXJ1:GXQ1 GXV1:GYC1 GYH1:GYO1 GYT1:GZA1 GZF1:GZM1 GZR1:GZY1 HAD1:HAK1 HAP1:HAW1 HBB1:HBI1 HBN1:HBU1 HBZ1:HCG1 HCL1:HCS1 HCX1:HDE1 HDJ1:HDQ1 HDV1:HEC1 HEH1:HEO1 HET1:HFA1 HFF1:HFM1 HFR1:HFY1 HGD1:HGK1 HGP1:HGW1 HHB1:HHI1 HHN1:HHU1 HHZ1:HIG1 HIL1:HIS1 HIX1:HJE1 HJJ1:HJQ1 HJV1:HKC1 HKH1:HKO1 HKT1:HLA1 HLF1:HLM1 HLR1:HLY1 HMD1:HMK1 HMP1:HMW1 HNB1:HNI1 HNN1:HNU1 HNZ1:HOG1 HOL1:HOS1 HOX1:HPE1 HPJ1:HPQ1 HPV1:HQC1 HQH1:HQO1 HQT1:HRA1 HRF1:HRM1 HRR1:HRY1 HSD1:HSK1 HSP1:HSW1 HTB1:HTI1 HTN1:HTU1 HTZ1:HUG1 HUL1:HUS1 HUX1:HVE1 HVJ1:HVQ1 HVV1:HWC1 HWH1:HWO1 HWT1:HXA1 HXF1:HXM1 HXR1:HXY1 HYD1:HYK1 HYP1:HYW1 HZB1:HZI1 HZN1:HZU1 HZZ1:IAG1 IAL1:IAS1 IAX1:IBE1 IBJ1:IBQ1 IBV1:ICC1 ICH1:ICO1 ICT1:IDA1 IDF1:IDM1 IDR1:IDY1 IED1:IEK1 IEP1:IEW1 IFB1:IFI1 IFN1:IFU1 IFZ1:IGG1 IGL1:IGS1 IGX1:IHE1 IHJ1:IHQ1 IHV1:IIC1 IIH1:IIO1 IIT1:IJA1 IJF1:IJM1 IJR1:IJY1 IKD1:IKK1 IKP1:IKW1 ILB1:ILI1 ILN1:ILU1 ILZ1:IMG1 IML1:IMS1 IMX1:INE1 INJ1:INQ1 INV1:IOC1 IOH1:IOO1 IOT1:IPA1 IPF1:IPM1 IPR1:IPY1 IQD1:IQK1 IQP1:IQW1 IRB1:IRI1 IRN1:IRU1 IRZ1:ISG1 ISL1:ISS1 ISX1:ITE1 ITJ1:ITQ1 ITV1:IUC1 IUH1:IUO1 IUT1:IVA1 IVF1:IVM1 IVR1:IVY1 IWD1:IWK1 IWP1:IWW1 IXB1:IXI1 IXN1:IXU1 IXZ1:IYG1 IYL1:IYS1 IYX1:IZE1 IZJ1:IZQ1 IZV1:JAC1 JAH1:JAO1 JAT1:JBA1 JBF1:JBM1 JBR1:JBY1 JCD1:JCK1 JCP1:JCW1 JDB1:JDI1 JDN1:JDU1 JDZ1:JEG1 JEL1:JES1 JEX1:JFE1 JFJ1:JFQ1 JFV1:JGC1 JGH1:JGO1 JGT1:JHA1 JHF1:JHM1 JHR1:JHY1 JID1:JIK1 JIP1:JIW1 JJB1:JJI1 JJN1:JJU1 JJZ1:JKG1 JKL1:JKS1 JKX1:JLE1 JLJ1:JLQ1 JLV1:JMC1 JMH1:JMO1 JMT1:JNA1 JNF1:JNM1 JNR1:JNY1 JOD1:JOK1 JOP1:JOW1 JPB1:JPI1 JPN1:JPU1 JPZ1:JQG1 JQL1:JQS1 JQX1:JRE1 JRJ1:JRQ1 JRV1:JSC1 JSH1:JSO1 JST1:JTA1 JTF1:JTM1 JTR1:JTY1 JUD1:JUK1 JUP1:JUW1 JVB1:JVI1 JVN1:JVU1 JVZ1:JWG1 JWL1:JWS1 JWX1:JXE1 JXJ1:JXQ1 JXV1:JYC1 JYH1:JYO1 JYT1:JZA1 JZF1:JZM1 JZR1:JZY1 KAD1:KAK1 KAP1:KAW1 KBB1:KBI1 KBN1:KBU1 KBZ1:KCG1 KCL1:KCS1 KCX1:KDE1 KDJ1:KDQ1 KDV1:KEC1 KEH1:KEO1 KET1:KFA1 KFF1:KFM1 KFR1:KFY1 KGD1:KGK1 KGP1:KGW1 KHB1:KHI1 KHN1:KHU1 KHZ1:KIG1 KIL1:KIS1 KIX1:KJE1 KJJ1:KJQ1 KJV1:KKC1 KKH1:KKO1 KKT1:KLA1 KLF1:KLM1 KLR1:KLY1 KMD1:KMK1 KMP1:KMW1 KNB1:KNI1 KNN1:KNU1 KNZ1:KOG1 KOL1:KOS1 KOX1:KPE1 KPJ1:KPQ1 KPV1:KQC1 KQH1:KQO1 KQT1:KRA1 KRF1:KRM1 KRR1:KRY1 KSD1:KSK1 KSP1:KSW1 KTB1:KTI1 KTN1:KTU1 KTZ1:KUG1 KUL1:KUS1 KUX1:KVE1 KVJ1:KVQ1 KVV1:KWC1 KWH1:KWO1 KWT1:KXA1 KXF1:KXM1 KXR1:KXY1 KYD1:KYK1 KYP1:KYW1 KZB1:KZI1 KZN1:KZU1 KZZ1:LAG1 LAL1:LAS1 LAX1:LBE1 LBJ1:LBQ1 LBV1:LCC1 LCH1:LCO1 LCT1:LDA1 LDF1:LDM1 LDR1:LDY1 LED1:LEK1 LEP1:LEW1 LFB1:LFI1 LFN1:LFU1 LFZ1:LGG1 LGL1:LGS1 LGX1:LHE1 LHJ1:LHQ1 LHV1:LIC1 LIH1:LIO1 LIT1:LJA1 LJF1:LJM1 LJR1:LJY1 LKD1:LKK1 LKP1:LKW1 LLB1:LLI1 LLN1:LLU1 LLZ1:LMG1 LML1:LMS1 LMX1:LNE1 LNJ1:LNQ1 LNV1:LOC1 LOH1:LOO1 LOT1:LPA1 LPF1:LPM1 LPR1:LPY1 LQD1:LQK1 LQP1:LQW1 LRB1:LRI1 LRN1:LRU1 LRZ1:LSG1 LSL1:LSS1 LSX1:LTE1 LTJ1:LTQ1 LTV1:LUC1 LUH1:LUO1 LUT1:LVA1 LVF1:LVM1 LVR1:LVY1 LWD1:LWK1 LWP1:LWW1 LXB1:LXI1 LXN1:LXU1 LXZ1:LYG1 LYL1:LYS1 LYX1:LZE1 LZJ1:LZQ1 LZV1:MAC1 MAH1:MAO1 MAT1:MBA1 MBF1:MBM1 MBR1:MBY1 MCD1:MCK1 MCP1:MCW1 MDB1:MDI1 MDN1:MDU1 MDZ1:MEG1 MEL1:MES1 MEX1:MFE1 MFJ1:MFQ1 MFV1:MGC1 MGH1:MGO1 MGT1:MHA1 MHF1:MHM1 MHR1:MHY1 MID1:MIK1 MIP1:MIW1 MJB1:MJI1 MJN1:MJU1 MJZ1:MKG1 MKL1:MKS1 MKX1:MLE1 MLJ1:MLQ1 MLV1:MMC1 MMH1:MMO1 MMT1:MNA1 MNF1:MNM1 MNR1:MNY1 MOD1:MOK1 MOP1:MOW1 MPB1:MPI1 MPN1:MPU1 MPZ1:MQG1 MQL1:MQS1 MQX1:MRE1 MRJ1:MRQ1 MRV1:MSC1 MSH1:MSO1 MST1:MTA1 MTF1:MTM1 MTR1:MTY1 MUD1:MUK1 MUP1:MUW1 MVB1:MVI1 MVN1:MVU1 MVZ1:MWG1 MWL1:MWS1 MWX1:MXE1 MXJ1:MXQ1 MXV1:MYC1 MYH1:MYO1 MYT1:MZA1 MZF1:MZM1 MZR1:MZY1 NAD1:NAK1 NAP1:NAW1 NBB1:NBI1 NBN1:NBU1 NBZ1:NCG1 NCL1:NCS1 NCX1:NDE1 NDJ1:NDQ1 NDV1:NEC1 NEH1:NEO1 NET1:NFA1 NFF1:NFM1 NFR1:NFY1 NGD1:NGK1 NGP1:NGW1 NHB1:NHI1 NHN1:NHU1 NHZ1:NIG1 NIL1:NIS1 NIX1:NJE1 NJJ1:NJQ1 NJV1:NKC1 NKH1:NKO1 NKT1:NLA1 NLF1:NLM1 NLR1:NLY1 NMD1:NMK1 NMP1:NMW1 NNB1:NNI1 NNN1:NNU1 NNZ1:NOG1 NOL1:NOS1 NOX1:NPE1 NPJ1:NPQ1 NPV1:NQC1 NQH1:NQO1 NQT1:NRA1 NRF1:NRM1 NRR1:NRY1 NSD1:NSK1 NSP1:NSW1 NTB1:NTI1 NTN1:NTU1 NTZ1:NUG1 NUL1:NUS1 NUX1:NVE1 NVJ1:NVQ1 NVV1:NWC1 NWH1:NWO1 NWT1:NXA1 NXF1:NXM1 NXR1:NXY1 NYD1:NYK1 NYP1:NYW1 NZB1:NZI1 NZN1:NZU1 NZZ1:OAG1 OAL1:OAS1 OAX1:OBE1 OBJ1:OBQ1 OBV1:OCC1 OCH1:OCO1 OCT1:ODA1 ODF1:ODM1 ODR1:ODY1 OED1:OEK1 OEP1:OEW1 OFB1:OFI1 OFN1:OFU1 OFZ1:OGG1 OGL1:OGS1 OGX1:OHE1 OHJ1:OHQ1 OHV1:OIC1 OIH1:OIO1 OIT1:OJA1 OJF1:OJM1 OJR1:OJY1 OKD1:OKK1 OKP1:OKW1 OLB1:OLI1 OLN1:OLU1 OLZ1:OMG1 OML1:OMS1 OMX1:ONE1 ONJ1:ONQ1 ONV1:OOC1 OOH1:OOO1 OOT1:OPA1 OPF1:OPM1 OPR1:OPY1 OQD1:OQK1 OQP1:OQW1 ORB1:ORI1 ORN1:ORU1 ORZ1:OSG1 OSL1:OSS1 OSX1:OTE1 OTJ1:OTQ1 OTV1:OUC1 OUH1:OUO1 OUT1:OVA1 OVF1:OVM1 OVR1:OVY1 OWD1:OWK1 OWP1:OWW1 OXB1:OXI1 OXN1:OXU1 OXZ1:OYG1 OYL1:OYS1 OYX1:OZE1 OZJ1:OZQ1 OZV1:PAC1 PAH1:PAO1 PAT1:PBA1 PBF1:PBM1 PBR1:PBY1 PCD1:PCK1 PCP1:PCW1 PDB1:PDI1 PDN1:PDU1 PDZ1:PEG1 PEL1:PES1 PEX1:PFE1 PFJ1:PFQ1 PFV1:PGC1 PGH1:PGO1 PGT1:PHA1 PHF1:PHM1 PHR1:PHY1 PID1:PIK1 PIP1:PIW1 PJB1:PJI1 PJN1:PJU1 PJZ1:PKG1 PKL1:PKS1 PKX1:PLE1 PLJ1:PLQ1 PLV1:PMC1 PMH1:PMO1 PMT1:PNA1 PNF1:PNM1 PNR1:PNY1 POD1:POK1 POP1:POW1 PPB1:PPI1 PPN1:PPU1 PPZ1:PQG1 PQL1:PQS1 PQX1:PRE1 PRJ1:PRQ1 PRV1:PSC1 PSH1:PSO1 PST1:PTA1 PTF1:PTM1 PTR1:PTY1 PUD1:PUK1 PUP1:PUW1 PVB1:PVI1 PVN1:PVU1 PVZ1:PWG1 PWL1:PWS1 PWX1:PXE1 PXJ1:PXQ1 PXV1:PYC1 PYH1:PYO1 PYT1:PZA1 PZF1:PZM1 PZR1:PZY1 QAD1:QAK1 QAP1:QAW1 QBB1:QBI1 QBN1:QBU1 QBZ1:QCG1 QCL1:QCS1 QCX1:QDE1 QDJ1:QDQ1 QDV1:QEC1 QEH1:QEO1 QET1:QFA1 QFF1:QFM1 QFR1:QFY1 QGD1:QGK1 QGP1:QGW1 QHB1:QHI1 QHN1:QHU1 QHZ1:QIG1 QIL1:QIS1 QIX1:QJE1 QJJ1:QJQ1 QJV1:QKC1 QKH1:QKO1 QKT1:QLA1 QLF1:QLM1 QLR1:QLY1 QMD1:QMK1 QMP1:QMW1 QNB1:QNI1 QNN1:QNU1 QNZ1:QOG1 QOL1:QOS1 QOX1:QPE1 QPJ1:QPQ1 QPV1:QQC1 QQH1:QQO1 QQT1:QRA1 QRF1:QRM1 QRR1:QRY1 QSD1:QSK1 QSP1:QSW1 QTB1:QTI1 QTN1:QTU1 QTZ1:QUG1 QUL1:QUS1 QUX1:QVE1 QVJ1:QVQ1 QVV1:QWC1 QWH1:QWO1 QWT1:QXA1 QXF1:QXM1 QXR1:QXY1 QYD1:QYK1 QYP1:QYW1 QZB1:QZI1 QZN1:QZU1 QZZ1:RAG1 RAL1:RAS1 RAX1:RBE1 RBJ1:RBQ1 RBV1:RCC1 RCH1:RCO1 RCT1:RDA1 RDF1:RDM1 RDR1:RDY1 RED1:REK1 REP1:REW1 RFB1:RFI1 RFN1:RFU1 RFZ1:RGG1 RGL1:RGS1 RGX1:RHE1 RHJ1:RHQ1 RHV1:RIC1 RIH1:RIO1 RIT1:RJA1 RJF1:RJM1 RJR1:RJY1 RKD1:RKK1 RKP1:RKW1 RLB1:RLI1 RLN1:RLU1 RLZ1:RMG1 RML1:RMS1 RMX1:RNE1 RNJ1:RNQ1 RNV1:ROC1 ROH1:ROO1 ROT1:RPA1 RPF1:RPM1 RPR1:RPY1 RQD1:RQK1 RQP1:RQW1 RRB1:RRI1 RRN1:RRU1 RRZ1:RSG1 RSL1:RSS1 RSX1:RTE1 RTJ1:RTQ1 RTV1:RUC1 RUH1:RUO1 RUT1:RVA1 RVF1:RVM1 RVR1:RVY1 RWD1:RWK1 RWP1:RWW1 RXB1:RXI1 RXN1:RXU1 RXZ1:RYG1 RYL1:RYS1 RYX1:RZE1 RZJ1:RZQ1 RZV1:SAC1 SAH1:SAO1 SAT1:SBA1 SBF1:SBM1 SBR1:SBY1 SCD1:SCK1 SCP1:SCW1 SDB1:SDI1 SDN1:SDU1 SDZ1:SEG1 SEL1:SES1 SEX1:SFE1 SFJ1:SFQ1 SFV1:SGC1 SGH1:SGO1 SGT1:SHA1 SHF1:SHM1 SHR1:SHY1 SID1:SIK1 SIP1:SIW1 SJB1:SJI1 SJN1:SJU1 SJZ1:SKG1 SKL1:SKS1 SKX1:SLE1 SLJ1:SLQ1 SLV1:SMC1 SMH1:SMO1 SMT1:SNA1 SNF1:SNM1 SNR1:SNY1 SOD1:SOK1 SOP1:SOW1 SPB1:SPI1 SPN1:SPU1 SPZ1:SQG1 SQL1:SQS1 SQX1:SRE1 SRJ1:SRQ1 SRV1:SSC1 SSH1:SSO1 SST1:STA1 STF1:STM1 STR1:STY1 SUD1:SUK1 SUP1:SUW1 SVB1:SVI1 SVN1:SVU1 SVZ1:SWG1 SWL1:SWS1 SWX1:SXE1 SXJ1:SXQ1 SXV1:SYC1 SYH1:SYO1 SYT1:SZA1 SZF1:SZM1 SZR1:SZY1 TAD1:TAK1 TAP1:TAW1 TBB1:TBI1 TBN1:TBU1 TBZ1:TCG1 TCL1:TCS1 TCX1:TDE1 TDJ1:TDQ1 TDV1:TEC1 TEH1:TEO1 TET1:TFA1 TFF1:TFM1 TFR1:TFY1 TGD1:TGK1 TGP1:TGW1 THB1:THI1 THN1:THU1 THZ1:TIG1 TIL1:TIS1 TIX1:TJE1 TJJ1:TJQ1 TJV1:TKC1 TKH1:TKO1 TKT1:TLA1 TLF1:TLM1 TLR1:TLY1 TMD1:TMK1 TMP1:TMW1 TNB1:TNI1 TNN1:TNU1 TNZ1:TOG1 TOL1:TOS1 TOX1:TPE1 TPJ1:TPQ1 TPV1:TQC1 TQH1:TQO1 TQT1:TRA1 TRF1:TRM1 TRR1:TRY1 TSD1:TSK1 TSP1:TSW1 TTB1:TTI1 TTN1:TTU1 TTZ1:TUG1 TUL1:TUS1 TUX1:TVE1 TVJ1:TVQ1 TVV1:TWC1 TWH1:TWO1 TWT1:TXA1 TXF1:TXM1 TXR1:TXY1 TYD1:TYK1 TYP1:TYW1 TZB1:TZI1 TZN1:TZU1 TZZ1:UAG1 UAL1:UAS1 UAX1:UBE1 UBJ1:UBQ1 UBV1:UCC1 UCH1:UCO1 UCT1:UDA1 UDF1:UDM1 UDR1:UDY1 UED1:UEK1 UEP1:UEW1 UFB1:UFI1 UFN1:UFU1 UFZ1:UGG1 UGL1:UGS1 UGX1:UHE1 UHJ1:UHQ1 UHV1:UIC1 UIH1:UIO1 UIT1:UJA1 UJF1:UJM1 UJR1:UJY1 UKD1:UKK1 UKP1:UKW1 ULB1:ULI1 ULN1:ULU1 ULZ1:UMG1 UML1:UMS1 UMX1:UNE1 UNJ1:UNQ1 UNV1:UOC1 UOH1:UOO1 UOT1:UPA1 UPF1:UPM1 UPR1:UPY1 UQD1:UQK1 UQP1:UQW1 URB1:URI1 URN1:URU1 URZ1:USG1 USL1:USS1 USX1:UTE1 UTJ1:UTQ1 UTV1:UUC1 UUH1:UUO1 UUT1:UVA1 UVF1:UVM1 UVR1:UVY1 UWD1:UWK1 UWP1:UWW1 UXB1:UXI1 UXN1:UXU1 UXZ1:UYG1 UYL1:UYS1 UYX1:UZE1 UZJ1:UZQ1 UZV1:VAC1 VAH1:VAO1 VAT1:VBA1 VBF1:VBM1 VBR1:VBY1 VCD1:VCK1 VCP1:VCW1 VDB1:VDI1 VDN1:VDU1 VDZ1:VEG1 VEL1:VES1 VEX1:VFE1 VFJ1:VFQ1 VFV1:VGC1 VGH1:VGO1 VGT1:VHA1 VHF1:VHM1 VHR1:VHY1 VID1:VIK1 VIP1:VIW1 VJB1:VJI1 VJN1:VJU1 VJZ1:VKG1 VKL1:VKS1 VKX1:VLE1 VLJ1:VLQ1 VLV1:VMC1 VMH1:VMO1 VMT1:VNA1 VNF1:VNM1 VNR1:VNY1 VOD1:VOK1 VOP1:VOW1 VPB1:VPI1 VPN1:VPU1 VPZ1:VQG1 VQL1:VQS1 VQX1:VRE1 VRJ1:VRQ1 VRV1:VSC1 VSH1:VSO1 VST1:VTA1 VTF1:VTM1 VTR1:VTY1 VUD1:VUK1 VUP1:VUW1 VVB1:VVI1 VVN1:VVU1 VVZ1:VWG1 VWL1:VWS1 VWX1:VXE1 VXJ1:VXQ1 VXV1:VYC1 VYH1:VYO1 VYT1:VZA1 VZF1:VZM1 VZR1:VZY1 WAD1:WAK1 WAP1:WAW1 WBB1:WBI1 WBN1:WBU1 WBZ1:WCG1 WCL1:WCS1 WCX1:WDE1 WDJ1:WDQ1 WDV1:WEC1 WEH1:WEO1 WET1:WFA1 WFF1:WFM1 WFR1:WFY1 WGD1:WGK1 WGP1:WGW1 WHB1:WHI1 WHN1:WHU1 WHZ1:WIG1 WIL1:WIS1 WIX1:WJE1 WJJ1:WJQ1 WJV1:WKC1 WKH1:WKO1 WKT1:WLA1 WLF1:WLM1 WLR1:WLY1 WMD1:WMK1 WMP1:WMW1 WNB1:WNI1 WNN1:WNU1 WNZ1:WOG1 WOL1:WOS1 WOX1:WPE1 WPJ1:WPQ1 WPV1:WQC1 WQH1:WQO1 WQT1:WRA1 WRF1:WRM1 WRR1:WRY1 WSD1:WSK1 WSP1:WSW1 WTB1:WTI1 WTN1:WTU1 WTZ1:WUG1 WUL1:WUS1 WUX1:WVE1 WVJ1:WVQ1 WVV1:WWC1 WWH1:WWO1 WWT1:WXA1 WXF1:WXM1 WXR1:WXY1 WYD1:WYK1 WYP1:WYW1 WZB1:WZI1 WZN1:WZU1 WZZ1:XAG1 XAL1:XAS1 XAX1:XBE1 XBJ1:XBQ1 XBV1:XCC1 XCH1:XCO1 XCT1:XDA1 XDF1:XDM1 XDR1:XDY1 XED1:XEK1 XEP1:XEW1 XFB1:XFD1">
    <cfRule type="cellIs" dxfId="99" priority="3" stopIfTrue="1" operator="equal">
      <formula>"Missing Info"</formula>
    </cfRule>
  </conditionalFormatting>
  <dataValidations count="11">
    <dataValidation type="list" allowBlank="1" showInputMessage="1" showErrorMessage="1" sqref="E145:E148 E137:E140 E20:E23" xr:uid="{1DD65008-942B-4139-B65B-E6DB6C907E99}">
      <formula1>Industrial</formula1>
    </dataValidation>
    <dataValidation type="list" allowBlank="1" showInputMessage="1" showErrorMessage="1" sqref="WVU161:WVU164 M61:M64 M69:M72 M77:M80 M85:M88 M93:M96 M120:M123 M129:M132 M137:M140 M145:M148 M182:M185 M190:M193 M198:M201 M206:M209 M231:M234 M239:M242 M247:M250 M255:M258 M280:M283 M288:M291 M296:M299 M304:M307 M329:M332 M337:M340 M345:M348 M161:M164 JI161:JI164 TE161:TE164 ADA161:ADA164 AMW161:AMW164 AWS161:AWS164 BGO161:BGO164 BQK161:BQK164 CAG161:CAG164 CKC161:CKC164 CTY161:CTY164 DDU161:DDU164 DNQ161:DNQ164 DXM161:DXM164 EHI161:EHI164 ERE161:ERE164 FBA161:FBA164 FKW161:FKW164 FUS161:FUS164 GEO161:GEO164 GOK161:GOK164 GYG161:GYG164 HIC161:HIC164 HRY161:HRY164 IBU161:IBU164 ILQ161:ILQ164 IVM161:IVM164 JFI161:JFI164 JPE161:JPE164 JZA161:JZA164 KIW161:KIW164 KSS161:KSS164 LCO161:LCO164 LMK161:LMK164 LWG161:LWG164 MGC161:MGC164 MPY161:MPY164 MZU161:MZU164 NJQ161:NJQ164 NTM161:NTM164 ODI161:ODI164 ONE161:ONE164 OXA161:OXA164 PGW161:PGW164 PQS161:PQS164 QAO161:QAO164 QKK161:QKK164 QUG161:QUG164 REC161:REC164 RNY161:RNY164 RXU161:RXU164 SHQ161:SHQ164 SRM161:SRM164 TBI161:TBI164 TLE161:TLE164 TVA161:TVA164 UEW161:UEW164 UOS161:UOS164 UYO161:UYO164 VIK161:VIK164 VSG161:VSG164 WCC161:WCC164 WLY161:WLY164 M20:M23" xr:uid="{8D83923D-EE05-4D14-A766-3BAA15300ED5}">
      <formula1>DLC_Rating</formula1>
    </dataValidation>
    <dataValidation type="list" allowBlank="1" showInputMessage="1" showErrorMessage="1" sqref="E53:E56 E28:E31" xr:uid="{03DD7FE3-E0AF-4899-AE37-D4E870A633B9}">
      <formula1>Lamps</formula1>
    </dataValidation>
    <dataValidation type="list" allowBlank="1" showInputMessage="1" showErrorMessage="1" sqref="E37:E40 E45:E48" xr:uid="{5DEFA384-4184-4EAA-BDA5-ED24E41582BB}">
      <formula1>Downlights</formula1>
    </dataValidation>
    <dataValidation type="list" allowBlank="1" showInputMessage="1" showErrorMessage="1" sqref="E61:E64" xr:uid="{4CBD12D5-DAD4-4806-AADD-FBC1D904BA80}">
      <formula1>LR700_Existing</formula1>
    </dataValidation>
    <dataValidation type="list" allowBlank="1" showInputMessage="1" showErrorMessage="1" sqref="E69:E72 E77:E80" xr:uid="{A014FEA2-E195-4785-AA78-8A1154EF32B3}">
      <formula1>Linear_Lamps2</formula1>
    </dataValidation>
    <dataValidation type="list" allowBlank="1" showInputMessage="1" showErrorMessage="1" sqref="E85:E88 E93:E96 E101:E104 E110:E113 E153:E156 JA153:JA156 SW153:SW156 ACS153:ACS156 AMO153:AMO156 AWK153:AWK156 BGG153:BGG156 BQC153:BQC156 BZY153:BZY156 CJU153:CJU156 CTQ153:CTQ156 DDM153:DDM156 DNI153:DNI156 DXE153:DXE156 EHA153:EHA156 EQW153:EQW156 FAS153:FAS156 FKO153:FKO156 FUK153:FUK156 GEG153:GEG156 GOC153:GOC156 GXY153:GXY156 HHU153:HHU156 HRQ153:HRQ156 IBM153:IBM156 ILI153:ILI156 IVE153:IVE156 JFA153:JFA156 JOW153:JOW156 JYS153:JYS156 KIO153:KIO156 KSK153:KSK156 LCG153:LCG156 LMC153:LMC156 LVY153:LVY156 MFU153:MFU156 MPQ153:MPQ156 MZM153:MZM156 NJI153:NJI156 NTE153:NTE156 ODA153:ODA156 OMW153:OMW156 OWS153:OWS156 PGO153:PGO156 PQK153:PQK156 QAG153:QAG156 QKC153:QKC156 QTY153:QTY156 RDU153:RDU156 RNQ153:RNQ156 RXM153:RXM156 SHI153:SHI156 SRE153:SRE156 TBA153:TBA156 TKW153:TKW156 TUS153:TUS156 UEO153:UEO156 UOK153:UOK156 UYG153:UYG156 VIC153:VIC156 VRY153:VRY156 WBU153:WBU156 WLQ153:WLQ156 WVM153:WVM156 E161:E164 JA161:JA164 SW161:SW164 ACS161:ACS164 AMO161:AMO164 AWK161:AWK164 BGG161:BGG164 BQC161:BQC164 BZY161:BZY164 CJU161:CJU164 CTQ161:CTQ164 DDM161:DDM164 DNI161:DNI164 DXE161:DXE164 EHA161:EHA164 EQW161:EQW164 FAS161:FAS164 FKO161:FKO164 FUK161:FUK164 GEG161:GEG164 GOC161:GOC164 GXY161:GXY164 HHU161:HHU164 HRQ161:HRQ164 IBM161:IBM164 ILI161:ILI164 IVE161:IVE164 JFA161:JFA164 JOW161:JOW164 JYS161:JYS164 KIO161:KIO164 KSK161:KSK164 LCG161:LCG164 LMC161:LMC164 LVY161:LVY164 MFU161:MFU164 MPQ161:MPQ164 MZM161:MZM164 NJI161:NJI164 NTE161:NTE164 ODA161:ODA164 OMW161:OMW164 OWS161:OWS164 PGO161:PGO164 PQK161:PQK164 QAG161:QAG164 QKC161:QKC164 QTY161:QTY164 RDU161:RDU164 RNQ161:RNQ164 RXM161:RXM164 SHI161:SHI164 SRE161:SRE164 TBA161:TBA164 TKW161:TKW164 TUS161:TUS164 UEO161:UEO164 UOK161:UOK164 UYG161:UYG164 VIC161:VIC164 VRY161:VRY164 WBU161:WBU164 WLQ161:WLQ164 WVM161:WVM164" xr:uid="{9C11E646-9CF7-4A83-AB0B-7CA409BFF349}">
      <formula1>Linear_Lamps</formula1>
    </dataValidation>
    <dataValidation type="list" allowBlank="1" showInputMessage="1" showErrorMessage="1" sqref="E120:E123" xr:uid="{31DD78AA-66A5-4F3F-BDBE-346ED656EFC8}">
      <formula1>Retro_2ft</formula1>
    </dataValidation>
    <dataValidation type="list" allowBlank="1" showInputMessage="1" showErrorMessage="1" sqref="E129:E132" xr:uid="{DECDD83D-1909-4380-B19E-2B2153F955FF}">
      <formula1>Retro_4ft</formula1>
    </dataValidation>
    <dataValidation type="list" allowBlank="1" showInputMessage="1" showErrorMessage="1" sqref="E371:E374 E190:E193 E198:E201 E206:E209 E214:E217 E222:E225 E231:E234 E239:E242 E247:E250 E255:E258 E263:E266 E271:E274 E280:E283 E288:E291 E296:E299 E304:E307 E313:E316 E321:E324 E329:E332 E337:E340 E345:E348 E182:E185 WVN371:WVN374 JB371:JB374 SX371:SX374 ACT371:ACT374 AMP371:AMP374 AWL371:AWL374 BGH371:BGH374 BQD371:BQD374 BZZ371:BZZ374 CJV371:CJV374 CTR371:CTR374 DDN371:DDN374 DNJ371:DNJ374 DXF371:DXF374 EHB371:EHB374 EQX371:EQX374 FAT371:FAT374 FKP371:FKP374 FUL371:FUL374 GEH371:GEH374 GOD371:GOD374 GXZ371:GXZ374 HHV371:HHV374 HRR371:HRR374 IBN371:IBN374 ILJ371:ILJ374 IVF371:IVF374 JFB371:JFB374 JOX371:JOX374 JYT371:JYT374 KIP371:KIP374 KSL371:KSL374 LCH371:LCH374 LMD371:LMD374 LVZ371:LVZ374 MFV371:MFV374 MPR371:MPR374 MZN371:MZN374 NJJ371:NJJ374 NTF371:NTF374 ODB371:ODB374 OMX371:OMX374 OWT371:OWT374 PGP371:PGP374 PQL371:PQL374 QAH371:QAH374 QKD371:QKD374 QTZ371:QTZ374 RDV371:RDV374 RNR371:RNR374 RXN371:RXN374 SHJ371:SHJ374 SRF371:SRF374 TBB371:TBB374 TKX371:TKX374 TUT371:TUT374 UEP371:UEP374 UOL371:UOL374 UYH371:UYH374 VID371:VID374 VRZ371:VRZ374 WBV371:WBV374 WLR371:WLR374 E363:E366" xr:uid="{9801F559-07A8-4865-8389-8E0FCE4F7DEE}">
      <formula1>Exterior_Existing</formula1>
    </dataValidation>
    <dataValidation type="whole" operator="greaterThan" allowBlank="1" showInputMessage="1" showErrorMessage="1" sqref="G20:G23 I371:I374 I28:I31 G28:G31 I37:I40 G37:G40 G45:G48 I45:I48 G53:G56 I53:I56 G61:G64 I61:I64 G69:G72 I69:I72 G77:G80 I77:I80 G85:G88 I85:I88 G93:G96 I93:I96 G101:G104 I101:I104 G110:G113 I110:I113 G120:G123 I120:I123 G129:G132 I129:I132 G137:G140 I137:I140 G145:G148 I145:I148 G169:G173 G182:G185 I182:I185 G190:G193 I190:I193 G198:G201 I198:I201 G206:G209 I206:I209 G214:G217 I214:I217 G222:G225 I222:I225 G231:G234 I231:I234 I239:I242 G239:G242 G247:G250 I247:I250 G255:G258 I255:I258 G263:G266 I263:I266 G271:G274 I271:I274 I280:I283 G280:G283 I288:I291 G288:G291 G296:G299 I296:I299 G304:G307 I304:I307 G313:G316 I313:I316 G321:G324 I321:I324 G329:G332 I329:I332 G337:G340 I337:I340 G345:G348 I345:I348 G353:G356 I353:I356 G153:G156 JC153:JC156 SY153:SY156 ACU153:ACU156 AMQ153:AMQ156 AWM153:AWM156 BGI153:BGI156 BQE153:BQE156 CAA153:CAA156 CJW153:CJW156 CTS153:CTS156 DDO153:DDO156 DNK153:DNK156 DXG153:DXG156 EHC153:EHC156 EQY153:EQY156 FAU153:FAU156 FKQ153:FKQ156 FUM153:FUM156 GEI153:GEI156 GOE153:GOE156 GYA153:GYA156 HHW153:HHW156 HRS153:HRS156 IBO153:IBO156 ILK153:ILK156 IVG153:IVG156 JFC153:JFC156 JOY153:JOY156 JYU153:JYU156 KIQ153:KIQ156 KSM153:KSM156 LCI153:LCI156 LME153:LME156 LWA153:LWA156 MFW153:MFW156 MPS153:MPS156 MZO153:MZO156 NJK153:NJK156 NTG153:NTG156 ODC153:ODC156 OMY153:OMY156 OWU153:OWU156 PGQ153:PGQ156 PQM153:PQM156 QAI153:QAI156 QKE153:QKE156 QUA153:QUA156 RDW153:RDW156 RNS153:RNS156 RXO153:RXO156 SHK153:SHK156 SRG153:SRG156 TBC153:TBC156 TKY153:TKY156 TUU153:TUU156 UEQ153:UEQ156 UOM153:UOM156 UYI153:UYI156 VIE153:VIE156 VSA153:VSA156 WBW153:WBW156 WLS153:WLS156 WVO153:WVO156 I153:I156 JE153:JE156 TA153:TA156 ACW153:ACW156 AMS153:AMS156 AWO153:AWO156 BGK153:BGK156 BQG153:BQG156 CAC153:CAC156 CJY153:CJY156 CTU153:CTU156 DDQ153:DDQ156 DNM153:DNM156 DXI153:DXI156 EHE153:EHE156 ERA153:ERA156 FAW153:FAW156 FKS153:FKS156 FUO153:FUO156 GEK153:GEK156 GOG153:GOG156 GYC153:GYC156 HHY153:HHY156 HRU153:HRU156 IBQ153:IBQ156 ILM153:ILM156 IVI153:IVI156 JFE153:JFE156 JPA153:JPA156 JYW153:JYW156 KIS153:KIS156 KSO153:KSO156 LCK153:LCK156 LMG153:LMG156 LWC153:LWC156 MFY153:MFY156 MPU153:MPU156 MZQ153:MZQ156 NJM153:NJM156 NTI153:NTI156 ODE153:ODE156 ONA153:ONA156 OWW153:OWW156 PGS153:PGS156 PQO153:PQO156 QAK153:QAK156 QKG153:QKG156 QUC153:QUC156 RDY153:RDY156 RNU153:RNU156 RXQ153:RXQ156 SHM153:SHM156 SRI153:SRI156 TBE153:TBE156 TLA153:TLA156 TUW153:TUW156 UES153:UES156 UOO153:UOO156 UYK153:UYK156 VIG153:VIG156 VSC153:VSC156 WBY153:WBY156 WLU153:WLU156 WVQ153:WVQ156 G161:G164 JC161:JC164 SY161:SY164 ACU161:ACU164 AMQ161:AMQ164 AWM161:AWM164 BGI161:BGI164 BQE161:BQE164 CAA161:CAA164 CJW161:CJW164 CTS161:CTS164 DDO161:DDO164 DNK161:DNK164 DXG161:DXG164 EHC161:EHC164 EQY161:EQY164 FAU161:FAU164 FKQ161:FKQ164 FUM161:FUM164 GEI161:GEI164 GOE161:GOE164 GYA161:GYA164 HHW161:HHW164 HRS161:HRS164 IBO161:IBO164 ILK161:ILK164 IVG161:IVG164 JFC161:JFC164 JOY161:JOY164 JYU161:JYU164 KIQ161:KIQ164 KSM161:KSM164 LCI161:LCI164 LME161:LME164 LWA161:LWA164 MFW161:MFW164 MPS161:MPS164 MZO161:MZO164 NJK161:NJK164 NTG161:NTG164 ODC161:ODC164 OMY161:OMY164 OWU161:OWU164 PGQ161:PGQ164 PQM161:PQM164 QAI161:QAI164 QKE161:QKE164 QUA161:QUA164 RDW161:RDW164 RNS161:RNS164 RXO161:RXO164 SHK161:SHK164 SRG161:SRG164 TBC161:TBC164 TKY161:TKY164 TUU161:TUU164 UEQ161:UEQ164 UOM161:UOM164 UYI161:UYI164 VIE161:VIE164 VSA161:VSA164 WBW161:WBW164 WLS161:WLS164 WVO161:WVO164 I161:I164 JE161:JE164 TA161:TA164 ACW161:ACW164 AMS161:AMS164 AWO161:AWO164 BGK161:BGK164 BQG161:BQG164 CAC161:CAC164 CJY161:CJY164 CTU161:CTU164 DDQ161:DDQ164 DNM161:DNM164 DXI161:DXI164 EHE161:EHE164 ERA161:ERA164 FAW161:FAW164 FKS161:FKS164 FUO161:FUO164 GEK161:GEK164 GOG161:GOG164 GYC161:GYC164 HHY161:HHY164 HRU161:HRU164 IBQ161:IBQ164 ILM161:ILM164 IVI161:IVI164 JFE161:JFE164 JPA161:JPA164 JYW161:JYW164 KIS161:KIS164 KSO161:KSO164 LCK161:LCK164 LMG161:LMG164 LWC161:LWC164 MFY161:MFY164 MPU161:MPU164 MZQ161:MZQ164 NJM161:NJM164 NTI161:NTI164 ODE161:ODE164 ONA161:ONA164 OWW161:OWW164 PGS161:PGS164 PQO161:PQO164 QAK161:QAK164 QKG161:QKG164 QUC161:QUC164 RDY161:RDY164 RNU161:RNU164 RXQ161:RXQ164 SHM161:SHM164 SRI161:SRI164 TBE161:TBE164 TLA161:TLA164 TUW161:TUW164 UES161:UES164 UOO161:UOO164 UYK161:UYK164 VIG161:VIG164 VSC161:VSC164 WBY161:WBY164 WLU161:WLU164 WVQ161:WVQ164 WLV371:WLV374 JD371:JD374 SZ371:SZ374 ACV371:ACV374 AMR371:AMR374 AWN371:AWN374 BGJ371:BGJ374 BQF371:BQF374 CAB371:CAB374 CJX371:CJX374 CTT371:CTT374 DDP371:DDP374 DNL371:DNL374 DXH371:DXH374 EHD371:EHD374 EQZ371:EQZ374 FAV371:FAV374 FKR371:FKR374 FUN371:FUN374 GEJ371:GEJ374 GOF371:GOF374 GYB371:GYB374 HHX371:HHX374 HRT371:HRT374 IBP371:IBP374 ILL371:ILL374 IVH371:IVH374 JFD371:JFD374 JOZ371:JOZ374 JYV371:JYV374 KIR371:KIR374 KSN371:KSN374 LCJ371:LCJ374 LMF371:LMF374 LWB371:LWB374 MFX371:MFX374 MPT371:MPT374 MZP371:MZP374 NJL371:NJL374 NTH371:NTH374 ODD371:ODD374 OMZ371:OMZ374 OWV371:OWV374 PGR371:PGR374 PQN371:PQN374 QAJ371:QAJ374 QKF371:QKF374 QUB371:QUB374 RDX371:RDX374 RNT371:RNT374 RXP371:RXP374 SHL371:SHL374 SRH371:SRH374 TBD371:TBD374 TKZ371:TKZ374 TUV371:TUV374 UER371:UER374 UON371:UON374 UYJ371:UYJ374 VIF371:VIF374 VSB371:VSB374 WBX371:WBX374 WLT371:WLT374 WVP371:WVP374 WVR371:WVR374 JF371:JF374 TB371:TB374 ACX371:ACX374 AMT371:AMT374 AWP371:AWP374 BGL371:BGL374 BQH371:BQH374 CAD371:CAD374 CJZ371:CJZ374 CTV371:CTV374 DDR371:DDR374 DNN371:DNN374 DXJ371:DXJ374 EHF371:EHF374 ERB371:ERB374 FAX371:FAX374 FKT371:FKT374 FUP371:FUP374 GEL371:GEL374 GOH371:GOH374 GYD371:GYD374 HHZ371:HHZ374 HRV371:HRV374 IBR371:IBR374 ILN371:ILN374 IVJ371:IVJ374 JFF371:JFF374 JPB371:JPB374 JYX371:JYX374 KIT371:KIT374 KSP371:KSP374 LCL371:LCL374 LMH371:LMH374 LWD371:LWD374 MFZ371:MFZ374 MPV371:MPV374 MZR371:MZR374 NJN371:NJN374 NTJ371:NTJ374 ODF371:ODF374 ONB371:ONB374 OWX371:OWX374 PGT371:PGT374 PQP371:PQP374 QAL371:QAL374 QKH371:QKH374 QUD371:QUD374 RDZ371:RDZ374 RNV371:RNV374 RXR371:RXR374 SHN371:SHN374 SRJ371:SRJ374 TBF371:TBF374 TLB371:TLB374 TUX371:TUX374 UET371:UET374 UOP371:UOP374 UYL371:UYL374 VIH371:VIH374 VSD371:VSD374 WBZ371:WBZ374 G363:G366 I363:I366 G371:G374 I20:I23" xr:uid="{9A254CB1-7358-4309-8F51-37AB80D1CB26}">
      <formula1>0</formula1>
    </dataValidation>
  </dataValidations>
  <pageMargins left="0.7" right="0.7" top="0.75" bottom="0.75" header="0.3" footer="0.3"/>
  <pageSetup scale="42" orientation="portrait" r:id="rId1"/>
  <rowBreaks count="5" manualBreakCount="5">
    <brk id="65" max="16383" man="1"/>
    <brk id="133" max="16383" man="1"/>
    <brk id="202" max="16383" man="1"/>
    <brk id="276" max="16383" man="1"/>
    <brk id="349" max="16383" man="1"/>
  </rowBreaks>
  <colBreaks count="1" manualBreakCount="1">
    <brk id="389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242691" r:id="rId4" name="Check Box 3">
              <controlPr defaultSize="0" autoFill="0" autoLine="0" autoPict="0">
                <anchor moveWithCells="1" sizeWithCells="1">
                  <from>
                    <xdr:col>14</xdr:col>
                    <xdr:colOff>152400</xdr:colOff>
                    <xdr:row>16</xdr:row>
                    <xdr:rowOff>0</xdr:rowOff>
                  </from>
                  <to>
                    <xdr:col>18</xdr:col>
                    <xdr:colOff>1003300</xdr:colOff>
                    <xdr:row>16</xdr:row>
                    <xdr:rowOff>279400</xdr:rowOff>
                  </to>
                </anchor>
              </controlPr>
            </control>
          </mc:Choice>
        </mc:AlternateContent>
        <mc:AlternateContent xmlns:mc="http://schemas.openxmlformats.org/markup-compatibility/2006">
          <mc:Choice Requires="x14">
            <control shapeId="242692" r:id="rId5" name="Check Box 4">
              <controlPr defaultSize="0" autoFill="0" autoLine="0" autoPict="0">
                <anchor moveWithCells="1" sizeWithCells="1">
                  <from>
                    <xdr:col>14</xdr:col>
                    <xdr:colOff>19050</xdr:colOff>
                    <xdr:row>24</xdr:row>
                    <xdr:rowOff>12700</xdr:rowOff>
                  </from>
                  <to>
                    <xdr:col>18</xdr:col>
                    <xdr:colOff>869950</xdr:colOff>
                    <xdr:row>25</xdr:row>
                    <xdr:rowOff>12700</xdr:rowOff>
                  </to>
                </anchor>
              </controlPr>
            </control>
          </mc:Choice>
        </mc:AlternateContent>
        <mc:AlternateContent xmlns:mc="http://schemas.openxmlformats.org/markup-compatibility/2006">
          <mc:Choice Requires="x14">
            <control shapeId="242693" r:id="rId6" name="Check Box 5">
              <controlPr defaultSize="0" autoFill="0" autoLine="0" autoPict="0">
                <anchor moveWithCells="1" sizeWithCells="1">
                  <from>
                    <xdr:col>14</xdr:col>
                    <xdr:colOff>19050</xdr:colOff>
                    <xdr:row>33</xdr:row>
                    <xdr:rowOff>12700</xdr:rowOff>
                  </from>
                  <to>
                    <xdr:col>18</xdr:col>
                    <xdr:colOff>869950</xdr:colOff>
                    <xdr:row>34</xdr:row>
                    <xdr:rowOff>12700</xdr:rowOff>
                  </to>
                </anchor>
              </controlPr>
            </control>
          </mc:Choice>
        </mc:AlternateContent>
        <mc:AlternateContent xmlns:mc="http://schemas.openxmlformats.org/markup-compatibility/2006">
          <mc:Choice Requires="x14">
            <control shapeId="242694" r:id="rId7" name="Check Box 6">
              <controlPr defaultSize="0" autoFill="0" autoLine="0" autoPict="0">
                <anchor moveWithCells="1" sizeWithCells="1">
                  <from>
                    <xdr:col>14</xdr:col>
                    <xdr:colOff>19050</xdr:colOff>
                    <xdr:row>41</xdr:row>
                    <xdr:rowOff>12700</xdr:rowOff>
                  </from>
                  <to>
                    <xdr:col>18</xdr:col>
                    <xdr:colOff>869950</xdr:colOff>
                    <xdr:row>42</xdr:row>
                    <xdr:rowOff>12700</xdr:rowOff>
                  </to>
                </anchor>
              </controlPr>
            </control>
          </mc:Choice>
        </mc:AlternateContent>
        <mc:AlternateContent xmlns:mc="http://schemas.openxmlformats.org/markup-compatibility/2006">
          <mc:Choice Requires="x14">
            <control shapeId="242695" r:id="rId8" name="Check Box 7">
              <controlPr defaultSize="0" autoFill="0" autoLine="0" autoPict="0">
                <anchor moveWithCells="1" sizeWithCells="1">
                  <from>
                    <xdr:col>14</xdr:col>
                    <xdr:colOff>107950</xdr:colOff>
                    <xdr:row>48</xdr:row>
                    <xdr:rowOff>133350</xdr:rowOff>
                  </from>
                  <to>
                    <xdr:col>18</xdr:col>
                    <xdr:colOff>952500</xdr:colOff>
                    <xdr:row>49</xdr:row>
                    <xdr:rowOff>228600</xdr:rowOff>
                  </to>
                </anchor>
              </controlPr>
            </control>
          </mc:Choice>
        </mc:AlternateContent>
        <mc:AlternateContent xmlns:mc="http://schemas.openxmlformats.org/markup-compatibility/2006">
          <mc:Choice Requires="x14">
            <control shapeId="242696" r:id="rId9" name="Check Box 8">
              <controlPr defaultSize="0" autoFill="0" autoLine="0" autoPict="0">
                <anchor moveWithCells="1" sizeWithCells="1">
                  <from>
                    <xdr:col>14</xdr:col>
                    <xdr:colOff>184150</xdr:colOff>
                    <xdr:row>57</xdr:row>
                    <xdr:rowOff>0</xdr:rowOff>
                  </from>
                  <to>
                    <xdr:col>19</xdr:col>
                    <xdr:colOff>12700</xdr:colOff>
                    <xdr:row>57</xdr:row>
                    <xdr:rowOff>279400</xdr:rowOff>
                  </to>
                </anchor>
              </controlPr>
            </control>
          </mc:Choice>
        </mc:AlternateContent>
        <mc:AlternateContent xmlns:mc="http://schemas.openxmlformats.org/markup-compatibility/2006">
          <mc:Choice Requires="x14">
            <control shapeId="242697" r:id="rId10" name="Check Box 9">
              <controlPr defaultSize="0" autoFill="0" autoLine="0" autoPict="0">
                <anchor moveWithCells="1" sizeWithCells="1">
                  <from>
                    <xdr:col>14</xdr:col>
                    <xdr:colOff>19050</xdr:colOff>
                    <xdr:row>65</xdr:row>
                    <xdr:rowOff>12700</xdr:rowOff>
                  </from>
                  <to>
                    <xdr:col>18</xdr:col>
                    <xdr:colOff>869950</xdr:colOff>
                    <xdr:row>66</xdr:row>
                    <xdr:rowOff>12700</xdr:rowOff>
                  </to>
                </anchor>
              </controlPr>
            </control>
          </mc:Choice>
        </mc:AlternateContent>
        <mc:AlternateContent xmlns:mc="http://schemas.openxmlformats.org/markup-compatibility/2006">
          <mc:Choice Requires="x14">
            <control shapeId="242698" r:id="rId11" name="Check Box 10">
              <controlPr defaultSize="0" autoFill="0" autoLine="0" autoPict="0">
                <anchor moveWithCells="1" sizeWithCells="1">
                  <from>
                    <xdr:col>14</xdr:col>
                    <xdr:colOff>19050</xdr:colOff>
                    <xdr:row>73</xdr:row>
                    <xdr:rowOff>12700</xdr:rowOff>
                  </from>
                  <to>
                    <xdr:col>18</xdr:col>
                    <xdr:colOff>869950</xdr:colOff>
                    <xdr:row>74</xdr:row>
                    <xdr:rowOff>12700</xdr:rowOff>
                  </to>
                </anchor>
              </controlPr>
            </control>
          </mc:Choice>
        </mc:AlternateContent>
        <mc:AlternateContent xmlns:mc="http://schemas.openxmlformats.org/markup-compatibility/2006">
          <mc:Choice Requires="x14">
            <control shapeId="242699" r:id="rId12" name="Check Box 11">
              <controlPr defaultSize="0" autoFill="0" autoLine="0" autoPict="0">
                <anchor moveWithCells="1" sizeWithCells="1">
                  <from>
                    <xdr:col>14</xdr:col>
                    <xdr:colOff>19050</xdr:colOff>
                    <xdr:row>81</xdr:row>
                    <xdr:rowOff>12700</xdr:rowOff>
                  </from>
                  <to>
                    <xdr:col>18</xdr:col>
                    <xdr:colOff>869950</xdr:colOff>
                    <xdr:row>82</xdr:row>
                    <xdr:rowOff>12700</xdr:rowOff>
                  </to>
                </anchor>
              </controlPr>
            </control>
          </mc:Choice>
        </mc:AlternateContent>
        <mc:AlternateContent xmlns:mc="http://schemas.openxmlformats.org/markup-compatibility/2006">
          <mc:Choice Requires="x14">
            <control shapeId="242700" r:id="rId13" name="Check Box 12">
              <controlPr defaultSize="0" autoFill="0" autoLine="0" autoPict="0">
                <anchor moveWithCells="1" sizeWithCells="1">
                  <from>
                    <xdr:col>13</xdr:col>
                    <xdr:colOff>69850</xdr:colOff>
                    <xdr:row>88</xdr:row>
                    <xdr:rowOff>165100</xdr:rowOff>
                  </from>
                  <to>
                    <xdr:col>18</xdr:col>
                    <xdr:colOff>812800</xdr:colOff>
                    <xdr:row>89</xdr:row>
                    <xdr:rowOff>260350</xdr:rowOff>
                  </to>
                </anchor>
              </controlPr>
            </control>
          </mc:Choice>
        </mc:AlternateContent>
        <mc:AlternateContent xmlns:mc="http://schemas.openxmlformats.org/markup-compatibility/2006">
          <mc:Choice Requires="x14">
            <control shapeId="242701" r:id="rId14" name="Check Box 13">
              <controlPr defaultSize="0" autoFill="0" autoLine="0" autoPict="0">
                <anchor moveWithCells="1" sizeWithCells="1">
                  <from>
                    <xdr:col>14</xdr:col>
                    <xdr:colOff>19050</xdr:colOff>
                    <xdr:row>97</xdr:row>
                    <xdr:rowOff>12700</xdr:rowOff>
                  </from>
                  <to>
                    <xdr:col>18</xdr:col>
                    <xdr:colOff>869950</xdr:colOff>
                    <xdr:row>98</xdr:row>
                    <xdr:rowOff>12700</xdr:rowOff>
                  </to>
                </anchor>
              </controlPr>
            </control>
          </mc:Choice>
        </mc:AlternateContent>
        <mc:AlternateContent xmlns:mc="http://schemas.openxmlformats.org/markup-compatibility/2006">
          <mc:Choice Requires="x14">
            <control shapeId="242702" r:id="rId15" name="Check Box 14">
              <controlPr defaultSize="0" autoFill="0" autoLine="0" autoPict="0">
                <anchor moveWithCells="1" sizeWithCells="1">
                  <from>
                    <xdr:col>14</xdr:col>
                    <xdr:colOff>19050</xdr:colOff>
                    <xdr:row>106</xdr:row>
                    <xdr:rowOff>12700</xdr:rowOff>
                  </from>
                  <to>
                    <xdr:col>18</xdr:col>
                    <xdr:colOff>869950</xdr:colOff>
                    <xdr:row>107</xdr:row>
                    <xdr:rowOff>12700</xdr:rowOff>
                  </to>
                </anchor>
              </controlPr>
            </control>
          </mc:Choice>
        </mc:AlternateContent>
        <mc:AlternateContent xmlns:mc="http://schemas.openxmlformats.org/markup-compatibility/2006">
          <mc:Choice Requires="x14">
            <control shapeId="242703" r:id="rId16" name="Check Box 15">
              <controlPr defaultSize="0" autoFill="0" autoLine="0" autoPict="0">
                <anchor moveWithCells="1" sizeWithCells="1">
                  <from>
                    <xdr:col>14</xdr:col>
                    <xdr:colOff>19050</xdr:colOff>
                    <xdr:row>125</xdr:row>
                    <xdr:rowOff>12700</xdr:rowOff>
                  </from>
                  <to>
                    <xdr:col>18</xdr:col>
                    <xdr:colOff>869950</xdr:colOff>
                    <xdr:row>126</xdr:row>
                    <xdr:rowOff>12700</xdr:rowOff>
                  </to>
                </anchor>
              </controlPr>
            </control>
          </mc:Choice>
        </mc:AlternateContent>
        <mc:AlternateContent xmlns:mc="http://schemas.openxmlformats.org/markup-compatibility/2006">
          <mc:Choice Requires="x14">
            <control shapeId="242704" r:id="rId17" name="Check Box 16">
              <controlPr defaultSize="0" autoFill="0" autoLine="0" autoPict="0">
                <anchor moveWithCells="1" sizeWithCells="1">
                  <from>
                    <xdr:col>14</xdr:col>
                    <xdr:colOff>19050</xdr:colOff>
                    <xdr:row>133</xdr:row>
                    <xdr:rowOff>12700</xdr:rowOff>
                  </from>
                  <to>
                    <xdr:col>18</xdr:col>
                    <xdr:colOff>869950</xdr:colOff>
                    <xdr:row>134</xdr:row>
                    <xdr:rowOff>12700</xdr:rowOff>
                  </to>
                </anchor>
              </controlPr>
            </control>
          </mc:Choice>
        </mc:AlternateContent>
        <mc:AlternateContent xmlns:mc="http://schemas.openxmlformats.org/markup-compatibility/2006">
          <mc:Choice Requires="x14">
            <control shapeId="242705" r:id="rId18" name="Check Box 17">
              <controlPr defaultSize="0" autoFill="0" autoLine="0" autoPict="0">
                <anchor moveWithCells="1" sizeWithCells="1">
                  <from>
                    <xdr:col>14</xdr:col>
                    <xdr:colOff>19050</xdr:colOff>
                    <xdr:row>141</xdr:row>
                    <xdr:rowOff>12700</xdr:rowOff>
                  </from>
                  <to>
                    <xdr:col>18</xdr:col>
                    <xdr:colOff>869950</xdr:colOff>
                    <xdr:row>142</xdr:row>
                    <xdr:rowOff>12700</xdr:rowOff>
                  </to>
                </anchor>
              </controlPr>
            </control>
          </mc:Choice>
        </mc:AlternateContent>
        <mc:AlternateContent xmlns:mc="http://schemas.openxmlformats.org/markup-compatibility/2006">
          <mc:Choice Requires="x14">
            <control shapeId="242707" r:id="rId19" name="Check Box 19">
              <controlPr defaultSize="0" autoFill="0" autoLine="0" autoPict="0">
                <anchor moveWithCells="1" sizeWithCells="1">
                  <from>
                    <xdr:col>14</xdr:col>
                    <xdr:colOff>19050</xdr:colOff>
                    <xdr:row>178</xdr:row>
                    <xdr:rowOff>12700</xdr:rowOff>
                  </from>
                  <to>
                    <xdr:col>18</xdr:col>
                    <xdr:colOff>869950</xdr:colOff>
                    <xdr:row>179</xdr:row>
                    <xdr:rowOff>12700</xdr:rowOff>
                  </to>
                </anchor>
              </controlPr>
            </control>
          </mc:Choice>
        </mc:AlternateContent>
        <mc:AlternateContent xmlns:mc="http://schemas.openxmlformats.org/markup-compatibility/2006">
          <mc:Choice Requires="x14">
            <control shapeId="242708" r:id="rId20" name="Check Box 20">
              <controlPr defaultSize="0" autoFill="0" autoLine="0" autoPict="0">
                <anchor moveWithCells="1" sizeWithCells="1">
                  <from>
                    <xdr:col>14</xdr:col>
                    <xdr:colOff>19050</xdr:colOff>
                    <xdr:row>186</xdr:row>
                    <xdr:rowOff>12700</xdr:rowOff>
                  </from>
                  <to>
                    <xdr:col>18</xdr:col>
                    <xdr:colOff>869950</xdr:colOff>
                    <xdr:row>187</xdr:row>
                    <xdr:rowOff>12700</xdr:rowOff>
                  </to>
                </anchor>
              </controlPr>
            </control>
          </mc:Choice>
        </mc:AlternateContent>
        <mc:AlternateContent xmlns:mc="http://schemas.openxmlformats.org/markup-compatibility/2006">
          <mc:Choice Requires="x14">
            <control shapeId="242709" r:id="rId21" name="Check Box 21">
              <controlPr defaultSize="0" autoFill="0" autoLine="0" autoPict="0">
                <anchor moveWithCells="1" sizeWithCells="1">
                  <from>
                    <xdr:col>14</xdr:col>
                    <xdr:colOff>19050</xdr:colOff>
                    <xdr:row>194</xdr:row>
                    <xdr:rowOff>12700</xdr:rowOff>
                  </from>
                  <to>
                    <xdr:col>18</xdr:col>
                    <xdr:colOff>869950</xdr:colOff>
                    <xdr:row>195</xdr:row>
                    <xdr:rowOff>12700</xdr:rowOff>
                  </to>
                </anchor>
              </controlPr>
            </control>
          </mc:Choice>
        </mc:AlternateContent>
        <mc:AlternateContent xmlns:mc="http://schemas.openxmlformats.org/markup-compatibility/2006">
          <mc:Choice Requires="x14">
            <control shapeId="242710" r:id="rId22" name="Check Box 22">
              <controlPr defaultSize="0" autoFill="0" autoLine="0" autoPict="0">
                <anchor moveWithCells="1" sizeWithCells="1">
                  <from>
                    <xdr:col>14</xdr:col>
                    <xdr:colOff>19050</xdr:colOff>
                    <xdr:row>202</xdr:row>
                    <xdr:rowOff>12700</xdr:rowOff>
                  </from>
                  <to>
                    <xdr:col>18</xdr:col>
                    <xdr:colOff>869950</xdr:colOff>
                    <xdr:row>203</xdr:row>
                    <xdr:rowOff>12700</xdr:rowOff>
                  </to>
                </anchor>
              </controlPr>
            </control>
          </mc:Choice>
        </mc:AlternateContent>
        <mc:AlternateContent xmlns:mc="http://schemas.openxmlformats.org/markup-compatibility/2006">
          <mc:Choice Requires="x14">
            <control shapeId="242711" r:id="rId23" name="Check Box 23">
              <controlPr defaultSize="0" autoFill="0" autoLine="0" autoPict="0">
                <anchor moveWithCells="1" sizeWithCells="1">
                  <from>
                    <xdr:col>14</xdr:col>
                    <xdr:colOff>19050</xdr:colOff>
                    <xdr:row>210</xdr:row>
                    <xdr:rowOff>12700</xdr:rowOff>
                  </from>
                  <to>
                    <xdr:col>18</xdr:col>
                    <xdr:colOff>869950</xdr:colOff>
                    <xdr:row>211</xdr:row>
                    <xdr:rowOff>12700</xdr:rowOff>
                  </to>
                </anchor>
              </controlPr>
            </control>
          </mc:Choice>
        </mc:AlternateContent>
        <mc:AlternateContent xmlns:mc="http://schemas.openxmlformats.org/markup-compatibility/2006">
          <mc:Choice Requires="x14">
            <control shapeId="242712" r:id="rId24" name="Check Box 24">
              <controlPr defaultSize="0" autoFill="0" autoLine="0" autoPict="0">
                <anchor moveWithCells="1" sizeWithCells="1">
                  <from>
                    <xdr:col>14</xdr:col>
                    <xdr:colOff>19050</xdr:colOff>
                    <xdr:row>218</xdr:row>
                    <xdr:rowOff>12700</xdr:rowOff>
                  </from>
                  <to>
                    <xdr:col>18</xdr:col>
                    <xdr:colOff>869950</xdr:colOff>
                    <xdr:row>219</xdr:row>
                    <xdr:rowOff>12700</xdr:rowOff>
                  </to>
                </anchor>
              </controlPr>
            </control>
          </mc:Choice>
        </mc:AlternateContent>
        <mc:AlternateContent xmlns:mc="http://schemas.openxmlformats.org/markup-compatibility/2006">
          <mc:Choice Requires="x14">
            <control shapeId="242713" r:id="rId25" name="Check Box 25">
              <controlPr defaultSize="0" autoFill="0" autoLine="0" autoPict="0">
                <anchor moveWithCells="1" sizeWithCells="1">
                  <from>
                    <xdr:col>14</xdr:col>
                    <xdr:colOff>19050</xdr:colOff>
                    <xdr:row>227</xdr:row>
                    <xdr:rowOff>12700</xdr:rowOff>
                  </from>
                  <to>
                    <xdr:col>18</xdr:col>
                    <xdr:colOff>869950</xdr:colOff>
                    <xdr:row>228</xdr:row>
                    <xdr:rowOff>12700</xdr:rowOff>
                  </to>
                </anchor>
              </controlPr>
            </control>
          </mc:Choice>
        </mc:AlternateContent>
        <mc:AlternateContent xmlns:mc="http://schemas.openxmlformats.org/markup-compatibility/2006">
          <mc:Choice Requires="x14">
            <control shapeId="242714" r:id="rId26" name="Check Box 26">
              <controlPr defaultSize="0" autoFill="0" autoLine="0" autoPict="0">
                <anchor moveWithCells="1" sizeWithCells="1">
                  <from>
                    <xdr:col>14</xdr:col>
                    <xdr:colOff>19050</xdr:colOff>
                    <xdr:row>235</xdr:row>
                    <xdr:rowOff>12700</xdr:rowOff>
                  </from>
                  <to>
                    <xdr:col>18</xdr:col>
                    <xdr:colOff>869950</xdr:colOff>
                    <xdr:row>236</xdr:row>
                    <xdr:rowOff>12700</xdr:rowOff>
                  </to>
                </anchor>
              </controlPr>
            </control>
          </mc:Choice>
        </mc:AlternateContent>
        <mc:AlternateContent xmlns:mc="http://schemas.openxmlformats.org/markup-compatibility/2006">
          <mc:Choice Requires="x14">
            <control shapeId="242715" r:id="rId27" name="Check Box 27">
              <controlPr defaultSize="0" autoFill="0" autoLine="0" autoPict="0">
                <anchor moveWithCells="1" sizeWithCells="1">
                  <from>
                    <xdr:col>14</xdr:col>
                    <xdr:colOff>19050</xdr:colOff>
                    <xdr:row>243</xdr:row>
                    <xdr:rowOff>12700</xdr:rowOff>
                  </from>
                  <to>
                    <xdr:col>18</xdr:col>
                    <xdr:colOff>869950</xdr:colOff>
                    <xdr:row>244</xdr:row>
                    <xdr:rowOff>12700</xdr:rowOff>
                  </to>
                </anchor>
              </controlPr>
            </control>
          </mc:Choice>
        </mc:AlternateContent>
        <mc:AlternateContent xmlns:mc="http://schemas.openxmlformats.org/markup-compatibility/2006">
          <mc:Choice Requires="x14">
            <control shapeId="242716" r:id="rId28" name="Check Box 28">
              <controlPr defaultSize="0" autoFill="0" autoLine="0" autoPict="0">
                <anchor moveWithCells="1" sizeWithCells="1">
                  <from>
                    <xdr:col>14</xdr:col>
                    <xdr:colOff>19050</xdr:colOff>
                    <xdr:row>251</xdr:row>
                    <xdr:rowOff>12700</xdr:rowOff>
                  </from>
                  <to>
                    <xdr:col>18</xdr:col>
                    <xdr:colOff>869950</xdr:colOff>
                    <xdr:row>252</xdr:row>
                    <xdr:rowOff>12700</xdr:rowOff>
                  </to>
                </anchor>
              </controlPr>
            </control>
          </mc:Choice>
        </mc:AlternateContent>
        <mc:AlternateContent xmlns:mc="http://schemas.openxmlformats.org/markup-compatibility/2006">
          <mc:Choice Requires="x14">
            <control shapeId="242717" r:id="rId29" name="Check Box 29">
              <controlPr defaultSize="0" autoFill="0" autoLine="0" autoPict="0">
                <anchor moveWithCells="1" sizeWithCells="1">
                  <from>
                    <xdr:col>14</xdr:col>
                    <xdr:colOff>19050</xdr:colOff>
                    <xdr:row>259</xdr:row>
                    <xdr:rowOff>12700</xdr:rowOff>
                  </from>
                  <to>
                    <xdr:col>18</xdr:col>
                    <xdr:colOff>869950</xdr:colOff>
                    <xdr:row>260</xdr:row>
                    <xdr:rowOff>12700</xdr:rowOff>
                  </to>
                </anchor>
              </controlPr>
            </control>
          </mc:Choice>
        </mc:AlternateContent>
        <mc:AlternateContent xmlns:mc="http://schemas.openxmlformats.org/markup-compatibility/2006">
          <mc:Choice Requires="x14">
            <control shapeId="242718" r:id="rId30" name="Check Box 30">
              <controlPr defaultSize="0" autoFill="0" autoLine="0" autoPict="0">
                <anchor moveWithCells="1" sizeWithCells="1">
                  <from>
                    <xdr:col>14</xdr:col>
                    <xdr:colOff>19050</xdr:colOff>
                    <xdr:row>267</xdr:row>
                    <xdr:rowOff>12700</xdr:rowOff>
                  </from>
                  <to>
                    <xdr:col>18</xdr:col>
                    <xdr:colOff>869950</xdr:colOff>
                    <xdr:row>268</xdr:row>
                    <xdr:rowOff>12700</xdr:rowOff>
                  </to>
                </anchor>
              </controlPr>
            </control>
          </mc:Choice>
        </mc:AlternateContent>
        <mc:AlternateContent xmlns:mc="http://schemas.openxmlformats.org/markup-compatibility/2006">
          <mc:Choice Requires="x14">
            <control shapeId="242719" r:id="rId31" name="Check Box 31">
              <controlPr defaultSize="0" autoFill="0" autoLine="0" autoPict="0">
                <anchor moveWithCells="1" sizeWithCells="1">
                  <from>
                    <xdr:col>14</xdr:col>
                    <xdr:colOff>19050</xdr:colOff>
                    <xdr:row>276</xdr:row>
                    <xdr:rowOff>12700</xdr:rowOff>
                  </from>
                  <to>
                    <xdr:col>18</xdr:col>
                    <xdr:colOff>869950</xdr:colOff>
                    <xdr:row>277</xdr:row>
                    <xdr:rowOff>12700</xdr:rowOff>
                  </to>
                </anchor>
              </controlPr>
            </control>
          </mc:Choice>
        </mc:AlternateContent>
        <mc:AlternateContent xmlns:mc="http://schemas.openxmlformats.org/markup-compatibility/2006">
          <mc:Choice Requires="x14">
            <control shapeId="242720" r:id="rId32" name="Check Box 32">
              <controlPr defaultSize="0" autoFill="0" autoLine="0" autoPict="0">
                <anchor moveWithCells="1" sizeWithCells="1">
                  <from>
                    <xdr:col>14</xdr:col>
                    <xdr:colOff>19050</xdr:colOff>
                    <xdr:row>284</xdr:row>
                    <xdr:rowOff>12700</xdr:rowOff>
                  </from>
                  <to>
                    <xdr:col>18</xdr:col>
                    <xdr:colOff>869950</xdr:colOff>
                    <xdr:row>285</xdr:row>
                    <xdr:rowOff>12700</xdr:rowOff>
                  </to>
                </anchor>
              </controlPr>
            </control>
          </mc:Choice>
        </mc:AlternateContent>
        <mc:AlternateContent xmlns:mc="http://schemas.openxmlformats.org/markup-compatibility/2006">
          <mc:Choice Requires="x14">
            <control shapeId="242721" r:id="rId33" name="Check Box 33">
              <controlPr defaultSize="0" autoFill="0" autoLine="0" autoPict="0">
                <anchor moveWithCells="1" sizeWithCells="1">
                  <from>
                    <xdr:col>14</xdr:col>
                    <xdr:colOff>19050</xdr:colOff>
                    <xdr:row>292</xdr:row>
                    <xdr:rowOff>12700</xdr:rowOff>
                  </from>
                  <to>
                    <xdr:col>18</xdr:col>
                    <xdr:colOff>869950</xdr:colOff>
                    <xdr:row>293</xdr:row>
                    <xdr:rowOff>12700</xdr:rowOff>
                  </to>
                </anchor>
              </controlPr>
            </control>
          </mc:Choice>
        </mc:AlternateContent>
        <mc:AlternateContent xmlns:mc="http://schemas.openxmlformats.org/markup-compatibility/2006">
          <mc:Choice Requires="x14">
            <control shapeId="242722" r:id="rId34" name="Check Box 34">
              <controlPr defaultSize="0" autoFill="0" autoLine="0" autoPict="0">
                <anchor moveWithCells="1" sizeWithCells="1">
                  <from>
                    <xdr:col>14</xdr:col>
                    <xdr:colOff>19050</xdr:colOff>
                    <xdr:row>300</xdr:row>
                    <xdr:rowOff>12700</xdr:rowOff>
                  </from>
                  <to>
                    <xdr:col>18</xdr:col>
                    <xdr:colOff>869950</xdr:colOff>
                    <xdr:row>301</xdr:row>
                    <xdr:rowOff>12700</xdr:rowOff>
                  </to>
                </anchor>
              </controlPr>
            </control>
          </mc:Choice>
        </mc:AlternateContent>
        <mc:AlternateContent xmlns:mc="http://schemas.openxmlformats.org/markup-compatibility/2006">
          <mc:Choice Requires="x14">
            <control shapeId="242723" r:id="rId35" name="Check Box 35">
              <controlPr defaultSize="0" autoFill="0" autoLine="0" autoPict="0">
                <anchor moveWithCells="1" sizeWithCells="1">
                  <from>
                    <xdr:col>14</xdr:col>
                    <xdr:colOff>19050</xdr:colOff>
                    <xdr:row>309</xdr:row>
                    <xdr:rowOff>12700</xdr:rowOff>
                  </from>
                  <to>
                    <xdr:col>18</xdr:col>
                    <xdr:colOff>869950</xdr:colOff>
                    <xdr:row>310</xdr:row>
                    <xdr:rowOff>12700</xdr:rowOff>
                  </to>
                </anchor>
              </controlPr>
            </control>
          </mc:Choice>
        </mc:AlternateContent>
        <mc:AlternateContent xmlns:mc="http://schemas.openxmlformats.org/markup-compatibility/2006">
          <mc:Choice Requires="x14">
            <control shapeId="242724" r:id="rId36" name="Check Box 36">
              <controlPr defaultSize="0" autoFill="0" autoLine="0" autoPict="0">
                <anchor moveWithCells="1" sizeWithCells="1">
                  <from>
                    <xdr:col>14</xdr:col>
                    <xdr:colOff>19050</xdr:colOff>
                    <xdr:row>317</xdr:row>
                    <xdr:rowOff>12700</xdr:rowOff>
                  </from>
                  <to>
                    <xdr:col>18</xdr:col>
                    <xdr:colOff>869950</xdr:colOff>
                    <xdr:row>318</xdr:row>
                    <xdr:rowOff>12700</xdr:rowOff>
                  </to>
                </anchor>
              </controlPr>
            </control>
          </mc:Choice>
        </mc:AlternateContent>
        <mc:AlternateContent xmlns:mc="http://schemas.openxmlformats.org/markup-compatibility/2006">
          <mc:Choice Requires="x14">
            <control shapeId="242725" r:id="rId37" name="Check Box 37">
              <controlPr defaultSize="0" autoFill="0" autoLine="0" autoPict="0">
                <anchor moveWithCells="1" sizeWithCells="1">
                  <from>
                    <xdr:col>14</xdr:col>
                    <xdr:colOff>19050</xdr:colOff>
                    <xdr:row>325</xdr:row>
                    <xdr:rowOff>12700</xdr:rowOff>
                  </from>
                  <to>
                    <xdr:col>18</xdr:col>
                    <xdr:colOff>869950</xdr:colOff>
                    <xdr:row>326</xdr:row>
                    <xdr:rowOff>12700</xdr:rowOff>
                  </to>
                </anchor>
              </controlPr>
            </control>
          </mc:Choice>
        </mc:AlternateContent>
        <mc:AlternateContent xmlns:mc="http://schemas.openxmlformats.org/markup-compatibility/2006">
          <mc:Choice Requires="x14">
            <control shapeId="242726" r:id="rId38" name="Check Box 38">
              <controlPr defaultSize="0" autoFill="0" autoLine="0" autoPict="0">
                <anchor moveWithCells="1" sizeWithCells="1">
                  <from>
                    <xdr:col>14</xdr:col>
                    <xdr:colOff>19050</xdr:colOff>
                    <xdr:row>333</xdr:row>
                    <xdr:rowOff>12700</xdr:rowOff>
                  </from>
                  <to>
                    <xdr:col>18</xdr:col>
                    <xdr:colOff>869950</xdr:colOff>
                    <xdr:row>334</xdr:row>
                    <xdr:rowOff>12700</xdr:rowOff>
                  </to>
                </anchor>
              </controlPr>
            </control>
          </mc:Choice>
        </mc:AlternateContent>
        <mc:AlternateContent xmlns:mc="http://schemas.openxmlformats.org/markup-compatibility/2006">
          <mc:Choice Requires="x14">
            <control shapeId="242727" r:id="rId39" name="Check Box 39">
              <controlPr defaultSize="0" autoFill="0" autoLine="0" autoPict="0">
                <anchor moveWithCells="1" sizeWithCells="1">
                  <from>
                    <xdr:col>14</xdr:col>
                    <xdr:colOff>19050</xdr:colOff>
                    <xdr:row>341</xdr:row>
                    <xdr:rowOff>12700</xdr:rowOff>
                  </from>
                  <to>
                    <xdr:col>18</xdr:col>
                    <xdr:colOff>869950</xdr:colOff>
                    <xdr:row>342</xdr:row>
                    <xdr:rowOff>12700</xdr:rowOff>
                  </to>
                </anchor>
              </controlPr>
            </control>
          </mc:Choice>
        </mc:AlternateContent>
        <mc:AlternateContent xmlns:mc="http://schemas.openxmlformats.org/markup-compatibility/2006">
          <mc:Choice Requires="x14">
            <control shapeId="242728" r:id="rId40" name="Check Box 40">
              <controlPr defaultSize="0" autoFill="0" autoLine="0" autoPict="0">
                <anchor moveWithCells="1" sizeWithCells="1">
                  <from>
                    <xdr:col>14</xdr:col>
                    <xdr:colOff>19050</xdr:colOff>
                    <xdr:row>349</xdr:row>
                    <xdr:rowOff>12700</xdr:rowOff>
                  </from>
                  <to>
                    <xdr:col>18</xdr:col>
                    <xdr:colOff>869950</xdr:colOff>
                    <xdr:row>350</xdr:row>
                    <xdr:rowOff>12700</xdr:rowOff>
                  </to>
                </anchor>
              </controlPr>
            </control>
          </mc:Choice>
        </mc:AlternateContent>
        <mc:AlternateContent xmlns:mc="http://schemas.openxmlformats.org/markup-compatibility/2006">
          <mc:Choice Requires="x14">
            <control shapeId="242732" r:id="rId41" name="Check Box 44">
              <controlPr defaultSize="0" autoFill="0" autoLine="0" autoPict="0">
                <anchor moveWithCells="1" sizeWithCells="1">
                  <from>
                    <xdr:col>14</xdr:col>
                    <xdr:colOff>19050</xdr:colOff>
                    <xdr:row>116</xdr:row>
                    <xdr:rowOff>12700</xdr:rowOff>
                  </from>
                  <to>
                    <xdr:col>18</xdr:col>
                    <xdr:colOff>869950</xdr:colOff>
                    <xdr:row>117</xdr:row>
                    <xdr:rowOff>12700</xdr:rowOff>
                  </to>
                </anchor>
              </controlPr>
            </control>
          </mc:Choice>
        </mc:AlternateContent>
        <mc:AlternateContent xmlns:mc="http://schemas.openxmlformats.org/markup-compatibility/2006">
          <mc:Choice Requires="x14">
            <control shapeId="242733" r:id="rId42" name="Check Box 45">
              <controlPr defaultSize="0" autoFill="0" autoLine="0" autoPict="0">
                <anchor moveWithCells="1" sizeWithCells="1">
                  <from>
                    <xdr:col>14</xdr:col>
                    <xdr:colOff>95250</xdr:colOff>
                    <xdr:row>148</xdr:row>
                    <xdr:rowOff>31750</xdr:rowOff>
                  </from>
                  <to>
                    <xdr:col>18</xdr:col>
                    <xdr:colOff>57150</xdr:colOff>
                    <xdr:row>150</xdr:row>
                    <xdr:rowOff>184150</xdr:rowOff>
                  </to>
                </anchor>
              </controlPr>
            </control>
          </mc:Choice>
        </mc:AlternateContent>
        <mc:AlternateContent xmlns:mc="http://schemas.openxmlformats.org/markup-compatibility/2006">
          <mc:Choice Requires="x14">
            <control shapeId="242734" r:id="rId43" name="Check Box 46">
              <controlPr defaultSize="0" autoFill="0" autoLine="0" autoPict="0">
                <anchor moveWithCells="1" sizeWithCells="1">
                  <from>
                    <xdr:col>14</xdr:col>
                    <xdr:colOff>146050</xdr:colOff>
                    <xdr:row>156</xdr:row>
                    <xdr:rowOff>107950</xdr:rowOff>
                  </from>
                  <to>
                    <xdr:col>18</xdr:col>
                    <xdr:colOff>107950</xdr:colOff>
                    <xdr:row>158</xdr:row>
                    <xdr:rowOff>184150</xdr:rowOff>
                  </to>
                </anchor>
              </controlPr>
            </control>
          </mc:Choice>
        </mc:AlternateContent>
        <mc:AlternateContent xmlns:mc="http://schemas.openxmlformats.org/markup-compatibility/2006">
          <mc:Choice Requires="x14">
            <control shapeId="242736" r:id="rId44" name="Check Box 48">
              <controlPr defaultSize="0" autoFill="0" autoLine="0" autoPict="0">
                <anchor moveWithCells="1" sizeWithCells="1">
                  <from>
                    <xdr:col>14</xdr:col>
                    <xdr:colOff>95250</xdr:colOff>
                    <xdr:row>359</xdr:row>
                    <xdr:rowOff>12700</xdr:rowOff>
                  </from>
                  <to>
                    <xdr:col>18</xdr:col>
                    <xdr:colOff>933450</xdr:colOff>
                    <xdr:row>360</xdr:row>
                    <xdr:rowOff>12700</xdr:rowOff>
                  </to>
                </anchor>
              </controlPr>
            </control>
          </mc:Choice>
        </mc:AlternateContent>
        <mc:AlternateContent xmlns:mc="http://schemas.openxmlformats.org/markup-compatibility/2006">
          <mc:Choice Requires="x14">
            <control shapeId="242738" r:id="rId45" name="Check Box 50">
              <controlPr defaultSize="0" autoFill="0" autoLine="0" autoPict="0">
                <anchor moveWithCells="1" sizeWithCells="1">
                  <from>
                    <xdr:col>14</xdr:col>
                    <xdr:colOff>127000</xdr:colOff>
                    <xdr:row>367</xdr:row>
                    <xdr:rowOff>12700</xdr:rowOff>
                  </from>
                  <to>
                    <xdr:col>18</xdr:col>
                    <xdr:colOff>965200</xdr:colOff>
                    <xdr:row>368</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9ABAA56F-7D6C-4B7C-8EF0-1459389AF5A9}">
          <x14:formula1>
            <xm:f>'Common Lighting References'!$BO$16:$BO$21</xm:f>
          </x14:formula1>
          <xm:sqref>E353:E356</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2">
    <tabColor rgb="FFFF0000"/>
  </sheetPr>
  <dimension ref="A2:D1053"/>
  <sheetViews>
    <sheetView zoomScale="90" zoomScaleNormal="90" workbookViewId="0">
      <pane xSplit="1" ySplit="6" topLeftCell="B1039" activePane="bottomRight" state="frozen"/>
      <selection pane="topRight" activeCell="B1" sqref="B1"/>
      <selection pane="bottomLeft" activeCell="A7" sqref="A7"/>
      <selection pane="bottomRight" activeCell="A3" sqref="A3"/>
    </sheetView>
  </sheetViews>
  <sheetFormatPr defaultRowHeight="14.5"/>
  <cols>
    <col min="1" max="1" width="25.453125" bestFit="1" customWidth="1"/>
    <col min="2" max="2" width="145" customWidth="1"/>
    <col min="3" max="3" width="7.1796875" bestFit="1" customWidth="1"/>
    <col min="4" max="4" width="13.453125" bestFit="1" customWidth="1"/>
    <col min="5" max="5" width="32.453125" bestFit="1" customWidth="1"/>
  </cols>
  <sheetData>
    <row r="2" spans="1:4">
      <c r="A2" s="29" t="s">
        <v>5725</v>
      </c>
      <c r="B2" t="s">
        <v>175</v>
      </c>
    </row>
    <row r="3" spans="1:4">
      <c r="A3">
        <v>2024</v>
      </c>
      <c r="B3" t="s">
        <v>179</v>
      </c>
    </row>
    <row r="4" spans="1:4">
      <c r="A4" t="s">
        <v>5682</v>
      </c>
      <c r="B4" t="s">
        <v>224</v>
      </c>
    </row>
    <row r="6" spans="1:4">
      <c r="A6" s="90" t="s">
        <v>228</v>
      </c>
      <c r="B6" s="90" t="s">
        <v>229</v>
      </c>
      <c r="C6" s="90" t="s">
        <v>230</v>
      </c>
      <c r="D6" s="90" t="s">
        <v>231</v>
      </c>
    </row>
    <row r="7" spans="1:4" hidden="1">
      <c r="A7" t="s">
        <v>588</v>
      </c>
      <c r="B7" t="s">
        <v>624</v>
      </c>
      <c r="C7" t="s">
        <v>586</v>
      </c>
      <c r="D7" s="29" t="s">
        <v>587</v>
      </c>
    </row>
    <row r="8" spans="1:4" hidden="1">
      <c r="A8" t="s">
        <v>588</v>
      </c>
      <c r="B8" t="s">
        <v>625</v>
      </c>
      <c r="C8" t="s">
        <v>586</v>
      </c>
      <c r="D8" t="s">
        <v>587</v>
      </c>
    </row>
    <row r="9" spans="1:4" hidden="1">
      <c r="A9" t="s">
        <v>626</v>
      </c>
      <c r="B9" t="s">
        <v>628</v>
      </c>
      <c r="C9" t="s">
        <v>627</v>
      </c>
      <c r="D9" s="29" t="s">
        <v>634</v>
      </c>
    </row>
    <row r="10" spans="1:4" hidden="1">
      <c r="A10" t="s">
        <v>626</v>
      </c>
      <c r="B10" t="s">
        <v>629</v>
      </c>
      <c r="C10" t="s">
        <v>627</v>
      </c>
      <c r="D10" t="s">
        <v>634</v>
      </c>
    </row>
    <row r="11" spans="1:4" hidden="1">
      <c r="A11" t="s">
        <v>626</v>
      </c>
      <c r="B11" t="s">
        <v>633</v>
      </c>
      <c r="C11" t="s">
        <v>627</v>
      </c>
      <c r="D11" s="29" t="s">
        <v>634</v>
      </c>
    </row>
    <row r="12" spans="1:4" hidden="1">
      <c r="A12" t="s">
        <v>626</v>
      </c>
      <c r="B12" t="s">
        <v>630</v>
      </c>
      <c r="C12" t="s">
        <v>627</v>
      </c>
      <c r="D12" t="s">
        <v>634</v>
      </c>
    </row>
    <row r="13" spans="1:4" hidden="1">
      <c r="A13" t="s">
        <v>626</v>
      </c>
      <c r="B13" t="s">
        <v>631</v>
      </c>
      <c r="C13" t="s">
        <v>627</v>
      </c>
      <c r="D13" s="29" t="s">
        <v>634</v>
      </c>
    </row>
    <row r="14" spans="1:4" hidden="1">
      <c r="A14" t="s">
        <v>626</v>
      </c>
      <c r="B14" t="s">
        <v>632</v>
      </c>
      <c r="C14" t="s">
        <v>627</v>
      </c>
      <c r="D14" t="s">
        <v>634</v>
      </c>
    </row>
    <row r="15" spans="1:4" hidden="1">
      <c r="A15" t="s">
        <v>626</v>
      </c>
      <c r="B15" t="s">
        <v>637</v>
      </c>
      <c r="C15" t="s">
        <v>627</v>
      </c>
      <c r="D15" s="29" t="s">
        <v>634</v>
      </c>
    </row>
    <row r="16" spans="1:4" hidden="1">
      <c r="A16" t="s">
        <v>626</v>
      </c>
      <c r="B16" t="s">
        <v>639</v>
      </c>
      <c r="C16" t="s">
        <v>627</v>
      </c>
      <c r="D16" t="s">
        <v>634</v>
      </c>
    </row>
    <row r="17" spans="1:4" hidden="1">
      <c r="A17" t="s">
        <v>626</v>
      </c>
      <c r="B17" t="s">
        <v>640</v>
      </c>
      <c r="C17" t="s">
        <v>627</v>
      </c>
      <c r="D17" s="29" t="s">
        <v>634</v>
      </c>
    </row>
    <row r="18" spans="1:4" hidden="1">
      <c r="A18" t="s">
        <v>626</v>
      </c>
      <c r="B18" t="s">
        <v>641</v>
      </c>
      <c r="C18" t="s">
        <v>627</v>
      </c>
      <c r="D18" t="s">
        <v>634</v>
      </c>
    </row>
    <row r="19" spans="1:4" hidden="1">
      <c r="A19" t="s">
        <v>626</v>
      </c>
      <c r="B19" t="s">
        <v>642</v>
      </c>
      <c r="C19" t="s">
        <v>627</v>
      </c>
      <c r="D19" s="29" t="s">
        <v>634</v>
      </c>
    </row>
    <row r="20" spans="1:4" hidden="1">
      <c r="A20" t="s">
        <v>626</v>
      </c>
      <c r="B20" t="s">
        <v>643</v>
      </c>
      <c r="C20" t="s">
        <v>627</v>
      </c>
      <c r="D20" t="s">
        <v>634</v>
      </c>
    </row>
    <row r="21" spans="1:4" hidden="1">
      <c r="A21" t="s">
        <v>646</v>
      </c>
      <c r="B21" t="s">
        <v>647</v>
      </c>
      <c r="C21" t="s">
        <v>627</v>
      </c>
      <c r="D21" s="29" t="s">
        <v>648</v>
      </c>
    </row>
    <row r="22" spans="1:4" hidden="1">
      <c r="A22" t="s">
        <v>646</v>
      </c>
      <c r="B22" t="s">
        <v>649</v>
      </c>
      <c r="C22" t="s">
        <v>627</v>
      </c>
      <c r="D22" t="s">
        <v>648</v>
      </c>
    </row>
    <row r="23" spans="1:4" hidden="1">
      <c r="A23" t="s">
        <v>646</v>
      </c>
      <c r="B23" t="s">
        <v>650</v>
      </c>
      <c r="C23" t="s">
        <v>627</v>
      </c>
      <c r="D23" s="29" t="s">
        <v>648</v>
      </c>
    </row>
    <row r="24" spans="1:4" hidden="1">
      <c r="A24" t="s">
        <v>656</v>
      </c>
      <c r="B24" t="s">
        <v>657</v>
      </c>
      <c r="C24" t="s">
        <v>627</v>
      </c>
      <c r="D24" t="s">
        <v>660</v>
      </c>
    </row>
    <row r="25" spans="1:4" hidden="1">
      <c r="A25" t="s">
        <v>656</v>
      </c>
      <c r="B25" t="s">
        <v>658</v>
      </c>
      <c r="C25" t="s">
        <v>627</v>
      </c>
      <c r="D25" t="s">
        <v>660</v>
      </c>
    </row>
    <row r="26" spans="1:4" hidden="1">
      <c r="A26" t="s">
        <v>656</v>
      </c>
      <c r="B26" t="s">
        <v>661</v>
      </c>
      <c r="C26" t="s">
        <v>627</v>
      </c>
      <c r="D26" t="s">
        <v>660</v>
      </c>
    </row>
    <row r="27" spans="1:4" hidden="1">
      <c r="A27" t="s">
        <v>656</v>
      </c>
      <c r="B27" t="s">
        <v>662</v>
      </c>
      <c r="C27" t="s">
        <v>627</v>
      </c>
      <c r="D27" t="s">
        <v>660</v>
      </c>
    </row>
    <row r="28" spans="1:4" hidden="1">
      <c r="A28" t="s">
        <v>656</v>
      </c>
      <c r="B28" t="s">
        <v>663</v>
      </c>
      <c r="C28" t="s">
        <v>627</v>
      </c>
      <c r="D28" t="s">
        <v>660</v>
      </c>
    </row>
    <row r="29" spans="1:4" hidden="1">
      <c r="A29" t="s">
        <v>659</v>
      </c>
      <c r="B29" t="s">
        <v>664</v>
      </c>
      <c r="C29" t="s">
        <v>627</v>
      </c>
      <c r="D29" t="s">
        <v>660</v>
      </c>
    </row>
    <row r="30" spans="1:4" hidden="1">
      <c r="A30" t="s">
        <v>659</v>
      </c>
      <c r="B30" t="s">
        <v>665</v>
      </c>
      <c r="C30" t="s">
        <v>627</v>
      </c>
      <c r="D30" t="s">
        <v>660</v>
      </c>
    </row>
    <row r="31" spans="1:4" hidden="1">
      <c r="A31" t="s">
        <v>666</v>
      </c>
      <c r="B31" t="s">
        <v>667</v>
      </c>
      <c r="C31" t="s">
        <v>627</v>
      </c>
      <c r="D31" t="s">
        <v>660</v>
      </c>
    </row>
    <row r="32" spans="1:4" hidden="1">
      <c r="A32" t="s">
        <v>666</v>
      </c>
      <c r="B32" t="s">
        <v>720</v>
      </c>
      <c r="C32" t="s">
        <v>627</v>
      </c>
      <c r="D32" t="s">
        <v>660</v>
      </c>
    </row>
    <row r="33" spans="1:4" hidden="1">
      <c r="A33" t="s">
        <v>666</v>
      </c>
      <c r="B33" t="s">
        <v>722</v>
      </c>
      <c r="C33" t="s">
        <v>627</v>
      </c>
      <c r="D33" t="s">
        <v>660</v>
      </c>
    </row>
    <row r="34" spans="1:4" hidden="1">
      <c r="A34" t="s">
        <v>666</v>
      </c>
      <c r="B34" t="s">
        <v>721</v>
      </c>
      <c r="C34" t="s">
        <v>627</v>
      </c>
      <c r="D34" t="s">
        <v>660</v>
      </c>
    </row>
    <row r="35" spans="1:4" hidden="1">
      <c r="A35" t="s">
        <v>747</v>
      </c>
      <c r="B35" t="s">
        <v>748</v>
      </c>
      <c r="C35" t="s">
        <v>627</v>
      </c>
      <c r="D35" t="s">
        <v>749</v>
      </c>
    </row>
    <row r="36" spans="1:4" hidden="1">
      <c r="A36" t="s">
        <v>747</v>
      </c>
      <c r="B36" t="s">
        <v>750</v>
      </c>
      <c r="C36" t="s">
        <v>627</v>
      </c>
      <c r="D36" t="s">
        <v>749</v>
      </c>
    </row>
    <row r="37" spans="1:4" hidden="1">
      <c r="A37" t="s">
        <v>747</v>
      </c>
      <c r="B37" t="s">
        <v>751</v>
      </c>
      <c r="C37" t="s">
        <v>627</v>
      </c>
      <c r="D37" t="s">
        <v>749</v>
      </c>
    </row>
    <row r="38" spans="1:4" hidden="1">
      <c r="A38" t="s">
        <v>747</v>
      </c>
      <c r="B38" t="s">
        <v>798</v>
      </c>
      <c r="C38" t="s">
        <v>627</v>
      </c>
      <c r="D38" t="s">
        <v>749</v>
      </c>
    </row>
    <row r="39" spans="1:4" hidden="1">
      <c r="A39" t="s">
        <v>800</v>
      </c>
      <c r="B39" t="s">
        <v>801</v>
      </c>
      <c r="C39" t="s">
        <v>627</v>
      </c>
      <c r="D39" t="s">
        <v>749</v>
      </c>
    </row>
    <row r="40" spans="1:4" hidden="1">
      <c r="A40" t="s">
        <v>800</v>
      </c>
      <c r="B40" t="s">
        <v>802</v>
      </c>
      <c r="C40" t="s">
        <v>627</v>
      </c>
      <c r="D40" t="s">
        <v>749</v>
      </c>
    </row>
    <row r="41" spans="1:4" hidden="1">
      <c r="A41" t="s">
        <v>800</v>
      </c>
      <c r="B41" t="s">
        <v>803</v>
      </c>
      <c r="C41" t="s">
        <v>627</v>
      </c>
      <c r="D41" t="s">
        <v>749</v>
      </c>
    </row>
    <row r="42" spans="1:4" hidden="1">
      <c r="A42" t="s">
        <v>811</v>
      </c>
      <c r="B42" t="s">
        <v>804</v>
      </c>
      <c r="C42" t="s">
        <v>586</v>
      </c>
      <c r="D42" t="s">
        <v>810</v>
      </c>
    </row>
    <row r="43" spans="1:4" hidden="1">
      <c r="A43" t="s">
        <v>811</v>
      </c>
      <c r="B43" t="s">
        <v>805</v>
      </c>
      <c r="C43" t="s">
        <v>586</v>
      </c>
      <c r="D43" t="s">
        <v>810</v>
      </c>
    </row>
    <row r="44" spans="1:4" hidden="1">
      <c r="A44" t="s">
        <v>811</v>
      </c>
      <c r="B44" t="s">
        <v>806</v>
      </c>
      <c r="C44" t="s">
        <v>586</v>
      </c>
      <c r="D44" t="s">
        <v>810</v>
      </c>
    </row>
    <row r="45" spans="1:4" hidden="1">
      <c r="A45" t="s">
        <v>811</v>
      </c>
      <c r="B45" t="s">
        <v>807</v>
      </c>
      <c r="C45" t="s">
        <v>586</v>
      </c>
      <c r="D45" t="s">
        <v>810</v>
      </c>
    </row>
    <row r="46" spans="1:4" hidden="1">
      <c r="A46" t="s">
        <v>811</v>
      </c>
      <c r="B46" t="s">
        <v>808</v>
      </c>
      <c r="C46" t="s">
        <v>586</v>
      </c>
      <c r="D46" t="s">
        <v>810</v>
      </c>
    </row>
    <row r="47" spans="1:4" hidden="1">
      <c r="A47" t="s">
        <v>811</v>
      </c>
      <c r="B47" t="s">
        <v>809</v>
      </c>
      <c r="C47" t="s">
        <v>586</v>
      </c>
      <c r="D47" t="s">
        <v>810</v>
      </c>
    </row>
    <row r="48" spans="1:4" hidden="1">
      <c r="A48" t="s">
        <v>813</v>
      </c>
      <c r="B48" t="s">
        <v>812</v>
      </c>
      <c r="C48" t="s">
        <v>586</v>
      </c>
      <c r="D48" t="s">
        <v>810</v>
      </c>
    </row>
    <row r="49" spans="1:4" hidden="1">
      <c r="A49" t="s">
        <v>813</v>
      </c>
      <c r="B49" t="s">
        <v>814</v>
      </c>
      <c r="C49" t="s">
        <v>627</v>
      </c>
      <c r="D49" t="s">
        <v>810</v>
      </c>
    </row>
    <row r="50" spans="1:4" hidden="1">
      <c r="A50" t="s">
        <v>813</v>
      </c>
      <c r="B50" t="s">
        <v>815</v>
      </c>
      <c r="C50" t="s">
        <v>627</v>
      </c>
      <c r="D50" t="s">
        <v>810</v>
      </c>
    </row>
    <row r="51" spans="1:4" hidden="1">
      <c r="A51" t="s">
        <v>813</v>
      </c>
      <c r="B51" t="s">
        <v>816</v>
      </c>
      <c r="C51" t="s">
        <v>627</v>
      </c>
      <c r="D51" t="s">
        <v>810</v>
      </c>
    </row>
    <row r="52" spans="1:4" hidden="1">
      <c r="A52" t="s">
        <v>813</v>
      </c>
      <c r="B52" t="s">
        <v>817</v>
      </c>
      <c r="C52" t="s">
        <v>627</v>
      </c>
      <c r="D52" t="s">
        <v>810</v>
      </c>
    </row>
    <row r="53" spans="1:4" hidden="1">
      <c r="A53" t="s">
        <v>813</v>
      </c>
      <c r="B53" t="s">
        <v>818</v>
      </c>
      <c r="C53" t="s">
        <v>627</v>
      </c>
      <c r="D53" t="s">
        <v>810</v>
      </c>
    </row>
    <row r="54" spans="1:4" hidden="1">
      <c r="A54" t="s">
        <v>813</v>
      </c>
      <c r="B54" t="s">
        <v>819</v>
      </c>
      <c r="C54" t="s">
        <v>627</v>
      </c>
      <c r="D54" t="s">
        <v>810</v>
      </c>
    </row>
    <row r="55" spans="1:4" hidden="1">
      <c r="A55" t="s">
        <v>813</v>
      </c>
      <c r="B55" t="s">
        <v>820</v>
      </c>
      <c r="C55" t="s">
        <v>627</v>
      </c>
      <c r="D55" t="s">
        <v>810</v>
      </c>
    </row>
    <row r="56" spans="1:4" hidden="1">
      <c r="A56" t="s">
        <v>851</v>
      </c>
      <c r="B56" t="s">
        <v>849</v>
      </c>
      <c r="C56" t="s">
        <v>627</v>
      </c>
      <c r="D56" t="s">
        <v>850</v>
      </c>
    </row>
    <row r="57" spans="1:4" hidden="1">
      <c r="A57" t="s">
        <v>851</v>
      </c>
      <c r="B57" t="s">
        <v>852</v>
      </c>
      <c r="C57" t="s">
        <v>627</v>
      </c>
      <c r="D57" t="s">
        <v>850</v>
      </c>
    </row>
    <row r="58" spans="1:4" hidden="1">
      <c r="A58" t="s">
        <v>851</v>
      </c>
      <c r="B58" t="s">
        <v>853</v>
      </c>
      <c r="C58" t="s">
        <v>627</v>
      </c>
      <c r="D58" t="s">
        <v>850</v>
      </c>
    </row>
    <row r="59" spans="1:4" hidden="1">
      <c r="A59" t="s">
        <v>851</v>
      </c>
      <c r="B59" t="s">
        <v>854</v>
      </c>
      <c r="C59" t="s">
        <v>627</v>
      </c>
      <c r="D59" t="s">
        <v>850</v>
      </c>
    </row>
    <row r="60" spans="1:4" hidden="1">
      <c r="A60" t="s">
        <v>851</v>
      </c>
      <c r="B60" t="s">
        <v>855</v>
      </c>
      <c r="C60" t="s">
        <v>627</v>
      </c>
      <c r="D60" t="s">
        <v>850</v>
      </c>
    </row>
    <row r="61" spans="1:4" hidden="1">
      <c r="A61" t="s">
        <v>851</v>
      </c>
      <c r="B61" t="s">
        <v>856</v>
      </c>
      <c r="C61" t="s">
        <v>627</v>
      </c>
      <c r="D61" t="s">
        <v>850</v>
      </c>
    </row>
    <row r="62" spans="1:4" hidden="1">
      <c r="A62" t="s">
        <v>851</v>
      </c>
      <c r="B62" t="s">
        <v>857</v>
      </c>
      <c r="C62" t="s">
        <v>627</v>
      </c>
      <c r="D62" t="s">
        <v>850</v>
      </c>
    </row>
    <row r="63" spans="1:4" hidden="1">
      <c r="A63" t="s">
        <v>851</v>
      </c>
      <c r="B63" t="s">
        <v>858</v>
      </c>
      <c r="C63" t="s">
        <v>627</v>
      </c>
      <c r="D63" t="s">
        <v>850</v>
      </c>
    </row>
    <row r="64" spans="1:4" hidden="1">
      <c r="A64" t="s">
        <v>851</v>
      </c>
      <c r="B64" t="s">
        <v>859</v>
      </c>
      <c r="C64" t="s">
        <v>627</v>
      </c>
      <c r="D64" t="s">
        <v>850</v>
      </c>
    </row>
    <row r="65" spans="1:4" hidden="1">
      <c r="A65" t="s">
        <v>851</v>
      </c>
      <c r="B65" t="s">
        <v>860</v>
      </c>
      <c r="C65" t="s">
        <v>627</v>
      </c>
      <c r="D65" t="s">
        <v>850</v>
      </c>
    </row>
    <row r="66" spans="1:4" hidden="1">
      <c r="A66" t="s">
        <v>851</v>
      </c>
      <c r="B66" t="s">
        <v>861</v>
      </c>
      <c r="C66" t="s">
        <v>627</v>
      </c>
      <c r="D66" t="s">
        <v>850</v>
      </c>
    </row>
    <row r="67" spans="1:4" hidden="1">
      <c r="A67" t="s">
        <v>851</v>
      </c>
      <c r="B67" t="s">
        <v>864</v>
      </c>
      <c r="C67" t="s">
        <v>627</v>
      </c>
      <c r="D67" t="s">
        <v>850</v>
      </c>
    </row>
    <row r="68" spans="1:4" hidden="1">
      <c r="A68" t="s">
        <v>851</v>
      </c>
      <c r="B68" t="s">
        <v>865</v>
      </c>
      <c r="C68" t="s">
        <v>627</v>
      </c>
      <c r="D68" t="s">
        <v>850</v>
      </c>
    </row>
    <row r="69" spans="1:4" hidden="1">
      <c r="A69" t="s">
        <v>851</v>
      </c>
      <c r="B69" t="s">
        <v>867</v>
      </c>
      <c r="C69" t="s">
        <v>627</v>
      </c>
      <c r="D69" t="s">
        <v>850</v>
      </c>
    </row>
    <row r="70" spans="1:4" hidden="1">
      <c r="A70" t="s">
        <v>851</v>
      </c>
      <c r="B70" t="s">
        <v>868</v>
      </c>
      <c r="C70" t="s">
        <v>627</v>
      </c>
      <c r="D70" t="s">
        <v>850</v>
      </c>
    </row>
    <row r="71" spans="1:4" hidden="1">
      <c r="A71" t="s">
        <v>851</v>
      </c>
      <c r="B71" t="s">
        <v>870</v>
      </c>
      <c r="C71" t="s">
        <v>586</v>
      </c>
      <c r="D71" t="s">
        <v>850</v>
      </c>
    </row>
    <row r="72" spans="1:4" hidden="1">
      <c r="A72" t="s">
        <v>851</v>
      </c>
      <c r="B72" t="s">
        <v>871</v>
      </c>
      <c r="C72" t="s">
        <v>586</v>
      </c>
      <c r="D72" t="s">
        <v>850</v>
      </c>
    </row>
    <row r="73" spans="1:4" hidden="1">
      <c r="A73" t="s">
        <v>872</v>
      </c>
      <c r="B73" t="s">
        <v>873</v>
      </c>
      <c r="C73" t="s">
        <v>627</v>
      </c>
      <c r="D73" t="s">
        <v>874</v>
      </c>
    </row>
    <row r="74" spans="1:4" hidden="1">
      <c r="A74" t="s">
        <v>872</v>
      </c>
      <c r="B74" t="s">
        <v>875</v>
      </c>
      <c r="C74" t="s">
        <v>627</v>
      </c>
      <c r="D74" t="s">
        <v>874</v>
      </c>
    </row>
    <row r="75" spans="1:4" hidden="1">
      <c r="A75" t="s">
        <v>872</v>
      </c>
      <c r="B75" t="s">
        <v>876</v>
      </c>
      <c r="C75" t="s">
        <v>627</v>
      </c>
      <c r="D75" t="s">
        <v>874</v>
      </c>
    </row>
    <row r="76" spans="1:4" hidden="1">
      <c r="A76" t="s">
        <v>872</v>
      </c>
      <c r="B76" t="s">
        <v>877</v>
      </c>
      <c r="C76" t="s">
        <v>627</v>
      </c>
      <c r="D76" t="s">
        <v>874</v>
      </c>
    </row>
    <row r="77" spans="1:4" hidden="1">
      <c r="A77" t="s">
        <v>882</v>
      </c>
      <c r="B77" t="s">
        <v>884</v>
      </c>
      <c r="C77" t="s">
        <v>586</v>
      </c>
      <c r="D77" t="s">
        <v>883</v>
      </c>
    </row>
    <row r="78" spans="1:4" hidden="1">
      <c r="A78" t="s">
        <v>882</v>
      </c>
      <c r="B78" t="s">
        <v>885</v>
      </c>
      <c r="C78" t="s">
        <v>586</v>
      </c>
      <c r="D78" t="s">
        <v>883</v>
      </c>
    </row>
    <row r="79" spans="1:4" hidden="1">
      <c r="A79" t="s">
        <v>882</v>
      </c>
      <c r="B79" t="s">
        <v>886</v>
      </c>
      <c r="C79" t="s">
        <v>586</v>
      </c>
      <c r="D79" t="s">
        <v>883</v>
      </c>
    </row>
    <row r="80" spans="1:4" hidden="1">
      <c r="A80" t="s">
        <v>887</v>
      </c>
      <c r="B80" t="s">
        <v>888</v>
      </c>
      <c r="C80" t="s">
        <v>627</v>
      </c>
      <c r="D80" t="s">
        <v>890</v>
      </c>
    </row>
    <row r="81" spans="1:4" hidden="1">
      <c r="A81" t="s">
        <v>887</v>
      </c>
      <c r="B81" t="s">
        <v>889</v>
      </c>
      <c r="C81" t="s">
        <v>627</v>
      </c>
      <c r="D81" t="s">
        <v>890</v>
      </c>
    </row>
    <row r="82" spans="1:4" hidden="1">
      <c r="A82" t="s">
        <v>887</v>
      </c>
      <c r="B82" t="s">
        <v>904</v>
      </c>
      <c r="C82" t="s">
        <v>627</v>
      </c>
      <c r="D82" t="s">
        <v>890</v>
      </c>
    </row>
    <row r="83" spans="1:4" hidden="1">
      <c r="A83" t="s">
        <v>887</v>
      </c>
      <c r="B83" t="s">
        <v>905</v>
      </c>
      <c r="C83" t="s">
        <v>627</v>
      </c>
      <c r="D83" t="s">
        <v>890</v>
      </c>
    </row>
    <row r="84" spans="1:4" hidden="1">
      <c r="A84" t="s">
        <v>887</v>
      </c>
      <c r="B84" t="s">
        <v>906</v>
      </c>
      <c r="C84" t="s">
        <v>627</v>
      </c>
      <c r="D84" t="s">
        <v>890</v>
      </c>
    </row>
    <row r="85" spans="1:4" hidden="1">
      <c r="A85" t="s">
        <v>887</v>
      </c>
      <c r="B85" t="s">
        <v>907</v>
      </c>
      <c r="C85" t="s">
        <v>627</v>
      </c>
      <c r="D85" t="s">
        <v>890</v>
      </c>
    </row>
    <row r="86" spans="1:4" hidden="1">
      <c r="A86" t="s">
        <v>887</v>
      </c>
      <c r="B86" t="s">
        <v>908</v>
      </c>
      <c r="C86" t="s">
        <v>627</v>
      </c>
      <c r="D86" t="s">
        <v>910</v>
      </c>
    </row>
    <row r="87" spans="1:4" hidden="1">
      <c r="A87" t="s">
        <v>887</v>
      </c>
      <c r="B87" t="s">
        <v>909</v>
      </c>
      <c r="C87" t="s">
        <v>627</v>
      </c>
      <c r="D87" t="s">
        <v>910</v>
      </c>
    </row>
    <row r="88" spans="1:4" hidden="1">
      <c r="A88" t="s">
        <v>887</v>
      </c>
      <c r="B88" t="s">
        <v>911</v>
      </c>
      <c r="C88" t="s">
        <v>627</v>
      </c>
      <c r="D88" t="s">
        <v>910</v>
      </c>
    </row>
    <row r="89" spans="1:4" hidden="1">
      <c r="A89" t="s">
        <v>887</v>
      </c>
      <c r="B89" t="s">
        <v>912</v>
      </c>
      <c r="C89" t="s">
        <v>627</v>
      </c>
      <c r="D89" t="s">
        <v>910</v>
      </c>
    </row>
    <row r="90" spans="1:4" hidden="1">
      <c r="A90" t="s">
        <v>914</v>
      </c>
      <c r="B90" t="s">
        <v>915</v>
      </c>
      <c r="C90" t="s">
        <v>586</v>
      </c>
      <c r="D90" t="s">
        <v>913</v>
      </c>
    </row>
    <row r="91" spans="1:4" hidden="1">
      <c r="A91" t="s">
        <v>936</v>
      </c>
      <c r="B91" t="s">
        <v>937</v>
      </c>
      <c r="C91" t="s">
        <v>586</v>
      </c>
      <c r="D91" s="384">
        <v>1</v>
      </c>
    </row>
    <row r="92" spans="1:4" hidden="1">
      <c r="A92" t="s">
        <v>916</v>
      </c>
      <c r="B92" t="s">
        <v>917</v>
      </c>
      <c r="C92" t="s">
        <v>627</v>
      </c>
      <c r="D92" t="s">
        <v>918</v>
      </c>
    </row>
    <row r="93" spans="1:4" hidden="1">
      <c r="A93" t="s">
        <v>916</v>
      </c>
      <c r="B93" t="s">
        <v>919</v>
      </c>
      <c r="C93" t="s">
        <v>627</v>
      </c>
      <c r="D93" t="s">
        <v>918</v>
      </c>
    </row>
    <row r="94" spans="1:4" hidden="1">
      <c r="A94" t="s">
        <v>916</v>
      </c>
      <c r="B94" t="s">
        <v>922</v>
      </c>
      <c r="C94" t="s">
        <v>627</v>
      </c>
      <c r="D94" t="s">
        <v>918</v>
      </c>
    </row>
    <row r="95" spans="1:4" hidden="1">
      <c r="A95" t="s">
        <v>916</v>
      </c>
      <c r="B95" t="s">
        <v>926</v>
      </c>
      <c r="C95" t="s">
        <v>627</v>
      </c>
      <c r="D95" t="s">
        <v>918</v>
      </c>
    </row>
    <row r="96" spans="1:4" hidden="1">
      <c r="A96" t="s">
        <v>916</v>
      </c>
      <c r="B96" t="s">
        <v>927</v>
      </c>
      <c r="C96" t="s">
        <v>627</v>
      </c>
      <c r="D96" t="s">
        <v>918</v>
      </c>
    </row>
    <row r="97" spans="1:4" hidden="1">
      <c r="A97" t="s">
        <v>916</v>
      </c>
      <c r="B97" t="s">
        <v>928</v>
      </c>
      <c r="C97" t="s">
        <v>627</v>
      </c>
      <c r="D97" t="s">
        <v>918</v>
      </c>
    </row>
    <row r="98" spans="1:4" hidden="1">
      <c r="A98" t="s">
        <v>930</v>
      </c>
      <c r="B98" t="s">
        <v>931</v>
      </c>
      <c r="C98" t="s">
        <v>627</v>
      </c>
      <c r="D98" t="s">
        <v>932</v>
      </c>
    </row>
    <row r="99" spans="1:4" hidden="1">
      <c r="A99" t="s">
        <v>930</v>
      </c>
      <c r="B99" t="s">
        <v>933</v>
      </c>
      <c r="C99" t="s">
        <v>627</v>
      </c>
      <c r="D99" t="s">
        <v>932</v>
      </c>
    </row>
    <row r="100" spans="1:4" hidden="1">
      <c r="A100" t="s">
        <v>934</v>
      </c>
      <c r="B100" t="s">
        <v>942</v>
      </c>
      <c r="C100" t="s">
        <v>627</v>
      </c>
      <c r="D100" t="s">
        <v>932</v>
      </c>
    </row>
    <row r="101" spans="1:4" hidden="1">
      <c r="A101" t="s">
        <v>934</v>
      </c>
      <c r="B101" t="s">
        <v>935</v>
      </c>
      <c r="C101" t="s">
        <v>627</v>
      </c>
      <c r="D101" t="s">
        <v>932</v>
      </c>
    </row>
    <row r="102" spans="1:4" hidden="1">
      <c r="A102" t="s">
        <v>938</v>
      </c>
      <c r="B102" t="s">
        <v>939</v>
      </c>
      <c r="C102" t="s">
        <v>627</v>
      </c>
      <c r="D102" t="s">
        <v>940</v>
      </c>
    </row>
    <row r="103" spans="1:4" hidden="1">
      <c r="A103" t="s">
        <v>938</v>
      </c>
      <c r="B103" t="s">
        <v>941</v>
      </c>
      <c r="C103" t="s">
        <v>627</v>
      </c>
      <c r="D103" t="s">
        <v>940</v>
      </c>
    </row>
    <row r="104" spans="1:4" hidden="1">
      <c r="A104" t="s">
        <v>938</v>
      </c>
      <c r="B104" t="s">
        <v>948</v>
      </c>
      <c r="C104" t="s">
        <v>627</v>
      </c>
      <c r="D104" t="s">
        <v>940</v>
      </c>
    </row>
    <row r="105" spans="1:4" hidden="1">
      <c r="A105" t="s">
        <v>950</v>
      </c>
      <c r="B105" t="s">
        <v>951</v>
      </c>
      <c r="C105" t="s">
        <v>627</v>
      </c>
      <c r="D105" t="s">
        <v>940</v>
      </c>
    </row>
    <row r="106" spans="1:4" hidden="1">
      <c r="A106" t="s">
        <v>952</v>
      </c>
      <c r="B106" t="s">
        <v>954</v>
      </c>
      <c r="C106" t="s">
        <v>627</v>
      </c>
      <c r="D106" t="s">
        <v>953</v>
      </c>
    </row>
    <row r="107" spans="1:4" hidden="1">
      <c r="A107" t="s">
        <v>952</v>
      </c>
      <c r="B107" t="s">
        <v>955</v>
      </c>
      <c r="C107" t="s">
        <v>627</v>
      </c>
      <c r="D107" t="s">
        <v>953</v>
      </c>
    </row>
    <row r="108" spans="1:4" hidden="1">
      <c r="A108" t="s">
        <v>952</v>
      </c>
      <c r="B108" t="s">
        <v>956</v>
      </c>
      <c r="C108" t="s">
        <v>627</v>
      </c>
      <c r="D108" t="s">
        <v>953</v>
      </c>
    </row>
    <row r="109" spans="1:4" hidden="1">
      <c r="A109" t="s">
        <v>959</v>
      </c>
      <c r="B109" t="s">
        <v>957</v>
      </c>
      <c r="C109" t="s">
        <v>627</v>
      </c>
      <c r="D109" t="s">
        <v>958</v>
      </c>
    </row>
    <row r="110" spans="1:4" hidden="1">
      <c r="A110" t="s">
        <v>959</v>
      </c>
      <c r="B110" t="s">
        <v>960</v>
      </c>
      <c r="C110" t="s">
        <v>627</v>
      </c>
      <c r="D110" t="s">
        <v>961</v>
      </c>
    </row>
    <row r="111" spans="1:4" hidden="1">
      <c r="A111" t="s">
        <v>962</v>
      </c>
      <c r="B111" t="s">
        <v>965</v>
      </c>
      <c r="C111" t="s">
        <v>963</v>
      </c>
      <c r="D111" t="s">
        <v>964</v>
      </c>
    </row>
    <row r="112" spans="1:4" hidden="1">
      <c r="A112" t="s">
        <v>962</v>
      </c>
      <c r="B112" t="s">
        <v>966</v>
      </c>
      <c r="C112" t="s">
        <v>970</v>
      </c>
      <c r="D112" t="s">
        <v>969</v>
      </c>
    </row>
    <row r="113" spans="1:4" hidden="1">
      <c r="A113" t="s">
        <v>962</v>
      </c>
      <c r="B113" t="s">
        <v>967</v>
      </c>
      <c r="C113" t="s">
        <v>963</v>
      </c>
      <c r="D113" t="s">
        <v>969</v>
      </c>
    </row>
    <row r="114" spans="1:4" hidden="1">
      <c r="A114" t="s">
        <v>962</v>
      </c>
      <c r="B114" t="s">
        <v>968</v>
      </c>
      <c r="C114" t="s">
        <v>963</v>
      </c>
      <c r="D114" t="s">
        <v>969</v>
      </c>
    </row>
    <row r="115" spans="1:4" hidden="1"/>
    <row r="116" spans="1:4" hidden="1">
      <c r="A116" t="s">
        <v>971</v>
      </c>
      <c r="B116" t="s">
        <v>972</v>
      </c>
      <c r="C116" t="s">
        <v>963</v>
      </c>
      <c r="D116" s="115">
        <v>1</v>
      </c>
    </row>
    <row r="117" spans="1:4" hidden="1"/>
    <row r="118" spans="1:4" hidden="1">
      <c r="A118" t="s">
        <v>973</v>
      </c>
      <c r="B118" t="s">
        <v>979</v>
      </c>
      <c r="C118" t="s">
        <v>627</v>
      </c>
      <c r="D118" t="s">
        <v>974</v>
      </c>
    </row>
    <row r="119" spans="1:4" hidden="1">
      <c r="A119" t="s">
        <v>973</v>
      </c>
      <c r="B119" t="s">
        <v>980</v>
      </c>
      <c r="C119" t="s">
        <v>627</v>
      </c>
      <c r="D119" t="s">
        <v>974</v>
      </c>
    </row>
    <row r="120" spans="1:4" hidden="1">
      <c r="A120" t="s">
        <v>973</v>
      </c>
      <c r="B120" t="s">
        <v>981</v>
      </c>
      <c r="C120" t="s">
        <v>627</v>
      </c>
      <c r="D120" t="s">
        <v>974</v>
      </c>
    </row>
    <row r="121" spans="1:4" hidden="1">
      <c r="A121" t="s">
        <v>973</v>
      </c>
      <c r="B121" t="s">
        <v>982</v>
      </c>
      <c r="C121" t="s">
        <v>627</v>
      </c>
      <c r="D121" t="s">
        <v>974</v>
      </c>
    </row>
    <row r="122" spans="1:4" hidden="1">
      <c r="A122" t="s">
        <v>973</v>
      </c>
      <c r="B122" t="s">
        <v>984</v>
      </c>
      <c r="C122" t="s">
        <v>627</v>
      </c>
      <c r="D122" t="s">
        <v>974</v>
      </c>
    </row>
    <row r="123" spans="1:4" hidden="1">
      <c r="A123" t="s">
        <v>973</v>
      </c>
      <c r="B123" t="s">
        <v>983</v>
      </c>
      <c r="C123" t="s">
        <v>627</v>
      </c>
      <c r="D123" t="s">
        <v>974</v>
      </c>
    </row>
    <row r="124" spans="1:4" hidden="1"/>
    <row r="125" spans="1:4" hidden="1">
      <c r="A125" t="s">
        <v>985</v>
      </c>
      <c r="B125" t="s">
        <v>986</v>
      </c>
      <c r="C125" t="s">
        <v>627</v>
      </c>
      <c r="D125" t="s">
        <v>987</v>
      </c>
    </row>
    <row r="126" spans="1:4" hidden="1">
      <c r="A126" t="s">
        <v>985</v>
      </c>
      <c r="B126" t="s">
        <v>990</v>
      </c>
      <c r="C126" t="s">
        <v>627</v>
      </c>
      <c r="D126" t="s">
        <v>987</v>
      </c>
    </row>
    <row r="127" spans="1:4" hidden="1">
      <c r="A127" t="s">
        <v>985</v>
      </c>
      <c r="B127" t="s">
        <v>996</v>
      </c>
      <c r="C127" t="s">
        <v>627</v>
      </c>
      <c r="D127" t="s">
        <v>987</v>
      </c>
    </row>
    <row r="128" spans="1:4" hidden="1">
      <c r="A128" t="s">
        <v>985</v>
      </c>
      <c r="B128" t="s">
        <v>991</v>
      </c>
      <c r="C128" t="s">
        <v>627</v>
      </c>
      <c r="D128" t="s">
        <v>987</v>
      </c>
    </row>
    <row r="129" spans="1:4" hidden="1">
      <c r="A129" t="s">
        <v>985</v>
      </c>
      <c r="B129" t="s">
        <v>993</v>
      </c>
      <c r="C129" t="s">
        <v>627</v>
      </c>
      <c r="D129" t="s">
        <v>987</v>
      </c>
    </row>
    <row r="130" spans="1:4" hidden="1">
      <c r="A130" t="s">
        <v>985</v>
      </c>
      <c r="B130" t="s">
        <v>994</v>
      </c>
      <c r="C130" t="s">
        <v>627</v>
      </c>
      <c r="D130" t="s">
        <v>987</v>
      </c>
    </row>
    <row r="131" spans="1:4" hidden="1">
      <c r="A131" t="s">
        <v>985</v>
      </c>
      <c r="B131" t="s">
        <v>995</v>
      </c>
      <c r="C131" t="s">
        <v>627</v>
      </c>
      <c r="D131" t="s">
        <v>987</v>
      </c>
    </row>
    <row r="132" spans="1:4" hidden="1">
      <c r="A132" t="s">
        <v>985</v>
      </c>
      <c r="B132" t="s">
        <v>997</v>
      </c>
      <c r="C132" t="s">
        <v>627</v>
      </c>
      <c r="D132" t="s">
        <v>987</v>
      </c>
    </row>
    <row r="133" spans="1:4" hidden="1">
      <c r="A133" t="s">
        <v>985</v>
      </c>
      <c r="B133" t="s">
        <v>1012</v>
      </c>
      <c r="C133" t="s">
        <v>627</v>
      </c>
      <c r="D133" t="s">
        <v>987</v>
      </c>
    </row>
    <row r="134" spans="1:4" hidden="1">
      <c r="A134" t="s">
        <v>1014</v>
      </c>
      <c r="B134" t="s">
        <v>1015</v>
      </c>
      <c r="C134" t="s">
        <v>627</v>
      </c>
      <c r="D134" t="s">
        <v>1013</v>
      </c>
    </row>
    <row r="135" spans="1:4" hidden="1">
      <c r="A135" t="s">
        <v>1014</v>
      </c>
      <c r="B135" t="s">
        <v>1016</v>
      </c>
      <c r="C135" t="s">
        <v>627</v>
      </c>
      <c r="D135" t="s">
        <v>1013</v>
      </c>
    </row>
    <row r="136" spans="1:4" hidden="1">
      <c r="A136" t="s">
        <v>1014</v>
      </c>
      <c r="B136" t="s">
        <v>1019</v>
      </c>
      <c r="C136" t="s">
        <v>627</v>
      </c>
      <c r="D136" t="s">
        <v>1018</v>
      </c>
    </row>
    <row r="137" spans="1:4" hidden="1"/>
    <row r="138" spans="1:4" hidden="1">
      <c r="A138" t="s">
        <v>1014</v>
      </c>
      <c r="B138" t="s">
        <v>1020</v>
      </c>
      <c r="C138" t="s">
        <v>627</v>
      </c>
      <c r="D138" t="s">
        <v>987</v>
      </c>
    </row>
    <row r="139" spans="1:4" hidden="1"/>
    <row r="140" spans="1:4" hidden="1">
      <c r="A140" t="s">
        <v>1028</v>
      </c>
      <c r="B140" t="s">
        <v>1036</v>
      </c>
      <c r="C140" t="s">
        <v>627</v>
      </c>
      <c r="D140" t="s">
        <v>1013</v>
      </c>
    </row>
    <row r="141" spans="1:4" hidden="1">
      <c r="A141" t="s">
        <v>1028</v>
      </c>
      <c r="B141" t="s">
        <v>1030</v>
      </c>
      <c r="C141" t="s">
        <v>627</v>
      </c>
      <c r="D141" t="s">
        <v>1013</v>
      </c>
    </row>
    <row r="142" spans="1:4" hidden="1">
      <c r="A142" t="s">
        <v>1028</v>
      </c>
      <c r="B142" t="s">
        <v>1032</v>
      </c>
      <c r="C142" t="s">
        <v>627</v>
      </c>
      <c r="D142" t="s">
        <v>1013</v>
      </c>
    </row>
    <row r="143" spans="1:4" hidden="1">
      <c r="A143" t="s">
        <v>1028</v>
      </c>
      <c r="B143" t="s">
        <v>1033</v>
      </c>
      <c r="C143" t="s">
        <v>627</v>
      </c>
      <c r="D143" t="s">
        <v>1013</v>
      </c>
    </row>
    <row r="144" spans="1:4" hidden="1">
      <c r="A144" t="s">
        <v>1028</v>
      </c>
      <c r="B144" t="s">
        <v>1031</v>
      </c>
      <c r="C144" t="s">
        <v>627</v>
      </c>
      <c r="D144" t="s">
        <v>1013</v>
      </c>
    </row>
    <row r="145" spans="1:4" hidden="1">
      <c r="A145" t="s">
        <v>1028</v>
      </c>
      <c r="B145" t="s">
        <v>1029</v>
      </c>
      <c r="C145" t="s">
        <v>627</v>
      </c>
      <c r="D145" t="s">
        <v>1013</v>
      </c>
    </row>
    <row r="146" spans="1:4" hidden="1">
      <c r="A146" t="s">
        <v>1028</v>
      </c>
      <c r="B146" t="s">
        <v>1029</v>
      </c>
      <c r="C146" t="s">
        <v>627</v>
      </c>
      <c r="D146" t="s">
        <v>1013</v>
      </c>
    </row>
    <row r="147" spans="1:4" hidden="1">
      <c r="A147" t="s">
        <v>1028</v>
      </c>
      <c r="B147" t="s">
        <v>1034</v>
      </c>
      <c r="C147" t="s">
        <v>627</v>
      </c>
      <c r="D147" t="s">
        <v>1013</v>
      </c>
    </row>
    <row r="148" spans="1:4" hidden="1">
      <c r="A148" t="s">
        <v>1028</v>
      </c>
      <c r="B148" t="s">
        <v>1035</v>
      </c>
      <c r="C148" t="s">
        <v>627</v>
      </c>
      <c r="D148" t="s">
        <v>1013</v>
      </c>
    </row>
    <row r="149" spans="1:4" hidden="1">
      <c r="A149" t="s">
        <v>1183</v>
      </c>
      <c r="B149" t="s">
        <v>1184</v>
      </c>
      <c r="C149" t="s">
        <v>1185</v>
      </c>
      <c r="D149" t="s">
        <v>1018</v>
      </c>
    </row>
    <row r="150" spans="1:4" hidden="1">
      <c r="A150" t="s">
        <v>1183</v>
      </c>
      <c r="B150" t="s">
        <v>1186</v>
      </c>
      <c r="C150" t="s">
        <v>1185</v>
      </c>
      <c r="D150" t="s">
        <v>1018</v>
      </c>
    </row>
    <row r="151" spans="1:4" hidden="1">
      <c r="A151" t="s">
        <v>1183</v>
      </c>
      <c r="B151" t="s">
        <v>1187</v>
      </c>
      <c r="C151" t="s">
        <v>1185</v>
      </c>
      <c r="D151" t="s">
        <v>1200</v>
      </c>
    </row>
    <row r="152" spans="1:4" hidden="1">
      <c r="A152" t="s">
        <v>1183</v>
      </c>
      <c r="B152" t="s">
        <v>1188</v>
      </c>
      <c r="C152" t="s">
        <v>1185</v>
      </c>
      <c r="D152" t="s">
        <v>1200</v>
      </c>
    </row>
    <row r="153" spans="1:4" hidden="1">
      <c r="A153" t="s">
        <v>1183</v>
      </c>
      <c r="B153" t="s">
        <v>1189</v>
      </c>
      <c r="C153" t="s">
        <v>1185</v>
      </c>
      <c r="D153" t="s">
        <v>1200</v>
      </c>
    </row>
    <row r="154" spans="1:4" hidden="1">
      <c r="A154" t="s">
        <v>1183</v>
      </c>
      <c r="B154" t="s">
        <v>1190</v>
      </c>
      <c r="C154" t="s">
        <v>1185</v>
      </c>
      <c r="D154" t="s">
        <v>1200</v>
      </c>
    </row>
    <row r="155" spans="1:4" hidden="1">
      <c r="A155" t="s">
        <v>1183</v>
      </c>
      <c r="B155" t="s">
        <v>1191</v>
      </c>
      <c r="C155" t="s">
        <v>1185</v>
      </c>
      <c r="D155" t="s">
        <v>1200</v>
      </c>
    </row>
    <row r="156" spans="1:4" hidden="1">
      <c r="A156" t="s">
        <v>1183</v>
      </c>
      <c r="B156" t="s">
        <v>1192</v>
      </c>
      <c r="C156" t="s">
        <v>1185</v>
      </c>
      <c r="D156" t="s">
        <v>1200</v>
      </c>
    </row>
    <row r="157" spans="1:4" hidden="1">
      <c r="A157" t="s">
        <v>1183</v>
      </c>
      <c r="B157" t="s">
        <v>1193</v>
      </c>
      <c r="C157" t="s">
        <v>1185</v>
      </c>
      <c r="D157" t="s">
        <v>1200</v>
      </c>
    </row>
    <row r="158" spans="1:4" hidden="1">
      <c r="A158" t="s">
        <v>1183</v>
      </c>
      <c r="B158" t="s">
        <v>1194</v>
      </c>
      <c r="C158" t="s">
        <v>1185</v>
      </c>
      <c r="D158" t="s">
        <v>1200</v>
      </c>
    </row>
    <row r="159" spans="1:4" hidden="1">
      <c r="A159" t="s">
        <v>1183</v>
      </c>
      <c r="B159" t="s">
        <v>1195</v>
      </c>
      <c r="C159" t="s">
        <v>1185</v>
      </c>
      <c r="D159" t="s">
        <v>1200</v>
      </c>
    </row>
    <row r="160" spans="1:4" hidden="1">
      <c r="A160" t="s">
        <v>1183</v>
      </c>
      <c r="B160" t="s">
        <v>1196</v>
      </c>
      <c r="C160" t="s">
        <v>1185</v>
      </c>
      <c r="D160" t="s">
        <v>1200</v>
      </c>
    </row>
    <row r="161" spans="1:4" hidden="1">
      <c r="A161" t="s">
        <v>1183</v>
      </c>
      <c r="B161" t="s">
        <v>1197</v>
      </c>
      <c r="C161" t="s">
        <v>1185</v>
      </c>
      <c r="D161" t="s">
        <v>1200</v>
      </c>
    </row>
    <row r="162" spans="1:4" hidden="1">
      <c r="A162" t="s">
        <v>1183</v>
      </c>
      <c r="B162" t="s">
        <v>1198</v>
      </c>
      <c r="C162" t="s">
        <v>1185</v>
      </c>
      <c r="D162" t="s">
        <v>1200</v>
      </c>
    </row>
    <row r="163" spans="1:4" hidden="1">
      <c r="A163" t="s">
        <v>1199</v>
      </c>
      <c r="B163" t="s">
        <v>1203</v>
      </c>
      <c r="C163" t="s">
        <v>627</v>
      </c>
      <c r="D163" t="s">
        <v>1201</v>
      </c>
    </row>
    <row r="164" spans="1:4" hidden="1">
      <c r="A164" t="s">
        <v>1199</v>
      </c>
      <c r="B164" t="s">
        <v>1204</v>
      </c>
      <c r="C164" t="s">
        <v>627</v>
      </c>
      <c r="D164" t="s">
        <v>1201</v>
      </c>
    </row>
    <row r="165" spans="1:4" hidden="1">
      <c r="A165" t="s">
        <v>1199</v>
      </c>
      <c r="B165" t="s">
        <v>1205</v>
      </c>
      <c r="C165" t="s">
        <v>627</v>
      </c>
      <c r="D165" t="s">
        <v>1201</v>
      </c>
    </row>
    <row r="166" spans="1:4" hidden="1">
      <c r="A166" t="s">
        <v>1199</v>
      </c>
      <c r="B166" t="s">
        <v>1206</v>
      </c>
      <c r="C166" t="s">
        <v>627</v>
      </c>
      <c r="D166" t="s">
        <v>1201</v>
      </c>
    </row>
    <row r="167" spans="1:4" hidden="1">
      <c r="A167" t="s">
        <v>1208</v>
      </c>
      <c r="B167" t="s">
        <v>1209</v>
      </c>
      <c r="C167" t="s">
        <v>627</v>
      </c>
      <c r="D167" t="s">
        <v>1211</v>
      </c>
    </row>
    <row r="168" spans="1:4" hidden="1">
      <c r="A168" t="s">
        <v>1208</v>
      </c>
      <c r="B168" t="s">
        <v>1210</v>
      </c>
      <c r="C168" t="s">
        <v>627</v>
      </c>
      <c r="D168" t="s">
        <v>1211</v>
      </c>
    </row>
    <row r="169" spans="1:4" hidden="1">
      <c r="A169" t="s">
        <v>1213</v>
      </c>
      <c r="B169" t="s">
        <v>1215</v>
      </c>
      <c r="C169" t="s">
        <v>627</v>
      </c>
      <c r="D169" t="s">
        <v>1214</v>
      </c>
    </row>
    <row r="170" spans="1:4" hidden="1">
      <c r="A170" t="s">
        <v>1213</v>
      </c>
      <c r="B170" t="s">
        <v>1216</v>
      </c>
      <c r="C170" t="s">
        <v>627</v>
      </c>
      <c r="D170" t="s">
        <v>1214</v>
      </c>
    </row>
    <row r="171" spans="1:4" hidden="1">
      <c r="A171" t="s">
        <v>1217</v>
      </c>
      <c r="B171" t="s">
        <v>1218</v>
      </c>
      <c r="C171" t="s">
        <v>627</v>
      </c>
      <c r="D171" t="s">
        <v>1220</v>
      </c>
    </row>
    <row r="172" spans="1:4" hidden="1">
      <c r="A172" t="s">
        <v>1217</v>
      </c>
      <c r="B172" t="s">
        <v>1219</v>
      </c>
      <c r="C172" t="s">
        <v>627</v>
      </c>
      <c r="D172" t="s">
        <v>1220</v>
      </c>
    </row>
    <row r="173" spans="1:4" hidden="1">
      <c r="A173" t="s">
        <v>1302</v>
      </c>
      <c r="B173" t="s">
        <v>1303</v>
      </c>
      <c r="C173" t="s">
        <v>627</v>
      </c>
      <c r="D173" t="s">
        <v>1305</v>
      </c>
    </row>
    <row r="174" spans="1:4" hidden="1">
      <c r="A174" t="s">
        <v>1302</v>
      </c>
      <c r="B174" t="s">
        <v>1304</v>
      </c>
      <c r="C174" t="s">
        <v>627</v>
      </c>
      <c r="D174" t="s">
        <v>1305</v>
      </c>
    </row>
    <row r="175" spans="1:4" hidden="1">
      <c r="A175" t="s">
        <v>1302</v>
      </c>
      <c r="B175" t="s">
        <v>1306</v>
      </c>
      <c r="C175" t="s">
        <v>627</v>
      </c>
      <c r="D175" t="s">
        <v>1305</v>
      </c>
    </row>
    <row r="176" spans="1:4" hidden="1">
      <c r="A176" t="s">
        <v>1302</v>
      </c>
      <c r="B176" t="s">
        <v>1307</v>
      </c>
      <c r="C176" t="s">
        <v>627</v>
      </c>
      <c r="D176" t="s">
        <v>1305</v>
      </c>
    </row>
    <row r="177" spans="1:4" hidden="1">
      <c r="A177" t="s">
        <v>1302</v>
      </c>
      <c r="B177" t="s">
        <v>1327</v>
      </c>
      <c r="C177" t="s">
        <v>627</v>
      </c>
      <c r="D177" t="s">
        <v>1305</v>
      </c>
    </row>
    <row r="178" spans="1:4" hidden="1">
      <c r="A178" t="s">
        <v>1302</v>
      </c>
      <c r="B178" t="s">
        <v>1328</v>
      </c>
      <c r="C178" t="s">
        <v>627</v>
      </c>
      <c r="D178" t="s">
        <v>1305</v>
      </c>
    </row>
    <row r="179" spans="1:4" hidden="1">
      <c r="A179" t="s">
        <v>1302</v>
      </c>
      <c r="B179" t="s">
        <v>1329</v>
      </c>
      <c r="C179" t="s">
        <v>627</v>
      </c>
      <c r="D179" t="s">
        <v>1305</v>
      </c>
    </row>
    <row r="180" spans="1:4" hidden="1">
      <c r="A180" t="s">
        <v>1302</v>
      </c>
      <c r="B180" t="s">
        <v>1330</v>
      </c>
      <c r="C180" t="s">
        <v>627</v>
      </c>
      <c r="D180" t="s">
        <v>1305</v>
      </c>
    </row>
    <row r="181" spans="1:4" hidden="1">
      <c r="A181" t="s">
        <v>1302</v>
      </c>
      <c r="B181" t="s">
        <v>1333</v>
      </c>
      <c r="C181" t="s">
        <v>627</v>
      </c>
      <c r="D181" t="s">
        <v>1305</v>
      </c>
    </row>
    <row r="182" spans="1:4" hidden="1">
      <c r="A182" t="s">
        <v>1302</v>
      </c>
      <c r="B182" t="s">
        <v>1331</v>
      </c>
      <c r="C182" t="s">
        <v>627</v>
      </c>
      <c r="D182" t="s">
        <v>1305</v>
      </c>
    </row>
    <row r="183" spans="1:4" hidden="1">
      <c r="A183" t="s">
        <v>1302</v>
      </c>
      <c r="B183" t="s">
        <v>1332</v>
      </c>
      <c r="C183" t="s">
        <v>627</v>
      </c>
      <c r="D183" t="s">
        <v>1305</v>
      </c>
    </row>
    <row r="184" spans="1:4" hidden="1">
      <c r="A184" t="s">
        <v>1221</v>
      </c>
      <c r="B184" t="s">
        <v>1344</v>
      </c>
      <c r="C184" t="s">
        <v>627</v>
      </c>
      <c r="D184" t="s">
        <v>1343</v>
      </c>
    </row>
    <row r="185" spans="1:4" hidden="1">
      <c r="A185" t="s">
        <v>1415</v>
      </c>
      <c r="B185" t="s">
        <v>1416</v>
      </c>
      <c r="C185" t="s">
        <v>627</v>
      </c>
      <c r="D185" t="s">
        <v>1417</v>
      </c>
    </row>
    <row r="186" spans="1:4" hidden="1">
      <c r="A186" t="s">
        <v>1415</v>
      </c>
      <c r="B186" t="s">
        <v>1489</v>
      </c>
      <c r="C186" t="s">
        <v>627</v>
      </c>
      <c r="D186" t="s">
        <v>1417</v>
      </c>
    </row>
    <row r="187" spans="1:4" hidden="1">
      <c r="A187" t="s">
        <v>1415</v>
      </c>
      <c r="B187" t="s">
        <v>1534</v>
      </c>
      <c r="C187" t="s">
        <v>627</v>
      </c>
      <c r="D187" t="s">
        <v>1417</v>
      </c>
    </row>
    <row r="188" spans="1:4" hidden="1">
      <c r="A188" t="s">
        <v>1415</v>
      </c>
      <c r="B188" t="s">
        <v>1535</v>
      </c>
      <c r="C188" t="s">
        <v>627</v>
      </c>
      <c r="D188" t="s">
        <v>1417</v>
      </c>
    </row>
    <row r="189" spans="1:4" hidden="1">
      <c r="A189" t="s">
        <v>1415</v>
      </c>
      <c r="B189" t="s">
        <v>1536</v>
      </c>
      <c r="C189" t="s">
        <v>627</v>
      </c>
      <c r="D189" t="s">
        <v>1417</v>
      </c>
    </row>
    <row r="190" spans="1:4" hidden="1">
      <c r="A190" t="s">
        <v>1415</v>
      </c>
      <c r="B190" t="s">
        <v>1537</v>
      </c>
      <c r="C190" t="s">
        <v>627</v>
      </c>
      <c r="D190" t="s">
        <v>1417</v>
      </c>
    </row>
    <row r="191" spans="1:4" hidden="1">
      <c r="A191" t="s">
        <v>1415</v>
      </c>
      <c r="B191" t="s">
        <v>1538</v>
      </c>
      <c r="C191" t="s">
        <v>627</v>
      </c>
      <c r="D191" t="s">
        <v>1543</v>
      </c>
    </row>
    <row r="192" spans="1:4" hidden="1">
      <c r="A192" t="s">
        <v>1539</v>
      </c>
      <c r="B192" t="s">
        <v>1540</v>
      </c>
      <c r="C192" t="s">
        <v>627</v>
      </c>
      <c r="D192" t="s">
        <v>1543</v>
      </c>
    </row>
    <row r="193" spans="1:4" hidden="1">
      <c r="A193" t="s">
        <v>1539</v>
      </c>
      <c r="B193" t="s">
        <v>1541</v>
      </c>
    </row>
    <row r="194" spans="1:4" hidden="1">
      <c r="A194" t="s">
        <v>1572</v>
      </c>
      <c r="B194" t="s">
        <v>1573</v>
      </c>
      <c r="C194" t="s">
        <v>963</v>
      </c>
      <c r="D194" t="s">
        <v>1582</v>
      </c>
    </row>
    <row r="195" spans="1:4" hidden="1">
      <c r="A195" t="s">
        <v>1572</v>
      </c>
      <c r="B195" t="s">
        <v>1574</v>
      </c>
      <c r="C195" t="s">
        <v>963</v>
      </c>
      <c r="D195" t="s">
        <v>1582</v>
      </c>
    </row>
    <row r="196" spans="1:4" hidden="1">
      <c r="A196" t="s">
        <v>1572</v>
      </c>
      <c r="B196" t="s">
        <v>1575</v>
      </c>
      <c r="C196" t="s">
        <v>963</v>
      </c>
      <c r="D196" t="s">
        <v>1582</v>
      </c>
    </row>
    <row r="197" spans="1:4" hidden="1">
      <c r="A197" t="s">
        <v>1572</v>
      </c>
      <c r="B197" t="s">
        <v>1576</v>
      </c>
      <c r="C197" t="s">
        <v>963</v>
      </c>
      <c r="D197" t="s">
        <v>1582</v>
      </c>
    </row>
    <row r="198" spans="1:4" hidden="1">
      <c r="A198" t="s">
        <v>1572</v>
      </c>
      <c r="B198" t="s">
        <v>1580</v>
      </c>
      <c r="C198" t="s">
        <v>963</v>
      </c>
      <c r="D198" t="s">
        <v>1582</v>
      </c>
    </row>
    <row r="199" spans="1:4" hidden="1">
      <c r="A199" t="s">
        <v>1572</v>
      </c>
      <c r="B199" t="s">
        <v>1577</v>
      </c>
      <c r="C199" t="s">
        <v>963</v>
      </c>
      <c r="D199" t="s">
        <v>1582</v>
      </c>
    </row>
    <row r="200" spans="1:4" hidden="1">
      <c r="A200" t="s">
        <v>1572</v>
      </c>
      <c r="B200" t="s">
        <v>1578</v>
      </c>
      <c r="C200" t="s">
        <v>963</v>
      </c>
      <c r="D200" t="s">
        <v>1582</v>
      </c>
    </row>
    <row r="201" spans="1:4" hidden="1">
      <c r="A201" t="s">
        <v>1572</v>
      </c>
      <c r="B201" t="s">
        <v>1579</v>
      </c>
      <c r="C201" t="s">
        <v>963</v>
      </c>
      <c r="D201" t="s">
        <v>1582</v>
      </c>
    </row>
    <row r="202" spans="1:4" hidden="1">
      <c r="A202" t="s">
        <v>1572</v>
      </c>
      <c r="B202" t="s">
        <v>1581</v>
      </c>
      <c r="C202" t="s">
        <v>963</v>
      </c>
      <c r="D202" t="s">
        <v>1582</v>
      </c>
    </row>
    <row r="203" spans="1:4" hidden="1">
      <c r="A203" t="s">
        <v>1583</v>
      </c>
      <c r="B203" t="s">
        <v>1584</v>
      </c>
      <c r="C203" t="s">
        <v>627</v>
      </c>
      <c r="D203" t="s">
        <v>1585</v>
      </c>
    </row>
    <row r="204" spans="1:4" hidden="1">
      <c r="A204" t="s">
        <v>1607</v>
      </c>
      <c r="B204" t="s">
        <v>1608</v>
      </c>
      <c r="C204" t="s">
        <v>963</v>
      </c>
      <c r="D204" t="s">
        <v>1609</v>
      </c>
    </row>
    <row r="205" spans="1:4" hidden="1">
      <c r="A205" t="s">
        <v>1621</v>
      </c>
      <c r="B205" t="s">
        <v>1622</v>
      </c>
      <c r="C205" t="s">
        <v>963</v>
      </c>
      <c r="D205" t="s">
        <v>1623</v>
      </c>
    </row>
    <row r="206" spans="1:4" hidden="1">
      <c r="A206" t="s">
        <v>1626</v>
      </c>
      <c r="B206" t="s">
        <v>1627</v>
      </c>
    </row>
    <row r="207" spans="1:4" hidden="1">
      <c r="A207" t="s">
        <v>1626</v>
      </c>
      <c r="B207" t="s">
        <v>1628</v>
      </c>
    </row>
    <row r="208" spans="1:4" hidden="1">
      <c r="A208" t="s">
        <v>1626</v>
      </c>
      <c r="B208" t="s">
        <v>1638</v>
      </c>
      <c r="C208" t="s">
        <v>627</v>
      </c>
      <c r="D208" t="s">
        <v>1641</v>
      </c>
    </row>
    <row r="209" spans="1:4" hidden="1">
      <c r="A209" t="s">
        <v>1626</v>
      </c>
      <c r="B209" t="s">
        <v>1639</v>
      </c>
      <c r="C209" t="s">
        <v>627</v>
      </c>
      <c r="D209" t="s">
        <v>1641</v>
      </c>
    </row>
    <row r="210" spans="1:4" hidden="1">
      <c r="A210" t="s">
        <v>1626</v>
      </c>
      <c r="B210" t="s">
        <v>1640</v>
      </c>
      <c r="C210" t="s">
        <v>627</v>
      </c>
      <c r="D210" t="s">
        <v>1641</v>
      </c>
    </row>
    <row r="211" spans="1:4" hidden="1">
      <c r="A211" t="s">
        <v>1626</v>
      </c>
      <c r="B211" t="s">
        <v>1642</v>
      </c>
      <c r="C211" t="s">
        <v>627</v>
      </c>
      <c r="D211" t="s">
        <v>1641</v>
      </c>
    </row>
    <row r="212" spans="1:4" hidden="1">
      <c r="A212" t="s">
        <v>1626</v>
      </c>
      <c r="B212" t="s">
        <v>1643</v>
      </c>
      <c r="C212" t="s">
        <v>627</v>
      </c>
      <c r="D212" t="s">
        <v>1641</v>
      </c>
    </row>
    <row r="213" spans="1:4" hidden="1">
      <c r="A213" t="s">
        <v>1626</v>
      </c>
      <c r="B213" t="s">
        <v>1644</v>
      </c>
      <c r="C213" t="s">
        <v>627</v>
      </c>
      <c r="D213" t="s">
        <v>1641</v>
      </c>
    </row>
    <row r="214" spans="1:4" hidden="1">
      <c r="A214" t="s">
        <v>1626</v>
      </c>
      <c r="B214" t="s">
        <v>1647</v>
      </c>
      <c r="C214" t="s">
        <v>627</v>
      </c>
      <c r="D214" t="s">
        <v>1641</v>
      </c>
    </row>
    <row r="215" spans="1:4" hidden="1">
      <c r="A215" t="s">
        <v>1648</v>
      </c>
      <c r="B215" t="s">
        <v>1649</v>
      </c>
      <c r="C215" t="s">
        <v>627</v>
      </c>
      <c r="D215" t="s">
        <v>1650</v>
      </c>
    </row>
    <row r="216" spans="1:4" hidden="1">
      <c r="A216" t="s">
        <v>1648</v>
      </c>
      <c r="B216" t="s">
        <v>1665</v>
      </c>
      <c r="C216" t="s">
        <v>627</v>
      </c>
      <c r="D216" t="s">
        <v>1650</v>
      </c>
    </row>
    <row r="217" spans="1:4" hidden="1">
      <c r="A217" t="s">
        <v>1648</v>
      </c>
      <c r="B217" t="s">
        <v>1667</v>
      </c>
      <c r="C217" t="s">
        <v>627</v>
      </c>
      <c r="D217" t="s">
        <v>1650</v>
      </c>
    </row>
    <row r="218" spans="1:4" hidden="1">
      <c r="A218" t="s">
        <v>1648</v>
      </c>
      <c r="B218" t="s">
        <v>1681</v>
      </c>
      <c r="C218" t="s">
        <v>627</v>
      </c>
      <c r="D218" t="s">
        <v>1650</v>
      </c>
    </row>
    <row r="219" spans="1:4" hidden="1">
      <c r="A219" t="s">
        <v>1648</v>
      </c>
      <c r="B219" t="s">
        <v>1696</v>
      </c>
      <c r="C219" t="s">
        <v>627</v>
      </c>
      <c r="D219" t="s">
        <v>1650</v>
      </c>
    </row>
    <row r="220" spans="1:4" hidden="1">
      <c r="A220" t="s">
        <v>1648</v>
      </c>
      <c r="B220" t="s">
        <v>1697</v>
      </c>
      <c r="C220" t="s">
        <v>627</v>
      </c>
      <c r="D220" t="s">
        <v>1650</v>
      </c>
    </row>
    <row r="221" spans="1:4" hidden="1">
      <c r="A221" t="s">
        <v>1716</v>
      </c>
      <c r="B221" t="s">
        <v>1717</v>
      </c>
      <c r="C221" t="s">
        <v>963</v>
      </c>
      <c r="D221" t="s">
        <v>1718</v>
      </c>
    </row>
    <row r="222" spans="1:4" hidden="1">
      <c r="A222" t="s">
        <v>1716</v>
      </c>
      <c r="B222" t="s">
        <v>1719</v>
      </c>
      <c r="C222" t="s">
        <v>963</v>
      </c>
      <c r="D222" t="s">
        <v>1718</v>
      </c>
    </row>
    <row r="223" spans="1:4" ht="43.5" hidden="1">
      <c r="A223" t="s">
        <v>1716</v>
      </c>
      <c r="B223" s="603" t="s">
        <v>1720</v>
      </c>
      <c r="C223" t="s">
        <v>963</v>
      </c>
      <c r="D223" t="s">
        <v>1718</v>
      </c>
    </row>
    <row r="224" spans="1:4" hidden="1">
      <c r="A224" t="s">
        <v>1716</v>
      </c>
      <c r="B224" t="s">
        <v>1721</v>
      </c>
      <c r="C224" t="s">
        <v>963</v>
      </c>
      <c r="D224" t="s">
        <v>1718</v>
      </c>
    </row>
    <row r="225" spans="1:4" hidden="1">
      <c r="A225" t="s">
        <v>1716</v>
      </c>
      <c r="B225" t="s">
        <v>1722</v>
      </c>
      <c r="C225" t="s">
        <v>963</v>
      </c>
      <c r="D225" t="s">
        <v>1718</v>
      </c>
    </row>
    <row r="226" spans="1:4" hidden="1">
      <c r="A226" t="s">
        <v>1723</v>
      </c>
      <c r="B226" t="s">
        <v>1724</v>
      </c>
      <c r="C226" t="s">
        <v>970</v>
      </c>
      <c r="D226" t="s">
        <v>1726</v>
      </c>
    </row>
    <row r="227" spans="1:4" ht="29" hidden="1">
      <c r="A227" t="s">
        <v>1723</v>
      </c>
      <c r="B227" s="603" t="s">
        <v>1725</v>
      </c>
      <c r="C227" t="s">
        <v>963</v>
      </c>
      <c r="D227" t="s">
        <v>1726</v>
      </c>
    </row>
    <row r="228" spans="1:4" hidden="1">
      <c r="A228" t="s">
        <v>1723</v>
      </c>
      <c r="B228" t="s">
        <v>1727</v>
      </c>
      <c r="C228" t="s">
        <v>627</v>
      </c>
      <c r="D228" t="s">
        <v>1728</v>
      </c>
    </row>
    <row r="229" spans="1:4" hidden="1">
      <c r="A229" t="s">
        <v>1723</v>
      </c>
      <c r="B229" t="s">
        <v>1740</v>
      </c>
      <c r="C229" t="s">
        <v>627</v>
      </c>
      <c r="D229" t="s">
        <v>1728</v>
      </c>
    </row>
    <row r="230" spans="1:4" hidden="1">
      <c r="A230" t="s">
        <v>1723</v>
      </c>
      <c r="B230" t="s">
        <v>1741</v>
      </c>
      <c r="C230" t="s">
        <v>627</v>
      </c>
      <c r="D230" t="s">
        <v>1728</v>
      </c>
    </row>
    <row r="231" spans="1:4" hidden="1">
      <c r="A231" t="s">
        <v>1723</v>
      </c>
      <c r="B231" t="s">
        <v>1742</v>
      </c>
      <c r="C231" t="s">
        <v>627</v>
      </c>
      <c r="D231" t="s">
        <v>1728</v>
      </c>
    </row>
    <row r="232" spans="1:4" hidden="1">
      <c r="A232" t="s">
        <v>1723</v>
      </c>
      <c r="B232" t="s">
        <v>1743</v>
      </c>
      <c r="C232" t="s">
        <v>627</v>
      </c>
      <c r="D232" t="s">
        <v>1728</v>
      </c>
    </row>
    <row r="233" spans="1:4" hidden="1">
      <c r="A233" t="s">
        <v>1723</v>
      </c>
      <c r="B233" t="s">
        <v>1744</v>
      </c>
      <c r="C233" t="s">
        <v>627</v>
      </c>
      <c r="D233" t="s">
        <v>1728</v>
      </c>
    </row>
    <row r="234" spans="1:4" hidden="1">
      <c r="A234" t="s">
        <v>1723</v>
      </c>
      <c r="B234" t="s">
        <v>1745</v>
      </c>
      <c r="C234" t="s">
        <v>627</v>
      </c>
      <c r="D234" t="s">
        <v>1728</v>
      </c>
    </row>
    <row r="235" spans="1:4" hidden="1">
      <c r="A235" t="s">
        <v>1723</v>
      </c>
      <c r="B235" t="s">
        <v>1746</v>
      </c>
      <c r="C235" t="s">
        <v>627</v>
      </c>
      <c r="D235" t="s">
        <v>1728</v>
      </c>
    </row>
    <row r="236" spans="1:4" hidden="1">
      <c r="A236" t="s">
        <v>1747</v>
      </c>
      <c r="B236" t="s">
        <v>1748</v>
      </c>
    </row>
    <row r="237" spans="1:4" hidden="1">
      <c r="A237" t="s">
        <v>1747</v>
      </c>
      <c r="B237" t="s">
        <v>1749</v>
      </c>
    </row>
    <row r="238" spans="1:4" hidden="1">
      <c r="A238" t="s">
        <v>1747</v>
      </c>
      <c r="B238" t="s">
        <v>1757</v>
      </c>
    </row>
    <row r="239" spans="1:4" hidden="1">
      <c r="A239" t="s">
        <v>1747</v>
      </c>
      <c r="B239" t="s">
        <v>1758</v>
      </c>
    </row>
    <row r="240" spans="1:4" hidden="1">
      <c r="A240" t="s">
        <v>1747</v>
      </c>
      <c r="B240" t="s">
        <v>1759</v>
      </c>
    </row>
    <row r="241" spans="1:4" hidden="1">
      <c r="A241" t="s">
        <v>1747</v>
      </c>
      <c r="B241" t="s">
        <v>1766</v>
      </c>
      <c r="C241" t="s">
        <v>627</v>
      </c>
      <c r="D241" t="s">
        <v>1767</v>
      </c>
    </row>
    <row r="242" spans="1:4" hidden="1">
      <c r="A242" t="s">
        <v>1772</v>
      </c>
      <c r="B242" t="s">
        <v>1773</v>
      </c>
      <c r="C242" t="s">
        <v>627</v>
      </c>
      <c r="D242" t="s">
        <v>1774</v>
      </c>
    </row>
    <row r="243" spans="1:4" hidden="1">
      <c r="A243" t="s">
        <v>1772</v>
      </c>
      <c r="B243" t="s">
        <v>1775</v>
      </c>
      <c r="C243" t="s">
        <v>627</v>
      </c>
      <c r="D243" t="s">
        <v>1774</v>
      </c>
    </row>
    <row r="244" spans="1:4" hidden="1">
      <c r="A244" t="s">
        <v>1772</v>
      </c>
      <c r="B244" t="s">
        <v>1777</v>
      </c>
      <c r="C244" t="s">
        <v>627</v>
      </c>
      <c r="D244" t="s">
        <v>1774</v>
      </c>
    </row>
    <row r="245" spans="1:4" hidden="1">
      <c r="A245" t="s">
        <v>1772</v>
      </c>
      <c r="B245" t="s">
        <v>1778</v>
      </c>
      <c r="C245" t="s">
        <v>627</v>
      </c>
      <c r="D245" t="s">
        <v>1774</v>
      </c>
    </row>
    <row r="246" spans="1:4" hidden="1">
      <c r="A246" t="s">
        <v>1772</v>
      </c>
      <c r="B246" t="s">
        <v>1783</v>
      </c>
      <c r="C246" t="s">
        <v>627</v>
      </c>
      <c r="D246" t="s">
        <v>1774</v>
      </c>
    </row>
    <row r="247" spans="1:4" hidden="1">
      <c r="A247" t="s">
        <v>1772</v>
      </c>
      <c r="B247" t="s">
        <v>1779</v>
      </c>
      <c r="C247" t="s">
        <v>627</v>
      </c>
      <c r="D247" t="s">
        <v>1774</v>
      </c>
    </row>
    <row r="248" spans="1:4" hidden="1">
      <c r="A248" t="s">
        <v>1786</v>
      </c>
      <c r="B248" t="s">
        <v>1813</v>
      </c>
      <c r="C248" t="s">
        <v>627</v>
      </c>
      <c r="D248" t="s">
        <v>1787</v>
      </c>
    </row>
    <row r="249" spans="1:4" hidden="1">
      <c r="A249" t="s">
        <v>1812</v>
      </c>
      <c r="B249" t="s">
        <v>1814</v>
      </c>
      <c r="C249" t="s">
        <v>627</v>
      </c>
      <c r="D249" t="s">
        <v>1826</v>
      </c>
    </row>
    <row r="250" spans="1:4" hidden="1">
      <c r="A250" t="s">
        <v>1812</v>
      </c>
      <c r="B250" t="s">
        <v>1815</v>
      </c>
      <c r="C250" t="s">
        <v>627</v>
      </c>
      <c r="D250" t="s">
        <v>1826</v>
      </c>
    </row>
    <row r="251" spans="1:4" hidden="1">
      <c r="A251" t="s">
        <v>1812</v>
      </c>
      <c r="B251" t="s">
        <v>1819</v>
      </c>
      <c r="C251" t="s">
        <v>627</v>
      </c>
      <c r="D251" t="s">
        <v>1826</v>
      </c>
    </row>
    <row r="252" spans="1:4" hidden="1">
      <c r="A252" t="s">
        <v>1812</v>
      </c>
      <c r="B252" t="s">
        <v>1816</v>
      </c>
      <c r="C252" t="s">
        <v>627</v>
      </c>
      <c r="D252" t="s">
        <v>1826</v>
      </c>
    </row>
    <row r="253" spans="1:4" hidden="1">
      <c r="A253" t="s">
        <v>1812</v>
      </c>
      <c r="B253" t="s">
        <v>1817</v>
      </c>
      <c r="C253" t="s">
        <v>627</v>
      </c>
      <c r="D253" t="s">
        <v>1826</v>
      </c>
    </row>
    <row r="254" spans="1:4" hidden="1">
      <c r="A254" t="s">
        <v>1812</v>
      </c>
      <c r="B254" t="s">
        <v>1818</v>
      </c>
      <c r="C254" t="s">
        <v>627</v>
      </c>
      <c r="D254" t="s">
        <v>1826</v>
      </c>
    </row>
    <row r="255" spans="1:4" hidden="1">
      <c r="A255" t="s">
        <v>1812</v>
      </c>
      <c r="B255" t="s">
        <v>1827</v>
      </c>
      <c r="C255" t="s">
        <v>627</v>
      </c>
      <c r="D255" t="s">
        <v>1826</v>
      </c>
    </row>
    <row r="256" spans="1:4" hidden="1">
      <c r="A256" t="s">
        <v>1812</v>
      </c>
      <c r="B256" t="s">
        <v>1828</v>
      </c>
      <c r="C256" t="s">
        <v>627</v>
      </c>
      <c r="D256" t="s">
        <v>1826</v>
      </c>
    </row>
    <row r="257" spans="1:4" hidden="1">
      <c r="A257" t="s">
        <v>1812</v>
      </c>
      <c r="B257" t="s">
        <v>1820</v>
      </c>
      <c r="C257" t="s">
        <v>627</v>
      </c>
      <c r="D257" t="s">
        <v>1826</v>
      </c>
    </row>
    <row r="258" spans="1:4" hidden="1">
      <c r="A258" t="s">
        <v>1812</v>
      </c>
      <c r="B258" t="s">
        <v>1823</v>
      </c>
      <c r="C258" t="s">
        <v>627</v>
      </c>
      <c r="D258" t="s">
        <v>1826</v>
      </c>
    </row>
    <row r="259" spans="1:4" hidden="1">
      <c r="A259" t="s">
        <v>1812</v>
      </c>
      <c r="B259" t="s">
        <v>1822</v>
      </c>
      <c r="C259" t="s">
        <v>627</v>
      </c>
      <c r="D259" t="s">
        <v>1826</v>
      </c>
    </row>
    <row r="260" spans="1:4" hidden="1">
      <c r="A260" t="s">
        <v>1812</v>
      </c>
      <c r="B260" t="s">
        <v>1824</v>
      </c>
      <c r="C260" t="s">
        <v>627</v>
      </c>
      <c r="D260" t="s">
        <v>1826</v>
      </c>
    </row>
    <row r="261" spans="1:4" hidden="1">
      <c r="A261" t="s">
        <v>1812</v>
      </c>
      <c r="B261" t="s">
        <v>1825</v>
      </c>
      <c r="C261" t="s">
        <v>627</v>
      </c>
      <c r="D261" t="s">
        <v>1826</v>
      </c>
    </row>
    <row r="262" spans="1:4" hidden="1">
      <c r="A262" t="s">
        <v>1812</v>
      </c>
      <c r="B262" t="s">
        <v>1840</v>
      </c>
    </row>
    <row r="263" spans="1:4" hidden="1">
      <c r="A263" t="s">
        <v>1812</v>
      </c>
      <c r="B263" t="s">
        <v>1844</v>
      </c>
      <c r="C263" t="s">
        <v>627</v>
      </c>
      <c r="D263" t="s">
        <v>1845</v>
      </c>
    </row>
    <row r="264" spans="1:4" hidden="1">
      <c r="A264" t="s">
        <v>1849</v>
      </c>
      <c r="B264" t="s">
        <v>1851</v>
      </c>
      <c r="C264" t="s">
        <v>627</v>
      </c>
      <c r="D264" t="s">
        <v>1848</v>
      </c>
    </row>
    <row r="265" spans="1:4" hidden="1">
      <c r="A265" t="s">
        <v>1849</v>
      </c>
      <c r="B265" t="s">
        <v>1850</v>
      </c>
      <c r="C265" t="s">
        <v>627</v>
      </c>
      <c r="D265" t="s">
        <v>1848</v>
      </c>
    </row>
    <row r="266" spans="1:4" hidden="1">
      <c r="A266" t="s">
        <v>1849</v>
      </c>
      <c r="B266" t="s">
        <v>1853</v>
      </c>
      <c r="C266" t="s">
        <v>627</v>
      </c>
      <c r="D266" t="s">
        <v>1848</v>
      </c>
    </row>
    <row r="267" spans="1:4" hidden="1">
      <c r="A267" t="s">
        <v>1849</v>
      </c>
      <c r="B267" t="s">
        <v>1854</v>
      </c>
      <c r="C267" t="s">
        <v>627</v>
      </c>
      <c r="D267" t="s">
        <v>1848</v>
      </c>
    </row>
    <row r="268" spans="1:4" hidden="1">
      <c r="A268" t="s">
        <v>1849</v>
      </c>
      <c r="B268" t="s">
        <v>1864</v>
      </c>
      <c r="C268" t="s">
        <v>627</v>
      </c>
      <c r="D268" t="s">
        <v>1848</v>
      </c>
    </row>
    <row r="269" spans="1:4" hidden="1">
      <c r="A269" t="s">
        <v>1849</v>
      </c>
      <c r="B269" t="s">
        <v>1868</v>
      </c>
      <c r="C269" t="s">
        <v>627</v>
      </c>
      <c r="D269" t="s">
        <v>1848</v>
      </c>
    </row>
    <row r="270" spans="1:4" hidden="1">
      <c r="A270" t="s">
        <v>1849</v>
      </c>
      <c r="B270" t="s">
        <v>1866</v>
      </c>
      <c r="C270" t="s">
        <v>627</v>
      </c>
      <c r="D270" t="s">
        <v>1848</v>
      </c>
    </row>
    <row r="271" spans="1:4" hidden="1">
      <c r="A271" t="s">
        <v>1849</v>
      </c>
      <c r="B271" t="s">
        <v>1867</v>
      </c>
      <c r="C271" t="s">
        <v>627</v>
      </c>
      <c r="D271" t="s">
        <v>1848</v>
      </c>
    </row>
    <row r="272" spans="1:4" hidden="1">
      <c r="A272" t="s">
        <v>1849</v>
      </c>
      <c r="B272" t="s">
        <v>1874</v>
      </c>
      <c r="C272" t="s">
        <v>963</v>
      </c>
      <c r="D272" t="s">
        <v>1875</v>
      </c>
    </row>
    <row r="273" spans="1:4" hidden="1">
      <c r="A273" t="s">
        <v>1849</v>
      </c>
      <c r="B273" t="s">
        <v>1880</v>
      </c>
      <c r="C273" t="s">
        <v>963</v>
      </c>
      <c r="D273" t="s">
        <v>1875</v>
      </c>
    </row>
    <row r="274" spans="1:4" hidden="1">
      <c r="A274" t="s">
        <v>1849</v>
      </c>
      <c r="B274" t="s">
        <v>1881</v>
      </c>
      <c r="C274" t="s">
        <v>963</v>
      </c>
      <c r="D274" t="s">
        <v>1875</v>
      </c>
    </row>
    <row r="275" spans="1:4" hidden="1">
      <c r="A275" t="s">
        <v>1849</v>
      </c>
      <c r="B275" t="s">
        <v>1882</v>
      </c>
      <c r="C275" t="s">
        <v>963</v>
      </c>
      <c r="D275" t="s">
        <v>1875</v>
      </c>
    </row>
    <row r="276" spans="1:4" hidden="1">
      <c r="A276" t="s">
        <v>1849</v>
      </c>
      <c r="B276" t="s">
        <v>1883</v>
      </c>
      <c r="C276" t="s">
        <v>963</v>
      </c>
      <c r="D276" t="s">
        <v>1884</v>
      </c>
    </row>
    <row r="277" spans="1:4" hidden="1">
      <c r="A277" t="s">
        <v>1849</v>
      </c>
      <c r="B277" t="s">
        <v>1885</v>
      </c>
      <c r="C277" t="s">
        <v>963</v>
      </c>
      <c r="D277" t="s">
        <v>1884</v>
      </c>
    </row>
    <row r="278" spans="1:4" hidden="1">
      <c r="A278" t="s">
        <v>1849</v>
      </c>
      <c r="B278" t="s">
        <v>1892</v>
      </c>
      <c r="C278" t="s">
        <v>963</v>
      </c>
      <c r="D278" t="s">
        <v>1891</v>
      </c>
    </row>
    <row r="279" spans="1:4" hidden="1">
      <c r="A279" t="s">
        <v>1893</v>
      </c>
      <c r="B279" t="s">
        <v>1894</v>
      </c>
      <c r="C279" t="s">
        <v>963</v>
      </c>
      <c r="D279" t="s">
        <v>1896</v>
      </c>
    </row>
    <row r="280" spans="1:4" hidden="1">
      <c r="A280" t="s">
        <v>1893</v>
      </c>
      <c r="B280" t="s">
        <v>1895</v>
      </c>
      <c r="C280" t="s">
        <v>963</v>
      </c>
      <c r="D280" t="s">
        <v>1896</v>
      </c>
    </row>
    <row r="281" spans="1:4" hidden="1">
      <c r="A281" t="s">
        <v>1893</v>
      </c>
      <c r="B281" t="s">
        <v>1897</v>
      </c>
      <c r="C281" t="s">
        <v>963</v>
      </c>
      <c r="D281" t="s">
        <v>1896</v>
      </c>
    </row>
    <row r="282" spans="1:4" hidden="1">
      <c r="A282" t="s">
        <v>1893</v>
      </c>
      <c r="B282" t="s">
        <v>1901</v>
      </c>
      <c r="C282" t="s">
        <v>963</v>
      </c>
      <c r="D282" t="s">
        <v>1900</v>
      </c>
    </row>
    <row r="283" spans="1:4" hidden="1">
      <c r="A283" t="s">
        <v>1893</v>
      </c>
      <c r="B283" t="s">
        <v>1904</v>
      </c>
      <c r="C283" t="s">
        <v>627</v>
      </c>
      <c r="D283" t="s">
        <v>1903</v>
      </c>
    </row>
    <row r="284" spans="1:4" hidden="1">
      <c r="A284" t="s">
        <v>1893</v>
      </c>
      <c r="B284" t="s">
        <v>1905</v>
      </c>
      <c r="C284" t="s">
        <v>627</v>
      </c>
      <c r="D284" t="s">
        <v>1903</v>
      </c>
    </row>
    <row r="285" spans="1:4" hidden="1">
      <c r="A285" t="s">
        <v>1909</v>
      </c>
      <c r="B285" t="s">
        <v>1910</v>
      </c>
      <c r="C285" t="s">
        <v>627</v>
      </c>
      <c r="D285" t="s">
        <v>1912</v>
      </c>
    </row>
    <row r="286" spans="1:4" hidden="1">
      <c r="B286" t="s">
        <v>1911</v>
      </c>
    </row>
    <row r="287" spans="1:4" hidden="1">
      <c r="B287" t="s">
        <v>1913</v>
      </c>
    </row>
    <row r="288" spans="1:4" hidden="1">
      <c r="B288" t="s">
        <v>1914</v>
      </c>
    </row>
    <row r="289" spans="1:4" hidden="1">
      <c r="B289" t="s">
        <v>1915</v>
      </c>
    </row>
    <row r="290" spans="1:4" hidden="1">
      <c r="A290" t="s">
        <v>1923</v>
      </c>
      <c r="B290" t="s">
        <v>1924</v>
      </c>
      <c r="C290" t="s">
        <v>963</v>
      </c>
      <c r="D290" t="s">
        <v>1925</v>
      </c>
    </row>
    <row r="291" spans="1:4" hidden="1">
      <c r="A291" t="s">
        <v>1926</v>
      </c>
      <c r="B291" t="s">
        <v>1927</v>
      </c>
      <c r="C291" t="s">
        <v>627</v>
      </c>
      <c r="D291" t="s">
        <v>1928</v>
      </c>
    </row>
    <row r="292" spans="1:4" hidden="1">
      <c r="A292" t="s">
        <v>1926</v>
      </c>
      <c r="B292" t="s">
        <v>1931</v>
      </c>
      <c r="C292" t="s">
        <v>627</v>
      </c>
      <c r="D292" t="s">
        <v>1930</v>
      </c>
    </row>
    <row r="293" spans="1:4" hidden="1">
      <c r="A293" t="s">
        <v>1926</v>
      </c>
      <c r="B293" t="s">
        <v>1932</v>
      </c>
      <c r="C293" t="s">
        <v>627</v>
      </c>
      <c r="D293" t="s">
        <v>1930</v>
      </c>
    </row>
    <row r="294" spans="1:4" hidden="1">
      <c r="A294" t="s">
        <v>1951</v>
      </c>
      <c r="B294" t="s">
        <v>1952</v>
      </c>
      <c r="C294" t="s">
        <v>627</v>
      </c>
      <c r="D294" t="s">
        <v>1955</v>
      </c>
    </row>
    <row r="295" spans="1:4" hidden="1">
      <c r="A295" t="s">
        <v>1953</v>
      </c>
      <c r="B295" t="s">
        <v>1954</v>
      </c>
      <c r="C295" t="s">
        <v>627</v>
      </c>
      <c r="D295" t="s">
        <v>1955</v>
      </c>
    </row>
    <row r="296" spans="1:4" hidden="1">
      <c r="A296" t="s">
        <v>1953</v>
      </c>
      <c r="B296" t="s">
        <v>1957</v>
      </c>
      <c r="C296" t="s">
        <v>627</v>
      </c>
      <c r="D296" t="s">
        <v>1955</v>
      </c>
    </row>
    <row r="297" spans="1:4" hidden="1">
      <c r="A297" t="s">
        <v>1953</v>
      </c>
      <c r="B297" t="s">
        <v>1961</v>
      </c>
      <c r="C297" t="s">
        <v>627</v>
      </c>
      <c r="D297" t="s">
        <v>1955</v>
      </c>
    </row>
    <row r="298" spans="1:4" hidden="1">
      <c r="A298" t="s">
        <v>1953</v>
      </c>
      <c r="B298" t="s">
        <v>1958</v>
      </c>
      <c r="C298" t="s">
        <v>627</v>
      </c>
      <c r="D298" t="s">
        <v>1959</v>
      </c>
    </row>
    <row r="299" spans="1:4" hidden="1">
      <c r="A299" t="s">
        <v>1963</v>
      </c>
      <c r="B299" t="s">
        <v>1964</v>
      </c>
      <c r="C299" t="s">
        <v>627</v>
      </c>
      <c r="D299" t="s">
        <v>1974</v>
      </c>
    </row>
    <row r="300" spans="1:4" hidden="1">
      <c r="A300" t="s">
        <v>1963</v>
      </c>
      <c r="B300" t="s">
        <v>1965</v>
      </c>
      <c r="C300" t="s">
        <v>627</v>
      </c>
      <c r="D300" t="s">
        <v>1967</v>
      </c>
    </row>
    <row r="301" spans="1:4" hidden="1">
      <c r="A301" t="s">
        <v>1963</v>
      </c>
      <c r="B301" t="s">
        <v>1966</v>
      </c>
      <c r="C301" t="s">
        <v>627</v>
      </c>
      <c r="D301" t="s">
        <v>1967</v>
      </c>
    </row>
    <row r="302" spans="1:4" hidden="1"/>
    <row r="303" spans="1:4" hidden="1">
      <c r="A303" t="s">
        <v>1963</v>
      </c>
      <c r="B303" t="s">
        <v>1968</v>
      </c>
      <c r="C303" t="s">
        <v>963</v>
      </c>
      <c r="D303" t="s">
        <v>1969</v>
      </c>
    </row>
    <row r="304" spans="1:4" hidden="1"/>
    <row r="305" spans="1:4" hidden="1">
      <c r="A305" t="s">
        <v>1971</v>
      </c>
      <c r="B305" t="s">
        <v>1972</v>
      </c>
      <c r="C305" t="s">
        <v>627</v>
      </c>
      <c r="D305" t="s">
        <v>1973</v>
      </c>
    </row>
    <row r="306" spans="1:4" hidden="1">
      <c r="A306" t="s">
        <v>1971</v>
      </c>
      <c r="B306" t="s">
        <v>1976</v>
      </c>
      <c r="C306" t="s">
        <v>627</v>
      </c>
      <c r="D306" t="s">
        <v>1975</v>
      </c>
    </row>
    <row r="307" spans="1:4" hidden="1">
      <c r="A307" t="s">
        <v>1971</v>
      </c>
      <c r="B307" t="s">
        <v>1978</v>
      </c>
      <c r="C307" t="s">
        <v>627</v>
      </c>
      <c r="D307" t="s">
        <v>1975</v>
      </c>
    </row>
    <row r="308" spans="1:4" hidden="1">
      <c r="A308" t="s">
        <v>1971</v>
      </c>
      <c r="B308" t="s">
        <v>1987</v>
      </c>
      <c r="C308" t="s">
        <v>627</v>
      </c>
      <c r="D308" t="s">
        <v>1975</v>
      </c>
    </row>
    <row r="309" spans="1:4" hidden="1">
      <c r="A309" t="s">
        <v>1971</v>
      </c>
      <c r="B309" t="s">
        <v>1980</v>
      </c>
      <c r="C309" t="s">
        <v>627</v>
      </c>
      <c r="D309" t="s">
        <v>1975</v>
      </c>
    </row>
    <row r="310" spans="1:4" hidden="1">
      <c r="A310" t="s">
        <v>1971</v>
      </c>
      <c r="B310" t="s">
        <v>1982</v>
      </c>
      <c r="C310" t="s">
        <v>627</v>
      </c>
      <c r="D310" t="s">
        <v>1975</v>
      </c>
    </row>
    <row r="311" spans="1:4" hidden="1">
      <c r="A311" t="s">
        <v>1971</v>
      </c>
      <c r="B311" t="s">
        <v>1981</v>
      </c>
      <c r="C311" t="s">
        <v>627</v>
      </c>
      <c r="D311" t="s">
        <v>1975</v>
      </c>
    </row>
    <row r="312" spans="1:4" hidden="1">
      <c r="A312" t="s">
        <v>1971</v>
      </c>
      <c r="B312" t="s">
        <v>1985</v>
      </c>
      <c r="C312" t="s">
        <v>627</v>
      </c>
      <c r="D312" t="s">
        <v>1975</v>
      </c>
    </row>
    <row r="313" spans="1:4" hidden="1">
      <c r="A313" t="s">
        <v>1971</v>
      </c>
      <c r="B313" t="s">
        <v>1986</v>
      </c>
      <c r="C313" t="s">
        <v>627</v>
      </c>
      <c r="D313" t="s">
        <v>1975</v>
      </c>
    </row>
    <row r="314" spans="1:4" hidden="1">
      <c r="A314" t="s">
        <v>1996</v>
      </c>
      <c r="B314" t="s">
        <v>1988</v>
      </c>
      <c r="C314" t="s">
        <v>627</v>
      </c>
      <c r="D314" t="s">
        <v>1997</v>
      </c>
    </row>
    <row r="315" spans="1:4" hidden="1">
      <c r="A315" t="s">
        <v>1996</v>
      </c>
      <c r="B315" t="s">
        <v>1989</v>
      </c>
      <c r="C315" t="s">
        <v>627</v>
      </c>
      <c r="D315" t="s">
        <v>1997</v>
      </c>
    </row>
    <row r="316" spans="1:4" hidden="1">
      <c r="A316" t="s">
        <v>1996</v>
      </c>
      <c r="B316" t="s">
        <v>1990</v>
      </c>
      <c r="C316" t="s">
        <v>627</v>
      </c>
      <c r="D316" t="s">
        <v>1997</v>
      </c>
    </row>
    <row r="317" spans="1:4" hidden="1">
      <c r="A317" t="s">
        <v>1996</v>
      </c>
      <c r="B317" t="s">
        <v>1991</v>
      </c>
      <c r="C317" t="s">
        <v>627</v>
      </c>
      <c r="D317" t="s">
        <v>1997</v>
      </c>
    </row>
    <row r="318" spans="1:4" hidden="1">
      <c r="A318" t="s">
        <v>1996</v>
      </c>
      <c r="B318" t="s">
        <v>1992</v>
      </c>
      <c r="C318" t="s">
        <v>627</v>
      </c>
      <c r="D318" t="s">
        <v>1997</v>
      </c>
    </row>
    <row r="319" spans="1:4" hidden="1">
      <c r="A319" t="s">
        <v>1996</v>
      </c>
      <c r="B319" t="s">
        <v>1993</v>
      </c>
      <c r="C319" t="s">
        <v>627</v>
      </c>
      <c r="D319" t="s">
        <v>1997</v>
      </c>
    </row>
    <row r="320" spans="1:4" hidden="1">
      <c r="A320" t="s">
        <v>1996</v>
      </c>
      <c r="B320" t="s">
        <v>1994</v>
      </c>
      <c r="C320" t="s">
        <v>627</v>
      </c>
      <c r="D320" t="s">
        <v>1997</v>
      </c>
    </row>
    <row r="321" spans="1:4" hidden="1">
      <c r="A321" t="s">
        <v>1996</v>
      </c>
      <c r="B321" t="s">
        <v>1995</v>
      </c>
      <c r="C321" t="s">
        <v>627</v>
      </c>
      <c r="D321" t="s">
        <v>1997</v>
      </c>
    </row>
    <row r="322" spans="1:4" hidden="1">
      <c r="A322" t="s">
        <v>1996</v>
      </c>
      <c r="B322" t="s">
        <v>1998</v>
      </c>
      <c r="C322" t="s">
        <v>627</v>
      </c>
      <c r="D322" t="s">
        <v>1997</v>
      </c>
    </row>
    <row r="323" spans="1:4" hidden="1">
      <c r="A323" t="s">
        <v>1996</v>
      </c>
      <c r="B323" t="s">
        <v>1999</v>
      </c>
      <c r="C323" t="s">
        <v>627</v>
      </c>
      <c r="D323" t="s">
        <v>1997</v>
      </c>
    </row>
    <row r="324" spans="1:4" hidden="1">
      <c r="A324" t="s">
        <v>2003</v>
      </c>
      <c r="B324" t="s">
        <v>2004</v>
      </c>
      <c r="C324" t="s">
        <v>627</v>
      </c>
      <c r="D324" t="s">
        <v>2002</v>
      </c>
    </row>
    <row r="325" spans="1:4" hidden="1">
      <c r="A325" t="s">
        <v>2003</v>
      </c>
      <c r="B325" t="s">
        <v>2005</v>
      </c>
      <c r="C325" t="s">
        <v>627</v>
      </c>
      <c r="D325" t="s">
        <v>2002</v>
      </c>
    </row>
    <row r="326" spans="1:4" hidden="1">
      <c r="A326" t="s">
        <v>2003</v>
      </c>
      <c r="B326" t="s">
        <v>2006</v>
      </c>
      <c r="C326" t="s">
        <v>627</v>
      </c>
      <c r="D326" t="s">
        <v>2002</v>
      </c>
    </row>
    <row r="327" spans="1:4" hidden="1">
      <c r="A327" t="s">
        <v>2003</v>
      </c>
      <c r="B327" t="s">
        <v>2007</v>
      </c>
      <c r="C327" t="s">
        <v>627</v>
      </c>
      <c r="D327" t="s">
        <v>2002</v>
      </c>
    </row>
    <row r="328" spans="1:4" hidden="1">
      <c r="A328" t="s">
        <v>2003</v>
      </c>
      <c r="B328" t="s">
        <v>2008</v>
      </c>
      <c r="C328" t="s">
        <v>627</v>
      </c>
      <c r="D328" t="s">
        <v>2002</v>
      </c>
    </row>
    <row r="329" spans="1:4" hidden="1">
      <c r="A329" t="s">
        <v>2003</v>
      </c>
      <c r="B329" t="s">
        <v>2009</v>
      </c>
      <c r="C329" t="s">
        <v>627</v>
      </c>
      <c r="D329" t="s">
        <v>2002</v>
      </c>
    </row>
    <row r="330" spans="1:4" hidden="1">
      <c r="A330" t="s">
        <v>2003</v>
      </c>
      <c r="B330" t="s">
        <v>2010</v>
      </c>
      <c r="C330" t="s">
        <v>627</v>
      </c>
      <c r="D330" t="s">
        <v>2002</v>
      </c>
    </row>
    <row r="331" spans="1:4" hidden="1">
      <c r="A331" t="s">
        <v>2003</v>
      </c>
      <c r="B331" t="s">
        <v>2011</v>
      </c>
      <c r="C331" t="s">
        <v>627</v>
      </c>
      <c r="D331" t="s">
        <v>2002</v>
      </c>
    </row>
    <row r="332" spans="1:4" hidden="1">
      <c r="A332" t="s">
        <v>2016</v>
      </c>
      <c r="B332" t="s">
        <v>2012</v>
      </c>
      <c r="C332" t="s">
        <v>627</v>
      </c>
      <c r="D332" t="s">
        <v>2017</v>
      </c>
    </row>
    <row r="333" spans="1:4" hidden="1">
      <c r="A333" t="s">
        <v>2016</v>
      </c>
      <c r="B333" t="s">
        <v>2018</v>
      </c>
      <c r="C333" t="s">
        <v>627</v>
      </c>
      <c r="D333" t="s">
        <v>2021</v>
      </c>
    </row>
    <row r="334" spans="1:4" hidden="1">
      <c r="A334" t="s">
        <v>2016</v>
      </c>
      <c r="B334" t="s">
        <v>2019</v>
      </c>
      <c r="C334" t="s">
        <v>627</v>
      </c>
      <c r="D334" t="s">
        <v>2021</v>
      </c>
    </row>
    <row r="335" spans="1:4" hidden="1">
      <c r="A335" t="s">
        <v>2016</v>
      </c>
      <c r="B335" t="s">
        <v>2020</v>
      </c>
      <c r="C335" t="s">
        <v>627</v>
      </c>
      <c r="D335" t="s">
        <v>2021</v>
      </c>
    </row>
    <row r="336" spans="1:4" hidden="1">
      <c r="A336" t="s">
        <v>2016</v>
      </c>
      <c r="B336" t="s">
        <v>2022</v>
      </c>
      <c r="C336" t="s">
        <v>627</v>
      </c>
      <c r="D336" t="s">
        <v>2021</v>
      </c>
    </row>
    <row r="337" spans="1:4" hidden="1"/>
    <row r="338" spans="1:4">
      <c r="A338" t="s">
        <v>2023</v>
      </c>
      <c r="B338" t="s">
        <v>2025</v>
      </c>
      <c r="C338" t="s">
        <v>963</v>
      </c>
      <c r="D338" t="s">
        <v>2024</v>
      </c>
    </row>
    <row r="339" spans="1:4">
      <c r="A339" t="s">
        <v>2027</v>
      </c>
      <c r="B339" t="s">
        <v>2028</v>
      </c>
      <c r="C339" t="s">
        <v>963</v>
      </c>
      <c r="D339" t="s">
        <v>2026</v>
      </c>
    </row>
    <row r="340" spans="1:4">
      <c r="A340" t="s">
        <v>2027</v>
      </c>
      <c r="B340" t="s">
        <v>2030</v>
      </c>
      <c r="C340" t="s">
        <v>963</v>
      </c>
      <c r="D340" t="s">
        <v>2029</v>
      </c>
    </row>
    <row r="341" spans="1:4">
      <c r="A341" t="s">
        <v>2031</v>
      </c>
      <c r="B341" t="s">
        <v>2032</v>
      </c>
      <c r="C341" t="s">
        <v>963</v>
      </c>
      <c r="D341" t="s">
        <v>2033</v>
      </c>
    </row>
    <row r="342" spans="1:4">
      <c r="A342" t="s">
        <v>2031</v>
      </c>
      <c r="B342" t="s">
        <v>2032</v>
      </c>
      <c r="C342" t="s">
        <v>963</v>
      </c>
      <c r="D342" t="s">
        <v>2041</v>
      </c>
    </row>
    <row r="343" spans="1:4">
      <c r="A343" t="s">
        <v>2037</v>
      </c>
      <c r="B343" t="s">
        <v>2039</v>
      </c>
      <c r="C343" t="s">
        <v>963</v>
      </c>
      <c r="D343" t="s">
        <v>2040</v>
      </c>
    </row>
    <row r="344" spans="1:4">
      <c r="A344" t="s">
        <v>2038</v>
      </c>
      <c r="B344" t="s">
        <v>2042</v>
      </c>
      <c r="C344" t="s">
        <v>963</v>
      </c>
      <c r="D344" t="s">
        <v>2043</v>
      </c>
    </row>
    <row r="345" spans="1:4">
      <c r="A345" t="s">
        <v>2038</v>
      </c>
      <c r="B345" t="s">
        <v>2044</v>
      </c>
      <c r="C345" t="s">
        <v>963</v>
      </c>
      <c r="D345" t="s">
        <v>2043</v>
      </c>
    </row>
    <row r="346" spans="1:4">
      <c r="A346" t="s">
        <v>2038</v>
      </c>
      <c r="B346" t="s">
        <v>2045</v>
      </c>
      <c r="C346" t="s">
        <v>963</v>
      </c>
      <c r="D346" t="s">
        <v>2043</v>
      </c>
    </row>
    <row r="347" spans="1:4">
      <c r="A347" t="s">
        <v>2038</v>
      </c>
      <c r="B347" t="s">
        <v>2051</v>
      </c>
      <c r="C347" t="s">
        <v>963</v>
      </c>
      <c r="D347" t="s">
        <v>2052</v>
      </c>
    </row>
    <row r="348" spans="1:4">
      <c r="A348" t="s">
        <v>2054</v>
      </c>
      <c r="B348" t="s">
        <v>2055</v>
      </c>
      <c r="C348" t="s">
        <v>963</v>
      </c>
      <c r="D348" t="s">
        <v>2053</v>
      </c>
    </row>
    <row r="349" spans="1:4">
      <c r="A349" t="s">
        <v>2082</v>
      </c>
      <c r="B349" t="s">
        <v>2083</v>
      </c>
      <c r="C349" t="s">
        <v>963</v>
      </c>
      <c r="D349" t="s">
        <v>2084</v>
      </c>
    </row>
    <row r="350" spans="1:4">
      <c r="A350" t="s">
        <v>2082</v>
      </c>
      <c r="B350" t="s">
        <v>2117</v>
      </c>
      <c r="C350" t="s">
        <v>963</v>
      </c>
      <c r="D350" t="s">
        <v>2084</v>
      </c>
    </row>
    <row r="351" spans="1:4">
      <c r="A351" t="s">
        <v>2082</v>
      </c>
      <c r="B351" t="s">
        <v>2116</v>
      </c>
      <c r="C351" t="s">
        <v>963</v>
      </c>
      <c r="D351" t="s">
        <v>2084</v>
      </c>
    </row>
    <row r="352" spans="1:4">
      <c r="A352" t="s">
        <v>2082</v>
      </c>
      <c r="B352" t="s">
        <v>2118</v>
      </c>
      <c r="C352" t="s">
        <v>963</v>
      </c>
      <c r="D352" t="s">
        <v>2084</v>
      </c>
    </row>
    <row r="353" spans="1:4">
      <c r="A353" t="s">
        <v>2082</v>
      </c>
      <c r="B353" t="s">
        <v>2119</v>
      </c>
      <c r="C353" t="s">
        <v>963</v>
      </c>
      <c r="D353" t="s">
        <v>2084</v>
      </c>
    </row>
    <row r="354" spans="1:4">
      <c r="A354" t="s">
        <v>2082</v>
      </c>
      <c r="B354" t="s">
        <v>2120</v>
      </c>
      <c r="C354" t="s">
        <v>963</v>
      </c>
      <c r="D354" t="s">
        <v>2084</v>
      </c>
    </row>
    <row r="355" spans="1:4">
      <c r="A355" t="s">
        <v>2082</v>
      </c>
      <c r="B355" t="s">
        <v>2121</v>
      </c>
      <c r="C355" t="s">
        <v>963</v>
      </c>
      <c r="D355" t="s">
        <v>2084</v>
      </c>
    </row>
    <row r="356" spans="1:4">
      <c r="A356" t="s">
        <v>2082</v>
      </c>
      <c r="B356" t="s">
        <v>2122</v>
      </c>
      <c r="C356" t="s">
        <v>963</v>
      </c>
      <c r="D356" t="s">
        <v>2084</v>
      </c>
    </row>
    <row r="357" spans="1:4">
      <c r="A357" t="s">
        <v>2082</v>
      </c>
      <c r="B357" t="s">
        <v>2123</v>
      </c>
      <c r="C357" t="s">
        <v>963</v>
      </c>
      <c r="D357" t="s">
        <v>2084</v>
      </c>
    </row>
    <row r="358" spans="1:4">
      <c r="A358" t="s">
        <v>2082</v>
      </c>
      <c r="B358" t="s">
        <v>2124</v>
      </c>
      <c r="C358" t="s">
        <v>963</v>
      </c>
      <c r="D358" t="s">
        <v>2084</v>
      </c>
    </row>
    <row r="359" spans="1:4">
      <c r="A359" t="s">
        <v>2125</v>
      </c>
      <c r="B359" t="s">
        <v>2126</v>
      </c>
      <c r="C359" t="s">
        <v>963</v>
      </c>
      <c r="D359" t="s">
        <v>2127</v>
      </c>
    </row>
    <row r="360" spans="1:4">
      <c r="A360" t="s">
        <v>2140</v>
      </c>
      <c r="B360" t="s">
        <v>2141</v>
      </c>
      <c r="C360" t="s">
        <v>963</v>
      </c>
      <c r="D360" t="s">
        <v>2142</v>
      </c>
    </row>
    <row r="361" spans="1:4">
      <c r="A361" t="s">
        <v>2143</v>
      </c>
      <c r="B361" t="s">
        <v>2144</v>
      </c>
      <c r="C361" t="s">
        <v>963</v>
      </c>
      <c r="D361" t="s">
        <v>2145</v>
      </c>
    </row>
    <row r="362" spans="1:4">
      <c r="A362" t="s">
        <v>2149</v>
      </c>
      <c r="B362" t="s">
        <v>2150</v>
      </c>
      <c r="C362" t="s">
        <v>963</v>
      </c>
      <c r="D362" t="s">
        <v>2151</v>
      </c>
    </row>
    <row r="363" spans="1:4">
      <c r="A363" t="s">
        <v>2616</v>
      </c>
      <c r="B363" t="s">
        <v>2617</v>
      </c>
      <c r="C363" t="s">
        <v>963</v>
      </c>
      <c r="D363" t="s">
        <v>2618</v>
      </c>
    </row>
    <row r="364" spans="1:4">
      <c r="A364" t="s">
        <v>2616</v>
      </c>
      <c r="B364" t="s">
        <v>2619</v>
      </c>
      <c r="C364" t="s">
        <v>963</v>
      </c>
      <c r="D364" t="s">
        <v>2618</v>
      </c>
    </row>
    <row r="365" spans="1:4">
      <c r="A365" t="s">
        <v>2944</v>
      </c>
      <c r="B365" t="s">
        <v>2942</v>
      </c>
      <c r="C365" t="s">
        <v>963</v>
      </c>
      <c r="D365" t="s">
        <v>2943</v>
      </c>
    </row>
    <row r="366" spans="1:4">
      <c r="A366" t="s">
        <v>2945</v>
      </c>
      <c r="B366" t="s">
        <v>2946</v>
      </c>
      <c r="C366" t="s">
        <v>963</v>
      </c>
      <c r="D366" t="s">
        <v>2947</v>
      </c>
    </row>
    <row r="367" spans="1:4">
      <c r="A367" t="s">
        <v>2945</v>
      </c>
      <c r="B367" t="s">
        <v>2949</v>
      </c>
      <c r="C367" t="s">
        <v>963</v>
      </c>
      <c r="D367" t="s">
        <v>2947</v>
      </c>
    </row>
    <row r="368" spans="1:4">
      <c r="A368" t="s">
        <v>2945</v>
      </c>
      <c r="B368" t="s">
        <v>2950</v>
      </c>
      <c r="C368" t="s">
        <v>963</v>
      </c>
      <c r="D368" t="s">
        <v>2947</v>
      </c>
    </row>
    <row r="369" spans="1:4">
      <c r="A369" t="s">
        <v>2951</v>
      </c>
      <c r="B369" t="s">
        <v>2958</v>
      </c>
      <c r="C369" t="s">
        <v>970</v>
      </c>
      <c r="D369" t="s">
        <v>2959</v>
      </c>
    </row>
    <row r="370" spans="1:4">
      <c r="A370" t="s">
        <v>2951</v>
      </c>
      <c r="B370" t="s">
        <v>2961</v>
      </c>
      <c r="C370" t="s">
        <v>970</v>
      </c>
      <c r="D370" t="s">
        <v>2959</v>
      </c>
    </row>
    <row r="371" spans="1:4">
      <c r="A371" t="s">
        <v>2951</v>
      </c>
      <c r="B371" t="s">
        <v>2960</v>
      </c>
      <c r="C371" t="s">
        <v>970</v>
      </c>
      <c r="D371" t="s">
        <v>2959</v>
      </c>
    </row>
    <row r="372" spans="1:4">
      <c r="A372" t="s">
        <v>2951</v>
      </c>
      <c r="B372" t="s">
        <v>2962</v>
      </c>
      <c r="C372" t="s">
        <v>970</v>
      </c>
      <c r="D372" t="s">
        <v>2959</v>
      </c>
    </row>
    <row r="373" spans="1:4">
      <c r="A373" t="s">
        <v>2951</v>
      </c>
      <c r="B373" t="s">
        <v>2963</v>
      </c>
      <c r="C373" t="s">
        <v>970</v>
      </c>
      <c r="D373" t="s">
        <v>2959</v>
      </c>
    </row>
    <row r="374" spans="1:4">
      <c r="A374" t="s">
        <v>2951</v>
      </c>
      <c r="B374" t="s">
        <v>2964</v>
      </c>
      <c r="C374" t="s">
        <v>970</v>
      </c>
      <c r="D374" t="s">
        <v>2959</v>
      </c>
    </row>
    <row r="375" spans="1:4">
      <c r="A375" t="s">
        <v>2951</v>
      </c>
      <c r="B375" t="s">
        <v>2965</v>
      </c>
      <c r="C375" t="s">
        <v>963</v>
      </c>
      <c r="D375" t="s">
        <v>2959</v>
      </c>
    </row>
    <row r="376" spans="1:4">
      <c r="A376" t="s">
        <v>2966</v>
      </c>
      <c r="B376" t="s">
        <v>2967</v>
      </c>
      <c r="C376" t="s">
        <v>963</v>
      </c>
      <c r="D376" t="s">
        <v>2970</v>
      </c>
    </row>
    <row r="377" spans="1:4">
      <c r="A377" t="s">
        <v>2966</v>
      </c>
      <c r="B377" t="s">
        <v>2968</v>
      </c>
      <c r="C377" t="s">
        <v>963</v>
      </c>
      <c r="D377" t="s">
        <v>2970</v>
      </c>
    </row>
    <row r="378" spans="1:4">
      <c r="A378" t="s">
        <v>2966</v>
      </c>
      <c r="B378" t="s">
        <v>2969</v>
      </c>
      <c r="C378" t="s">
        <v>963</v>
      </c>
      <c r="D378" t="s">
        <v>2970</v>
      </c>
    </row>
    <row r="379" spans="1:4">
      <c r="A379" t="s">
        <v>2966</v>
      </c>
      <c r="B379" t="s">
        <v>3016</v>
      </c>
      <c r="C379" t="s">
        <v>963</v>
      </c>
      <c r="D379" t="s">
        <v>2970</v>
      </c>
    </row>
    <row r="380" spans="1:4">
      <c r="A380" t="s">
        <v>2966</v>
      </c>
      <c r="B380" t="s">
        <v>3140</v>
      </c>
      <c r="C380" t="s">
        <v>963</v>
      </c>
      <c r="D380" t="s">
        <v>2970</v>
      </c>
    </row>
    <row r="381" spans="1:4">
      <c r="A381" t="s">
        <v>2966</v>
      </c>
      <c r="B381" t="s">
        <v>3165</v>
      </c>
      <c r="C381" t="s">
        <v>963</v>
      </c>
      <c r="D381" t="s">
        <v>2970</v>
      </c>
    </row>
    <row r="382" spans="1:4">
      <c r="A382" t="s">
        <v>2966</v>
      </c>
      <c r="B382" t="s">
        <v>3166</v>
      </c>
      <c r="C382" t="s">
        <v>963</v>
      </c>
      <c r="D382" t="s">
        <v>2970</v>
      </c>
    </row>
    <row r="383" spans="1:4">
      <c r="A383" t="s">
        <v>2966</v>
      </c>
      <c r="B383" t="s">
        <v>3168</v>
      </c>
      <c r="C383" t="s">
        <v>963</v>
      </c>
      <c r="D383" t="s">
        <v>2970</v>
      </c>
    </row>
    <row r="384" spans="1:4">
      <c r="A384" t="s">
        <v>3169</v>
      </c>
      <c r="B384" t="s">
        <v>3216</v>
      </c>
      <c r="C384" t="s">
        <v>963</v>
      </c>
      <c r="D384" t="s">
        <v>3222</v>
      </c>
    </row>
    <row r="385" spans="1:4">
      <c r="A385" t="s">
        <v>3169</v>
      </c>
      <c r="B385" t="s">
        <v>3223</v>
      </c>
      <c r="C385" t="s">
        <v>963</v>
      </c>
      <c r="D385" t="s">
        <v>3222</v>
      </c>
    </row>
    <row r="386" spans="1:4">
      <c r="A386" t="s">
        <v>3169</v>
      </c>
      <c r="B386" t="s">
        <v>3225</v>
      </c>
      <c r="C386" t="s">
        <v>963</v>
      </c>
      <c r="D386" t="s">
        <v>3222</v>
      </c>
    </row>
    <row r="387" spans="1:4">
      <c r="A387" t="s">
        <v>3169</v>
      </c>
      <c r="B387" t="s">
        <v>3224</v>
      </c>
      <c r="C387" t="s">
        <v>963</v>
      </c>
      <c r="D387" t="s">
        <v>3222</v>
      </c>
    </row>
    <row r="388" spans="1:4">
      <c r="A388" t="s">
        <v>3235</v>
      </c>
      <c r="B388" t="s">
        <v>3273</v>
      </c>
      <c r="C388" t="s">
        <v>963</v>
      </c>
      <c r="D388" t="s">
        <v>3243</v>
      </c>
    </row>
    <row r="389" spans="1:4">
      <c r="A389" t="s">
        <v>3235</v>
      </c>
      <c r="B389" t="s">
        <v>3241</v>
      </c>
      <c r="C389" t="s">
        <v>627</v>
      </c>
      <c r="D389" t="s">
        <v>3242</v>
      </c>
    </row>
    <row r="390" spans="1:4">
      <c r="A390" t="s">
        <v>3235</v>
      </c>
      <c r="B390" t="s">
        <v>3274</v>
      </c>
      <c r="C390" t="s">
        <v>963</v>
      </c>
      <c r="D390" t="s">
        <v>3275</v>
      </c>
    </row>
    <row r="391" spans="1:4">
      <c r="A391" t="s">
        <v>3235</v>
      </c>
      <c r="B391" t="s">
        <v>3276</v>
      </c>
      <c r="C391" t="s">
        <v>963</v>
      </c>
      <c r="D391" t="s">
        <v>3275</v>
      </c>
    </row>
    <row r="392" spans="1:4">
      <c r="A392" t="s">
        <v>3277</v>
      </c>
      <c r="B392" t="s">
        <v>3278</v>
      </c>
      <c r="C392" t="s">
        <v>963</v>
      </c>
      <c r="D392" t="s">
        <v>3279</v>
      </c>
    </row>
    <row r="393" spans="1:4">
      <c r="A393" t="s">
        <v>3277</v>
      </c>
      <c r="B393" t="s">
        <v>3281</v>
      </c>
    </row>
    <row r="394" spans="1:4">
      <c r="A394" t="s">
        <v>3277</v>
      </c>
      <c r="B394" t="s">
        <v>3280</v>
      </c>
    </row>
    <row r="395" spans="1:4">
      <c r="A395" t="s">
        <v>3284</v>
      </c>
      <c r="B395" t="s">
        <v>3285</v>
      </c>
      <c r="C395" t="s">
        <v>963</v>
      </c>
      <c r="D395" t="s">
        <v>3288</v>
      </c>
    </row>
    <row r="396" spans="1:4">
      <c r="A396" t="s">
        <v>3284</v>
      </c>
      <c r="B396" t="s">
        <v>3286</v>
      </c>
      <c r="C396" t="s">
        <v>963</v>
      </c>
      <c r="D396" t="s">
        <v>3288</v>
      </c>
    </row>
    <row r="397" spans="1:4">
      <c r="A397" t="s">
        <v>3284</v>
      </c>
      <c r="B397" t="s">
        <v>3287</v>
      </c>
      <c r="C397" t="s">
        <v>963</v>
      </c>
      <c r="D397" t="s">
        <v>3288</v>
      </c>
    </row>
    <row r="398" spans="1:4">
      <c r="A398" t="s">
        <v>3284</v>
      </c>
      <c r="B398" t="s">
        <v>3289</v>
      </c>
      <c r="C398" t="s">
        <v>963</v>
      </c>
      <c r="D398" t="s">
        <v>3288</v>
      </c>
    </row>
    <row r="399" spans="1:4">
      <c r="A399" t="s">
        <v>3290</v>
      </c>
      <c r="B399" t="s">
        <v>3291</v>
      </c>
      <c r="C399" t="s">
        <v>627</v>
      </c>
      <c r="D399" t="s">
        <v>3293</v>
      </c>
    </row>
    <row r="400" spans="1:4">
      <c r="A400" t="s">
        <v>3290</v>
      </c>
      <c r="B400" t="s">
        <v>3292</v>
      </c>
      <c r="C400" t="s">
        <v>627</v>
      </c>
      <c r="D400" t="s">
        <v>3293</v>
      </c>
    </row>
    <row r="401" spans="1:4">
      <c r="A401" t="s">
        <v>3290</v>
      </c>
      <c r="B401" t="s">
        <v>3294</v>
      </c>
      <c r="C401" t="s">
        <v>627</v>
      </c>
      <c r="D401" t="s">
        <v>3293</v>
      </c>
    </row>
    <row r="402" spans="1:4">
      <c r="A402" t="s">
        <v>3297</v>
      </c>
      <c r="B402" t="s">
        <v>3298</v>
      </c>
      <c r="C402" t="s">
        <v>1185</v>
      </c>
      <c r="D402" t="s">
        <v>3302</v>
      </c>
    </row>
    <row r="403" spans="1:4">
      <c r="A403" t="s">
        <v>3297</v>
      </c>
      <c r="B403" t="s">
        <v>3299</v>
      </c>
      <c r="C403" t="s">
        <v>1185</v>
      </c>
      <c r="D403" t="s">
        <v>3302</v>
      </c>
    </row>
    <row r="404" spans="1:4">
      <c r="A404" t="s">
        <v>3297</v>
      </c>
      <c r="B404" t="s">
        <v>3300</v>
      </c>
      <c r="C404" t="s">
        <v>1185</v>
      </c>
      <c r="D404" t="s">
        <v>3302</v>
      </c>
    </row>
    <row r="405" spans="1:4">
      <c r="A405" t="s">
        <v>3297</v>
      </c>
      <c r="B405" t="s">
        <v>3301</v>
      </c>
      <c r="C405" t="s">
        <v>1185</v>
      </c>
      <c r="D405" t="s">
        <v>3302</v>
      </c>
    </row>
    <row r="406" spans="1:4">
      <c r="A406" t="s">
        <v>3297</v>
      </c>
      <c r="B406" t="s">
        <v>3303</v>
      </c>
      <c r="C406" t="s">
        <v>1185</v>
      </c>
      <c r="D406" t="s">
        <v>3302</v>
      </c>
    </row>
    <row r="407" spans="1:4">
      <c r="A407" t="s">
        <v>3297</v>
      </c>
      <c r="B407" t="s">
        <v>3307</v>
      </c>
      <c r="C407" t="s">
        <v>1185</v>
      </c>
      <c r="D407" t="s">
        <v>3302</v>
      </c>
    </row>
    <row r="408" spans="1:4">
      <c r="A408" t="s">
        <v>3297</v>
      </c>
      <c r="B408" t="s">
        <v>3308</v>
      </c>
      <c r="C408" t="s">
        <v>1185</v>
      </c>
      <c r="D408" t="s">
        <v>3302</v>
      </c>
    </row>
    <row r="409" spans="1:4">
      <c r="A409" t="s">
        <v>3297</v>
      </c>
      <c r="B409" t="s">
        <v>3309</v>
      </c>
      <c r="C409" t="s">
        <v>1185</v>
      </c>
      <c r="D409" t="s">
        <v>3302</v>
      </c>
    </row>
    <row r="410" spans="1:4">
      <c r="A410" t="s">
        <v>3297</v>
      </c>
      <c r="B410" t="s">
        <v>3310</v>
      </c>
      <c r="C410" t="s">
        <v>1185</v>
      </c>
      <c r="D410" t="s">
        <v>3302</v>
      </c>
    </row>
    <row r="411" spans="1:4">
      <c r="A411" t="s">
        <v>3312</v>
      </c>
      <c r="B411" t="s">
        <v>3313</v>
      </c>
      <c r="C411" t="s">
        <v>1185</v>
      </c>
      <c r="D411" t="s">
        <v>3314</v>
      </c>
    </row>
    <row r="412" spans="1:4">
      <c r="A412" t="s">
        <v>3312</v>
      </c>
      <c r="B412" t="s">
        <v>3315</v>
      </c>
      <c r="C412" t="s">
        <v>1185</v>
      </c>
      <c r="D412" t="s">
        <v>3314</v>
      </c>
    </row>
    <row r="413" spans="1:4">
      <c r="A413" t="s">
        <v>3312</v>
      </c>
      <c r="B413" t="s">
        <v>3316</v>
      </c>
      <c r="C413" t="s">
        <v>1185</v>
      </c>
      <c r="D413" t="s">
        <v>3314</v>
      </c>
    </row>
    <row r="414" spans="1:4">
      <c r="A414" t="s">
        <v>3312</v>
      </c>
      <c r="B414" t="s">
        <v>3317</v>
      </c>
      <c r="C414" t="s">
        <v>1185</v>
      </c>
      <c r="D414" t="s">
        <v>3314</v>
      </c>
    </row>
    <row r="415" spans="1:4">
      <c r="A415" t="s">
        <v>3312</v>
      </c>
      <c r="B415" t="s">
        <v>3318</v>
      </c>
      <c r="C415" t="s">
        <v>1185</v>
      </c>
      <c r="D415" t="s">
        <v>3314</v>
      </c>
    </row>
    <row r="416" spans="1:4">
      <c r="A416" t="s">
        <v>3312</v>
      </c>
      <c r="B416" t="s">
        <v>3319</v>
      </c>
      <c r="C416" t="s">
        <v>1185</v>
      </c>
      <c r="D416" t="s">
        <v>3314</v>
      </c>
    </row>
    <row r="417" spans="1:4">
      <c r="A417" t="s">
        <v>3312</v>
      </c>
      <c r="B417" t="s">
        <v>3320</v>
      </c>
      <c r="C417" t="s">
        <v>1185</v>
      </c>
      <c r="D417" t="s">
        <v>3314</v>
      </c>
    </row>
    <row r="418" spans="1:4">
      <c r="A418" t="s">
        <v>3312</v>
      </c>
      <c r="B418" t="s">
        <v>3321</v>
      </c>
      <c r="C418" t="s">
        <v>1185</v>
      </c>
      <c r="D418" t="s">
        <v>3314</v>
      </c>
    </row>
    <row r="419" spans="1:4">
      <c r="A419" t="s">
        <v>3312</v>
      </c>
      <c r="B419" t="s">
        <v>3322</v>
      </c>
      <c r="C419" t="s">
        <v>1185</v>
      </c>
      <c r="D419" t="s">
        <v>3314</v>
      </c>
    </row>
    <row r="420" spans="1:4">
      <c r="A420" t="s">
        <v>3349</v>
      </c>
      <c r="B420" t="s">
        <v>3347</v>
      </c>
      <c r="C420" t="s">
        <v>627</v>
      </c>
      <c r="D420" t="s">
        <v>3348</v>
      </c>
    </row>
    <row r="421" spans="1:4">
      <c r="A421" t="s">
        <v>3349</v>
      </c>
      <c r="B421" t="s">
        <v>3350</v>
      </c>
      <c r="C421" t="s">
        <v>627</v>
      </c>
      <c r="D421" t="s">
        <v>3348</v>
      </c>
    </row>
    <row r="422" spans="1:4">
      <c r="A422" t="s">
        <v>3349</v>
      </c>
      <c r="B422" t="s">
        <v>3351</v>
      </c>
      <c r="C422" t="s">
        <v>627</v>
      </c>
      <c r="D422" t="s">
        <v>3348</v>
      </c>
    </row>
    <row r="423" spans="1:4">
      <c r="A423" t="s">
        <v>3349</v>
      </c>
      <c r="B423" t="s">
        <v>3352</v>
      </c>
      <c r="C423" t="s">
        <v>627</v>
      </c>
      <c r="D423" t="s">
        <v>3348</v>
      </c>
    </row>
    <row r="424" spans="1:4">
      <c r="A424" t="s">
        <v>3349</v>
      </c>
      <c r="B424" t="s">
        <v>3353</v>
      </c>
      <c r="C424" t="s">
        <v>627</v>
      </c>
      <c r="D424" t="s">
        <v>3348</v>
      </c>
    </row>
    <row r="425" spans="1:4">
      <c r="A425" t="s">
        <v>3349</v>
      </c>
      <c r="B425" t="s">
        <v>3354</v>
      </c>
      <c r="C425" t="s">
        <v>627</v>
      </c>
      <c r="D425" t="s">
        <v>3348</v>
      </c>
    </row>
    <row r="426" spans="1:4">
      <c r="A426" t="s">
        <v>3369</v>
      </c>
      <c r="B426" t="s">
        <v>3356</v>
      </c>
      <c r="C426" t="s">
        <v>627</v>
      </c>
      <c r="D426" t="s">
        <v>3370</v>
      </c>
    </row>
    <row r="427" spans="1:4">
      <c r="A427" t="s">
        <v>3369</v>
      </c>
      <c r="B427" t="s">
        <v>3357</v>
      </c>
      <c r="C427" t="s">
        <v>627</v>
      </c>
      <c r="D427" t="s">
        <v>3370</v>
      </c>
    </row>
    <row r="428" spans="1:4">
      <c r="A428" t="s">
        <v>3369</v>
      </c>
      <c r="B428" t="s">
        <v>3358</v>
      </c>
      <c r="C428" t="s">
        <v>627</v>
      </c>
      <c r="D428" t="s">
        <v>3370</v>
      </c>
    </row>
    <row r="429" spans="1:4">
      <c r="A429" t="s">
        <v>3369</v>
      </c>
      <c r="B429" t="s">
        <v>3359</v>
      </c>
      <c r="C429" t="s">
        <v>627</v>
      </c>
      <c r="D429" t="s">
        <v>3370</v>
      </c>
    </row>
    <row r="430" spans="1:4">
      <c r="A430" t="s">
        <v>3369</v>
      </c>
      <c r="B430" t="s">
        <v>3360</v>
      </c>
      <c r="C430" t="s">
        <v>627</v>
      </c>
      <c r="D430" t="s">
        <v>3370</v>
      </c>
    </row>
    <row r="431" spans="1:4">
      <c r="A431" t="s">
        <v>3369</v>
      </c>
      <c r="B431" t="s">
        <v>3361</v>
      </c>
      <c r="C431" t="s">
        <v>627</v>
      </c>
      <c r="D431" t="s">
        <v>3370</v>
      </c>
    </row>
    <row r="432" spans="1:4">
      <c r="A432" t="s">
        <v>3369</v>
      </c>
      <c r="B432" t="s">
        <v>3362</v>
      </c>
      <c r="C432" t="s">
        <v>627</v>
      </c>
      <c r="D432" t="s">
        <v>3370</v>
      </c>
    </row>
    <row r="433" spans="1:4">
      <c r="A433" t="s">
        <v>3369</v>
      </c>
      <c r="B433" t="s">
        <v>3363</v>
      </c>
      <c r="C433" t="s">
        <v>627</v>
      </c>
      <c r="D433" t="s">
        <v>3370</v>
      </c>
    </row>
    <row r="434" spans="1:4">
      <c r="A434" t="s">
        <v>3369</v>
      </c>
      <c r="B434" t="s">
        <v>3364</v>
      </c>
      <c r="C434" t="s">
        <v>627</v>
      </c>
      <c r="D434" t="s">
        <v>3370</v>
      </c>
    </row>
    <row r="435" spans="1:4">
      <c r="A435" t="s">
        <v>3369</v>
      </c>
      <c r="B435" t="s">
        <v>3365</v>
      </c>
      <c r="C435" t="s">
        <v>627</v>
      </c>
      <c r="D435" t="s">
        <v>3370</v>
      </c>
    </row>
    <row r="436" spans="1:4">
      <c r="A436" t="s">
        <v>3369</v>
      </c>
      <c r="B436" t="s">
        <v>3366</v>
      </c>
      <c r="C436" t="s">
        <v>627</v>
      </c>
      <c r="D436" t="s">
        <v>3370</v>
      </c>
    </row>
    <row r="437" spans="1:4">
      <c r="A437" t="s">
        <v>3369</v>
      </c>
      <c r="B437" t="s">
        <v>3367</v>
      </c>
      <c r="C437" t="s">
        <v>627</v>
      </c>
      <c r="D437" t="s">
        <v>3370</v>
      </c>
    </row>
    <row r="438" spans="1:4">
      <c r="A438" t="s">
        <v>3369</v>
      </c>
      <c r="B438" t="s">
        <v>3368</v>
      </c>
      <c r="C438" t="s">
        <v>627</v>
      </c>
      <c r="D438" t="s">
        <v>3370</v>
      </c>
    </row>
    <row r="439" spans="1:4">
      <c r="A439" t="s">
        <v>3371</v>
      </c>
      <c r="B439" t="s">
        <v>3373</v>
      </c>
      <c r="C439" t="s">
        <v>627</v>
      </c>
      <c r="D439" t="s">
        <v>3372</v>
      </c>
    </row>
    <row r="440" spans="1:4">
      <c r="A440" t="s">
        <v>3371</v>
      </c>
      <c r="B440" t="s">
        <v>3374</v>
      </c>
      <c r="C440" t="s">
        <v>627</v>
      </c>
      <c r="D440" t="s">
        <v>3372</v>
      </c>
    </row>
    <row r="441" spans="1:4">
      <c r="A441" t="s">
        <v>3371</v>
      </c>
      <c r="B441" t="s">
        <v>3375</v>
      </c>
      <c r="C441" t="s">
        <v>627</v>
      </c>
      <c r="D441" t="s">
        <v>3372</v>
      </c>
    </row>
    <row r="442" spans="1:4">
      <c r="A442" t="s">
        <v>3371</v>
      </c>
      <c r="B442" t="s">
        <v>3376</v>
      </c>
      <c r="C442" t="s">
        <v>627</v>
      </c>
      <c r="D442" t="s">
        <v>3372</v>
      </c>
    </row>
    <row r="443" spans="1:4">
      <c r="A443" t="s">
        <v>3371</v>
      </c>
      <c r="B443" t="s">
        <v>3459</v>
      </c>
      <c r="C443" t="s">
        <v>963</v>
      </c>
      <c r="D443" t="s">
        <v>3460</v>
      </c>
    </row>
    <row r="444" spans="1:4">
      <c r="A444" t="s">
        <v>3371</v>
      </c>
      <c r="B444" t="s">
        <v>3461</v>
      </c>
      <c r="C444" t="s">
        <v>963</v>
      </c>
      <c r="D444" t="s">
        <v>3462</v>
      </c>
    </row>
    <row r="445" spans="1:4">
      <c r="A445" t="s">
        <v>3371</v>
      </c>
      <c r="B445" t="s">
        <v>3463</v>
      </c>
      <c r="C445" t="s">
        <v>963</v>
      </c>
      <c r="D445" t="s">
        <v>3464</v>
      </c>
    </row>
    <row r="446" spans="1:4">
      <c r="A446" t="s">
        <v>3465</v>
      </c>
      <c r="B446" t="s">
        <v>3467</v>
      </c>
      <c r="C446" t="s">
        <v>627</v>
      </c>
      <c r="D446" t="s">
        <v>3466</v>
      </c>
    </row>
    <row r="447" spans="1:4">
      <c r="A447" t="s">
        <v>3465</v>
      </c>
      <c r="B447" t="s">
        <v>3468</v>
      </c>
      <c r="C447" t="s">
        <v>627</v>
      </c>
      <c r="D447" t="s">
        <v>3466</v>
      </c>
    </row>
    <row r="448" spans="1:4">
      <c r="A448" t="s">
        <v>3465</v>
      </c>
      <c r="B448" t="s">
        <v>3469</v>
      </c>
    </row>
    <row r="449" spans="1:4">
      <c r="B449" t="s">
        <v>3470</v>
      </c>
    </row>
    <row r="450" spans="1:4">
      <c r="A450" t="s">
        <v>3471</v>
      </c>
      <c r="B450" t="s">
        <v>3473</v>
      </c>
      <c r="C450" t="s">
        <v>963</v>
      </c>
      <c r="D450" t="s">
        <v>3472</v>
      </c>
    </row>
    <row r="451" spans="1:4">
      <c r="A451" t="s">
        <v>3471</v>
      </c>
      <c r="B451" t="s">
        <v>3474</v>
      </c>
      <c r="C451" t="s">
        <v>963</v>
      </c>
      <c r="D451" t="s">
        <v>3472</v>
      </c>
    </row>
    <row r="452" spans="1:4">
      <c r="A452" t="s">
        <v>3475</v>
      </c>
      <c r="B452" t="s">
        <v>3476</v>
      </c>
      <c r="C452" t="s">
        <v>627</v>
      </c>
      <c r="D452" t="s">
        <v>3478</v>
      </c>
    </row>
    <row r="453" spans="1:4">
      <c r="A453" t="s">
        <v>3475</v>
      </c>
      <c r="B453" t="s">
        <v>3477</v>
      </c>
      <c r="C453" t="s">
        <v>627</v>
      </c>
      <c r="D453" t="s">
        <v>3478</v>
      </c>
    </row>
    <row r="454" spans="1:4">
      <c r="A454" t="s">
        <v>3479</v>
      </c>
      <c r="B454" t="s">
        <v>3480</v>
      </c>
      <c r="C454" t="s">
        <v>963</v>
      </c>
      <c r="D454" t="s">
        <v>3481</v>
      </c>
    </row>
    <row r="455" spans="1:4">
      <c r="A455" t="s">
        <v>3479</v>
      </c>
      <c r="B455" t="s">
        <v>3482</v>
      </c>
      <c r="C455" t="s">
        <v>963</v>
      </c>
      <c r="D455" t="s">
        <v>3481</v>
      </c>
    </row>
    <row r="456" spans="1:4">
      <c r="A456" t="s">
        <v>3479</v>
      </c>
      <c r="B456" t="s">
        <v>3483</v>
      </c>
      <c r="C456" t="s">
        <v>963</v>
      </c>
      <c r="D456" t="s">
        <v>3481</v>
      </c>
    </row>
    <row r="457" spans="1:4">
      <c r="A457" t="s">
        <v>3479</v>
      </c>
      <c r="B457" t="s">
        <v>3484</v>
      </c>
      <c r="C457" t="s">
        <v>963</v>
      </c>
      <c r="D457" t="s">
        <v>3481</v>
      </c>
    </row>
    <row r="458" spans="1:4">
      <c r="A458" t="s">
        <v>3479</v>
      </c>
      <c r="B458" t="s">
        <v>3485</v>
      </c>
      <c r="C458" t="s">
        <v>963</v>
      </c>
      <c r="D458" t="s">
        <v>3481</v>
      </c>
    </row>
    <row r="459" spans="1:4">
      <c r="A459" t="s">
        <v>3487</v>
      </c>
      <c r="B459" t="s">
        <v>3488</v>
      </c>
      <c r="C459" t="s">
        <v>963</v>
      </c>
      <c r="D459" t="s">
        <v>3491</v>
      </c>
    </row>
    <row r="460" spans="1:4">
      <c r="A460" t="s">
        <v>3487</v>
      </c>
      <c r="B460" t="s">
        <v>3489</v>
      </c>
      <c r="C460" t="s">
        <v>963</v>
      </c>
      <c r="D460" t="s">
        <v>3491</v>
      </c>
    </row>
    <row r="461" spans="1:4">
      <c r="A461" t="s">
        <v>3487</v>
      </c>
      <c r="B461" t="s">
        <v>3490</v>
      </c>
      <c r="C461" t="s">
        <v>963</v>
      </c>
      <c r="D461" t="s">
        <v>3491</v>
      </c>
    </row>
    <row r="462" spans="1:4" ht="15.5">
      <c r="A462" t="s">
        <v>3511</v>
      </c>
      <c r="B462" s="1039" t="s">
        <v>3503</v>
      </c>
      <c r="C462" t="s">
        <v>627</v>
      </c>
      <c r="D462" t="s">
        <v>3502</v>
      </c>
    </row>
    <row r="463" spans="1:4">
      <c r="A463" t="s">
        <v>3511</v>
      </c>
      <c r="B463" t="s">
        <v>3509</v>
      </c>
      <c r="C463" t="s">
        <v>627</v>
      </c>
      <c r="D463" t="s">
        <v>3502</v>
      </c>
    </row>
    <row r="464" spans="1:4">
      <c r="A464" t="s">
        <v>3511</v>
      </c>
      <c r="B464" t="s">
        <v>3504</v>
      </c>
      <c r="C464" t="s">
        <v>627</v>
      </c>
      <c r="D464" t="s">
        <v>3502</v>
      </c>
    </row>
    <row r="465" spans="1:4">
      <c r="A465" t="s">
        <v>3511</v>
      </c>
      <c r="B465" t="s">
        <v>3505</v>
      </c>
      <c r="C465" t="s">
        <v>627</v>
      </c>
      <c r="D465" t="s">
        <v>3502</v>
      </c>
    </row>
    <row r="466" spans="1:4">
      <c r="A466" t="s">
        <v>3511</v>
      </c>
      <c r="B466" t="s">
        <v>3506</v>
      </c>
      <c r="C466" t="s">
        <v>627</v>
      </c>
      <c r="D466" t="s">
        <v>3502</v>
      </c>
    </row>
    <row r="467" spans="1:4">
      <c r="A467" t="s">
        <v>3511</v>
      </c>
      <c r="B467" t="s">
        <v>3508</v>
      </c>
      <c r="C467" t="s">
        <v>627</v>
      </c>
      <c r="D467" t="s">
        <v>3502</v>
      </c>
    </row>
    <row r="468" spans="1:4">
      <c r="A468" t="s">
        <v>3511</v>
      </c>
      <c r="B468" t="s">
        <v>3507</v>
      </c>
      <c r="C468" t="s">
        <v>627</v>
      </c>
      <c r="D468" t="s">
        <v>3502</v>
      </c>
    </row>
    <row r="469" spans="1:4">
      <c r="A469" t="s">
        <v>3511</v>
      </c>
      <c r="B469" t="s">
        <v>3510</v>
      </c>
      <c r="C469" t="s">
        <v>627</v>
      </c>
      <c r="D469" t="s">
        <v>3502</v>
      </c>
    </row>
    <row r="470" spans="1:4">
      <c r="A470" t="s">
        <v>3511</v>
      </c>
      <c r="B470" t="s">
        <v>3512</v>
      </c>
      <c r="C470" t="s">
        <v>627</v>
      </c>
      <c r="D470" t="s">
        <v>3502</v>
      </c>
    </row>
    <row r="471" spans="1:4">
      <c r="A471" t="s">
        <v>3511</v>
      </c>
      <c r="B471" t="s">
        <v>3514</v>
      </c>
      <c r="C471" t="s">
        <v>627</v>
      </c>
      <c r="D471" t="s">
        <v>3513</v>
      </c>
    </row>
    <row r="472" spans="1:4">
      <c r="A472" t="s">
        <v>3515</v>
      </c>
      <c r="B472" t="s">
        <v>3516</v>
      </c>
      <c r="C472" t="s">
        <v>963</v>
      </c>
      <c r="D472" t="s">
        <v>3517</v>
      </c>
    </row>
    <row r="473" spans="1:4">
      <c r="A473" t="s">
        <v>3515</v>
      </c>
      <c r="B473" t="s">
        <v>3518</v>
      </c>
      <c r="C473" t="s">
        <v>963</v>
      </c>
      <c r="D473" t="s">
        <v>3517</v>
      </c>
    </row>
    <row r="474" spans="1:4">
      <c r="A474" t="s">
        <v>3515</v>
      </c>
      <c r="B474" t="s">
        <v>3519</v>
      </c>
      <c r="C474" t="s">
        <v>963</v>
      </c>
      <c r="D474" t="s">
        <v>3517</v>
      </c>
    </row>
    <row r="475" spans="1:4">
      <c r="A475" t="s">
        <v>3515</v>
      </c>
      <c r="B475" t="s">
        <v>3520</v>
      </c>
      <c r="C475" t="s">
        <v>963</v>
      </c>
      <c r="D475" t="s">
        <v>3517</v>
      </c>
    </row>
    <row r="476" spans="1:4">
      <c r="A476" t="s">
        <v>3515</v>
      </c>
      <c r="B476" t="s">
        <v>3523</v>
      </c>
      <c r="C476" t="s">
        <v>963</v>
      </c>
      <c r="D476" t="s">
        <v>3517</v>
      </c>
    </row>
    <row r="477" spans="1:4">
      <c r="A477" t="s">
        <v>3515</v>
      </c>
      <c r="B477" t="s">
        <v>3524</v>
      </c>
      <c r="C477" t="s">
        <v>963</v>
      </c>
      <c r="D477" t="s">
        <v>3517</v>
      </c>
    </row>
    <row r="478" spans="1:4">
      <c r="A478" t="s">
        <v>3515</v>
      </c>
      <c r="B478" t="s">
        <v>3525</v>
      </c>
      <c r="C478" t="s">
        <v>963</v>
      </c>
      <c r="D478" t="s">
        <v>3517</v>
      </c>
    </row>
    <row r="479" spans="1:4">
      <c r="A479" t="s">
        <v>3515</v>
      </c>
      <c r="B479" t="s">
        <v>3530</v>
      </c>
      <c r="C479" t="s">
        <v>963</v>
      </c>
      <c r="D479" t="s">
        <v>3517</v>
      </c>
    </row>
    <row r="480" spans="1:4">
      <c r="A480" t="s">
        <v>3515</v>
      </c>
      <c r="B480" t="s">
        <v>3529</v>
      </c>
      <c r="C480" t="s">
        <v>963</v>
      </c>
      <c r="D480" t="s">
        <v>3517</v>
      </c>
    </row>
    <row r="481" spans="1:4">
      <c r="A481" t="s">
        <v>3515</v>
      </c>
      <c r="B481" t="s">
        <v>3531</v>
      </c>
      <c r="C481" t="s">
        <v>963</v>
      </c>
      <c r="D481" t="s">
        <v>3517</v>
      </c>
    </row>
    <row r="482" spans="1:4">
      <c r="A482" t="s">
        <v>3515</v>
      </c>
      <c r="B482" t="s">
        <v>3532</v>
      </c>
      <c r="C482" t="s">
        <v>963</v>
      </c>
      <c r="D482" t="s">
        <v>3517</v>
      </c>
    </row>
    <row r="483" spans="1:4">
      <c r="A483" t="s">
        <v>3515</v>
      </c>
      <c r="B483" t="s">
        <v>3533</v>
      </c>
      <c r="C483" t="s">
        <v>963</v>
      </c>
      <c r="D483" t="s">
        <v>3517</v>
      </c>
    </row>
    <row r="484" spans="1:4">
      <c r="A484" t="s">
        <v>3515</v>
      </c>
      <c r="B484" t="s">
        <v>3534</v>
      </c>
      <c r="C484" t="s">
        <v>963</v>
      </c>
      <c r="D484" t="s">
        <v>3517</v>
      </c>
    </row>
    <row r="485" spans="1:4">
      <c r="A485" t="s">
        <v>3535</v>
      </c>
      <c r="B485" t="s">
        <v>3536</v>
      </c>
      <c r="C485" t="s">
        <v>627</v>
      </c>
      <c r="D485" t="s">
        <v>3542</v>
      </c>
    </row>
    <row r="486" spans="1:4">
      <c r="A486" t="s">
        <v>3535</v>
      </c>
      <c r="B486" t="s">
        <v>3537</v>
      </c>
      <c r="C486" t="s">
        <v>627</v>
      </c>
      <c r="D486" t="s">
        <v>3542</v>
      </c>
    </row>
    <row r="487" spans="1:4">
      <c r="A487" t="s">
        <v>3535</v>
      </c>
      <c r="B487" t="s">
        <v>3538</v>
      </c>
      <c r="C487" t="s">
        <v>627</v>
      </c>
      <c r="D487" t="s">
        <v>3542</v>
      </c>
    </row>
    <row r="488" spans="1:4">
      <c r="A488" t="s">
        <v>3535</v>
      </c>
      <c r="B488" t="s">
        <v>3539</v>
      </c>
      <c r="C488" t="s">
        <v>627</v>
      </c>
      <c r="D488" t="s">
        <v>3542</v>
      </c>
    </row>
    <row r="489" spans="1:4">
      <c r="A489" t="s">
        <v>3535</v>
      </c>
      <c r="B489" t="s">
        <v>3540</v>
      </c>
      <c r="C489" t="s">
        <v>627</v>
      </c>
      <c r="D489" t="s">
        <v>3542</v>
      </c>
    </row>
    <row r="490" spans="1:4">
      <c r="A490" t="s">
        <v>3535</v>
      </c>
      <c r="B490" t="s">
        <v>3541</v>
      </c>
      <c r="C490" t="s">
        <v>627</v>
      </c>
      <c r="D490" t="s">
        <v>3542</v>
      </c>
    </row>
    <row r="491" spans="1:4">
      <c r="B491" t="s">
        <v>3543</v>
      </c>
    </row>
    <row r="492" spans="1:4">
      <c r="B492" t="s">
        <v>3544</v>
      </c>
    </row>
    <row r="493" spans="1:4">
      <c r="B493" t="s">
        <v>3545</v>
      </c>
    </row>
    <row r="494" spans="1:4">
      <c r="B494" t="s">
        <v>3546</v>
      </c>
    </row>
    <row r="495" spans="1:4">
      <c r="A495" t="s">
        <v>3565</v>
      </c>
      <c r="B495" t="s">
        <v>3566</v>
      </c>
      <c r="C495" t="s">
        <v>963</v>
      </c>
      <c r="D495" t="s">
        <v>3567</v>
      </c>
    </row>
    <row r="496" spans="1:4">
      <c r="A496" t="s">
        <v>3568</v>
      </c>
      <c r="B496" t="s">
        <v>3570</v>
      </c>
      <c r="C496" t="s">
        <v>963</v>
      </c>
      <c r="D496" t="s">
        <v>3569</v>
      </c>
    </row>
    <row r="497" spans="1:4">
      <c r="A497" t="s">
        <v>3571</v>
      </c>
      <c r="B497" t="s">
        <v>3572</v>
      </c>
      <c r="C497" t="s">
        <v>627</v>
      </c>
      <c r="D497" t="s">
        <v>3573</v>
      </c>
    </row>
    <row r="498" spans="1:4">
      <c r="A498" t="s">
        <v>3571</v>
      </c>
      <c r="B498" t="s">
        <v>3574</v>
      </c>
      <c r="C498" t="s">
        <v>627</v>
      </c>
      <c r="D498" t="s">
        <v>3573</v>
      </c>
    </row>
    <row r="499" spans="1:4">
      <c r="A499" t="s">
        <v>3571</v>
      </c>
      <c r="B499" t="s">
        <v>3575</v>
      </c>
      <c r="C499" t="s">
        <v>627</v>
      </c>
      <c r="D499" t="s">
        <v>3573</v>
      </c>
    </row>
    <row r="501" spans="1:4">
      <c r="A501" t="s">
        <v>3576</v>
      </c>
      <c r="B501" t="s">
        <v>3578</v>
      </c>
      <c r="C501" t="s">
        <v>627</v>
      </c>
      <c r="D501" t="s">
        <v>3577</v>
      </c>
    </row>
    <row r="503" spans="1:4">
      <c r="A503" t="s">
        <v>3579</v>
      </c>
      <c r="B503" t="s">
        <v>3580</v>
      </c>
      <c r="C503" t="s">
        <v>627</v>
      </c>
      <c r="D503" t="s">
        <v>3584</v>
      </c>
    </row>
    <row r="504" spans="1:4">
      <c r="A504" t="s">
        <v>3579</v>
      </c>
      <c r="B504" t="s">
        <v>3581</v>
      </c>
      <c r="C504" t="s">
        <v>627</v>
      </c>
      <c r="D504" t="s">
        <v>3584</v>
      </c>
    </row>
    <row r="505" spans="1:4">
      <c r="A505" t="s">
        <v>3579</v>
      </c>
      <c r="B505" t="s">
        <v>3582</v>
      </c>
      <c r="C505" t="s">
        <v>627</v>
      </c>
      <c r="D505" t="s">
        <v>3584</v>
      </c>
    </row>
    <row r="506" spans="1:4">
      <c r="A506" t="s">
        <v>3579</v>
      </c>
      <c r="B506" t="s">
        <v>3583</v>
      </c>
      <c r="C506" t="s">
        <v>627</v>
      </c>
      <c r="D506" t="s">
        <v>3584</v>
      </c>
    </row>
    <row r="507" spans="1:4">
      <c r="B507" t="s">
        <v>3585</v>
      </c>
    </row>
    <row r="508" spans="1:4">
      <c r="B508" t="s">
        <v>3586</v>
      </c>
    </row>
    <row r="509" spans="1:4">
      <c r="A509" t="s">
        <v>3587</v>
      </c>
      <c r="B509" t="s">
        <v>3588</v>
      </c>
      <c r="C509" t="s">
        <v>963</v>
      </c>
      <c r="D509" t="s">
        <v>3589</v>
      </c>
    </row>
    <row r="510" spans="1:4">
      <c r="A510" t="s">
        <v>3587</v>
      </c>
      <c r="B510" t="s">
        <v>3590</v>
      </c>
      <c r="C510" t="s">
        <v>963</v>
      </c>
      <c r="D510" t="s">
        <v>3589</v>
      </c>
    </row>
    <row r="511" spans="1:4">
      <c r="A511" t="s">
        <v>3587</v>
      </c>
      <c r="B511" t="s">
        <v>3593</v>
      </c>
      <c r="C511" t="s">
        <v>963</v>
      </c>
      <c r="D511" t="s">
        <v>3589</v>
      </c>
    </row>
    <row r="512" spans="1:4">
      <c r="A512" t="s">
        <v>3587</v>
      </c>
      <c r="B512" t="s">
        <v>3594</v>
      </c>
      <c r="C512" t="s">
        <v>963</v>
      </c>
      <c r="D512" t="s">
        <v>3589</v>
      </c>
    </row>
    <row r="513" spans="1:4">
      <c r="A513" t="s">
        <v>3587</v>
      </c>
      <c r="B513" t="s">
        <v>3595</v>
      </c>
      <c r="C513" t="s">
        <v>963</v>
      </c>
      <c r="D513" t="s">
        <v>3589</v>
      </c>
    </row>
    <row r="514" spans="1:4">
      <c r="A514" t="s">
        <v>3587</v>
      </c>
      <c r="B514" t="s">
        <v>3597</v>
      </c>
      <c r="C514" t="s">
        <v>963</v>
      </c>
      <c r="D514" t="s">
        <v>3589</v>
      </c>
    </row>
    <row r="515" spans="1:4">
      <c r="A515" t="s">
        <v>3587</v>
      </c>
      <c r="B515" t="s">
        <v>3598</v>
      </c>
      <c r="C515" t="s">
        <v>963</v>
      </c>
      <c r="D515" t="s">
        <v>3589</v>
      </c>
    </row>
    <row r="516" spans="1:4">
      <c r="A516" t="s">
        <v>3587</v>
      </c>
      <c r="B516" t="s">
        <v>3599</v>
      </c>
      <c r="C516" t="s">
        <v>963</v>
      </c>
      <c r="D516" t="s">
        <v>3589</v>
      </c>
    </row>
    <row r="517" spans="1:4">
      <c r="A517" t="s">
        <v>3587</v>
      </c>
      <c r="B517" t="s">
        <v>3600</v>
      </c>
      <c r="C517" t="s">
        <v>963</v>
      </c>
      <c r="D517" t="s">
        <v>3589</v>
      </c>
    </row>
    <row r="518" spans="1:4">
      <c r="A518" t="s">
        <v>3587</v>
      </c>
      <c r="B518" t="s">
        <v>3603</v>
      </c>
      <c r="C518" t="s">
        <v>963</v>
      </c>
      <c r="D518" t="s">
        <v>3589</v>
      </c>
    </row>
    <row r="519" spans="1:4">
      <c r="A519" t="s">
        <v>3587</v>
      </c>
      <c r="B519" t="s">
        <v>3604</v>
      </c>
      <c r="C519" t="s">
        <v>963</v>
      </c>
      <c r="D519" t="s">
        <v>3589</v>
      </c>
    </row>
    <row r="520" spans="1:4">
      <c r="A520" t="s">
        <v>3587</v>
      </c>
      <c r="B520" t="s">
        <v>3605</v>
      </c>
      <c r="C520" t="s">
        <v>963</v>
      </c>
      <c r="D520" t="s">
        <v>3589</v>
      </c>
    </row>
    <row r="521" spans="1:4">
      <c r="A521" t="s">
        <v>3587</v>
      </c>
      <c r="B521" t="s">
        <v>3606</v>
      </c>
      <c r="C521" t="s">
        <v>963</v>
      </c>
      <c r="D521" t="s">
        <v>3589</v>
      </c>
    </row>
    <row r="522" spans="1:4">
      <c r="A522" t="s">
        <v>3607</v>
      </c>
      <c r="B522" t="s">
        <v>3608</v>
      </c>
      <c r="C522" t="s">
        <v>963</v>
      </c>
      <c r="D522" t="s">
        <v>3609</v>
      </c>
    </row>
    <row r="523" spans="1:4">
      <c r="A523" t="s">
        <v>3607</v>
      </c>
      <c r="B523" t="s">
        <v>3610</v>
      </c>
      <c r="C523" t="s">
        <v>963</v>
      </c>
      <c r="D523" t="s">
        <v>3609</v>
      </c>
    </row>
    <row r="524" spans="1:4">
      <c r="A524" t="s">
        <v>3607</v>
      </c>
      <c r="B524" t="s">
        <v>3611</v>
      </c>
      <c r="C524" t="s">
        <v>963</v>
      </c>
      <c r="D524" t="s">
        <v>3609</v>
      </c>
    </row>
    <row r="525" spans="1:4">
      <c r="A525" t="s">
        <v>3607</v>
      </c>
      <c r="B525" t="s">
        <v>3612</v>
      </c>
      <c r="C525" t="s">
        <v>963</v>
      </c>
      <c r="D525" t="s">
        <v>3609</v>
      </c>
    </row>
    <row r="526" spans="1:4">
      <c r="A526" t="s">
        <v>3607</v>
      </c>
      <c r="B526" t="s">
        <v>3613</v>
      </c>
      <c r="C526" t="s">
        <v>963</v>
      </c>
      <c r="D526" t="s">
        <v>3609</v>
      </c>
    </row>
    <row r="527" spans="1:4">
      <c r="A527" t="s">
        <v>3607</v>
      </c>
      <c r="B527" t="s">
        <v>3614</v>
      </c>
      <c r="C527" t="s">
        <v>963</v>
      </c>
      <c r="D527" t="s">
        <v>3609</v>
      </c>
    </row>
    <row r="528" spans="1:4">
      <c r="A528" t="s">
        <v>3607</v>
      </c>
      <c r="B528" t="s">
        <v>3615</v>
      </c>
      <c r="C528" t="s">
        <v>963</v>
      </c>
      <c r="D528" t="s">
        <v>3609</v>
      </c>
    </row>
    <row r="529" spans="1:4">
      <c r="A529" t="s">
        <v>3607</v>
      </c>
      <c r="B529" t="s">
        <v>3616</v>
      </c>
      <c r="C529" t="s">
        <v>963</v>
      </c>
      <c r="D529" t="s">
        <v>3609</v>
      </c>
    </row>
    <row r="530" spans="1:4">
      <c r="A530" t="s">
        <v>3607</v>
      </c>
      <c r="B530" t="s">
        <v>3617</v>
      </c>
      <c r="C530" t="s">
        <v>963</v>
      </c>
      <c r="D530" t="s">
        <v>3609</v>
      </c>
    </row>
    <row r="531" spans="1:4">
      <c r="A531" t="s">
        <v>3607</v>
      </c>
      <c r="B531" t="s">
        <v>3618</v>
      </c>
      <c r="C531" t="s">
        <v>963</v>
      </c>
      <c r="D531" t="s">
        <v>3609</v>
      </c>
    </row>
    <row r="532" spans="1:4">
      <c r="A532" t="s">
        <v>3607</v>
      </c>
      <c r="B532" t="s">
        <v>3619</v>
      </c>
      <c r="C532" t="s">
        <v>963</v>
      </c>
      <c r="D532" t="s">
        <v>3609</v>
      </c>
    </row>
    <row r="534" spans="1:4">
      <c r="A534" t="s">
        <v>3620</v>
      </c>
      <c r="B534" t="s">
        <v>3621</v>
      </c>
      <c r="C534" t="s">
        <v>627</v>
      </c>
      <c r="D534" t="s">
        <v>3622</v>
      </c>
    </row>
    <row r="535" spans="1:4">
      <c r="A535" t="s">
        <v>3623</v>
      </c>
      <c r="B535" t="s">
        <v>3624</v>
      </c>
      <c r="C535" t="s">
        <v>963</v>
      </c>
      <c r="D535" t="s">
        <v>3625</v>
      </c>
    </row>
    <row r="536" spans="1:4">
      <c r="A536" t="s">
        <v>3623</v>
      </c>
      <c r="B536" t="s">
        <v>3626</v>
      </c>
      <c r="C536" t="s">
        <v>627</v>
      </c>
      <c r="D536" t="s">
        <v>3627</v>
      </c>
    </row>
    <row r="537" spans="1:4">
      <c r="B537" t="s">
        <v>3628</v>
      </c>
    </row>
    <row r="538" spans="1:4">
      <c r="B538" t="s">
        <v>3629</v>
      </c>
    </row>
    <row r="539" spans="1:4">
      <c r="A539" t="s">
        <v>3630</v>
      </c>
      <c r="B539" t="s">
        <v>3631</v>
      </c>
      <c r="C539" t="s">
        <v>627</v>
      </c>
      <c r="D539" t="s">
        <v>3634</v>
      </c>
    </row>
    <row r="540" spans="1:4">
      <c r="B540" t="s">
        <v>3632</v>
      </c>
    </row>
    <row r="541" spans="1:4">
      <c r="B541" t="s">
        <v>3633</v>
      </c>
    </row>
    <row r="542" spans="1:4">
      <c r="A542" t="s">
        <v>3635</v>
      </c>
      <c r="B542" t="s">
        <v>3636</v>
      </c>
      <c r="C542" t="s">
        <v>627</v>
      </c>
      <c r="D542" t="s">
        <v>3637</v>
      </c>
    </row>
    <row r="543" spans="1:4">
      <c r="A543" t="s">
        <v>3638</v>
      </c>
      <c r="B543" t="s">
        <v>3639</v>
      </c>
      <c r="C543" t="s">
        <v>963</v>
      </c>
      <c r="D543" t="s">
        <v>3640</v>
      </c>
    </row>
    <row r="544" spans="1:4">
      <c r="A544" t="s">
        <v>3638</v>
      </c>
      <c r="B544" t="s">
        <v>3641</v>
      </c>
      <c r="C544" t="s">
        <v>963</v>
      </c>
      <c r="D544" t="s">
        <v>3640</v>
      </c>
    </row>
    <row r="545" spans="1:4">
      <c r="A545" t="s">
        <v>3638</v>
      </c>
      <c r="B545" t="s">
        <v>3642</v>
      </c>
      <c r="C545" t="s">
        <v>963</v>
      </c>
      <c r="D545" t="s">
        <v>3640</v>
      </c>
    </row>
    <row r="546" spans="1:4">
      <c r="A546" t="s">
        <v>3638</v>
      </c>
      <c r="B546" t="s">
        <v>3643</v>
      </c>
      <c r="C546" t="s">
        <v>963</v>
      </c>
      <c r="D546" t="s">
        <v>3640</v>
      </c>
    </row>
    <row r="547" spans="1:4">
      <c r="A547" t="s">
        <v>3638</v>
      </c>
      <c r="B547" t="s">
        <v>3644</v>
      </c>
      <c r="C547" t="s">
        <v>963</v>
      </c>
      <c r="D547" t="s">
        <v>3640</v>
      </c>
    </row>
    <row r="548" spans="1:4">
      <c r="A548" t="s">
        <v>3638</v>
      </c>
      <c r="B548" t="s">
        <v>3645</v>
      </c>
      <c r="C548" t="s">
        <v>963</v>
      </c>
      <c r="D548" t="s">
        <v>3640</v>
      </c>
    </row>
    <row r="549" spans="1:4">
      <c r="A549" t="s">
        <v>3638</v>
      </c>
      <c r="B549" t="s">
        <v>3646</v>
      </c>
      <c r="C549" t="s">
        <v>963</v>
      </c>
      <c r="D549" t="s">
        <v>3640</v>
      </c>
    </row>
    <row r="550" spans="1:4">
      <c r="A550" t="s">
        <v>3638</v>
      </c>
      <c r="B550" t="s">
        <v>3647</v>
      </c>
      <c r="C550" t="s">
        <v>963</v>
      </c>
      <c r="D550" t="s">
        <v>3640</v>
      </c>
    </row>
    <row r="551" spans="1:4">
      <c r="A551" t="s">
        <v>3638</v>
      </c>
      <c r="B551" t="s">
        <v>3648</v>
      </c>
      <c r="C551" t="s">
        <v>963</v>
      </c>
      <c r="D551" t="s">
        <v>3640</v>
      </c>
    </row>
    <row r="552" spans="1:4">
      <c r="A552" t="s">
        <v>3638</v>
      </c>
      <c r="B552" t="s">
        <v>3649</v>
      </c>
      <c r="C552" t="s">
        <v>963</v>
      </c>
      <c r="D552" t="s">
        <v>3640</v>
      </c>
    </row>
    <row r="553" spans="1:4">
      <c r="A553" t="s">
        <v>3638</v>
      </c>
      <c r="B553" t="s">
        <v>3650</v>
      </c>
      <c r="C553" t="s">
        <v>963</v>
      </c>
      <c r="D553" t="s">
        <v>3651</v>
      </c>
    </row>
    <row r="554" spans="1:4">
      <c r="A554" t="s">
        <v>3638</v>
      </c>
      <c r="B554" t="s">
        <v>3652</v>
      </c>
      <c r="C554" t="s">
        <v>963</v>
      </c>
      <c r="D554" t="s">
        <v>3651</v>
      </c>
    </row>
    <row r="555" spans="1:4">
      <c r="A555" t="s">
        <v>3638</v>
      </c>
      <c r="B555" t="s">
        <v>3653</v>
      </c>
      <c r="C555" t="s">
        <v>963</v>
      </c>
      <c r="D555" t="s">
        <v>3651</v>
      </c>
    </row>
    <row r="556" spans="1:4">
      <c r="A556" t="s">
        <v>3654</v>
      </c>
      <c r="B556" t="s">
        <v>3655</v>
      </c>
      <c r="C556" t="s">
        <v>963</v>
      </c>
      <c r="D556" t="s">
        <v>3656</v>
      </c>
    </row>
    <row r="557" spans="1:4">
      <c r="A557" t="s">
        <v>3654</v>
      </c>
      <c r="B557" t="s">
        <v>3657</v>
      </c>
    </row>
    <row r="558" spans="1:4">
      <c r="A558" t="s">
        <v>3654</v>
      </c>
      <c r="B558" t="s">
        <v>3658</v>
      </c>
      <c r="C558" t="s">
        <v>627</v>
      </c>
      <c r="D558" t="s">
        <v>3659</v>
      </c>
    </row>
    <row r="559" spans="1:4">
      <c r="B559" t="s">
        <v>3660</v>
      </c>
    </row>
    <row r="560" spans="1:4">
      <c r="B560" t="s">
        <v>3661</v>
      </c>
    </row>
    <row r="561" spans="1:4">
      <c r="A561" t="s">
        <v>3662</v>
      </c>
      <c r="B561" t="s">
        <v>3663</v>
      </c>
      <c r="C561" t="s">
        <v>963</v>
      </c>
      <c r="D561" t="s">
        <v>3664</v>
      </c>
    </row>
    <row r="562" spans="1:4">
      <c r="A562" t="s">
        <v>3662</v>
      </c>
      <c r="B562" t="s">
        <v>3683</v>
      </c>
      <c r="C562" t="s">
        <v>627</v>
      </c>
      <c r="D562" t="s">
        <v>3686</v>
      </c>
    </row>
    <row r="563" spans="1:4">
      <c r="B563" t="s">
        <v>3684</v>
      </c>
    </row>
    <row r="564" spans="1:4">
      <c r="B564" t="s">
        <v>3685</v>
      </c>
    </row>
    <row r="565" spans="1:4">
      <c r="A565" t="s">
        <v>3687</v>
      </c>
      <c r="B565" t="s">
        <v>3688</v>
      </c>
      <c r="C565" t="s">
        <v>627</v>
      </c>
      <c r="D565" t="s">
        <v>3689</v>
      </c>
    </row>
    <row r="566" spans="1:4">
      <c r="B566" t="s">
        <v>3690</v>
      </c>
    </row>
    <row r="567" spans="1:4">
      <c r="B567" t="s">
        <v>3694</v>
      </c>
    </row>
    <row r="568" spans="1:4">
      <c r="B568" t="s">
        <v>3695</v>
      </c>
    </row>
    <row r="569" spans="1:4">
      <c r="B569" t="s">
        <v>3691</v>
      </c>
    </row>
    <row r="570" spans="1:4">
      <c r="B570" t="s">
        <v>3692</v>
      </c>
    </row>
    <row r="571" spans="1:4">
      <c r="B571" t="s">
        <v>3693</v>
      </c>
    </row>
    <row r="572" spans="1:4">
      <c r="B572" t="s">
        <v>3696</v>
      </c>
    </row>
    <row r="573" spans="1:4">
      <c r="A573" t="s">
        <v>3697</v>
      </c>
      <c r="B573" t="s">
        <v>3698</v>
      </c>
      <c r="C573" t="s">
        <v>963</v>
      </c>
      <c r="D573" t="s">
        <v>3699</v>
      </c>
    </row>
    <row r="574" spans="1:4">
      <c r="A574" t="s">
        <v>3687</v>
      </c>
      <c r="B574" t="s">
        <v>3700</v>
      </c>
      <c r="C574" t="s">
        <v>963</v>
      </c>
      <c r="D574" t="s">
        <v>3699</v>
      </c>
    </row>
    <row r="575" spans="1:4">
      <c r="A575" t="s">
        <v>3687</v>
      </c>
      <c r="B575" t="s">
        <v>3701</v>
      </c>
      <c r="C575" t="s">
        <v>963</v>
      </c>
      <c r="D575" t="s">
        <v>3699</v>
      </c>
    </row>
    <row r="576" spans="1:4">
      <c r="A576" t="s">
        <v>3687</v>
      </c>
      <c r="B576" t="s">
        <v>3702</v>
      </c>
      <c r="C576" t="s">
        <v>963</v>
      </c>
      <c r="D576" t="s">
        <v>3699</v>
      </c>
    </row>
    <row r="577" spans="1:4">
      <c r="A577" t="s">
        <v>3687</v>
      </c>
      <c r="B577" t="s">
        <v>3703</v>
      </c>
      <c r="C577" t="s">
        <v>963</v>
      </c>
      <c r="D577" t="s">
        <v>3699</v>
      </c>
    </row>
    <row r="578" spans="1:4">
      <c r="A578" t="s">
        <v>3704</v>
      </c>
      <c r="B578" t="s">
        <v>3706</v>
      </c>
      <c r="C578" t="s">
        <v>627</v>
      </c>
      <c r="D578" t="s">
        <v>3705</v>
      </c>
    </row>
    <row r="579" spans="1:4">
      <c r="B579" t="s">
        <v>3707</v>
      </c>
    </row>
    <row r="580" spans="1:4">
      <c r="A580" t="s">
        <v>3708</v>
      </c>
      <c r="B580" t="s">
        <v>3709</v>
      </c>
      <c r="C580" t="s">
        <v>627</v>
      </c>
      <c r="D580" t="s">
        <v>3710</v>
      </c>
    </row>
    <row r="581" spans="1:4">
      <c r="A581" t="s">
        <v>3711</v>
      </c>
      <c r="B581" t="s">
        <v>3712</v>
      </c>
      <c r="C581" t="s">
        <v>963</v>
      </c>
      <c r="D581" t="s">
        <v>3713</v>
      </c>
    </row>
    <row r="582" spans="1:4">
      <c r="A582" t="s">
        <v>3711</v>
      </c>
      <c r="B582" t="s">
        <v>3714</v>
      </c>
      <c r="C582" t="s">
        <v>963</v>
      </c>
      <c r="D582" t="s">
        <v>3713</v>
      </c>
    </row>
    <row r="583" spans="1:4">
      <c r="A583" t="s">
        <v>3711</v>
      </c>
      <c r="B583" t="s">
        <v>3715</v>
      </c>
      <c r="C583" t="s">
        <v>963</v>
      </c>
      <c r="D583" t="s">
        <v>3713</v>
      </c>
    </row>
    <row r="584" spans="1:4">
      <c r="A584" t="s">
        <v>3711</v>
      </c>
      <c r="B584" t="s">
        <v>3716</v>
      </c>
    </row>
    <row r="585" spans="1:4">
      <c r="A585" t="s">
        <v>3711</v>
      </c>
      <c r="B585" t="s">
        <v>3717</v>
      </c>
    </row>
    <row r="586" spans="1:4">
      <c r="A586" t="s">
        <v>3711</v>
      </c>
      <c r="B586" t="s">
        <v>3718</v>
      </c>
      <c r="C586" t="s">
        <v>963</v>
      </c>
      <c r="D586" t="s">
        <v>3719</v>
      </c>
    </row>
    <row r="587" spans="1:4">
      <c r="A587" t="s">
        <v>3720</v>
      </c>
      <c r="B587" t="s">
        <v>3723</v>
      </c>
      <c r="C587" t="s">
        <v>963</v>
      </c>
      <c r="D587" t="s">
        <v>3719</v>
      </c>
    </row>
    <row r="588" spans="1:4">
      <c r="A588" t="s">
        <v>3720</v>
      </c>
      <c r="B588" t="s">
        <v>3721</v>
      </c>
      <c r="C588" t="s">
        <v>963</v>
      </c>
      <c r="D588" t="s">
        <v>3719</v>
      </c>
    </row>
    <row r="589" spans="1:4">
      <c r="A589" t="s">
        <v>3720</v>
      </c>
      <c r="B589" t="s">
        <v>3722</v>
      </c>
      <c r="C589" t="s">
        <v>963</v>
      </c>
      <c r="D589" t="s">
        <v>3719</v>
      </c>
    </row>
    <row r="591" spans="1:4">
      <c r="A591" t="s">
        <v>3724</v>
      </c>
      <c r="B591" t="s">
        <v>3725</v>
      </c>
      <c r="C591" t="s">
        <v>627</v>
      </c>
      <c r="D591" t="s">
        <v>3728</v>
      </c>
    </row>
    <row r="592" spans="1:4">
      <c r="B592" t="s">
        <v>3726</v>
      </c>
    </row>
    <row r="593" spans="1:4">
      <c r="B593" t="s">
        <v>3727</v>
      </c>
    </row>
    <row r="594" spans="1:4">
      <c r="B594" t="s">
        <v>3729</v>
      </c>
    </row>
    <row r="595" spans="1:4">
      <c r="A595" t="s">
        <v>3730</v>
      </c>
      <c r="B595" t="s">
        <v>3731</v>
      </c>
      <c r="C595" t="s">
        <v>963</v>
      </c>
      <c r="D595" t="s">
        <v>3732</v>
      </c>
    </row>
    <row r="596" spans="1:4">
      <c r="A596" t="s">
        <v>3730</v>
      </c>
      <c r="B596" t="s">
        <v>3733</v>
      </c>
      <c r="C596" t="s">
        <v>963</v>
      </c>
      <c r="D596" t="s">
        <v>3732</v>
      </c>
    </row>
    <row r="597" spans="1:4">
      <c r="A597" t="s">
        <v>3730</v>
      </c>
      <c r="B597" t="s">
        <v>3734</v>
      </c>
      <c r="C597" t="s">
        <v>963</v>
      </c>
      <c r="D597" t="s">
        <v>3732</v>
      </c>
    </row>
    <row r="598" spans="1:4" ht="29">
      <c r="A598" t="s">
        <v>3730</v>
      </c>
      <c r="B598" s="603" t="s">
        <v>3735</v>
      </c>
      <c r="C598" t="s">
        <v>963</v>
      </c>
      <c r="D598" t="s">
        <v>3732</v>
      </c>
    </row>
    <row r="599" spans="1:4">
      <c r="A599" t="s">
        <v>3730</v>
      </c>
      <c r="B599" t="s">
        <v>3736</v>
      </c>
      <c r="C599" t="s">
        <v>970</v>
      </c>
      <c r="D599" t="s">
        <v>3732</v>
      </c>
    </row>
    <row r="600" spans="1:4">
      <c r="A600" t="s">
        <v>3730</v>
      </c>
      <c r="B600" t="s">
        <v>3738</v>
      </c>
      <c r="C600" t="s">
        <v>970</v>
      </c>
      <c r="D600" t="s">
        <v>3732</v>
      </c>
    </row>
    <row r="601" spans="1:4">
      <c r="A601" t="s">
        <v>3730</v>
      </c>
      <c r="B601" t="s">
        <v>3739</v>
      </c>
      <c r="C601" t="s">
        <v>970</v>
      </c>
      <c r="D601" t="s">
        <v>3732</v>
      </c>
    </row>
    <row r="602" spans="1:4">
      <c r="A602" t="s">
        <v>3740</v>
      </c>
      <c r="B602" t="s">
        <v>3741</v>
      </c>
      <c r="C602" t="s">
        <v>970</v>
      </c>
      <c r="D602" t="s">
        <v>3742</v>
      </c>
    </row>
    <row r="603" spans="1:4">
      <c r="A603" t="s">
        <v>3740</v>
      </c>
      <c r="B603" t="s">
        <v>3743</v>
      </c>
      <c r="C603" t="s">
        <v>970</v>
      </c>
      <c r="D603" t="s">
        <v>3742</v>
      </c>
    </row>
    <row r="604" spans="1:4">
      <c r="A604" t="s">
        <v>3740</v>
      </c>
      <c r="B604" t="s">
        <v>3744</v>
      </c>
      <c r="C604" t="s">
        <v>970</v>
      </c>
      <c r="D604" t="s">
        <v>3742</v>
      </c>
    </row>
    <row r="605" spans="1:4" ht="29">
      <c r="A605" t="s">
        <v>3740</v>
      </c>
      <c r="B605" s="603" t="s">
        <v>3745</v>
      </c>
      <c r="C605" t="s">
        <v>970</v>
      </c>
      <c r="D605" t="s">
        <v>3742</v>
      </c>
    </row>
    <row r="606" spans="1:4">
      <c r="A606" t="s">
        <v>3740</v>
      </c>
      <c r="B606" t="s">
        <v>3746</v>
      </c>
      <c r="C606" t="s">
        <v>970</v>
      </c>
      <c r="D606" t="s">
        <v>3742</v>
      </c>
    </row>
    <row r="607" spans="1:4">
      <c r="A607" t="s">
        <v>3740</v>
      </c>
      <c r="B607" t="s">
        <v>3747</v>
      </c>
      <c r="C607" t="s">
        <v>963</v>
      </c>
      <c r="D607" t="s">
        <v>3748</v>
      </c>
    </row>
    <row r="608" spans="1:4">
      <c r="A608" t="s">
        <v>3740</v>
      </c>
      <c r="B608" t="s">
        <v>3776</v>
      </c>
      <c r="C608" t="s">
        <v>627</v>
      </c>
      <c r="D608" t="s">
        <v>3778</v>
      </c>
    </row>
    <row r="609" spans="1:4">
      <c r="B609" t="s">
        <v>3777</v>
      </c>
    </row>
    <row r="610" spans="1:4">
      <c r="A610" t="s">
        <v>3784</v>
      </c>
      <c r="B610" t="s">
        <v>3785</v>
      </c>
      <c r="C610" t="s">
        <v>970</v>
      </c>
      <c r="D610" t="s">
        <v>3786</v>
      </c>
    </row>
    <row r="611" spans="1:4">
      <c r="A611" t="s">
        <v>3784</v>
      </c>
      <c r="B611" t="s">
        <v>3787</v>
      </c>
      <c r="C611" t="s">
        <v>963</v>
      </c>
      <c r="D611" t="s">
        <v>3786</v>
      </c>
    </row>
    <row r="612" spans="1:4">
      <c r="A612" t="s">
        <v>3784</v>
      </c>
      <c r="B612" t="s">
        <v>3788</v>
      </c>
      <c r="C612" t="s">
        <v>970</v>
      </c>
      <c r="D612" t="s">
        <v>3786</v>
      </c>
    </row>
    <row r="613" spans="1:4">
      <c r="A613" t="s">
        <v>3789</v>
      </c>
      <c r="B613" t="s">
        <v>3791</v>
      </c>
      <c r="C613" t="s">
        <v>963</v>
      </c>
      <c r="D613" t="s">
        <v>3790</v>
      </c>
    </row>
    <row r="614" spans="1:4">
      <c r="A614" t="s">
        <v>3789</v>
      </c>
      <c r="B614" t="s">
        <v>3792</v>
      </c>
      <c r="C614" t="s">
        <v>970</v>
      </c>
      <c r="D614" t="s">
        <v>3790</v>
      </c>
    </row>
    <row r="615" spans="1:4">
      <c r="A615" t="s">
        <v>3789</v>
      </c>
      <c r="B615" t="s">
        <v>3793</v>
      </c>
      <c r="C615" t="s">
        <v>963</v>
      </c>
      <c r="D615" t="s">
        <v>3790</v>
      </c>
    </row>
    <row r="616" spans="1:4">
      <c r="A616" t="s">
        <v>3789</v>
      </c>
      <c r="B616" t="s">
        <v>3796</v>
      </c>
      <c r="C616" t="s">
        <v>963</v>
      </c>
      <c r="D616" t="s">
        <v>3790</v>
      </c>
    </row>
    <row r="617" spans="1:4">
      <c r="A617" t="s">
        <v>3789</v>
      </c>
      <c r="B617" t="s">
        <v>3797</v>
      </c>
      <c r="C617" t="s">
        <v>3794</v>
      </c>
      <c r="D617" t="s">
        <v>3795</v>
      </c>
    </row>
    <row r="618" spans="1:4">
      <c r="A618" t="s">
        <v>3789</v>
      </c>
      <c r="B618" t="s">
        <v>3799</v>
      </c>
      <c r="C618" t="s">
        <v>963</v>
      </c>
      <c r="D618" t="s">
        <v>3800</v>
      </c>
    </row>
    <row r="619" spans="1:4">
      <c r="A619" t="s">
        <v>3801</v>
      </c>
      <c r="B619" t="s">
        <v>3803</v>
      </c>
      <c r="C619" t="s">
        <v>963</v>
      </c>
      <c r="D619" t="s">
        <v>3802</v>
      </c>
    </row>
    <row r="620" spans="1:4">
      <c r="A620" t="s">
        <v>3804</v>
      </c>
      <c r="B620" t="s">
        <v>3805</v>
      </c>
      <c r="C620" t="s">
        <v>627</v>
      </c>
      <c r="D620" t="s">
        <v>3806</v>
      </c>
    </row>
    <row r="621" spans="1:4">
      <c r="A621" t="s">
        <v>3804</v>
      </c>
      <c r="B621" t="s">
        <v>3807</v>
      </c>
    </row>
    <row r="622" spans="1:4">
      <c r="A622" t="s">
        <v>3804</v>
      </c>
      <c r="B622" t="s">
        <v>3808</v>
      </c>
    </row>
    <row r="623" spans="1:4">
      <c r="A623" t="s">
        <v>3804</v>
      </c>
      <c r="B623" t="s">
        <v>3809</v>
      </c>
    </row>
    <row r="624" spans="1:4">
      <c r="A624" t="s">
        <v>3810</v>
      </c>
      <c r="B624" t="s">
        <v>3811</v>
      </c>
      <c r="C624" t="s">
        <v>963</v>
      </c>
      <c r="D624" t="s">
        <v>3812</v>
      </c>
    </row>
    <row r="626" spans="1:4">
      <c r="A626" t="s">
        <v>3810</v>
      </c>
      <c r="B626" t="s">
        <v>3813</v>
      </c>
      <c r="C626" t="s">
        <v>963</v>
      </c>
      <c r="D626" t="s">
        <v>3814</v>
      </c>
    </row>
    <row r="628" spans="1:4">
      <c r="A628" t="s">
        <v>3825</v>
      </c>
      <c r="B628" t="s">
        <v>3816</v>
      </c>
      <c r="C628" t="s">
        <v>586</v>
      </c>
      <c r="D628" t="s">
        <v>3815</v>
      </c>
    </row>
    <row r="629" spans="1:4">
      <c r="A629" t="s">
        <v>3825</v>
      </c>
      <c r="B629" t="s">
        <v>3817</v>
      </c>
      <c r="C629" t="s">
        <v>586</v>
      </c>
      <c r="D629" t="s">
        <v>3815</v>
      </c>
    </row>
    <row r="630" spans="1:4">
      <c r="A630" t="s">
        <v>3825</v>
      </c>
      <c r="B630" t="s">
        <v>3823</v>
      </c>
      <c r="C630" t="s">
        <v>586</v>
      </c>
      <c r="D630" t="s">
        <v>3815</v>
      </c>
    </row>
    <row r="631" spans="1:4">
      <c r="A631" t="s">
        <v>3825</v>
      </c>
      <c r="B631" t="s">
        <v>3819</v>
      </c>
      <c r="C631" t="s">
        <v>586</v>
      </c>
      <c r="D631" t="s">
        <v>3815</v>
      </c>
    </row>
    <row r="632" spans="1:4">
      <c r="A632" t="s">
        <v>3825</v>
      </c>
      <c r="B632" t="s">
        <v>3820</v>
      </c>
      <c r="C632" t="s">
        <v>586</v>
      </c>
      <c r="D632" t="s">
        <v>3815</v>
      </c>
    </row>
    <row r="633" spans="1:4">
      <c r="A633" t="s">
        <v>3825</v>
      </c>
      <c r="B633" t="s">
        <v>3821</v>
      </c>
      <c r="C633" t="s">
        <v>586</v>
      </c>
      <c r="D633" t="s">
        <v>3815</v>
      </c>
    </row>
    <row r="634" spans="1:4">
      <c r="A634" t="s">
        <v>3825</v>
      </c>
      <c r="B634" t="s">
        <v>3822</v>
      </c>
      <c r="C634" t="s">
        <v>586</v>
      </c>
      <c r="D634" t="s">
        <v>3815</v>
      </c>
    </row>
    <row r="635" spans="1:4">
      <c r="A635" t="s">
        <v>3825</v>
      </c>
      <c r="B635" t="s">
        <v>3824</v>
      </c>
      <c r="C635" t="s">
        <v>586</v>
      </c>
      <c r="D635" t="s">
        <v>3815</v>
      </c>
    </row>
    <row r="636" spans="1:4">
      <c r="A636" t="s">
        <v>3826</v>
      </c>
      <c r="B636" t="s">
        <v>3829</v>
      </c>
      <c r="C636" t="s">
        <v>586</v>
      </c>
      <c r="D636" t="s">
        <v>3827</v>
      </c>
    </row>
    <row r="637" spans="1:4">
      <c r="A637" t="s">
        <v>3826</v>
      </c>
      <c r="B637" t="s">
        <v>3830</v>
      </c>
      <c r="C637" t="s">
        <v>586</v>
      </c>
      <c r="D637" t="s">
        <v>3827</v>
      </c>
    </row>
    <row r="638" spans="1:4">
      <c r="A638" t="s">
        <v>3826</v>
      </c>
      <c r="B638" t="s">
        <v>3831</v>
      </c>
      <c r="C638" t="s">
        <v>586</v>
      </c>
      <c r="D638" t="s">
        <v>3827</v>
      </c>
    </row>
    <row r="639" spans="1:4">
      <c r="A639" t="s">
        <v>3826</v>
      </c>
      <c r="B639" t="s">
        <v>3832</v>
      </c>
      <c r="C639" t="s">
        <v>586</v>
      </c>
      <c r="D639" t="s">
        <v>3827</v>
      </c>
    </row>
    <row r="640" spans="1:4">
      <c r="A640" t="s">
        <v>3833</v>
      </c>
      <c r="B640" t="s">
        <v>3834</v>
      </c>
      <c r="C640" t="s">
        <v>627</v>
      </c>
      <c r="D640" t="s">
        <v>3835</v>
      </c>
    </row>
    <row r="641" spans="1:4">
      <c r="A641" t="s">
        <v>3836</v>
      </c>
      <c r="B641" t="s">
        <v>3837</v>
      </c>
      <c r="C641" t="s">
        <v>963</v>
      </c>
      <c r="D641" t="s">
        <v>3838</v>
      </c>
    </row>
    <row r="642" spans="1:4">
      <c r="A642" t="s">
        <v>3836</v>
      </c>
      <c r="B642" t="s">
        <v>3839</v>
      </c>
      <c r="C642" t="s">
        <v>963</v>
      </c>
      <c r="D642" t="s">
        <v>3838</v>
      </c>
    </row>
    <row r="643" spans="1:4">
      <c r="A643" t="s">
        <v>3836</v>
      </c>
      <c r="B643" t="s">
        <v>3840</v>
      </c>
      <c r="C643" t="s">
        <v>963</v>
      </c>
      <c r="D643" t="s">
        <v>3838</v>
      </c>
    </row>
    <row r="644" spans="1:4">
      <c r="A644" t="s">
        <v>3836</v>
      </c>
      <c r="B644" t="s">
        <v>3841</v>
      </c>
      <c r="C644" t="s">
        <v>963</v>
      </c>
      <c r="D644" t="s">
        <v>3838</v>
      </c>
    </row>
    <row r="645" spans="1:4">
      <c r="A645" t="s">
        <v>3836</v>
      </c>
      <c r="B645" t="s">
        <v>3842</v>
      </c>
      <c r="C645" t="s">
        <v>963</v>
      </c>
      <c r="D645" t="s">
        <v>3838</v>
      </c>
    </row>
    <row r="646" spans="1:4">
      <c r="A646" t="s">
        <v>3836</v>
      </c>
      <c r="B646" t="s">
        <v>3843</v>
      </c>
      <c r="C646" t="s">
        <v>963</v>
      </c>
      <c r="D646" t="s">
        <v>3838</v>
      </c>
    </row>
    <row r="647" spans="1:4">
      <c r="A647" t="s">
        <v>3844</v>
      </c>
      <c r="B647" t="s">
        <v>3845</v>
      </c>
      <c r="C647" t="s">
        <v>963</v>
      </c>
      <c r="D647" t="s">
        <v>3846</v>
      </c>
    </row>
    <row r="648" spans="1:4">
      <c r="A648" t="s">
        <v>3844</v>
      </c>
      <c r="B648" t="s">
        <v>3847</v>
      </c>
      <c r="C648" t="s">
        <v>963</v>
      </c>
      <c r="D648" t="s">
        <v>3846</v>
      </c>
    </row>
    <row r="649" spans="1:4">
      <c r="A649" t="s">
        <v>3844</v>
      </c>
      <c r="B649" t="s">
        <v>3848</v>
      </c>
      <c r="C649" t="s">
        <v>963</v>
      </c>
      <c r="D649" t="s">
        <v>3846</v>
      </c>
    </row>
    <row r="650" spans="1:4">
      <c r="A650" t="s">
        <v>3844</v>
      </c>
      <c r="B650" t="s">
        <v>3849</v>
      </c>
      <c r="C650" t="s">
        <v>963</v>
      </c>
      <c r="D650" t="s">
        <v>3846</v>
      </c>
    </row>
    <row r="651" spans="1:4">
      <c r="A651" t="s">
        <v>3844</v>
      </c>
      <c r="B651" t="s">
        <v>3850</v>
      </c>
      <c r="C651" t="s">
        <v>963</v>
      </c>
      <c r="D651" t="s">
        <v>3846</v>
      </c>
    </row>
    <row r="652" spans="1:4">
      <c r="A652" t="s">
        <v>3857</v>
      </c>
      <c r="B652" t="s">
        <v>3858</v>
      </c>
      <c r="C652" t="s">
        <v>963</v>
      </c>
      <c r="D652" t="s">
        <v>3859</v>
      </c>
    </row>
    <row r="653" spans="1:4">
      <c r="A653" t="s">
        <v>3857</v>
      </c>
      <c r="B653" t="s">
        <v>3862</v>
      </c>
      <c r="C653" t="s">
        <v>963</v>
      </c>
      <c r="D653" t="s">
        <v>3863</v>
      </c>
    </row>
    <row r="654" spans="1:4">
      <c r="A654" t="s">
        <v>3974</v>
      </c>
      <c r="B654" t="s">
        <v>3975</v>
      </c>
      <c r="C654" t="s">
        <v>627</v>
      </c>
      <c r="D654" t="s">
        <v>2021</v>
      </c>
    </row>
    <row r="655" spans="1:4">
      <c r="B655" t="s">
        <v>3976</v>
      </c>
    </row>
    <row r="656" spans="1:4">
      <c r="B656" t="s">
        <v>3977</v>
      </c>
    </row>
    <row r="657" spans="1:4">
      <c r="B657" t="s">
        <v>3978</v>
      </c>
    </row>
    <row r="658" spans="1:4">
      <c r="B658" t="s">
        <v>3979</v>
      </c>
    </row>
    <row r="659" spans="1:4">
      <c r="B659" t="s">
        <v>3980</v>
      </c>
    </row>
    <row r="660" spans="1:4">
      <c r="B660" t="s">
        <v>3981</v>
      </c>
    </row>
    <row r="661" spans="1:4">
      <c r="B661" t="s">
        <v>3982</v>
      </c>
    </row>
    <row r="662" spans="1:4">
      <c r="B662" t="s">
        <v>3983</v>
      </c>
    </row>
    <row r="663" spans="1:4">
      <c r="B663" t="s">
        <v>3984</v>
      </c>
    </row>
    <row r="664" spans="1:4">
      <c r="B664" t="s">
        <v>3985</v>
      </c>
    </row>
    <row r="665" spans="1:4">
      <c r="A665" t="s">
        <v>3986</v>
      </c>
      <c r="B665" t="s">
        <v>3987</v>
      </c>
      <c r="C665" t="s">
        <v>627</v>
      </c>
      <c r="D665" t="s">
        <v>3988</v>
      </c>
    </row>
    <row r="666" spans="1:4">
      <c r="B666" t="s">
        <v>3989</v>
      </c>
    </row>
    <row r="667" spans="1:4">
      <c r="A667" t="s">
        <v>3990</v>
      </c>
      <c r="B667" t="s">
        <v>3991</v>
      </c>
      <c r="C667" t="s">
        <v>627</v>
      </c>
      <c r="D667" t="s">
        <v>3992</v>
      </c>
    </row>
    <row r="668" spans="1:4">
      <c r="B668" t="s">
        <v>3996</v>
      </c>
    </row>
    <row r="669" spans="1:4">
      <c r="B669" t="s">
        <v>3997</v>
      </c>
    </row>
    <row r="670" spans="1:4">
      <c r="B670" t="s">
        <v>3998</v>
      </c>
    </row>
    <row r="671" spans="1:4">
      <c r="B671" t="s">
        <v>3999</v>
      </c>
    </row>
    <row r="672" spans="1:4">
      <c r="B672" t="s">
        <v>4000</v>
      </c>
    </row>
    <row r="673" spans="1:4">
      <c r="A673" t="s">
        <v>4001</v>
      </c>
      <c r="B673" t="s">
        <v>4002</v>
      </c>
      <c r="C673" t="s">
        <v>963</v>
      </c>
    </row>
    <row r="674" spans="1:4">
      <c r="B674" t="s">
        <v>4004</v>
      </c>
      <c r="C674" t="s">
        <v>963</v>
      </c>
    </row>
    <row r="675" spans="1:4">
      <c r="B675" t="s">
        <v>4005</v>
      </c>
      <c r="C675" t="s">
        <v>963</v>
      </c>
    </row>
    <row r="676" spans="1:4">
      <c r="A676" t="s">
        <v>4008</v>
      </c>
      <c r="B676" t="s">
        <v>4007</v>
      </c>
    </row>
    <row r="677" spans="1:4">
      <c r="B677" t="s">
        <v>4009</v>
      </c>
    </row>
    <row r="678" spans="1:4">
      <c r="B678" t="s">
        <v>4014</v>
      </c>
    </row>
    <row r="679" spans="1:4">
      <c r="B679" t="s">
        <v>4010</v>
      </c>
    </row>
    <row r="680" spans="1:4">
      <c r="B680" t="s">
        <v>4011</v>
      </c>
    </row>
    <row r="681" spans="1:4">
      <c r="B681" t="s">
        <v>4012</v>
      </c>
    </row>
    <row r="682" spans="1:4">
      <c r="B682" t="s">
        <v>4013</v>
      </c>
    </row>
    <row r="683" spans="1:4">
      <c r="A683" t="s">
        <v>4015</v>
      </c>
      <c r="B683" t="s">
        <v>4016</v>
      </c>
      <c r="C683" t="s">
        <v>963</v>
      </c>
      <c r="D683" t="s">
        <v>4017</v>
      </c>
    </row>
    <row r="684" spans="1:4">
      <c r="A684" t="s">
        <v>4015</v>
      </c>
      <c r="B684" t="s">
        <v>4019</v>
      </c>
      <c r="C684" t="s">
        <v>963</v>
      </c>
      <c r="D684" t="s">
        <v>4017</v>
      </c>
    </row>
    <row r="685" spans="1:4">
      <c r="A685" t="s">
        <v>4015</v>
      </c>
      <c r="B685" t="s">
        <v>4020</v>
      </c>
      <c r="C685" t="s">
        <v>963</v>
      </c>
      <c r="D685" t="s">
        <v>4017</v>
      </c>
    </row>
    <row r="686" spans="1:4">
      <c r="A686" t="s">
        <v>4015</v>
      </c>
      <c r="B686" t="s">
        <v>4021</v>
      </c>
      <c r="C686" t="s">
        <v>963</v>
      </c>
      <c r="D686" t="s">
        <v>4017</v>
      </c>
    </row>
    <row r="687" spans="1:4">
      <c r="B687" t="s">
        <v>4022</v>
      </c>
      <c r="C687" t="s">
        <v>963</v>
      </c>
      <c r="D687" t="s">
        <v>4017</v>
      </c>
    </row>
    <row r="688" spans="1:4">
      <c r="B688" t="s">
        <v>4023</v>
      </c>
      <c r="C688" t="s">
        <v>963</v>
      </c>
      <c r="D688" t="s">
        <v>4017</v>
      </c>
    </row>
    <row r="689" spans="1:4">
      <c r="B689" t="s">
        <v>4032</v>
      </c>
      <c r="C689" t="s">
        <v>963</v>
      </c>
      <c r="D689" t="s">
        <v>4017</v>
      </c>
    </row>
    <row r="690" spans="1:4">
      <c r="B690" t="s">
        <v>4033</v>
      </c>
      <c r="C690" t="s">
        <v>963</v>
      </c>
      <c r="D690" t="s">
        <v>4017</v>
      </c>
    </row>
    <row r="691" spans="1:4">
      <c r="B691" t="s">
        <v>4034</v>
      </c>
      <c r="C691" t="s">
        <v>963</v>
      </c>
      <c r="D691" t="s">
        <v>4017</v>
      </c>
    </row>
    <row r="692" spans="1:4">
      <c r="B692" t="s">
        <v>4037</v>
      </c>
      <c r="C692" t="s">
        <v>963</v>
      </c>
      <c r="D692" t="s">
        <v>4017</v>
      </c>
    </row>
    <row r="693" spans="1:4">
      <c r="A693" t="s">
        <v>4038</v>
      </c>
      <c r="B693" t="s">
        <v>4039</v>
      </c>
      <c r="C693" t="s">
        <v>627</v>
      </c>
      <c r="D693" t="s">
        <v>4040</v>
      </c>
    </row>
    <row r="694" spans="1:4">
      <c r="A694" t="s">
        <v>4041</v>
      </c>
      <c r="B694" t="s">
        <v>4042</v>
      </c>
      <c r="C694" t="s">
        <v>627</v>
      </c>
      <c r="D694" t="s">
        <v>4045</v>
      </c>
    </row>
    <row r="695" spans="1:4">
      <c r="B695" t="s">
        <v>4043</v>
      </c>
    </row>
    <row r="696" spans="1:4">
      <c r="B696" t="s">
        <v>4044</v>
      </c>
    </row>
    <row r="697" spans="1:4">
      <c r="B697" t="s">
        <v>4046</v>
      </c>
      <c r="C697" t="s">
        <v>970</v>
      </c>
      <c r="D697" t="s">
        <v>4047</v>
      </c>
    </row>
    <row r="699" spans="1:4">
      <c r="A699" t="s">
        <v>4048</v>
      </c>
      <c r="B699" t="s">
        <v>4049</v>
      </c>
      <c r="C699" t="s">
        <v>963</v>
      </c>
      <c r="D699" t="s">
        <v>3814</v>
      </c>
    </row>
    <row r="701" spans="1:4">
      <c r="A701" t="s">
        <v>4429</v>
      </c>
      <c r="B701" t="s">
        <v>4430</v>
      </c>
      <c r="C701" t="s">
        <v>627</v>
      </c>
      <c r="D701" t="s">
        <v>4432</v>
      </c>
    </row>
    <row r="702" spans="1:4">
      <c r="B702" t="s">
        <v>4431</v>
      </c>
    </row>
    <row r="703" spans="1:4">
      <c r="B703" t="s">
        <v>4433</v>
      </c>
    </row>
    <row r="704" spans="1:4">
      <c r="B704" t="s">
        <v>4434</v>
      </c>
    </row>
    <row r="705" spans="1:4">
      <c r="B705" t="s">
        <v>4435</v>
      </c>
    </row>
    <row r="706" spans="1:4">
      <c r="B706" t="s">
        <v>4436</v>
      </c>
    </row>
    <row r="707" spans="1:4">
      <c r="B707" t="s">
        <v>4437</v>
      </c>
    </row>
    <row r="708" spans="1:4">
      <c r="B708" t="s">
        <v>4438</v>
      </c>
    </row>
    <row r="709" spans="1:4">
      <c r="A709" t="s">
        <v>4429</v>
      </c>
      <c r="B709" t="s">
        <v>4439</v>
      </c>
      <c r="C709" t="s">
        <v>627</v>
      </c>
      <c r="D709" t="s">
        <v>4440</v>
      </c>
    </row>
    <row r="710" spans="1:4">
      <c r="B710" t="s">
        <v>4442</v>
      </c>
    </row>
    <row r="711" spans="1:4">
      <c r="B711" t="s">
        <v>4446</v>
      </c>
    </row>
    <row r="712" spans="1:4">
      <c r="B712" t="s">
        <v>4447</v>
      </c>
    </row>
    <row r="713" spans="1:4">
      <c r="A713" t="s">
        <v>4452</v>
      </c>
      <c r="B713" t="s">
        <v>4450</v>
      </c>
      <c r="C713" t="s">
        <v>627</v>
      </c>
      <c r="D713" t="s">
        <v>4451</v>
      </c>
    </row>
    <row r="714" spans="1:4">
      <c r="B714" t="s">
        <v>4453</v>
      </c>
    </row>
    <row r="715" spans="1:4">
      <c r="B715" t="s">
        <v>4454</v>
      </c>
    </row>
    <row r="716" spans="1:4">
      <c r="B716" t="s">
        <v>4455</v>
      </c>
    </row>
    <row r="717" spans="1:4">
      <c r="B717" t="s">
        <v>4456</v>
      </c>
    </row>
    <row r="718" spans="1:4">
      <c r="B718" t="s">
        <v>4457</v>
      </c>
    </row>
    <row r="719" spans="1:4">
      <c r="A719" t="s">
        <v>4458</v>
      </c>
      <c r="B719" t="s">
        <v>4459</v>
      </c>
      <c r="C719" t="s">
        <v>627</v>
      </c>
      <c r="D719" t="s">
        <v>4460</v>
      </c>
    </row>
    <row r="720" spans="1:4">
      <c r="B720" t="s">
        <v>4461</v>
      </c>
    </row>
    <row r="721" spans="1:4">
      <c r="A721" t="s">
        <v>4462</v>
      </c>
      <c r="B721" t="s">
        <v>4463</v>
      </c>
      <c r="C721" t="s">
        <v>627</v>
      </c>
      <c r="D721" t="s">
        <v>4464</v>
      </c>
    </row>
    <row r="722" spans="1:4">
      <c r="A722" t="s">
        <v>4472</v>
      </c>
      <c r="B722" t="s">
        <v>4473</v>
      </c>
      <c r="C722" t="s">
        <v>627</v>
      </c>
      <c r="D722" t="s">
        <v>4475</v>
      </c>
    </row>
    <row r="723" spans="1:4">
      <c r="B723" t="s">
        <v>4474</v>
      </c>
    </row>
    <row r="724" spans="1:4">
      <c r="B724" t="s">
        <v>4476</v>
      </c>
    </row>
    <row r="725" spans="1:4">
      <c r="B725" t="s">
        <v>4477</v>
      </c>
    </row>
    <row r="726" spans="1:4">
      <c r="B726" t="s">
        <v>4478</v>
      </c>
    </row>
    <row r="727" spans="1:4">
      <c r="A727" t="s">
        <v>4479</v>
      </c>
      <c r="B727" t="s">
        <v>4480</v>
      </c>
      <c r="C727" t="s">
        <v>963</v>
      </c>
      <c r="D727" t="s">
        <v>4481</v>
      </c>
    </row>
    <row r="728" spans="1:4">
      <c r="A728" t="s">
        <v>4482</v>
      </c>
      <c r="B728" t="s">
        <v>4483</v>
      </c>
      <c r="C728" t="s">
        <v>627</v>
      </c>
      <c r="D728" t="s">
        <v>4484</v>
      </c>
    </row>
    <row r="729" spans="1:4">
      <c r="A729" t="s">
        <v>4485</v>
      </c>
      <c r="B729" t="s">
        <v>4486</v>
      </c>
      <c r="C729" t="s">
        <v>970</v>
      </c>
      <c r="D729" t="s">
        <v>4487</v>
      </c>
    </row>
    <row r="730" spans="1:4">
      <c r="A730" t="s">
        <v>4488</v>
      </c>
      <c r="B730" t="s">
        <v>4489</v>
      </c>
      <c r="C730" t="s">
        <v>963</v>
      </c>
      <c r="D730" t="s">
        <v>4490</v>
      </c>
    </row>
    <row r="731" spans="1:4">
      <c r="A731" t="s">
        <v>4488</v>
      </c>
      <c r="B731" t="s">
        <v>4491</v>
      </c>
      <c r="C731" t="s">
        <v>963</v>
      </c>
      <c r="D731" t="s">
        <v>4490</v>
      </c>
    </row>
    <row r="732" spans="1:4">
      <c r="A732" t="s">
        <v>4488</v>
      </c>
      <c r="B732" t="s">
        <v>4492</v>
      </c>
      <c r="C732" t="s">
        <v>963</v>
      </c>
      <c r="D732" t="s">
        <v>4490</v>
      </c>
    </row>
    <row r="733" spans="1:4">
      <c r="A733" t="s">
        <v>4488</v>
      </c>
      <c r="B733" t="s">
        <v>4493</v>
      </c>
      <c r="C733" t="s">
        <v>963</v>
      </c>
      <c r="D733" t="s">
        <v>4490</v>
      </c>
    </row>
    <row r="734" spans="1:4">
      <c r="A734" t="s">
        <v>4488</v>
      </c>
      <c r="B734" t="s">
        <v>4494</v>
      </c>
      <c r="C734" t="s">
        <v>963</v>
      </c>
      <c r="D734" t="s">
        <v>4490</v>
      </c>
    </row>
    <row r="735" spans="1:4">
      <c r="A735" t="s">
        <v>4488</v>
      </c>
      <c r="B735" t="s">
        <v>4495</v>
      </c>
      <c r="C735" t="s">
        <v>963</v>
      </c>
      <c r="D735" t="s">
        <v>4490</v>
      </c>
    </row>
    <row r="736" spans="1:4">
      <c r="A736" t="s">
        <v>4488</v>
      </c>
      <c r="B736" t="s">
        <v>4496</v>
      </c>
      <c r="C736" t="s">
        <v>963</v>
      </c>
      <c r="D736" t="s">
        <v>4490</v>
      </c>
    </row>
    <row r="737" spans="1:4">
      <c r="A737" t="s">
        <v>4488</v>
      </c>
      <c r="B737" t="s">
        <v>4497</v>
      </c>
      <c r="C737" t="s">
        <v>963</v>
      </c>
      <c r="D737" t="s">
        <v>4490</v>
      </c>
    </row>
    <row r="738" spans="1:4">
      <c r="A738" t="s">
        <v>4488</v>
      </c>
      <c r="B738" t="s">
        <v>4498</v>
      </c>
      <c r="C738" t="s">
        <v>963</v>
      </c>
      <c r="D738" t="s">
        <v>4490</v>
      </c>
    </row>
    <row r="739" spans="1:4">
      <c r="A739" t="s">
        <v>4488</v>
      </c>
      <c r="B739" t="s">
        <v>4499</v>
      </c>
      <c r="C739" t="s">
        <v>963</v>
      </c>
      <c r="D739" t="s">
        <v>4490</v>
      </c>
    </row>
    <row r="740" spans="1:4">
      <c r="A740" t="s">
        <v>4488</v>
      </c>
      <c r="B740" t="s">
        <v>4501</v>
      </c>
      <c r="C740" t="s">
        <v>963</v>
      </c>
      <c r="D740" t="s">
        <v>4490</v>
      </c>
    </row>
    <row r="741" spans="1:4">
      <c r="A741" t="s">
        <v>4488</v>
      </c>
      <c r="B741" t="s">
        <v>4500</v>
      </c>
      <c r="C741" t="s">
        <v>963</v>
      </c>
      <c r="D741" t="s">
        <v>4490</v>
      </c>
    </row>
    <row r="742" spans="1:4">
      <c r="A742" t="s">
        <v>4488</v>
      </c>
      <c r="B742" t="s">
        <v>4502</v>
      </c>
      <c r="C742" t="s">
        <v>963</v>
      </c>
      <c r="D742" t="s">
        <v>4490</v>
      </c>
    </row>
    <row r="743" spans="1:4">
      <c r="A743" t="s">
        <v>4488</v>
      </c>
      <c r="B743" t="s">
        <v>4503</v>
      </c>
      <c r="C743" t="s">
        <v>963</v>
      </c>
      <c r="D743" t="s">
        <v>4490</v>
      </c>
    </row>
    <row r="744" spans="1:4">
      <c r="A744" t="s">
        <v>4488</v>
      </c>
      <c r="B744" t="s">
        <v>4504</v>
      </c>
      <c r="C744" t="s">
        <v>963</v>
      </c>
      <c r="D744" t="s">
        <v>4490</v>
      </c>
    </row>
    <row r="745" spans="1:4">
      <c r="A745" t="s">
        <v>4488</v>
      </c>
      <c r="B745" t="s">
        <v>4505</v>
      </c>
      <c r="C745" t="s">
        <v>963</v>
      </c>
      <c r="D745" t="s">
        <v>4490</v>
      </c>
    </row>
    <row r="746" spans="1:4">
      <c r="A746" t="s">
        <v>4488</v>
      </c>
      <c r="B746" t="s">
        <v>4507</v>
      </c>
      <c r="C746" t="s">
        <v>963</v>
      </c>
      <c r="D746" t="s">
        <v>4490</v>
      </c>
    </row>
    <row r="747" spans="1:4">
      <c r="A747" t="s">
        <v>4488</v>
      </c>
      <c r="B747" t="s">
        <v>4508</v>
      </c>
      <c r="C747" t="s">
        <v>963</v>
      </c>
      <c r="D747" t="s">
        <v>4490</v>
      </c>
    </row>
    <row r="748" spans="1:4">
      <c r="A748" t="s">
        <v>4488</v>
      </c>
      <c r="B748" t="s">
        <v>4509</v>
      </c>
      <c r="C748" t="s">
        <v>963</v>
      </c>
      <c r="D748" t="s">
        <v>4490</v>
      </c>
    </row>
    <row r="749" spans="1:4">
      <c r="A749" t="s">
        <v>4488</v>
      </c>
      <c r="B749" t="s">
        <v>4510</v>
      </c>
      <c r="C749" t="s">
        <v>963</v>
      </c>
      <c r="D749" t="s">
        <v>4490</v>
      </c>
    </row>
    <row r="750" spans="1:4">
      <c r="A750" t="s">
        <v>4488</v>
      </c>
      <c r="B750" t="s">
        <v>4511</v>
      </c>
      <c r="C750" t="s">
        <v>963</v>
      </c>
      <c r="D750" t="s">
        <v>4490</v>
      </c>
    </row>
    <row r="751" spans="1:4">
      <c r="A751" t="s">
        <v>4512</v>
      </c>
      <c r="B751" t="s">
        <v>4513</v>
      </c>
      <c r="C751" t="s">
        <v>963</v>
      </c>
      <c r="D751" t="s">
        <v>2084</v>
      </c>
    </row>
    <row r="752" spans="1:4">
      <c r="A752" t="s">
        <v>4512</v>
      </c>
      <c r="B752" t="s">
        <v>4514</v>
      </c>
      <c r="C752" t="s">
        <v>963</v>
      </c>
      <c r="D752" t="s">
        <v>2084</v>
      </c>
    </row>
    <row r="753" spans="1:4">
      <c r="A753" t="s">
        <v>4512</v>
      </c>
      <c r="B753" t="s">
        <v>4516</v>
      </c>
      <c r="C753" t="s">
        <v>963</v>
      </c>
      <c r="D753" t="s">
        <v>2084</v>
      </c>
    </row>
    <row r="754" spans="1:4">
      <c r="A754" t="s">
        <v>4512</v>
      </c>
      <c r="B754" t="s">
        <v>4518</v>
      </c>
      <c r="C754" t="s">
        <v>963</v>
      </c>
      <c r="D754" t="s">
        <v>2084</v>
      </c>
    </row>
    <row r="755" spans="1:4">
      <c r="A755" t="s">
        <v>4519</v>
      </c>
      <c r="B755" t="s">
        <v>4520</v>
      </c>
      <c r="C755" t="s">
        <v>627</v>
      </c>
      <c r="D755" t="s">
        <v>4047</v>
      </c>
    </row>
    <row r="756" spans="1:4">
      <c r="A756" t="s">
        <v>4521</v>
      </c>
      <c r="B756" t="s">
        <v>4522</v>
      </c>
      <c r="C756" t="s">
        <v>627</v>
      </c>
      <c r="D756" t="s">
        <v>4523</v>
      </c>
    </row>
    <row r="757" spans="1:4">
      <c r="B757" t="s">
        <v>4524</v>
      </c>
    </row>
    <row r="758" spans="1:4">
      <c r="A758" t="s">
        <v>4525</v>
      </c>
      <c r="B758" t="s">
        <v>4526</v>
      </c>
      <c r="C758" t="s">
        <v>627</v>
      </c>
      <c r="D758" t="s">
        <v>4527</v>
      </c>
    </row>
    <row r="759" spans="1:4">
      <c r="B759" t="s">
        <v>4528</v>
      </c>
    </row>
    <row r="760" spans="1:4">
      <c r="A760">
        <v>3.3</v>
      </c>
      <c r="B760" t="s">
        <v>4529</v>
      </c>
    </row>
    <row r="761" spans="1:4">
      <c r="A761" t="s">
        <v>4530</v>
      </c>
      <c r="B761" t="s">
        <v>4531</v>
      </c>
      <c r="C761" t="s">
        <v>963</v>
      </c>
      <c r="D761" t="s">
        <v>4532</v>
      </c>
    </row>
    <row r="762" spans="1:4">
      <c r="B762" t="s">
        <v>4533</v>
      </c>
    </row>
    <row r="763" spans="1:4">
      <c r="A763" t="s">
        <v>4534</v>
      </c>
      <c r="B763" t="s">
        <v>4535</v>
      </c>
      <c r="C763" t="s">
        <v>627</v>
      </c>
      <c r="D763" t="s">
        <v>4536</v>
      </c>
    </row>
    <row r="765" spans="1:4">
      <c r="A765" t="s">
        <v>4539</v>
      </c>
      <c r="B765" t="s">
        <v>4540</v>
      </c>
    </row>
    <row r="766" spans="1:4">
      <c r="A766" t="s">
        <v>4541</v>
      </c>
      <c r="B766" t="s">
        <v>4543</v>
      </c>
      <c r="C766" t="s">
        <v>963</v>
      </c>
      <c r="D766" t="s">
        <v>4542</v>
      </c>
    </row>
    <row r="767" spans="1:4">
      <c r="A767" t="s">
        <v>4544</v>
      </c>
      <c r="B767" t="s">
        <v>4545</v>
      </c>
      <c r="C767" t="s">
        <v>586</v>
      </c>
      <c r="D767" t="s">
        <v>4546</v>
      </c>
    </row>
    <row r="768" spans="1:4">
      <c r="A768" t="s">
        <v>4547</v>
      </c>
      <c r="B768" t="s">
        <v>4548</v>
      </c>
      <c r="C768" t="s">
        <v>586</v>
      </c>
      <c r="D768" t="s">
        <v>4549</v>
      </c>
    </row>
    <row r="769" spans="1:4">
      <c r="A769" t="s">
        <v>4547</v>
      </c>
      <c r="B769" t="s">
        <v>4550</v>
      </c>
      <c r="C769" t="s">
        <v>586</v>
      </c>
      <c r="D769" t="s">
        <v>4549</v>
      </c>
    </row>
    <row r="770" spans="1:4">
      <c r="A770" t="s">
        <v>4547</v>
      </c>
      <c r="B770" t="s">
        <v>4551</v>
      </c>
      <c r="C770" t="s">
        <v>586</v>
      </c>
      <c r="D770" t="s">
        <v>4549</v>
      </c>
    </row>
    <row r="771" spans="1:4">
      <c r="A771" t="s">
        <v>4547</v>
      </c>
      <c r="B771" t="s">
        <v>4552</v>
      </c>
      <c r="C771" t="s">
        <v>586</v>
      </c>
      <c r="D771" t="s">
        <v>4553</v>
      </c>
    </row>
    <row r="772" spans="1:4">
      <c r="A772" t="s">
        <v>4547</v>
      </c>
      <c r="B772" t="s">
        <v>4554</v>
      </c>
      <c r="C772" t="s">
        <v>586</v>
      </c>
      <c r="D772" t="s">
        <v>4553</v>
      </c>
    </row>
    <row r="773" spans="1:4">
      <c r="A773" t="s">
        <v>4556</v>
      </c>
      <c r="B773" t="s">
        <v>4557</v>
      </c>
      <c r="C773" t="s">
        <v>627</v>
      </c>
      <c r="D773" t="s">
        <v>2002</v>
      </c>
    </row>
    <row r="774" spans="1:4">
      <c r="A774" t="s">
        <v>4556</v>
      </c>
      <c r="B774" t="s">
        <v>4558</v>
      </c>
      <c r="C774" t="s">
        <v>627</v>
      </c>
      <c r="D774" t="s">
        <v>2002</v>
      </c>
    </row>
    <row r="776" spans="1:4">
      <c r="A776" t="s">
        <v>4560</v>
      </c>
      <c r="B776" t="s">
        <v>4561</v>
      </c>
      <c r="C776" t="s">
        <v>586</v>
      </c>
      <c r="D776" t="s">
        <v>4559</v>
      </c>
    </row>
    <row r="777" spans="1:4">
      <c r="A777" t="s">
        <v>4560</v>
      </c>
      <c r="B777" t="s">
        <v>4562</v>
      </c>
      <c r="C777" t="s">
        <v>586</v>
      </c>
      <c r="D777" t="s">
        <v>4559</v>
      </c>
    </row>
    <row r="778" spans="1:4">
      <c r="B778" t="s">
        <v>4563</v>
      </c>
      <c r="C778" t="s">
        <v>963</v>
      </c>
      <c r="D778" t="s">
        <v>4564</v>
      </c>
    </row>
    <row r="779" spans="1:4">
      <c r="A779" t="s">
        <v>4565</v>
      </c>
      <c r="B779" t="s">
        <v>4566</v>
      </c>
      <c r="C779" t="s">
        <v>963</v>
      </c>
      <c r="D779" t="s">
        <v>4564</v>
      </c>
    </row>
    <row r="780" spans="1:4">
      <c r="A780" t="s">
        <v>4565</v>
      </c>
      <c r="B780" t="s">
        <v>4567</v>
      </c>
      <c r="C780" t="s">
        <v>963</v>
      </c>
      <c r="D780" t="s">
        <v>4564</v>
      </c>
    </row>
    <row r="784" spans="1:4">
      <c r="A784" t="s">
        <v>4565</v>
      </c>
      <c r="B784" t="s">
        <v>4569</v>
      </c>
      <c r="C784" t="s">
        <v>963</v>
      </c>
      <c r="D784" t="s">
        <v>4564</v>
      </c>
    </row>
    <row r="785" spans="1:4">
      <c r="A785" t="s">
        <v>4565</v>
      </c>
      <c r="B785" t="s">
        <v>4568</v>
      </c>
      <c r="C785" t="s">
        <v>963</v>
      </c>
      <c r="D785" t="s">
        <v>4564</v>
      </c>
    </row>
    <row r="786" spans="1:4">
      <c r="A786" t="s">
        <v>4565</v>
      </c>
      <c r="B786" t="s">
        <v>4570</v>
      </c>
      <c r="C786" t="s">
        <v>963</v>
      </c>
      <c r="D786" t="s">
        <v>4564</v>
      </c>
    </row>
    <row r="787" spans="1:4">
      <c r="A787" t="s">
        <v>4565</v>
      </c>
      <c r="B787" t="s">
        <v>4571</v>
      </c>
      <c r="C787" t="s">
        <v>963</v>
      </c>
      <c r="D787" t="s">
        <v>4564</v>
      </c>
    </row>
    <row r="788" spans="1:4">
      <c r="B788" t="s">
        <v>4572</v>
      </c>
    </row>
    <row r="789" spans="1:4">
      <c r="A789" t="s">
        <v>4574</v>
      </c>
      <c r="B789" t="s">
        <v>4575</v>
      </c>
      <c r="C789" t="s">
        <v>963</v>
      </c>
      <c r="D789" t="s">
        <v>4573</v>
      </c>
    </row>
    <row r="790" spans="1:4">
      <c r="A790" t="s">
        <v>4574</v>
      </c>
      <c r="B790" t="s">
        <v>4576</v>
      </c>
      <c r="C790" t="s">
        <v>963</v>
      </c>
      <c r="D790" t="s">
        <v>4573</v>
      </c>
    </row>
    <row r="791" spans="1:4">
      <c r="A791" t="s">
        <v>4574</v>
      </c>
      <c r="B791" t="s">
        <v>4578</v>
      </c>
      <c r="C791" t="s">
        <v>963</v>
      </c>
      <c r="D791" t="s">
        <v>4573</v>
      </c>
    </row>
    <row r="792" spans="1:4">
      <c r="A792" t="s">
        <v>4588</v>
      </c>
      <c r="B792" t="s">
        <v>4589</v>
      </c>
      <c r="C792" t="s">
        <v>586</v>
      </c>
      <c r="D792" t="s">
        <v>4595</v>
      </c>
    </row>
    <row r="793" spans="1:4">
      <c r="A793" t="s">
        <v>4588</v>
      </c>
      <c r="B793" t="s">
        <v>4591</v>
      </c>
      <c r="C793" t="s">
        <v>586</v>
      </c>
      <c r="D793" t="s">
        <v>4595</v>
      </c>
    </row>
    <row r="794" spans="1:4">
      <c r="A794" t="s">
        <v>4588</v>
      </c>
      <c r="B794" t="s">
        <v>4593</v>
      </c>
      <c r="C794" t="s">
        <v>586</v>
      </c>
      <c r="D794" t="s">
        <v>4595</v>
      </c>
    </row>
    <row r="795" spans="1:4">
      <c r="A795" t="s">
        <v>4588</v>
      </c>
      <c r="B795" t="s">
        <v>4594</v>
      </c>
      <c r="C795" t="s">
        <v>586</v>
      </c>
      <c r="D795" t="s">
        <v>4595</v>
      </c>
    </row>
    <row r="796" spans="1:4">
      <c r="A796" t="s">
        <v>4588</v>
      </c>
      <c r="B796" t="s">
        <v>4596</v>
      </c>
      <c r="C796" t="s">
        <v>586</v>
      </c>
      <c r="D796" t="s">
        <v>4595</v>
      </c>
    </row>
    <row r="797" spans="1:4">
      <c r="A797" t="s">
        <v>4588</v>
      </c>
      <c r="B797" t="s">
        <v>4597</v>
      </c>
      <c r="C797" t="s">
        <v>586</v>
      </c>
      <c r="D797" t="s">
        <v>4595</v>
      </c>
    </row>
    <row r="798" spans="1:4">
      <c r="A798" t="s">
        <v>4600</v>
      </c>
      <c r="B798" t="s">
        <v>4601</v>
      </c>
      <c r="C798" t="s">
        <v>963</v>
      </c>
      <c r="D798" t="s">
        <v>4599</v>
      </c>
    </row>
    <row r="799" spans="1:4">
      <c r="A799" t="s">
        <v>4600</v>
      </c>
      <c r="B799" t="s">
        <v>4602</v>
      </c>
      <c r="C799" t="s">
        <v>586</v>
      </c>
      <c r="D799" t="s">
        <v>4603</v>
      </c>
    </row>
    <row r="800" spans="1:4">
      <c r="A800" t="s">
        <v>4600</v>
      </c>
      <c r="B800" t="s">
        <v>4604</v>
      </c>
      <c r="C800" t="s">
        <v>586</v>
      </c>
      <c r="D800" t="s">
        <v>4603</v>
      </c>
    </row>
    <row r="801" spans="1:4">
      <c r="A801" t="s">
        <v>4600</v>
      </c>
      <c r="B801" t="s">
        <v>4606</v>
      </c>
      <c r="C801" t="s">
        <v>586</v>
      </c>
      <c r="D801" t="s">
        <v>4603</v>
      </c>
    </row>
    <row r="802" spans="1:4">
      <c r="A802" t="s">
        <v>4600</v>
      </c>
      <c r="B802" t="s">
        <v>4607</v>
      </c>
      <c r="C802" t="s">
        <v>586</v>
      </c>
      <c r="D802" t="s">
        <v>4609</v>
      </c>
    </row>
    <row r="803" spans="1:4">
      <c r="A803" t="s">
        <v>4600</v>
      </c>
      <c r="B803" t="s">
        <v>4608</v>
      </c>
      <c r="C803" t="s">
        <v>586</v>
      </c>
      <c r="D803" t="s">
        <v>4609</v>
      </c>
    </row>
    <row r="804" spans="1:4">
      <c r="A804" t="s">
        <v>4610</v>
      </c>
      <c r="B804" t="s">
        <v>4611</v>
      </c>
      <c r="C804" t="s">
        <v>586</v>
      </c>
      <c r="D804" t="s">
        <v>4612</v>
      </c>
    </row>
    <row r="805" spans="1:4">
      <c r="A805" t="s">
        <v>4610</v>
      </c>
      <c r="B805" t="s">
        <v>4614</v>
      </c>
      <c r="C805" t="s">
        <v>963</v>
      </c>
      <c r="D805" t="s">
        <v>4613</v>
      </c>
    </row>
    <row r="806" spans="1:4">
      <c r="A806" t="s">
        <v>4610</v>
      </c>
      <c r="B806" t="s">
        <v>4615</v>
      </c>
      <c r="C806" t="s">
        <v>963</v>
      </c>
      <c r="D806" t="s">
        <v>4616</v>
      </c>
    </row>
    <row r="807" spans="1:4">
      <c r="A807" t="s">
        <v>4610</v>
      </c>
      <c r="B807" t="s">
        <v>4617</v>
      </c>
      <c r="C807" t="s">
        <v>963</v>
      </c>
      <c r="D807" t="s">
        <v>4616</v>
      </c>
    </row>
    <row r="808" spans="1:4">
      <c r="A808" t="s">
        <v>4610</v>
      </c>
      <c r="B808" t="s">
        <v>4618</v>
      </c>
    </row>
    <row r="809" spans="1:4">
      <c r="A809" t="s">
        <v>4622</v>
      </c>
      <c r="B809" t="s">
        <v>4623</v>
      </c>
      <c r="C809" t="s">
        <v>963</v>
      </c>
      <c r="D809" t="s">
        <v>4619</v>
      </c>
    </row>
    <row r="810" spans="1:4">
      <c r="B810" t="s">
        <v>4624</v>
      </c>
    </row>
    <row r="811" spans="1:4">
      <c r="B811" t="s">
        <v>4625</v>
      </c>
    </row>
    <row r="812" spans="1:4">
      <c r="B812" t="s">
        <v>4628</v>
      </c>
    </row>
    <row r="813" spans="1:4">
      <c r="B813" t="s">
        <v>4629</v>
      </c>
    </row>
    <row r="814" spans="1:4">
      <c r="A814" t="s">
        <v>4622</v>
      </c>
      <c r="B814" t="s">
        <v>4630</v>
      </c>
      <c r="C814" t="s">
        <v>627</v>
      </c>
      <c r="D814" t="s">
        <v>4631</v>
      </c>
    </row>
    <row r="815" spans="1:4">
      <c r="B815" t="s">
        <v>4632</v>
      </c>
    </row>
    <row r="816" spans="1:4">
      <c r="A816" t="s">
        <v>4640</v>
      </c>
      <c r="B816" t="s">
        <v>4634</v>
      </c>
      <c r="C816" t="s">
        <v>586</v>
      </c>
      <c r="D816" t="s">
        <v>4641</v>
      </c>
    </row>
    <row r="817" spans="1:4">
      <c r="A817" t="s">
        <v>4640</v>
      </c>
      <c r="B817" t="s">
        <v>4635</v>
      </c>
      <c r="C817" t="s">
        <v>586</v>
      </c>
      <c r="D817" t="s">
        <v>4641</v>
      </c>
    </row>
    <row r="818" spans="1:4">
      <c r="A818" t="s">
        <v>4640</v>
      </c>
      <c r="B818" t="s">
        <v>4638</v>
      </c>
      <c r="C818" t="s">
        <v>586</v>
      </c>
      <c r="D818" t="s">
        <v>4641</v>
      </c>
    </row>
    <row r="819" spans="1:4">
      <c r="A819" t="s">
        <v>4640</v>
      </c>
      <c r="B819" t="s">
        <v>4639</v>
      </c>
      <c r="C819" t="s">
        <v>586</v>
      </c>
      <c r="D819" t="s">
        <v>4641</v>
      </c>
    </row>
    <row r="820" spans="1:4">
      <c r="A820" t="s">
        <v>4640</v>
      </c>
      <c r="B820" t="s">
        <v>4642</v>
      </c>
      <c r="C820" t="s">
        <v>586</v>
      </c>
      <c r="D820" t="s">
        <v>4643</v>
      </c>
    </row>
    <row r="821" spans="1:4">
      <c r="A821" t="s">
        <v>4646</v>
      </c>
      <c r="B821" t="s">
        <v>4645</v>
      </c>
      <c r="C821" t="s">
        <v>963</v>
      </c>
      <c r="D821" t="s">
        <v>4644</v>
      </c>
    </row>
    <row r="822" spans="1:4">
      <c r="B822" t="s">
        <v>4647</v>
      </c>
    </row>
    <row r="823" spans="1:4">
      <c r="B823" t="s">
        <v>4648</v>
      </c>
    </row>
    <row r="824" spans="1:4">
      <c r="B824" t="s">
        <v>4649</v>
      </c>
    </row>
    <row r="825" spans="1:4">
      <c r="A825" t="s">
        <v>4653</v>
      </c>
      <c r="B825" t="s">
        <v>4651</v>
      </c>
      <c r="C825" t="s">
        <v>586</v>
      </c>
      <c r="D825" t="s">
        <v>4654</v>
      </c>
    </row>
    <row r="826" spans="1:4">
      <c r="A826" t="s">
        <v>4653</v>
      </c>
      <c r="B826" t="s">
        <v>4652</v>
      </c>
      <c r="C826" t="s">
        <v>586</v>
      </c>
      <c r="D826" t="s">
        <v>4654</v>
      </c>
    </row>
    <row r="827" spans="1:4">
      <c r="A827" t="s">
        <v>4653</v>
      </c>
      <c r="B827" t="s">
        <v>4655</v>
      </c>
      <c r="C827" t="s">
        <v>586</v>
      </c>
      <c r="D827" t="s">
        <v>4654</v>
      </c>
    </row>
    <row r="828" spans="1:4">
      <c r="A828" t="s">
        <v>4660</v>
      </c>
      <c r="B828" t="s">
        <v>4661</v>
      </c>
      <c r="C828" t="s">
        <v>963</v>
      </c>
      <c r="D828" t="s">
        <v>4659</v>
      </c>
    </row>
    <row r="829" spans="1:4">
      <c r="A829" t="s">
        <v>4660</v>
      </c>
      <c r="B829" t="s">
        <v>4662</v>
      </c>
      <c r="C829" t="s">
        <v>963</v>
      </c>
      <c r="D829" t="s">
        <v>4659</v>
      </c>
    </row>
    <row r="830" spans="1:4">
      <c r="A830" t="s">
        <v>4669</v>
      </c>
      <c r="B830" t="s">
        <v>4670</v>
      </c>
      <c r="C830" t="s">
        <v>627</v>
      </c>
      <c r="D830" t="s">
        <v>4536</v>
      </c>
    </row>
    <row r="831" spans="1:4">
      <c r="B831" t="s">
        <v>4671</v>
      </c>
    </row>
    <row r="832" spans="1:4">
      <c r="B832" t="s">
        <v>4672</v>
      </c>
    </row>
    <row r="833" spans="1:4">
      <c r="A833" t="s">
        <v>4667</v>
      </c>
      <c r="B833" t="s">
        <v>4668</v>
      </c>
      <c r="C833" t="s">
        <v>627</v>
      </c>
      <c r="D833" t="s">
        <v>2943</v>
      </c>
    </row>
    <row r="834" spans="1:4">
      <c r="B834" t="s">
        <v>4673</v>
      </c>
    </row>
    <row r="835" spans="1:4">
      <c r="A835" t="s">
        <v>4677</v>
      </c>
      <c r="B835" t="s">
        <v>4674</v>
      </c>
      <c r="C835" t="s">
        <v>586</v>
      </c>
      <c r="D835" t="s">
        <v>2947</v>
      </c>
    </row>
    <row r="836" spans="1:4">
      <c r="A836" t="s">
        <v>4677</v>
      </c>
      <c r="B836" t="s">
        <v>4675</v>
      </c>
      <c r="C836" t="s">
        <v>586</v>
      </c>
      <c r="D836" t="s">
        <v>4676</v>
      </c>
    </row>
    <row r="837" spans="1:4">
      <c r="A837" t="s">
        <v>4677</v>
      </c>
      <c r="B837" t="s">
        <v>4678</v>
      </c>
      <c r="C837" t="s">
        <v>586</v>
      </c>
      <c r="D837" t="s">
        <v>4676</v>
      </c>
    </row>
    <row r="838" spans="1:4">
      <c r="A838" t="s">
        <v>4680</v>
      </c>
      <c r="B838" t="s">
        <v>4679</v>
      </c>
      <c r="C838" t="s">
        <v>586</v>
      </c>
      <c r="D838" t="s">
        <v>4681</v>
      </c>
    </row>
    <row r="839" spans="1:4">
      <c r="A839" t="s">
        <v>4680</v>
      </c>
      <c r="B839" t="s">
        <v>4683</v>
      </c>
      <c r="C839" t="s">
        <v>586</v>
      </c>
      <c r="D839" t="s">
        <v>4681</v>
      </c>
    </row>
    <row r="840" spans="1:4">
      <c r="A840" t="s">
        <v>4680</v>
      </c>
      <c r="B840" t="s">
        <v>4682</v>
      </c>
      <c r="C840" t="s">
        <v>586</v>
      </c>
      <c r="D840" t="s">
        <v>3222</v>
      </c>
    </row>
    <row r="841" spans="1:4">
      <c r="A841" t="s">
        <v>4680</v>
      </c>
      <c r="B841" t="s">
        <v>4686</v>
      </c>
      <c r="C841" t="s">
        <v>586</v>
      </c>
      <c r="D841" t="s">
        <v>3243</v>
      </c>
    </row>
    <row r="842" spans="1:4">
      <c r="A842" t="s">
        <v>4688</v>
      </c>
      <c r="B842" t="s">
        <v>4687</v>
      </c>
      <c r="C842" t="s">
        <v>586</v>
      </c>
      <c r="D842" t="s">
        <v>3242</v>
      </c>
    </row>
    <row r="843" spans="1:4">
      <c r="A843" t="s">
        <v>4688</v>
      </c>
      <c r="B843" t="s">
        <v>4689</v>
      </c>
      <c r="C843" t="s">
        <v>586</v>
      </c>
      <c r="D843" t="s">
        <v>3242</v>
      </c>
    </row>
    <row r="844" spans="1:4">
      <c r="A844" t="s">
        <v>4688</v>
      </c>
      <c r="B844" t="s">
        <v>4690</v>
      </c>
      <c r="C844" t="s">
        <v>586</v>
      </c>
      <c r="D844" t="s">
        <v>3242</v>
      </c>
    </row>
    <row r="845" spans="1:4">
      <c r="A845" t="s">
        <v>4688</v>
      </c>
      <c r="B845" t="s">
        <v>4691</v>
      </c>
      <c r="C845" t="s">
        <v>586</v>
      </c>
      <c r="D845" t="s">
        <v>3275</v>
      </c>
    </row>
    <row r="847" spans="1:4">
      <c r="A847" t="s">
        <v>4692</v>
      </c>
      <c r="B847" t="s">
        <v>4693</v>
      </c>
      <c r="C847" t="s">
        <v>586</v>
      </c>
      <c r="D847" t="s">
        <v>1967</v>
      </c>
    </row>
    <row r="848" spans="1:4">
      <c r="A848" t="s">
        <v>4692</v>
      </c>
      <c r="B848" t="s">
        <v>4694</v>
      </c>
      <c r="C848" t="s">
        <v>586</v>
      </c>
      <c r="D848" t="s">
        <v>1967</v>
      </c>
    </row>
    <row r="849" spans="1:4">
      <c r="A849" t="s">
        <v>4692</v>
      </c>
      <c r="B849" t="s">
        <v>4695</v>
      </c>
      <c r="C849" t="s">
        <v>586</v>
      </c>
      <c r="D849" t="s">
        <v>1967</v>
      </c>
    </row>
    <row r="850" spans="1:4">
      <c r="A850" t="s">
        <v>4692</v>
      </c>
      <c r="B850" t="s">
        <v>4696</v>
      </c>
      <c r="C850" t="s">
        <v>586</v>
      </c>
      <c r="D850" t="s">
        <v>1967</v>
      </c>
    </row>
    <row r="851" spans="1:4">
      <c r="A851" t="s">
        <v>4692</v>
      </c>
      <c r="B851" t="s">
        <v>4697</v>
      </c>
      <c r="C851" t="s">
        <v>586</v>
      </c>
      <c r="D851" t="s">
        <v>1967</v>
      </c>
    </row>
    <row r="852" spans="1:4">
      <c r="A852" t="s">
        <v>4692</v>
      </c>
      <c r="B852" t="s">
        <v>4700</v>
      </c>
      <c r="C852" t="s">
        <v>586</v>
      </c>
      <c r="D852" t="s">
        <v>1967</v>
      </c>
    </row>
    <row r="853" spans="1:4">
      <c r="A853" t="s">
        <v>4692</v>
      </c>
      <c r="B853" t="s">
        <v>4701</v>
      </c>
      <c r="C853" t="s">
        <v>586</v>
      </c>
      <c r="D853" t="s">
        <v>1967</v>
      </c>
    </row>
    <row r="854" spans="1:4">
      <c r="B854" t="s">
        <v>4702</v>
      </c>
    </row>
    <row r="855" spans="1:4">
      <c r="B855" t="s">
        <v>4704</v>
      </c>
    </row>
    <row r="856" spans="1:4">
      <c r="B856" t="s">
        <v>4705</v>
      </c>
    </row>
    <row r="857" spans="1:4">
      <c r="A857" t="s">
        <v>4706</v>
      </c>
      <c r="B857" t="s">
        <v>4707</v>
      </c>
      <c r="C857" t="s">
        <v>627</v>
      </c>
      <c r="D857" t="s">
        <v>4440</v>
      </c>
    </row>
    <row r="858" spans="1:4">
      <c r="B858" t="s">
        <v>4708</v>
      </c>
    </row>
    <row r="859" spans="1:4">
      <c r="B859" t="s">
        <v>4715</v>
      </c>
    </row>
    <row r="860" spans="1:4">
      <c r="B860" t="s">
        <v>4716</v>
      </c>
    </row>
    <row r="861" spans="1:4">
      <c r="B861" t="s">
        <v>4717</v>
      </c>
    </row>
    <row r="862" spans="1:4">
      <c r="B862" t="s">
        <v>4718</v>
      </c>
    </row>
    <row r="863" spans="1:4">
      <c r="A863" t="s">
        <v>4728</v>
      </c>
      <c r="B863" t="s">
        <v>4729</v>
      </c>
      <c r="C863" t="s">
        <v>627</v>
      </c>
      <c r="D863" t="s">
        <v>4451</v>
      </c>
    </row>
    <row r="864" spans="1:4">
      <c r="B864" t="s">
        <v>4730</v>
      </c>
    </row>
    <row r="865" spans="1:4">
      <c r="B865" t="s">
        <v>4731</v>
      </c>
    </row>
    <row r="866" spans="1:4">
      <c r="B866" t="s">
        <v>4733</v>
      </c>
    </row>
    <row r="867" spans="1:4">
      <c r="B867" t="s">
        <v>4734</v>
      </c>
    </row>
    <row r="868" spans="1:4">
      <c r="A868" t="s">
        <v>4736</v>
      </c>
      <c r="B868" t="s">
        <v>4737</v>
      </c>
      <c r="C868" t="s">
        <v>627</v>
      </c>
      <c r="D868" t="s">
        <v>2021</v>
      </c>
    </row>
    <row r="869" spans="1:4">
      <c r="B869" t="s">
        <v>4738</v>
      </c>
    </row>
    <row r="870" spans="1:4">
      <c r="A870" t="s">
        <v>4788</v>
      </c>
      <c r="B870" t="s">
        <v>4789</v>
      </c>
      <c r="C870" t="s">
        <v>963</v>
      </c>
      <c r="D870" t="s">
        <v>4790</v>
      </c>
    </row>
    <row r="871" spans="1:4">
      <c r="B871" t="s">
        <v>4791</v>
      </c>
    </row>
    <row r="872" spans="1:4">
      <c r="B872" t="s">
        <v>4792</v>
      </c>
    </row>
    <row r="873" spans="1:4">
      <c r="B873" t="s">
        <v>4890</v>
      </c>
    </row>
    <row r="874" spans="1:4">
      <c r="B874" t="s">
        <v>4918</v>
      </c>
    </row>
    <row r="875" spans="1:4">
      <c r="B875" t="s">
        <v>4919</v>
      </c>
      <c r="C875" t="s">
        <v>963</v>
      </c>
      <c r="D875" t="s">
        <v>3988</v>
      </c>
    </row>
    <row r="876" spans="1:4">
      <c r="A876" t="s">
        <v>4924</v>
      </c>
      <c r="B876" t="s">
        <v>4922</v>
      </c>
      <c r="C876" t="s">
        <v>963</v>
      </c>
      <c r="D876" t="s">
        <v>3992</v>
      </c>
    </row>
    <row r="877" spans="1:4">
      <c r="B877" t="s">
        <v>4923</v>
      </c>
    </row>
    <row r="878" spans="1:4">
      <c r="A878" t="s">
        <v>4925</v>
      </c>
      <c r="B878" t="s">
        <v>4926</v>
      </c>
      <c r="C878" t="s">
        <v>963</v>
      </c>
      <c r="D878" t="s">
        <v>4927</v>
      </c>
    </row>
    <row r="879" spans="1:4">
      <c r="B879" t="s">
        <v>4928</v>
      </c>
    </row>
    <row r="880" spans="1:4">
      <c r="A880" t="s">
        <v>4929</v>
      </c>
      <c r="B880" t="s">
        <v>4930</v>
      </c>
      <c r="C880" t="s">
        <v>586</v>
      </c>
      <c r="D880" t="s">
        <v>4487</v>
      </c>
    </row>
    <row r="881" spans="1:4">
      <c r="A881" t="s">
        <v>4952</v>
      </c>
      <c r="B881" t="s">
        <v>4955</v>
      </c>
      <c r="C881" t="s">
        <v>627</v>
      </c>
      <c r="D881" t="s">
        <v>4956</v>
      </c>
    </row>
    <row r="882" spans="1:4">
      <c r="B882" t="s">
        <v>4953</v>
      </c>
    </row>
    <row r="883" spans="1:4">
      <c r="B883" t="s">
        <v>4954</v>
      </c>
    </row>
    <row r="884" spans="1:4">
      <c r="A884" t="s">
        <v>4957</v>
      </c>
      <c r="B884" t="s">
        <v>4958</v>
      </c>
      <c r="C884" t="s">
        <v>586</v>
      </c>
      <c r="D884" t="s">
        <v>4040</v>
      </c>
    </row>
    <row r="885" spans="1:4" ht="29">
      <c r="B885" s="603" t="s">
        <v>4959</v>
      </c>
    </row>
    <row r="886" spans="1:4">
      <c r="B886" t="s">
        <v>4960</v>
      </c>
    </row>
    <row r="887" spans="1:4">
      <c r="B887" t="s">
        <v>4961</v>
      </c>
    </row>
    <row r="888" spans="1:4">
      <c r="A888" t="s">
        <v>4957</v>
      </c>
      <c r="B888" t="s">
        <v>4962</v>
      </c>
      <c r="C888" t="s">
        <v>963</v>
      </c>
      <c r="D888" t="s">
        <v>2127</v>
      </c>
    </row>
    <row r="889" spans="1:4">
      <c r="A889" t="s">
        <v>4963</v>
      </c>
      <c r="B889" t="s">
        <v>4964</v>
      </c>
      <c r="C889" t="s">
        <v>586</v>
      </c>
      <c r="D889" t="s">
        <v>4523</v>
      </c>
    </row>
    <row r="890" spans="1:4">
      <c r="A890" t="s">
        <v>4969</v>
      </c>
      <c r="B890" t="s">
        <v>4968</v>
      </c>
      <c r="C890" t="s">
        <v>627</v>
      </c>
      <c r="D890" t="s">
        <v>2151</v>
      </c>
    </row>
    <row r="891" spans="1:4">
      <c r="A891" t="s">
        <v>4967</v>
      </c>
      <c r="B891" t="s">
        <v>4977</v>
      </c>
      <c r="C891" t="s">
        <v>627</v>
      </c>
      <c r="D891" t="s">
        <v>4536</v>
      </c>
    </row>
    <row r="892" spans="1:4">
      <c r="A892" t="s">
        <v>4974</v>
      </c>
      <c r="B892" t="s">
        <v>4975</v>
      </c>
      <c r="C892" t="s">
        <v>627</v>
      </c>
      <c r="D892" t="s">
        <v>4976</v>
      </c>
    </row>
    <row r="894" spans="1:4">
      <c r="A894" t="s">
        <v>4974</v>
      </c>
      <c r="B894" t="s">
        <v>4978</v>
      </c>
      <c r="C894" t="s">
        <v>963</v>
      </c>
      <c r="D894" t="s">
        <v>4979</v>
      </c>
    </row>
    <row r="896" spans="1:4">
      <c r="A896" t="s">
        <v>4981</v>
      </c>
      <c r="B896" t="s">
        <v>4982</v>
      </c>
      <c r="C896" t="s">
        <v>586</v>
      </c>
      <c r="D896" t="s">
        <v>4980</v>
      </c>
    </row>
    <row r="897" spans="1:4">
      <c r="B897" t="s">
        <v>4983</v>
      </c>
      <c r="C897" t="s">
        <v>586</v>
      </c>
      <c r="D897" t="s">
        <v>4980</v>
      </c>
    </row>
    <row r="898" spans="1:4">
      <c r="B898" t="s">
        <v>4984</v>
      </c>
      <c r="C898" t="s">
        <v>586</v>
      </c>
      <c r="D898" t="s">
        <v>4980</v>
      </c>
    </row>
    <row r="899" spans="1:4">
      <c r="B899" t="s">
        <v>4985</v>
      </c>
      <c r="C899" t="s">
        <v>586</v>
      </c>
      <c r="D899" t="s">
        <v>4980</v>
      </c>
    </row>
    <row r="900" spans="1:4">
      <c r="B900" t="s">
        <v>4986</v>
      </c>
      <c r="C900" t="s">
        <v>586</v>
      </c>
      <c r="D900" t="s">
        <v>4980</v>
      </c>
    </row>
    <row r="901" spans="1:4">
      <c r="B901" t="s">
        <v>4987</v>
      </c>
      <c r="C901" t="s">
        <v>586</v>
      </c>
      <c r="D901" t="s">
        <v>4980</v>
      </c>
    </row>
    <row r="902" spans="1:4">
      <c r="B902" t="s">
        <v>4988</v>
      </c>
      <c r="C902" t="s">
        <v>586</v>
      </c>
      <c r="D902" t="s">
        <v>4989</v>
      </c>
    </row>
    <row r="903" spans="1:4">
      <c r="A903" t="s">
        <v>5001</v>
      </c>
      <c r="B903" t="s">
        <v>5002</v>
      </c>
      <c r="C903" t="s">
        <v>586</v>
      </c>
      <c r="D903" t="s">
        <v>5003</v>
      </c>
    </row>
    <row r="904" spans="1:4">
      <c r="B904" t="s">
        <v>5004</v>
      </c>
      <c r="C904" t="s">
        <v>586</v>
      </c>
      <c r="D904" t="s">
        <v>5003</v>
      </c>
    </row>
    <row r="905" spans="1:4">
      <c r="A905" t="s">
        <v>5006</v>
      </c>
      <c r="B905" t="s">
        <v>5043</v>
      </c>
      <c r="C905" t="s">
        <v>586</v>
      </c>
      <c r="D905" t="s">
        <v>5007</v>
      </c>
    </row>
    <row r="906" spans="1:4">
      <c r="A906" t="s">
        <v>5049</v>
      </c>
      <c r="B906" t="s">
        <v>5044</v>
      </c>
      <c r="C906" t="s">
        <v>586</v>
      </c>
      <c r="D906" t="s">
        <v>5047</v>
      </c>
    </row>
    <row r="907" spans="1:4">
      <c r="B907" t="s">
        <v>5045</v>
      </c>
      <c r="C907" t="s">
        <v>586</v>
      </c>
      <c r="D907" t="s">
        <v>5047</v>
      </c>
    </row>
    <row r="908" spans="1:4">
      <c r="B908" t="s">
        <v>5046</v>
      </c>
      <c r="C908" t="s">
        <v>586</v>
      </c>
      <c r="D908" t="s">
        <v>5047</v>
      </c>
    </row>
    <row r="909" spans="1:4">
      <c r="B909" t="s">
        <v>5048</v>
      </c>
      <c r="C909" t="s">
        <v>586</v>
      </c>
      <c r="D909" t="s">
        <v>5047</v>
      </c>
    </row>
    <row r="910" spans="1:4" ht="28" customHeight="1">
      <c r="A910" t="s">
        <v>5050</v>
      </c>
      <c r="B910" s="603" t="s">
        <v>5051</v>
      </c>
      <c r="C910" t="s">
        <v>586</v>
      </c>
      <c r="D910" t="s">
        <v>5052</v>
      </c>
    </row>
    <row r="911" spans="1:4">
      <c r="B911" t="s">
        <v>5053</v>
      </c>
      <c r="C911" t="s">
        <v>586</v>
      </c>
      <c r="D911" t="s">
        <v>5052</v>
      </c>
    </row>
    <row r="912" spans="1:4">
      <c r="A912" t="s">
        <v>5054</v>
      </c>
      <c r="B912" t="s">
        <v>5055</v>
      </c>
      <c r="C912" t="s">
        <v>586</v>
      </c>
      <c r="D912" t="s">
        <v>5060</v>
      </c>
    </row>
    <row r="913" spans="1:4">
      <c r="B913" t="s">
        <v>5058</v>
      </c>
      <c r="C913" t="s">
        <v>586</v>
      </c>
      <c r="D913" t="s">
        <v>5060</v>
      </c>
    </row>
    <row r="914" spans="1:4">
      <c r="B914" t="s">
        <v>5056</v>
      </c>
      <c r="C914" t="s">
        <v>586</v>
      </c>
      <c r="D914" t="s">
        <v>5060</v>
      </c>
    </row>
    <row r="915" spans="1:4">
      <c r="B915" t="s">
        <v>5057</v>
      </c>
      <c r="C915" t="s">
        <v>586</v>
      </c>
      <c r="D915" t="s">
        <v>5060</v>
      </c>
    </row>
    <row r="916" spans="1:4">
      <c r="B916" t="s">
        <v>5059</v>
      </c>
      <c r="C916" t="s">
        <v>586</v>
      </c>
      <c r="D916" t="s">
        <v>5060</v>
      </c>
    </row>
    <row r="917" spans="1:4">
      <c r="B917" t="s">
        <v>5061</v>
      </c>
      <c r="C917" t="s">
        <v>586</v>
      </c>
      <c r="D917" t="s">
        <v>5060</v>
      </c>
    </row>
    <row r="918" spans="1:4">
      <c r="A918" t="s">
        <v>5062</v>
      </c>
      <c r="B918" t="s">
        <v>5063</v>
      </c>
      <c r="C918" t="s">
        <v>586</v>
      </c>
      <c r="D918" t="s">
        <v>5064</v>
      </c>
    </row>
    <row r="919" spans="1:4">
      <c r="A919" t="s">
        <v>5062</v>
      </c>
      <c r="B919" t="s">
        <v>5065</v>
      </c>
      <c r="C919" t="s">
        <v>586</v>
      </c>
      <c r="D919" t="s">
        <v>5064</v>
      </c>
    </row>
    <row r="920" spans="1:4">
      <c r="A920" t="s">
        <v>5066</v>
      </c>
      <c r="B920" t="s">
        <v>5067</v>
      </c>
      <c r="C920" t="s">
        <v>586</v>
      </c>
      <c r="D920" t="s">
        <v>5068</v>
      </c>
    </row>
    <row r="921" spans="1:4">
      <c r="A921" t="s">
        <v>5069</v>
      </c>
      <c r="B921" t="s">
        <v>5070</v>
      </c>
      <c r="C921" t="s">
        <v>963</v>
      </c>
      <c r="D921" t="s">
        <v>5071</v>
      </c>
    </row>
    <row r="922" spans="1:4">
      <c r="B922" t="s">
        <v>5210</v>
      </c>
      <c r="C922" t="s">
        <v>963</v>
      </c>
      <c r="D922" t="s">
        <v>5071</v>
      </c>
    </row>
    <row r="923" spans="1:4">
      <c r="A923" t="s">
        <v>5211</v>
      </c>
      <c r="B923" t="s">
        <v>5212</v>
      </c>
      <c r="C923" t="s">
        <v>970</v>
      </c>
      <c r="D923" t="s">
        <v>5213</v>
      </c>
    </row>
    <row r="924" spans="1:4">
      <c r="A924" t="s">
        <v>5214</v>
      </c>
      <c r="B924" t="s">
        <v>5215</v>
      </c>
      <c r="C924" t="s">
        <v>627</v>
      </c>
      <c r="D924" t="s">
        <v>5216</v>
      </c>
    </row>
    <row r="925" spans="1:4">
      <c r="A925" t="s">
        <v>5217</v>
      </c>
      <c r="B925" t="s">
        <v>5218</v>
      </c>
      <c r="C925" t="s">
        <v>627</v>
      </c>
      <c r="D925" t="s">
        <v>5219</v>
      </c>
    </row>
    <row r="927" spans="1:4">
      <c r="A927" t="s">
        <v>5220</v>
      </c>
      <c r="B927" t="s">
        <v>5221</v>
      </c>
      <c r="C927" t="s">
        <v>586</v>
      </c>
      <c r="D927" t="s">
        <v>5222</v>
      </c>
    </row>
    <row r="928" spans="1:4">
      <c r="B928" t="s">
        <v>5226</v>
      </c>
      <c r="C928" t="s">
        <v>586</v>
      </c>
      <c r="D928" t="s">
        <v>5222</v>
      </c>
    </row>
    <row r="929" spans="2:4">
      <c r="B929" t="s">
        <v>5227</v>
      </c>
      <c r="C929" t="s">
        <v>586</v>
      </c>
      <c r="D929" t="s">
        <v>5222</v>
      </c>
    </row>
    <row r="930" spans="2:4">
      <c r="B930" t="s">
        <v>5232</v>
      </c>
      <c r="C930" t="s">
        <v>586</v>
      </c>
      <c r="D930" t="s">
        <v>5222</v>
      </c>
    </row>
    <row r="931" spans="2:4">
      <c r="B931" t="s">
        <v>5233</v>
      </c>
      <c r="C931" t="s">
        <v>586</v>
      </c>
      <c r="D931" t="s">
        <v>5222</v>
      </c>
    </row>
    <row r="932" spans="2:4">
      <c r="B932" t="s">
        <v>5235</v>
      </c>
      <c r="C932" t="s">
        <v>586</v>
      </c>
      <c r="D932" t="s">
        <v>5222</v>
      </c>
    </row>
    <row r="933" spans="2:4">
      <c r="B933" t="s">
        <v>5236</v>
      </c>
      <c r="C933" t="s">
        <v>586</v>
      </c>
      <c r="D933" t="s">
        <v>5222</v>
      </c>
    </row>
    <row r="934" spans="2:4">
      <c r="B934" t="s">
        <v>5243</v>
      </c>
      <c r="C934" t="s">
        <v>586</v>
      </c>
      <c r="D934" t="s">
        <v>5222</v>
      </c>
    </row>
    <row r="935" spans="2:4">
      <c r="B935" t="s">
        <v>5252</v>
      </c>
      <c r="C935" t="s">
        <v>586</v>
      </c>
      <c r="D935" t="s">
        <v>5222</v>
      </c>
    </row>
    <row r="936" spans="2:4">
      <c r="B936" t="s">
        <v>5253</v>
      </c>
      <c r="C936" t="s">
        <v>586</v>
      </c>
      <c r="D936" t="s">
        <v>5222</v>
      </c>
    </row>
    <row r="937" spans="2:4">
      <c r="B937" t="s">
        <v>5253</v>
      </c>
      <c r="C937" t="s">
        <v>586</v>
      </c>
      <c r="D937" t="s">
        <v>5222</v>
      </c>
    </row>
    <row r="938" spans="2:4">
      <c r="B938" t="s">
        <v>5254</v>
      </c>
      <c r="C938" t="s">
        <v>586</v>
      </c>
      <c r="D938" t="s">
        <v>5222</v>
      </c>
    </row>
    <row r="939" spans="2:4">
      <c r="B939" t="s">
        <v>5255</v>
      </c>
      <c r="C939" t="s">
        <v>586</v>
      </c>
      <c r="D939" t="s">
        <v>5222</v>
      </c>
    </row>
    <row r="940" spans="2:4">
      <c r="B940" t="s">
        <v>5262</v>
      </c>
      <c r="C940" t="s">
        <v>586</v>
      </c>
      <c r="D940" t="s">
        <v>5222</v>
      </c>
    </row>
    <row r="941" spans="2:4">
      <c r="B941" t="s">
        <v>5263</v>
      </c>
      <c r="C941" t="s">
        <v>586</v>
      </c>
      <c r="D941" t="s">
        <v>5222</v>
      </c>
    </row>
    <row r="942" spans="2:4">
      <c r="B942" t="s">
        <v>5260</v>
      </c>
      <c r="C942" t="s">
        <v>586</v>
      </c>
      <c r="D942" t="s">
        <v>5222</v>
      </c>
    </row>
    <row r="943" spans="2:4">
      <c r="B943" t="s">
        <v>5261</v>
      </c>
      <c r="C943" t="s">
        <v>586</v>
      </c>
      <c r="D943" t="s">
        <v>5222</v>
      </c>
    </row>
    <row r="944" spans="2:4">
      <c r="B944" s="603" t="s">
        <v>5264</v>
      </c>
      <c r="C944" t="s">
        <v>586</v>
      </c>
      <c r="D944" t="s">
        <v>5265</v>
      </c>
    </row>
    <row r="945" spans="1:4">
      <c r="A945" t="s">
        <v>5267</v>
      </c>
      <c r="B945" t="s">
        <v>5268</v>
      </c>
      <c r="C945" t="s">
        <v>586</v>
      </c>
      <c r="D945" t="s">
        <v>5279</v>
      </c>
    </row>
    <row r="946" spans="1:4">
      <c r="A946" t="s">
        <v>5269</v>
      </c>
      <c r="B946" t="s">
        <v>5271</v>
      </c>
      <c r="C946" t="s">
        <v>586</v>
      </c>
      <c r="D946" t="s">
        <v>5279</v>
      </c>
    </row>
    <row r="947" spans="1:4">
      <c r="B947" t="s">
        <v>5275</v>
      </c>
      <c r="C947" t="s">
        <v>586</v>
      </c>
      <c r="D947" t="s">
        <v>5279</v>
      </c>
    </row>
    <row r="948" spans="1:4">
      <c r="B948" t="s">
        <v>5278</v>
      </c>
      <c r="C948" t="s">
        <v>586</v>
      </c>
      <c r="D948" t="s">
        <v>5279</v>
      </c>
    </row>
    <row r="949" spans="1:4">
      <c r="B949" t="s">
        <v>5276</v>
      </c>
      <c r="C949" t="s">
        <v>586</v>
      </c>
      <c r="D949" t="s">
        <v>5279</v>
      </c>
    </row>
    <row r="950" spans="1:4">
      <c r="B950" t="s">
        <v>5277</v>
      </c>
      <c r="C950" t="s">
        <v>586</v>
      </c>
      <c r="D950" t="s">
        <v>5279</v>
      </c>
    </row>
    <row r="951" spans="1:4">
      <c r="B951" t="s">
        <v>5281</v>
      </c>
      <c r="C951" t="s">
        <v>586</v>
      </c>
      <c r="D951" t="s">
        <v>5282</v>
      </c>
    </row>
    <row r="952" spans="1:4">
      <c r="B952" t="s">
        <v>5283</v>
      </c>
      <c r="C952" t="s">
        <v>586</v>
      </c>
      <c r="D952" t="s">
        <v>5282</v>
      </c>
    </row>
    <row r="953" spans="1:4">
      <c r="B953" t="s">
        <v>5288</v>
      </c>
      <c r="C953" t="s">
        <v>586</v>
      </c>
      <c r="D953" t="s">
        <v>5282</v>
      </c>
    </row>
    <row r="954" spans="1:4">
      <c r="B954" t="s">
        <v>5294</v>
      </c>
      <c r="C954" t="s">
        <v>586</v>
      </c>
      <c r="D954" t="s">
        <v>5282</v>
      </c>
    </row>
    <row r="955" spans="1:4">
      <c r="B955" t="s">
        <v>5295</v>
      </c>
      <c r="C955" t="s">
        <v>586</v>
      </c>
      <c r="D955" t="s">
        <v>5282</v>
      </c>
    </row>
    <row r="956" spans="1:4">
      <c r="B956" t="s">
        <v>5296</v>
      </c>
      <c r="C956" t="s">
        <v>586</v>
      </c>
      <c r="D956" t="s">
        <v>5282</v>
      </c>
    </row>
    <row r="957" spans="1:4">
      <c r="B957" t="s">
        <v>5331</v>
      </c>
      <c r="C957" t="s">
        <v>586</v>
      </c>
      <c r="D957" t="s">
        <v>5282</v>
      </c>
    </row>
    <row r="958" spans="1:4">
      <c r="B958" t="s">
        <v>5300</v>
      </c>
      <c r="C958" t="s">
        <v>5301</v>
      </c>
      <c r="D958" t="s">
        <v>5282</v>
      </c>
    </row>
    <row r="959" spans="1:4">
      <c r="B959" t="s">
        <v>5310</v>
      </c>
      <c r="C959" t="s">
        <v>5301</v>
      </c>
      <c r="D959" t="s">
        <v>5282</v>
      </c>
    </row>
    <row r="960" spans="1:4">
      <c r="A960" t="s">
        <v>5311</v>
      </c>
      <c r="B960" t="s">
        <v>5312</v>
      </c>
      <c r="C960" t="s">
        <v>963</v>
      </c>
      <c r="D960" t="s">
        <v>5314</v>
      </c>
    </row>
    <row r="961" spans="1:4">
      <c r="B961" t="s">
        <v>5313</v>
      </c>
    </row>
    <row r="962" spans="1:4">
      <c r="A962" t="s">
        <v>5316</v>
      </c>
      <c r="B962" t="s">
        <v>5315</v>
      </c>
    </row>
    <row r="963" spans="1:4">
      <c r="A963" t="s">
        <v>5317</v>
      </c>
      <c r="B963" t="s">
        <v>5318</v>
      </c>
      <c r="C963" t="s">
        <v>963</v>
      </c>
      <c r="D963" t="s">
        <v>5319</v>
      </c>
    </row>
    <row r="964" spans="1:4">
      <c r="A964" t="s">
        <v>5320</v>
      </c>
      <c r="B964" t="s">
        <v>5321</v>
      </c>
      <c r="C964" t="s">
        <v>586</v>
      </c>
      <c r="D964" t="s">
        <v>5322</v>
      </c>
    </row>
    <row r="965" spans="1:4">
      <c r="A965" t="s">
        <v>5320</v>
      </c>
      <c r="B965" t="s">
        <v>5324</v>
      </c>
      <c r="C965" t="s">
        <v>586</v>
      </c>
      <c r="D965" t="s">
        <v>5322</v>
      </c>
    </row>
    <row r="966" spans="1:4">
      <c r="A966" t="s">
        <v>5320</v>
      </c>
      <c r="B966" t="s">
        <v>5325</v>
      </c>
      <c r="C966" t="s">
        <v>586</v>
      </c>
      <c r="D966" t="s">
        <v>5322</v>
      </c>
    </row>
    <row r="967" spans="1:4">
      <c r="A967" t="s">
        <v>5320</v>
      </c>
      <c r="B967" t="s">
        <v>5326</v>
      </c>
      <c r="C967" t="s">
        <v>586</v>
      </c>
      <c r="D967" t="s">
        <v>5322</v>
      </c>
    </row>
    <row r="968" spans="1:4">
      <c r="A968" t="s">
        <v>5320</v>
      </c>
      <c r="B968" t="s">
        <v>5327</v>
      </c>
      <c r="C968" t="s">
        <v>586</v>
      </c>
      <c r="D968" t="s">
        <v>5322</v>
      </c>
    </row>
    <row r="969" spans="1:4">
      <c r="A969" t="s">
        <v>5320</v>
      </c>
      <c r="B969" t="s">
        <v>5328</v>
      </c>
      <c r="C969" t="s">
        <v>586</v>
      </c>
      <c r="D969" t="s">
        <v>5322</v>
      </c>
    </row>
    <row r="970" spans="1:4" ht="29">
      <c r="A970" t="s">
        <v>5320</v>
      </c>
      <c r="B970" s="603" t="s">
        <v>5329</v>
      </c>
      <c r="C970" t="s">
        <v>586</v>
      </c>
      <c r="D970" t="s">
        <v>5322</v>
      </c>
    </row>
    <row r="971" spans="1:4">
      <c r="A971" t="s">
        <v>5332</v>
      </c>
      <c r="B971" t="s">
        <v>5333</v>
      </c>
      <c r="C971" t="s">
        <v>963</v>
      </c>
      <c r="D971" t="s">
        <v>5334</v>
      </c>
    </row>
    <row r="973" spans="1:4">
      <c r="A973" t="s">
        <v>5332</v>
      </c>
      <c r="B973" t="s">
        <v>5335</v>
      </c>
      <c r="C973" t="s">
        <v>963</v>
      </c>
      <c r="D973" t="s">
        <v>5336</v>
      </c>
    </row>
    <row r="975" spans="1:4">
      <c r="A975" t="s">
        <v>5443</v>
      </c>
      <c r="B975" t="s">
        <v>5446</v>
      </c>
      <c r="C975" t="s">
        <v>586</v>
      </c>
      <c r="D975" t="s">
        <v>5445</v>
      </c>
    </row>
    <row r="976" spans="1:4">
      <c r="A976" t="s">
        <v>5443</v>
      </c>
      <c r="B976" t="s">
        <v>5444</v>
      </c>
      <c r="C976" t="s">
        <v>586</v>
      </c>
      <c r="D976" t="s">
        <v>5445</v>
      </c>
    </row>
    <row r="977" spans="1:4">
      <c r="A977" t="s">
        <v>5447</v>
      </c>
      <c r="B977" t="s">
        <v>5448</v>
      </c>
      <c r="C977" t="s">
        <v>586</v>
      </c>
      <c r="D977" t="s">
        <v>5449</v>
      </c>
    </row>
    <row r="978" spans="1:4">
      <c r="A978" t="s">
        <v>5453</v>
      </c>
      <c r="B978" t="s">
        <v>5452</v>
      </c>
      <c r="C978" t="s">
        <v>586</v>
      </c>
      <c r="D978" t="s">
        <v>5454</v>
      </c>
    </row>
    <row r="979" spans="1:4">
      <c r="A979" t="s">
        <v>5455</v>
      </c>
      <c r="B979" t="s">
        <v>5456</v>
      </c>
      <c r="C979" t="s">
        <v>586</v>
      </c>
      <c r="D979" t="s">
        <v>5457</v>
      </c>
    </row>
    <row r="980" spans="1:4">
      <c r="A980" t="s">
        <v>5455</v>
      </c>
      <c r="B980" t="s">
        <v>5464</v>
      </c>
      <c r="C980" t="s">
        <v>586</v>
      </c>
      <c r="D980" t="s">
        <v>5457</v>
      </c>
    </row>
    <row r="981" spans="1:4">
      <c r="A981" t="s">
        <v>5455</v>
      </c>
      <c r="B981" t="s">
        <v>5458</v>
      </c>
      <c r="C981" t="s">
        <v>586</v>
      </c>
      <c r="D981" t="s">
        <v>5457</v>
      </c>
    </row>
    <row r="982" spans="1:4">
      <c r="A982" t="s">
        <v>5455</v>
      </c>
      <c r="B982" t="s">
        <v>5459</v>
      </c>
      <c r="C982" t="s">
        <v>586</v>
      </c>
      <c r="D982" t="s">
        <v>5457</v>
      </c>
    </row>
    <row r="983" spans="1:4">
      <c r="A983" t="s">
        <v>5455</v>
      </c>
      <c r="B983" t="s">
        <v>5460</v>
      </c>
      <c r="C983" t="s">
        <v>586</v>
      </c>
      <c r="D983" t="s">
        <v>5457</v>
      </c>
    </row>
    <row r="984" spans="1:4">
      <c r="A984" t="s">
        <v>5455</v>
      </c>
      <c r="B984" t="s">
        <v>5461</v>
      </c>
      <c r="C984" t="s">
        <v>586</v>
      </c>
      <c r="D984" t="s">
        <v>5462</v>
      </c>
    </row>
    <row r="985" spans="1:4">
      <c r="A985" t="s">
        <v>5455</v>
      </c>
      <c r="B985" t="s">
        <v>5463</v>
      </c>
      <c r="C985" t="s">
        <v>586</v>
      </c>
      <c r="D985" t="s">
        <v>5462</v>
      </c>
    </row>
    <row r="986" spans="1:4">
      <c r="B986" t="s">
        <v>5465</v>
      </c>
    </row>
    <row r="987" spans="1:4">
      <c r="B987" t="s">
        <v>5466</v>
      </c>
    </row>
    <row r="989" spans="1:4">
      <c r="A989" t="s">
        <v>5479</v>
      </c>
      <c r="B989" t="s">
        <v>5480</v>
      </c>
      <c r="C989" t="s">
        <v>5486</v>
      </c>
      <c r="D989" t="s">
        <v>5487</v>
      </c>
    </row>
    <row r="990" spans="1:4">
      <c r="B990" t="s">
        <v>5481</v>
      </c>
      <c r="C990" t="s">
        <v>5486</v>
      </c>
      <c r="D990" t="s">
        <v>5487</v>
      </c>
    </row>
    <row r="992" spans="1:4">
      <c r="A992" t="s">
        <v>5485</v>
      </c>
      <c r="B992" t="s">
        <v>5489</v>
      </c>
      <c r="C992" t="s">
        <v>963</v>
      </c>
      <c r="D992" t="s">
        <v>5488</v>
      </c>
    </row>
    <row r="993" spans="1:4">
      <c r="B993" t="s">
        <v>5490</v>
      </c>
    </row>
    <row r="994" spans="1:4">
      <c r="B994" t="s">
        <v>5491</v>
      </c>
    </row>
    <row r="995" spans="1:4">
      <c r="B995" t="s">
        <v>5492</v>
      </c>
    </row>
    <row r="996" spans="1:4">
      <c r="B996" t="s">
        <v>5493</v>
      </c>
    </row>
    <row r="997" spans="1:4">
      <c r="B997" t="s">
        <v>5494</v>
      </c>
    </row>
    <row r="999" spans="1:4">
      <c r="A999" t="s">
        <v>5513</v>
      </c>
      <c r="B999" t="s">
        <v>5543</v>
      </c>
    </row>
    <row r="1000" spans="1:4">
      <c r="B1000" t="s">
        <v>5514</v>
      </c>
    </row>
    <row r="1001" spans="1:4">
      <c r="B1001" t="s">
        <v>5515</v>
      </c>
    </row>
    <row r="1002" spans="1:4">
      <c r="B1002" t="s">
        <v>5541</v>
      </c>
    </row>
    <row r="1003" spans="1:4">
      <c r="B1003" t="s">
        <v>5542</v>
      </c>
      <c r="C1003" t="s">
        <v>5486</v>
      </c>
      <c r="D1003" t="s">
        <v>5544</v>
      </c>
    </row>
    <row r="1005" spans="1:4" ht="15.5">
      <c r="A1005" t="s">
        <v>5545</v>
      </c>
      <c r="B1005" s="1953" t="s">
        <v>5546</v>
      </c>
    </row>
    <row r="1006" spans="1:4" ht="15.5">
      <c r="B1006" s="1039" t="s">
        <v>5547</v>
      </c>
    </row>
    <row r="1007" spans="1:4" ht="15.5">
      <c r="B1007" s="1039" t="s">
        <v>5548</v>
      </c>
    </row>
    <row r="1008" spans="1:4" ht="15.5">
      <c r="B1008" s="1039" t="s">
        <v>5549</v>
      </c>
    </row>
    <row r="1009" spans="1:4" ht="15.5">
      <c r="B1009" s="1039" t="s">
        <v>5550</v>
      </c>
    </row>
    <row r="1010" spans="1:4" ht="15.5">
      <c r="B1010" s="1039" t="s">
        <v>5551</v>
      </c>
    </row>
    <row r="1011" spans="1:4" ht="15.5">
      <c r="B1011" s="1039" t="s">
        <v>5552</v>
      </c>
    </row>
    <row r="1012" spans="1:4" ht="15.5">
      <c r="B1012" s="1039" t="s">
        <v>5553</v>
      </c>
    </row>
    <row r="1013" spans="1:4" ht="15.5">
      <c r="B1013" s="1039" t="s">
        <v>5554</v>
      </c>
    </row>
    <row r="1014" spans="1:4" ht="15.5">
      <c r="B1014" s="1039" t="s">
        <v>5555</v>
      </c>
    </row>
    <row r="1015" spans="1:4" ht="15.5">
      <c r="B1015" s="1039" t="s">
        <v>5556</v>
      </c>
    </row>
    <row r="1016" spans="1:4" ht="15.5">
      <c r="B1016" s="1039" t="s">
        <v>5557</v>
      </c>
    </row>
    <row r="1018" spans="1:4" ht="15.5">
      <c r="A1018" t="s">
        <v>5558</v>
      </c>
      <c r="B1018" s="1039" t="s">
        <v>5559</v>
      </c>
    </row>
    <row r="1019" spans="1:4" ht="15.5">
      <c r="B1019" s="1039" t="s">
        <v>5560</v>
      </c>
      <c r="C1019" t="s">
        <v>5486</v>
      </c>
      <c r="D1019" t="s">
        <v>5561</v>
      </c>
    </row>
    <row r="1021" spans="1:4" ht="15.5">
      <c r="A1021" t="s">
        <v>5579</v>
      </c>
      <c r="B1021" s="1039" t="s">
        <v>5580</v>
      </c>
    </row>
    <row r="1022" spans="1:4" ht="15.5">
      <c r="B1022" s="1039" t="s">
        <v>5581</v>
      </c>
    </row>
    <row r="1023" spans="1:4" ht="15.5">
      <c r="B1023" s="1039" t="s">
        <v>5582</v>
      </c>
    </row>
    <row r="1024" spans="1:4" ht="15.5">
      <c r="B1024" s="1039" t="s">
        <v>5583</v>
      </c>
      <c r="C1024" t="s">
        <v>5486</v>
      </c>
      <c r="D1024" t="s">
        <v>5584</v>
      </c>
    </row>
    <row r="1026" spans="1:4" ht="15.5">
      <c r="A1026" t="s">
        <v>5633</v>
      </c>
      <c r="B1026" s="1039" t="s">
        <v>5634</v>
      </c>
      <c r="C1026" t="s">
        <v>963</v>
      </c>
      <c r="D1026" t="s">
        <v>5635</v>
      </c>
    </row>
    <row r="1027" spans="1:4" ht="15.5">
      <c r="B1027" s="1039" t="s">
        <v>5636</v>
      </c>
    </row>
    <row r="1028" spans="1:4" ht="15.5">
      <c r="B1028" s="1039" t="s">
        <v>5637</v>
      </c>
    </row>
    <row r="1029" spans="1:4" ht="15.5">
      <c r="B1029" s="1039" t="s">
        <v>5648</v>
      </c>
    </row>
    <row r="1030" spans="1:4" ht="15.5">
      <c r="B1030" s="1039" t="s">
        <v>5649</v>
      </c>
    </row>
    <row r="1032" spans="1:4" ht="15.5">
      <c r="A1032" t="s">
        <v>5562</v>
      </c>
      <c r="B1032" s="1039" t="s">
        <v>5650</v>
      </c>
      <c r="C1032" t="s">
        <v>5486</v>
      </c>
      <c r="D1032" t="s">
        <v>5336</v>
      </c>
    </row>
    <row r="1034" spans="1:4" ht="15.5">
      <c r="A1034" t="s">
        <v>5674</v>
      </c>
      <c r="B1034" s="1039" t="s">
        <v>5675</v>
      </c>
      <c r="C1034" t="s">
        <v>963</v>
      </c>
      <c r="D1034" t="s">
        <v>5336</v>
      </c>
    </row>
    <row r="1037" spans="1:4">
      <c r="A1037" t="s">
        <v>5683</v>
      </c>
      <c r="B1037" t="s">
        <v>5684</v>
      </c>
      <c r="C1037" t="s">
        <v>963</v>
      </c>
      <c r="D1037" t="s">
        <v>5685</v>
      </c>
    </row>
    <row r="1038" spans="1:4">
      <c r="B1038" t="s">
        <v>5686</v>
      </c>
    </row>
    <row r="1040" spans="1:4">
      <c r="A1040" t="s">
        <v>5694</v>
      </c>
      <c r="B1040" t="s">
        <v>5693</v>
      </c>
      <c r="C1040" t="s">
        <v>5486</v>
      </c>
      <c r="D1040" t="s">
        <v>5695</v>
      </c>
    </row>
    <row r="1043" spans="1:4">
      <c r="A1043" t="s">
        <v>5696</v>
      </c>
      <c r="B1043" t="s">
        <v>5697</v>
      </c>
      <c r="C1043" t="s">
        <v>963</v>
      </c>
      <c r="D1043" t="s">
        <v>5698</v>
      </c>
    </row>
    <row r="1045" spans="1:4">
      <c r="A1045" t="s">
        <v>5701</v>
      </c>
      <c r="B1045" t="s">
        <v>5703</v>
      </c>
      <c r="C1045" t="s">
        <v>963</v>
      </c>
      <c r="D1045" t="s">
        <v>5704</v>
      </c>
    </row>
    <row r="1046" spans="1:4">
      <c r="B1046" t="s">
        <v>5705</v>
      </c>
    </row>
    <row r="1047" spans="1:4">
      <c r="B1047" t="s">
        <v>5707</v>
      </c>
    </row>
    <row r="1048" spans="1:4">
      <c r="B1048" t="s">
        <v>5708</v>
      </c>
    </row>
    <row r="1050" spans="1:4">
      <c r="A1050" t="s">
        <v>5716</v>
      </c>
      <c r="B1050" t="s">
        <v>5717</v>
      </c>
      <c r="C1050" t="s">
        <v>963</v>
      </c>
      <c r="D1050" t="s">
        <v>5719</v>
      </c>
    </row>
    <row r="1051" spans="1:4">
      <c r="B1051" t="s">
        <v>5718</v>
      </c>
    </row>
    <row r="1053" spans="1:4">
      <c r="A1053" t="s">
        <v>5723</v>
      </c>
      <c r="B1053" t="s">
        <v>5335</v>
      </c>
      <c r="C1053" t="s">
        <v>5486</v>
      </c>
      <c r="D1053" t="s">
        <v>5724</v>
      </c>
    </row>
  </sheetData>
  <phoneticPr fontId="139" type="noConversion"/>
  <pageMargins left="0.7" right="0.7" top="0.75" bottom="0.75" header="0.3" footer="0.3"/>
  <pageSetup orientation="portrait" horizontalDpi="1200" verticalDpi="1200"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D152AE-EA65-4BB6-A9EA-51E019418CB3}">
  <sheetPr codeName="Sheet57">
    <tabColor rgb="FF92D050"/>
  </sheetPr>
  <dimension ref="A1:P43"/>
  <sheetViews>
    <sheetView showGridLines="0" topLeftCell="A3" zoomScale="80" zoomScaleNormal="80" workbookViewId="0">
      <selection activeCell="O61" sqref="O61"/>
    </sheetView>
  </sheetViews>
  <sheetFormatPr defaultColWidth="0" defaultRowHeight="14.5"/>
  <cols>
    <col min="1" max="6" width="15.54296875" customWidth="1"/>
    <col min="7" max="7" width="31.54296875" customWidth="1"/>
    <col min="8" max="8" width="15.54296875" customWidth="1"/>
    <col min="9" max="9" width="35" customWidth="1"/>
    <col min="10" max="15" width="15.54296875" customWidth="1"/>
    <col min="16" max="16" width="7.1796875" customWidth="1"/>
    <col min="17" max="16384" width="8.7265625" hidden="1"/>
  </cols>
  <sheetData>
    <row r="1" spans="1:16" ht="61.5" customHeight="1">
      <c r="A1" s="1933" t="s">
        <v>5005</v>
      </c>
      <c r="B1" s="1934"/>
      <c r="C1" s="1921"/>
      <c r="D1" s="1921"/>
      <c r="E1" s="1921"/>
      <c r="F1" s="1921"/>
      <c r="G1" s="1921"/>
      <c r="H1" s="1921"/>
      <c r="I1" s="1921"/>
      <c r="J1" s="10"/>
      <c r="K1" s="10"/>
      <c r="L1" s="10"/>
      <c r="M1" s="10"/>
      <c r="N1" s="10"/>
      <c r="O1" s="10"/>
    </row>
    <row r="2" spans="1:16" ht="56.5" customHeight="1" thickBot="1">
      <c r="A2" s="1935" t="s">
        <v>4793</v>
      </c>
      <c r="B2" s="1936"/>
      <c r="C2" s="1936"/>
      <c r="D2" s="1937"/>
      <c r="E2" s="1937"/>
      <c r="F2" s="1937"/>
      <c r="G2" s="1936"/>
      <c r="H2" s="1936"/>
      <c r="I2" s="1910"/>
      <c r="J2" s="1564"/>
      <c r="K2" s="1564"/>
      <c r="L2" s="1564"/>
      <c r="M2" s="1564"/>
      <c r="N2" s="1564"/>
      <c r="O2" s="1564"/>
      <c r="P2" s="1564"/>
    </row>
    <row r="3" spans="1:16" ht="15" thickTop="1">
      <c r="A3" s="1490"/>
      <c r="B3" s="1490"/>
      <c r="C3" s="1490"/>
      <c r="D3" s="1490"/>
      <c r="E3" s="1490"/>
      <c r="F3" s="1490"/>
      <c r="G3" s="1490"/>
      <c r="H3" s="1490"/>
      <c r="I3" s="1490"/>
      <c r="J3" s="1490"/>
      <c r="K3" s="1490"/>
      <c r="L3" s="1490"/>
      <c r="M3" s="1490"/>
      <c r="N3" s="1490"/>
      <c r="O3" s="1490"/>
      <c r="P3" s="1490"/>
    </row>
    <row r="4" spans="1:16">
      <c r="A4" s="2464" t="s">
        <v>2971</v>
      </c>
      <c r="B4" s="2464"/>
      <c r="C4" s="2464"/>
      <c r="D4" s="2464"/>
      <c r="E4" s="2464"/>
      <c r="F4" s="2464"/>
      <c r="G4" s="2464"/>
      <c r="H4" s="2464"/>
      <c r="I4" s="2464"/>
      <c r="J4" s="2464"/>
      <c r="K4" s="2464"/>
      <c r="L4" s="2464"/>
      <c r="M4" s="2464"/>
      <c r="N4" s="2464"/>
      <c r="O4" s="2464"/>
    </row>
    <row r="5" spans="1:16">
      <c r="A5" s="2465"/>
      <c r="B5" s="2465"/>
      <c r="C5" s="2465"/>
      <c r="D5" s="2465"/>
      <c r="E5" s="2465"/>
      <c r="F5" s="2465"/>
      <c r="G5" s="2465"/>
      <c r="H5" s="2465"/>
      <c r="I5" s="2465"/>
      <c r="J5" s="2465"/>
      <c r="K5" s="2465"/>
      <c r="L5" s="2465"/>
      <c r="M5" s="2465"/>
      <c r="N5" s="2465"/>
      <c r="O5" s="2465"/>
    </row>
    <row r="7" spans="1:16">
      <c r="B7" s="2466" t="s">
        <v>4794</v>
      </c>
      <c r="C7" s="2467"/>
      <c r="D7" s="2467"/>
      <c r="E7" s="2467"/>
      <c r="F7" s="2467"/>
      <c r="G7" s="2467"/>
      <c r="H7" s="2467"/>
      <c r="I7" s="2467"/>
      <c r="J7" s="2467"/>
      <c r="K7" s="2467"/>
      <c r="L7" s="2467"/>
    </row>
    <row r="8" spans="1:16">
      <c r="B8" s="2467"/>
      <c r="C8" s="2467"/>
      <c r="D8" s="2467"/>
      <c r="E8" s="2467"/>
      <c r="F8" s="2467"/>
      <c r="G8" s="2467"/>
      <c r="H8" s="2467"/>
      <c r="I8" s="2467"/>
      <c r="J8" s="2467"/>
      <c r="K8" s="2467"/>
      <c r="L8" s="2467"/>
    </row>
    <row r="9" spans="1:16">
      <c r="B9" s="2467"/>
      <c r="C9" s="2467"/>
      <c r="D9" s="2467"/>
      <c r="E9" s="2467"/>
      <c r="F9" s="2467"/>
      <c r="G9" s="2467"/>
      <c r="H9" s="2467"/>
      <c r="I9" s="2467"/>
      <c r="J9" s="2467"/>
      <c r="K9" s="2467"/>
      <c r="L9" s="2467"/>
    </row>
    <row r="10" spans="1:16">
      <c r="B10" s="1175" t="s">
        <v>4795</v>
      </c>
    </row>
    <row r="11" spans="1:16">
      <c r="B11" s="1175" t="s">
        <v>4796</v>
      </c>
    </row>
    <row r="12" spans="1:16">
      <c r="B12" s="1175" t="s">
        <v>4797</v>
      </c>
    </row>
    <row r="13" spans="1:16">
      <c r="B13" s="1175" t="s">
        <v>4798</v>
      </c>
    </row>
    <row r="14" spans="1:16">
      <c r="B14" s="1175" t="s">
        <v>4799</v>
      </c>
    </row>
    <row r="18" spans="2:15" ht="20">
      <c r="B18" s="1433" t="s">
        <v>4800</v>
      </c>
      <c r="C18" s="192"/>
      <c r="D18" s="1457"/>
      <c r="E18" s="1457"/>
      <c r="F18" s="1457"/>
      <c r="G18" s="192"/>
    </row>
    <row r="21" spans="2:15" ht="42">
      <c r="B21" s="2325" t="s">
        <v>4801</v>
      </c>
      <c r="C21" s="2325"/>
      <c r="D21" s="1899" t="s">
        <v>4802</v>
      </c>
      <c r="E21" s="1899" t="s">
        <v>4803</v>
      </c>
      <c r="F21" s="1899" t="s">
        <v>4804</v>
      </c>
      <c r="G21" s="1899" t="s">
        <v>4805</v>
      </c>
      <c r="H21" s="1899" t="s">
        <v>4806</v>
      </c>
      <c r="I21" s="1899" t="s">
        <v>4807</v>
      </c>
      <c r="J21" s="1899" t="s">
        <v>4808</v>
      </c>
      <c r="K21" s="1908" t="s">
        <v>4809</v>
      </c>
      <c r="L21" s="1899" t="s">
        <v>4810</v>
      </c>
      <c r="M21" s="1899" t="s">
        <v>4811</v>
      </c>
      <c r="N21" s="1899" t="s">
        <v>4812</v>
      </c>
      <c r="O21" s="1899" t="s">
        <v>4813</v>
      </c>
    </row>
    <row r="22" spans="2:15">
      <c r="B22" s="2463"/>
      <c r="C22" s="2463"/>
      <c r="D22" s="851"/>
      <c r="E22" s="851"/>
      <c r="F22" s="1491"/>
      <c r="G22" s="851"/>
      <c r="H22" s="1491"/>
      <c r="I22" s="851"/>
      <c r="J22" s="1492"/>
      <c r="K22" s="1492"/>
      <c r="L22" s="851"/>
      <c r="M22" s="1492"/>
      <c r="N22" s="1492"/>
      <c r="O22" s="851"/>
    </row>
    <row r="23" spans="2:15">
      <c r="B23" s="2463"/>
      <c r="C23" s="2463"/>
      <c r="D23" s="851"/>
      <c r="E23" s="851"/>
      <c r="F23" s="1491"/>
      <c r="G23" s="851"/>
      <c r="H23" s="1491"/>
      <c r="I23" s="851"/>
      <c r="J23" s="1492"/>
      <c r="K23" s="1492"/>
      <c r="L23" s="851"/>
      <c r="M23" s="1492"/>
      <c r="N23" s="1492"/>
      <c r="O23" s="851"/>
    </row>
    <row r="24" spans="2:15">
      <c r="B24" s="2463"/>
      <c r="C24" s="2463"/>
      <c r="D24" s="851"/>
      <c r="E24" s="851"/>
      <c r="F24" s="1491"/>
      <c r="G24" s="851"/>
      <c r="H24" s="1491"/>
      <c r="I24" s="851"/>
      <c r="J24" s="1492"/>
      <c r="K24" s="1492"/>
      <c r="L24" s="851"/>
      <c r="M24" s="1492"/>
      <c r="N24" s="1492"/>
      <c r="O24" s="851"/>
    </row>
    <row r="25" spans="2:15">
      <c r="B25" s="2463"/>
      <c r="C25" s="2463"/>
      <c r="D25" s="851"/>
      <c r="E25" s="851"/>
      <c r="F25" s="1491"/>
      <c r="G25" s="851"/>
      <c r="H25" s="1491"/>
      <c r="I25" s="851"/>
      <c r="J25" s="1492"/>
      <c r="K25" s="1492"/>
      <c r="L25" s="851"/>
      <c r="M25" s="1492"/>
      <c r="N25" s="1492"/>
      <c r="O25" s="851"/>
    </row>
    <row r="26" spans="2:15">
      <c r="B26" s="2463"/>
      <c r="C26" s="2463"/>
      <c r="D26" s="851"/>
      <c r="E26" s="851"/>
      <c r="F26" s="1491"/>
      <c r="G26" s="851"/>
      <c r="H26" s="1491"/>
      <c r="I26" s="851"/>
      <c r="J26" s="1492"/>
      <c r="K26" s="1492"/>
      <c r="L26" s="851"/>
      <c r="M26" s="1492"/>
      <c r="N26" s="1492"/>
      <c r="O26" s="851"/>
    </row>
    <row r="27" spans="2:15">
      <c r="B27" s="2463"/>
      <c r="C27" s="2463"/>
      <c r="D27" s="851"/>
      <c r="E27" s="851"/>
      <c r="F27" s="1491"/>
      <c r="G27" s="851"/>
      <c r="H27" s="1491"/>
      <c r="I27" s="851"/>
      <c r="J27" s="1492"/>
      <c r="K27" s="1492"/>
      <c r="L27" s="851"/>
      <c r="M27" s="1492"/>
      <c r="N27" s="1492"/>
      <c r="O27" s="851"/>
    </row>
    <row r="28" spans="2:15" ht="15" thickBot="1"/>
    <row r="29" spans="2:15" ht="26.5" thickBot="1">
      <c r="N29" s="1938" t="s">
        <v>4819</v>
      </c>
      <c r="O29" s="1494" t="str">
        <f>IF(O22="","",SUM('Elevator Mod Calculations'!AY5:AY10))</f>
        <v/>
      </c>
    </row>
    <row r="32" spans="2:15" ht="20">
      <c r="B32" s="1433" t="s">
        <v>4820</v>
      </c>
      <c r="C32" s="192"/>
      <c r="D32" s="1457"/>
      <c r="E32" s="1457"/>
      <c r="F32" s="1457"/>
      <c r="G32" s="192"/>
    </row>
    <row r="35" spans="2:15" ht="42">
      <c r="B35" s="2325" t="s">
        <v>4821</v>
      </c>
      <c r="C35" s="2325"/>
      <c r="D35" s="1899" t="s">
        <v>4802</v>
      </c>
      <c r="E35" s="1899" t="s">
        <v>4803</v>
      </c>
      <c r="F35" s="1899" t="s">
        <v>4804</v>
      </c>
      <c r="G35" s="1899" t="s">
        <v>4805</v>
      </c>
      <c r="H35" s="1899" t="s">
        <v>4806</v>
      </c>
      <c r="I35" s="1899" t="s">
        <v>4807</v>
      </c>
      <c r="J35" s="1899" t="s">
        <v>4808</v>
      </c>
      <c r="K35" s="1908" t="s">
        <v>4809</v>
      </c>
      <c r="L35" s="1899" t="s">
        <v>4810</v>
      </c>
      <c r="M35" s="1899" t="s">
        <v>4811</v>
      </c>
      <c r="N35" s="1899" t="s">
        <v>4812</v>
      </c>
      <c r="O35" s="1899" t="s">
        <v>4813</v>
      </c>
    </row>
    <row r="36" spans="2:15">
      <c r="B36" s="2463"/>
      <c r="C36" s="2463"/>
      <c r="D36" s="851"/>
      <c r="E36" s="851"/>
      <c r="F36" s="1491"/>
      <c r="G36" s="851"/>
      <c r="H36" s="1491"/>
      <c r="I36" s="851"/>
      <c r="J36" s="1492"/>
      <c r="K36" s="1492"/>
      <c r="L36" s="851"/>
      <c r="M36" s="1492"/>
      <c r="N36" s="1492"/>
      <c r="O36" s="851"/>
    </row>
    <row r="37" spans="2:15">
      <c r="B37" s="2463"/>
      <c r="C37" s="2463"/>
      <c r="D37" s="851"/>
      <c r="E37" s="851"/>
      <c r="F37" s="1491"/>
      <c r="G37" s="851"/>
      <c r="H37" s="1491"/>
      <c r="I37" s="851"/>
      <c r="J37" s="1492"/>
      <c r="K37" s="1492"/>
      <c r="L37" s="851"/>
      <c r="M37" s="1492"/>
      <c r="N37" s="1492"/>
      <c r="O37" s="851"/>
    </row>
    <row r="38" spans="2:15">
      <c r="B38" s="2463"/>
      <c r="C38" s="2463"/>
      <c r="D38" s="851"/>
      <c r="E38" s="851"/>
      <c r="F38" s="1491"/>
      <c r="G38" s="851"/>
      <c r="H38" s="1491"/>
      <c r="I38" s="851"/>
      <c r="J38" s="1492"/>
      <c r="K38" s="1492"/>
      <c r="L38" s="851"/>
      <c r="M38" s="1492"/>
      <c r="N38" s="1492"/>
      <c r="O38" s="851"/>
    </row>
    <row r="39" spans="2:15">
      <c r="B39" s="2463"/>
      <c r="C39" s="2463"/>
      <c r="D39" s="851"/>
      <c r="E39" s="851"/>
      <c r="F39" s="1491"/>
      <c r="G39" s="851"/>
      <c r="H39" s="1491"/>
      <c r="I39" s="851"/>
      <c r="J39" s="1492"/>
      <c r="K39" s="1492"/>
      <c r="L39" s="851"/>
      <c r="M39" s="1492"/>
      <c r="N39" s="1492"/>
      <c r="O39" s="851"/>
    </row>
    <row r="40" spans="2:15">
      <c r="B40" s="2463"/>
      <c r="C40" s="2463"/>
      <c r="D40" s="851"/>
      <c r="E40" s="851"/>
      <c r="F40" s="1491"/>
      <c r="G40" s="851"/>
      <c r="H40" s="1491"/>
      <c r="I40" s="851"/>
      <c r="J40" s="1492"/>
      <c r="K40" s="1492"/>
      <c r="L40" s="851"/>
      <c r="M40" s="1492"/>
      <c r="N40" s="1492"/>
      <c r="O40" s="851"/>
    </row>
    <row r="41" spans="2:15">
      <c r="B41" s="2463"/>
      <c r="C41" s="2463"/>
      <c r="D41" s="851"/>
      <c r="E41" s="851"/>
      <c r="F41" s="1491"/>
      <c r="G41" s="851"/>
      <c r="H41" s="1491"/>
      <c r="I41" s="851"/>
      <c r="J41" s="1492"/>
      <c r="K41" s="1492"/>
      <c r="L41" s="851"/>
      <c r="M41" s="1492"/>
      <c r="N41" s="1492"/>
      <c r="O41" s="851"/>
    </row>
    <row r="42" spans="2:15" ht="15" thickBot="1"/>
    <row r="43" spans="2:15" ht="26.5" thickBot="1">
      <c r="N43" s="1938" t="s">
        <v>4819</v>
      </c>
      <c r="O43" s="1494" t="str">
        <f>IF(O36="","",SUM('Elevator Mod Calculations'!AY17:AY22))</f>
        <v/>
      </c>
    </row>
  </sheetData>
  <mergeCells count="16">
    <mergeCell ref="B24:C24"/>
    <mergeCell ref="A4:O5"/>
    <mergeCell ref="B7:L9"/>
    <mergeCell ref="B21:C21"/>
    <mergeCell ref="B22:C22"/>
    <mergeCell ref="B23:C23"/>
    <mergeCell ref="B38:C38"/>
    <mergeCell ref="B39:C39"/>
    <mergeCell ref="B40:C40"/>
    <mergeCell ref="B41:C41"/>
    <mergeCell ref="B25:C25"/>
    <mergeCell ref="B26:C26"/>
    <mergeCell ref="B27:C27"/>
    <mergeCell ref="B35:C35"/>
    <mergeCell ref="B36:C36"/>
    <mergeCell ref="B37:C37"/>
  </mergeCells>
  <dataValidations count="8">
    <dataValidation type="decimal" allowBlank="1" showInputMessage="1" showErrorMessage="1" sqref="B22:C27 B36:C41 F22:F27 F36:F41 H22:H27 H36:H41 J22:K27 M22:N27 J36:K41 M36:N41" xr:uid="{8E5720BF-86A2-4B46-8336-908E3F291863}">
      <formula1>0</formula1>
      <formula2>10000</formula2>
    </dataValidation>
    <dataValidation type="list" allowBlank="1" showInputMessage="1" showErrorMessage="1" sqref="O22:O27 O36:O41" xr:uid="{F1A5E8F2-1D0E-4F83-944C-57152CE14A94}">
      <formula1>Regen_Breaking</formula1>
    </dataValidation>
    <dataValidation type="list" allowBlank="1" showInputMessage="1" showErrorMessage="1" sqref="L22:L27 L36:L41" xr:uid="{D9CD369A-F6F0-45E9-822A-8CE8D6848C89}">
      <formula1>Idling_Factor</formula1>
    </dataValidation>
    <dataValidation type="list" allowBlank="1" showInputMessage="1" showErrorMessage="1" sqref="I22:I27 I36:I41" xr:uid="{50EBC161-2638-4BD9-9647-BEDF0C042BCF}">
      <formula1>Installed_Drive_Eff</formula1>
    </dataValidation>
    <dataValidation type="list" allowBlank="1" showInputMessage="1" showErrorMessage="1" sqref="G36:G41" xr:uid="{297D3AEF-EE4F-4ADD-9C38-26E5A2CB56EC}">
      <formula1>Baseline_Drive_Eff</formula1>
    </dataValidation>
    <dataValidation type="list" allowBlank="1" showInputMessage="1" showErrorMessage="1" sqref="E22:E27 E36:E41" xr:uid="{BBCFF75F-219A-4B4B-85F7-236D46D3AC8C}">
      <formula1>Elevator_Gear_System</formula1>
    </dataValidation>
    <dataValidation type="list" allowBlank="1" showInputMessage="1" showErrorMessage="1" errorTitle="HP" error="HP must be less than or equl to 200 HP" sqref="D22:D27 D36:D41" xr:uid="{3FE1A560-C9EC-43C8-A351-EECB2F9A3360}">
      <formula1>Elevator_Gear_System</formula1>
    </dataValidation>
    <dataValidation type="list" allowBlank="1" showInputMessage="1" showErrorMessage="1" sqref="G22 G23 G24 G25 G26 G27" xr:uid="{7186A8C1-C5B1-464D-91AF-E7B703652649}">
      <formula1>Baseline_Motor_Drive</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908CC-3E00-4D6C-88E2-71F3504D715E}">
  <sheetPr codeName="Sheet44">
    <tabColor rgb="FF00B0F0"/>
    <pageSetUpPr fitToPage="1"/>
  </sheetPr>
  <dimension ref="B1:W43"/>
  <sheetViews>
    <sheetView showGridLines="0" showZeros="0" zoomScale="80" zoomScaleNormal="80" workbookViewId="0">
      <selection activeCell="E16" sqref="E16"/>
    </sheetView>
  </sheetViews>
  <sheetFormatPr defaultColWidth="0" defaultRowHeight="14.5" customHeight="1" zeroHeight="1"/>
  <cols>
    <col min="1" max="1" width="3.54296875" style="42" customWidth="1"/>
    <col min="2" max="2" width="25.26953125" style="42" customWidth="1"/>
    <col min="3" max="3" width="42.453125" style="42" customWidth="1"/>
    <col min="4" max="4" width="20.54296875" style="42" customWidth="1"/>
    <col min="5" max="7" width="35.54296875" style="42" customWidth="1"/>
    <col min="8" max="8" width="12.54296875" style="42" customWidth="1"/>
    <col min="9" max="9" width="24.453125" style="42" customWidth="1"/>
    <col min="10" max="10" width="3.54296875" style="42" customWidth="1"/>
    <col min="11" max="11" width="18.54296875" style="42" customWidth="1"/>
    <col min="12" max="12" width="18.81640625" style="42" customWidth="1"/>
    <col min="13" max="15" width="8.81640625" style="42" customWidth="1"/>
    <col min="16" max="16384" width="0" style="42" hidden="1"/>
  </cols>
  <sheetData>
    <row r="1" spans="2:23" ht="30">
      <c r="B1" s="2470" t="str">
        <f>'Customer Information'!A1</f>
        <v>2024 Multi-Family Program</v>
      </c>
      <c r="C1" s="2470"/>
      <c r="D1" s="2470"/>
      <c r="E1" s="2470"/>
      <c r="F1" s="2470"/>
      <c r="G1" s="2470"/>
      <c r="H1" s="2470"/>
      <c r="I1" s="2470"/>
      <c r="J1" s="350"/>
      <c r="K1" s="350"/>
    </row>
    <row r="2" spans="2:23"/>
    <row r="3" spans="2:23" ht="23">
      <c r="B3" s="11" t="str">
        <f>"Common Area Elevator Inspection Form, Version "&amp;Development!A2</f>
        <v>Common Area Elevator Inspection Form, Version 2.0</v>
      </c>
      <c r="C3" s="11"/>
      <c r="D3" s="11"/>
      <c r="E3" s="11"/>
      <c r="F3" s="11"/>
      <c r="G3" s="11"/>
      <c r="H3" s="11"/>
      <c r="I3" s="11"/>
      <c r="J3" s="11"/>
      <c r="K3" s="11"/>
      <c r="L3" s="11"/>
      <c r="M3" s="11"/>
    </row>
    <row r="4" spans="2:23"/>
    <row r="5" spans="2:23" ht="18" customHeight="1">
      <c r="B5" s="1716" t="s">
        <v>5413</v>
      </c>
      <c r="C5" s="1718" t="str">
        <f>References!$C$45</f>
        <v>PSEGLI_2023_MultiFamilyRebateApplication_Version 2.0_Draft11_ForTestSB.xlsm</v>
      </c>
      <c r="D5" s="1718"/>
    </row>
    <row r="6" spans="2:23" ht="18" customHeight="1">
      <c r="B6" s="1716" t="s">
        <v>5382</v>
      </c>
      <c r="C6" s="1718" t="str">
        <f>IF('Customer Information'!L43="","",'Customer Information'!L43)</f>
        <v/>
      </c>
      <c r="D6" s="1718"/>
      <c r="E6" s="1594"/>
      <c r="F6" s="1594"/>
      <c r="G6" s="2453" t="s">
        <v>5384</v>
      </c>
      <c r="H6" s="2454"/>
      <c r="I6" s="2454"/>
      <c r="J6" s="2454"/>
      <c r="K6" s="2454"/>
      <c r="L6" s="2454"/>
      <c r="M6" s="2455"/>
      <c r="N6" s="1719"/>
      <c r="O6" s="1719"/>
    </row>
    <row r="7" spans="2:23" ht="18" customHeight="1">
      <c r="B7" s="1716"/>
      <c r="C7" s="1716"/>
      <c r="D7" s="1594"/>
      <c r="E7" s="1594"/>
      <c r="F7" s="1594"/>
      <c r="G7" s="1720"/>
      <c r="H7" s="1594"/>
      <c r="I7" s="1594"/>
      <c r="J7" s="1594"/>
      <c r="K7" s="1594"/>
      <c r="L7" s="1594"/>
      <c r="M7" s="1725"/>
      <c r="N7" s="157"/>
      <c r="O7" s="157"/>
    </row>
    <row r="8" spans="2:23" ht="18" customHeight="1">
      <c r="B8" s="1716" t="s">
        <v>5383</v>
      </c>
      <c r="C8" s="1718" t="str">
        <f>IF('Customer Information'!C6="","",'Customer Information'!C6)</f>
        <v/>
      </c>
      <c r="D8" s="1718"/>
      <c r="E8" s="1594"/>
      <c r="F8" s="1594"/>
      <c r="G8" s="1780" t="s">
        <v>5386</v>
      </c>
      <c r="H8" s="1724"/>
      <c r="I8" s="1594"/>
      <c r="J8" s="1716" t="s">
        <v>5387</v>
      </c>
      <c r="K8" s="2452"/>
      <c r="L8" s="2452"/>
      <c r="M8" s="2471"/>
    </row>
    <row r="9" spans="2:23" ht="18" customHeight="1">
      <c r="B9" s="1716" t="s">
        <v>5385</v>
      </c>
      <c r="C9" s="1718" t="str">
        <f>IF('Customer Information'!C7="","",'Customer Information'!C7)</f>
        <v/>
      </c>
      <c r="D9" s="1718"/>
      <c r="E9" s="1594"/>
      <c r="F9" s="1594"/>
      <c r="G9" s="1723"/>
      <c r="H9" s="1594"/>
      <c r="I9" s="1594"/>
      <c r="J9" s="1594"/>
      <c r="K9" s="1721"/>
      <c r="L9" s="1721"/>
      <c r="M9" s="1781"/>
    </row>
    <row r="10" spans="2:23" ht="18" customHeight="1">
      <c r="B10" s="1716" t="s">
        <v>5414</v>
      </c>
      <c r="C10" s="1718" t="str">
        <f>IF('Customer Information'!I7="","",'Customer Information'!I7)</f>
        <v/>
      </c>
      <c r="D10" s="1718"/>
      <c r="E10" s="1594"/>
      <c r="F10" s="1594"/>
      <c r="G10" s="1780" t="s">
        <v>5390</v>
      </c>
      <c r="H10" s="1724"/>
      <c r="I10" s="1594"/>
      <c r="J10" s="1716" t="s">
        <v>9</v>
      </c>
      <c r="K10" s="2452"/>
      <c r="L10" s="2452"/>
      <c r="M10" s="2471"/>
    </row>
    <row r="11" spans="2:23" ht="18" customHeight="1">
      <c r="B11" s="1716" t="s">
        <v>5388</v>
      </c>
      <c r="C11" s="1718" t="str">
        <f>IF('Customer Information'!C10="","",'Customer Information'!C10)</f>
        <v/>
      </c>
      <c r="D11" s="1718"/>
      <c r="E11" s="1594"/>
      <c r="F11" s="1594"/>
      <c r="G11" s="1723"/>
      <c r="H11" s="1594"/>
      <c r="I11" s="1594"/>
      <c r="J11" s="1594"/>
      <c r="K11" s="1594"/>
      <c r="L11" s="1594"/>
      <c r="M11" s="1725"/>
    </row>
    <row r="12" spans="2:23" ht="18" customHeight="1">
      <c r="B12" s="1716" t="s">
        <v>5389</v>
      </c>
      <c r="C12" s="1726" t="str">
        <f>IF('Customer Information'!K9="","",'Customer Information'!K9)</f>
        <v/>
      </c>
      <c r="D12" s="1718"/>
      <c r="E12" s="1594"/>
      <c r="F12" s="1594"/>
      <c r="G12" s="1780" t="s">
        <v>10</v>
      </c>
      <c r="H12" s="1724"/>
      <c r="I12" s="1594"/>
      <c r="J12" s="1716" t="s">
        <v>140</v>
      </c>
      <c r="K12" s="2452"/>
      <c r="L12" s="2452"/>
      <c r="M12" s="2471"/>
    </row>
    <row r="13" spans="2:23" ht="18" customHeight="1">
      <c r="B13" s="1716" t="s">
        <v>5391</v>
      </c>
      <c r="C13" s="1726" t="str">
        <f>IF('Customer Information'!K10="","",'Customer Information'!K10)</f>
        <v/>
      </c>
      <c r="D13" s="1718"/>
      <c r="E13" s="1594"/>
      <c r="F13" s="1594"/>
      <c r="G13" s="50"/>
      <c r="M13" s="208"/>
      <c r="N13" s="157"/>
      <c r="O13" s="157"/>
    </row>
    <row r="14" spans="2:23" ht="18" customHeight="1">
      <c r="B14" s="1716" t="s">
        <v>3283</v>
      </c>
      <c r="C14" s="1718" t="str">
        <f>IF('Customer Information'!K13="","",'Customer Information'!K13)</f>
        <v/>
      </c>
      <c r="D14" s="1718"/>
      <c r="E14" s="1594"/>
      <c r="F14" s="1594"/>
      <c r="G14" s="50"/>
      <c r="M14" s="208"/>
      <c r="N14" s="1594"/>
    </row>
    <row r="15" spans="2:23" ht="18" customHeight="1">
      <c r="B15" s="1716" t="s">
        <v>5392</v>
      </c>
      <c r="C15" s="2448"/>
      <c r="D15" s="2448"/>
      <c r="E15" s="1594"/>
      <c r="F15" s="1594"/>
      <c r="G15" s="1782"/>
      <c r="H15" s="59"/>
      <c r="I15" s="59"/>
      <c r="J15" s="59"/>
      <c r="K15" s="59"/>
      <c r="L15" s="59"/>
      <c r="M15" s="210"/>
      <c r="N15" s="1594"/>
    </row>
    <row r="16" spans="2:23" ht="20">
      <c r="B16" s="1783"/>
      <c r="C16" s="1733"/>
      <c r="D16" s="1733"/>
      <c r="E16" s="1733"/>
      <c r="F16" s="1733"/>
      <c r="G16" s="1733"/>
      <c r="H16" s="1733"/>
      <c r="I16" s="1733"/>
      <c r="J16" s="1733"/>
      <c r="K16" s="1733"/>
      <c r="L16" s="1733"/>
      <c r="M16" s="1733"/>
      <c r="N16" s="1733"/>
      <c r="O16" s="1436"/>
      <c r="P16" s="1436"/>
      <c r="Q16" s="1436"/>
      <c r="R16" s="1436"/>
      <c r="S16" s="1436"/>
      <c r="T16" s="1436"/>
      <c r="U16" s="1436"/>
      <c r="V16" s="1436"/>
      <c r="W16" s="1436"/>
    </row>
    <row r="17" spans="2:14" ht="37.5" customHeight="1">
      <c r="B17" s="1784" t="s">
        <v>5415</v>
      </c>
      <c r="C17" s="1785"/>
      <c r="D17" s="1786"/>
      <c r="E17" s="1786"/>
      <c r="H17" s="1786"/>
      <c r="I17" s="1786"/>
      <c r="J17" s="1594"/>
      <c r="K17" s="1786"/>
      <c r="L17" s="2469"/>
      <c r="M17" s="2469"/>
      <c r="N17" s="2469"/>
    </row>
    <row r="18" spans="2:14" ht="28.4" customHeight="1">
      <c r="B18" s="1734" t="s">
        <v>686</v>
      </c>
      <c r="C18" s="1734" t="s">
        <v>4803</v>
      </c>
      <c r="D18" s="1734" t="s">
        <v>5416</v>
      </c>
      <c r="E18" s="1734" t="s">
        <v>4802</v>
      </c>
      <c r="F18" s="1734" t="s">
        <v>5417</v>
      </c>
      <c r="G18" s="1734" t="s">
        <v>5418</v>
      </c>
      <c r="I18" s="1734" t="s">
        <v>5400</v>
      </c>
      <c r="K18" s="2444" t="s">
        <v>5402</v>
      </c>
      <c r="L18" s="2446"/>
      <c r="M18" s="2446"/>
      <c r="N18" s="2445"/>
    </row>
    <row r="19" spans="2:14" ht="40" customHeight="1">
      <c r="B19" s="1787"/>
      <c r="C19" s="1788" t="str">
        <f>IF('Elevator Modernization'!E22="","",'Elevator Modernization'!E22)</f>
        <v/>
      </c>
      <c r="D19" s="1788" t="str">
        <f>IF('Elevator Modernization'!F22="","",'Elevator Modernization'!F22)</f>
        <v/>
      </c>
      <c r="E19" s="1788" t="str">
        <f>IF('Elevator Modernization'!D22="","",'Elevator Modernization'!D22)</f>
        <v/>
      </c>
      <c r="F19" s="1788" t="str">
        <f>IF('Elevator Modernization'!H22="","",'Elevator Modernization'!H22)</f>
        <v/>
      </c>
      <c r="G19" s="1881" t="str">
        <f>IF('Elevator Modernization'!B22="","",'Elevator Modernization'!B22)</f>
        <v/>
      </c>
      <c r="I19" s="1137"/>
      <c r="K19" s="2315"/>
      <c r="L19" s="2315"/>
      <c r="M19" s="2315"/>
      <c r="N19" s="2315"/>
    </row>
    <row r="20" spans="2:14" ht="40" customHeight="1">
      <c r="B20" s="1787"/>
      <c r="C20" s="1788" t="str">
        <f>IF('Elevator Modernization'!E23="","",'Elevator Modernization'!E23)</f>
        <v/>
      </c>
      <c r="D20" s="1788" t="str">
        <f>IF('Elevator Modernization'!F23="","",'Elevator Modernization'!F23)</f>
        <v/>
      </c>
      <c r="E20" s="1788" t="str">
        <f>IF('Elevator Modernization'!D23="","",'Elevator Modernization'!D23)</f>
        <v/>
      </c>
      <c r="F20" s="1788" t="str">
        <f>IF('Elevator Modernization'!H23="","",'Elevator Modernization'!H23)</f>
        <v/>
      </c>
      <c r="G20" s="1881" t="str">
        <f>IF('Elevator Modernization'!B23="","",'Elevator Modernization'!B23)</f>
        <v/>
      </c>
      <c r="I20" s="1137"/>
      <c r="K20" s="2315"/>
      <c r="L20" s="2315"/>
      <c r="M20" s="2315"/>
      <c r="N20" s="2315"/>
    </row>
    <row r="21" spans="2:14" ht="40" customHeight="1">
      <c r="B21" s="1787"/>
      <c r="C21" s="1788" t="str">
        <f>IF('Elevator Modernization'!E24="","",'Elevator Modernization'!E24)</f>
        <v/>
      </c>
      <c r="D21" s="1788" t="str">
        <f>IF('Elevator Modernization'!F24="","",'Elevator Modernization'!F24)</f>
        <v/>
      </c>
      <c r="E21" s="1788" t="str">
        <f>IF('Elevator Modernization'!D24="","",'Elevator Modernization'!D24)</f>
        <v/>
      </c>
      <c r="F21" s="1788" t="str">
        <f>IF('Elevator Modernization'!H24="","",'Elevator Modernization'!H24)</f>
        <v/>
      </c>
      <c r="G21" s="1881" t="str">
        <f>IF('Elevator Modernization'!B24="","",'Elevator Modernization'!B24)</f>
        <v/>
      </c>
      <c r="I21" s="1137"/>
      <c r="K21" s="2315"/>
      <c r="L21" s="2315"/>
      <c r="M21" s="2315"/>
      <c r="N21" s="2315"/>
    </row>
    <row r="22" spans="2:14" ht="40" customHeight="1">
      <c r="B22" s="1787"/>
      <c r="C22" s="1788" t="str">
        <f>IF('Elevator Modernization'!E25="","",'Elevator Modernization'!E25)</f>
        <v/>
      </c>
      <c r="D22" s="1788" t="str">
        <f>IF('Elevator Modernization'!F25="","",'Elevator Modernization'!F25)</f>
        <v/>
      </c>
      <c r="E22" s="1788" t="str">
        <f>IF('Elevator Modernization'!D25="","",'Elevator Modernization'!D25)</f>
        <v/>
      </c>
      <c r="F22" s="1788" t="str">
        <f>IF('Elevator Modernization'!H25="","",'Elevator Modernization'!H25)</f>
        <v/>
      </c>
      <c r="G22" s="1881" t="str">
        <f>IF('Elevator Modernization'!B25="","",'Elevator Modernization'!B25)</f>
        <v/>
      </c>
      <c r="I22" s="1137"/>
      <c r="K22" s="2315"/>
      <c r="L22" s="2315"/>
      <c r="M22" s="2315"/>
      <c r="N22" s="2315"/>
    </row>
    <row r="23" spans="2:14" ht="40" customHeight="1">
      <c r="B23" s="1787"/>
      <c r="C23" s="1788" t="str">
        <f>IF('Elevator Modernization'!E26="","",'Elevator Modernization'!E26)</f>
        <v/>
      </c>
      <c r="D23" s="1788" t="str">
        <f>IF('Elevator Modernization'!F26="","",'Elevator Modernization'!F26)</f>
        <v/>
      </c>
      <c r="E23" s="1788" t="str">
        <f>IF('Elevator Modernization'!D26="","",'Elevator Modernization'!D26)</f>
        <v/>
      </c>
      <c r="F23" s="1788" t="str">
        <f>IF('Elevator Modernization'!H26="","",'Elevator Modernization'!H26)</f>
        <v/>
      </c>
      <c r="G23" s="1881" t="str">
        <f>IF('Elevator Modernization'!B26="","",'Elevator Modernization'!B26)</f>
        <v/>
      </c>
      <c r="I23" s="1137"/>
      <c r="K23" s="2315"/>
      <c r="L23" s="2315"/>
      <c r="M23" s="2315"/>
      <c r="N23" s="2315"/>
    </row>
    <row r="24" spans="2:14" ht="40" customHeight="1">
      <c r="B24" s="1789"/>
      <c r="C24" s="1788" t="str">
        <f>IF('Elevator Modernization'!E27="","",'Elevator Modernization'!E27)</f>
        <v/>
      </c>
      <c r="D24" s="1788" t="str">
        <f>IF('Elevator Modernization'!F27="","",'Elevator Modernization'!F27)</f>
        <v/>
      </c>
      <c r="E24" s="1788" t="str">
        <f>IF('Elevator Modernization'!D27="","",'Elevator Modernization'!D27)</f>
        <v/>
      </c>
      <c r="F24" s="1788" t="str">
        <f>IF('Elevator Modernization'!H27="","",'Elevator Modernization'!H27)</f>
        <v/>
      </c>
      <c r="G24" s="1881" t="str">
        <f>IF('Elevator Modernization'!B27="","",'Elevator Modernization'!B27)</f>
        <v/>
      </c>
      <c r="I24" s="1790"/>
      <c r="K24" s="2315"/>
      <c r="L24" s="2315"/>
      <c r="M24" s="2315"/>
      <c r="N24" s="2315"/>
    </row>
    <row r="25" spans="2:14" customFormat="1" ht="40" customHeight="1"/>
    <row r="26" spans="2:14" customFormat="1" ht="40" customHeight="1"/>
    <row r="27" spans="2:14" customFormat="1" ht="40" customHeight="1">
      <c r="B27" s="1784" t="s">
        <v>5419</v>
      </c>
      <c r="C27" s="1785"/>
      <c r="D27" s="1786"/>
      <c r="E27" s="1786"/>
      <c r="F27" s="42"/>
      <c r="G27" s="42"/>
      <c r="H27" s="1786"/>
      <c r="I27" s="1786"/>
      <c r="J27" s="1594"/>
      <c r="K27" s="1786"/>
      <c r="L27" s="2469"/>
      <c r="M27" s="2469"/>
      <c r="N27" s="2469"/>
    </row>
    <row r="28" spans="2:14" customFormat="1" ht="40" customHeight="1">
      <c r="B28" s="1734" t="s">
        <v>686</v>
      </c>
      <c r="C28" s="1734" t="s">
        <v>4803</v>
      </c>
      <c r="D28" s="1734" t="s">
        <v>5416</v>
      </c>
      <c r="E28" s="1734" t="s">
        <v>4802</v>
      </c>
      <c r="F28" s="1734" t="s">
        <v>5417</v>
      </c>
      <c r="G28" s="1734" t="s">
        <v>5418</v>
      </c>
      <c r="H28" s="42"/>
      <c r="I28" s="1734" t="s">
        <v>5400</v>
      </c>
      <c r="J28" s="42"/>
      <c r="K28" s="2444" t="s">
        <v>5402</v>
      </c>
      <c r="L28" s="2446"/>
      <c r="M28" s="2446"/>
      <c r="N28" s="2445"/>
    </row>
    <row r="29" spans="2:14" customFormat="1" ht="40" customHeight="1">
      <c r="B29" s="1787"/>
      <c r="C29" s="1788" t="str">
        <f>IF('Elevator Modernization'!E36="","",'Elevator Modernization'!E36)</f>
        <v/>
      </c>
      <c r="D29" s="1788" t="str">
        <f>IF('Elevator Modernization'!F36="","",'Elevator Modernization'!F36)</f>
        <v/>
      </c>
      <c r="E29" s="1788" t="str">
        <f>IF('Elevator Modernization'!D36="","",'Elevator Modernization'!D36)</f>
        <v/>
      </c>
      <c r="F29" s="1788" t="str">
        <f>IF('Elevator Modernization'!H36="","",'Elevator Modernization'!H36)</f>
        <v/>
      </c>
      <c r="G29" s="1881" t="str">
        <f>IF('Elevator Modernization'!B36="","",'Elevator Modernization'!B36)</f>
        <v/>
      </c>
      <c r="H29" s="42"/>
      <c r="I29" s="1137"/>
      <c r="J29" s="42"/>
      <c r="K29" s="2315"/>
      <c r="L29" s="2315"/>
      <c r="M29" s="2315"/>
      <c r="N29" s="2315"/>
    </row>
    <row r="30" spans="2:14" customFormat="1" ht="40" customHeight="1">
      <c r="B30" s="1787"/>
      <c r="C30" s="1788" t="str">
        <f>IF('Elevator Modernization'!E37="","",'Elevator Modernization'!E37)</f>
        <v/>
      </c>
      <c r="D30" s="1788" t="str">
        <f>IF('Elevator Modernization'!F37="","",'Elevator Modernization'!F37)</f>
        <v/>
      </c>
      <c r="E30" s="1788" t="str">
        <f>IF('Elevator Modernization'!D37="","",'Elevator Modernization'!D37)</f>
        <v/>
      </c>
      <c r="F30" s="1788" t="str">
        <f>IF('Elevator Modernization'!H37="","",'Elevator Modernization'!H37)</f>
        <v/>
      </c>
      <c r="G30" s="1881" t="str">
        <f>IF('Elevator Modernization'!B37="","",'Elevator Modernization'!B37)</f>
        <v/>
      </c>
      <c r="H30" s="42"/>
      <c r="I30" s="1137"/>
      <c r="J30" s="42"/>
      <c r="K30" s="2315"/>
      <c r="L30" s="2315"/>
      <c r="M30" s="2315"/>
      <c r="N30" s="2315"/>
    </row>
    <row r="31" spans="2:14" customFormat="1" ht="40" customHeight="1">
      <c r="B31" s="1787"/>
      <c r="C31" s="1788" t="str">
        <f>IF('Elevator Modernization'!E38="","",'Elevator Modernization'!E38)</f>
        <v/>
      </c>
      <c r="D31" s="1788" t="str">
        <f>IF('Elevator Modernization'!F38="","",'Elevator Modernization'!F38)</f>
        <v/>
      </c>
      <c r="E31" s="1788" t="str">
        <f>IF('Elevator Modernization'!D38="","",'Elevator Modernization'!D38)</f>
        <v/>
      </c>
      <c r="F31" s="1788" t="str">
        <f>IF('Elevator Modernization'!H38="","",'Elevator Modernization'!H38)</f>
        <v/>
      </c>
      <c r="G31" s="1881" t="str">
        <f>IF('Elevator Modernization'!B38="","",'Elevator Modernization'!B38)</f>
        <v/>
      </c>
      <c r="H31" s="42"/>
      <c r="I31" s="1137"/>
      <c r="J31" s="42"/>
      <c r="K31" s="2315"/>
      <c r="L31" s="2315"/>
      <c r="M31" s="2315"/>
      <c r="N31" s="2315"/>
    </row>
    <row r="32" spans="2:14" customFormat="1" ht="40" customHeight="1">
      <c r="B32" s="1787"/>
      <c r="C32" s="1788" t="str">
        <f>IF('Elevator Modernization'!E39="","",'Elevator Modernization'!E39)</f>
        <v/>
      </c>
      <c r="D32" s="1788" t="str">
        <f>IF('Elevator Modernization'!F39="","",'Elevator Modernization'!F39)</f>
        <v/>
      </c>
      <c r="E32" s="1788" t="str">
        <f>IF('Elevator Modernization'!D39="","",'Elevator Modernization'!D39)</f>
        <v/>
      </c>
      <c r="F32" s="1788" t="str">
        <f>IF('Elevator Modernization'!H39="","",'Elevator Modernization'!H39)</f>
        <v/>
      </c>
      <c r="G32" s="1881" t="str">
        <f>IF('Elevator Modernization'!B39="","",'Elevator Modernization'!B39)</f>
        <v/>
      </c>
      <c r="H32" s="42"/>
      <c r="I32" s="1137"/>
      <c r="J32" s="42"/>
      <c r="K32" s="2315"/>
      <c r="L32" s="2315"/>
      <c r="M32" s="2315"/>
      <c r="N32" s="2315"/>
    </row>
    <row r="33" spans="2:14" customFormat="1" ht="40" customHeight="1">
      <c r="B33" s="1787"/>
      <c r="C33" s="1788" t="str">
        <f>IF('Elevator Modernization'!E40="","",'Elevator Modernization'!E40)</f>
        <v/>
      </c>
      <c r="D33" s="1788" t="str">
        <f>IF('Elevator Modernization'!F40="","",'Elevator Modernization'!F40)</f>
        <v/>
      </c>
      <c r="E33" s="1788" t="str">
        <f>IF('Elevator Modernization'!D40="","",'Elevator Modernization'!D40)</f>
        <v/>
      </c>
      <c r="F33" s="1788" t="str">
        <f>IF('Elevator Modernization'!H40="","",'Elevator Modernization'!H40)</f>
        <v/>
      </c>
      <c r="G33" s="1881" t="str">
        <f>IF('Elevator Modernization'!B40="","",'Elevator Modernization'!B40)</f>
        <v/>
      </c>
      <c r="H33" s="42"/>
      <c r="I33" s="1137"/>
      <c r="J33" s="42"/>
      <c r="K33" s="2315"/>
      <c r="L33" s="2315"/>
      <c r="M33" s="2315"/>
      <c r="N33" s="2315"/>
    </row>
    <row r="34" spans="2:14" customFormat="1" ht="40" customHeight="1">
      <c r="B34" s="1789"/>
      <c r="C34" s="1788" t="str">
        <f>IF('Elevator Modernization'!E41="","",'Elevator Modernization'!E41)</f>
        <v/>
      </c>
      <c r="D34" s="1788" t="str">
        <f>IF('Elevator Modernization'!F41="","",'Elevator Modernization'!F41)</f>
        <v/>
      </c>
      <c r="E34" s="1788" t="str">
        <f>IF('Elevator Modernization'!D41="","",'Elevator Modernization'!D41)</f>
        <v/>
      </c>
      <c r="F34" s="1788" t="str">
        <f>IF('Elevator Modernization'!H41="","",'Elevator Modernization'!H41)</f>
        <v/>
      </c>
      <c r="G34" s="1881" t="str">
        <f>IF('Elevator Modernization'!B41="","",'Elevator Modernization'!B41)</f>
        <v/>
      </c>
      <c r="H34" s="42"/>
      <c r="I34" s="1790"/>
      <c r="J34" s="42"/>
      <c r="K34" s="2315"/>
      <c r="L34" s="2315"/>
      <c r="M34" s="2315"/>
      <c r="N34" s="2315"/>
    </row>
    <row r="35" spans="2:14" ht="20.5" customHeight="1"/>
    <row r="36" spans="2:14">
      <c r="B36" s="1791"/>
      <c r="C36" s="1791"/>
      <c r="D36" s="1791"/>
      <c r="E36" s="1791"/>
      <c r="F36" s="1791"/>
      <c r="G36" s="1791"/>
      <c r="H36" s="1792"/>
      <c r="L36" s="2468"/>
      <c r="M36" s="2468"/>
      <c r="N36" s="2468"/>
    </row>
    <row r="37" spans="2:14">
      <c r="B37" s="1791"/>
      <c r="C37" s="1791"/>
      <c r="D37" s="1791"/>
      <c r="E37" s="1791"/>
      <c r="F37" s="1791"/>
      <c r="G37" s="1791"/>
      <c r="H37" s="1792"/>
      <c r="L37" s="2468"/>
      <c r="M37" s="2468"/>
      <c r="N37" s="2468"/>
    </row>
    <row r="38" spans="2:14">
      <c r="B38" s="1791"/>
      <c r="C38" s="1791"/>
      <c r="D38" s="1791"/>
      <c r="E38" s="1791"/>
      <c r="F38" s="1791"/>
      <c r="G38" s="1791"/>
      <c r="H38" s="1792"/>
      <c r="L38" s="2468"/>
      <c r="M38" s="2468"/>
      <c r="N38" s="2468"/>
    </row>
    <row r="39" spans="2:14">
      <c r="B39" s="1791"/>
      <c r="C39" s="1791"/>
      <c r="D39" s="1791"/>
      <c r="E39" s="1791"/>
      <c r="F39" s="1791"/>
      <c r="G39" s="1791"/>
      <c r="H39" s="1792"/>
      <c r="L39" s="2468"/>
      <c r="M39" s="2468"/>
      <c r="N39" s="2468"/>
    </row>
    <row r="40" spans="2:14"/>
    <row r="41" spans="2:14"/>
    <row r="42" spans="2:14"/>
    <row r="43" spans="2:14"/>
  </sheetData>
  <mergeCells count="26">
    <mergeCell ref="B1:I1"/>
    <mergeCell ref="G6:M6"/>
    <mergeCell ref="K8:M8"/>
    <mergeCell ref="K19:N19"/>
    <mergeCell ref="K10:M10"/>
    <mergeCell ref="K12:M12"/>
    <mergeCell ref="C15:D15"/>
    <mergeCell ref="L17:N17"/>
    <mergeCell ref="K18:N18"/>
    <mergeCell ref="K33:N33"/>
    <mergeCell ref="K20:N20"/>
    <mergeCell ref="K21:N21"/>
    <mergeCell ref="K22:N22"/>
    <mergeCell ref="K23:N23"/>
    <mergeCell ref="K24:N24"/>
    <mergeCell ref="L27:N27"/>
    <mergeCell ref="K28:N28"/>
    <mergeCell ref="K29:N29"/>
    <mergeCell ref="K30:N30"/>
    <mergeCell ref="K31:N31"/>
    <mergeCell ref="K32:N32"/>
    <mergeCell ref="K34:N34"/>
    <mergeCell ref="L36:N36"/>
    <mergeCell ref="L37:N37"/>
    <mergeCell ref="L38:N38"/>
    <mergeCell ref="L39:N39"/>
  </mergeCells>
  <pageMargins left="0.25" right="0.25" top="0.75" bottom="0.75" header="0.3" footer="0.3"/>
  <pageSetup scale="46"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6161" r:id="rId4" name="Option Button 1">
              <controlPr defaultSize="0" autoFill="0" autoLine="0" autoPict="0">
                <anchor moveWithCells="1">
                  <from>
                    <xdr:col>6</xdr:col>
                    <xdr:colOff>3365500</xdr:colOff>
                    <xdr:row>13</xdr:row>
                    <xdr:rowOff>203200</xdr:rowOff>
                  </from>
                  <to>
                    <xdr:col>7</xdr:col>
                    <xdr:colOff>774700</xdr:colOff>
                    <xdr:row>14</xdr:row>
                    <xdr:rowOff>184150</xdr:rowOff>
                  </to>
                </anchor>
              </controlPr>
            </control>
          </mc:Choice>
        </mc:AlternateContent>
        <mc:AlternateContent xmlns:mc="http://schemas.openxmlformats.org/markup-compatibility/2006">
          <mc:Choice Requires="x14">
            <control shapeId="476162" r:id="rId5" name="Option Button 2">
              <controlPr defaultSize="0" autoFill="0" autoLine="0" autoPict="0">
                <anchor moveWithCells="1">
                  <from>
                    <xdr:col>8</xdr:col>
                    <xdr:colOff>361950</xdr:colOff>
                    <xdr:row>13</xdr:row>
                    <xdr:rowOff>171450</xdr:rowOff>
                  </from>
                  <to>
                    <xdr:col>10</xdr:col>
                    <xdr:colOff>127000</xdr:colOff>
                    <xdr:row>14</xdr:row>
                    <xdr:rowOff>184150</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C2C26-2758-4BF9-A1D9-FFDAFA7A0715}">
  <sheetPr codeName="Sheet42">
    <tabColor rgb="FF92D050"/>
  </sheetPr>
  <dimension ref="A1:AW38"/>
  <sheetViews>
    <sheetView showGridLines="0" zoomScaleNormal="100" workbookViewId="0">
      <selection activeCell="O61" sqref="O61"/>
    </sheetView>
  </sheetViews>
  <sheetFormatPr defaultColWidth="0" defaultRowHeight="14.5"/>
  <cols>
    <col min="1" max="1" width="3.54296875" customWidth="1"/>
    <col min="2" max="4" width="17.453125" customWidth="1"/>
    <col min="5" max="5" width="21.26953125" customWidth="1"/>
    <col min="6" max="7" width="17.453125" hidden="1" customWidth="1"/>
    <col min="8" max="10" width="17.453125" customWidth="1"/>
    <col min="11" max="12" width="18.7265625" customWidth="1"/>
    <col min="13" max="13" width="12.81640625" customWidth="1"/>
    <col min="14" max="14" width="8.7265625" customWidth="1"/>
    <col min="15" max="49" width="0" hidden="1" customWidth="1"/>
    <col min="50" max="16384" width="8.7265625" hidden="1"/>
  </cols>
  <sheetData>
    <row r="1" spans="1:19" ht="39" customHeight="1">
      <c r="A1" s="1891"/>
      <c r="B1" s="1891" t="str">
        <f>Development!$A$3&amp;" Multi-Family Program"</f>
        <v>2024 Multi-Family Program</v>
      </c>
      <c r="C1" s="1892"/>
      <c r="D1" s="1892"/>
      <c r="E1" s="1892"/>
      <c r="F1" s="1892"/>
      <c r="G1" s="1892"/>
      <c r="H1" s="1892"/>
      <c r="I1" s="1892"/>
      <c r="J1" s="1897"/>
      <c r="K1" s="1895"/>
      <c r="L1" s="1895"/>
      <c r="M1" s="1895"/>
      <c r="N1" s="1895"/>
      <c r="O1" s="350"/>
      <c r="P1" s="350"/>
      <c r="Q1" s="350"/>
      <c r="R1" s="350"/>
      <c r="S1" s="350"/>
    </row>
    <row r="2" spans="1:19" ht="56.5" customHeight="1" thickBot="1">
      <c r="A2" s="1893"/>
      <c r="B2" s="1894" t="str">
        <f>'Customer Information'!A2</f>
        <v>Multi-Family 
Rebate Application, Version 2.0</v>
      </c>
      <c r="C2" s="1892"/>
      <c r="D2" s="1892"/>
      <c r="E2" s="1892"/>
      <c r="F2" s="1892"/>
      <c r="G2" s="1892"/>
      <c r="H2" s="1892"/>
      <c r="I2" s="1892"/>
      <c r="J2" s="1898"/>
      <c r="K2" s="1895"/>
      <c r="L2" s="1895"/>
      <c r="M2" s="1895"/>
      <c r="N2" s="1895"/>
    </row>
    <row r="3" spans="1:19" ht="44.5" customHeight="1" thickTop="1">
      <c r="A3" s="2477" t="s">
        <v>2971</v>
      </c>
      <c r="B3" s="2477"/>
      <c r="C3" s="2477"/>
      <c r="D3" s="2477"/>
      <c r="E3" s="2477"/>
      <c r="F3" s="2477"/>
      <c r="G3" s="2477"/>
      <c r="H3" s="2477"/>
      <c r="I3" s="2477"/>
      <c r="J3" s="2477"/>
      <c r="K3" s="2477"/>
      <c r="L3" s="2477"/>
      <c r="M3" s="2477"/>
      <c r="N3" s="2477"/>
      <c r="O3" s="853"/>
      <c r="P3" s="853"/>
      <c r="Q3" s="853"/>
    </row>
    <row r="4" spans="1:19" ht="20">
      <c r="B4" s="2478" t="s">
        <v>3020</v>
      </c>
      <c r="C4" s="2478"/>
      <c r="D4" s="2478"/>
      <c r="E4" s="2478"/>
      <c r="F4" s="2478"/>
      <c r="G4" s="2478"/>
      <c r="H4" s="2478"/>
      <c r="I4" s="2478"/>
      <c r="J4" s="2478"/>
      <c r="K4" s="2478"/>
      <c r="L4" s="2478"/>
      <c r="M4" s="2478"/>
      <c r="N4" s="2478"/>
      <c r="O4" s="2478"/>
      <c r="P4" s="2478"/>
    </row>
    <row r="5" spans="1:19" ht="14.5" customHeight="1">
      <c r="B5" s="2474" t="s">
        <v>3021</v>
      </c>
      <c r="C5" s="2474"/>
      <c r="D5" s="2474"/>
      <c r="E5" s="2474"/>
      <c r="F5" s="2474"/>
      <c r="G5" s="2474"/>
      <c r="H5" s="2474"/>
      <c r="I5" s="2474"/>
      <c r="J5" s="852"/>
      <c r="K5" s="1951" t="s">
        <v>673</v>
      </c>
      <c r="L5" s="1951" t="s">
        <v>216</v>
      </c>
      <c r="M5" s="852"/>
    </row>
    <row r="6" spans="1:19" ht="14.5" customHeight="1">
      <c r="B6" s="2474" t="s">
        <v>3022</v>
      </c>
      <c r="C6" s="2474"/>
      <c r="D6" s="2474"/>
      <c r="E6" s="2474"/>
      <c r="F6" s="2474"/>
      <c r="G6" s="852"/>
      <c r="H6" s="852"/>
      <c r="I6" s="852"/>
      <c r="J6" s="852"/>
      <c r="K6" s="854" t="s">
        <v>3025</v>
      </c>
      <c r="L6" s="855" t="s">
        <v>3026</v>
      </c>
      <c r="M6" s="852"/>
    </row>
    <row r="7" spans="1:19" ht="14.5" customHeight="1">
      <c r="B7" s="2474" t="s">
        <v>3023</v>
      </c>
      <c r="C7" s="2474"/>
      <c r="D7" s="2474"/>
      <c r="E7" s="2474"/>
      <c r="F7" s="2474"/>
      <c r="G7" s="2474"/>
      <c r="H7" s="2474"/>
      <c r="I7" s="852"/>
      <c r="J7" s="852"/>
      <c r="K7" s="854" t="s">
        <v>3027</v>
      </c>
      <c r="L7" s="855" t="s">
        <v>3028</v>
      </c>
      <c r="M7" s="852"/>
    </row>
    <row r="8" spans="1:19" ht="14.5" customHeight="1">
      <c r="B8" s="2474" t="s">
        <v>3024</v>
      </c>
      <c r="C8" s="2474"/>
      <c r="D8" s="2474"/>
      <c r="E8" s="2474"/>
      <c r="F8" s="2474"/>
      <c r="G8" s="852"/>
      <c r="H8" s="852"/>
      <c r="I8" s="852"/>
      <c r="J8" s="852"/>
      <c r="M8" s="852"/>
    </row>
    <row r="9" spans="1:19" ht="14.5" customHeight="1">
      <c r="B9" s="2474" t="s">
        <v>3596</v>
      </c>
      <c r="C9" s="2474"/>
      <c r="D9" s="2474"/>
      <c r="E9" s="2474"/>
      <c r="F9" s="2474"/>
      <c r="G9" s="2474"/>
      <c r="H9" s="2474"/>
      <c r="I9" s="2474"/>
      <c r="J9" s="852"/>
      <c r="K9" s="852"/>
      <c r="L9" s="852"/>
      <c r="M9" s="852"/>
    </row>
    <row r="11" spans="1:19" ht="20">
      <c r="B11" s="2478" t="s">
        <v>3029</v>
      </c>
      <c r="C11" s="2478"/>
      <c r="D11" s="2478"/>
      <c r="E11" s="2478"/>
      <c r="F11" s="2478"/>
      <c r="G11" s="2478"/>
      <c r="H11" s="2478"/>
      <c r="I11" s="2478"/>
      <c r="J11" s="2478"/>
      <c r="K11" s="2478"/>
      <c r="L11" s="2478"/>
      <c r="M11" s="2478"/>
      <c r="N11" s="2478"/>
      <c r="O11" s="2478"/>
      <c r="P11" s="2478"/>
    </row>
    <row r="12" spans="1:19" ht="47.15" customHeight="1">
      <c r="B12" s="1948" t="s">
        <v>3030</v>
      </c>
      <c r="C12" s="1948" t="s">
        <v>686</v>
      </c>
      <c r="D12" s="1948" t="s">
        <v>3031</v>
      </c>
      <c r="E12" s="1949" t="s">
        <v>3032</v>
      </c>
      <c r="F12" s="1950" t="s">
        <v>3033</v>
      </c>
      <c r="G12" s="1950" t="s">
        <v>3034</v>
      </c>
      <c r="H12" s="1948" t="s">
        <v>3035</v>
      </c>
      <c r="I12" s="1948" t="s">
        <v>3036</v>
      </c>
      <c r="J12" s="1948" t="s">
        <v>3037</v>
      </c>
      <c r="K12" s="1948" t="s">
        <v>3038</v>
      </c>
      <c r="L12" s="1948" t="s">
        <v>3039</v>
      </c>
      <c r="M12" s="1948" t="s">
        <v>3040</v>
      </c>
    </row>
    <row r="13" spans="1:19" ht="24.65" customHeight="1">
      <c r="B13" s="879" t="s">
        <v>3041</v>
      </c>
      <c r="C13" s="856" t="s">
        <v>3156</v>
      </c>
      <c r="D13" s="857">
        <v>12000</v>
      </c>
      <c r="E13" s="856">
        <v>2</v>
      </c>
      <c r="F13" s="174">
        <f>COUNTIFS($K$26:$K$35,B13,$M$26:$M$35,"Pass")</f>
        <v>1</v>
      </c>
      <c r="G13" s="174">
        <f>SUMIFS($L$26:$L$35,$K$26:$K$35,B13,$M$26:$M$35,"Pass")</f>
        <v>700</v>
      </c>
      <c r="H13" s="858">
        <v>600</v>
      </c>
      <c r="I13" s="856" t="s">
        <v>2643</v>
      </c>
      <c r="J13" s="856" t="s">
        <v>1403</v>
      </c>
      <c r="K13" s="880">
        <v>500</v>
      </c>
      <c r="L13" s="859">
        <f>IF(OR(D13="",E13="",E13=0,H13=""),0,IF(C13="Indoor",MIN(IF(F13&gt;E13,30*D13*(E13)/1000,30*D13*(F13/E13)/1000),G13*0.7),IF(AND(C13="Outdoor",OR(J13="Yes",I13="Yes")),MIN(IF(F13&gt;E13,30*D13*(E13)/1000,30*D13*(F13/E13)/1000),G13*0.7),0)))</f>
        <v>180</v>
      </c>
      <c r="M13" s="859">
        <f>IF(OR(C13="",E13="",E13=0,H13="",J13&lt;&gt;"Yes"),0,MIN(K13*0.7,0.17*H13))</f>
        <v>102.00000000000001</v>
      </c>
    </row>
    <row r="14" spans="1:19" ht="24.65" customHeight="1">
      <c r="B14" s="879" t="s">
        <v>3042</v>
      </c>
      <c r="C14" s="856"/>
      <c r="D14" s="857"/>
      <c r="E14" s="856"/>
      <c r="F14" s="174">
        <f t="shared" ref="F14:F22" si="0">COUNTIFS($K$26:$K$35,B14,$M$26:$M$35,"Pass")</f>
        <v>0</v>
      </c>
      <c r="G14" s="174">
        <f t="shared" ref="G14:G22" si="1">SUMIFS($L$26:$L$35,$K$26:$K$35,B14,$M$26:$M$35,"Pass")</f>
        <v>0</v>
      </c>
      <c r="H14" s="858"/>
      <c r="I14" s="856"/>
      <c r="J14" s="856"/>
      <c r="K14" s="880"/>
      <c r="L14" s="859">
        <f t="shared" ref="L14:L22" si="2">IF(OR(D14="",E14="",E14=0,H14=""),0,IF(C14="Indoor",MIN(IF(F14&gt;E14,30*D14*(E14)/1000,30*D14*(F14/E14)/1000),G14*0.7),IF(AND(C14="Outdoor",OR(J14="Yes",I14="Yes")),MIN(IF(F14&gt;E14,30*D14*(E14)/1000,30*D14*(F14/E14)/1000),G14*0.7),0)))</f>
        <v>0</v>
      </c>
      <c r="M14" s="859">
        <f t="shared" ref="M14:M22" si="3">IF(OR(C14="",E14="",E14=0,H14="",J14&lt;&gt;"Yes"),0,MIN(K14*0.7,0.17*H14))</f>
        <v>0</v>
      </c>
    </row>
    <row r="15" spans="1:19" ht="24.65" customHeight="1">
      <c r="B15" s="879" t="s">
        <v>3043</v>
      </c>
      <c r="C15" s="856"/>
      <c r="D15" s="857"/>
      <c r="E15" s="856"/>
      <c r="F15" s="174">
        <f t="shared" si="0"/>
        <v>0</v>
      </c>
      <c r="G15" s="174">
        <f t="shared" si="1"/>
        <v>0</v>
      </c>
      <c r="H15" s="858"/>
      <c r="I15" s="856"/>
      <c r="J15" s="856"/>
      <c r="K15" s="880"/>
      <c r="L15" s="859">
        <f t="shared" si="2"/>
        <v>0</v>
      </c>
      <c r="M15" s="859">
        <f t="shared" si="3"/>
        <v>0</v>
      </c>
    </row>
    <row r="16" spans="1:19" ht="24.65" customHeight="1">
      <c r="B16" s="879" t="s">
        <v>3044</v>
      </c>
      <c r="C16" s="856"/>
      <c r="D16" s="857"/>
      <c r="E16" s="856"/>
      <c r="F16" s="174">
        <f t="shared" si="0"/>
        <v>0</v>
      </c>
      <c r="G16" s="174">
        <f t="shared" si="1"/>
        <v>0</v>
      </c>
      <c r="H16" s="858"/>
      <c r="I16" s="856"/>
      <c r="J16" s="856"/>
      <c r="K16" s="880"/>
      <c r="L16" s="859">
        <f t="shared" si="2"/>
        <v>0</v>
      </c>
      <c r="M16" s="859">
        <f t="shared" si="3"/>
        <v>0</v>
      </c>
    </row>
    <row r="17" spans="2:16" ht="24.65" customHeight="1">
      <c r="B17" s="879" t="s">
        <v>3045</v>
      </c>
      <c r="C17" s="856"/>
      <c r="D17" s="857"/>
      <c r="E17" s="856"/>
      <c r="F17" s="174">
        <f t="shared" si="0"/>
        <v>0</v>
      </c>
      <c r="G17" s="174">
        <f t="shared" si="1"/>
        <v>0</v>
      </c>
      <c r="H17" s="858"/>
      <c r="I17" s="856"/>
      <c r="J17" s="856"/>
      <c r="K17" s="880"/>
      <c r="L17" s="859">
        <f t="shared" si="2"/>
        <v>0</v>
      </c>
      <c r="M17" s="859">
        <f t="shared" si="3"/>
        <v>0</v>
      </c>
    </row>
    <row r="18" spans="2:16" ht="24.65" customHeight="1">
      <c r="B18" s="879" t="s">
        <v>3046</v>
      </c>
      <c r="C18" s="856"/>
      <c r="D18" s="857"/>
      <c r="E18" s="856"/>
      <c r="F18" s="174">
        <f t="shared" si="0"/>
        <v>0</v>
      </c>
      <c r="G18" s="174">
        <f t="shared" si="1"/>
        <v>0</v>
      </c>
      <c r="H18" s="858"/>
      <c r="I18" s="856"/>
      <c r="J18" s="856"/>
      <c r="K18" s="880"/>
      <c r="L18" s="859">
        <f t="shared" si="2"/>
        <v>0</v>
      </c>
      <c r="M18" s="859">
        <f t="shared" si="3"/>
        <v>0</v>
      </c>
    </row>
    <row r="19" spans="2:16" ht="24.65" customHeight="1">
      <c r="B19" s="879" t="s">
        <v>3047</v>
      </c>
      <c r="C19" s="856"/>
      <c r="D19" s="857"/>
      <c r="E19" s="856"/>
      <c r="F19" s="174">
        <f t="shared" si="0"/>
        <v>0</v>
      </c>
      <c r="G19" s="174">
        <f t="shared" si="1"/>
        <v>0</v>
      </c>
      <c r="H19" s="858"/>
      <c r="I19" s="856"/>
      <c r="J19" s="856"/>
      <c r="K19" s="880"/>
      <c r="L19" s="859">
        <f t="shared" si="2"/>
        <v>0</v>
      </c>
      <c r="M19" s="859">
        <f t="shared" si="3"/>
        <v>0</v>
      </c>
    </row>
    <row r="20" spans="2:16" ht="24.65" customHeight="1">
      <c r="B20" s="879" t="s">
        <v>3048</v>
      </c>
      <c r="C20" s="856"/>
      <c r="D20" s="857"/>
      <c r="E20" s="856"/>
      <c r="F20" s="174">
        <f t="shared" si="0"/>
        <v>0</v>
      </c>
      <c r="G20" s="174">
        <f t="shared" si="1"/>
        <v>0</v>
      </c>
      <c r="H20" s="858"/>
      <c r="I20" s="856"/>
      <c r="J20" s="856"/>
      <c r="K20" s="880"/>
      <c r="L20" s="859">
        <f t="shared" si="2"/>
        <v>0</v>
      </c>
      <c r="M20" s="859">
        <f t="shared" si="3"/>
        <v>0</v>
      </c>
    </row>
    <row r="21" spans="2:16" ht="24.65" customHeight="1">
      <c r="B21" s="879" t="s">
        <v>3049</v>
      </c>
      <c r="C21" s="856"/>
      <c r="D21" s="857"/>
      <c r="E21" s="856"/>
      <c r="F21" s="174">
        <f t="shared" si="0"/>
        <v>0</v>
      </c>
      <c r="G21" s="174">
        <f t="shared" si="1"/>
        <v>0</v>
      </c>
      <c r="H21" s="858"/>
      <c r="I21" s="856"/>
      <c r="J21" s="856"/>
      <c r="K21" s="880"/>
      <c r="L21" s="859">
        <f t="shared" si="2"/>
        <v>0</v>
      </c>
      <c r="M21" s="859">
        <f t="shared" si="3"/>
        <v>0</v>
      </c>
    </row>
    <row r="22" spans="2:16" ht="24.65" customHeight="1">
      <c r="B22" s="879" t="s">
        <v>3050</v>
      </c>
      <c r="C22" s="856"/>
      <c r="D22" s="857"/>
      <c r="E22" s="856"/>
      <c r="F22" s="174">
        <f t="shared" si="0"/>
        <v>0</v>
      </c>
      <c r="G22" s="174">
        <f t="shared" si="1"/>
        <v>0</v>
      </c>
      <c r="H22" s="858"/>
      <c r="I22" s="856"/>
      <c r="J22" s="856"/>
      <c r="K22" s="880"/>
      <c r="L22" s="859">
        <f t="shared" si="2"/>
        <v>0</v>
      </c>
      <c r="M22" s="859">
        <f t="shared" si="3"/>
        <v>0</v>
      </c>
    </row>
    <row r="24" spans="2:16" ht="20">
      <c r="B24" s="2478" t="s">
        <v>3051</v>
      </c>
      <c r="C24" s="2478"/>
      <c r="D24" s="2478"/>
      <c r="E24" s="2478"/>
      <c r="F24" s="2478"/>
      <c r="G24" s="2478"/>
      <c r="H24" s="2478"/>
      <c r="I24" s="2478"/>
      <c r="J24" s="2478"/>
      <c r="K24" s="2478"/>
      <c r="L24" s="2478"/>
      <c r="M24" s="2478"/>
      <c r="N24" s="2478"/>
      <c r="O24" s="2478"/>
      <c r="P24" s="2478"/>
    </row>
    <row r="25" spans="2:16" ht="46.5">
      <c r="B25" s="1948" t="s">
        <v>3052</v>
      </c>
      <c r="C25" s="1948" t="s">
        <v>3053</v>
      </c>
      <c r="D25" s="2475" t="s">
        <v>3054</v>
      </c>
      <c r="E25" s="2476"/>
      <c r="F25" s="1952" t="s">
        <v>3054</v>
      </c>
      <c r="G25" s="1952"/>
      <c r="H25" s="1948" t="s">
        <v>3055</v>
      </c>
      <c r="I25" s="1948" t="s">
        <v>80</v>
      </c>
      <c r="J25" s="1948" t="s">
        <v>78</v>
      </c>
      <c r="K25" s="1948" t="s">
        <v>3056</v>
      </c>
      <c r="L25" s="1948" t="s">
        <v>3057</v>
      </c>
      <c r="M25" s="1948" t="s">
        <v>3058</v>
      </c>
    </row>
    <row r="26" spans="2:16" ht="24.65" customHeight="1">
      <c r="B26" s="854" t="s">
        <v>3059</v>
      </c>
      <c r="C26" s="856" t="s">
        <v>1404</v>
      </c>
      <c r="D26" s="2472">
        <v>24000</v>
      </c>
      <c r="E26" s="2473"/>
      <c r="F26" s="174"/>
      <c r="G26" s="174"/>
      <c r="H26" s="1059">
        <v>5</v>
      </c>
      <c r="I26" s="881" t="s">
        <v>5497</v>
      </c>
      <c r="J26" s="882">
        <v>2345</v>
      </c>
      <c r="K26" s="882" t="s">
        <v>3041</v>
      </c>
      <c r="L26" s="883">
        <v>700</v>
      </c>
      <c r="M26" s="846" t="str">
        <f>IF(OR(C26="",D26="",H26="",K26=""),"",IF(H26&gt;=5,"Pass","Fail"))</f>
        <v>Pass</v>
      </c>
    </row>
    <row r="27" spans="2:16" ht="24.65" customHeight="1">
      <c r="B27" s="854" t="s">
        <v>3060</v>
      </c>
      <c r="C27" s="856"/>
      <c r="D27" s="2472"/>
      <c r="E27" s="2473"/>
      <c r="F27" s="174"/>
      <c r="G27" s="174"/>
      <c r="H27" s="1059"/>
      <c r="I27" s="881"/>
      <c r="J27" s="882"/>
      <c r="K27" s="882"/>
      <c r="L27" s="883"/>
      <c r="M27" s="846" t="str">
        <f t="shared" ref="M27:M35" si="4">IF(OR(C27="",D27="",H27="",K27=""),"",IF(H27&gt;=5,"Pass","Fail"))</f>
        <v/>
      </c>
    </row>
    <row r="28" spans="2:16" ht="24.65" customHeight="1">
      <c r="B28" s="854" t="s">
        <v>3061</v>
      </c>
      <c r="C28" s="856"/>
      <c r="D28" s="2472"/>
      <c r="E28" s="2473"/>
      <c r="F28" s="174"/>
      <c r="G28" s="174"/>
      <c r="H28" s="1059"/>
      <c r="I28" s="882"/>
      <c r="J28" s="882"/>
      <c r="K28" s="882"/>
      <c r="L28" s="883"/>
      <c r="M28" s="846" t="str">
        <f t="shared" si="4"/>
        <v/>
      </c>
    </row>
    <row r="29" spans="2:16" ht="24.65" customHeight="1">
      <c r="B29" s="854" t="s">
        <v>3062</v>
      </c>
      <c r="C29" s="856"/>
      <c r="D29" s="2472"/>
      <c r="E29" s="2473"/>
      <c r="F29" s="174"/>
      <c r="G29" s="174"/>
      <c r="H29" s="1059"/>
      <c r="I29" s="882"/>
      <c r="J29" s="882"/>
      <c r="K29" s="882"/>
      <c r="L29" s="883"/>
      <c r="M29" s="846" t="str">
        <f t="shared" si="4"/>
        <v/>
      </c>
    </row>
    <row r="30" spans="2:16" ht="24.65" customHeight="1">
      <c r="B30" s="854" t="s">
        <v>3063</v>
      </c>
      <c r="C30" s="856"/>
      <c r="D30" s="2472"/>
      <c r="E30" s="2473"/>
      <c r="F30" s="174"/>
      <c r="G30" s="174"/>
      <c r="H30" s="1059"/>
      <c r="I30" s="882"/>
      <c r="J30" s="882"/>
      <c r="K30" s="882"/>
      <c r="L30" s="883"/>
      <c r="M30" s="846" t="str">
        <f t="shared" si="4"/>
        <v/>
      </c>
    </row>
    <row r="31" spans="2:16" ht="24.65" customHeight="1">
      <c r="B31" s="854" t="s">
        <v>3064</v>
      </c>
      <c r="C31" s="856"/>
      <c r="D31" s="2472"/>
      <c r="E31" s="2473"/>
      <c r="F31" s="174"/>
      <c r="G31" s="174"/>
      <c r="H31" s="1059"/>
      <c r="I31" s="882"/>
      <c r="J31" s="882"/>
      <c r="K31" s="882"/>
      <c r="L31" s="883"/>
      <c r="M31" s="846" t="str">
        <f t="shared" si="4"/>
        <v/>
      </c>
    </row>
    <row r="32" spans="2:16" ht="24.65" customHeight="1">
      <c r="B32" s="854" t="s">
        <v>3065</v>
      </c>
      <c r="C32" s="856"/>
      <c r="D32" s="2472"/>
      <c r="E32" s="2473"/>
      <c r="F32" s="174"/>
      <c r="G32" s="174"/>
      <c r="H32" s="1059"/>
      <c r="I32" s="882"/>
      <c r="J32" s="882"/>
      <c r="K32" s="882"/>
      <c r="L32" s="883"/>
      <c r="M32" s="846" t="str">
        <f t="shared" si="4"/>
        <v/>
      </c>
    </row>
    <row r="33" spans="2:13" ht="24.65" customHeight="1">
      <c r="B33" s="854" t="s">
        <v>3066</v>
      </c>
      <c r="C33" s="856"/>
      <c r="D33" s="2472"/>
      <c r="E33" s="2473"/>
      <c r="F33" s="174"/>
      <c r="G33" s="174"/>
      <c r="H33" s="1059"/>
      <c r="I33" s="882"/>
      <c r="J33" s="882"/>
      <c r="K33" s="882"/>
      <c r="L33" s="883"/>
      <c r="M33" s="846" t="str">
        <f t="shared" si="4"/>
        <v/>
      </c>
    </row>
    <row r="34" spans="2:13" ht="24.65" customHeight="1">
      <c r="B34" s="854" t="s">
        <v>3067</v>
      </c>
      <c r="C34" s="856"/>
      <c r="D34" s="2472"/>
      <c r="E34" s="2473"/>
      <c r="F34" s="174"/>
      <c r="G34" s="174"/>
      <c r="H34" s="1059"/>
      <c r="I34" s="882"/>
      <c r="J34" s="882"/>
      <c r="K34" s="882"/>
      <c r="L34" s="883"/>
      <c r="M34" s="846" t="str">
        <f t="shared" si="4"/>
        <v/>
      </c>
    </row>
    <row r="35" spans="2:13" ht="24.65" customHeight="1">
      <c r="B35" s="854" t="s">
        <v>3068</v>
      </c>
      <c r="C35" s="856"/>
      <c r="D35" s="2472"/>
      <c r="E35" s="2473"/>
      <c r="F35" s="174"/>
      <c r="G35" s="174"/>
      <c r="H35" s="1059"/>
      <c r="I35" s="882"/>
      <c r="J35" s="882"/>
      <c r="K35" s="882"/>
      <c r="L35" s="883"/>
      <c r="M35" s="846" t="str">
        <f t="shared" si="4"/>
        <v/>
      </c>
    </row>
    <row r="37" spans="2:13" ht="15.5">
      <c r="B37" s="2457" t="s">
        <v>2631</v>
      </c>
      <c r="C37" s="2457"/>
      <c r="D37" s="1948" t="s">
        <v>1870</v>
      </c>
    </row>
    <row r="38" spans="2:13">
      <c r="B38" s="2458">
        <f>SUM(L13:M22)</f>
        <v>282</v>
      </c>
      <c r="C38" s="2336"/>
      <c r="D38" s="878">
        <f>SUM(L26:L35,K13:K22)</f>
        <v>1200</v>
      </c>
    </row>
  </sheetData>
  <mergeCells count="23">
    <mergeCell ref="A3:N3"/>
    <mergeCell ref="B38:C38"/>
    <mergeCell ref="D31:E31"/>
    <mergeCell ref="D32:E32"/>
    <mergeCell ref="D33:E33"/>
    <mergeCell ref="D34:E34"/>
    <mergeCell ref="D35:E35"/>
    <mergeCell ref="B37:C37"/>
    <mergeCell ref="B4:P4"/>
    <mergeCell ref="B5:E5"/>
    <mergeCell ref="F5:I5"/>
    <mergeCell ref="D30:E30"/>
    <mergeCell ref="B11:P11"/>
    <mergeCell ref="B24:P24"/>
    <mergeCell ref="B6:F6"/>
    <mergeCell ref="B8:F8"/>
    <mergeCell ref="D29:E29"/>
    <mergeCell ref="B9:I9"/>
    <mergeCell ref="B7:H7"/>
    <mergeCell ref="D25:E25"/>
    <mergeCell ref="D26:E26"/>
    <mergeCell ref="D27:E27"/>
    <mergeCell ref="D28:E28"/>
  </mergeCells>
  <conditionalFormatting sqref="A1:H1 J1:N1">
    <cfRule type="cellIs" dxfId="58" priority="1" stopIfTrue="1" operator="equal">
      <formula>"Missing Info"</formula>
    </cfRule>
  </conditionalFormatting>
  <dataValidations count="6">
    <dataValidation type="list" allowBlank="1" showInputMessage="1" showErrorMessage="1" sqref="C13:C22" xr:uid="{9C9C0A49-FC5B-4867-9326-50CC7795C648}">
      <formula1>"Indoor, Outdoor"</formula1>
    </dataValidation>
    <dataValidation type="list" allowBlank="1" showInputMessage="1" showErrorMessage="1" sqref="I13:J22" xr:uid="{E26CA8DD-4E7C-4010-BE56-1FD5A2A1AC41}">
      <formula1>"Yes, No"</formula1>
    </dataValidation>
    <dataValidation type="list" allowBlank="1" showInputMessage="1" showErrorMessage="1" sqref="C26:C35" xr:uid="{D8284F6B-C106-4F76-BE62-B2FCCC5CBA99}">
      <formula1>PoolHeater_Fuel</formula1>
    </dataValidation>
    <dataValidation type="list" allowBlank="1" showInputMessage="1" showErrorMessage="1" sqref="K26:K35" xr:uid="{793F3BEF-4824-4CD3-A34A-86C673049E47}">
      <formula1>$B$13:$B$22</formula1>
    </dataValidation>
    <dataValidation type="whole" operator="greaterThan" allowBlank="1" showInputMessage="1" showErrorMessage="1" sqref="D13:E22 H13:H22 K13:K22 D26:E35 L26:L35" xr:uid="{73407D8C-312D-4C1E-B78A-6343EC19D697}">
      <formula1>0</formula1>
    </dataValidation>
    <dataValidation type="decimal" operator="greaterThan" allowBlank="1" showInputMessage="1" showErrorMessage="1" sqref="H26:H35" xr:uid="{C70AF93B-95BE-47BB-BCA5-DDA40D8D6C20}">
      <formula1>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B0609C-6EC7-4A5D-8F3E-E5DABD55AB97}">
  <sheetPr codeName="Sheet46">
    <tabColor rgb="FF00B0F0"/>
    <pageSetUpPr fitToPage="1"/>
  </sheetPr>
  <dimension ref="B1:Y42"/>
  <sheetViews>
    <sheetView showGridLines="0" showZeros="0" zoomScale="85" zoomScaleNormal="85" workbookViewId="0">
      <selection activeCell="I23" sqref="I23"/>
    </sheetView>
  </sheetViews>
  <sheetFormatPr defaultColWidth="0" defaultRowHeight="14.5" customHeight="1" zeroHeight="1"/>
  <cols>
    <col min="1" max="1" width="3.54296875" style="42" customWidth="1"/>
    <col min="2" max="2" width="25.453125" style="42" customWidth="1"/>
    <col min="3" max="3" width="23.453125" style="42" customWidth="1"/>
    <col min="4" max="5" width="13.453125" style="42" customWidth="1"/>
    <col min="6" max="6" width="11.81640625" style="42" customWidth="1"/>
    <col min="7" max="7" width="16.453125" style="42" customWidth="1"/>
    <col min="8" max="8" width="15" style="42" customWidth="1"/>
    <col min="9" max="9" width="18.54296875" style="42" customWidth="1"/>
    <col min="10" max="10" width="23.453125" style="42" customWidth="1"/>
    <col min="11" max="11" width="24.453125" style="42" customWidth="1"/>
    <col min="12" max="12" width="3.54296875" style="42" customWidth="1"/>
    <col min="13" max="13" width="18.54296875" style="42" customWidth="1"/>
    <col min="14" max="14" width="18.81640625" style="42" customWidth="1"/>
    <col min="15" max="17" width="8.81640625" style="42" customWidth="1"/>
    <col min="18" max="16384" width="0" style="42" hidden="1"/>
  </cols>
  <sheetData>
    <row r="1" spans="2:25" ht="30">
      <c r="B1" s="2470" t="str">
        <f>'Customer Information'!A1</f>
        <v>2024 Multi-Family Program</v>
      </c>
      <c r="C1" s="2470"/>
      <c r="D1" s="2470"/>
      <c r="E1" s="2470"/>
      <c r="F1" s="2470"/>
      <c r="G1" s="2470"/>
      <c r="H1" s="2470"/>
      <c r="I1" s="2470"/>
      <c r="J1" s="2470"/>
      <c r="K1" s="2470"/>
      <c r="L1" s="350"/>
      <c r="M1" s="350"/>
    </row>
    <row r="2" spans="2:25"/>
    <row r="3" spans="2:25" ht="23">
      <c r="B3" s="11" t="str">
        <f>"Common Area Pool Inspection Form, Version "&amp;Development!A2</f>
        <v>Common Area Pool Inspection Form, Version 2.0</v>
      </c>
      <c r="C3" s="11"/>
      <c r="D3" s="11"/>
      <c r="E3" s="11"/>
      <c r="F3" s="11"/>
      <c r="G3" s="11"/>
      <c r="H3" s="11"/>
      <c r="I3" s="11"/>
      <c r="J3" s="11"/>
      <c r="K3" s="11"/>
      <c r="L3" s="11"/>
      <c r="M3" s="11"/>
      <c r="N3" s="11"/>
      <c r="O3" s="11"/>
    </row>
    <row r="4" spans="2:25"/>
    <row r="5" spans="2:25" ht="18" customHeight="1">
      <c r="B5" s="1716" t="s">
        <v>5413</v>
      </c>
      <c r="C5" s="1718" t="str">
        <f>References!$C$45</f>
        <v>PSEGLI_2023_MultiFamilyRebateApplication_Version 2.0_Draft11_ForTestSB.xlsm</v>
      </c>
      <c r="D5" s="1718"/>
      <c r="E5" s="1718"/>
      <c r="F5" s="1718"/>
    </row>
    <row r="6" spans="2:25" ht="18" customHeight="1">
      <c r="B6" s="1716" t="s">
        <v>5382</v>
      </c>
      <c r="C6" s="1718" t="str">
        <f>IF('Customer Information'!L43="","",'Customer Information'!L43)</f>
        <v/>
      </c>
      <c r="D6" s="1718"/>
      <c r="E6" s="1718"/>
      <c r="F6" s="1718"/>
      <c r="G6" s="1793"/>
      <c r="H6" s="1594"/>
      <c r="I6" s="1594"/>
      <c r="J6" s="2453" t="s">
        <v>5384</v>
      </c>
      <c r="K6" s="2454"/>
      <c r="L6" s="2454"/>
      <c r="M6" s="2454"/>
      <c r="N6" s="2454"/>
      <c r="O6" s="2454"/>
      <c r="P6" s="2455"/>
      <c r="Q6" s="1719"/>
      <c r="R6" s="1719"/>
    </row>
    <row r="7" spans="2:25" ht="18" customHeight="1">
      <c r="B7" s="1716"/>
      <c r="C7" s="1716"/>
      <c r="D7" s="1716"/>
      <c r="E7" s="1716"/>
      <c r="F7" s="1594"/>
      <c r="G7" s="1594"/>
      <c r="H7" s="1594"/>
      <c r="I7" s="1594"/>
      <c r="J7" s="1723"/>
      <c r="K7" s="1594"/>
      <c r="L7" s="1594"/>
      <c r="M7" s="1594"/>
      <c r="N7" s="1594"/>
      <c r="O7" s="1594"/>
      <c r="P7" s="1725"/>
      <c r="Q7" s="157"/>
      <c r="R7" s="157"/>
    </row>
    <row r="8" spans="2:25" ht="18" customHeight="1">
      <c r="B8" s="1716" t="s">
        <v>5383</v>
      </c>
      <c r="C8" s="1718" t="str">
        <f>IF('Customer Information'!C6="","",'Customer Information'!C6)</f>
        <v/>
      </c>
      <c r="D8" s="1718"/>
      <c r="E8" s="1718"/>
      <c r="F8" s="1718"/>
      <c r="G8" s="1594"/>
      <c r="H8" s="1594"/>
      <c r="I8" s="1594"/>
      <c r="J8" s="1780" t="s">
        <v>5386</v>
      </c>
      <c r="K8" s="1724"/>
      <c r="L8" s="1594"/>
      <c r="M8" s="1716" t="s">
        <v>5387</v>
      </c>
      <c r="N8" s="2452"/>
      <c r="O8" s="2452"/>
      <c r="P8" s="2471"/>
    </row>
    <row r="9" spans="2:25" ht="18" customHeight="1">
      <c r="B9" s="1716" t="s">
        <v>5385</v>
      </c>
      <c r="C9" s="1718" t="str">
        <f>IF('Customer Information'!C7="","",'Customer Information'!C7)</f>
        <v/>
      </c>
      <c r="D9" s="1718"/>
      <c r="E9" s="1718"/>
      <c r="F9" s="1718"/>
      <c r="G9" s="1594"/>
      <c r="H9" s="1594"/>
      <c r="I9" s="1594"/>
      <c r="J9" s="1723"/>
      <c r="K9" s="1594"/>
      <c r="L9" s="1594"/>
      <c r="M9" s="1594"/>
      <c r="N9" s="1594"/>
      <c r="O9" s="1594"/>
      <c r="P9" s="1725"/>
    </row>
    <row r="10" spans="2:25" ht="18" customHeight="1">
      <c r="B10" s="1716" t="s">
        <v>5414</v>
      </c>
      <c r="C10" s="1718" t="str">
        <f>IF('Customer Information'!I7="","",'Customer Information'!I7)</f>
        <v/>
      </c>
      <c r="D10" s="1718"/>
      <c r="E10" s="1718"/>
      <c r="F10" s="1718"/>
      <c r="G10" s="1594"/>
      <c r="H10" s="1594"/>
      <c r="I10" s="1594"/>
      <c r="J10" s="1780" t="s">
        <v>5390</v>
      </c>
      <c r="K10" s="1724"/>
      <c r="L10" s="1594"/>
      <c r="M10" s="1716" t="s">
        <v>9</v>
      </c>
      <c r="N10" s="2452"/>
      <c r="O10" s="2452"/>
      <c r="P10" s="2471"/>
    </row>
    <row r="11" spans="2:25" ht="18" customHeight="1">
      <c r="B11" s="1716" t="s">
        <v>5388</v>
      </c>
      <c r="C11" s="1718" t="str">
        <f>IF('Customer Information'!C10="","",'Customer Information'!C10)</f>
        <v/>
      </c>
      <c r="D11" s="1718"/>
      <c r="E11" s="1718"/>
      <c r="F11" s="1718"/>
      <c r="G11" s="1594"/>
      <c r="H11" s="1594"/>
      <c r="I11" s="1594"/>
      <c r="J11" s="1723"/>
      <c r="K11" s="1594"/>
      <c r="L11" s="1594"/>
      <c r="M11" s="1594"/>
      <c r="N11" s="1594"/>
      <c r="O11" s="1594"/>
      <c r="P11" s="1725"/>
    </row>
    <row r="12" spans="2:25" ht="18" customHeight="1">
      <c r="B12" s="1716" t="s">
        <v>5389</v>
      </c>
      <c r="C12" s="1726" t="str">
        <f>IF('Customer Information'!K9="","",'Customer Information'!K9)</f>
        <v/>
      </c>
      <c r="D12" s="1718"/>
      <c r="E12" s="1718"/>
      <c r="F12" s="1718"/>
      <c r="G12" s="1594"/>
      <c r="H12" s="1594"/>
      <c r="I12" s="1594"/>
      <c r="J12" s="1780" t="s">
        <v>10</v>
      </c>
      <c r="K12" s="1724"/>
      <c r="L12" s="1594"/>
      <c r="M12" s="1716" t="s">
        <v>140</v>
      </c>
      <c r="N12" s="2452"/>
      <c r="O12" s="2452"/>
      <c r="P12" s="2471"/>
    </row>
    <row r="13" spans="2:25" ht="18" customHeight="1">
      <c r="B13" s="1716" t="s">
        <v>5391</v>
      </c>
      <c r="C13" s="1726" t="str">
        <f>IF('Customer Information'!K10="","",'Customer Information'!K10)</f>
        <v/>
      </c>
      <c r="D13" s="1718"/>
      <c r="E13" s="1718"/>
      <c r="F13" s="1718"/>
      <c r="G13" s="1594"/>
      <c r="H13" s="1594"/>
      <c r="I13" s="1594"/>
      <c r="J13" s="1723"/>
      <c r="K13" s="1594"/>
      <c r="L13" s="1594"/>
      <c r="M13" s="1594"/>
      <c r="N13" s="1594"/>
      <c r="O13" s="1594"/>
      <c r="P13" s="1725"/>
      <c r="Q13" s="157"/>
      <c r="R13" s="157"/>
    </row>
    <row r="14" spans="2:25" ht="18" customHeight="1">
      <c r="B14" s="1716" t="s">
        <v>3283</v>
      </c>
      <c r="C14" s="1718" t="str">
        <f>IF('Customer Information'!K13="","",'Customer Information'!K13)</f>
        <v/>
      </c>
      <c r="D14" s="1718"/>
      <c r="E14" s="1718"/>
      <c r="F14" s="1718"/>
      <c r="G14" s="1594"/>
      <c r="H14" s="1594"/>
      <c r="I14" s="1594"/>
      <c r="J14" s="1794"/>
      <c r="K14" s="1718"/>
      <c r="L14" s="1718"/>
      <c r="M14" s="1718"/>
      <c r="N14" s="1718"/>
      <c r="O14" s="1718"/>
      <c r="P14" s="1795"/>
    </row>
    <row r="15" spans="2:25" ht="18" customHeight="1">
      <c r="B15" s="1716" t="s">
        <v>5392</v>
      </c>
      <c r="C15" s="1743"/>
      <c r="D15" s="1743"/>
      <c r="E15" s="1743"/>
      <c r="F15" s="1743"/>
      <c r="G15" s="1594"/>
      <c r="H15" s="1594"/>
      <c r="I15" s="1594"/>
      <c r="J15" s="1594"/>
      <c r="K15" s="1594"/>
      <c r="L15" s="1594"/>
      <c r="M15" s="1594"/>
      <c r="N15" s="1594"/>
      <c r="O15" s="1594"/>
      <c r="P15" s="1594"/>
    </row>
    <row r="16" spans="2:25" ht="20">
      <c r="B16" s="1783"/>
      <c r="C16" s="1733"/>
      <c r="D16" s="1733"/>
      <c r="E16" s="1733"/>
      <c r="F16" s="1733"/>
      <c r="G16" s="1733"/>
      <c r="H16" s="1733"/>
      <c r="I16" s="1733"/>
      <c r="J16" s="1733"/>
      <c r="K16" s="1733"/>
      <c r="L16" s="1733"/>
      <c r="M16" s="1733"/>
      <c r="N16" s="1733"/>
      <c r="O16" s="1733"/>
      <c r="P16" s="1733"/>
      <c r="Q16" s="1436"/>
      <c r="R16" s="1436"/>
      <c r="S16" s="1436"/>
      <c r="T16" s="1436"/>
      <c r="U16" s="1436"/>
      <c r="V16" s="1436"/>
      <c r="W16" s="1436"/>
      <c r="X16" s="1436"/>
      <c r="Y16" s="1436"/>
    </row>
    <row r="17" spans="2:17" ht="15.5">
      <c r="B17" s="2469"/>
      <c r="C17" s="2469"/>
      <c r="D17" s="1786"/>
      <c r="E17" s="1786"/>
      <c r="F17" s="1786"/>
      <c r="G17" s="1786"/>
      <c r="H17" s="1786"/>
      <c r="J17" s="1786"/>
      <c r="K17" s="1786"/>
      <c r="L17" s="1594"/>
      <c r="M17" s="1786"/>
      <c r="N17" s="2469"/>
      <c r="O17" s="2469"/>
      <c r="P17" s="2469"/>
    </row>
    <row r="18" spans="2:17" ht="51" customHeight="1">
      <c r="B18" s="1734" t="s">
        <v>3030</v>
      </c>
      <c r="C18" s="1734" t="s">
        <v>686</v>
      </c>
      <c r="D18" s="1734" t="s">
        <v>5420</v>
      </c>
      <c r="E18" s="1734" t="s">
        <v>5421</v>
      </c>
      <c r="F18" s="1734" t="s">
        <v>5422</v>
      </c>
      <c r="G18" s="1734" t="s">
        <v>5423</v>
      </c>
      <c r="H18" s="1734" t="s">
        <v>5424</v>
      </c>
      <c r="I18" s="1734" t="s">
        <v>5425</v>
      </c>
      <c r="J18" s="1734" t="s">
        <v>5426</v>
      </c>
      <c r="K18" s="1734" t="s">
        <v>5427</v>
      </c>
      <c r="L18"/>
      <c r="M18"/>
      <c r="N18" s="2444" t="s">
        <v>5402</v>
      </c>
      <c r="O18" s="2446"/>
      <c r="P18" s="2446"/>
      <c r="Q18" s="2445"/>
    </row>
    <row r="19" spans="2:17" ht="20.5" customHeight="1">
      <c r="B19" s="1796" t="str">
        <f>IF('Worksheet Common Pool'!B13="","",'Worksheet Common Pool'!B13)</f>
        <v>Pool 1</v>
      </c>
      <c r="C19" s="1796" t="str">
        <f>IF('Worksheet Common Pool'!C13="","",'Worksheet Common Pool'!C13)</f>
        <v>Outdoor</v>
      </c>
      <c r="D19" s="1797">
        <f>IF('Worksheet Common Pool'!D13="","",'Worksheet Common Pool'!D13)</f>
        <v>12000</v>
      </c>
      <c r="E19" s="1797">
        <f>IF('Worksheet Common Pool'!H13="","",'Worksheet Common Pool'!H13)</f>
        <v>600</v>
      </c>
      <c r="F19" s="1796">
        <f>IF('Worksheet Common Pool'!E13="","",'Worksheet Common Pool'!E13)</f>
        <v>2</v>
      </c>
      <c r="G19" s="1796" t="str">
        <f>IF('Worksheet Common Pool'!C26="","",'Worksheet Common Pool'!C26)</f>
        <v>None</v>
      </c>
      <c r="H19" s="1796">
        <f>COUNTIFS('Worksheet Common Pool'!K26:K35,B19,'Worksheet Common Pool'!M26:M35,"Pass")</f>
        <v>1</v>
      </c>
      <c r="I19" s="1647"/>
      <c r="J19" s="1796" t="str">
        <f>IF('Worksheet Common Pool'!I13="","",'Worksheet Common Pool'!I13)</f>
        <v>No</v>
      </c>
      <c r="K19" s="1137"/>
      <c r="L19"/>
      <c r="M19"/>
      <c r="N19" s="2315"/>
      <c r="O19" s="2315"/>
      <c r="P19" s="2315"/>
      <c r="Q19" s="2315"/>
    </row>
    <row r="20" spans="2:17" ht="20.5" customHeight="1">
      <c r="B20" s="1796" t="str">
        <f>IF('Worksheet Common Pool'!B14="","",'Worksheet Common Pool'!B14)</f>
        <v>Pool 2</v>
      </c>
      <c r="C20" s="1796" t="str">
        <f>IF('Worksheet Common Pool'!C14="","",'Worksheet Common Pool'!C14)</f>
        <v/>
      </c>
      <c r="D20" s="1797" t="str">
        <f>IF('Worksheet Common Pool'!D14="","",'Worksheet Common Pool'!D14)</f>
        <v/>
      </c>
      <c r="E20" s="1797" t="str">
        <f>IF('Worksheet Common Pool'!H14="","",'Worksheet Common Pool'!H14)</f>
        <v/>
      </c>
      <c r="F20" s="1796" t="str">
        <f>IF('Worksheet Common Pool'!E14="","",'Worksheet Common Pool'!E14)</f>
        <v/>
      </c>
      <c r="G20" s="1796" t="str">
        <f>IF('Worksheet Common Pool'!C27="","",'Worksheet Common Pool'!C27)</f>
        <v/>
      </c>
      <c r="H20" s="1796">
        <f>COUNTIFS('Worksheet Common Pool'!K27:K36,B20,'Worksheet Common Pool'!M27:M36,"Pass")</f>
        <v>0</v>
      </c>
      <c r="I20" s="1647"/>
      <c r="J20" s="1796" t="str">
        <f>IF('Worksheet Common Pool'!I14="","",'Worksheet Common Pool'!I14)</f>
        <v/>
      </c>
      <c r="K20" s="1137"/>
      <c r="L20"/>
      <c r="M20"/>
      <c r="N20" s="2315"/>
      <c r="O20" s="2315"/>
      <c r="P20" s="2315"/>
      <c r="Q20" s="2315"/>
    </row>
    <row r="21" spans="2:17" ht="20.5" customHeight="1">
      <c r="B21" s="1796" t="str">
        <f>IF('Worksheet Common Pool'!B15="","",'Worksheet Common Pool'!B15)</f>
        <v>Pool 3</v>
      </c>
      <c r="C21" s="1796" t="str">
        <f>IF('Worksheet Common Pool'!C15="","",'Worksheet Common Pool'!C15)</f>
        <v/>
      </c>
      <c r="D21" s="1797" t="str">
        <f>IF('Worksheet Common Pool'!D15="","",'Worksheet Common Pool'!D15)</f>
        <v/>
      </c>
      <c r="E21" s="1797" t="str">
        <f>IF('Worksheet Common Pool'!H15="","",'Worksheet Common Pool'!H15)</f>
        <v/>
      </c>
      <c r="F21" s="1796" t="str">
        <f>IF('Worksheet Common Pool'!E15="","",'Worksheet Common Pool'!E15)</f>
        <v/>
      </c>
      <c r="G21" s="1796" t="str">
        <f>IF('Worksheet Common Pool'!C28="","",'Worksheet Common Pool'!C28)</f>
        <v/>
      </c>
      <c r="H21" s="1796">
        <f>COUNTIFS('Worksheet Common Pool'!K28:K37,B21,'Worksheet Common Pool'!M28:M37,"Pass")</f>
        <v>0</v>
      </c>
      <c r="I21" s="1647"/>
      <c r="J21" s="1796" t="str">
        <f>IF('Worksheet Common Pool'!I15="","",'Worksheet Common Pool'!I15)</f>
        <v/>
      </c>
      <c r="K21" s="1137"/>
      <c r="L21"/>
      <c r="M21"/>
      <c r="N21" s="2315"/>
      <c r="O21" s="2315"/>
      <c r="P21" s="2315"/>
      <c r="Q21" s="2315"/>
    </row>
    <row r="22" spans="2:17" ht="20.5" customHeight="1">
      <c r="B22" s="1796" t="str">
        <f>IF('Worksheet Common Pool'!B16="","",'Worksheet Common Pool'!B16)</f>
        <v>Pool 4</v>
      </c>
      <c r="C22" s="1796" t="str">
        <f>IF('Worksheet Common Pool'!C16="","",'Worksheet Common Pool'!C16)</f>
        <v/>
      </c>
      <c r="D22" s="1797" t="str">
        <f>IF('Worksheet Common Pool'!D16="","",'Worksheet Common Pool'!D16)</f>
        <v/>
      </c>
      <c r="E22" s="1797" t="str">
        <f>IF('Worksheet Common Pool'!H16="","",'Worksheet Common Pool'!H16)</f>
        <v/>
      </c>
      <c r="F22" s="1796" t="str">
        <f>IF('Worksheet Common Pool'!E16="","",'Worksheet Common Pool'!E16)</f>
        <v/>
      </c>
      <c r="G22" s="1796" t="str">
        <f>IF('Worksheet Common Pool'!C29="","",'Worksheet Common Pool'!C29)</f>
        <v/>
      </c>
      <c r="H22" s="1796">
        <f>COUNTIFS('Worksheet Common Pool'!K29:K38,B22,'Worksheet Common Pool'!M29:M38,"Pass")</f>
        <v>0</v>
      </c>
      <c r="I22" s="1647"/>
      <c r="J22" s="1796" t="str">
        <f>IF('Worksheet Common Pool'!I16="","",'Worksheet Common Pool'!I16)</f>
        <v/>
      </c>
      <c r="K22" s="1137"/>
      <c r="L22"/>
      <c r="M22"/>
      <c r="N22" s="2315"/>
      <c r="O22" s="2315"/>
      <c r="P22" s="2315"/>
      <c r="Q22" s="2315"/>
    </row>
    <row r="23" spans="2:17" ht="20.5" customHeight="1">
      <c r="B23" s="1796" t="str">
        <f>IF('Worksheet Common Pool'!B17="","",'Worksheet Common Pool'!B17)</f>
        <v>Pool 5</v>
      </c>
      <c r="C23" s="1796" t="str">
        <f>IF('Worksheet Common Pool'!C17="","",'Worksheet Common Pool'!C17)</f>
        <v/>
      </c>
      <c r="D23" s="1797" t="str">
        <f>IF('Worksheet Common Pool'!D17="","",'Worksheet Common Pool'!D17)</f>
        <v/>
      </c>
      <c r="E23" s="1797" t="str">
        <f>IF('Worksheet Common Pool'!H17="","",'Worksheet Common Pool'!H17)</f>
        <v/>
      </c>
      <c r="F23" s="1796" t="str">
        <f>IF('Worksheet Common Pool'!E17="","",'Worksheet Common Pool'!E17)</f>
        <v/>
      </c>
      <c r="G23" s="1796" t="str">
        <f>IF('Worksheet Common Pool'!C30="","",'Worksheet Common Pool'!C30)</f>
        <v/>
      </c>
      <c r="H23" s="1796">
        <f>COUNTIFS('Worksheet Common Pool'!K30:K39,B23,'Worksheet Common Pool'!M30:M39,"Pass")</f>
        <v>0</v>
      </c>
      <c r="I23" s="1647"/>
      <c r="J23" s="1796" t="str">
        <f>IF('Worksheet Common Pool'!I17="","",'Worksheet Common Pool'!I17)</f>
        <v/>
      </c>
      <c r="K23" s="1137"/>
      <c r="L23"/>
      <c r="M23"/>
      <c r="N23" s="2315"/>
      <c r="O23" s="2315"/>
      <c r="P23" s="2315"/>
      <c r="Q23" s="2315"/>
    </row>
    <row r="24" spans="2:17" ht="20.5" customHeight="1">
      <c r="B24" s="1796" t="str">
        <f>IF('Worksheet Common Pool'!B18="","",'Worksheet Common Pool'!B18)</f>
        <v>Pool 6</v>
      </c>
      <c r="C24" s="1796" t="str">
        <f>IF('Worksheet Common Pool'!C18="","",'Worksheet Common Pool'!C18)</f>
        <v/>
      </c>
      <c r="D24" s="1797" t="str">
        <f>IF('Worksheet Common Pool'!D18="","",'Worksheet Common Pool'!D18)</f>
        <v/>
      </c>
      <c r="E24" s="1797" t="str">
        <f>IF('Worksheet Common Pool'!H18="","",'Worksheet Common Pool'!H18)</f>
        <v/>
      </c>
      <c r="F24" s="1796" t="str">
        <f>IF('Worksheet Common Pool'!E18="","",'Worksheet Common Pool'!E18)</f>
        <v/>
      </c>
      <c r="G24" s="1796" t="str">
        <f>IF('Worksheet Common Pool'!C31="","",'Worksheet Common Pool'!C31)</f>
        <v/>
      </c>
      <c r="H24" s="1796">
        <f>COUNTIFS('Worksheet Common Pool'!K31:K40,B24,'Worksheet Common Pool'!M31:M40,"Pass")</f>
        <v>0</v>
      </c>
      <c r="I24" s="1647"/>
      <c r="J24" s="1796" t="str">
        <f>IF('Worksheet Common Pool'!I18="","",'Worksheet Common Pool'!I18)</f>
        <v/>
      </c>
      <c r="K24" s="1137"/>
      <c r="L24"/>
      <c r="M24"/>
      <c r="N24" s="2315"/>
      <c r="O24" s="2315"/>
      <c r="P24" s="2315"/>
      <c r="Q24" s="2315"/>
    </row>
    <row r="25" spans="2:17" ht="20.5" customHeight="1">
      <c r="B25" s="1796" t="str">
        <f>IF('Worksheet Common Pool'!B19="","",'Worksheet Common Pool'!B19)</f>
        <v>Pool 7</v>
      </c>
      <c r="C25" s="1796" t="str">
        <f>IF('Worksheet Common Pool'!C19="","",'Worksheet Common Pool'!C19)</f>
        <v/>
      </c>
      <c r="D25" s="1797" t="str">
        <f>IF('Worksheet Common Pool'!D19="","",'Worksheet Common Pool'!D19)</f>
        <v/>
      </c>
      <c r="E25" s="1797" t="str">
        <f>IF('Worksheet Common Pool'!H19="","",'Worksheet Common Pool'!H19)</f>
        <v/>
      </c>
      <c r="F25" s="1796" t="str">
        <f>IF('Worksheet Common Pool'!E19="","",'Worksheet Common Pool'!E19)</f>
        <v/>
      </c>
      <c r="G25" s="1796" t="str">
        <f>IF('Worksheet Common Pool'!C32="","",'Worksheet Common Pool'!C32)</f>
        <v/>
      </c>
      <c r="H25" s="1796">
        <f>COUNTIFS('Worksheet Common Pool'!K32:K41,B25,'Worksheet Common Pool'!M32:M41,"Pass")</f>
        <v>0</v>
      </c>
      <c r="I25" s="1798"/>
      <c r="J25" s="1796" t="str">
        <f>IF('Worksheet Common Pool'!I19="","",'Worksheet Common Pool'!I19)</f>
        <v/>
      </c>
      <c r="K25" s="1799"/>
      <c r="L25" s="1786"/>
      <c r="M25" s="1594"/>
      <c r="N25" s="2315"/>
      <c r="O25" s="2315"/>
      <c r="P25" s="2315"/>
      <c r="Q25" s="2315"/>
    </row>
    <row r="26" spans="2:17" ht="20.5" customHeight="1">
      <c r="B26" s="1796" t="str">
        <f>IF('Worksheet Common Pool'!B20="","",'Worksheet Common Pool'!B20)</f>
        <v>Pool 8</v>
      </c>
      <c r="C26" s="1796" t="str">
        <f>IF('Worksheet Common Pool'!C20="","",'Worksheet Common Pool'!C20)</f>
        <v/>
      </c>
      <c r="D26" s="1797" t="str">
        <f>IF('Worksheet Common Pool'!D20="","",'Worksheet Common Pool'!D20)</f>
        <v/>
      </c>
      <c r="E26" s="1797" t="str">
        <f>IF('Worksheet Common Pool'!H20="","",'Worksheet Common Pool'!H20)</f>
        <v/>
      </c>
      <c r="F26" s="1796" t="str">
        <f>IF('Worksheet Common Pool'!E20="","",'Worksheet Common Pool'!E20)</f>
        <v/>
      </c>
      <c r="G26" s="1796" t="str">
        <f>IF('Worksheet Common Pool'!C33="","",'Worksheet Common Pool'!C33)</f>
        <v/>
      </c>
      <c r="H26" s="1796">
        <f>COUNTIFS('Worksheet Common Pool'!K33:K42,B26,'Worksheet Common Pool'!M33:M42,"Pass")</f>
        <v>0</v>
      </c>
      <c r="I26" s="1800"/>
      <c r="J26" s="1796" t="str">
        <f>IF('Worksheet Common Pool'!I20="","",'Worksheet Common Pool'!I20)</f>
        <v/>
      </c>
      <c r="K26" s="1801"/>
      <c r="L26" s="1594"/>
      <c r="M26" s="1594"/>
      <c r="N26" s="2315"/>
      <c r="O26" s="2315"/>
      <c r="P26" s="2315"/>
      <c r="Q26" s="2315"/>
    </row>
    <row r="27" spans="2:17" ht="20.5" customHeight="1">
      <c r="B27" s="1796" t="str">
        <f>IF('Worksheet Common Pool'!B21="","",'Worksheet Common Pool'!B21)</f>
        <v>Pool 9</v>
      </c>
      <c r="C27" s="1796" t="str">
        <f>IF('Worksheet Common Pool'!C21="","",'Worksheet Common Pool'!C21)</f>
        <v/>
      </c>
      <c r="D27" s="1797" t="str">
        <f>IF('Worksheet Common Pool'!D21="","",'Worksheet Common Pool'!D21)</f>
        <v/>
      </c>
      <c r="E27" s="1797" t="str">
        <f>IF('Worksheet Common Pool'!H21="","",'Worksheet Common Pool'!H21)</f>
        <v/>
      </c>
      <c r="F27" s="1796" t="str">
        <f>IF('Worksheet Common Pool'!E21="","",'Worksheet Common Pool'!E21)</f>
        <v/>
      </c>
      <c r="G27" s="1796" t="str">
        <f>IF('Worksheet Common Pool'!C34="","",'Worksheet Common Pool'!C34)</f>
        <v/>
      </c>
      <c r="H27" s="1796">
        <f>COUNTIFS('Worksheet Common Pool'!K34:K43,B27,'Worksheet Common Pool'!M34:M43,"Pass")</f>
        <v>0</v>
      </c>
      <c r="I27" s="1802"/>
      <c r="J27" s="1796" t="str">
        <f>IF('Worksheet Common Pool'!I21="","",'Worksheet Common Pool'!I21)</f>
        <v/>
      </c>
      <c r="K27" s="1801"/>
      <c r="L27" s="1594"/>
      <c r="M27" s="1594"/>
      <c r="N27" s="2315"/>
      <c r="O27" s="2315"/>
      <c r="P27" s="2315"/>
      <c r="Q27" s="2315"/>
    </row>
    <row r="28" spans="2:17" ht="20.5" customHeight="1">
      <c r="B28" s="1796" t="str">
        <f>IF('Worksheet Common Pool'!B22="","",'Worksheet Common Pool'!B22)</f>
        <v>Pool 10</v>
      </c>
      <c r="C28" s="1796" t="str">
        <f>IF('Worksheet Common Pool'!C22="","",'Worksheet Common Pool'!C22)</f>
        <v/>
      </c>
      <c r="D28" s="1797" t="str">
        <f>IF('Worksheet Common Pool'!D22="","",'Worksheet Common Pool'!D22)</f>
        <v/>
      </c>
      <c r="E28" s="1797" t="str">
        <f>IF('Worksheet Common Pool'!H22="","",'Worksheet Common Pool'!H22)</f>
        <v/>
      </c>
      <c r="F28" s="1796" t="str">
        <f>IF('Worksheet Common Pool'!E22="","",'Worksheet Common Pool'!E22)</f>
        <v/>
      </c>
      <c r="G28" s="1796" t="str">
        <f>IF('Worksheet Common Pool'!C35="","",'Worksheet Common Pool'!C35)</f>
        <v/>
      </c>
      <c r="H28" s="1796">
        <f>COUNTIFS('Worksheet Common Pool'!K35:K44,B28,'Worksheet Common Pool'!M35:M44,"Pass")</f>
        <v>0</v>
      </c>
      <c r="I28" s="1802"/>
      <c r="J28" s="1796" t="str">
        <f>IF('Worksheet Common Pool'!I22="","",'Worksheet Common Pool'!I22)</f>
        <v/>
      </c>
      <c r="K28" s="1801"/>
      <c r="N28" s="2315"/>
      <c r="O28" s="2315"/>
      <c r="P28" s="2315"/>
      <c r="Q28" s="2315"/>
    </row>
    <row r="29" spans="2:17" customFormat="1" ht="20.5" customHeight="1"/>
    <row r="30" spans="2:17" customFormat="1" ht="20.5" customHeight="1"/>
    <row r="31" spans="2:17" customFormat="1" ht="20.5" customHeight="1"/>
    <row r="32" spans="2:17" customFormat="1" ht="20.5" customHeight="1"/>
    <row r="33" spans="2:16" customFormat="1" ht="20.5" customHeight="1"/>
    <row r="34" spans="2:16" customFormat="1" ht="20.5" customHeight="1"/>
    <row r="35" spans="2:16">
      <c r="B35" s="1791"/>
      <c r="C35" s="1791"/>
      <c r="D35" s="1791"/>
      <c r="E35" s="1791"/>
      <c r="F35" s="1791"/>
      <c r="G35" s="1791"/>
      <c r="H35" s="1791"/>
      <c r="I35" s="1791"/>
      <c r="J35" s="1792"/>
      <c r="N35" s="2468"/>
      <c r="O35" s="2468"/>
      <c r="P35" s="2468"/>
    </row>
    <row r="36" spans="2:16">
      <c r="B36" s="1791"/>
      <c r="C36" s="1791"/>
      <c r="D36" s="1791"/>
      <c r="E36" s="1791"/>
      <c r="F36" s="1791"/>
      <c r="G36" s="1791"/>
      <c r="H36" s="1791"/>
      <c r="I36" s="1791"/>
      <c r="J36" s="1792"/>
      <c r="N36" s="2468"/>
      <c r="O36" s="2468"/>
      <c r="P36" s="2468"/>
    </row>
    <row r="37" spans="2:16">
      <c r="B37" s="1791"/>
      <c r="C37" s="1791"/>
      <c r="D37" s="1791"/>
      <c r="E37" s="1791"/>
      <c r="F37" s="1791"/>
      <c r="G37" s="1791"/>
      <c r="H37" s="1791"/>
      <c r="I37" s="1791"/>
      <c r="J37" s="1792"/>
      <c r="N37" s="2468"/>
      <c r="O37" s="2468"/>
      <c r="P37" s="2468"/>
    </row>
    <row r="38" spans="2:16">
      <c r="B38" s="1791"/>
      <c r="C38" s="1791"/>
      <c r="D38" s="1791"/>
      <c r="E38" s="1791"/>
      <c r="F38" s="1791"/>
      <c r="G38" s="1791"/>
      <c r="H38" s="1791"/>
      <c r="I38" s="1791"/>
      <c r="J38" s="1792"/>
      <c r="N38" s="2468"/>
      <c r="O38" s="2468"/>
      <c r="P38" s="2468"/>
    </row>
    <row r="39" spans="2:16"/>
    <row r="40" spans="2:16"/>
    <row r="41" spans="2:16"/>
    <row r="42" spans="2:16"/>
  </sheetData>
  <mergeCells count="22">
    <mergeCell ref="N10:P10"/>
    <mergeCell ref="N12:P12"/>
    <mergeCell ref="B1:K1"/>
    <mergeCell ref="J6:P6"/>
    <mergeCell ref="N8:P8"/>
    <mergeCell ref="N24:Q24"/>
    <mergeCell ref="B17:C17"/>
    <mergeCell ref="N17:P17"/>
    <mergeCell ref="N18:Q18"/>
    <mergeCell ref="N19:Q19"/>
    <mergeCell ref="N20:Q20"/>
    <mergeCell ref="N21:Q21"/>
    <mergeCell ref="N22:Q22"/>
    <mergeCell ref="N23:Q23"/>
    <mergeCell ref="N37:P37"/>
    <mergeCell ref="N38:P38"/>
    <mergeCell ref="N25:Q25"/>
    <mergeCell ref="N26:Q26"/>
    <mergeCell ref="N27:Q27"/>
    <mergeCell ref="N28:Q28"/>
    <mergeCell ref="N35:P35"/>
    <mergeCell ref="N36:P36"/>
  </mergeCells>
  <conditionalFormatting sqref="I26:I28 K26:K28">
    <cfRule type="expression" dxfId="57" priority="1" stopIfTrue="1">
      <formula>$L26="DNQ"</formula>
    </cfRule>
  </conditionalFormatting>
  <pageMargins left="0.25" right="0.25" top="0.75" bottom="0.75" header="0.3" footer="0.3"/>
  <pageSetup scale="52" orientation="landscape"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77185" r:id="rId4" name="Option Button 1">
              <controlPr defaultSize="0" autoFill="0" autoLine="0" autoPict="0">
                <anchor moveWithCells="1">
                  <from>
                    <xdr:col>9</xdr:col>
                    <xdr:colOff>10718800</xdr:colOff>
                    <xdr:row>12</xdr:row>
                    <xdr:rowOff>1746250</xdr:rowOff>
                  </from>
                  <to>
                    <xdr:col>11</xdr:col>
                    <xdr:colOff>0</xdr:colOff>
                    <xdr:row>14</xdr:row>
                    <xdr:rowOff>0</xdr:rowOff>
                  </to>
                </anchor>
              </controlPr>
            </control>
          </mc:Choice>
        </mc:AlternateContent>
        <mc:AlternateContent xmlns:mc="http://schemas.openxmlformats.org/markup-compatibility/2006">
          <mc:Choice Requires="x14">
            <control shapeId="477186" r:id="rId5" name="Option Button 2">
              <controlPr defaultSize="0" autoFill="0" autoLine="0" autoPict="0">
                <anchor moveWithCells="1">
                  <from>
                    <xdr:col>10</xdr:col>
                    <xdr:colOff>13385800</xdr:colOff>
                    <xdr:row>12</xdr:row>
                    <xdr:rowOff>2622550</xdr:rowOff>
                  </from>
                  <to>
                    <xdr:col>13</xdr:col>
                    <xdr:colOff>0</xdr:colOff>
                    <xdr:row>14</xdr:row>
                    <xdr:rowOff>107950</xdr:rowOff>
                  </to>
                </anchor>
              </controlPr>
            </control>
          </mc:Choice>
        </mc:AlternateContent>
      </controls>
    </mc:Choice>
  </mc:AlternateConten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8B5AD1-14CE-4FBA-A606-486DA24ED122}">
  <sheetPr codeName="Sheet37">
    <tabColor rgb="FF92D050"/>
  </sheetPr>
  <dimension ref="A1:V77"/>
  <sheetViews>
    <sheetView showGridLines="0" topLeftCell="A46" zoomScaleNormal="100" workbookViewId="0">
      <selection activeCell="O61" sqref="O61"/>
    </sheetView>
  </sheetViews>
  <sheetFormatPr defaultColWidth="0" defaultRowHeight="14.5"/>
  <cols>
    <col min="1" max="1" width="2.81640625" customWidth="1"/>
    <col min="2" max="2" width="3.453125" customWidth="1"/>
    <col min="3" max="3" width="13.81640625" customWidth="1"/>
    <col min="4" max="4" width="18.453125" customWidth="1"/>
    <col min="5" max="5" width="28.453125" customWidth="1"/>
    <col min="6" max="6" width="15.453125" customWidth="1"/>
    <col min="7" max="7" width="19.26953125" customWidth="1"/>
    <col min="8" max="8" width="14.7265625" customWidth="1"/>
    <col min="9" max="9" width="12.54296875" hidden="1" customWidth="1"/>
    <col min="10" max="10" width="30" hidden="1" customWidth="1"/>
    <col min="11" max="11" width="10.81640625" hidden="1" customWidth="1"/>
    <col min="12" max="15" width="8.7265625" customWidth="1"/>
    <col min="16" max="16" width="14" customWidth="1"/>
    <col min="17" max="18" width="8.7265625" customWidth="1"/>
    <col min="19" max="22" width="0" hidden="1" customWidth="1"/>
    <col min="23" max="16384" width="8.7265625" hidden="1"/>
  </cols>
  <sheetData>
    <row r="1" spans="1:19" ht="46" customHeight="1">
      <c r="A1" s="1906"/>
      <c r="B1" s="1921" t="str">
        <f>Development!$A$3&amp;" Multi-Family Program"</f>
        <v>2024 Multi-Family Program</v>
      </c>
      <c r="C1" s="1906"/>
      <c r="D1" s="1906"/>
      <c r="E1" s="1906"/>
      <c r="F1" s="1906"/>
      <c r="G1" s="1906"/>
      <c r="H1" s="1906"/>
      <c r="I1" s="1331"/>
      <c r="J1" s="1135"/>
      <c r="K1" s="1135"/>
      <c r="L1" s="10"/>
      <c r="M1" s="10"/>
      <c r="N1" s="10"/>
      <c r="O1" s="10"/>
      <c r="P1" s="9"/>
      <c r="Q1" s="9"/>
      <c r="R1" s="9"/>
      <c r="S1" s="42"/>
    </row>
    <row r="2" spans="1:19" ht="38.15" customHeight="1" thickBot="1">
      <c r="A2" s="1906"/>
      <c r="B2" s="1910" t="str">
        <f>'Customer Information'!A2</f>
        <v>Multi-Family 
Rebate Application, Version 2.0</v>
      </c>
      <c r="C2" s="1906"/>
      <c r="D2" s="1906"/>
      <c r="E2" s="1906"/>
      <c r="F2" s="1906"/>
      <c r="G2" s="1906"/>
      <c r="H2" s="1906"/>
      <c r="I2" s="1331"/>
      <c r="J2" s="1332"/>
      <c r="K2" s="1332"/>
      <c r="L2" s="1564"/>
      <c r="M2" s="1564"/>
      <c r="N2" s="1564"/>
      <c r="O2" s="1564"/>
      <c r="P2" s="1564"/>
      <c r="Q2" s="1564"/>
      <c r="R2" s="1564"/>
      <c r="S2" s="86"/>
    </row>
    <row r="3" spans="1:19" ht="35.5" customHeight="1" thickTop="1">
      <c r="A3" s="1069"/>
      <c r="B3" s="1069"/>
      <c r="C3" s="2477" t="s">
        <v>2971</v>
      </c>
      <c r="D3" s="2477"/>
      <c r="E3" s="2477"/>
      <c r="F3" s="2477"/>
      <c r="G3" s="2477"/>
      <c r="H3" s="2477"/>
      <c r="I3" s="2477"/>
      <c r="J3" s="2477"/>
      <c r="K3" s="2477"/>
      <c r="L3" s="2477"/>
      <c r="M3" s="2477"/>
      <c r="N3" s="2477"/>
      <c r="O3" s="2477"/>
      <c r="P3" s="2477"/>
      <c r="Q3" s="1069"/>
      <c r="R3" s="1069"/>
    </row>
    <row r="4" spans="1:19" s="1435" customFormat="1" ht="25" customHeight="1">
      <c r="B4" s="1436" t="s">
        <v>4598</v>
      </c>
      <c r="C4" s="1436"/>
      <c r="D4" s="1436"/>
      <c r="E4" s="1436"/>
      <c r="F4" s="1436"/>
      <c r="G4" s="1436"/>
      <c r="H4" s="1436"/>
      <c r="I4" s="1436"/>
      <c r="J4" s="1436"/>
      <c r="K4" s="1436"/>
      <c r="L4" s="1436"/>
      <c r="M4" s="1436"/>
      <c r="N4" s="1436"/>
      <c r="O4" s="1436"/>
      <c r="P4" s="1436"/>
    </row>
    <row r="5" spans="1:19" s="1435" customFormat="1" ht="39.65" customHeight="1">
      <c r="B5" s="2505" t="s">
        <v>5540</v>
      </c>
      <c r="C5" s="2505"/>
      <c r="D5" s="2505"/>
      <c r="F5" s="1436"/>
      <c r="G5" s="1436"/>
      <c r="H5" s="1437"/>
      <c r="I5" s="1437"/>
      <c r="J5" s="1437"/>
      <c r="K5" s="1438"/>
      <c r="L5" s="1438"/>
    </row>
    <row r="6" spans="1:19" s="157" customFormat="1" ht="20">
      <c r="E6" s="1436"/>
      <c r="H6" s="1439"/>
      <c r="I6" s="1439"/>
      <c r="J6" s="1439"/>
    </row>
    <row r="7" spans="1:19" ht="20">
      <c r="B7" s="2478" t="s">
        <v>2972</v>
      </c>
      <c r="C7" s="2478"/>
      <c r="D7" s="2478"/>
      <c r="E7" s="2478"/>
      <c r="F7" s="2478"/>
      <c r="G7" s="2478"/>
      <c r="H7" s="2478"/>
      <c r="I7" s="2478"/>
      <c r="J7" s="2478"/>
      <c r="K7" s="2478"/>
      <c r="L7" s="2478"/>
      <c r="M7" s="2478"/>
      <c r="N7" s="2478"/>
      <c r="O7" s="2478"/>
      <c r="P7" s="2478"/>
    </row>
    <row r="8" spans="1:19" ht="18">
      <c r="B8" s="848" t="s">
        <v>35</v>
      </c>
      <c r="C8" s="849" t="s">
        <v>2973</v>
      </c>
      <c r="D8" s="194"/>
      <c r="E8" s="848"/>
      <c r="F8" s="849"/>
    </row>
    <row r="9" spans="1:19" ht="18">
      <c r="B9" s="848" t="s">
        <v>35</v>
      </c>
      <c r="C9" s="849" t="s">
        <v>2974</v>
      </c>
      <c r="D9" s="194"/>
      <c r="E9" s="848"/>
      <c r="F9" s="849"/>
      <c r="G9" s="848"/>
      <c r="H9" s="849"/>
      <c r="I9" s="194"/>
      <c r="J9" s="848"/>
      <c r="K9" s="849"/>
      <c r="L9" s="848"/>
      <c r="M9" s="849"/>
      <c r="N9" s="194"/>
      <c r="O9" s="848"/>
    </row>
    <row r="10" spans="1:19" ht="18">
      <c r="B10" s="848" t="s">
        <v>35</v>
      </c>
      <c r="C10" s="849" t="s">
        <v>2975</v>
      </c>
      <c r="D10" s="194"/>
      <c r="E10" s="848"/>
      <c r="F10" s="849"/>
      <c r="G10" s="848"/>
      <c r="H10" s="849"/>
      <c r="I10" s="194"/>
      <c r="J10" s="848"/>
      <c r="K10" s="849"/>
      <c r="L10" s="848"/>
      <c r="M10" s="849"/>
      <c r="N10" s="194"/>
      <c r="O10" s="848"/>
    </row>
    <row r="11" spans="1:19" ht="18">
      <c r="B11" s="848" t="s">
        <v>35</v>
      </c>
      <c r="C11" s="849" t="s">
        <v>2976</v>
      </c>
      <c r="D11" s="194"/>
      <c r="E11" s="848"/>
      <c r="F11" s="849"/>
      <c r="G11" s="848"/>
      <c r="H11" s="849"/>
      <c r="I11" s="194"/>
      <c r="J11" s="848"/>
      <c r="K11" s="849"/>
      <c r="L11" s="848"/>
      <c r="M11" s="849"/>
      <c r="N11" s="194"/>
      <c r="O11" s="848"/>
    </row>
    <row r="12" spans="1:19" ht="18">
      <c r="B12" s="848" t="s">
        <v>35</v>
      </c>
      <c r="C12" s="849" t="s">
        <v>2977</v>
      </c>
      <c r="D12" s="194"/>
      <c r="E12" s="848"/>
      <c r="F12" s="849"/>
      <c r="G12" s="848"/>
      <c r="H12" s="849"/>
      <c r="I12" s="194"/>
      <c r="J12" s="848"/>
      <c r="K12" s="849"/>
      <c r="L12" s="848"/>
      <c r="M12" s="849"/>
      <c r="N12" s="194"/>
      <c r="O12" s="848"/>
    </row>
    <row r="13" spans="1:19" ht="18">
      <c r="B13" s="848" t="s">
        <v>35</v>
      </c>
      <c r="C13" s="849" t="s">
        <v>2978</v>
      </c>
      <c r="D13" s="194"/>
      <c r="E13" s="848"/>
      <c r="F13" s="849"/>
      <c r="G13" s="848"/>
      <c r="H13" s="849"/>
      <c r="I13" s="194"/>
      <c r="J13" s="848"/>
      <c r="K13" s="849"/>
      <c r="L13" s="848"/>
      <c r="M13" s="849"/>
      <c r="N13" s="194"/>
      <c r="O13" s="848"/>
    </row>
    <row r="14" spans="1:19" ht="18">
      <c r="B14" s="848" t="s">
        <v>35</v>
      </c>
      <c r="C14" s="849" t="s">
        <v>2979</v>
      </c>
      <c r="D14" s="194"/>
      <c r="E14" s="848"/>
      <c r="F14" s="849"/>
      <c r="G14" s="848"/>
      <c r="H14" s="849"/>
      <c r="I14" s="194"/>
      <c r="J14" s="848"/>
      <c r="K14" s="849"/>
      <c r="L14" s="848"/>
      <c r="M14" s="849"/>
      <c r="N14" s="194"/>
      <c r="O14" s="848"/>
    </row>
    <row r="15" spans="1:19" ht="18">
      <c r="B15" s="848"/>
      <c r="C15" s="849"/>
      <c r="D15" s="194"/>
      <c r="E15" s="848"/>
      <c r="F15" s="849"/>
      <c r="G15" s="848"/>
      <c r="H15" s="849"/>
      <c r="I15" s="194"/>
      <c r="J15" s="848"/>
      <c r="K15" s="849"/>
      <c r="L15" s="848"/>
      <c r="M15" s="849"/>
      <c r="N15" s="194"/>
      <c r="O15" s="848"/>
    </row>
    <row r="16" spans="1:19" ht="42" customHeight="1">
      <c r="C16" s="1899" t="s">
        <v>2980</v>
      </c>
      <c r="D16" s="2319" t="s">
        <v>2981</v>
      </c>
      <c r="E16" s="2321"/>
      <c r="G16" s="1899" t="s">
        <v>3002</v>
      </c>
      <c r="H16" s="1899" t="s">
        <v>3003</v>
      </c>
      <c r="M16" s="2319" t="s">
        <v>1553</v>
      </c>
      <c r="N16" s="2321"/>
      <c r="O16" s="2319" t="s">
        <v>3017</v>
      </c>
      <c r="P16" s="2321"/>
    </row>
    <row r="17" spans="2:16">
      <c r="C17" s="850" t="s">
        <v>2982</v>
      </c>
      <c r="D17" s="2497" t="s">
        <v>2983</v>
      </c>
      <c r="E17" s="2498"/>
      <c r="G17" s="850" t="s">
        <v>2129</v>
      </c>
      <c r="H17" s="850" t="s">
        <v>3004</v>
      </c>
      <c r="M17" s="2497" t="s">
        <v>3018</v>
      </c>
      <c r="N17" s="2498"/>
      <c r="O17" s="2497" t="s">
        <v>3019</v>
      </c>
      <c r="P17" s="2498"/>
    </row>
    <row r="18" spans="2:16">
      <c r="C18" s="850" t="s">
        <v>2984</v>
      </c>
      <c r="D18" s="2497" t="s">
        <v>2985</v>
      </c>
      <c r="E18" s="2498"/>
      <c r="G18" s="850" t="s">
        <v>3005</v>
      </c>
      <c r="H18" s="850" t="s">
        <v>3006</v>
      </c>
    </row>
    <row r="19" spans="2:16">
      <c r="C19" s="850" t="s">
        <v>2986</v>
      </c>
      <c r="D19" s="2497" t="s">
        <v>2987</v>
      </c>
      <c r="E19" s="2498"/>
      <c r="G19" s="850" t="s">
        <v>3007</v>
      </c>
      <c r="H19" s="850" t="s">
        <v>3008</v>
      </c>
    </row>
    <row r="20" spans="2:16">
      <c r="C20" s="850" t="s">
        <v>2988</v>
      </c>
      <c r="D20" s="2497" t="s">
        <v>2989</v>
      </c>
      <c r="E20" s="2498"/>
      <c r="G20" s="850" t="s">
        <v>3009</v>
      </c>
      <c r="H20" s="850" t="s">
        <v>3010</v>
      </c>
    </row>
    <row r="21" spans="2:16">
      <c r="C21" s="850" t="s">
        <v>2990</v>
      </c>
      <c r="D21" s="2497" t="s">
        <v>2991</v>
      </c>
      <c r="E21" s="2498"/>
    </row>
    <row r="22" spans="2:16">
      <c r="C22" s="850" t="s">
        <v>2992</v>
      </c>
      <c r="D22" s="2497" t="s">
        <v>2993</v>
      </c>
      <c r="E22" s="2498"/>
    </row>
    <row r="23" spans="2:16" ht="14.5" customHeight="1">
      <c r="C23" s="850" t="s">
        <v>2994</v>
      </c>
      <c r="D23" s="2497" t="s">
        <v>2995</v>
      </c>
      <c r="E23" s="2498"/>
    </row>
    <row r="24" spans="2:16">
      <c r="C24" s="850" t="s">
        <v>2996</v>
      </c>
      <c r="D24" s="2497" t="s">
        <v>2997</v>
      </c>
      <c r="E24" s="2498"/>
    </row>
    <row r="25" spans="2:16">
      <c r="C25" s="850" t="s">
        <v>2998</v>
      </c>
      <c r="D25" s="2497" t="s">
        <v>2999</v>
      </c>
      <c r="E25" s="2498"/>
    </row>
    <row r="26" spans="2:16">
      <c r="C26" s="850" t="s">
        <v>3000</v>
      </c>
      <c r="D26" s="2497" t="s">
        <v>3001</v>
      </c>
      <c r="E26" s="2498"/>
    </row>
    <row r="28" spans="2:16" ht="20.149999999999999" customHeight="1">
      <c r="B28" s="2478" t="s">
        <v>3011</v>
      </c>
      <c r="C28" s="2478"/>
      <c r="D28" s="2478"/>
      <c r="E28" s="2478"/>
      <c r="F28" s="2478"/>
      <c r="G28" s="2478"/>
      <c r="H28" s="2478"/>
      <c r="I28" s="2478"/>
      <c r="J28" s="2478"/>
      <c r="K28" s="2478"/>
      <c r="L28" s="2478"/>
      <c r="M28" s="2478"/>
      <c r="N28" s="2478"/>
      <c r="O28" s="2478"/>
      <c r="P28" s="2478"/>
    </row>
    <row r="29" spans="2:16" ht="34" customHeight="1">
      <c r="B29" s="2325" t="s">
        <v>3012</v>
      </c>
      <c r="C29" s="2325"/>
      <c r="D29" s="1899" t="s">
        <v>3013</v>
      </c>
      <c r="E29" s="1899" t="s">
        <v>2980</v>
      </c>
      <c r="F29" s="2502" t="s">
        <v>3014</v>
      </c>
      <c r="G29" s="2502"/>
      <c r="H29" s="1899" t="s">
        <v>3002</v>
      </c>
      <c r="I29" s="1899"/>
      <c r="J29" s="1899"/>
      <c r="K29" s="1899"/>
      <c r="L29" s="2319" t="s">
        <v>3003</v>
      </c>
      <c r="M29" s="2321"/>
      <c r="N29" s="2325" t="s">
        <v>2624</v>
      </c>
      <c r="O29" s="2325"/>
      <c r="P29" s="1899" t="s">
        <v>3015</v>
      </c>
    </row>
    <row r="30" spans="2:16" ht="25.5" customHeight="1">
      <c r="B30" s="2501" t="s">
        <v>151</v>
      </c>
      <c r="C30" s="2501"/>
      <c r="D30" s="851">
        <v>10</v>
      </c>
      <c r="E30" s="851" t="s">
        <v>2988</v>
      </c>
      <c r="F30" s="2503" t="str">
        <f>IF(E30="","",INDEX($D$17:$D$26,MATCH(E30,$C$17:$C$26,0)))</f>
        <v>HVAC Return Air Fan</v>
      </c>
      <c r="G30" s="2503"/>
      <c r="H30" s="851" t="s">
        <v>2129</v>
      </c>
      <c r="I30" s="1413" t="str">
        <f>E30&amp;" "&amp;H30</f>
        <v>RFA CF</v>
      </c>
      <c r="J30" s="1413" t="str">
        <f>INDEX(References!DT19:DT43,MATCH('Worksheet Common VFD Motors'!I30,References!DQ19:DQ43,0))</f>
        <v>VFD-Fans (Uncontrolled)</v>
      </c>
      <c r="K30" s="1413" t="str">
        <f>IF(F30="","",IF(RIGHT(F30,3)="Fan","Fan","Pump"))</f>
        <v>Fan</v>
      </c>
      <c r="L30" s="2504" t="str">
        <f>IF(H30="","",(LOOKUP(H30,G$17:G$20,H$17:H$20)))</f>
        <v>Constant Flow</v>
      </c>
      <c r="M30" s="2504"/>
      <c r="N30" s="2499">
        <v>3</v>
      </c>
      <c r="O30" s="2500"/>
      <c r="P30" s="1414">
        <f>IF(OR(E30="",D30="",N30="",H30=""),"",(100*D30))</f>
        <v>1000</v>
      </c>
    </row>
    <row r="31" spans="2:16" ht="25.5" customHeight="1">
      <c r="B31" s="2501" t="s">
        <v>152</v>
      </c>
      <c r="C31" s="2501"/>
      <c r="D31" s="851">
        <v>10</v>
      </c>
      <c r="E31" s="851" t="s">
        <v>2990</v>
      </c>
      <c r="F31" s="2503" t="str">
        <f t="shared" ref="F31:F43" si="0">IF(E31="","",INDEX($D$17:$D$26,MATCH(E31,$C$17:$C$26,0)))</f>
        <v>HVAC Supply Air Fan</v>
      </c>
      <c r="G31" s="2503"/>
      <c r="H31" s="851" t="s">
        <v>2129</v>
      </c>
      <c r="I31" s="1413" t="str">
        <f t="shared" ref="I31:I43" si="1">E31&amp;" "&amp;H31</f>
        <v>SFA CF</v>
      </c>
      <c r="J31" s="1413" t="str">
        <f>INDEX(References!DT20:DT44,MATCH('Worksheet Common VFD Motors'!I31,References!DQ20:DQ44,0))</f>
        <v>VFD-Fans (Uncontrolled)</v>
      </c>
      <c r="K31" s="1413" t="str">
        <f t="shared" ref="K31:K43" si="2">IF(F31="","",IF(RIGHT(F31,3)="Fan","Fan","Pump"))</f>
        <v>Fan</v>
      </c>
      <c r="L31" s="2504" t="str">
        <f t="shared" ref="L31:L43" si="3">IF(H31="","",(LOOKUP(H31,G$17:G$20,H$17:H$20)))</f>
        <v>Constant Flow</v>
      </c>
      <c r="M31" s="2504"/>
      <c r="N31" s="2499">
        <v>3</v>
      </c>
      <c r="O31" s="2500"/>
      <c r="P31" s="1414">
        <f t="shared" ref="P31:P43" si="4">IF(OR(E31="",D31="",N31="",H31=""),"",(100*D31))</f>
        <v>1000</v>
      </c>
    </row>
    <row r="32" spans="2:16" ht="25.5" customHeight="1">
      <c r="B32" s="2501"/>
      <c r="C32" s="2501"/>
      <c r="D32" s="851"/>
      <c r="E32" s="851"/>
      <c r="F32" s="2503" t="str">
        <f t="shared" si="0"/>
        <v/>
      </c>
      <c r="G32" s="2503"/>
      <c r="H32" s="851"/>
      <c r="I32" s="1413" t="str">
        <f t="shared" si="1"/>
        <v xml:space="preserve"> </v>
      </c>
      <c r="J32" s="1413" t="e">
        <f>INDEX(References!DT21:DT45,MATCH('Worksheet Common VFD Motors'!I32,References!DQ21:DQ45,0))</f>
        <v>#N/A</v>
      </c>
      <c r="K32" s="1413" t="str">
        <f t="shared" si="2"/>
        <v/>
      </c>
      <c r="L32" s="2504" t="str">
        <f t="shared" si="3"/>
        <v/>
      </c>
      <c r="M32" s="2504"/>
      <c r="N32" s="2499"/>
      <c r="O32" s="2500"/>
      <c r="P32" s="1414" t="str">
        <f t="shared" si="4"/>
        <v/>
      </c>
    </row>
    <row r="33" spans="1:16" ht="25.5" customHeight="1">
      <c r="B33" s="2501"/>
      <c r="C33" s="2501"/>
      <c r="D33" s="851"/>
      <c r="E33" s="851"/>
      <c r="F33" s="2503" t="str">
        <f t="shared" si="0"/>
        <v/>
      </c>
      <c r="G33" s="2503"/>
      <c r="H33" s="851"/>
      <c r="I33" s="1413" t="str">
        <f t="shared" si="1"/>
        <v xml:space="preserve"> </v>
      </c>
      <c r="J33" s="1413" t="e">
        <f>INDEX(References!DT22:DT46,MATCH('Worksheet Common VFD Motors'!I33,References!DQ22:DQ46,0))</f>
        <v>#N/A</v>
      </c>
      <c r="K33" s="1413" t="str">
        <f t="shared" si="2"/>
        <v/>
      </c>
      <c r="L33" s="2504" t="str">
        <f t="shared" si="3"/>
        <v/>
      </c>
      <c r="M33" s="2504"/>
      <c r="N33" s="2499"/>
      <c r="O33" s="2500"/>
      <c r="P33" s="1414" t="str">
        <f t="shared" si="4"/>
        <v/>
      </c>
    </row>
    <row r="34" spans="1:16" ht="25.5" customHeight="1">
      <c r="B34" s="2501"/>
      <c r="C34" s="2501"/>
      <c r="D34" s="851"/>
      <c r="E34" s="851"/>
      <c r="F34" s="2503" t="str">
        <f t="shared" si="0"/>
        <v/>
      </c>
      <c r="G34" s="2503"/>
      <c r="H34" s="851"/>
      <c r="I34" s="1413" t="str">
        <f t="shared" si="1"/>
        <v xml:space="preserve"> </v>
      </c>
      <c r="J34" s="1413" t="e">
        <f>INDEX(References!DT23:DT47,MATCH('Worksheet Common VFD Motors'!I34,References!DQ23:DQ47,0))</f>
        <v>#N/A</v>
      </c>
      <c r="K34" s="1413" t="str">
        <f t="shared" si="2"/>
        <v/>
      </c>
      <c r="L34" s="2504" t="str">
        <f t="shared" si="3"/>
        <v/>
      </c>
      <c r="M34" s="2504"/>
      <c r="N34" s="2499"/>
      <c r="O34" s="2500"/>
      <c r="P34" s="1414" t="str">
        <f t="shared" si="4"/>
        <v/>
      </c>
    </row>
    <row r="35" spans="1:16" ht="25.5" customHeight="1">
      <c r="B35" s="2501"/>
      <c r="C35" s="2501"/>
      <c r="D35" s="851"/>
      <c r="E35" s="851"/>
      <c r="F35" s="2503" t="str">
        <f t="shared" si="0"/>
        <v/>
      </c>
      <c r="G35" s="2503"/>
      <c r="H35" s="851"/>
      <c r="I35" s="1413" t="str">
        <f t="shared" si="1"/>
        <v xml:space="preserve"> </v>
      </c>
      <c r="J35" s="1413" t="e">
        <f>INDEX(References!DT24:DT48,MATCH('Worksheet Common VFD Motors'!I35,References!DQ24:DQ48,0))</f>
        <v>#N/A</v>
      </c>
      <c r="K35" s="1413" t="str">
        <f t="shared" si="2"/>
        <v/>
      </c>
      <c r="L35" s="2504" t="str">
        <f t="shared" si="3"/>
        <v/>
      </c>
      <c r="M35" s="2504"/>
      <c r="N35" s="2499"/>
      <c r="O35" s="2500"/>
      <c r="P35" s="1414" t="str">
        <f t="shared" si="4"/>
        <v/>
      </c>
    </row>
    <row r="36" spans="1:16" ht="25.5" customHeight="1">
      <c r="B36" s="2501"/>
      <c r="C36" s="2501"/>
      <c r="D36" s="851"/>
      <c r="E36" s="851"/>
      <c r="F36" s="2503" t="str">
        <f t="shared" si="0"/>
        <v/>
      </c>
      <c r="G36" s="2503"/>
      <c r="H36" s="851"/>
      <c r="I36" s="1413" t="str">
        <f t="shared" si="1"/>
        <v xml:space="preserve"> </v>
      </c>
      <c r="J36" s="1413" t="e">
        <f>INDEX(References!DT25:DT49,MATCH('Worksheet Common VFD Motors'!I36,References!DQ25:DQ49,0))</f>
        <v>#N/A</v>
      </c>
      <c r="K36" s="1413" t="str">
        <f t="shared" si="2"/>
        <v/>
      </c>
      <c r="L36" s="2504" t="str">
        <f t="shared" si="3"/>
        <v/>
      </c>
      <c r="M36" s="2504"/>
      <c r="N36" s="2499"/>
      <c r="O36" s="2500"/>
      <c r="P36" s="1414" t="str">
        <f t="shared" si="4"/>
        <v/>
      </c>
    </row>
    <row r="37" spans="1:16" ht="25.5" customHeight="1">
      <c r="B37" s="2501"/>
      <c r="C37" s="2501"/>
      <c r="D37" s="851"/>
      <c r="E37" s="851"/>
      <c r="F37" s="2503" t="str">
        <f t="shared" si="0"/>
        <v/>
      </c>
      <c r="G37" s="2503"/>
      <c r="H37" s="851"/>
      <c r="I37" s="1413" t="str">
        <f t="shared" si="1"/>
        <v xml:space="preserve"> </v>
      </c>
      <c r="J37" s="1413" t="e">
        <f>INDEX(References!DT26:DT50,MATCH('Worksheet Common VFD Motors'!I37,References!DQ26:DQ50,0))</f>
        <v>#N/A</v>
      </c>
      <c r="K37" s="1413" t="str">
        <f t="shared" si="2"/>
        <v/>
      </c>
      <c r="L37" s="2504" t="str">
        <f t="shared" si="3"/>
        <v/>
      </c>
      <c r="M37" s="2504"/>
      <c r="N37" s="2499"/>
      <c r="O37" s="2500"/>
      <c r="P37" s="1414" t="str">
        <f t="shared" si="4"/>
        <v/>
      </c>
    </row>
    <row r="38" spans="1:16" ht="25.5" customHeight="1">
      <c r="B38" s="2501"/>
      <c r="C38" s="2501"/>
      <c r="D38" s="851"/>
      <c r="E38" s="851"/>
      <c r="F38" s="2503" t="str">
        <f t="shared" si="0"/>
        <v/>
      </c>
      <c r="G38" s="2503"/>
      <c r="H38" s="851"/>
      <c r="I38" s="1413" t="str">
        <f t="shared" si="1"/>
        <v xml:space="preserve"> </v>
      </c>
      <c r="J38" s="1413" t="e">
        <f>INDEX(References!DT27:DT51,MATCH('Worksheet Common VFD Motors'!I38,References!DQ27:DQ51,0))</f>
        <v>#N/A</v>
      </c>
      <c r="K38" s="1413" t="str">
        <f t="shared" si="2"/>
        <v/>
      </c>
      <c r="L38" s="2504" t="str">
        <f t="shared" si="3"/>
        <v/>
      </c>
      <c r="M38" s="2504"/>
      <c r="N38" s="2499"/>
      <c r="O38" s="2500"/>
      <c r="P38" s="1414" t="str">
        <f t="shared" si="4"/>
        <v/>
      </c>
    </row>
    <row r="39" spans="1:16" ht="25.5" customHeight="1">
      <c r="B39" s="2501"/>
      <c r="C39" s="2501"/>
      <c r="D39" s="851"/>
      <c r="E39" s="851"/>
      <c r="F39" s="2503" t="str">
        <f t="shared" si="0"/>
        <v/>
      </c>
      <c r="G39" s="2503"/>
      <c r="H39" s="851"/>
      <c r="I39" s="1413" t="str">
        <f t="shared" si="1"/>
        <v xml:space="preserve"> </v>
      </c>
      <c r="J39" s="1413" t="e">
        <f>INDEX(References!DT28:DT52,MATCH('Worksheet Common VFD Motors'!I39,References!DQ28:DQ52,0))</f>
        <v>#N/A</v>
      </c>
      <c r="K39" s="1413" t="str">
        <f t="shared" si="2"/>
        <v/>
      </c>
      <c r="L39" s="2504" t="str">
        <f t="shared" si="3"/>
        <v/>
      </c>
      <c r="M39" s="2504"/>
      <c r="N39" s="2499"/>
      <c r="O39" s="2500"/>
      <c r="P39" s="1414" t="str">
        <f t="shared" si="4"/>
        <v/>
      </c>
    </row>
    <row r="40" spans="1:16" ht="25.5" customHeight="1">
      <c r="B40" s="2501"/>
      <c r="C40" s="2501"/>
      <c r="D40" s="851"/>
      <c r="E40" s="851"/>
      <c r="F40" s="2503" t="str">
        <f t="shared" si="0"/>
        <v/>
      </c>
      <c r="G40" s="2503"/>
      <c r="H40" s="851"/>
      <c r="I40" s="1413" t="str">
        <f t="shared" si="1"/>
        <v xml:space="preserve"> </v>
      </c>
      <c r="J40" s="1413" t="e">
        <f>INDEX(References!DT29:DT53,MATCH('Worksheet Common VFD Motors'!I40,References!DQ29:DQ53,0))</f>
        <v>#N/A</v>
      </c>
      <c r="K40" s="1413" t="str">
        <f t="shared" si="2"/>
        <v/>
      </c>
      <c r="L40" s="2504" t="str">
        <f t="shared" si="3"/>
        <v/>
      </c>
      <c r="M40" s="2504"/>
      <c r="N40" s="2499"/>
      <c r="O40" s="2500"/>
      <c r="P40" s="1414" t="str">
        <f t="shared" si="4"/>
        <v/>
      </c>
    </row>
    <row r="41" spans="1:16" ht="25.5" customHeight="1">
      <c r="B41" s="2501"/>
      <c r="C41" s="2501"/>
      <c r="D41" s="851"/>
      <c r="E41" s="851"/>
      <c r="F41" s="2503" t="str">
        <f t="shared" si="0"/>
        <v/>
      </c>
      <c r="G41" s="2503"/>
      <c r="H41" s="851"/>
      <c r="I41" s="1413" t="str">
        <f t="shared" si="1"/>
        <v xml:space="preserve"> </v>
      </c>
      <c r="J41" s="1413" t="e">
        <f>INDEX(References!DT30:DT54,MATCH('Worksheet Common VFD Motors'!I41,References!DQ30:DQ54,0))</f>
        <v>#N/A</v>
      </c>
      <c r="K41" s="1413" t="str">
        <f t="shared" si="2"/>
        <v/>
      </c>
      <c r="L41" s="2504" t="str">
        <f t="shared" si="3"/>
        <v/>
      </c>
      <c r="M41" s="2504"/>
      <c r="N41" s="2499"/>
      <c r="O41" s="2500"/>
      <c r="P41" s="1414" t="str">
        <f t="shared" si="4"/>
        <v/>
      </c>
    </row>
    <row r="42" spans="1:16" ht="25.5" customHeight="1">
      <c r="B42" s="2501"/>
      <c r="C42" s="2501"/>
      <c r="D42" s="851"/>
      <c r="E42" s="851"/>
      <c r="F42" s="2503" t="str">
        <f t="shared" si="0"/>
        <v/>
      </c>
      <c r="G42" s="2503"/>
      <c r="H42" s="851"/>
      <c r="I42" s="1413" t="str">
        <f t="shared" si="1"/>
        <v xml:space="preserve"> </v>
      </c>
      <c r="J42" s="1413" t="e">
        <f>INDEX(References!DT31:DT55,MATCH('Worksheet Common VFD Motors'!I42,References!DQ31:DQ55,0))</f>
        <v>#N/A</v>
      </c>
      <c r="K42" s="1413" t="str">
        <f t="shared" si="2"/>
        <v/>
      </c>
      <c r="L42" s="2504" t="str">
        <f t="shared" si="3"/>
        <v/>
      </c>
      <c r="M42" s="2504"/>
      <c r="N42" s="2499"/>
      <c r="O42" s="2500"/>
      <c r="P42" s="1414" t="str">
        <f t="shared" si="4"/>
        <v/>
      </c>
    </row>
    <row r="43" spans="1:16" ht="25.5" customHeight="1">
      <c r="B43" s="2501"/>
      <c r="C43" s="2501"/>
      <c r="D43" s="851"/>
      <c r="E43" s="851"/>
      <c r="F43" s="2503" t="str">
        <f t="shared" si="0"/>
        <v/>
      </c>
      <c r="G43" s="2503"/>
      <c r="H43" s="851"/>
      <c r="I43" s="1413" t="str">
        <f t="shared" si="1"/>
        <v xml:space="preserve"> </v>
      </c>
      <c r="J43" s="1413" t="e">
        <f>INDEX(References!DT32:DT56,MATCH('Worksheet Common VFD Motors'!I43,References!DQ32:DQ56,0))</f>
        <v>#N/A</v>
      </c>
      <c r="K43" s="1413" t="str">
        <f t="shared" si="2"/>
        <v/>
      </c>
      <c r="L43" s="2504" t="str">
        <f t="shared" si="3"/>
        <v/>
      </c>
      <c r="M43" s="2504"/>
      <c r="N43" s="2499"/>
      <c r="O43" s="2500"/>
      <c r="P43" s="1414" t="str">
        <f t="shared" si="4"/>
        <v/>
      </c>
    </row>
    <row r="44" spans="1:16" ht="25.5" customHeight="1">
      <c r="B44" s="2506" t="s">
        <v>4587</v>
      </c>
      <c r="C44" s="2506"/>
      <c r="D44" s="2506"/>
      <c r="E44" s="2506"/>
      <c r="F44" s="2506"/>
      <c r="G44" s="2506"/>
      <c r="H44" s="2506"/>
      <c r="I44" s="2506"/>
      <c r="J44" s="2506"/>
      <c r="K44" s="2506"/>
      <c r="L44" s="2506"/>
      <c r="M44" s="2506"/>
      <c r="N44" s="2506"/>
      <c r="O44" s="2506"/>
      <c r="P44" s="878">
        <f>SUM(P30:P43)</f>
        <v>2000</v>
      </c>
    </row>
    <row r="46" spans="1:16" ht="20">
      <c r="A46" s="157"/>
      <c r="B46" s="1427" t="s">
        <v>4579</v>
      </c>
      <c r="C46" s="1427"/>
      <c r="D46" s="1428"/>
      <c r="E46" s="1428"/>
      <c r="F46" s="1428"/>
      <c r="G46" s="1428"/>
      <c r="H46" s="1428"/>
      <c r="I46" s="1428"/>
      <c r="J46" s="1428"/>
      <c r="K46" s="1428"/>
      <c r="L46" s="1428"/>
      <c r="M46" s="1428"/>
      <c r="N46" s="1428"/>
      <c r="O46" s="1429"/>
      <c r="P46" s="1429"/>
    </row>
    <row r="47" spans="1:16" ht="18">
      <c r="A47" s="157"/>
      <c r="B47" s="848" t="s">
        <v>35</v>
      </c>
      <c r="C47" s="194" t="s">
        <v>4580</v>
      </c>
      <c r="D47" s="1428"/>
      <c r="E47" s="1428"/>
      <c r="F47" s="1428"/>
      <c r="G47" s="1428"/>
      <c r="H47" s="1428"/>
      <c r="I47" s="1428"/>
      <c r="J47" s="1428"/>
      <c r="K47" s="1428"/>
      <c r="L47" s="1428"/>
      <c r="M47" s="1428"/>
      <c r="N47" s="1428"/>
      <c r="O47" s="1429"/>
      <c r="P47" s="1429"/>
    </row>
    <row r="48" spans="1:16" ht="18">
      <c r="A48" s="157"/>
      <c r="B48" s="848" t="s">
        <v>35</v>
      </c>
      <c r="C48" s="194" t="s">
        <v>4581</v>
      </c>
      <c r="D48" s="1428"/>
      <c r="E48" s="1428"/>
      <c r="F48" s="1428"/>
      <c r="G48" s="1428"/>
      <c r="H48" s="1428"/>
      <c r="I48" s="1428"/>
      <c r="J48" s="1428"/>
      <c r="K48" s="1428"/>
      <c r="L48" s="1428"/>
      <c r="M48" s="1428"/>
      <c r="N48" s="1428"/>
      <c r="O48" s="1429"/>
      <c r="P48" s="1429"/>
    </row>
    <row r="49" spans="1:17" ht="18">
      <c r="A49" s="157"/>
      <c r="B49" s="848"/>
      <c r="C49" s="849"/>
      <c r="D49" s="1428"/>
      <c r="E49" s="1428"/>
      <c r="F49" s="1428"/>
      <c r="G49" s="1428"/>
      <c r="H49" s="1428"/>
      <c r="I49" s="1428"/>
      <c r="J49" s="1428"/>
      <c r="K49" s="1428"/>
      <c r="L49" s="1428"/>
      <c r="M49" s="1428"/>
      <c r="N49" s="1428"/>
      <c r="O49" s="1429"/>
      <c r="P49" s="1429"/>
    </row>
    <row r="50" spans="1:17" ht="18">
      <c r="A50" s="157"/>
      <c r="B50" s="848"/>
      <c r="C50" s="2319" t="s">
        <v>1553</v>
      </c>
      <c r="D50" s="2321"/>
      <c r="E50" s="2325" t="s">
        <v>4582</v>
      </c>
      <c r="F50" s="2325"/>
      <c r="G50" s="1899" t="s">
        <v>3737</v>
      </c>
      <c r="H50" s="1428"/>
      <c r="I50" s="1428"/>
      <c r="J50" s="1428"/>
      <c r="K50" s="1428"/>
      <c r="L50" s="1428"/>
      <c r="M50" s="1429"/>
      <c r="N50" s="1429"/>
      <c r="O50" s="157"/>
    </row>
    <row r="51" spans="1:17">
      <c r="A51" s="157"/>
      <c r="B51" s="1428"/>
      <c r="C51" s="2484" t="s">
        <v>4583</v>
      </c>
      <c r="D51" s="2485"/>
      <c r="E51" s="2491" t="s">
        <v>4590</v>
      </c>
      <c r="F51" s="2491"/>
      <c r="G51" s="1430">
        <v>80</v>
      </c>
      <c r="H51" s="1428"/>
      <c r="I51" s="1428"/>
      <c r="J51" s="1428"/>
      <c r="K51" s="1428"/>
      <c r="L51" s="1428"/>
      <c r="M51" s="1429"/>
      <c r="N51" s="1429"/>
      <c r="O51" s="157"/>
    </row>
    <row r="52" spans="1:17">
      <c r="A52" s="157"/>
      <c r="B52" s="1428"/>
      <c r="C52" s="2495"/>
      <c r="D52" s="2496"/>
      <c r="E52" s="2490" t="s">
        <v>4584</v>
      </c>
      <c r="F52" s="2490"/>
      <c r="G52" s="1430">
        <v>150</v>
      </c>
      <c r="H52" s="1428"/>
      <c r="I52" s="1428"/>
      <c r="J52" s="1428"/>
      <c r="K52" s="1428"/>
      <c r="L52" s="1428"/>
      <c r="M52" s="1428"/>
      <c r="N52" s="1429"/>
      <c r="O52" s="1429"/>
    </row>
    <row r="53" spans="1:17">
      <c r="A53" s="157"/>
      <c r="B53" s="1428"/>
      <c r="C53" s="2486"/>
      <c r="D53" s="2487"/>
      <c r="E53" s="2490" t="s">
        <v>4585</v>
      </c>
      <c r="F53" s="2490"/>
      <c r="G53" s="1430">
        <v>400</v>
      </c>
      <c r="H53" s="1428"/>
      <c r="I53" s="1428"/>
      <c r="J53" s="1428"/>
      <c r="K53" s="1428"/>
      <c r="L53" s="1428"/>
      <c r="M53" s="1428"/>
      <c r="N53" s="1429"/>
      <c r="O53" s="1429"/>
    </row>
    <row r="54" spans="1:17">
      <c r="A54" s="157"/>
      <c r="B54" s="1428"/>
      <c r="C54" s="1431"/>
      <c r="D54" s="1431"/>
      <c r="E54" s="1425"/>
      <c r="F54" s="1425"/>
      <c r="G54" s="1432"/>
      <c r="H54" s="1428"/>
      <c r="I54" s="1428"/>
      <c r="J54" s="1428"/>
      <c r="K54" s="1428"/>
      <c r="L54" s="1428"/>
      <c r="M54" s="1428"/>
      <c r="N54" s="1428"/>
      <c r="O54" s="1429"/>
      <c r="P54" s="1429"/>
    </row>
    <row r="55" spans="1:17" ht="20">
      <c r="A55" s="157"/>
      <c r="B55" s="1433" t="s">
        <v>4586</v>
      </c>
      <c r="C55" s="1431"/>
      <c r="D55" s="1431"/>
      <c r="E55" s="1425"/>
      <c r="F55" s="1425"/>
      <c r="G55" s="1432"/>
      <c r="H55" s="1428"/>
      <c r="I55" s="1428"/>
      <c r="J55" s="1428"/>
      <c r="K55" s="1428"/>
      <c r="L55" s="1428"/>
      <c r="M55" s="1428"/>
      <c r="N55" s="1428"/>
      <c r="O55" s="1429"/>
      <c r="P55" s="1429"/>
    </row>
    <row r="56" spans="1:17">
      <c r="A56" s="157"/>
      <c r="B56" s="1428"/>
      <c r="C56" s="1431"/>
      <c r="D56" s="1431"/>
      <c r="E56" s="1425"/>
      <c r="F56" s="1425"/>
      <c r="G56" s="1432"/>
      <c r="H56" s="1428"/>
      <c r="I56" s="1428"/>
      <c r="J56" s="1428"/>
      <c r="K56" s="1428"/>
      <c r="L56" s="1428"/>
      <c r="M56" s="1428"/>
      <c r="N56" s="1428"/>
      <c r="O56" s="1429"/>
      <c r="P56" s="1429"/>
    </row>
    <row r="57" spans="1:17" ht="14.5" customHeight="1">
      <c r="A57" s="157"/>
      <c r="B57" s="1428"/>
      <c r="C57" s="2319" t="s">
        <v>4582</v>
      </c>
      <c r="D57" s="2321"/>
      <c r="E57" s="2325" t="s">
        <v>2624</v>
      </c>
      <c r="F57" s="2325"/>
      <c r="G57" s="1899" t="s">
        <v>3015</v>
      </c>
      <c r="H57" s="1428"/>
      <c r="I57" s="1428"/>
      <c r="J57" s="1428"/>
      <c r="K57" s="1428"/>
      <c r="L57" s="1428"/>
      <c r="M57" s="1428"/>
      <c r="N57" s="1429"/>
      <c r="O57" s="1429"/>
    </row>
    <row r="58" spans="1:17">
      <c r="A58" s="157"/>
      <c r="B58" s="1428"/>
      <c r="C58" s="2493" t="s">
        <v>4657</v>
      </c>
      <c r="D58" s="2494"/>
      <c r="E58" s="2492">
        <v>3</v>
      </c>
      <c r="F58" s="2492"/>
      <c r="G58" s="1441">
        <f>IF(C58="","",IF(E58&gt;0,E58*(INDEX(References!$DL$89:$DL$91,MATCH(C58,References!$DJ$89:$DJ$91,0))),""))</f>
        <v>450</v>
      </c>
      <c r="H58" s="1428"/>
      <c r="I58" s="1428"/>
      <c r="J58" s="1428"/>
      <c r="K58" s="1428"/>
      <c r="L58" s="1428"/>
      <c r="M58" s="1428"/>
      <c r="N58" s="1429"/>
      <c r="O58" s="1429"/>
    </row>
    <row r="59" spans="1:17">
      <c r="A59" s="157"/>
      <c r="B59" s="1428"/>
      <c r="C59" s="2493"/>
      <c r="D59" s="2494"/>
      <c r="E59" s="2492"/>
      <c r="F59" s="2492"/>
      <c r="G59" s="1441" t="str">
        <f>IF(C59="","",IF(E59&gt;0,E59*(INDEX(References!$DL$89:$DL$91,MATCH(C59,References!$DJ$89:$DJ$91,0))),""))</f>
        <v/>
      </c>
      <c r="H59" s="1428"/>
      <c r="I59" s="1428"/>
      <c r="J59" s="1428"/>
      <c r="K59" s="1428"/>
      <c r="L59" s="1428"/>
      <c r="M59" s="1428"/>
      <c r="N59" s="1429"/>
      <c r="O59" s="1429"/>
    </row>
    <row r="60" spans="1:17">
      <c r="A60" s="157"/>
      <c r="B60" s="1428"/>
      <c r="C60" s="2493"/>
      <c r="D60" s="2494"/>
      <c r="E60" s="2492"/>
      <c r="F60" s="2492"/>
      <c r="G60" s="1441" t="str">
        <f>IF(C60="","",IF(E60&gt;0,E60*(INDEX(References!$DL$89:$DL$91,MATCH(C60,References!$DJ$89:$DJ$91,0))),""))</f>
        <v/>
      </c>
      <c r="H60" s="1428"/>
      <c r="I60" s="1428"/>
      <c r="J60" s="1428"/>
      <c r="K60" s="1428"/>
      <c r="L60" s="1428"/>
      <c r="M60" s="1428"/>
      <c r="N60" s="1429"/>
      <c r="O60" s="1429"/>
    </row>
    <row r="61" spans="1:17" ht="26.5" customHeight="1">
      <c r="C61" s="2480" t="s">
        <v>4748</v>
      </c>
      <c r="D61" s="2481"/>
      <c r="E61" s="2481"/>
      <c r="F61" s="2482"/>
      <c r="G61" s="1440">
        <f>SUM(G58:G60)</f>
        <v>450</v>
      </c>
    </row>
    <row r="63" spans="1:17" s="157" customFormat="1" ht="20">
      <c r="B63" s="1427" t="s">
        <v>4739</v>
      </c>
      <c r="C63" s="1427"/>
      <c r="D63" s="1428"/>
      <c r="E63" s="1428"/>
      <c r="F63" s="1428"/>
      <c r="G63" s="1428"/>
      <c r="H63" s="1428"/>
      <c r="I63" s="1428"/>
      <c r="J63" s="1428"/>
      <c r="K63" s="1428"/>
      <c r="L63" s="1428"/>
      <c r="M63" s="1428"/>
      <c r="N63" s="1428"/>
      <c r="O63" s="1428"/>
      <c r="P63" s="1428"/>
      <c r="Q63" s="1459"/>
    </row>
    <row r="64" spans="1:17" s="157" customFormat="1" ht="18">
      <c r="B64" s="848" t="s">
        <v>35</v>
      </c>
      <c r="C64" s="194" t="s">
        <v>4740</v>
      </c>
      <c r="D64" s="1428"/>
      <c r="E64" s="1428"/>
      <c r="F64" s="1428"/>
      <c r="G64" s="1428"/>
      <c r="H64" s="1428"/>
      <c r="I64" s="1428"/>
      <c r="J64" s="1428"/>
      <c r="K64" s="1428"/>
      <c r="L64" s="1428"/>
      <c r="M64" s="1428"/>
      <c r="N64" s="1428"/>
      <c r="O64" s="1428"/>
      <c r="P64" s="1428"/>
      <c r="Q64" s="1459"/>
    </row>
    <row r="65" spans="2:17" s="157" customFormat="1" ht="18">
      <c r="B65" s="848" t="s">
        <v>35</v>
      </c>
      <c r="C65" s="194" t="s">
        <v>4741</v>
      </c>
      <c r="D65" s="1428"/>
      <c r="E65" s="1428"/>
      <c r="F65" s="1428"/>
      <c r="G65" s="1428"/>
      <c r="H65" s="1428"/>
      <c r="I65" s="1428"/>
      <c r="J65" s="1428"/>
      <c r="K65" s="1428"/>
      <c r="L65" s="1428"/>
      <c r="M65" s="1428"/>
      <c r="N65" s="1428"/>
      <c r="O65" s="1428"/>
      <c r="P65" s="1428"/>
      <c r="Q65" s="1459"/>
    </row>
    <row r="66" spans="2:17" s="157" customFormat="1">
      <c r="B66" s="1428"/>
      <c r="C66"/>
      <c r="D66"/>
      <c r="E66"/>
      <c r="F66"/>
      <c r="G66"/>
      <c r="H66" s="1428"/>
      <c r="I66" s="1428"/>
      <c r="J66" s="1428"/>
      <c r="K66" s="1428"/>
      <c r="L66" s="1428"/>
      <c r="M66" s="1428"/>
      <c r="N66" s="1428"/>
      <c r="O66" s="1428"/>
      <c r="P66" s="1428"/>
      <c r="Q66" s="1459"/>
    </row>
    <row r="67" spans="2:17" s="157" customFormat="1">
      <c r="B67" s="1428"/>
      <c r="C67"/>
      <c r="D67"/>
      <c r="E67"/>
      <c r="F67"/>
      <c r="G67"/>
      <c r="H67" s="1428"/>
      <c r="I67" s="1428"/>
      <c r="J67" s="1428"/>
      <c r="K67" s="1428"/>
      <c r="L67" s="1428"/>
      <c r="M67" s="1428"/>
      <c r="N67" s="1428"/>
      <c r="O67" s="1428"/>
      <c r="P67" s="1428"/>
      <c r="Q67" s="1459"/>
    </row>
    <row r="68" spans="2:17" s="157" customFormat="1">
      <c r="B68" s="1428"/>
      <c r="C68"/>
      <c r="D68"/>
      <c r="E68"/>
      <c r="F68"/>
      <c r="G68"/>
      <c r="H68" s="1428"/>
      <c r="I68" s="1428"/>
      <c r="J68" s="1428"/>
      <c r="K68" s="1428"/>
      <c r="L68" s="1428"/>
      <c r="M68" s="1428"/>
      <c r="N68" s="1428"/>
      <c r="O68" s="1428"/>
      <c r="P68" s="1428"/>
      <c r="Q68" s="1459"/>
    </row>
    <row r="69" spans="2:17" s="157" customFormat="1" ht="24.65" customHeight="1">
      <c r="B69" s="1428"/>
      <c r="C69" s="2319" t="s">
        <v>1553</v>
      </c>
      <c r="D69" s="2321"/>
      <c r="E69" s="2319" t="s">
        <v>4742</v>
      </c>
      <c r="F69" s="2321"/>
      <c r="G69" s="1900" t="s">
        <v>3737</v>
      </c>
      <c r="H69" s="1428"/>
      <c r="I69" s="1428"/>
      <c r="J69" s="1428"/>
      <c r="K69" s="1428"/>
      <c r="L69" s="1428"/>
      <c r="M69" s="1428"/>
      <c r="N69" s="1428"/>
      <c r="O69" s="1428"/>
      <c r="P69" s="1428"/>
      <c r="Q69" s="1459"/>
    </row>
    <row r="70" spans="2:17" s="157" customFormat="1">
      <c r="B70" s="1428"/>
      <c r="C70" s="2484" t="s">
        <v>4743</v>
      </c>
      <c r="D70" s="2485"/>
      <c r="E70" s="2488" t="s">
        <v>4744</v>
      </c>
      <c r="F70" s="2489"/>
      <c r="G70" s="1430">
        <v>16</v>
      </c>
      <c r="H70"/>
      <c r="I70"/>
      <c r="J70"/>
      <c r="K70"/>
      <c r="L70"/>
      <c r="M70"/>
      <c r="N70"/>
      <c r="O70"/>
      <c r="P70"/>
      <c r="Q70" s="1459"/>
    </row>
    <row r="71" spans="2:17" s="157" customFormat="1">
      <c r="B71" s="1428"/>
      <c r="C71" s="2486"/>
      <c r="D71" s="2487"/>
      <c r="E71" s="2375" t="s">
        <v>4745</v>
      </c>
      <c r="F71" s="2376"/>
      <c r="G71" s="1430">
        <v>79</v>
      </c>
      <c r="H71"/>
      <c r="I71"/>
      <c r="J71"/>
      <c r="K71"/>
      <c r="L71"/>
      <c r="M71"/>
      <c r="N71"/>
      <c r="O71"/>
      <c r="P71"/>
    </row>
    <row r="72" spans="2:17" s="157" customFormat="1">
      <c r="B72" s="1428"/>
      <c r="C72" s="1431"/>
      <c r="D72" s="1431"/>
      <c r="E72" s="1425"/>
      <c r="F72" s="1425"/>
      <c r="G72" s="1432"/>
      <c r="H72"/>
      <c r="I72"/>
      <c r="J72"/>
      <c r="K72"/>
      <c r="L72"/>
      <c r="M72"/>
      <c r="N72"/>
      <c r="O72"/>
      <c r="P72"/>
    </row>
    <row r="73" spans="2:17" s="157" customFormat="1" ht="14">
      <c r="B73" s="1428"/>
      <c r="C73" s="1431"/>
      <c r="D73" s="1431"/>
      <c r="E73" s="1425"/>
      <c r="F73" s="1425"/>
      <c r="G73" s="1432"/>
    </row>
    <row r="74" spans="2:17" s="157" customFormat="1" ht="23.5" customHeight="1">
      <c r="B74" s="1428"/>
      <c r="C74" s="2325" t="s">
        <v>4742</v>
      </c>
      <c r="D74" s="2325"/>
      <c r="E74" s="2319" t="s">
        <v>4746</v>
      </c>
      <c r="F74" s="2321"/>
      <c r="G74" s="1899" t="s">
        <v>2624</v>
      </c>
      <c r="H74" s="1899" t="s">
        <v>3015</v>
      </c>
    </row>
    <row r="75" spans="2:17" s="157" customFormat="1" ht="14">
      <c r="B75" s="1428"/>
      <c r="C75" s="2483"/>
      <c r="D75" s="2483"/>
      <c r="E75" s="2483"/>
      <c r="F75" s="2483"/>
      <c r="G75" s="1460"/>
      <c r="H75" s="1461" t="str">
        <f>IF(C75="","",IF(G75&gt;0,G75*(INDEX(References!$DL$100:$DL$101,MATCH('Worksheet Common VFD Motors'!C75,Belt_Type,0))),""))</f>
        <v/>
      </c>
    </row>
    <row r="76" spans="2:17" s="157" customFormat="1" ht="14">
      <c r="B76" s="1428"/>
      <c r="C76" s="2483"/>
      <c r="D76" s="2483"/>
      <c r="E76" s="2483"/>
      <c r="F76" s="2483"/>
      <c r="G76" s="1460"/>
      <c r="H76" s="1461" t="str">
        <f>IF(C76="","",IF(G76&gt;0,G76*(INDEX(References!$DL$100:$DL$101,MATCH('Worksheet Common VFD Motors'!C76,Belt_Type,0))),""))</f>
        <v/>
      </c>
    </row>
    <row r="77" spans="2:17" s="157" customFormat="1" ht="29.15" customHeight="1">
      <c r="B77" s="1428"/>
      <c r="C77" s="2479" t="s">
        <v>4747</v>
      </c>
      <c r="D77" s="2479"/>
      <c r="E77" s="2479"/>
      <c r="F77" s="2479"/>
      <c r="G77" s="2479"/>
      <c r="H77" s="1462">
        <f>SUM(H75:H76)</f>
        <v>0</v>
      </c>
      <c r="I77" s="1428"/>
      <c r="J77" s="1428"/>
      <c r="K77" s="1428"/>
      <c r="L77" s="1428"/>
      <c r="M77" s="1428"/>
      <c r="N77" s="1428"/>
      <c r="O77" s="1459"/>
      <c r="P77" s="1459"/>
    </row>
  </sheetData>
  <mergeCells count="107">
    <mergeCell ref="B5:D5"/>
    <mergeCell ref="B44:O44"/>
    <mergeCell ref="M16:N16"/>
    <mergeCell ref="O16:P16"/>
    <mergeCell ref="M17:N17"/>
    <mergeCell ref="O17:P17"/>
    <mergeCell ref="N38:O38"/>
    <mergeCell ref="N39:O39"/>
    <mergeCell ref="N40:O40"/>
    <mergeCell ref="N41:O41"/>
    <mergeCell ref="N42:O42"/>
    <mergeCell ref="N43:O43"/>
    <mergeCell ref="L41:M41"/>
    <mergeCell ref="L42:M42"/>
    <mergeCell ref="F41:G41"/>
    <mergeCell ref="F42:G42"/>
    <mergeCell ref="L40:M40"/>
    <mergeCell ref="L43:M43"/>
    <mergeCell ref="N31:O31"/>
    <mergeCell ref="N32:O32"/>
    <mergeCell ref="N35:O35"/>
    <mergeCell ref="N36:O36"/>
    <mergeCell ref="N37:O37"/>
    <mergeCell ref="L34:M34"/>
    <mergeCell ref="L35:M35"/>
    <mergeCell ref="F43:G43"/>
    <mergeCell ref="B42:C42"/>
    <mergeCell ref="B43:C43"/>
    <mergeCell ref="F30:G30"/>
    <mergeCell ref="F31:G31"/>
    <mergeCell ref="F32:G32"/>
    <mergeCell ref="F33:G33"/>
    <mergeCell ref="F34:G34"/>
    <mergeCell ref="F35:G35"/>
    <mergeCell ref="F36:G36"/>
    <mergeCell ref="F37:G37"/>
    <mergeCell ref="B30:C30"/>
    <mergeCell ref="B31:C31"/>
    <mergeCell ref="B32:C32"/>
    <mergeCell ref="B33:C33"/>
    <mergeCell ref="B34:C34"/>
    <mergeCell ref="L37:M37"/>
    <mergeCell ref="L38:M38"/>
    <mergeCell ref="L39:M39"/>
    <mergeCell ref="L36:M36"/>
    <mergeCell ref="N34:O34"/>
    <mergeCell ref="C3:P3"/>
    <mergeCell ref="B40:C40"/>
    <mergeCell ref="B41:C41"/>
    <mergeCell ref="D26:E26"/>
    <mergeCell ref="B28:P28"/>
    <mergeCell ref="B29:C29"/>
    <mergeCell ref="F29:G29"/>
    <mergeCell ref="L29:M29"/>
    <mergeCell ref="N29:O29"/>
    <mergeCell ref="B35:C35"/>
    <mergeCell ref="B36:C36"/>
    <mergeCell ref="B37:C37"/>
    <mergeCell ref="B38:C38"/>
    <mergeCell ref="B39:C39"/>
    <mergeCell ref="F38:G38"/>
    <mergeCell ref="F39:G39"/>
    <mergeCell ref="F40:G40"/>
    <mergeCell ref="L30:M30"/>
    <mergeCell ref="N30:O30"/>
    <mergeCell ref="L31:M31"/>
    <mergeCell ref="L32:M32"/>
    <mergeCell ref="L33:M33"/>
    <mergeCell ref="N33:O33"/>
    <mergeCell ref="D25:E25"/>
    <mergeCell ref="B7:P7"/>
    <mergeCell ref="D16:E16"/>
    <mergeCell ref="D17:E17"/>
    <mergeCell ref="D18:E18"/>
    <mergeCell ref="D19:E19"/>
    <mergeCell ref="D20:E20"/>
    <mergeCell ref="D21:E21"/>
    <mergeCell ref="D22:E22"/>
    <mergeCell ref="D23:E23"/>
    <mergeCell ref="D24:E24"/>
    <mergeCell ref="E52:F52"/>
    <mergeCell ref="E51:F51"/>
    <mergeCell ref="E50:F50"/>
    <mergeCell ref="E60:F60"/>
    <mergeCell ref="E59:F59"/>
    <mergeCell ref="E58:F58"/>
    <mergeCell ref="E57:F57"/>
    <mergeCell ref="E53:F53"/>
    <mergeCell ref="C60:D60"/>
    <mergeCell ref="C57:D57"/>
    <mergeCell ref="C58:D58"/>
    <mergeCell ref="C59:D59"/>
    <mergeCell ref="C50:D50"/>
    <mergeCell ref="C51:D53"/>
    <mergeCell ref="C77:G77"/>
    <mergeCell ref="C61:F61"/>
    <mergeCell ref="C74:D74"/>
    <mergeCell ref="E74:F74"/>
    <mergeCell ref="C75:D75"/>
    <mergeCell ref="E75:F75"/>
    <mergeCell ref="C76:D76"/>
    <mergeCell ref="E76:F76"/>
    <mergeCell ref="C69:D69"/>
    <mergeCell ref="E69:F69"/>
    <mergeCell ref="C70:D71"/>
    <mergeCell ref="E70:F70"/>
    <mergeCell ref="E71:F71"/>
  </mergeCells>
  <phoneticPr fontId="139" type="noConversion"/>
  <dataValidations count="5">
    <dataValidation type="list" allowBlank="1" showInputMessage="1" showErrorMessage="1" sqref="E30:E43" xr:uid="{4A17E9EF-71D3-4BAD-A344-9E27D6522B2C}">
      <formula1>$C$17:$C$26</formula1>
    </dataValidation>
    <dataValidation type="list" allowBlank="1" showInputMessage="1" showErrorMessage="1" sqref="H30:H43" xr:uid="{FB725465-37D4-45BB-85A4-0C3849AA58F6}">
      <formula1>OFFSET(Start_Baseline_Code,0,MATCH($E30,Application_Code,0)-1,4)</formula1>
    </dataValidation>
    <dataValidation type="whole" operator="lessThanOrEqual" allowBlank="1" showInputMessage="1" showErrorMessage="1" sqref="E58:E60" xr:uid="{4F133DB6-2300-40CD-89DC-4D16CDA87B8A}">
      <formula1>10</formula1>
    </dataValidation>
    <dataValidation type="list" allowBlank="1" showInputMessage="1" showErrorMessage="1" sqref="C58:D60" xr:uid="{E656D852-4544-40BB-8427-4824A0B6FCD1}">
      <formula1>ECM_VFD_Size</formula1>
    </dataValidation>
    <dataValidation type="list" allowBlank="1" showInputMessage="1" showErrorMessage="1" sqref="C75:D76" xr:uid="{9CA73246-A5F0-4CDF-B2EB-544BDEC48813}">
      <formula1>Belt_Type</formula1>
    </dataValidation>
  </dataValidations>
  <pageMargins left="0.7" right="0.7" top="0.75" bottom="0.75" header="0.3" footer="0.3"/>
  <pageSetup paperSize="0" orientation="portrait" horizontalDpi="0" verticalDpi="0" copies="0"/>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45D9DA-3DAB-463A-BA95-AECC7EF1045E}">
  <sheetPr codeName="Sheet52">
    <tabColor rgb="FF00B0F0"/>
  </sheetPr>
  <dimension ref="A1:XFC44"/>
  <sheetViews>
    <sheetView showGridLines="0" zoomScale="50" zoomScaleNormal="50" workbookViewId="0">
      <selection activeCell="H4" sqref="H4"/>
    </sheetView>
  </sheetViews>
  <sheetFormatPr defaultColWidth="0" defaultRowHeight="14.5"/>
  <cols>
    <col min="1" max="1" width="3.54296875" style="42" customWidth="1"/>
    <col min="2" max="2" width="70.7265625" style="42" bestFit="1" customWidth="1"/>
    <col min="3" max="3" width="16.7265625" style="42" customWidth="1"/>
    <col min="4" max="4" width="32.1796875" style="42" customWidth="1"/>
    <col min="5" max="5" width="6.26953125" style="42" customWidth="1"/>
    <col min="6" max="6" width="3.54296875" style="42" customWidth="1"/>
    <col min="7" max="7" width="29.81640625" style="42" bestFit="1" customWidth="1"/>
    <col min="8" max="8" width="12.81640625" style="42" bestFit="1" customWidth="1"/>
    <col min="9" max="9" width="3.54296875" style="42" customWidth="1"/>
    <col min="10" max="10" width="23.26953125" style="42" bestFit="1" customWidth="1"/>
    <col min="11" max="11" width="18.81640625" style="42" customWidth="1"/>
    <col min="12" max="13" width="8.81640625" style="42" customWidth="1"/>
    <col min="14" max="14" width="8.7265625" style="42" customWidth="1"/>
    <col min="15" max="47" width="8.81640625" style="42" hidden="1"/>
    <col min="48" max="16383" width="8.7265625" style="42" hidden="1"/>
    <col min="16384" max="16384" width="7.1796875" style="42" hidden="1"/>
  </cols>
  <sheetData>
    <row r="1" spans="2:22" ht="30">
      <c r="B1" s="2470" t="str">
        <f>'Customer Information'!A1</f>
        <v>2024 Multi-Family Program</v>
      </c>
      <c r="C1" s="2470"/>
      <c r="D1" s="2470"/>
      <c r="E1" s="2470"/>
      <c r="F1" s="2470"/>
      <c r="G1" s="2470"/>
      <c r="H1" s="2470"/>
      <c r="I1" s="350"/>
      <c r="J1" s="350"/>
    </row>
    <row r="3" spans="2:22" ht="23">
      <c r="B3" s="11" t="str">
        <f>"VFD &amp; Motor Inspection Form, Version "&amp;Development!A2</f>
        <v>VFD &amp; Motor Inspection Form, Version 2.0</v>
      </c>
      <c r="C3" s="11"/>
      <c r="D3" s="11"/>
      <c r="E3" s="11"/>
      <c r="F3" s="11"/>
      <c r="G3" s="11"/>
      <c r="H3" s="11"/>
      <c r="I3" s="11"/>
      <c r="J3" s="11"/>
      <c r="K3" s="11"/>
      <c r="L3" s="11"/>
    </row>
    <row r="4" spans="2:22" ht="23">
      <c r="B4" s="11"/>
      <c r="C4" s="11"/>
      <c r="D4" s="11"/>
      <c r="E4" s="11"/>
      <c r="F4" s="11"/>
      <c r="G4" s="11"/>
      <c r="H4" s="11"/>
      <c r="I4" s="11"/>
      <c r="J4" s="11"/>
      <c r="K4" s="11"/>
      <c r="L4" s="11"/>
    </row>
    <row r="5" spans="2:22" ht="15.5">
      <c r="B5" s="1716" t="s">
        <v>5413</v>
      </c>
      <c r="C5" s="1718" t="str">
        <f>References!$C$45</f>
        <v>PSEGLI_2023_MultiFamilyRebateApplication_Version 2.0_Draft11_ForTestSB.xlsm</v>
      </c>
      <c r="D5" s="1718"/>
    </row>
    <row r="6" spans="2:22" ht="15.5">
      <c r="B6" s="1716" t="s">
        <v>5382</v>
      </c>
      <c r="C6" s="1718" t="str">
        <f>IF('Customer Information'!L43="","",'Customer Information'!L43)</f>
        <v/>
      </c>
      <c r="D6" s="1718"/>
      <c r="E6" s="1594"/>
      <c r="F6" s="1594"/>
      <c r="G6" s="2453" t="s">
        <v>5384</v>
      </c>
      <c r="H6" s="2454"/>
      <c r="I6" s="2454"/>
      <c r="J6" s="2454"/>
      <c r="K6" s="2454"/>
      <c r="L6" s="2454"/>
      <c r="M6" s="2455"/>
      <c r="N6" s="1803"/>
      <c r="O6" s="1719"/>
    </row>
    <row r="7" spans="2:22" ht="15.5">
      <c r="B7" s="1716"/>
      <c r="C7" s="1716"/>
      <c r="D7" s="1594"/>
      <c r="E7" s="1594"/>
      <c r="F7" s="1594"/>
      <c r="G7" s="1720"/>
      <c r="H7" s="1594"/>
      <c r="I7" s="1594"/>
      <c r="J7" s="1594"/>
      <c r="K7" s="1594"/>
      <c r="L7" s="1594"/>
      <c r="M7" s="1594"/>
      <c r="N7" s="1705"/>
      <c r="O7" s="157"/>
    </row>
    <row r="8" spans="2:22" ht="18" customHeight="1">
      <c r="B8" s="1716" t="s">
        <v>5383</v>
      </c>
      <c r="C8" s="1718" t="str">
        <f>IF('Customer Information'!C6="","",'Customer Information'!C6)</f>
        <v/>
      </c>
      <c r="D8" s="1718"/>
      <c r="E8" s="1594"/>
      <c r="F8" s="1594"/>
      <c r="G8" s="1780" t="s">
        <v>5386</v>
      </c>
      <c r="H8" s="1804"/>
      <c r="I8" s="1594"/>
      <c r="J8" s="1716" t="s">
        <v>5387</v>
      </c>
      <c r="K8" s="2513"/>
      <c r="L8" s="2513"/>
      <c r="M8" s="2514"/>
      <c r="N8" s="50"/>
    </row>
    <row r="9" spans="2:22" ht="18" customHeight="1">
      <c r="B9" s="1716" t="s">
        <v>5385</v>
      </c>
      <c r="C9" s="1718" t="str">
        <f>IF('Customer Information'!C7="","",'Customer Information'!C7)</f>
        <v/>
      </c>
      <c r="D9" s="1718"/>
      <c r="E9" s="1594"/>
      <c r="F9" s="1594"/>
      <c r="G9" s="1723"/>
      <c r="H9" s="1594"/>
      <c r="I9" s="1594"/>
      <c r="J9" s="1594"/>
      <c r="K9" s="1721"/>
      <c r="L9" s="1721"/>
      <c r="M9" s="1721"/>
      <c r="N9" s="50"/>
    </row>
    <row r="10" spans="2:22" ht="18" customHeight="1">
      <c r="B10" s="1716" t="s">
        <v>5414</v>
      </c>
      <c r="C10" s="1718" t="str">
        <f>IF('Customer Information'!I7="","",'Customer Information'!I7)</f>
        <v/>
      </c>
      <c r="D10" s="1718"/>
      <c r="E10" s="1594"/>
      <c r="F10" s="1594"/>
      <c r="G10" s="1780" t="s">
        <v>5390</v>
      </c>
      <c r="H10" s="1804"/>
      <c r="I10" s="1594"/>
      <c r="J10" s="1716" t="s">
        <v>9</v>
      </c>
      <c r="K10" s="2513"/>
      <c r="L10" s="2513"/>
      <c r="M10" s="2514"/>
      <c r="N10" s="50"/>
    </row>
    <row r="11" spans="2:22" ht="18" customHeight="1">
      <c r="B11" s="1716" t="s">
        <v>5388</v>
      </c>
      <c r="C11" s="1718" t="str">
        <f>IF('Customer Information'!C10="","",'Customer Information'!C10)</f>
        <v/>
      </c>
      <c r="D11" s="1718"/>
      <c r="E11" s="1594"/>
      <c r="F11" s="1594"/>
      <c r="G11" s="1723"/>
      <c r="H11" s="1594"/>
      <c r="I11" s="1594"/>
      <c r="J11" s="1594"/>
      <c r="K11" s="1594"/>
      <c r="L11" s="1594"/>
      <c r="M11" s="1594"/>
      <c r="N11" s="50"/>
    </row>
    <row r="12" spans="2:22" ht="18" customHeight="1">
      <c r="B12" s="1716" t="s">
        <v>5389</v>
      </c>
      <c r="C12" s="1726" t="str">
        <f>IF('Customer Information'!K9="","",'Customer Information'!K9)</f>
        <v/>
      </c>
      <c r="D12" s="1718"/>
      <c r="E12" s="1594"/>
      <c r="F12" s="1594"/>
      <c r="G12" s="1780" t="s">
        <v>10</v>
      </c>
      <c r="H12" s="1804"/>
      <c r="I12" s="1594"/>
      <c r="J12" s="1716" t="s">
        <v>140</v>
      </c>
      <c r="K12" s="2513"/>
      <c r="L12" s="2513"/>
      <c r="M12" s="2514"/>
      <c r="N12" s="50"/>
    </row>
    <row r="13" spans="2:22" ht="18" customHeight="1">
      <c r="B13" s="1716" t="s">
        <v>5391</v>
      </c>
      <c r="C13" s="1726" t="str">
        <f>IF('Customer Information'!K10="","",'Customer Information'!K10)</f>
        <v/>
      </c>
      <c r="D13" s="1876"/>
      <c r="E13" s="1594"/>
      <c r="F13" s="1594"/>
      <c r="G13" s="1794"/>
      <c r="H13" s="1718"/>
      <c r="I13" s="1718"/>
      <c r="J13" s="1718"/>
      <c r="K13" s="1718"/>
      <c r="L13" s="1718"/>
      <c r="M13" s="1718"/>
      <c r="N13" s="1705"/>
      <c r="O13" s="157"/>
    </row>
    <row r="14" spans="2:22" ht="18" customHeight="1">
      <c r="B14" s="1716" t="s">
        <v>3283</v>
      </c>
      <c r="C14" s="1718" t="str">
        <f>IF('Customer Information'!K13="","",'Customer Information'!K13)</f>
        <v/>
      </c>
      <c r="D14" s="1718"/>
      <c r="E14" s="1594"/>
      <c r="F14" s="1594"/>
      <c r="G14" s="1594"/>
      <c r="H14" s="1594"/>
      <c r="I14" s="1594"/>
      <c r="J14" s="1594"/>
      <c r="K14" s="1594"/>
      <c r="L14" s="1594"/>
      <c r="M14" s="1594"/>
    </row>
    <row r="15" spans="2:22" ht="18" customHeight="1">
      <c r="B15" s="1716" t="s">
        <v>5392</v>
      </c>
      <c r="C15" s="2515"/>
      <c r="D15" s="2515"/>
      <c r="E15" s="1594"/>
      <c r="F15" s="1594"/>
      <c r="G15" s="1594"/>
      <c r="H15" s="1594"/>
      <c r="I15" s="1594"/>
      <c r="J15" s="1594"/>
      <c r="K15" s="1594"/>
      <c r="L15" s="1594"/>
      <c r="M15" s="1594"/>
    </row>
    <row r="16" spans="2:22" ht="20">
      <c r="B16" s="1436"/>
      <c r="C16" s="1733"/>
      <c r="D16" s="1733"/>
      <c r="E16" s="1733"/>
      <c r="F16" s="1733"/>
      <c r="G16" s="1733"/>
      <c r="H16" s="1733"/>
      <c r="I16" s="1733"/>
      <c r="J16" s="1733"/>
      <c r="K16" s="1733"/>
      <c r="L16" s="1733"/>
      <c r="M16" s="1733"/>
      <c r="N16" s="1436"/>
      <c r="O16" s="1436"/>
      <c r="P16" s="1436"/>
      <c r="Q16" s="1436"/>
      <c r="R16" s="1436"/>
      <c r="S16" s="1436"/>
      <c r="T16" s="1436"/>
      <c r="U16" s="1436"/>
      <c r="V16" s="1436"/>
    </row>
    <row r="17" spans="2:22" ht="20.5" thickBot="1">
      <c r="B17" s="1805" t="s">
        <v>3069</v>
      </c>
      <c r="C17" s="1733"/>
      <c r="D17" s="1733"/>
      <c r="E17" s="1733"/>
      <c r="F17" s="1733"/>
      <c r="G17" s="1733"/>
      <c r="H17" s="1733"/>
      <c r="I17" s="1733"/>
      <c r="J17" s="1733"/>
      <c r="K17" s="1733"/>
      <c r="L17" s="1733"/>
      <c r="M17" s="1733"/>
      <c r="N17" s="1436"/>
      <c r="O17" s="1436"/>
      <c r="P17" s="1436"/>
      <c r="Q17" s="1436"/>
      <c r="R17" s="1436"/>
      <c r="S17" s="1436"/>
      <c r="T17" s="1436"/>
      <c r="U17" s="1436"/>
      <c r="V17" s="1436"/>
    </row>
    <row r="18" spans="2:22" s="659" customFormat="1" ht="27" customHeight="1" thickBot="1">
      <c r="B18" s="1806" t="s">
        <v>3012</v>
      </c>
      <c r="C18" s="1807" t="s">
        <v>3013</v>
      </c>
      <c r="D18" s="1807" t="s">
        <v>3014</v>
      </c>
      <c r="E18" s="1808" t="s">
        <v>5398</v>
      </c>
      <c r="F18" s="1589"/>
      <c r="G18" s="1806" t="s">
        <v>80</v>
      </c>
      <c r="H18" s="1808" t="s">
        <v>135</v>
      </c>
      <c r="I18" s="1589"/>
      <c r="J18" s="1806" t="s">
        <v>5400</v>
      </c>
      <c r="K18" s="2510" t="s">
        <v>5402</v>
      </c>
      <c r="L18" s="2510"/>
      <c r="M18" s="2511"/>
    </row>
    <row r="19" spans="2:22" ht="15.5">
      <c r="B19" s="1809" t="str">
        <f>IF('Worksheet Common VFD Motors'!P30="","",'Worksheet Common VFD Motors'!B30)</f>
        <v>Unit 1</v>
      </c>
      <c r="C19" s="1809">
        <f>IF('Worksheet Common VFD Motors'!P30="","",'Worksheet Common VFD Motors'!D30)</f>
        <v>10</v>
      </c>
      <c r="D19" s="1809" t="str">
        <f>IF('Worksheet Common VFD Motors'!P30="","",'Worksheet Common VFD Motors'!F30)</f>
        <v>HVAC Return Air Fan</v>
      </c>
      <c r="E19" s="1809">
        <f>IF('Worksheet Common VFD Motors'!P30="","",'Worksheet Common VFD Motors'!N30)</f>
        <v>3</v>
      </c>
      <c r="F19" s="1594"/>
      <c r="G19" s="1810"/>
      <c r="H19" s="1810"/>
      <c r="I19" s="1594"/>
      <c r="J19" s="1810"/>
      <c r="K19" s="2512"/>
      <c r="L19" s="2513"/>
      <c r="M19" s="2514"/>
    </row>
    <row r="20" spans="2:22" ht="15.5">
      <c r="B20" s="1809" t="str">
        <f>IF('Worksheet Common VFD Motors'!P31="","",'Worksheet Common VFD Motors'!B31)</f>
        <v>Unit 2</v>
      </c>
      <c r="C20" s="1809">
        <f>IF('Worksheet Common VFD Motors'!P31="","",'Worksheet Common VFD Motors'!D31)</f>
        <v>10</v>
      </c>
      <c r="D20" s="1809" t="str">
        <f>IF('Worksheet Common VFD Motors'!P31="","",'Worksheet Common VFD Motors'!F31)</f>
        <v>HVAC Supply Air Fan</v>
      </c>
      <c r="E20" s="1809">
        <f>IF('Worksheet Common VFD Motors'!P31="","",'Worksheet Common VFD Motors'!N31)</f>
        <v>3</v>
      </c>
      <c r="F20" s="1594"/>
      <c r="G20" s="1811"/>
      <c r="H20" s="1811"/>
      <c r="I20" s="1594"/>
      <c r="J20" s="1811"/>
      <c r="K20" s="2507"/>
      <c r="L20" s="2508"/>
      <c r="M20" s="2509"/>
    </row>
    <row r="21" spans="2:22" ht="15.5">
      <c r="B21" s="1809" t="str">
        <f>IF('Worksheet Common VFD Motors'!P32="","",'Worksheet Common VFD Motors'!B32)</f>
        <v/>
      </c>
      <c r="C21" s="1809" t="str">
        <f>IF('Worksheet Common VFD Motors'!P32="","",'Worksheet Common VFD Motors'!D32)</f>
        <v/>
      </c>
      <c r="D21" s="1809" t="str">
        <f>IF('Worksheet Common VFD Motors'!P32="","",'Worksheet Common VFD Motors'!F32)</f>
        <v/>
      </c>
      <c r="E21" s="1809" t="str">
        <f>IF('Worksheet Common VFD Motors'!P32="","",'Worksheet Common VFD Motors'!N32)</f>
        <v/>
      </c>
      <c r="F21" s="1594"/>
      <c r="G21" s="1811"/>
      <c r="H21" s="1811"/>
      <c r="I21" s="1594"/>
      <c r="J21" s="1811"/>
      <c r="K21" s="2507"/>
      <c r="L21" s="2508"/>
      <c r="M21" s="2509"/>
    </row>
    <row r="22" spans="2:22" ht="15.5">
      <c r="B22" s="1809" t="str">
        <f>IF('Worksheet Common VFD Motors'!P33="","",'Worksheet Common VFD Motors'!B33)</f>
        <v/>
      </c>
      <c r="C22" s="1809" t="str">
        <f>IF('Worksheet Common VFD Motors'!P33="","",'Worksheet Common VFD Motors'!D33)</f>
        <v/>
      </c>
      <c r="D22" s="1809" t="str">
        <f>IF('Worksheet Common VFD Motors'!P33="","",'Worksheet Common VFD Motors'!F33)</f>
        <v/>
      </c>
      <c r="E22" s="1809" t="str">
        <f>IF('Worksheet Common VFD Motors'!P33="","",'Worksheet Common VFD Motors'!N33)</f>
        <v/>
      </c>
      <c r="F22" s="1594"/>
      <c r="G22" s="1811"/>
      <c r="H22" s="1811"/>
      <c r="I22" s="1594"/>
      <c r="J22" s="1811"/>
      <c r="K22" s="2507"/>
      <c r="L22" s="2508"/>
      <c r="M22" s="2509"/>
    </row>
    <row r="23" spans="2:22" ht="15.5">
      <c r="B23" s="1809" t="str">
        <f>IF('Worksheet Common VFD Motors'!P34="","",'Worksheet Common VFD Motors'!B34)</f>
        <v/>
      </c>
      <c r="C23" s="1809" t="str">
        <f>IF('Worksheet Common VFD Motors'!P34="","",'Worksheet Common VFD Motors'!D34)</f>
        <v/>
      </c>
      <c r="D23" s="1809" t="str">
        <f>IF('Worksheet Common VFD Motors'!P34="","",'Worksheet Common VFD Motors'!F34)</f>
        <v/>
      </c>
      <c r="E23" s="1809" t="str">
        <f>IF('Worksheet Common VFD Motors'!P34="","",'Worksheet Common VFD Motors'!N34)</f>
        <v/>
      </c>
      <c r="F23" s="1594"/>
      <c r="G23" s="1811"/>
      <c r="H23" s="1811"/>
      <c r="I23" s="1594"/>
      <c r="J23" s="1811"/>
      <c r="K23" s="2507"/>
      <c r="L23" s="2508"/>
      <c r="M23" s="2509"/>
    </row>
    <row r="24" spans="2:22" ht="15.5">
      <c r="B24" s="1809" t="str">
        <f>IF('Worksheet Common VFD Motors'!P35="","",'Worksheet Common VFD Motors'!B35)</f>
        <v/>
      </c>
      <c r="C24" s="1809" t="str">
        <f>IF('Worksheet Common VFD Motors'!P35="","",'Worksheet Common VFD Motors'!D35)</f>
        <v/>
      </c>
      <c r="D24" s="1809" t="str">
        <f>IF('Worksheet Common VFD Motors'!P35="","",'Worksheet Common VFD Motors'!F35)</f>
        <v/>
      </c>
      <c r="E24" s="1809" t="str">
        <f>IF('Worksheet Common VFD Motors'!P35="","",'Worksheet Common VFD Motors'!N35)</f>
        <v/>
      </c>
      <c r="F24" s="1594"/>
      <c r="G24" s="1811"/>
      <c r="H24" s="1811"/>
      <c r="I24" s="1594"/>
      <c r="J24" s="1811"/>
      <c r="K24" s="2507"/>
      <c r="L24" s="2508"/>
      <c r="M24" s="2509"/>
    </row>
    <row r="25" spans="2:22" ht="15.5">
      <c r="B25" s="1809" t="str">
        <f>IF('Worksheet Common VFD Motors'!P36="","",'Worksheet Common VFD Motors'!B36)</f>
        <v/>
      </c>
      <c r="C25" s="1809" t="str">
        <f>IF('Worksheet Common VFD Motors'!P36="","",'Worksheet Common VFD Motors'!D36)</f>
        <v/>
      </c>
      <c r="D25" s="1809" t="str">
        <f>IF('Worksheet Common VFD Motors'!P36="","",'Worksheet Common VFD Motors'!F36)</f>
        <v/>
      </c>
      <c r="E25" s="1809" t="str">
        <f>IF('Worksheet Common VFD Motors'!P36="","",'Worksheet Common VFD Motors'!N36)</f>
        <v/>
      </c>
      <c r="F25" s="1594"/>
      <c r="G25" s="1811"/>
      <c r="H25" s="1811"/>
      <c r="I25" s="1594"/>
      <c r="J25" s="1811"/>
      <c r="K25" s="2507"/>
      <c r="L25" s="2508"/>
      <c r="M25" s="2509"/>
    </row>
    <row r="26" spans="2:22" ht="15.5">
      <c r="B26" s="1809" t="str">
        <f>IF('Worksheet Common VFD Motors'!P37="","",'Worksheet Common VFD Motors'!B37)</f>
        <v/>
      </c>
      <c r="C26" s="1809" t="str">
        <f>IF('Worksheet Common VFD Motors'!P37="","",'Worksheet Common VFD Motors'!D37)</f>
        <v/>
      </c>
      <c r="D26" s="1809" t="str">
        <f>IF('Worksheet Common VFD Motors'!P37="","",'Worksheet Common VFD Motors'!F37)</f>
        <v/>
      </c>
      <c r="E26" s="1809" t="str">
        <f>IF('Worksheet Common VFD Motors'!P37="","",'Worksheet Common VFD Motors'!N37)</f>
        <v/>
      </c>
      <c r="F26" s="1594"/>
      <c r="G26" s="1811"/>
      <c r="H26" s="1811"/>
      <c r="I26" s="1594"/>
      <c r="J26" s="1811"/>
      <c r="K26" s="2507"/>
      <c r="L26" s="2508"/>
      <c r="M26" s="2509"/>
    </row>
    <row r="27" spans="2:22" ht="15.5">
      <c r="B27" s="1809" t="str">
        <f>IF('Worksheet Common VFD Motors'!P38="","",'Worksheet Common VFD Motors'!B38)</f>
        <v/>
      </c>
      <c r="C27" s="1809" t="str">
        <f>IF('Worksheet Common VFD Motors'!P38="","",'Worksheet Common VFD Motors'!D38)</f>
        <v/>
      </c>
      <c r="D27" s="1809" t="str">
        <f>IF('Worksheet Common VFD Motors'!P38="","",'Worksheet Common VFD Motors'!F38)</f>
        <v/>
      </c>
      <c r="E27" s="1809" t="str">
        <f>IF('Worksheet Common VFD Motors'!P38="","",'Worksheet Common VFD Motors'!N38)</f>
        <v/>
      </c>
      <c r="F27" s="1594"/>
      <c r="G27" s="1811"/>
      <c r="H27" s="1811"/>
      <c r="I27" s="1594"/>
      <c r="J27" s="1811"/>
      <c r="K27" s="2507"/>
      <c r="L27" s="2508"/>
      <c r="M27" s="2509"/>
    </row>
    <row r="28" spans="2:22" ht="15.5">
      <c r="B28" s="1809" t="str">
        <f>IF('Worksheet Common VFD Motors'!P39="","",'Worksheet Common VFD Motors'!B39)</f>
        <v/>
      </c>
      <c r="C28" s="1809" t="str">
        <f>IF('Worksheet Common VFD Motors'!P39="","",'Worksheet Common VFD Motors'!D39)</f>
        <v/>
      </c>
      <c r="D28" s="1809" t="str">
        <f>IF('Worksheet Common VFD Motors'!P39="","",'Worksheet Common VFD Motors'!F39)</f>
        <v/>
      </c>
      <c r="E28" s="1809" t="str">
        <f>IF('Worksheet Common VFD Motors'!P39="","",'Worksheet Common VFD Motors'!N39)</f>
        <v/>
      </c>
      <c r="F28" s="1594"/>
      <c r="G28" s="1811"/>
      <c r="H28" s="1811"/>
      <c r="I28" s="1594"/>
      <c r="J28" s="1811"/>
      <c r="K28" s="2507"/>
      <c r="L28" s="2508"/>
      <c r="M28" s="2509"/>
    </row>
    <row r="29" spans="2:22" ht="15.5">
      <c r="B29" s="1809" t="str">
        <f>IF('Worksheet Common VFD Motors'!P40="","",'Worksheet Common VFD Motors'!B40)</f>
        <v/>
      </c>
      <c r="C29" s="1809" t="str">
        <f>IF('Worksheet Common VFD Motors'!P40="","",'Worksheet Common VFD Motors'!D40)</f>
        <v/>
      </c>
      <c r="D29" s="1809" t="str">
        <f>IF('Worksheet Common VFD Motors'!P40="","",'Worksheet Common VFD Motors'!F40)</f>
        <v/>
      </c>
      <c r="E29" s="1809" t="str">
        <f>IF('Worksheet Common VFD Motors'!P40="","",'Worksheet Common VFD Motors'!N40)</f>
        <v/>
      </c>
      <c r="F29" s="1594"/>
      <c r="G29" s="1811"/>
      <c r="H29" s="1811"/>
      <c r="I29" s="1594"/>
      <c r="J29" s="1811"/>
      <c r="K29" s="2507"/>
      <c r="L29" s="2508"/>
      <c r="M29" s="2509"/>
    </row>
    <row r="30" spans="2:22" ht="15.5">
      <c r="B30" s="1809" t="str">
        <f>IF('Worksheet Common VFD Motors'!P41="","",'Worksheet Common VFD Motors'!B41)</f>
        <v/>
      </c>
      <c r="C30" s="1809" t="str">
        <f>IF('Worksheet Common VFD Motors'!P41="","",'Worksheet Common VFD Motors'!D41)</f>
        <v/>
      </c>
      <c r="D30" s="1809" t="str">
        <f>IF('Worksheet Common VFD Motors'!P41="","",'Worksheet Common VFD Motors'!F41)</f>
        <v/>
      </c>
      <c r="E30" s="1809" t="str">
        <f>IF('Worksheet Common VFD Motors'!P41="","",'Worksheet Common VFD Motors'!N41)</f>
        <v/>
      </c>
      <c r="F30" s="1594"/>
      <c r="G30" s="1811"/>
      <c r="H30" s="1811"/>
      <c r="I30" s="1594"/>
      <c r="J30" s="1811"/>
      <c r="K30" s="2507"/>
      <c r="L30" s="2508"/>
      <c r="M30" s="2509"/>
    </row>
    <row r="31" spans="2:22" ht="15.5">
      <c r="B31" s="1809" t="str">
        <f>IF('Worksheet Common VFD Motors'!P42="","",'Worksheet Common VFD Motors'!B42)</f>
        <v/>
      </c>
      <c r="C31" s="1809" t="str">
        <f>IF('Worksheet Common VFD Motors'!P42="","",'Worksheet Common VFD Motors'!D42)</f>
        <v/>
      </c>
      <c r="D31" s="1809" t="str">
        <f>IF('Worksheet Common VFD Motors'!P42="","",'Worksheet Common VFD Motors'!F42)</f>
        <v/>
      </c>
      <c r="E31" s="1809" t="str">
        <f>IF('Worksheet Common VFD Motors'!P42="","",'Worksheet Common VFD Motors'!N42)</f>
        <v/>
      </c>
      <c r="G31" s="1812"/>
      <c r="H31" s="1812"/>
      <c r="J31" s="1812"/>
      <c r="K31" s="2507"/>
      <c r="L31" s="2508"/>
      <c r="M31" s="2509"/>
    </row>
    <row r="32" spans="2:22" ht="15.5">
      <c r="B32" s="1809" t="str">
        <f>IF('Worksheet Common VFD Motors'!P43="","",'Worksheet Common VFD Motors'!B43)</f>
        <v/>
      </c>
      <c r="C32" s="1809" t="str">
        <f>IF('Worksheet Common VFD Motors'!P43="","",'Worksheet Common VFD Motors'!D43)</f>
        <v/>
      </c>
      <c r="D32" s="1809" t="str">
        <f>IF('Worksheet Common VFD Motors'!P43="","",'Worksheet Common VFD Motors'!F43)</f>
        <v/>
      </c>
      <c r="E32" s="1809" t="str">
        <f>IF('Worksheet Common VFD Motors'!P43="","",'Worksheet Common VFD Motors'!N43)</f>
        <v/>
      </c>
      <c r="G32" s="1812"/>
      <c r="H32" s="1812"/>
      <c r="J32" s="1812"/>
      <c r="K32" s="2507"/>
      <c r="L32" s="2508"/>
      <c r="M32" s="2509"/>
    </row>
    <row r="34" spans="2:13" ht="21.65" customHeight="1" thickBot="1">
      <c r="B34" s="1805" t="s">
        <v>4583</v>
      </c>
    </row>
    <row r="35" spans="2:13" ht="19" customHeight="1" thickBot="1">
      <c r="B35" s="1813" t="s">
        <v>4582</v>
      </c>
      <c r="C35" s="1493" t="s">
        <v>2624</v>
      </c>
      <c r="G35" s="1806" t="s">
        <v>80</v>
      </c>
      <c r="H35" s="1808" t="s">
        <v>135</v>
      </c>
      <c r="I35" s="1589"/>
      <c r="J35" s="1806" t="s">
        <v>5400</v>
      </c>
      <c r="K35" s="2510" t="s">
        <v>5402</v>
      </c>
      <c r="L35" s="2510"/>
      <c r="M35" s="2511"/>
    </row>
    <row r="36" spans="2:13" ht="15.5">
      <c r="B36" s="1809" t="str">
        <f>IF('Worksheet Common VFD Motors'!G58="","",'Worksheet Common VFD Motors'!C58)</f>
        <v>&gt;144 to ≤ 575 Watts</v>
      </c>
      <c r="C36" s="1809">
        <f>IF('Worksheet Common VFD Motors'!G58="","",'Worksheet Common VFD Motors'!E58)</f>
        <v>3</v>
      </c>
      <c r="G36" s="1810"/>
      <c r="H36" s="1810"/>
      <c r="I36" s="1594"/>
      <c r="J36" s="1810"/>
      <c r="K36" s="2512"/>
      <c r="L36" s="2513"/>
      <c r="M36" s="2514"/>
    </row>
    <row r="37" spans="2:13" ht="15.5">
      <c r="B37" s="1809" t="str">
        <f>IF('Worksheet Common VFD Motors'!G59="","",'Worksheet Common VFD Motors'!C59)</f>
        <v/>
      </c>
      <c r="C37" s="1809" t="str">
        <f>IF('Worksheet Common VFD Motors'!G59="","",'Worksheet Common VFD Motors'!E59)</f>
        <v/>
      </c>
      <c r="G37" s="1811"/>
      <c r="H37" s="1811"/>
      <c r="I37" s="1594"/>
      <c r="J37" s="1811"/>
      <c r="K37" s="2507"/>
      <c r="L37" s="2508"/>
      <c r="M37" s="2509"/>
    </row>
    <row r="38" spans="2:13" ht="15.5">
      <c r="B38" s="1809" t="str">
        <f>IF('Worksheet Common VFD Motors'!G60="","",'Worksheet Common VFD Motors'!C60)</f>
        <v/>
      </c>
      <c r="C38" s="1809" t="str">
        <f>IF('Worksheet Common VFD Motors'!G60="","",'Worksheet Common VFD Motors'!E60)</f>
        <v/>
      </c>
      <c r="G38" s="1811"/>
      <c r="H38" s="1811"/>
      <c r="I38" s="1594"/>
      <c r="J38" s="1811"/>
      <c r="K38" s="2507"/>
      <c r="L38" s="2508"/>
      <c r="M38" s="2509"/>
    </row>
    <row r="41" spans="2:13" ht="21.65" customHeight="1" thickBot="1">
      <c r="B41" s="1805" t="s">
        <v>5428</v>
      </c>
    </row>
    <row r="42" spans="2:13" ht="19" customHeight="1" thickBot="1">
      <c r="B42" s="1813" t="s">
        <v>4742</v>
      </c>
      <c r="C42" s="1493" t="s">
        <v>2624</v>
      </c>
      <c r="G42"/>
      <c r="H42"/>
      <c r="I42" s="1589"/>
      <c r="J42" s="1806" t="s">
        <v>5400</v>
      </c>
      <c r="K42" s="2510" t="s">
        <v>5402</v>
      </c>
      <c r="L42" s="2510"/>
      <c r="M42" s="2511"/>
    </row>
    <row r="43" spans="2:13" ht="15.5">
      <c r="B43" s="1809" t="str">
        <f>IF('Worksheet Common VFD Motors'!H75="","",'Worksheet Common VFD Motors'!C75)</f>
        <v/>
      </c>
      <c r="C43" s="1809" t="str">
        <f>IF('Worksheet Common VFD Motors'!H75="","",'Worksheet Common VFD Motors'!G75)</f>
        <v/>
      </c>
      <c r="G43"/>
      <c r="H43"/>
      <c r="I43" s="1594"/>
      <c r="J43" s="1810"/>
      <c r="K43" s="2512"/>
      <c r="L43" s="2513"/>
      <c r="M43" s="2514"/>
    </row>
    <row r="44" spans="2:13" ht="15.5">
      <c r="B44" s="1809" t="str">
        <f>IF('Worksheet Common VFD Motors'!H76="","",'Worksheet Common VFD Motors'!C76)</f>
        <v/>
      </c>
      <c r="C44" s="1809" t="str">
        <f>IF('Worksheet Common VFD Motors'!H76="","",'Worksheet Common VFD Motors'!G76)</f>
        <v/>
      </c>
      <c r="G44"/>
      <c r="H44"/>
      <c r="I44" s="1594"/>
      <c r="J44" s="1811"/>
      <c r="K44" s="2507"/>
      <c r="L44" s="2508"/>
      <c r="M44" s="2509"/>
    </row>
  </sheetData>
  <mergeCells count="28">
    <mergeCell ref="B1:H1"/>
    <mergeCell ref="G6:M6"/>
    <mergeCell ref="K8:M8"/>
    <mergeCell ref="K20:M20"/>
    <mergeCell ref="K10:M10"/>
    <mergeCell ref="K12:M12"/>
    <mergeCell ref="C15:D15"/>
    <mergeCell ref="K18:M18"/>
    <mergeCell ref="K19:M19"/>
    <mergeCell ref="K32:M32"/>
    <mergeCell ref="K21:M21"/>
    <mergeCell ref="K22:M22"/>
    <mergeCell ref="K23:M23"/>
    <mergeCell ref="K24:M24"/>
    <mergeCell ref="K25:M25"/>
    <mergeCell ref="K26:M26"/>
    <mergeCell ref="K27:M27"/>
    <mergeCell ref="K28:M28"/>
    <mergeCell ref="K29:M29"/>
    <mergeCell ref="K30:M30"/>
    <mergeCell ref="K31:M31"/>
    <mergeCell ref="K44:M44"/>
    <mergeCell ref="K35:M35"/>
    <mergeCell ref="K36:M36"/>
    <mergeCell ref="K37:M37"/>
    <mergeCell ref="K38:M38"/>
    <mergeCell ref="K42:M42"/>
    <mergeCell ref="K43:M43"/>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FD85A-56E9-4541-93DB-5D20F36179BF}">
  <sheetPr codeName="Sheet14">
    <tabColor rgb="FFF85208"/>
  </sheetPr>
  <dimension ref="A1:AP67"/>
  <sheetViews>
    <sheetView showGridLines="0" topLeftCell="A8" zoomScale="90" zoomScaleNormal="90" workbookViewId="0">
      <selection activeCell="O61" sqref="O61"/>
    </sheetView>
  </sheetViews>
  <sheetFormatPr defaultColWidth="0" defaultRowHeight="14.5" zeroHeight="1"/>
  <cols>
    <col min="1" max="1" width="3.7265625" style="42" customWidth="1"/>
    <col min="2" max="2" width="6.1796875" style="42" customWidth="1"/>
    <col min="3" max="3" width="19.453125" style="42" customWidth="1"/>
    <col min="4" max="4" width="12.7265625" style="42" customWidth="1"/>
    <col min="5" max="8" width="14.54296875" style="42" customWidth="1"/>
    <col min="9" max="11" width="19.54296875" style="42" customWidth="1"/>
    <col min="12" max="14" width="19.54296875" style="42" hidden="1" customWidth="1"/>
    <col min="15" max="17" width="19.54296875" style="42" customWidth="1"/>
    <col min="18" max="18" width="24.453125" style="42" customWidth="1"/>
    <col min="19" max="25" width="19.54296875" style="42" customWidth="1"/>
    <col min="26" max="26" width="5.81640625" style="42" customWidth="1"/>
    <col min="27" max="31" width="16.81640625" style="42" customWidth="1"/>
    <col min="32" max="33" width="17" style="42" hidden="1" customWidth="1"/>
    <col min="34" max="34" width="6" style="42" customWidth="1"/>
    <col min="35" max="36" width="17.453125" style="42" customWidth="1"/>
    <col min="37" max="38" width="16.81640625" style="42" customWidth="1"/>
    <col min="39" max="39" width="17.453125" style="42" customWidth="1"/>
    <col min="40" max="40" width="9.1796875" style="42" customWidth="1"/>
    <col min="41" max="42" width="0" style="42" hidden="1" customWidth="1"/>
    <col min="43" max="16384" width="9.1796875" style="42" hidden="1"/>
  </cols>
  <sheetData>
    <row r="1" spans="1:40" s="1331" customFormat="1" ht="60" customHeight="1">
      <c r="A1" s="1906"/>
      <c r="B1" s="1921" t="str">
        <f>Development!A3&amp;" Geothermal Rebate Program"</f>
        <v>2024 Geothermal Rebate Program</v>
      </c>
      <c r="C1" s="1921"/>
      <c r="D1" s="1922"/>
      <c r="E1" s="1922"/>
      <c r="F1" s="1922"/>
      <c r="G1" s="1922"/>
      <c r="H1" s="1922"/>
      <c r="I1" s="1922"/>
      <c r="J1" s="1922"/>
      <c r="K1" s="1922"/>
      <c r="L1" s="1922"/>
      <c r="M1" s="1922"/>
      <c r="N1" s="1922"/>
      <c r="O1" s="1922"/>
      <c r="P1" s="1922"/>
      <c r="Q1" s="1922"/>
      <c r="R1" s="1922"/>
      <c r="S1" s="1922"/>
      <c r="T1" s="1922"/>
      <c r="U1" s="1922"/>
      <c r="V1" s="1922"/>
      <c r="W1" s="1922"/>
      <c r="X1" s="1922"/>
      <c r="Y1" s="1922"/>
      <c r="Z1" s="350"/>
      <c r="AA1" s="10"/>
      <c r="AB1" s="10"/>
      <c r="AC1" s="10"/>
      <c r="AD1" s="10"/>
      <c r="AE1" s="10"/>
      <c r="AF1" s="10"/>
      <c r="AG1" s="10"/>
      <c r="AH1" s="10"/>
      <c r="AI1" s="10"/>
      <c r="AJ1" s="10"/>
      <c r="AK1" s="42"/>
      <c r="AL1" s="42"/>
      <c r="AM1" s="42"/>
      <c r="AN1" s="42"/>
    </row>
    <row r="2" spans="1:40" s="1331" customFormat="1" ht="22.5" customHeight="1">
      <c r="A2" s="1906"/>
      <c r="B2" s="1923" t="str">
        <f>"Geothermal Eligibility Tables &amp; Worksheet, Version "&amp;Version</f>
        <v>Geothermal Eligibility Tables &amp; Worksheet, Version 2.0</v>
      </c>
      <c r="C2" s="1923"/>
      <c r="D2" s="1924"/>
      <c r="E2" s="1924"/>
      <c r="F2" s="1924"/>
      <c r="G2" s="1924"/>
      <c r="H2" s="1924"/>
      <c r="I2" s="1924"/>
      <c r="J2" s="1924"/>
      <c r="K2" s="1924"/>
      <c r="L2" s="1924"/>
      <c r="M2" s="1924"/>
      <c r="N2" s="1924"/>
      <c r="O2" s="1924"/>
      <c r="P2" s="1924"/>
      <c r="Q2" s="1924"/>
      <c r="R2" s="1924"/>
      <c r="S2" s="1924"/>
      <c r="T2" s="1924"/>
      <c r="U2" s="1924"/>
      <c r="V2" s="1924"/>
      <c r="W2" s="1924"/>
      <c r="X2" s="1924"/>
      <c r="Y2" s="1924"/>
      <c r="Z2" s="11"/>
      <c r="AA2" s="1564"/>
      <c r="AB2" s="1564"/>
      <c r="AC2" s="1564"/>
      <c r="AD2" s="1564"/>
      <c r="AE2" s="1564"/>
      <c r="AF2" s="1564"/>
      <c r="AG2" s="1564"/>
      <c r="AH2" s="1564"/>
      <c r="AI2" s="1564"/>
      <c r="AJ2" s="1564"/>
      <c r="AK2" s="1564"/>
      <c r="AL2" s="1564"/>
      <c r="AM2" s="1564"/>
      <c r="AN2" s="1564"/>
    </row>
    <row r="3" spans="1:40" s="1328" customFormat="1" ht="7.5" customHeight="1">
      <c r="B3" s="1330"/>
      <c r="C3" s="1330"/>
      <c r="D3" s="1330"/>
      <c r="E3" s="1330"/>
      <c r="F3" s="1330"/>
      <c r="G3" s="1330"/>
      <c r="H3" s="1330"/>
      <c r="I3" s="1330"/>
      <c r="J3" s="1330"/>
      <c r="K3" s="1330"/>
      <c r="L3" s="1330"/>
      <c r="M3" s="1330"/>
      <c r="N3" s="1330"/>
      <c r="O3" s="1330"/>
      <c r="P3" s="1330"/>
      <c r="Q3" s="1330"/>
      <c r="R3" s="1330"/>
      <c r="S3" s="1330"/>
      <c r="T3" s="1330"/>
      <c r="U3" s="1330"/>
      <c r="V3" s="1330"/>
      <c r="W3" s="1330"/>
      <c r="X3" s="1330"/>
      <c r="Y3" s="1330"/>
      <c r="Z3" s="1330"/>
      <c r="AA3" s="1329"/>
      <c r="AB3" s="1329"/>
      <c r="AC3" s="1329"/>
      <c r="AD3" s="1329"/>
      <c r="AE3" s="1329"/>
      <c r="AF3" s="1329"/>
      <c r="AG3" s="1329"/>
      <c r="AH3" s="1329"/>
      <c r="AI3" s="1329"/>
      <c r="AJ3" s="1329"/>
      <c r="AK3" s="1329"/>
      <c r="AL3" s="1329"/>
      <c r="AM3" s="1329"/>
      <c r="AN3" s="1329"/>
    </row>
    <row r="4" spans="1:40" ht="18">
      <c r="B4" s="2516" t="s">
        <v>4363</v>
      </c>
      <c r="C4" s="2516"/>
      <c r="D4" s="2516"/>
      <c r="E4" s="2516"/>
      <c r="F4" s="2516"/>
      <c r="G4" s="2516"/>
      <c r="H4" s="2516"/>
      <c r="I4" s="2516"/>
      <c r="J4" s="2516"/>
      <c r="K4" s="2516"/>
      <c r="L4" s="2516"/>
      <c r="M4" s="2516"/>
      <c r="N4" s="2516"/>
      <c r="O4" s="2516"/>
      <c r="P4" s="2516"/>
      <c r="Q4" s="2516"/>
      <c r="R4" s="2516"/>
      <c r="S4" s="2516"/>
      <c r="T4" s="2516"/>
      <c r="U4" s="2516"/>
      <c r="V4" s="2516"/>
      <c r="W4" s="1327"/>
      <c r="X4" s="1327"/>
      <c r="Y4" s="1327"/>
      <c r="Z4" s="1327"/>
      <c r="AA4" s="1327"/>
      <c r="AB4" s="1327"/>
      <c r="AC4" s="1327"/>
      <c r="AD4" s="1327"/>
      <c r="AE4" s="1327"/>
      <c r="AF4" s="1327"/>
      <c r="AG4" s="1327"/>
      <c r="AH4" s="1327"/>
      <c r="AI4" s="1327"/>
      <c r="AJ4" s="1327"/>
    </row>
    <row r="5" spans="1:40" ht="18">
      <c r="B5" s="2517" t="s">
        <v>466</v>
      </c>
      <c r="C5" s="2517"/>
      <c r="D5" s="2517"/>
      <c r="E5" s="2517"/>
      <c r="F5" s="2517"/>
      <c r="G5" s="2517"/>
      <c r="H5" s="2517"/>
      <c r="I5" s="2517"/>
      <c r="J5" s="2517"/>
      <c r="K5" s="2517"/>
      <c r="L5" s="2517"/>
      <c r="M5" s="2517"/>
      <c r="N5" s="2517"/>
      <c r="O5" s="2517"/>
      <c r="P5" s="2517"/>
      <c r="Q5" s="2517"/>
      <c r="R5" s="2517"/>
      <c r="S5" s="2517"/>
      <c r="T5" s="2517"/>
      <c r="U5" s="2517"/>
      <c r="V5" s="2517"/>
      <c r="W5" s="2517"/>
      <c r="X5" s="1327"/>
      <c r="Y5" s="1327"/>
      <c r="Z5" s="1327"/>
      <c r="AA5" s="1327"/>
      <c r="AB5" s="1327"/>
      <c r="AC5" s="1327"/>
      <c r="AD5" s="1327"/>
      <c r="AE5" s="1327"/>
      <c r="AF5" s="1327"/>
      <c r="AG5" s="1327"/>
      <c r="AH5" s="1327"/>
      <c r="AI5" s="1327"/>
      <c r="AJ5" s="1327"/>
    </row>
    <row r="6" spans="1:40" ht="7.5" customHeight="1">
      <c r="B6" s="1326"/>
      <c r="C6" s="1326"/>
      <c r="D6" s="1326"/>
      <c r="E6" s="1326"/>
      <c r="F6" s="1326"/>
      <c r="G6" s="1326"/>
      <c r="H6" s="1326"/>
      <c r="I6" s="1326"/>
      <c r="J6" s="1326"/>
      <c r="K6" s="1326"/>
      <c r="L6" s="1326"/>
      <c r="M6" s="1326"/>
      <c r="N6" s="1326"/>
      <c r="O6" s="1326"/>
      <c r="P6" s="1326"/>
      <c r="Q6" s="1326"/>
      <c r="R6" s="1326"/>
      <c r="S6" s="1326"/>
      <c r="T6" s="1326"/>
      <c r="U6" s="1326"/>
      <c r="V6" s="1326"/>
      <c r="W6" s="1326"/>
      <c r="X6" s="1326"/>
      <c r="Y6" s="1326"/>
      <c r="Z6" s="1326"/>
      <c r="AA6" s="1326"/>
      <c r="AB6" s="1326"/>
      <c r="AC6" s="1326"/>
      <c r="AD6" s="1326"/>
      <c r="AE6" s="1326"/>
      <c r="AF6" s="1326"/>
      <c r="AG6" s="1326"/>
      <c r="AH6" s="1326"/>
      <c r="AI6" s="1326"/>
      <c r="AJ6" s="1326"/>
    </row>
    <row r="7" spans="1:40" s="53" customFormat="1" ht="27" customHeight="1">
      <c r="B7" s="1325" t="s">
        <v>29</v>
      </c>
      <c r="C7" s="1325"/>
      <c r="D7" s="1325"/>
      <c r="E7" s="1325"/>
      <c r="F7" s="1325"/>
      <c r="G7" s="1325"/>
      <c r="H7" s="1325"/>
      <c r="I7" s="1325"/>
      <c r="J7" s="1325"/>
      <c r="K7" s="1325"/>
      <c r="L7" s="1325"/>
      <c r="M7" s="1325"/>
      <c r="N7" s="1325"/>
      <c r="O7" s="1315"/>
      <c r="P7" s="1315"/>
      <c r="Q7" s="1315"/>
      <c r="R7" s="1315"/>
      <c r="S7" s="1315"/>
      <c r="T7" s="1315"/>
      <c r="U7" s="1315"/>
      <c r="V7" s="1315"/>
      <c r="W7" s="1315"/>
      <c r="X7" s="1315"/>
      <c r="Y7" s="1315"/>
      <c r="Z7" s="1315"/>
      <c r="AA7" s="1315"/>
      <c r="AB7" s="1315"/>
      <c r="AC7" s="1315"/>
      <c r="AD7" s="1315"/>
      <c r="AE7" s="1315"/>
      <c r="AF7" s="1315"/>
      <c r="AG7" s="1315"/>
      <c r="AH7" s="1315"/>
      <c r="AI7" s="1315"/>
      <c r="AJ7" s="1315"/>
    </row>
    <row r="8" spans="1:40" ht="30" customHeight="1">
      <c r="B8" s="1324" t="s">
        <v>23</v>
      </c>
      <c r="C8" s="2521" t="s">
        <v>4362</v>
      </c>
      <c r="D8" s="2521"/>
      <c r="E8" s="2521"/>
      <c r="F8" s="2521"/>
      <c r="G8" s="2521"/>
      <c r="H8" s="2521"/>
      <c r="I8" s="2521"/>
      <c r="J8" s="2521"/>
      <c r="K8" s="2521"/>
      <c r="L8" s="2521"/>
      <c r="M8" s="2521"/>
      <c r="N8" s="2521"/>
      <c r="O8" s="2521"/>
      <c r="P8" s="2521"/>
      <c r="Q8" s="2521"/>
      <c r="R8" s="2521"/>
      <c r="S8" s="2522"/>
      <c r="T8" s="1321"/>
    </row>
    <row r="9" spans="1:40" ht="30" customHeight="1">
      <c r="B9" s="1323" t="s">
        <v>24</v>
      </c>
      <c r="C9" s="2523" t="s">
        <v>4361</v>
      </c>
      <c r="D9" s="2523"/>
      <c r="E9" s="2523"/>
      <c r="F9" s="2523"/>
      <c r="G9" s="2523"/>
      <c r="H9" s="2523"/>
      <c r="I9" s="2523"/>
      <c r="J9" s="2523"/>
      <c r="K9" s="2523"/>
      <c r="L9" s="2523"/>
      <c r="M9" s="2523"/>
      <c r="N9" s="2523"/>
      <c r="O9" s="2523"/>
      <c r="P9" s="2523"/>
      <c r="Q9" s="2523"/>
      <c r="R9" s="2523"/>
      <c r="S9" s="2524"/>
      <c r="T9" s="1321"/>
    </row>
    <row r="10" spans="1:40" ht="37.5" customHeight="1">
      <c r="B10" s="1323" t="s">
        <v>25</v>
      </c>
      <c r="C10" s="2523" t="s">
        <v>4360</v>
      </c>
      <c r="D10" s="2523"/>
      <c r="E10" s="2523"/>
      <c r="F10" s="2523"/>
      <c r="G10" s="2523"/>
      <c r="H10" s="2523"/>
      <c r="I10" s="2523"/>
      <c r="J10" s="2523"/>
      <c r="K10" s="2523"/>
      <c r="L10" s="2523"/>
      <c r="M10" s="2523"/>
      <c r="N10" s="2523"/>
      <c r="O10" s="2523"/>
      <c r="P10" s="2523"/>
      <c r="Q10" s="2523"/>
      <c r="R10" s="2523"/>
      <c r="S10" s="2524"/>
      <c r="T10" s="1321"/>
    </row>
    <row r="11" spans="1:40" ht="30" customHeight="1">
      <c r="B11" s="1323" t="s">
        <v>26</v>
      </c>
      <c r="C11" s="2523" t="s">
        <v>491</v>
      </c>
      <c r="D11" s="2523"/>
      <c r="E11" s="2523"/>
      <c r="F11" s="2523"/>
      <c r="G11" s="2523"/>
      <c r="H11" s="2523"/>
      <c r="I11" s="2523"/>
      <c r="J11" s="2523"/>
      <c r="K11" s="2523"/>
      <c r="L11" s="2523"/>
      <c r="M11" s="2523"/>
      <c r="N11" s="2523"/>
      <c r="O11" s="2523"/>
      <c r="P11" s="2523"/>
      <c r="Q11" s="2523"/>
      <c r="R11" s="2523"/>
      <c r="S11" s="2524"/>
      <c r="T11" s="1321"/>
      <c r="V11" s="1319"/>
      <c r="W11" s="1320"/>
      <c r="X11" s="1320"/>
      <c r="Y11" s="1320"/>
      <c r="Z11" s="1320"/>
      <c r="AA11" s="1320"/>
      <c r="AB11" s="1320"/>
      <c r="AC11" s="1320"/>
      <c r="AD11" s="1320"/>
      <c r="AE11" s="1320"/>
      <c r="AF11" s="1320"/>
      <c r="AG11" s="1320"/>
      <c r="AH11" s="1320"/>
      <c r="AI11" s="1320"/>
      <c r="AJ11" s="1320"/>
    </row>
    <row r="12" spans="1:40" ht="30" customHeight="1">
      <c r="B12" s="1323" t="s">
        <v>27</v>
      </c>
      <c r="C12" s="2523" t="s">
        <v>4359</v>
      </c>
      <c r="D12" s="2523"/>
      <c r="E12" s="2523"/>
      <c r="F12" s="2523"/>
      <c r="G12" s="2523"/>
      <c r="H12" s="2523"/>
      <c r="I12" s="2523"/>
      <c r="J12" s="2523"/>
      <c r="K12" s="2523"/>
      <c r="L12" s="2523"/>
      <c r="M12" s="2523"/>
      <c r="N12" s="2523"/>
      <c r="O12" s="2523"/>
      <c r="P12" s="2523"/>
      <c r="Q12" s="2523"/>
      <c r="R12" s="2523"/>
      <c r="S12" s="2524"/>
      <c r="T12" s="1321"/>
      <c r="V12" s="1319"/>
      <c r="W12" s="1320"/>
      <c r="X12" s="1320"/>
      <c r="Y12" s="1320"/>
      <c r="Z12" s="1320"/>
      <c r="AA12" s="1320"/>
      <c r="AB12" s="1320"/>
      <c r="AC12" s="1320"/>
      <c r="AD12" s="1320"/>
      <c r="AE12" s="1320"/>
      <c r="AF12" s="1320"/>
      <c r="AG12" s="1320"/>
      <c r="AH12" s="1320"/>
      <c r="AI12" s="1320"/>
      <c r="AJ12" s="1320"/>
    </row>
    <row r="13" spans="1:40" ht="30" customHeight="1">
      <c r="B13" s="1322" t="s">
        <v>28</v>
      </c>
      <c r="C13" s="2525" t="s">
        <v>4358</v>
      </c>
      <c r="D13" s="2525"/>
      <c r="E13" s="2525"/>
      <c r="F13" s="2525"/>
      <c r="G13" s="2525"/>
      <c r="H13" s="2525"/>
      <c r="I13" s="2525"/>
      <c r="J13" s="2525"/>
      <c r="K13" s="2525"/>
      <c r="L13" s="2525"/>
      <c r="M13" s="2525"/>
      <c r="N13" s="2525"/>
      <c r="O13" s="2525"/>
      <c r="P13" s="2525"/>
      <c r="Q13" s="2525"/>
      <c r="R13" s="2525"/>
      <c r="S13" s="2526"/>
      <c r="T13" s="1321"/>
      <c r="V13" s="1319"/>
      <c r="W13" s="1320"/>
      <c r="X13" s="1320"/>
      <c r="Y13" s="1320"/>
      <c r="Z13" s="1320"/>
      <c r="AA13" s="1320"/>
      <c r="AB13" s="1320"/>
      <c r="AC13" s="1320"/>
      <c r="AD13" s="1320"/>
      <c r="AE13" s="1320"/>
      <c r="AF13" s="1320"/>
      <c r="AG13" s="1320"/>
      <c r="AH13" s="1320"/>
      <c r="AI13" s="1320"/>
      <c r="AJ13" s="1320"/>
    </row>
    <row r="14" spans="1:40" ht="30" customHeight="1">
      <c r="B14" s="1319"/>
      <c r="C14" s="1319"/>
      <c r="D14" s="1321"/>
      <c r="E14" s="1321"/>
      <c r="F14" s="1321"/>
      <c r="G14" s="1321"/>
      <c r="H14" s="1321"/>
      <c r="I14" s="1321"/>
      <c r="J14" s="1321"/>
      <c r="K14" s="1321"/>
      <c r="L14" s="1321"/>
      <c r="M14" s="1321"/>
      <c r="N14" s="1321"/>
      <c r="O14" s="1321"/>
      <c r="P14" s="1321"/>
      <c r="Q14" s="1321"/>
      <c r="R14" s="1321"/>
      <c r="S14" s="1321"/>
      <c r="T14" s="1321"/>
      <c r="U14" s="1321"/>
      <c r="V14" s="1319"/>
      <c r="W14" s="1320"/>
      <c r="X14" s="1320"/>
      <c r="Y14" s="1320"/>
      <c r="Z14" s="1320"/>
      <c r="AA14" s="1320"/>
      <c r="AB14" s="1320"/>
      <c r="AC14" s="1320"/>
      <c r="AD14" s="1320"/>
      <c r="AE14" s="1320"/>
      <c r="AF14" s="1320"/>
      <c r="AG14" s="1320"/>
      <c r="AH14" s="1320"/>
      <c r="AI14" s="1320"/>
      <c r="AJ14" s="1320"/>
    </row>
    <row r="15" spans="1:40" ht="23">
      <c r="B15" s="2557" t="s">
        <v>467</v>
      </c>
      <c r="C15" s="2557"/>
      <c r="D15" s="2557"/>
      <c r="E15" s="2557"/>
      <c r="F15" s="2557"/>
      <c r="G15" s="2557"/>
      <c r="H15" s="2557"/>
      <c r="I15" s="2557"/>
      <c r="J15" s="2557"/>
      <c r="K15" s="2557"/>
      <c r="L15" s="2557"/>
      <c r="M15" s="2557"/>
      <c r="N15" s="2557"/>
      <c r="O15" s="2557"/>
      <c r="P15" s="2557"/>
      <c r="Q15" s="2557"/>
      <c r="R15" s="2557"/>
      <c r="S15" s="2557"/>
      <c r="T15" s="2557"/>
      <c r="U15" s="2557"/>
      <c r="V15" s="2557"/>
      <c r="W15" s="2557"/>
      <c r="X15" s="2557"/>
      <c r="Y15" s="2557"/>
      <c r="Z15" s="2557"/>
      <c r="AA15" s="2557"/>
      <c r="AB15" s="2557"/>
      <c r="AC15" s="2557"/>
      <c r="AD15" s="2557"/>
      <c r="AE15" s="2557"/>
      <c r="AF15" s="2557"/>
      <c r="AG15" s="2557"/>
      <c r="AH15" s="2557"/>
      <c r="AI15" s="2557"/>
      <c r="AJ15" s="2557"/>
      <c r="AK15" s="2557"/>
      <c r="AL15" s="2557"/>
      <c r="AM15" s="2557"/>
      <c r="AN15" s="2557"/>
    </row>
    <row r="16" spans="1:40" ht="9" customHeight="1">
      <c r="B16" s="1319"/>
      <c r="C16" s="1319"/>
      <c r="D16" s="1319"/>
      <c r="E16" s="1319"/>
      <c r="F16" s="1319"/>
      <c r="G16" s="1319"/>
      <c r="H16" s="1319"/>
      <c r="I16" s="1319"/>
      <c r="J16" s="1319"/>
      <c r="K16" s="1319"/>
      <c r="L16" s="1319"/>
      <c r="M16" s="1319"/>
      <c r="N16" s="1319"/>
      <c r="O16" s="1318"/>
      <c r="P16" s="1318"/>
      <c r="Q16" s="1318"/>
      <c r="R16" s="1318"/>
      <c r="S16" s="1318"/>
      <c r="T16" s="1318"/>
      <c r="U16" s="1318"/>
      <c r="V16" s="1318"/>
      <c r="W16" s="1318"/>
      <c r="X16" s="1318"/>
      <c r="Y16" s="1318"/>
      <c r="Z16" s="1318"/>
      <c r="AE16" s="1318"/>
      <c r="AF16" s="1318"/>
      <c r="AG16" s="1318"/>
      <c r="AH16" s="1318"/>
      <c r="AI16" s="1318"/>
      <c r="AJ16" s="1318"/>
      <c r="AK16" s="1318"/>
      <c r="AL16" s="1318"/>
      <c r="AM16" s="1318"/>
      <c r="AN16" s="1318"/>
    </row>
    <row r="17" spans="2:40" ht="52.5" customHeight="1">
      <c r="B17" s="1315"/>
      <c r="C17" s="2558" t="s">
        <v>21</v>
      </c>
      <c r="D17" s="2558"/>
      <c r="E17" s="2559" t="s">
        <v>5524</v>
      </c>
      <c r="F17" s="2559"/>
      <c r="G17" s="2559"/>
      <c r="H17" s="2559"/>
      <c r="I17" s="1315"/>
      <c r="J17" s="2554" t="s">
        <v>5532</v>
      </c>
      <c r="K17" s="2555"/>
      <c r="L17" s="2555"/>
      <c r="M17" s="2555"/>
      <c r="N17" s="2555"/>
      <c r="O17" s="2555"/>
      <c r="P17" s="2556"/>
      <c r="Q17" s="1315"/>
      <c r="R17" s="1917" t="s">
        <v>5537</v>
      </c>
      <c r="S17" s="1315"/>
      <c r="T17" s="1315"/>
      <c r="U17" s="1315"/>
      <c r="V17" s="1315"/>
      <c r="W17" s="1315"/>
      <c r="X17" s="1315"/>
      <c r="Y17" s="1315"/>
      <c r="Z17" s="1315"/>
      <c r="AE17" s="1315"/>
      <c r="AF17" s="1315"/>
      <c r="AG17" s="1315"/>
      <c r="AH17" s="1315"/>
      <c r="AI17" s="1315"/>
      <c r="AJ17" s="1315"/>
    </row>
    <row r="18" spans="2:40" ht="35.15" customHeight="1">
      <c r="B18" s="1315"/>
      <c r="C18" s="2558"/>
      <c r="D18" s="2558"/>
      <c r="E18" s="1914" t="s">
        <v>1334</v>
      </c>
      <c r="F18" s="1914" t="s">
        <v>4422</v>
      </c>
      <c r="G18" s="1914" t="s">
        <v>4423</v>
      </c>
      <c r="H18" s="1914" t="s">
        <v>4424</v>
      </c>
      <c r="I18" s="1315"/>
      <c r="J18" s="1916" t="s">
        <v>5533</v>
      </c>
      <c r="K18" s="1916" t="s">
        <v>5534</v>
      </c>
      <c r="L18" s="1916"/>
      <c r="M18" s="1916"/>
      <c r="N18" s="1916"/>
      <c r="O18" s="1916" t="s">
        <v>5535</v>
      </c>
      <c r="P18" s="1916" t="s">
        <v>5536</v>
      </c>
      <c r="Q18" s="1315"/>
      <c r="R18" s="1913" t="s">
        <v>4426</v>
      </c>
      <c r="S18" s="1315"/>
      <c r="T18" s="1315"/>
      <c r="U18" s="1315"/>
      <c r="V18" s="1315"/>
      <c r="W18" s="1315"/>
      <c r="X18" s="1315"/>
      <c r="Y18" s="1315"/>
      <c r="Z18" s="1315"/>
      <c r="AF18" s="1315"/>
      <c r="AG18" s="1315"/>
      <c r="AH18" s="1315"/>
      <c r="AI18" s="1315"/>
      <c r="AJ18" s="1315"/>
    </row>
    <row r="19" spans="2:40" ht="22.5" customHeight="1">
      <c r="B19" s="1315"/>
      <c r="C19" s="2560" t="s">
        <v>5525</v>
      </c>
      <c r="D19" s="2560"/>
      <c r="E19" s="1915">
        <v>17.100000000000001</v>
      </c>
      <c r="F19" s="1915">
        <v>3.6</v>
      </c>
      <c r="G19" s="1915">
        <v>20</v>
      </c>
      <c r="H19" s="1915">
        <v>3.8</v>
      </c>
      <c r="I19" s="1315"/>
      <c r="J19" s="1918">
        <v>1000</v>
      </c>
      <c r="K19" s="1918">
        <v>2000</v>
      </c>
      <c r="L19" s="1919"/>
      <c r="M19" s="1919"/>
      <c r="N19" s="1919"/>
      <c r="O19" s="1918">
        <v>500</v>
      </c>
      <c r="P19" s="1918">
        <v>700</v>
      </c>
      <c r="Q19" s="1920"/>
      <c r="R19" s="1918">
        <v>250</v>
      </c>
      <c r="S19" s="1315"/>
      <c r="T19" s="1315"/>
      <c r="U19" s="1315"/>
      <c r="V19" s="1315"/>
      <c r="W19" s="1315"/>
      <c r="X19" s="1315"/>
      <c r="Y19" s="1315"/>
      <c r="Z19" s="1315"/>
      <c r="AF19" s="1315"/>
      <c r="AG19" s="1315"/>
      <c r="AH19" s="1315"/>
      <c r="AI19" s="1315"/>
      <c r="AJ19" s="1315"/>
    </row>
    <row r="20" spans="2:40" ht="22.5" customHeight="1">
      <c r="B20" s="1315"/>
      <c r="C20" s="2560" t="s">
        <v>5526</v>
      </c>
      <c r="D20" s="2560"/>
      <c r="E20" s="1915">
        <v>21.1</v>
      </c>
      <c r="F20" s="1915">
        <v>4.0999999999999996</v>
      </c>
      <c r="G20" s="1915">
        <v>25</v>
      </c>
      <c r="H20" s="1915">
        <v>4.5</v>
      </c>
      <c r="I20" s="1315"/>
      <c r="J20" s="1918">
        <v>1000</v>
      </c>
      <c r="K20" s="1918">
        <v>2000</v>
      </c>
      <c r="L20" s="1919"/>
      <c r="M20" s="1919"/>
      <c r="N20" s="1919"/>
      <c r="O20" s="1918">
        <v>500</v>
      </c>
      <c r="P20" s="1918">
        <v>700</v>
      </c>
      <c r="Q20" s="1920"/>
      <c r="R20" s="1918">
        <v>250</v>
      </c>
      <c r="S20" s="1315"/>
      <c r="T20" s="1315"/>
      <c r="U20" s="1315"/>
      <c r="V20" s="1315"/>
      <c r="W20" s="1315"/>
      <c r="X20" s="1315"/>
      <c r="Y20" s="1315"/>
      <c r="Z20" s="1315"/>
      <c r="AF20" s="1315"/>
      <c r="AG20" s="1315"/>
      <c r="AH20" s="1315"/>
      <c r="AI20" s="1315"/>
      <c r="AJ20" s="1315"/>
    </row>
    <row r="21" spans="2:40" ht="22.5" customHeight="1">
      <c r="B21" s="1315"/>
      <c r="C21" s="2560" t="s">
        <v>5527</v>
      </c>
      <c r="D21" s="2560"/>
      <c r="E21" s="1915">
        <v>16.100000000000001</v>
      </c>
      <c r="F21" s="1915">
        <v>3.1</v>
      </c>
      <c r="G21" s="1915">
        <v>17.5</v>
      </c>
      <c r="H21" s="1915">
        <v>3.1</v>
      </c>
      <c r="I21" s="1315"/>
      <c r="J21" s="1918">
        <v>1000</v>
      </c>
      <c r="K21" s="1918">
        <v>2000</v>
      </c>
      <c r="L21" s="1919"/>
      <c r="M21" s="1919"/>
      <c r="N21" s="1919"/>
      <c r="O21" s="1918">
        <v>500</v>
      </c>
      <c r="P21" s="1918">
        <v>700</v>
      </c>
      <c r="Q21" s="1920"/>
      <c r="R21" s="1918">
        <v>250</v>
      </c>
      <c r="S21" s="1315"/>
      <c r="T21" s="1315"/>
      <c r="U21" s="1315"/>
      <c r="V21" s="1315"/>
      <c r="W21" s="1315"/>
      <c r="X21" s="1315"/>
      <c r="Y21" s="1315"/>
      <c r="Z21" s="1315"/>
      <c r="AF21" s="1315"/>
      <c r="AG21" s="1315"/>
      <c r="AH21" s="1315"/>
      <c r="AI21" s="1315"/>
      <c r="AJ21" s="1315"/>
    </row>
    <row r="22" spans="2:40" ht="22.5" customHeight="1">
      <c r="B22" s="1315"/>
      <c r="C22" s="2560" t="s">
        <v>5528</v>
      </c>
      <c r="D22" s="2560"/>
      <c r="E22" s="1915">
        <v>20.100000000000001</v>
      </c>
      <c r="F22" s="1915">
        <v>3.5</v>
      </c>
      <c r="G22" s="1915">
        <v>23</v>
      </c>
      <c r="H22" s="1915">
        <v>3.7</v>
      </c>
      <c r="I22" s="1315"/>
      <c r="J22" s="1918">
        <v>1000</v>
      </c>
      <c r="K22" s="1918">
        <v>2000</v>
      </c>
      <c r="L22" s="1919"/>
      <c r="M22" s="1919"/>
      <c r="N22" s="1919"/>
      <c r="O22" s="1918">
        <v>500</v>
      </c>
      <c r="P22" s="1918">
        <v>700</v>
      </c>
      <c r="Q22" s="1920"/>
      <c r="R22" s="1918">
        <v>250</v>
      </c>
      <c r="S22" s="1315"/>
      <c r="T22" s="1315"/>
      <c r="U22" s="1315"/>
      <c r="V22" s="1315"/>
      <c r="W22" s="1315"/>
      <c r="X22" s="1315"/>
      <c r="Y22" s="1315"/>
      <c r="Z22" s="1315"/>
      <c r="AE22" s="1315"/>
      <c r="AF22" s="1315"/>
      <c r="AG22" s="1315"/>
      <c r="AH22" s="1315"/>
      <c r="AI22" s="1315"/>
      <c r="AJ22" s="1315"/>
    </row>
    <row r="23" spans="2:40" ht="22.5" customHeight="1">
      <c r="B23" s="1315"/>
      <c r="C23" s="2560" t="s">
        <v>5529</v>
      </c>
      <c r="D23" s="2560"/>
      <c r="E23" s="1915">
        <v>16</v>
      </c>
      <c r="F23" s="1915">
        <v>3.6</v>
      </c>
      <c r="G23" s="1915">
        <v>21</v>
      </c>
      <c r="H23" s="1915">
        <v>4</v>
      </c>
      <c r="I23" s="1315"/>
      <c r="J23" s="1918">
        <v>1000</v>
      </c>
      <c r="K23" s="1918">
        <v>2000</v>
      </c>
      <c r="L23" s="1919"/>
      <c r="M23" s="1919"/>
      <c r="N23" s="1919"/>
      <c r="O23" s="1918">
        <v>500</v>
      </c>
      <c r="P23" s="1918">
        <v>700</v>
      </c>
      <c r="Q23" s="1920"/>
      <c r="R23" s="1918">
        <v>250</v>
      </c>
      <c r="S23" s="1315"/>
      <c r="T23" s="1315"/>
      <c r="U23" s="1315"/>
      <c r="V23" s="1315"/>
      <c r="W23" s="1315"/>
      <c r="X23" s="1315"/>
      <c r="Y23" s="1315"/>
      <c r="Z23" s="1315"/>
      <c r="AE23" s="1315"/>
      <c r="AF23" s="1315"/>
      <c r="AG23" s="1315"/>
      <c r="AH23" s="1315"/>
      <c r="AI23" s="1315"/>
      <c r="AJ23" s="1315"/>
    </row>
    <row r="24" spans="2:40" ht="22.5" customHeight="1">
      <c r="B24" s="1315"/>
      <c r="C24" s="2560" t="s">
        <v>5530</v>
      </c>
      <c r="D24" s="2560"/>
      <c r="E24" s="1915">
        <v>14.2</v>
      </c>
      <c r="F24" s="1915">
        <v>3</v>
      </c>
      <c r="G24" s="1915" t="s">
        <v>288</v>
      </c>
      <c r="H24" s="1915" t="s">
        <v>288</v>
      </c>
      <c r="I24" s="1315"/>
      <c r="J24" s="1918">
        <v>1000</v>
      </c>
      <c r="K24" s="1918" t="s">
        <v>288</v>
      </c>
      <c r="L24" s="1919"/>
      <c r="M24" s="1919"/>
      <c r="N24" s="1919"/>
      <c r="O24" s="1918">
        <v>500</v>
      </c>
      <c r="P24" s="1918" t="s">
        <v>288</v>
      </c>
      <c r="Q24" s="1920"/>
      <c r="R24" s="1918" t="s">
        <v>288</v>
      </c>
      <c r="S24" s="1315"/>
      <c r="T24" s="1315"/>
      <c r="U24" s="1315"/>
      <c r="V24" s="1315"/>
      <c r="W24" s="1315"/>
      <c r="X24" s="1315"/>
      <c r="Y24" s="1315"/>
      <c r="Z24" s="1315"/>
      <c r="AE24" s="1315"/>
      <c r="AF24" s="1315"/>
      <c r="AG24" s="1315"/>
      <c r="AH24" s="1315"/>
      <c r="AI24" s="1315"/>
      <c r="AJ24" s="1315"/>
    </row>
    <row r="25" spans="2:40" ht="22.5" customHeight="1">
      <c r="B25" s="1315"/>
      <c r="C25" s="2560" t="s">
        <v>5531</v>
      </c>
      <c r="D25" s="2560"/>
      <c r="E25" s="1915">
        <v>13</v>
      </c>
      <c r="F25" s="1915">
        <v>2.8</v>
      </c>
      <c r="G25" s="1915" t="s">
        <v>288</v>
      </c>
      <c r="H25" s="1915" t="s">
        <v>288</v>
      </c>
      <c r="I25" s="1315"/>
      <c r="J25" s="1918">
        <v>1000</v>
      </c>
      <c r="K25" s="1918" t="s">
        <v>288</v>
      </c>
      <c r="L25" s="1919"/>
      <c r="M25" s="1919"/>
      <c r="N25" s="1919"/>
      <c r="O25" s="1918">
        <v>500</v>
      </c>
      <c r="P25" s="1918" t="s">
        <v>288</v>
      </c>
      <c r="Q25" s="1920"/>
      <c r="R25" s="1918" t="s">
        <v>288</v>
      </c>
      <c r="S25" s="1315"/>
      <c r="T25" s="1315"/>
      <c r="U25" s="1315"/>
      <c r="V25" s="1315"/>
      <c r="W25" s="1315"/>
      <c r="X25" s="1315"/>
      <c r="Y25" s="1315"/>
      <c r="Z25" s="1315"/>
      <c r="AE25" s="1315"/>
      <c r="AF25" s="1315"/>
      <c r="AG25" s="1315"/>
      <c r="AH25" s="1315"/>
      <c r="AI25" s="1315"/>
      <c r="AJ25" s="1315"/>
    </row>
    <row r="26" spans="2:40" ht="22.5">
      <c r="B26" s="1315"/>
      <c r="C26" s="1315"/>
      <c r="D26" s="1315"/>
      <c r="E26" s="1315"/>
      <c r="F26" s="1315"/>
      <c r="G26" s="1315"/>
      <c r="H26" s="1315"/>
      <c r="I26" s="1315"/>
      <c r="J26" s="1315"/>
      <c r="K26" s="1315"/>
      <c r="L26" s="1315"/>
      <c r="M26" s="1315"/>
      <c r="N26" s="1315"/>
      <c r="O26" s="1315"/>
      <c r="P26" s="1315"/>
      <c r="Q26" s="1315"/>
      <c r="R26" s="1315"/>
      <c r="S26" s="1315"/>
      <c r="T26" s="1315"/>
      <c r="U26" s="1315"/>
      <c r="V26" s="1315"/>
      <c r="W26" s="1315"/>
      <c r="X26" s="1315"/>
      <c r="Y26" s="1315"/>
      <c r="Z26" s="1315"/>
      <c r="AE26" s="1315"/>
      <c r="AF26" s="1315"/>
      <c r="AG26" s="1315"/>
      <c r="AH26" s="1315"/>
      <c r="AI26" s="1315"/>
      <c r="AJ26" s="1315"/>
    </row>
    <row r="27" spans="2:40" ht="15" customHeight="1">
      <c r="C27" s="1317" t="s">
        <v>4357</v>
      </c>
      <c r="E27" s="1315"/>
      <c r="F27" s="1315"/>
      <c r="G27" s="1315"/>
      <c r="H27" s="1315"/>
      <c r="I27" s="1315"/>
      <c r="J27" s="1315"/>
      <c r="K27" s="1315"/>
      <c r="L27" s="1315"/>
      <c r="M27" s="1315"/>
      <c r="N27" s="1315"/>
      <c r="O27" s="1315"/>
      <c r="P27" s="1315"/>
      <c r="Q27" s="1315"/>
      <c r="R27" s="1315"/>
      <c r="S27" s="1315"/>
      <c r="T27" s="1315"/>
      <c r="U27" s="1315"/>
      <c r="V27" s="1315"/>
      <c r="W27" s="1315"/>
      <c r="X27" s="1315"/>
      <c r="Y27" s="1315"/>
      <c r="Z27" s="1315"/>
      <c r="AE27" s="1315"/>
      <c r="AF27" s="1315"/>
      <c r="AG27" s="1315"/>
      <c r="AH27" s="1315"/>
      <c r="AI27" s="1315"/>
      <c r="AJ27" s="1315"/>
    </row>
    <row r="28" spans="2:40" ht="15" hidden="1" customHeight="1">
      <c r="C28" s="1316" t="s">
        <v>4356</v>
      </c>
      <c r="E28" s="162"/>
      <c r="F28" s="1315"/>
      <c r="G28" s="1315"/>
      <c r="H28" s="1315"/>
      <c r="I28" s="1315"/>
      <c r="J28" s="1315"/>
      <c r="K28" s="1315"/>
      <c r="L28" s="1315"/>
      <c r="M28" s="1315"/>
      <c r="N28" s="1315"/>
      <c r="O28" s="1315"/>
      <c r="P28" s="1315"/>
      <c r="Q28" s="1315"/>
      <c r="R28" s="1315"/>
      <c r="S28" s="1315"/>
      <c r="T28" s="1315"/>
      <c r="U28" s="1315"/>
      <c r="V28" s="1315"/>
      <c r="W28" s="1315"/>
      <c r="X28" s="1315"/>
      <c r="Y28" s="1315"/>
      <c r="Z28" s="1315"/>
      <c r="AE28" s="1315"/>
      <c r="AF28" s="1315"/>
      <c r="AG28" s="1315"/>
      <c r="AH28" s="1315"/>
      <c r="AI28" s="1315"/>
      <c r="AJ28" s="1315"/>
    </row>
    <row r="29" spans="2:40" ht="15" customHeight="1">
      <c r="C29" s="1316" t="s">
        <v>4684</v>
      </c>
      <c r="E29" s="162"/>
      <c r="F29" s="1315"/>
      <c r="G29" s="1315"/>
      <c r="H29" s="1315"/>
      <c r="I29" s="1315"/>
      <c r="J29" s="1315"/>
      <c r="K29" s="1315"/>
      <c r="L29" s="1315"/>
      <c r="M29" s="1315"/>
      <c r="N29" s="1315"/>
      <c r="O29" s="1315"/>
      <c r="P29" s="1315"/>
      <c r="Q29" s="1315"/>
      <c r="R29" s="1315"/>
      <c r="S29" s="1315"/>
      <c r="T29" s="1315"/>
      <c r="U29" s="1315"/>
      <c r="V29" s="1315"/>
      <c r="W29" s="1315"/>
      <c r="X29" s="1315"/>
      <c r="Y29" s="1315"/>
      <c r="Z29" s="1315"/>
      <c r="AE29" s="1315"/>
      <c r="AF29" s="1315"/>
      <c r="AG29" s="1315"/>
      <c r="AH29" s="1315"/>
      <c r="AI29" s="1315"/>
      <c r="AJ29" s="1315"/>
    </row>
    <row r="30" spans="2:40" ht="22.5">
      <c r="C30" s="1316" t="s">
        <v>4685</v>
      </c>
      <c r="E30" s="162"/>
      <c r="F30" s="1315"/>
      <c r="G30" s="1315"/>
      <c r="H30" s="1315"/>
      <c r="I30" s="1315"/>
      <c r="J30" s="1315"/>
      <c r="K30" s="1315"/>
      <c r="L30" s="1315"/>
      <c r="M30" s="1315"/>
      <c r="N30" s="1315"/>
      <c r="O30" s="1315"/>
      <c r="P30" s="1315"/>
      <c r="Q30" s="1315"/>
      <c r="R30" s="1315"/>
      <c r="S30" s="1315"/>
      <c r="T30" s="1315"/>
      <c r="U30" s="1315"/>
      <c r="V30" s="1315"/>
      <c r="W30" s="1315"/>
      <c r="X30" s="1315"/>
      <c r="Y30" s="1315"/>
      <c r="Z30" s="1315"/>
      <c r="AA30" s="1315"/>
      <c r="AB30" s="1315"/>
      <c r="AE30" s="1315"/>
      <c r="AF30" s="1315"/>
      <c r="AG30" s="1315"/>
      <c r="AH30" s="1315"/>
      <c r="AI30" s="1315"/>
      <c r="AJ30" s="1315"/>
    </row>
    <row r="31" spans="2:40" ht="23">
      <c r="B31" s="2557" t="s">
        <v>468</v>
      </c>
      <c r="C31" s="2557"/>
      <c r="D31" s="2557"/>
      <c r="E31" s="2557"/>
      <c r="F31" s="2557"/>
      <c r="G31" s="2557"/>
      <c r="H31" s="2557"/>
      <c r="I31" s="2557"/>
      <c r="J31" s="2557"/>
      <c r="K31" s="2557"/>
      <c r="L31" s="2557"/>
      <c r="M31" s="2557"/>
      <c r="N31" s="2557"/>
      <c r="O31" s="2557"/>
      <c r="P31" s="2557"/>
      <c r="Q31" s="2557"/>
      <c r="R31" s="2557"/>
      <c r="S31" s="2557"/>
      <c r="T31" s="2557"/>
      <c r="U31" s="2557"/>
      <c r="V31" s="2557"/>
      <c r="W31" s="2557"/>
      <c r="X31" s="2557"/>
      <c r="Y31" s="2557"/>
      <c r="Z31" s="2557"/>
      <c r="AA31" s="2557"/>
      <c r="AB31" s="2557"/>
      <c r="AC31" s="2557"/>
      <c r="AD31" s="2557"/>
      <c r="AE31" s="2557"/>
      <c r="AF31" s="2557"/>
      <c r="AG31" s="2557"/>
      <c r="AH31" s="2557"/>
      <c r="AI31" s="2557"/>
      <c r="AJ31" s="2557"/>
      <c r="AK31" s="2557"/>
      <c r="AL31" s="2557"/>
      <c r="AM31" s="2557"/>
      <c r="AN31" s="2557"/>
    </row>
    <row r="32" spans="2:40" ht="23">
      <c r="B32" s="375"/>
      <c r="C32" s="375"/>
      <c r="D32" s="375"/>
      <c r="E32" s="375"/>
      <c r="F32" s="375"/>
      <c r="G32" s="375"/>
      <c r="H32" s="375"/>
      <c r="I32" s="375"/>
      <c r="J32" s="375"/>
      <c r="K32" s="375"/>
      <c r="L32" s="375"/>
      <c r="M32" s="375"/>
      <c r="N32" s="375"/>
      <c r="O32" s="375"/>
      <c r="P32" s="375"/>
      <c r="Q32" s="375"/>
      <c r="R32" s="375"/>
      <c r="S32" s="375"/>
      <c r="T32" s="375"/>
      <c r="U32" s="375"/>
      <c r="V32" s="375"/>
      <c r="W32" s="375"/>
      <c r="X32" s="375"/>
      <c r="Y32" s="375"/>
      <c r="Z32" s="375"/>
      <c r="AE32" s="375"/>
      <c r="AF32" s="375"/>
      <c r="AG32" s="375"/>
      <c r="AJ32" s="375"/>
    </row>
    <row r="33" spans="2:40" ht="23">
      <c r="D33" s="375"/>
      <c r="E33" s="375"/>
      <c r="F33" s="375"/>
      <c r="G33" s="375"/>
      <c r="H33" s="375"/>
      <c r="I33" s="375"/>
      <c r="J33" s="375"/>
      <c r="K33" s="375"/>
      <c r="L33" s="375"/>
      <c r="M33" s="375"/>
      <c r="N33" s="375"/>
      <c r="O33" s="375"/>
      <c r="P33" s="375"/>
      <c r="Q33" s="375"/>
      <c r="R33" s="375"/>
      <c r="S33" s="375"/>
      <c r="T33" s="375"/>
      <c r="U33" s="375"/>
    </row>
    <row r="34" spans="2:40">
      <c r="D34" s="43"/>
      <c r="N34" s="43"/>
      <c r="S34" s="43"/>
      <c r="T34" s="43"/>
      <c r="U34" s="43"/>
    </row>
    <row r="35" spans="2:40" ht="14.5" customHeight="1">
      <c r="B35" s="2325" t="s">
        <v>469</v>
      </c>
      <c r="C35" s="2329" t="s">
        <v>686</v>
      </c>
      <c r="D35" s="2325" t="s">
        <v>4355</v>
      </c>
      <c r="E35" s="2325"/>
      <c r="F35" s="2325"/>
      <c r="G35" s="2325" t="s">
        <v>470</v>
      </c>
      <c r="H35" s="2325"/>
      <c r="I35" s="2329" t="s">
        <v>2624</v>
      </c>
      <c r="J35" s="2325" t="s">
        <v>4182</v>
      </c>
      <c r="K35" s="2325" t="s">
        <v>4116</v>
      </c>
      <c r="L35" s="2325" t="s">
        <v>4354</v>
      </c>
      <c r="M35" s="1899"/>
      <c r="N35" s="1899"/>
      <c r="O35" s="2325" t="s">
        <v>4353</v>
      </c>
      <c r="P35" s="2325"/>
      <c r="Q35" s="2325" t="s">
        <v>4352</v>
      </c>
      <c r="R35" s="2325"/>
      <c r="S35" s="2325" t="s">
        <v>472</v>
      </c>
      <c r="T35" s="2329"/>
      <c r="U35" s="2325" t="s">
        <v>4288</v>
      </c>
      <c r="V35" s="2325"/>
      <c r="W35" s="2325" t="s">
        <v>4351</v>
      </c>
      <c r="X35" s="2325"/>
      <c r="Y35" s="2325" t="s">
        <v>4276</v>
      </c>
      <c r="AA35" s="2355" t="s">
        <v>617</v>
      </c>
      <c r="AB35" s="2356"/>
      <c r="AC35" s="2356"/>
      <c r="AD35" s="2356"/>
      <c r="AE35" s="2356"/>
      <c r="AF35" s="2356"/>
      <c r="AG35" s="2357"/>
      <c r="AI35" s="2325" t="s">
        <v>4350</v>
      </c>
      <c r="AK35" s="2502" t="s">
        <v>474</v>
      </c>
      <c r="AL35" s="2502"/>
    </row>
    <row r="36" spans="2:40" ht="28">
      <c r="B36" s="2325"/>
      <c r="C36" s="2330"/>
      <c r="D36" s="2325"/>
      <c r="E36" s="2325"/>
      <c r="F36" s="2325"/>
      <c r="G36" s="2325"/>
      <c r="H36" s="2325"/>
      <c r="I36" s="2330"/>
      <c r="J36" s="2325"/>
      <c r="K36" s="2325"/>
      <c r="L36" s="2325"/>
      <c r="M36" s="1899"/>
      <c r="N36" s="1899"/>
      <c r="O36" s="1899" t="s">
        <v>4349</v>
      </c>
      <c r="P36" s="1899" t="s">
        <v>4348</v>
      </c>
      <c r="Q36" s="1899" t="s">
        <v>4349</v>
      </c>
      <c r="R36" s="1899" t="s">
        <v>4348</v>
      </c>
      <c r="S36" s="2325"/>
      <c r="T36" s="2330"/>
      <c r="U36" s="1901" t="s">
        <v>13</v>
      </c>
      <c r="V36" s="1901" t="s">
        <v>2202</v>
      </c>
      <c r="W36" s="1901" t="s">
        <v>13</v>
      </c>
      <c r="X36" s="1901" t="s">
        <v>2202</v>
      </c>
      <c r="Y36" s="2325"/>
      <c r="AA36" s="1899" t="s">
        <v>504</v>
      </c>
      <c r="AB36" s="1899" t="s">
        <v>503</v>
      </c>
      <c r="AC36" s="1899" t="s">
        <v>12</v>
      </c>
      <c r="AD36" s="1899" t="s">
        <v>13</v>
      </c>
      <c r="AE36" s="1899" t="s">
        <v>4347</v>
      </c>
      <c r="AF36" s="1931" t="s">
        <v>4346</v>
      </c>
      <c r="AG36" s="1931" t="s">
        <v>4345</v>
      </c>
      <c r="AI36" s="2325"/>
      <c r="AK36" s="2355" t="s">
        <v>476</v>
      </c>
      <c r="AL36" s="2357"/>
    </row>
    <row r="37" spans="2:40">
      <c r="B37" s="1313">
        <v>1</v>
      </c>
      <c r="C37" s="1423"/>
      <c r="D37" s="2519"/>
      <c r="E37" s="2527"/>
      <c r="F37" s="2520"/>
      <c r="G37" s="2519"/>
      <c r="H37" s="2520"/>
      <c r="I37" s="1337"/>
      <c r="J37" s="1311"/>
      <c r="K37" s="1311"/>
      <c r="L37" s="1310" t="str">
        <f>IF(G37="","",J37&amp;"_"&amp;K37)</f>
        <v/>
      </c>
      <c r="M37" s="1310" t="str">
        <f>IF(G37="","",G37&amp;" "&amp;Y37)</f>
        <v/>
      </c>
      <c r="N37" s="1310" t="str">
        <f t="shared" ref="N37:N46" si="0">IF(LEFT(G37,5)="Ductl",D37&amp;" "&amp;G37,D37&amp;" "&amp;G37&amp;" "&amp;Y37)</f>
        <v xml:space="preserve">  </v>
      </c>
      <c r="O37" s="1312"/>
      <c r="P37" s="1312"/>
      <c r="Q37" s="1308"/>
      <c r="R37" s="1308"/>
      <c r="S37" s="1307"/>
      <c r="T37" s="1307"/>
      <c r="U37" s="1306"/>
      <c r="V37" s="1306"/>
      <c r="W37" s="1137"/>
      <c r="X37" s="1137"/>
      <c r="Y37" s="1141" t="str">
        <f>IF(ISBLANK(D37),"",IF(OR($AI$37="Missing Info",AM56="Missing Info"),"Missing Info",Qualifying_Index!N94))</f>
        <v/>
      </c>
      <c r="AA37" s="1305"/>
      <c r="AB37" s="1305"/>
      <c r="AC37" s="1305"/>
      <c r="AD37" s="1305"/>
      <c r="AE37" s="1304"/>
      <c r="AF37" s="1303" t="str">
        <f t="shared" ref="AF37:AF46" si="1">IF(D37="","",IF(AG37="",AA37,AA37&amp;" "&amp;AG37))</f>
        <v/>
      </c>
      <c r="AG37" s="1303" t="str">
        <f t="shared" ref="AG37:AG46" si="2">IF(OR(AA37="Natural Gas Furnace",AA37="Oil Furnace",AA37="Propane Furnace"),IF(P37&gt;225000,"&gt;=225 kBtuh","&lt;225 kBtuh"),"")</f>
        <v/>
      </c>
      <c r="AI37" s="356" t="str">
        <f t="shared" ref="AI37:AI46" si="3">IF(ISBLANK(D37),"",IF(OR(ISBLANK(C37),ISBLANK(G37),ISBLANK(I37),ISBLANK(J37),ISBLANK(K37),ISBLANK(O37),ISBLANK(P37),ISBLANK(Q37),ISBLANK(R37),ISBLANK(S37),ISBLANK(U37),ISBLANK(V37),ISBLANK(W37),ISBLANK(X37),IF(Existing_Heating_Source="New Construction",FALSE,OR(ISBLANK(AA37),ISBLANK(AB37)))),"Missing Info","Complete"))</f>
        <v/>
      </c>
      <c r="AK37" s="2546" t="str">
        <f>IF(ISBLANK(D37),"",IF(OR(Y37="Missing Info",Y37="DNQ"),Y37,(Qualifying_Index!O94+Qualifying_Index!P94)*I37))</f>
        <v/>
      </c>
      <c r="AL37" s="2547"/>
      <c r="AM37" s="2544" t="str">
        <f>IF(G37="","",IF(COUNTIF(AK37:AK46,"Missing Info")&gt;0,"Please complete all required information in the 'Worksheet' and 'Installed System Specifications' tables.",""))</f>
        <v/>
      </c>
      <c r="AN37" s="2545"/>
    </row>
    <row r="38" spans="2:40">
      <c r="B38" s="1141">
        <v>2</v>
      </c>
      <c r="C38" s="1424"/>
      <c r="D38" s="2518"/>
      <c r="E38" s="2518"/>
      <c r="F38" s="2518"/>
      <c r="G38" s="2519"/>
      <c r="H38" s="2520"/>
      <c r="I38" s="1337"/>
      <c r="J38" s="1311"/>
      <c r="K38" s="1311"/>
      <c r="L38" s="1310" t="str">
        <f t="shared" ref="L38:L46" si="4">IF(G38="","",J38&amp;"_"&amp;K38)</f>
        <v/>
      </c>
      <c r="M38" s="1310" t="str">
        <f t="shared" ref="M38:M46" si="5">IF(G38="","",G38&amp;" "&amp;Y38)</f>
        <v/>
      </c>
      <c r="N38" s="1310" t="str">
        <f t="shared" si="0"/>
        <v xml:space="preserve">  </v>
      </c>
      <c r="O38" s="1312"/>
      <c r="P38" s="1309"/>
      <c r="Q38" s="1308"/>
      <c r="R38" s="1308"/>
      <c r="S38" s="1307"/>
      <c r="T38" s="1307"/>
      <c r="U38" s="1306"/>
      <c r="V38" s="1306"/>
      <c r="W38" s="1137"/>
      <c r="X38" s="1137"/>
      <c r="Y38" s="1141" t="str">
        <f>IF(ISBLANK(D38),"",IF(OR($AI$37="Missing Info",AM57="Missing Info"),"Missing Info",Qualifying_Index!N95))</f>
        <v/>
      </c>
      <c r="AA38" s="1305"/>
      <c r="AB38" s="1305"/>
      <c r="AC38" s="1305"/>
      <c r="AD38" s="1305"/>
      <c r="AE38" s="1304"/>
      <c r="AF38" s="1303" t="str">
        <f t="shared" si="1"/>
        <v/>
      </c>
      <c r="AG38" s="1303" t="str">
        <f t="shared" si="2"/>
        <v/>
      </c>
      <c r="AI38" s="356" t="str">
        <f t="shared" si="3"/>
        <v/>
      </c>
      <c r="AK38" s="2546" t="str">
        <f>IF(ISBLANK(D38),"",IF(OR(Y38="Missing Info",Y38="DNQ"),Y38,(Qualifying_Index!O95+Qualifying_Index!P95)*I38))</f>
        <v/>
      </c>
      <c r="AL38" s="2547"/>
      <c r="AM38" s="2544"/>
      <c r="AN38" s="2545"/>
    </row>
    <row r="39" spans="2:40">
      <c r="B39" s="1141">
        <v>3</v>
      </c>
      <c r="C39" s="1423"/>
      <c r="D39" s="2519"/>
      <c r="E39" s="2527"/>
      <c r="F39" s="2520"/>
      <c r="G39" s="2519"/>
      <c r="H39" s="2520"/>
      <c r="I39" s="1337"/>
      <c r="J39" s="1311"/>
      <c r="K39" s="1311"/>
      <c r="L39" s="1310" t="str">
        <f t="shared" si="4"/>
        <v/>
      </c>
      <c r="M39" s="1310" t="str">
        <f t="shared" si="5"/>
        <v/>
      </c>
      <c r="N39" s="1310" t="str">
        <f t="shared" si="0"/>
        <v xml:space="preserve">  </v>
      </c>
      <c r="O39" s="1312"/>
      <c r="P39" s="1309"/>
      <c r="Q39" s="1308"/>
      <c r="R39" s="1308"/>
      <c r="S39" s="1307"/>
      <c r="T39" s="1307"/>
      <c r="U39" s="1306"/>
      <c r="V39" s="1306"/>
      <c r="W39" s="1137"/>
      <c r="X39" s="1137"/>
      <c r="Y39" s="1141" t="str">
        <f>IF(ISBLANK(D39),"",IF(OR($AI$37="Missing Info",AM58="Missing Info"),"Missing Info",Qualifying_Index!N96))</f>
        <v/>
      </c>
      <c r="AA39" s="1305"/>
      <c r="AB39" s="1305"/>
      <c r="AC39" s="1305"/>
      <c r="AD39" s="1305"/>
      <c r="AE39" s="1304"/>
      <c r="AF39" s="1303" t="str">
        <f t="shared" si="1"/>
        <v/>
      </c>
      <c r="AG39" s="1303" t="str">
        <f t="shared" si="2"/>
        <v/>
      </c>
      <c r="AI39" s="356" t="str">
        <f t="shared" si="3"/>
        <v/>
      </c>
      <c r="AK39" s="2546" t="str">
        <f>IF(ISBLANK(D39),"",IF(OR(Y39="Missing Info",Y39="DNQ"),Y39,(Qualifying_Index!O96+Qualifying_Index!P96)*I39))</f>
        <v/>
      </c>
      <c r="AL39" s="2547"/>
      <c r="AM39" s="2544"/>
      <c r="AN39" s="2545"/>
    </row>
    <row r="40" spans="2:40">
      <c r="B40" s="1141">
        <v>4</v>
      </c>
      <c r="C40" s="1424"/>
      <c r="D40" s="2518"/>
      <c r="E40" s="2518"/>
      <c r="F40" s="2518"/>
      <c r="G40" s="2519"/>
      <c r="H40" s="2520"/>
      <c r="I40" s="1337"/>
      <c r="J40" s="1311"/>
      <c r="K40" s="1311"/>
      <c r="L40" s="1310" t="str">
        <f t="shared" si="4"/>
        <v/>
      </c>
      <c r="M40" s="1310" t="str">
        <f t="shared" si="5"/>
        <v/>
      </c>
      <c r="N40" s="1310" t="str">
        <f t="shared" si="0"/>
        <v xml:space="preserve">  </v>
      </c>
      <c r="O40" s="1312"/>
      <c r="P40" s="1309"/>
      <c r="Q40" s="1308"/>
      <c r="R40" s="1308"/>
      <c r="S40" s="1307"/>
      <c r="T40" s="1307"/>
      <c r="U40" s="1306"/>
      <c r="V40" s="1306"/>
      <c r="W40" s="1137"/>
      <c r="X40" s="1137"/>
      <c r="Y40" s="1141" t="str">
        <f>IF(ISBLANK(D40),"",IF(OR($AI$37="Missing Info",AM59="Missing Info"),"Missing Info",Qualifying_Index!N97))</f>
        <v/>
      </c>
      <c r="AA40" s="1305"/>
      <c r="AB40" s="1305"/>
      <c r="AC40" s="1305"/>
      <c r="AD40" s="1305"/>
      <c r="AE40" s="1304"/>
      <c r="AF40" s="1303" t="str">
        <f t="shared" si="1"/>
        <v/>
      </c>
      <c r="AG40" s="1303" t="str">
        <f t="shared" si="2"/>
        <v/>
      </c>
      <c r="AI40" s="356" t="str">
        <f t="shared" si="3"/>
        <v/>
      </c>
      <c r="AK40" s="2546" t="str">
        <f>IF(ISBLANK(D40),"",IF(OR(Y40="Missing Info",Y40="DNQ"),Y40,(Qualifying_Index!O97+Qualifying_Index!P97)*I40))</f>
        <v/>
      </c>
      <c r="AL40" s="2547"/>
      <c r="AM40" s="2544"/>
      <c r="AN40" s="2545"/>
    </row>
    <row r="41" spans="2:40">
      <c r="B41" s="1141">
        <v>5</v>
      </c>
      <c r="C41" s="1424"/>
      <c r="D41" s="2518"/>
      <c r="E41" s="2518"/>
      <c r="F41" s="2518"/>
      <c r="G41" s="2519"/>
      <c r="H41" s="2520"/>
      <c r="I41" s="1337"/>
      <c r="J41" s="1311"/>
      <c r="K41" s="1311"/>
      <c r="L41" s="1310" t="str">
        <f t="shared" si="4"/>
        <v/>
      </c>
      <c r="M41" s="1310" t="str">
        <f t="shared" si="5"/>
        <v/>
      </c>
      <c r="N41" s="1310" t="str">
        <f t="shared" si="0"/>
        <v xml:space="preserve">  </v>
      </c>
      <c r="O41" s="1312"/>
      <c r="P41" s="1309"/>
      <c r="Q41" s="1308"/>
      <c r="R41" s="1308"/>
      <c r="S41" s="1307"/>
      <c r="T41" s="1307"/>
      <c r="U41" s="1306"/>
      <c r="V41" s="1306"/>
      <c r="W41" s="1137"/>
      <c r="X41" s="1137"/>
      <c r="Y41" s="1141" t="str">
        <f>IF(ISBLANK(D41),"",IF(OR($AI$37="Missing Info",AM60="Missing Info"),"Missing Info",Qualifying_Index!N98))</f>
        <v/>
      </c>
      <c r="AA41" s="1305"/>
      <c r="AB41" s="1305"/>
      <c r="AC41" s="1305"/>
      <c r="AD41" s="1305"/>
      <c r="AE41" s="1304"/>
      <c r="AF41" s="1303" t="str">
        <f t="shared" si="1"/>
        <v/>
      </c>
      <c r="AG41" s="1303" t="str">
        <f t="shared" si="2"/>
        <v/>
      </c>
      <c r="AI41" s="356" t="str">
        <f t="shared" si="3"/>
        <v/>
      </c>
      <c r="AK41" s="2546" t="str">
        <f>IF(ISBLANK(D41),"",IF(OR(Y41="Missing Info",Y41="DNQ"),Y41,(Qualifying_Index!O98+Qualifying_Index!P98)*I41))</f>
        <v/>
      </c>
      <c r="AL41" s="2547"/>
      <c r="AM41" s="2544"/>
      <c r="AN41" s="2545"/>
    </row>
    <row r="42" spans="2:40">
      <c r="B42" s="1141">
        <v>6</v>
      </c>
      <c r="C42" s="1424"/>
      <c r="D42" s="2518"/>
      <c r="E42" s="2518"/>
      <c r="F42" s="2518"/>
      <c r="G42" s="2519"/>
      <c r="H42" s="2520"/>
      <c r="I42" s="1337"/>
      <c r="J42" s="1311"/>
      <c r="K42" s="1311"/>
      <c r="L42" s="1310" t="str">
        <f t="shared" si="4"/>
        <v/>
      </c>
      <c r="M42" s="1310" t="str">
        <f t="shared" si="5"/>
        <v/>
      </c>
      <c r="N42" s="1310" t="str">
        <f t="shared" si="0"/>
        <v xml:space="preserve">  </v>
      </c>
      <c r="O42" s="1312"/>
      <c r="P42" s="1309"/>
      <c r="Q42" s="1308"/>
      <c r="R42" s="1308"/>
      <c r="S42" s="1307"/>
      <c r="T42" s="1307"/>
      <c r="U42" s="1306"/>
      <c r="V42" s="1306"/>
      <c r="W42" s="1137"/>
      <c r="X42" s="1137"/>
      <c r="Y42" s="1141" t="str">
        <f>IF(ISBLANK(D42),"",IF(OR($AI$37="Missing Info",AM61="Missing Info"),"Missing Info",Qualifying_Index!N99))</f>
        <v/>
      </c>
      <c r="AA42" s="1305"/>
      <c r="AB42" s="1305"/>
      <c r="AC42" s="1305"/>
      <c r="AD42" s="1305"/>
      <c r="AE42" s="1304"/>
      <c r="AF42" s="1303" t="str">
        <f t="shared" si="1"/>
        <v/>
      </c>
      <c r="AG42" s="1303" t="str">
        <f t="shared" si="2"/>
        <v/>
      </c>
      <c r="AI42" s="356" t="str">
        <f t="shared" si="3"/>
        <v/>
      </c>
      <c r="AK42" s="2546" t="str">
        <f>IF(ISBLANK(D42),"",IF(OR(Y42="Missing Info",Y42="DNQ"),Y42,(Qualifying_Index!O99+Qualifying_Index!P99)*I42))</f>
        <v/>
      </c>
      <c r="AL42" s="2547"/>
      <c r="AM42" s="2544"/>
      <c r="AN42" s="2545"/>
    </row>
    <row r="43" spans="2:40">
      <c r="B43" s="1141">
        <v>7</v>
      </c>
      <c r="C43" s="1424"/>
      <c r="D43" s="2518"/>
      <c r="E43" s="2518"/>
      <c r="F43" s="2518"/>
      <c r="G43" s="2519"/>
      <c r="H43" s="2520"/>
      <c r="I43" s="1337"/>
      <c r="J43" s="1311"/>
      <c r="K43" s="1311"/>
      <c r="L43" s="1310" t="str">
        <f t="shared" si="4"/>
        <v/>
      </c>
      <c r="M43" s="1310" t="str">
        <f t="shared" si="5"/>
        <v/>
      </c>
      <c r="N43" s="1310" t="str">
        <f t="shared" si="0"/>
        <v xml:space="preserve">  </v>
      </c>
      <c r="O43" s="1312"/>
      <c r="P43" s="1309"/>
      <c r="Q43" s="1308"/>
      <c r="R43" s="1308"/>
      <c r="S43" s="1307"/>
      <c r="T43" s="1307"/>
      <c r="U43" s="1306"/>
      <c r="V43" s="1306"/>
      <c r="W43" s="1137"/>
      <c r="X43" s="1137"/>
      <c r="Y43" s="1141" t="str">
        <f>IF(ISBLANK(D43),"",IF(OR($AI$37="Missing Info",AM62="Missing Info"),"Missing Info",Qualifying_Index!N100))</f>
        <v/>
      </c>
      <c r="AA43" s="1305"/>
      <c r="AB43" s="1305"/>
      <c r="AC43" s="1305"/>
      <c r="AD43" s="1305"/>
      <c r="AE43" s="1304"/>
      <c r="AF43" s="1303" t="str">
        <f t="shared" si="1"/>
        <v/>
      </c>
      <c r="AG43" s="1303" t="str">
        <f t="shared" si="2"/>
        <v/>
      </c>
      <c r="AI43" s="356" t="str">
        <f t="shared" si="3"/>
        <v/>
      </c>
      <c r="AK43" s="2546" t="str">
        <f>IF(ISBLANK(D43),"",IF(OR(Y43="Missing Info",Y43="DNQ"),Y43,(Qualifying_Index!O100+Qualifying_Index!P100)*I43))</f>
        <v/>
      </c>
      <c r="AL43" s="2547"/>
      <c r="AM43" s="2544"/>
      <c r="AN43" s="2545"/>
    </row>
    <row r="44" spans="2:40">
      <c r="B44" s="1141">
        <v>8</v>
      </c>
      <c r="C44" s="1424"/>
      <c r="D44" s="2518"/>
      <c r="E44" s="2518"/>
      <c r="F44" s="2518"/>
      <c r="G44" s="2519"/>
      <c r="H44" s="2520"/>
      <c r="I44" s="1337"/>
      <c r="J44" s="1311"/>
      <c r="K44" s="1311"/>
      <c r="L44" s="1310" t="str">
        <f t="shared" si="4"/>
        <v/>
      </c>
      <c r="M44" s="1310" t="str">
        <f t="shared" si="5"/>
        <v/>
      </c>
      <c r="N44" s="1310" t="str">
        <f t="shared" si="0"/>
        <v xml:space="preserve">  </v>
      </c>
      <c r="O44" s="1312"/>
      <c r="P44" s="1309"/>
      <c r="Q44" s="1308"/>
      <c r="R44" s="1308"/>
      <c r="S44" s="1307"/>
      <c r="T44" s="1307"/>
      <c r="U44" s="1306"/>
      <c r="V44" s="1306"/>
      <c r="W44" s="1137"/>
      <c r="X44" s="1137"/>
      <c r="Y44" s="1141" t="str">
        <f>IF(ISBLANK(D44),"",IF(OR($AI$37="Missing Info",AM63="Missing Info"),"Missing Info",Qualifying_Index!N101))</f>
        <v/>
      </c>
      <c r="AA44" s="1305"/>
      <c r="AB44" s="1305"/>
      <c r="AC44" s="1305"/>
      <c r="AD44" s="1305"/>
      <c r="AE44" s="1304"/>
      <c r="AF44" s="1303" t="str">
        <f t="shared" si="1"/>
        <v/>
      </c>
      <c r="AG44" s="1303" t="str">
        <f t="shared" si="2"/>
        <v/>
      </c>
      <c r="AI44" s="356" t="str">
        <f t="shared" si="3"/>
        <v/>
      </c>
      <c r="AK44" s="2546" t="str">
        <f>IF(ISBLANK(D44),"",IF(OR(Y44="Missing Info",Y44="DNQ"),Y44,(Qualifying_Index!O101+Qualifying_Index!P101)*I44))</f>
        <v/>
      </c>
      <c r="AL44" s="2547"/>
      <c r="AM44" s="2544"/>
      <c r="AN44" s="2545"/>
    </row>
    <row r="45" spans="2:40">
      <c r="B45" s="1141">
        <v>9</v>
      </c>
      <c r="C45" s="1424"/>
      <c r="D45" s="2518"/>
      <c r="E45" s="2518"/>
      <c r="F45" s="2518"/>
      <c r="G45" s="2519"/>
      <c r="H45" s="2520"/>
      <c r="I45" s="1337"/>
      <c r="J45" s="1311"/>
      <c r="K45" s="1311"/>
      <c r="L45" s="1310" t="str">
        <f t="shared" si="4"/>
        <v/>
      </c>
      <c r="M45" s="1310" t="str">
        <f t="shared" si="5"/>
        <v/>
      </c>
      <c r="N45" s="1310" t="str">
        <f t="shared" si="0"/>
        <v xml:space="preserve">  </v>
      </c>
      <c r="O45" s="1312"/>
      <c r="P45" s="1309"/>
      <c r="Q45" s="1308"/>
      <c r="R45" s="1308"/>
      <c r="S45" s="1307"/>
      <c r="T45" s="1307"/>
      <c r="U45" s="1306"/>
      <c r="V45" s="1306"/>
      <c r="W45" s="1137"/>
      <c r="X45" s="1137"/>
      <c r="Y45" s="1141" t="str">
        <f>IF(ISBLANK(D45),"",IF(OR($AI$37="Missing Info",AM64="Missing Info"),"Missing Info",Qualifying_Index!N102))</f>
        <v/>
      </c>
      <c r="AA45" s="1305"/>
      <c r="AB45" s="1305"/>
      <c r="AC45" s="1305"/>
      <c r="AD45" s="1305"/>
      <c r="AE45" s="1304"/>
      <c r="AF45" s="1303" t="str">
        <f t="shared" si="1"/>
        <v/>
      </c>
      <c r="AG45" s="1303" t="str">
        <f t="shared" si="2"/>
        <v/>
      </c>
      <c r="AI45" s="356" t="str">
        <f t="shared" si="3"/>
        <v/>
      </c>
      <c r="AK45" s="2546" t="str">
        <f>IF(ISBLANK(D45),"",IF(OR(Y45="Missing Info",Y45="DNQ"),Y45,(Qualifying_Index!O102+Qualifying_Index!P102)*I45))</f>
        <v/>
      </c>
      <c r="AL45" s="2547"/>
      <c r="AM45" s="2544"/>
      <c r="AN45" s="2545"/>
    </row>
    <row r="46" spans="2:40">
      <c r="B46" s="1141">
        <v>10</v>
      </c>
      <c r="C46" s="1424"/>
      <c r="D46" s="2518"/>
      <c r="E46" s="2518"/>
      <c r="F46" s="2518"/>
      <c r="G46" s="2519"/>
      <c r="H46" s="2520"/>
      <c r="I46" s="1337"/>
      <c r="J46" s="1311"/>
      <c r="K46" s="1311"/>
      <c r="L46" s="1310" t="str">
        <f t="shared" si="4"/>
        <v/>
      </c>
      <c r="M46" s="1310" t="str">
        <f t="shared" si="5"/>
        <v/>
      </c>
      <c r="N46" s="1310" t="str">
        <f t="shared" si="0"/>
        <v xml:space="preserve">  </v>
      </c>
      <c r="O46" s="1309"/>
      <c r="P46" s="1309"/>
      <c r="Q46" s="1308"/>
      <c r="R46" s="1308"/>
      <c r="S46" s="1307"/>
      <c r="T46" s="1307"/>
      <c r="U46" s="1306"/>
      <c r="V46" s="1306"/>
      <c r="W46" s="1137"/>
      <c r="X46" s="1137"/>
      <c r="Y46" s="1141" t="str">
        <f>IF(ISBLANK(D46),"",IF(OR($AI$37="Missing Info",AM65="Missing Info"),"Missing Info",Qualifying_Index!N103))</f>
        <v/>
      </c>
      <c r="AA46" s="1305"/>
      <c r="AB46" s="1305"/>
      <c r="AC46" s="1305"/>
      <c r="AD46" s="1305"/>
      <c r="AE46" s="1304"/>
      <c r="AF46" s="1303" t="str">
        <f t="shared" si="1"/>
        <v/>
      </c>
      <c r="AG46" s="1303" t="str">
        <f t="shared" si="2"/>
        <v/>
      </c>
      <c r="AI46" s="356" t="str">
        <f t="shared" si="3"/>
        <v/>
      </c>
      <c r="AK46" s="2546" t="str">
        <f>IF(ISBLANK(D46),"",IF(OR(Y46="Missing Info",Y46="DNQ"),Y46,(Qualifying_Index!O103+Qualifying_Index!P103)*I46))</f>
        <v/>
      </c>
      <c r="AL46" s="2547"/>
      <c r="AM46" s="2544"/>
      <c r="AN46" s="2545"/>
    </row>
    <row r="47" spans="2:40" ht="15.5">
      <c r="D47" s="1299"/>
      <c r="F47" s="1300"/>
      <c r="G47" s="1300"/>
      <c r="H47" s="1300"/>
      <c r="I47" s="1300"/>
      <c r="J47" s="1300"/>
      <c r="K47" s="1300"/>
      <c r="L47" s="1300"/>
      <c r="M47" s="1300"/>
      <c r="O47" s="684"/>
      <c r="P47" s="684"/>
      <c r="Q47" s="684"/>
      <c r="R47" s="684"/>
      <c r="S47" s="1300"/>
      <c r="T47" s="1300"/>
      <c r="W47" s="1297"/>
      <c r="X47" s="1299"/>
      <c r="Z47" s="217"/>
      <c r="AI47" s="51"/>
      <c r="AL47" s="43" t="s">
        <v>477</v>
      </c>
    </row>
    <row r="48" spans="2:40">
      <c r="D48" s="1298"/>
      <c r="N48" s="1298"/>
      <c r="V48" s="1298"/>
      <c r="W48" s="1297"/>
      <c r="X48" s="1297"/>
      <c r="AL48" s="1294" t="str">
        <f>IF(SUM(AK37:AK46)=0,"",SUM(AK37:AK46))</f>
        <v/>
      </c>
    </row>
    <row r="49" spans="2:40">
      <c r="B49" s="2528"/>
      <c r="C49" s="639"/>
      <c r="D49" s="1296"/>
      <c r="E49" s="1296"/>
      <c r="F49" s="1296"/>
      <c r="G49" s="1295"/>
      <c r="H49" s="1295"/>
      <c r="I49" s="1295"/>
      <c r="J49" s="1295"/>
      <c r="K49" s="1295"/>
      <c r="L49" s="1295"/>
      <c r="M49" s="1295"/>
      <c r="N49" s="684"/>
      <c r="AL49" s="43"/>
    </row>
    <row r="50" spans="2:40">
      <c r="B50" s="2528"/>
      <c r="C50" s="639"/>
      <c r="D50" s="223"/>
      <c r="E50" s="223"/>
      <c r="F50" s="223"/>
      <c r="G50" s="223"/>
      <c r="H50" s="223"/>
      <c r="I50" s="223"/>
      <c r="J50" s="223"/>
      <c r="K50" s="223"/>
      <c r="L50" s="223"/>
      <c r="M50" s="223"/>
      <c r="N50" s="223"/>
      <c r="O50" s="223"/>
      <c r="P50" s="223"/>
      <c r="Q50" s="223"/>
      <c r="R50" s="223"/>
      <c r="S50" s="223"/>
      <c r="T50" s="223"/>
      <c r="AL50" s="1294"/>
    </row>
    <row r="51" spans="2:40" ht="23">
      <c r="B51" s="2557" t="s">
        <v>478</v>
      </c>
      <c r="C51" s="2557"/>
      <c r="D51" s="2557"/>
      <c r="E51" s="2557"/>
      <c r="F51" s="2557"/>
      <c r="G51" s="2557"/>
      <c r="H51" s="2557"/>
      <c r="I51" s="2557"/>
      <c r="J51" s="2557"/>
      <c r="K51" s="2557"/>
      <c r="L51" s="2557"/>
      <c r="M51" s="2557"/>
      <c r="N51" s="2557"/>
      <c r="O51" s="2557"/>
      <c r="P51" s="2557"/>
      <c r="Q51" s="2557"/>
      <c r="R51" s="2557"/>
      <c r="S51" s="2557"/>
      <c r="T51" s="2557"/>
      <c r="U51" s="2557"/>
      <c r="V51" s="2557"/>
      <c r="W51" s="2557"/>
      <c r="X51" s="2557"/>
      <c r="Y51" s="2557"/>
      <c r="Z51" s="2557"/>
      <c r="AA51" s="2557"/>
      <c r="AB51" s="2557"/>
      <c r="AC51" s="2557"/>
      <c r="AD51" s="2557"/>
      <c r="AE51" s="2557"/>
      <c r="AF51" s="2557"/>
      <c r="AG51" s="2557"/>
      <c r="AH51" s="2557"/>
      <c r="AI51" s="2557"/>
      <c r="AJ51" s="2557"/>
      <c r="AK51" s="2557"/>
      <c r="AL51" s="2557"/>
      <c r="AM51" s="2557"/>
      <c r="AN51" s="2557"/>
    </row>
    <row r="52" spans="2:40">
      <c r="B52" s="1293" t="s">
        <v>4344</v>
      </c>
      <c r="C52" s="1293"/>
    </row>
    <row r="53" spans="2:40">
      <c r="B53" s="45"/>
      <c r="C53" s="45"/>
    </row>
    <row r="54" spans="2:40" ht="14.5" customHeight="1">
      <c r="B54" s="2325" t="s">
        <v>469</v>
      </c>
      <c r="C54" s="2532" t="s">
        <v>479</v>
      </c>
      <c r="D54" s="2533"/>
      <c r="E54" s="2533"/>
      <c r="F54" s="2533"/>
      <c r="G54" s="2533"/>
      <c r="H54" s="2533"/>
      <c r="I54" s="2533"/>
      <c r="J54" s="2533"/>
      <c r="K54" s="2534"/>
      <c r="L54" s="1926"/>
      <c r="M54" s="1926"/>
      <c r="N54" s="1926"/>
      <c r="O54" s="2541" t="s">
        <v>480</v>
      </c>
      <c r="P54" s="2541"/>
      <c r="Q54" s="2541"/>
      <c r="R54" s="2541"/>
      <c r="S54" s="2541"/>
      <c r="T54" s="2541"/>
      <c r="U54" s="2541"/>
      <c r="V54" s="2549" t="s">
        <v>4343</v>
      </c>
      <c r="W54" s="2550"/>
      <c r="X54" s="2540" t="s">
        <v>4287</v>
      </c>
      <c r="Y54" s="2540"/>
      <c r="AA54" s="2542" t="s">
        <v>73</v>
      </c>
      <c r="AB54" s="2548"/>
      <c r="AC54" s="2548"/>
      <c r="AD54" s="2548"/>
      <c r="AE54" s="2548"/>
      <c r="AI54" s="2532" t="s">
        <v>4420</v>
      </c>
      <c r="AJ54" s="2533"/>
      <c r="AK54" s="2534"/>
      <c r="AM54" s="2325" t="s">
        <v>4342</v>
      </c>
    </row>
    <row r="55" spans="2:40" s="659" customFormat="1" ht="30.75" customHeight="1">
      <c r="B55" s="2325"/>
      <c r="C55" s="2529" t="s">
        <v>80</v>
      </c>
      <c r="D55" s="2530"/>
      <c r="E55" s="2531"/>
      <c r="F55" s="2535" t="s">
        <v>78</v>
      </c>
      <c r="G55" s="2536"/>
      <c r="H55" s="2537"/>
      <c r="I55" s="2529" t="s">
        <v>79</v>
      </c>
      <c r="J55" s="2530"/>
      <c r="K55" s="2531"/>
      <c r="L55" s="1929"/>
      <c r="M55" s="1929"/>
      <c r="N55" s="1929"/>
      <c r="O55" s="2553" t="s">
        <v>80</v>
      </c>
      <c r="P55" s="2553"/>
      <c r="Q55" s="2529" t="s">
        <v>78</v>
      </c>
      <c r="R55" s="2531"/>
      <c r="S55" s="2529" t="s">
        <v>79</v>
      </c>
      <c r="T55" s="2530"/>
      <c r="U55" s="2531"/>
      <c r="V55" s="2551"/>
      <c r="W55" s="2552"/>
      <c r="X55" s="2540"/>
      <c r="Y55" s="2540"/>
      <c r="Z55" s="42"/>
      <c r="AA55" s="1927" t="s">
        <v>4341</v>
      </c>
      <c r="AB55" s="2542" t="s">
        <v>80</v>
      </c>
      <c r="AC55" s="2543"/>
      <c r="AD55" s="1932" t="s">
        <v>78</v>
      </c>
      <c r="AE55" s="1927" t="s">
        <v>79</v>
      </c>
      <c r="AI55" s="1930" t="s">
        <v>481</v>
      </c>
      <c r="AJ55" s="1930" t="s">
        <v>501</v>
      </c>
      <c r="AK55" s="1930" t="s">
        <v>145</v>
      </c>
      <c r="AM55" s="2325"/>
    </row>
    <row r="56" spans="2:40">
      <c r="B56" s="1291">
        <v>1</v>
      </c>
      <c r="C56" s="2310"/>
      <c r="D56" s="2311"/>
      <c r="E56" s="2312"/>
      <c r="F56" s="2315"/>
      <c r="G56" s="2315"/>
      <c r="H56" s="2315"/>
      <c r="I56" s="2310"/>
      <c r="J56" s="2311"/>
      <c r="K56" s="2312"/>
      <c r="L56" s="174"/>
      <c r="M56" s="174"/>
      <c r="N56" s="174"/>
      <c r="O56" s="2538"/>
      <c r="P56" s="2539"/>
      <c r="Q56" s="2538"/>
      <c r="R56" s="2539"/>
      <c r="S56" s="2310"/>
      <c r="T56" s="2311"/>
      <c r="U56" s="2312"/>
      <c r="V56" s="2310"/>
      <c r="W56" s="2312"/>
      <c r="X56" s="2310"/>
      <c r="Y56" s="2312"/>
      <c r="AA56" s="1136"/>
      <c r="AB56" s="2310"/>
      <c r="AC56" s="2312"/>
      <c r="AD56" s="1290"/>
      <c r="AE56" s="1289"/>
      <c r="AI56" s="1288"/>
      <c r="AJ56" s="1292"/>
      <c r="AK56" s="356" t="str">
        <f>IF(AND(AI56="",AJ56=""),"",Qualifying_Index!AE94)</f>
        <v/>
      </c>
      <c r="AM56" s="356" t="str">
        <f t="shared" ref="AM56:AM65" si="6">IF(ISBLANK(D37),"",IF(OR(ISBLANK(C56),ISBLANK(F56),ISBLANK(I56),ISBLANK(O56),ISBLANK(Q56),ISBLANK(S56),ISBLANK(V56),ISBLANK(X56),IF(Existing_Heating_Source="New Construction",FALSE,ISBLANK(AA56)),ISBLANK(AI56),ISBLANK(AJ56)),"Missing Info","Complete"))</f>
        <v/>
      </c>
    </row>
    <row r="57" spans="2:40">
      <c r="B57" s="1291">
        <v>2</v>
      </c>
      <c r="C57" s="2310"/>
      <c r="D57" s="2311"/>
      <c r="E57" s="2312"/>
      <c r="F57" s="2315"/>
      <c r="G57" s="2315"/>
      <c r="H57" s="2315"/>
      <c r="I57" s="2310"/>
      <c r="J57" s="2311"/>
      <c r="K57" s="2312"/>
      <c r="L57" s="174"/>
      <c r="M57" s="174"/>
      <c r="N57" s="174"/>
      <c r="O57" s="2538"/>
      <c r="P57" s="2539"/>
      <c r="Q57" s="2538"/>
      <c r="R57" s="2539"/>
      <c r="S57" s="2310"/>
      <c r="T57" s="2311"/>
      <c r="U57" s="2312"/>
      <c r="V57" s="2310"/>
      <c r="W57" s="2312"/>
      <c r="X57" s="2310"/>
      <c r="Y57" s="2312"/>
      <c r="AA57" s="1136"/>
      <c r="AB57" s="2310"/>
      <c r="AC57" s="2312"/>
      <c r="AD57" s="1290"/>
      <c r="AE57" s="1289"/>
      <c r="AI57" s="1288"/>
      <c r="AJ57" s="1287"/>
      <c r="AK57" s="356" t="str">
        <f>IF(AND(AI57="",AJ57=""),"",Qualifying_Index!AE95)</f>
        <v/>
      </c>
      <c r="AM57" s="356" t="str">
        <f t="shared" si="6"/>
        <v/>
      </c>
    </row>
    <row r="58" spans="2:40">
      <c r="B58" s="1291">
        <v>3</v>
      </c>
      <c r="C58" s="2310"/>
      <c r="D58" s="2311"/>
      <c r="E58" s="2312"/>
      <c r="F58" s="2315"/>
      <c r="G58" s="2315"/>
      <c r="H58" s="2315"/>
      <c r="I58" s="2310"/>
      <c r="J58" s="2311"/>
      <c r="K58" s="2312"/>
      <c r="L58" s="174"/>
      <c r="M58" s="174"/>
      <c r="N58" s="174"/>
      <c r="O58" s="2538"/>
      <c r="P58" s="2539"/>
      <c r="Q58" s="2538"/>
      <c r="R58" s="2539"/>
      <c r="S58" s="2310"/>
      <c r="T58" s="2311"/>
      <c r="U58" s="2312"/>
      <c r="V58" s="2310"/>
      <c r="W58" s="2312"/>
      <c r="X58" s="2310"/>
      <c r="Y58" s="2312"/>
      <c r="AA58" s="1136"/>
      <c r="AB58" s="2310"/>
      <c r="AC58" s="2312"/>
      <c r="AD58" s="1290"/>
      <c r="AE58" s="1289"/>
      <c r="AI58" s="1288"/>
      <c r="AJ58" s="1287"/>
      <c r="AK58" s="356" t="str">
        <f>IF(AND(AI58="",AJ58=""),"",Qualifying_Index!AE96)</f>
        <v/>
      </c>
      <c r="AM58" s="356" t="str">
        <f t="shared" si="6"/>
        <v/>
      </c>
    </row>
    <row r="59" spans="2:40">
      <c r="B59" s="1291">
        <v>4</v>
      </c>
      <c r="C59" s="2310"/>
      <c r="D59" s="2311"/>
      <c r="E59" s="2312"/>
      <c r="F59" s="2315"/>
      <c r="G59" s="2315"/>
      <c r="H59" s="2315"/>
      <c r="I59" s="2310"/>
      <c r="J59" s="2311"/>
      <c r="K59" s="2312"/>
      <c r="L59" s="174"/>
      <c r="M59" s="174"/>
      <c r="N59" s="174"/>
      <c r="O59" s="2538"/>
      <c r="P59" s="2539"/>
      <c r="Q59" s="2538"/>
      <c r="R59" s="2539"/>
      <c r="S59" s="2310"/>
      <c r="T59" s="2311"/>
      <c r="U59" s="2312"/>
      <c r="V59" s="2310"/>
      <c r="W59" s="2312"/>
      <c r="X59" s="2310"/>
      <c r="Y59" s="2312"/>
      <c r="AA59" s="1136"/>
      <c r="AB59" s="2310"/>
      <c r="AC59" s="2312"/>
      <c r="AD59" s="1290"/>
      <c r="AE59" s="1289"/>
      <c r="AI59" s="1288"/>
      <c r="AJ59" s="1287"/>
      <c r="AK59" s="356" t="str">
        <f>IF(AND(AI59="",AJ59=""),"",Qualifying_Index!AE97)</f>
        <v/>
      </c>
      <c r="AM59" s="356" t="str">
        <f t="shared" si="6"/>
        <v/>
      </c>
    </row>
    <row r="60" spans="2:40">
      <c r="B60" s="1291">
        <v>5</v>
      </c>
      <c r="C60" s="2310"/>
      <c r="D60" s="2311"/>
      <c r="E60" s="2312"/>
      <c r="F60" s="2315"/>
      <c r="G60" s="2315"/>
      <c r="H60" s="2315"/>
      <c r="I60" s="2310"/>
      <c r="J60" s="2311"/>
      <c r="K60" s="2312"/>
      <c r="L60" s="174"/>
      <c r="M60" s="174"/>
      <c r="N60" s="174"/>
      <c r="O60" s="2538"/>
      <c r="P60" s="2539"/>
      <c r="Q60" s="2538"/>
      <c r="R60" s="2539"/>
      <c r="S60" s="2310"/>
      <c r="T60" s="2311"/>
      <c r="U60" s="2312"/>
      <c r="V60" s="2310"/>
      <c r="W60" s="2312"/>
      <c r="X60" s="2310"/>
      <c r="Y60" s="2312"/>
      <c r="AA60" s="1136"/>
      <c r="AB60" s="2310"/>
      <c r="AC60" s="2312"/>
      <c r="AD60" s="1290"/>
      <c r="AE60" s="1289"/>
      <c r="AI60" s="1288"/>
      <c r="AJ60" s="1287"/>
      <c r="AK60" s="356" t="str">
        <f>IF(AND(AI60="",AJ60=""),"",Qualifying_Index!AE98)</f>
        <v/>
      </c>
      <c r="AM60" s="356" t="str">
        <f t="shared" si="6"/>
        <v/>
      </c>
    </row>
    <row r="61" spans="2:40">
      <c r="B61" s="1291">
        <v>6</v>
      </c>
      <c r="C61" s="2310"/>
      <c r="D61" s="2311"/>
      <c r="E61" s="2312"/>
      <c r="F61" s="2315"/>
      <c r="G61" s="2315"/>
      <c r="H61" s="2315"/>
      <c r="I61" s="2310"/>
      <c r="J61" s="2311"/>
      <c r="K61" s="2312"/>
      <c r="L61" s="174"/>
      <c r="M61" s="174"/>
      <c r="N61" s="174"/>
      <c r="O61" s="2538"/>
      <c r="P61" s="2539"/>
      <c r="Q61" s="2538"/>
      <c r="R61" s="2539"/>
      <c r="S61" s="2310"/>
      <c r="T61" s="2311"/>
      <c r="U61" s="2312"/>
      <c r="V61" s="2310"/>
      <c r="W61" s="2312"/>
      <c r="X61" s="2310"/>
      <c r="Y61" s="2312"/>
      <c r="AA61" s="1136"/>
      <c r="AB61" s="2310"/>
      <c r="AC61" s="2312"/>
      <c r="AD61" s="1290"/>
      <c r="AE61" s="1289"/>
      <c r="AI61" s="1288"/>
      <c r="AJ61" s="1287"/>
      <c r="AK61" s="356" t="str">
        <f>IF(AND(AI61="",AJ61=""),"",Qualifying_Index!AE99)</f>
        <v/>
      </c>
      <c r="AM61" s="356" t="str">
        <f t="shared" si="6"/>
        <v/>
      </c>
    </row>
    <row r="62" spans="2:40">
      <c r="B62" s="1291">
        <v>7</v>
      </c>
      <c r="C62" s="2310"/>
      <c r="D62" s="2311"/>
      <c r="E62" s="2312"/>
      <c r="F62" s="2315"/>
      <c r="G62" s="2315"/>
      <c r="H62" s="2315"/>
      <c r="I62" s="2310"/>
      <c r="J62" s="2311"/>
      <c r="K62" s="2312"/>
      <c r="L62" s="174"/>
      <c r="M62" s="174"/>
      <c r="N62" s="174"/>
      <c r="O62" s="2538"/>
      <c r="P62" s="2539"/>
      <c r="Q62" s="2538"/>
      <c r="R62" s="2539"/>
      <c r="S62" s="2310"/>
      <c r="T62" s="2311"/>
      <c r="U62" s="2312"/>
      <c r="V62" s="2310"/>
      <c r="W62" s="2312"/>
      <c r="X62" s="2310"/>
      <c r="Y62" s="2312"/>
      <c r="AA62" s="1136"/>
      <c r="AB62" s="2310"/>
      <c r="AC62" s="2312"/>
      <c r="AD62" s="1290"/>
      <c r="AE62" s="1289"/>
      <c r="AI62" s="1288"/>
      <c r="AJ62" s="1287"/>
      <c r="AK62" s="356" t="str">
        <f>IF(AND(AI62="",AJ62=""),"",Qualifying_Index!AE100)</f>
        <v/>
      </c>
      <c r="AM62" s="356" t="str">
        <f t="shared" si="6"/>
        <v/>
      </c>
    </row>
    <row r="63" spans="2:40">
      <c r="B63" s="1291">
        <v>8</v>
      </c>
      <c r="C63" s="2310"/>
      <c r="D63" s="2311"/>
      <c r="E63" s="2312"/>
      <c r="F63" s="2315"/>
      <c r="G63" s="2315"/>
      <c r="H63" s="2315"/>
      <c r="I63" s="2310"/>
      <c r="J63" s="2311"/>
      <c r="K63" s="2312"/>
      <c r="L63" s="174"/>
      <c r="M63" s="174"/>
      <c r="N63" s="174"/>
      <c r="O63" s="2538"/>
      <c r="P63" s="2539"/>
      <c r="Q63" s="2538"/>
      <c r="R63" s="2539"/>
      <c r="S63" s="2310"/>
      <c r="T63" s="2311"/>
      <c r="U63" s="2312"/>
      <c r="V63" s="2310"/>
      <c r="W63" s="2312"/>
      <c r="X63" s="2310"/>
      <c r="Y63" s="2312"/>
      <c r="AA63" s="1136"/>
      <c r="AB63" s="2310"/>
      <c r="AC63" s="2312"/>
      <c r="AD63" s="1290"/>
      <c r="AE63" s="1289"/>
      <c r="AI63" s="1288"/>
      <c r="AJ63" s="1287"/>
      <c r="AK63" s="356" t="str">
        <f>IF(AND(AI63="",AJ63=""),"",Qualifying_Index!AE101)</f>
        <v/>
      </c>
      <c r="AM63" s="356" t="str">
        <f t="shared" si="6"/>
        <v/>
      </c>
    </row>
    <row r="64" spans="2:40">
      <c r="B64" s="1291">
        <v>9</v>
      </c>
      <c r="C64" s="2310"/>
      <c r="D64" s="2311"/>
      <c r="E64" s="2312"/>
      <c r="F64" s="2315"/>
      <c r="G64" s="2315"/>
      <c r="H64" s="2315"/>
      <c r="I64" s="2310"/>
      <c r="J64" s="2311"/>
      <c r="K64" s="2312"/>
      <c r="L64" s="174"/>
      <c r="M64" s="174"/>
      <c r="N64" s="174"/>
      <c r="O64" s="2538"/>
      <c r="P64" s="2539"/>
      <c r="Q64" s="2538"/>
      <c r="R64" s="2539"/>
      <c r="S64" s="2310"/>
      <c r="T64" s="2311"/>
      <c r="U64" s="2312"/>
      <c r="V64" s="2310"/>
      <c r="W64" s="2312"/>
      <c r="X64" s="2310"/>
      <c r="Y64" s="2312"/>
      <c r="AA64" s="1136"/>
      <c r="AB64" s="2310"/>
      <c r="AC64" s="2312"/>
      <c r="AD64" s="1290"/>
      <c r="AE64" s="1289"/>
      <c r="AI64" s="1288"/>
      <c r="AJ64" s="1287"/>
      <c r="AK64" s="356" t="str">
        <f>IF(AND(AI64="",AJ64=""),"",Qualifying_Index!AE102)</f>
        <v/>
      </c>
      <c r="AM64" s="356" t="str">
        <f t="shared" si="6"/>
        <v/>
      </c>
    </row>
    <row r="65" spans="2:39">
      <c r="B65" s="1291">
        <v>10</v>
      </c>
      <c r="C65" s="2310"/>
      <c r="D65" s="2311"/>
      <c r="E65" s="2312"/>
      <c r="F65" s="2315"/>
      <c r="G65" s="2315"/>
      <c r="H65" s="2315"/>
      <c r="I65" s="2310"/>
      <c r="J65" s="2311"/>
      <c r="K65" s="2312"/>
      <c r="L65" s="174"/>
      <c r="M65" s="174"/>
      <c r="N65" s="174"/>
      <c r="O65" s="2538"/>
      <c r="P65" s="2539"/>
      <c r="Q65" s="2538"/>
      <c r="R65" s="2539"/>
      <c r="S65" s="2310"/>
      <c r="T65" s="2311"/>
      <c r="U65" s="2312"/>
      <c r="V65" s="2310"/>
      <c r="W65" s="2312"/>
      <c r="X65" s="2310"/>
      <c r="Y65" s="2312"/>
      <c r="AA65" s="1136"/>
      <c r="AB65" s="2310"/>
      <c r="AC65" s="2312"/>
      <c r="AD65" s="1290"/>
      <c r="AE65" s="1289"/>
      <c r="AI65" s="1288"/>
      <c r="AJ65" s="1287"/>
      <c r="AK65" s="356" t="str">
        <f>IF(AND(AI65="",AJ65=""),"",Qualifying_Index!AE103)</f>
        <v/>
      </c>
      <c r="AM65" s="356" t="str">
        <f t="shared" si="6"/>
        <v/>
      </c>
    </row>
    <row r="66" spans="2:39"/>
    <row r="67" spans="2:39"/>
  </sheetData>
  <mergeCells count="177">
    <mergeCell ref="J17:P17"/>
    <mergeCell ref="T35:T36"/>
    <mergeCell ref="B15:AN15"/>
    <mergeCell ref="B31:AN31"/>
    <mergeCell ref="B51:AN51"/>
    <mergeCell ref="C17:D18"/>
    <mergeCell ref="E17:H17"/>
    <mergeCell ref="C22:D22"/>
    <mergeCell ref="C19:D19"/>
    <mergeCell ref="C20:D20"/>
    <mergeCell ref="C21:D21"/>
    <mergeCell ref="C23:D23"/>
    <mergeCell ref="C24:D24"/>
    <mergeCell ref="C25:D25"/>
    <mergeCell ref="Y35:Y36"/>
    <mergeCell ref="AK46:AL46"/>
    <mergeCell ref="O65:P65"/>
    <mergeCell ref="V64:W64"/>
    <mergeCell ref="V65:W65"/>
    <mergeCell ref="O64:P64"/>
    <mergeCell ref="I65:K65"/>
    <mergeCell ref="I55:K55"/>
    <mergeCell ref="I56:K56"/>
    <mergeCell ref="I57:K57"/>
    <mergeCell ref="I58:K58"/>
    <mergeCell ref="I59:K59"/>
    <mergeCell ref="I60:K60"/>
    <mergeCell ref="I61:K61"/>
    <mergeCell ref="I62:K62"/>
    <mergeCell ref="I63:K63"/>
    <mergeCell ref="I64:K64"/>
    <mergeCell ref="O59:P59"/>
    <mergeCell ref="O55:P55"/>
    <mergeCell ref="O57:P57"/>
    <mergeCell ref="O60:P60"/>
    <mergeCell ref="C61:E61"/>
    <mergeCell ref="C62:E62"/>
    <mergeCell ref="C63:E63"/>
    <mergeCell ref="C64:E64"/>
    <mergeCell ref="C65:E65"/>
    <mergeCell ref="F64:H64"/>
    <mergeCell ref="F65:H65"/>
    <mergeCell ref="F60:H60"/>
    <mergeCell ref="F61:H61"/>
    <mergeCell ref="F62:H62"/>
    <mergeCell ref="F63:H63"/>
    <mergeCell ref="C60:E60"/>
    <mergeCell ref="AB65:AC65"/>
    <mergeCell ref="S63:U63"/>
    <mergeCell ref="S64:U64"/>
    <mergeCell ref="Q55:R55"/>
    <mergeCell ref="Q56:R56"/>
    <mergeCell ref="Q57:R57"/>
    <mergeCell ref="Q58:R58"/>
    <mergeCell ref="S57:U57"/>
    <mergeCell ref="S58:U58"/>
    <mergeCell ref="Q59:R59"/>
    <mergeCell ref="AB64:AC64"/>
    <mergeCell ref="Q63:R63"/>
    <mergeCell ref="Q64:R64"/>
    <mergeCell ref="S55:U55"/>
    <mergeCell ref="S56:U56"/>
    <mergeCell ref="AB62:AC62"/>
    <mergeCell ref="S60:U60"/>
    <mergeCell ref="S61:U61"/>
    <mergeCell ref="X65:Y65"/>
    <mergeCell ref="Q65:R65"/>
    <mergeCell ref="S65:U65"/>
    <mergeCell ref="Q61:R61"/>
    <mergeCell ref="V54:W55"/>
    <mergeCell ref="AB63:AC63"/>
    <mergeCell ref="AM54:AM55"/>
    <mergeCell ref="AB55:AC55"/>
    <mergeCell ref="AK35:AL35"/>
    <mergeCell ref="AB58:AC58"/>
    <mergeCell ref="AI35:AI36"/>
    <mergeCell ref="AI54:AK54"/>
    <mergeCell ref="AB56:AC56"/>
    <mergeCell ref="AB57:AC57"/>
    <mergeCell ref="AM37:AN46"/>
    <mergeCell ref="AA35:AG35"/>
    <mergeCell ref="AK36:AL36"/>
    <mergeCell ref="AK37:AL37"/>
    <mergeCell ref="AK38:AL38"/>
    <mergeCell ref="AK39:AL39"/>
    <mergeCell ref="AK40:AL40"/>
    <mergeCell ref="AK41:AL41"/>
    <mergeCell ref="AK42:AL42"/>
    <mergeCell ref="AK43:AL43"/>
    <mergeCell ref="AK44:AL44"/>
    <mergeCell ref="AK45:AL45"/>
    <mergeCell ref="AA54:AE54"/>
    <mergeCell ref="F56:H56"/>
    <mergeCell ref="F57:H57"/>
    <mergeCell ref="F58:H58"/>
    <mergeCell ref="F59:H59"/>
    <mergeCell ref="S59:U59"/>
    <mergeCell ref="O58:P58"/>
    <mergeCell ref="W35:X35"/>
    <mergeCell ref="C35:C36"/>
    <mergeCell ref="I35:I36"/>
    <mergeCell ref="C56:E56"/>
    <mergeCell ref="C57:E57"/>
    <mergeCell ref="C58:E58"/>
    <mergeCell ref="C59:E59"/>
    <mergeCell ref="K35:K36"/>
    <mergeCell ref="L35:L36"/>
    <mergeCell ref="J35:J36"/>
    <mergeCell ref="X56:Y56"/>
    <mergeCell ref="X54:Y55"/>
    <mergeCell ref="X57:Y57"/>
    <mergeCell ref="X58:Y58"/>
    <mergeCell ref="U35:V35"/>
    <mergeCell ref="O54:U54"/>
    <mergeCell ref="O35:P35"/>
    <mergeCell ref="S35:S36"/>
    <mergeCell ref="X59:Y59"/>
    <mergeCell ref="V56:W56"/>
    <mergeCell ref="V57:W57"/>
    <mergeCell ref="V58:W58"/>
    <mergeCell ref="V59:W59"/>
    <mergeCell ref="O56:P56"/>
    <mergeCell ref="AB61:AC61"/>
    <mergeCell ref="V63:W63"/>
    <mergeCell ref="AB60:AC60"/>
    <mergeCell ref="V60:W60"/>
    <mergeCell ref="AB59:AC59"/>
    <mergeCell ref="V61:W61"/>
    <mergeCell ref="V62:W62"/>
    <mergeCell ref="X64:Y64"/>
    <mergeCell ref="X60:Y60"/>
    <mergeCell ref="Q60:R60"/>
    <mergeCell ref="X61:Y61"/>
    <mergeCell ref="X62:Y62"/>
    <mergeCell ref="X63:Y63"/>
    <mergeCell ref="O62:P62"/>
    <mergeCell ref="O63:P63"/>
    <mergeCell ref="O61:P61"/>
    <mergeCell ref="Q62:R62"/>
    <mergeCell ref="S62:U62"/>
    <mergeCell ref="B54:B55"/>
    <mergeCell ref="D41:F41"/>
    <mergeCell ref="D46:F46"/>
    <mergeCell ref="G44:H44"/>
    <mergeCell ref="D44:F44"/>
    <mergeCell ref="D45:F45"/>
    <mergeCell ref="D42:F42"/>
    <mergeCell ref="G42:H42"/>
    <mergeCell ref="G46:H46"/>
    <mergeCell ref="B49:B50"/>
    <mergeCell ref="C55:E55"/>
    <mergeCell ref="C54:K54"/>
    <mergeCell ref="F55:H55"/>
    <mergeCell ref="B4:V4"/>
    <mergeCell ref="B5:W5"/>
    <mergeCell ref="B35:B36"/>
    <mergeCell ref="D43:F43"/>
    <mergeCell ref="G35:H36"/>
    <mergeCell ref="G43:H43"/>
    <mergeCell ref="G45:H45"/>
    <mergeCell ref="D35:F36"/>
    <mergeCell ref="C8:S8"/>
    <mergeCell ref="C9:S9"/>
    <mergeCell ref="C10:S10"/>
    <mergeCell ref="C11:S11"/>
    <mergeCell ref="C12:S12"/>
    <mergeCell ref="C13:S13"/>
    <mergeCell ref="G37:H37"/>
    <mergeCell ref="G38:H38"/>
    <mergeCell ref="G41:H41"/>
    <mergeCell ref="D40:F40"/>
    <mergeCell ref="Q35:R35"/>
    <mergeCell ref="G40:H40"/>
    <mergeCell ref="D39:F39"/>
    <mergeCell ref="D38:F38"/>
    <mergeCell ref="D37:F37"/>
    <mergeCell ref="G39:H39"/>
  </mergeCells>
  <conditionalFormatting sqref="Q37:R46 W37:X46">
    <cfRule type="cellIs" dxfId="56" priority="1" stopIfTrue="1" operator="equal">
      <formula>"Not Required"</formula>
    </cfRule>
  </conditionalFormatting>
  <dataValidations count="14">
    <dataValidation type="decimal" allowBlank="1" showInputMessage="1" showErrorMessage="1" error="Please enter a number, or leave blank." sqref="AE37:AE46" xr:uid="{00000000-0002-0000-0600-00000C000000}">
      <formula1>0</formula1>
      <formula2>150</formula2>
    </dataValidation>
    <dataValidation type="decimal" allowBlank="1" showInputMessage="1" showErrorMessage="1" error="Please enter a number, or leave blank." sqref="AC37:AD46" xr:uid="{00000000-0002-0000-0600-00000B000000}">
      <formula1>1</formula1>
      <formula2>150</formula2>
    </dataValidation>
    <dataValidation type="list" allowBlank="1" showInputMessage="1" showErrorMessage="1" sqref="K37:K46" xr:uid="{00000000-0002-0000-0600-00000A000000}">
      <formula1>Pump_Type</formula1>
    </dataValidation>
    <dataValidation type="list" allowBlank="1" showInputMessage="1" showErrorMessage="1" sqref="AA37:AA46" xr:uid="{00000000-0002-0000-0600-000009000000}">
      <formula1>OFFSET(Start_Existing_Heating,0,MATCH(D37,Heating_Install_Type,0)-1,12)</formula1>
    </dataValidation>
    <dataValidation type="list" allowBlank="1" showInputMessage="1" showErrorMessage="1" sqref="AB37:AB46" xr:uid="{00000000-0002-0000-0600-000008000000}">
      <formula1>OFFSET(Start_Existing_Cooling,0,MATCH(D37,Install_Type,0)-1,7)</formula1>
    </dataValidation>
    <dataValidation type="list" allowBlank="1" showInputMessage="1" showErrorMessage="1" sqref="J37:J46" xr:uid="{00000000-0002-0000-0600-000007000000}">
      <formula1>Stages</formula1>
    </dataValidation>
    <dataValidation type="decimal" allowBlank="1" showInputMessage="1" showErrorMessage="1" error="This value must be within the appropriate efficiency range" sqref="U37:U46" xr:uid="{00000000-0002-0000-0600-000005000000}">
      <formula1>5</formula1>
      <formula2>150</formula2>
    </dataValidation>
    <dataValidation type="decimal" allowBlank="1" showInputMessage="1" showErrorMessage="1" error="This value must be within the appropriate efficiency range" sqref="V37:V46" xr:uid="{00000000-0002-0000-0600-000004000000}">
      <formula1>1</formula1>
      <formula2>150</formula2>
    </dataValidation>
    <dataValidation type="list" allowBlank="1" showInputMessage="1" showErrorMessage="1" sqref="N49" xr:uid="{00000000-0002-0000-0600-000003000000}">
      <formula1>Use</formula1>
    </dataValidation>
    <dataValidation type="list" allowBlank="1" showInputMessage="1" showErrorMessage="1" sqref="D37:D46" xr:uid="{00000000-0002-0000-0600-000002000000}">
      <formula1>Replacement_Type</formula1>
    </dataValidation>
    <dataValidation type="list" allowBlank="1" showInputMessage="1" showErrorMessage="1" sqref="U34 N34 V56:V65 X56:X65 AA56:AA65" xr:uid="{00000000-0002-0000-0600-000001000000}">
      <formula1>YES_NO</formula1>
    </dataValidation>
    <dataValidation type="list" allowBlank="1" showInputMessage="1" showErrorMessage="1" sqref="G37:H46" xr:uid="{00000000-0002-0000-0600-000000000000}">
      <formula1>Equipment_Type</formula1>
    </dataValidation>
    <dataValidation type="whole" allowBlank="1" showInputMessage="1" showErrorMessage="1" sqref="I37:I46" xr:uid="{57315C5A-D978-40C3-82F3-D77C25D13B37}">
      <formula1>1</formula1>
      <formula2>100</formula2>
    </dataValidation>
    <dataValidation type="whole" allowBlank="1" showInputMessage="1" showErrorMessage="1" errorTitle="Size Restriction" error="Units exceeding 10 tons must be submitted under the Custom Rebate Program" sqref="O37:P46" xr:uid="{A111C36D-462F-4C6E-B0F8-B7A527D08DB1}">
      <formula1>0</formula1>
      <formula2>120000</formula2>
    </dataValidation>
  </dataValidations>
  <pageMargins left="0.7" right="0.7" top="0.75" bottom="0.75" header="0.3" footer="0.3"/>
  <pageSetup scale="41"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323585" r:id="rId4" name="CommandButton1">
          <controlPr defaultSize="0" autoLine="0" r:id="rId5">
            <anchor moveWithCells="1">
              <from>
                <xdr:col>36</xdr:col>
                <xdr:colOff>419100</xdr:colOff>
                <xdr:row>32</xdr:row>
                <xdr:rowOff>0</xdr:rowOff>
              </from>
              <to>
                <xdr:col>37</xdr:col>
                <xdr:colOff>939800</xdr:colOff>
                <xdr:row>33</xdr:row>
                <xdr:rowOff>107950</xdr:rowOff>
              </to>
            </anchor>
          </controlPr>
        </control>
      </mc:Choice>
      <mc:Fallback>
        <control shapeId="323585" r:id="rId4" name="CommandButton1"/>
      </mc:Fallback>
    </mc:AlternateContent>
  </controls>
  <extLst>
    <ext xmlns:x14="http://schemas.microsoft.com/office/spreadsheetml/2009/9/main" uri="{CCE6A557-97BC-4b89-ADB6-D9C93CAAB3DF}">
      <x14:dataValidations xmlns:xm="http://schemas.microsoft.com/office/excel/2006/main" count="1">
        <x14:dataValidation type="list" allowBlank="1" showInputMessage="1" showErrorMessage="1" xr:uid="{46564B14-C080-4621-923F-726A0256FB9B}">
          <x14:formula1>
            <xm:f>References!$BQ$27:$BQ$28</xm:f>
          </x14:formula1>
          <xm:sqref>C37:C46</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EFFE4C-6621-424F-82C7-1D70770E07E5}">
  <sheetPr codeName="Sheet45">
    <tabColor rgb="FFF85208"/>
  </sheetPr>
  <dimension ref="A1:AN68"/>
  <sheetViews>
    <sheetView showGridLines="0" zoomScale="60" zoomScaleNormal="60" workbookViewId="0">
      <selection activeCell="O61" sqref="O61"/>
    </sheetView>
  </sheetViews>
  <sheetFormatPr defaultColWidth="0" defaultRowHeight="0" customHeight="1" zeroHeight="1"/>
  <cols>
    <col min="1" max="1" width="3.7265625" style="42" customWidth="1"/>
    <col min="2" max="2" width="6.1796875" style="42" customWidth="1"/>
    <col min="3" max="3" width="22.26953125" style="42" customWidth="1"/>
    <col min="4" max="4" width="12.7265625" style="42" customWidth="1"/>
    <col min="5" max="5" width="30.54296875" style="42" customWidth="1"/>
    <col min="6" max="7" width="15.54296875" style="42" customWidth="1"/>
    <col min="8" max="8" width="23.453125" style="42" customWidth="1"/>
    <col min="9" max="9" width="17.453125" style="42" customWidth="1"/>
    <col min="10" max="10" width="15.1796875" style="42" customWidth="1"/>
    <col min="11" max="11" width="16.1796875" style="42" customWidth="1"/>
    <col min="12" max="13" width="19.54296875" style="42" hidden="1" customWidth="1"/>
    <col min="14" max="14" width="21.453125" style="42" customWidth="1"/>
    <col min="15" max="15" width="19.453125" style="42" customWidth="1"/>
    <col min="16" max="16" width="22.26953125" style="42" customWidth="1"/>
    <col min="17" max="17" width="5.81640625" style="42" customWidth="1"/>
    <col min="18" max="21" width="16.81640625" style="42" customWidth="1"/>
    <col min="22" max="23" width="17" style="42" hidden="1" customWidth="1"/>
    <col min="24" max="24" width="8.1796875" style="42" customWidth="1"/>
    <col min="25" max="25" width="15.7265625" style="42" customWidth="1"/>
    <col min="26" max="26" width="7.453125" style="42" customWidth="1"/>
    <col min="27" max="27" width="16.81640625" style="42" customWidth="1"/>
    <col min="28" max="28" width="16.81640625" style="42" hidden="1" customWidth="1"/>
    <col min="29" max="29" width="17.453125" style="42" customWidth="1"/>
    <col min="30" max="30" width="9.1796875" style="42" customWidth="1"/>
    <col min="31" max="32" width="0" style="42" hidden="1" customWidth="1"/>
    <col min="33" max="16384" width="9.1796875" style="42" hidden="1"/>
  </cols>
  <sheetData>
    <row r="1" spans="1:40" ht="60" customHeight="1">
      <c r="A1" s="1906"/>
      <c r="B1" s="1921" t="str">
        <f>Development!A3&amp;" Geothermal Rebate Program"</f>
        <v>2024 Geothermal Rebate Program</v>
      </c>
      <c r="C1" s="1921"/>
      <c r="D1" s="1922"/>
      <c r="E1" s="1922"/>
      <c r="F1" s="1922"/>
      <c r="G1" s="1922"/>
      <c r="H1" s="1922"/>
      <c r="I1" s="1922"/>
      <c r="J1" s="1922"/>
      <c r="K1" s="1922"/>
      <c r="L1" s="1922"/>
      <c r="M1" s="1922"/>
      <c r="N1" s="1922"/>
      <c r="O1" s="1924"/>
      <c r="P1" s="350"/>
      <c r="Q1" s="350"/>
      <c r="R1" s="10"/>
      <c r="S1" s="10"/>
      <c r="T1" s="10"/>
      <c r="U1" s="10"/>
      <c r="V1" s="10"/>
      <c r="W1" s="10"/>
      <c r="X1" s="10"/>
      <c r="Y1" s="10"/>
      <c r="Z1" s="10"/>
    </row>
    <row r="2" spans="1:40" ht="22.5" customHeight="1">
      <c r="A2" s="1906"/>
      <c r="B2" s="1923" t="str">
        <f>"Geothermal Eligibility Tables &amp; Worksheet, Version "&amp;Version</f>
        <v>Geothermal Eligibility Tables &amp; Worksheet, Version 2.0</v>
      </c>
      <c r="C2" s="1923"/>
      <c r="D2" s="1924"/>
      <c r="E2" s="1924"/>
      <c r="F2" s="1924"/>
      <c r="G2" s="1924"/>
      <c r="H2" s="1924"/>
      <c r="I2" s="1924"/>
      <c r="J2" s="1924"/>
      <c r="K2" s="1924"/>
      <c r="L2" s="1924"/>
      <c r="M2" s="1924"/>
      <c r="N2" s="1924"/>
      <c r="O2" s="1924"/>
      <c r="P2" s="11"/>
      <c r="Q2" s="11"/>
      <c r="R2" s="1564"/>
      <c r="S2" s="1564"/>
      <c r="T2" s="1564"/>
      <c r="U2" s="1564"/>
      <c r="V2" s="1564"/>
      <c r="W2" s="1564"/>
      <c r="X2" s="1564"/>
      <c r="Y2" s="1564"/>
      <c r="Z2" s="1564"/>
      <c r="AA2" s="1564"/>
      <c r="AB2" s="1564"/>
      <c r="AC2" s="1564"/>
      <c r="AD2" s="1564"/>
    </row>
    <row r="3" spans="1:40" s="1328" customFormat="1" ht="7.5" customHeight="1">
      <c r="B3" s="1330"/>
      <c r="C3" s="1330"/>
      <c r="D3" s="1330"/>
      <c r="E3" s="1330"/>
      <c r="F3" s="1330"/>
      <c r="G3" s="1330"/>
      <c r="H3" s="1330"/>
      <c r="I3" s="1330"/>
      <c r="J3" s="1330"/>
      <c r="K3" s="1330"/>
      <c r="L3" s="1330"/>
      <c r="M3" s="1330"/>
      <c r="N3" s="1330"/>
      <c r="O3" s="1330"/>
      <c r="P3" s="1330"/>
      <c r="Q3" s="1330"/>
      <c r="R3" s="1329"/>
      <c r="S3" s="1329"/>
      <c r="T3" s="1329"/>
      <c r="U3" s="1329"/>
      <c r="V3" s="1329"/>
      <c r="W3" s="1329"/>
      <c r="X3" s="1329"/>
      <c r="Y3" s="1329"/>
      <c r="Z3" s="1329"/>
      <c r="AA3" s="1329"/>
      <c r="AB3" s="1329"/>
      <c r="AC3" s="1329"/>
      <c r="AD3" s="1329"/>
    </row>
    <row r="4" spans="1:40" ht="18">
      <c r="B4" s="1327" t="s">
        <v>4363</v>
      </c>
      <c r="C4" s="1327"/>
      <c r="D4" s="1327"/>
      <c r="E4" s="1327"/>
      <c r="F4" s="1327"/>
      <c r="G4" s="1327"/>
      <c r="H4" s="1327"/>
      <c r="I4" s="1327"/>
      <c r="J4" s="1327"/>
      <c r="K4" s="1327"/>
      <c r="L4" s="1327"/>
      <c r="M4" s="1327"/>
      <c r="N4" s="1327"/>
      <c r="O4" s="1327"/>
      <c r="P4" s="1327"/>
      <c r="Q4" s="1327"/>
      <c r="R4" s="1327"/>
      <c r="S4" s="1327"/>
      <c r="T4" s="1327"/>
      <c r="U4" s="1327"/>
      <c r="V4" s="1327"/>
      <c r="W4" s="1327"/>
      <c r="X4" s="1327"/>
      <c r="Y4" s="1327"/>
      <c r="Z4" s="1327"/>
    </row>
    <row r="5" spans="1:40" ht="18">
      <c r="B5" s="1327" t="s">
        <v>466</v>
      </c>
      <c r="C5" s="1327"/>
      <c r="D5" s="1327"/>
      <c r="E5" s="1327"/>
      <c r="F5" s="1327"/>
      <c r="G5" s="1327"/>
      <c r="H5" s="1327"/>
      <c r="I5" s="1327"/>
      <c r="J5" s="1327"/>
      <c r="K5" s="1327"/>
      <c r="L5" s="1327"/>
      <c r="M5" s="1327"/>
      <c r="N5" s="1327"/>
      <c r="O5" s="1327"/>
      <c r="P5" s="1327"/>
      <c r="Q5" s="1327"/>
      <c r="R5" s="1327"/>
      <c r="S5" s="1327"/>
      <c r="T5" s="1327"/>
      <c r="U5" s="1327"/>
      <c r="V5" s="1327"/>
      <c r="W5" s="1327"/>
      <c r="X5" s="1327"/>
      <c r="Y5" s="1327"/>
      <c r="Z5" s="1327"/>
    </row>
    <row r="6" spans="1:40" ht="7.5" customHeight="1">
      <c r="B6" s="1326"/>
      <c r="C6" s="1326"/>
      <c r="D6" s="1326"/>
      <c r="E6" s="1326"/>
      <c r="F6" s="1326"/>
      <c r="G6" s="1326"/>
      <c r="H6" s="1326"/>
      <c r="I6" s="1326"/>
      <c r="J6" s="1326"/>
      <c r="K6" s="1326"/>
      <c r="L6" s="1326"/>
      <c r="M6" s="1326"/>
      <c r="N6" s="1326"/>
      <c r="O6" s="1326"/>
      <c r="P6" s="1326"/>
      <c r="Q6" s="1326"/>
      <c r="R6" s="1326"/>
      <c r="S6" s="1326"/>
      <c r="T6" s="1326"/>
      <c r="U6" s="1326"/>
      <c r="V6" s="1326"/>
      <c r="W6" s="1326"/>
      <c r="X6" s="1326"/>
      <c r="Y6" s="1326"/>
      <c r="Z6" s="1326"/>
    </row>
    <row r="7" spans="1:40" s="53" customFormat="1" ht="27" customHeight="1">
      <c r="B7" s="1325" t="s">
        <v>29</v>
      </c>
      <c r="C7" s="1325"/>
      <c r="D7" s="1325"/>
      <c r="E7" s="1325"/>
      <c r="F7" s="1325"/>
      <c r="G7" s="1325"/>
      <c r="H7" s="1325"/>
      <c r="I7" s="1325"/>
      <c r="J7" s="1325"/>
      <c r="K7" s="1325"/>
      <c r="L7" s="1325"/>
      <c r="M7" s="1325"/>
      <c r="N7" s="1315"/>
      <c r="O7" s="1315"/>
      <c r="P7" s="1315"/>
      <c r="Q7" s="1315"/>
      <c r="R7" s="1315"/>
      <c r="S7" s="1315"/>
      <c r="T7" s="1315"/>
      <c r="U7" s="1315"/>
      <c r="V7" s="1315"/>
      <c r="W7" s="1315"/>
      <c r="X7" s="1315"/>
      <c r="Y7" s="1315"/>
      <c r="Z7" s="1315"/>
    </row>
    <row r="8" spans="1:40" ht="30" customHeight="1">
      <c r="B8" s="1324" t="s">
        <v>23</v>
      </c>
      <c r="C8" s="2521" t="s">
        <v>4362</v>
      </c>
      <c r="D8" s="2521"/>
      <c r="E8" s="2521"/>
      <c r="F8" s="2521"/>
      <c r="G8" s="2521"/>
      <c r="H8" s="2521"/>
      <c r="I8" s="2521"/>
      <c r="J8" s="2521"/>
      <c r="K8" s="2521"/>
      <c r="L8" s="2521"/>
      <c r="M8" s="2521"/>
      <c r="N8" s="2521"/>
      <c r="O8" s="2522"/>
      <c r="AA8" s="1341"/>
    </row>
    <row r="9" spans="1:40" ht="30" customHeight="1">
      <c r="B9" s="1323" t="s">
        <v>24</v>
      </c>
      <c r="C9" s="2523" t="s">
        <v>4361</v>
      </c>
      <c r="D9" s="2523"/>
      <c r="E9" s="2523"/>
      <c r="F9" s="2523"/>
      <c r="G9" s="2523"/>
      <c r="H9" s="2523"/>
      <c r="I9" s="2523"/>
      <c r="J9" s="2523"/>
      <c r="K9" s="2523"/>
      <c r="L9" s="2523"/>
      <c r="M9" s="2523"/>
      <c r="N9" s="2523"/>
      <c r="O9" s="2524"/>
    </row>
    <row r="10" spans="1:40" ht="37.5" customHeight="1">
      <c r="B10" s="1323" t="s">
        <v>25</v>
      </c>
      <c r="C10" s="2523" t="s">
        <v>4372</v>
      </c>
      <c r="D10" s="2523"/>
      <c r="E10" s="2523"/>
      <c r="F10" s="2523"/>
      <c r="G10" s="2523"/>
      <c r="H10" s="2523"/>
      <c r="I10" s="2523"/>
      <c r="J10" s="2523"/>
      <c r="K10" s="2523"/>
      <c r="L10" s="2523"/>
      <c r="M10" s="2523"/>
      <c r="N10" s="2523"/>
      <c r="O10" s="2524"/>
    </row>
    <row r="11" spans="1:40" ht="30" customHeight="1">
      <c r="B11" s="1323" t="s">
        <v>26</v>
      </c>
      <c r="C11" s="2523" t="s">
        <v>491</v>
      </c>
      <c r="D11" s="2523"/>
      <c r="E11" s="2523"/>
      <c r="F11" s="2523"/>
      <c r="G11" s="2523"/>
      <c r="H11" s="2523"/>
      <c r="I11" s="2523"/>
      <c r="J11" s="2523"/>
      <c r="K11" s="2523"/>
      <c r="L11" s="2523"/>
      <c r="M11" s="2523"/>
      <c r="N11" s="2523"/>
      <c r="O11" s="2524"/>
      <c r="Q11" s="1320"/>
      <c r="R11" s="1320"/>
      <c r="S11" s="1320"/>
      <c r="T11" s="1320"/>
      <c r="U11" s="1320"/>
      <c r="V11" s="1320"/>
      <c r="W11" s="1320"/>
      <c r="X11" s="1320"/>
      <c r="Y11" s="1320"/>
      <c r="Z11" s="1320"/>
    </row>
    <row r="12" spans="1:40" ht="30" customHeight="1">
      <c r="B12" s="1323" t="s">
        <v>27</v>
      </c>
      <c r="C12" s="2523" t="s">
        <v>4371</v>
      </c>
      <c r="D12" s="2523"/>
      <c r="E12" s="2523"/>
      <c r="F12" s="2523"/>
      <c r="G12" s="2523"/>
      <c r="H12" s="2523"/>
      <c r="I12" s="2523"/>
      <c r="J12" s="2523"/>
      <c r="K12" s="2523"/>
      <c r="L12" s="2523"/>
      <c r="M12" s="2523"/>
      <c r="N12" s="2523"/>
      <c r="O12" s="2524"/>
      <c r="Q12" s="1320"/>
      <c r="R12" s="1320"/>
      <c r="S12" s="1320"/>
      <c r="T12" s="1320"/>
      <c r="U12" s="1320"/>
      <c r="V12" s="1320"/>
      <c r="W12" s="1320"/>
      <c r="X12" s="1320"/>
      <c r="Y12" s="1320"/>
      <c r="Z12" s="1320"/>
    </row>
    <row r="13" spans="1:40" ht="30" customHeight="1">
      <c r="B13" s="1322" t="s">
        <v>28</v>
      </c>
      <c r="C13" s="2525" t="s">
        <v>4358</v>
      </c>
      <c r="D13" s="2525"/>
      <c r="E13" s="2525"/>
      <c r="F13" s="2525"/>
      <c r="G13" s="2525"/>
      <c r="H13" s="2525"/>
      <c r="I13" s="2525"/>
      <c r="J13" s="2525"/>
      <c r="K13" s="2525"/>
      <c r="L13" s="2525"/>
      <c r="M13" s="2525"/>
      <c r="N13" s="2525"/>
      <c r="O13" s="2526"/>
      <c r="Q13" s="1320"/>
      <c r="R13" s="1320"/>
      <c r="S13" s="1320"/>
      <c r="T13" s="1320"/>
      <c r="U13" s="1320"/>
      <c r="V13" s="1320"/>
      <c r="W13" s="1320"/>
      <c r="X13" s="1320"/>
      <c r="Y13" s="1320"/>
      <c r="Z13" s="1320"/>
    </row>
    <row r="14" spans="1:40" ht="30" customHeight="1">
      <c r="B14" s="1319"/>
      <c r="C14" s="1319"/>
      <c r="D14" s="1321"/>
      <c r="E14" s="1321"/>
      <c r="F14" s="1321"/>
      <c r="G14" s="1321"/>
      <c r="H14" s="1321"/>
      <c r="I14" s="1321"/>
      <c r="J14" s="1321"/>
      <c r="K14" s="1321"/>
      <c r="L14" s="1321"/>
      <c r="M14" s="1321"/>
      <c r="N14" s="1321"/>
      <c r="O14" s="1321"/>
      <c r="P14" s="1321"/>
      <c r="Q14" s="1320"/>
      <c r="R14" s="1320"/>
      <c r="S14" s="1320"/>
      <c r="T14" s="1320"/>
      <c r="U14" s="1320"/>
      <c r="V14" s="1320"/>
      <c r="W14" s="1320"/>
      <c r="X14" s="1320"/>
      <c r="Y14"/>
      <c r="Z14" s="1320"/>
    </row>
    <row r="15" spans="1:40" ht="23">
      <c r="B15" s="2557" t="s">
        <v>467</v>
      </c>
      <c r="C15" s="2557"/>
      <c r="D15" s="2557"/>
      <c r="E15" s="2557"/>
      <c r="F15" s="2557"/>
      <c r="G15" s="2557"/>
      <c r="H15" s="2557"/>
      <c r="I15" s="2557"/>
      <c r="J15" s="2557"/>
      <c r="K15" s="2557"/>
      <c r="L15" s="2557"/>
      <c r="M15" s="2557"/>
      <c r="N15" s="2557"/>
      <c r="O15" s="2557"/>
      <c r="P15" s="2557"/>
      <c r="Q15" s="2557"/>
      <c r="R15" s="2557"/>
      <c r="S15" s="2557"/>
      <c r="T15" s="2557"/>
      <c r="U15" s="2557"/>
      <c r="V15" s="2557"/>
      <c r="W15" s="2557"/>
      <c r="X15" s="2557"/>
      <c r="Y15" s="2557"/>
      <c r="Z15" s="2557"/>
      <c r="AA15" s="2557"/>
      <c r="AB15" s="2557"/>
      <c r="AC15" s="2557"/>
      <c r="AD15" s="2557"/>
      <c r="AE15" s="2557"/>
      <c r="AF15" s="2557"/>
      <c r="AG15" s="2557"/>
      <c r="AH15" s="2557"/>
      <c r="AI15" s="2557"/>
      <c r="AJ15" s="2557"/>
      <c r="AK15" s="2557"/>
      <c r="AL15" s="2557"/>
      <c r="AM15" s="2557"/>
      <c r="AN15" s="2557"/>
    </row>
    <row r="16" spans="1:40" ht="22.5">
      <c r="B16" s="1319"/>
      <c r="C16" s="1319"/>
      <c r="D16" s="1319"/>
      <c r="E16" s="1319"/>
      <c r="F16" s="1319"/>
      <c r="G16" s="1319"/>
      <c r="H16" s="1319"/>
      <c r="I16" s="1319"/>
      <c r="J16" s="1319"/>
      <c r="K16" s="1319"/>
      <c r="L16" s="1319"/>
      <c r="M16" s="1319"/>
      <c r="N16" s="1318"/>
      <c r="O16" s="1318"/>
      <c r="P16" s="1318"/>
      <c r="Q16" s="1318"/>
      <c r="V16" s="1318"/>
      <c r="W16" s="1318"/>
      <c r="X16" s="1318"/>
      <c r="Y16" s="1318"/>
      <c r="Z16" s="1318"/>
      <c r="AA16" s="1318"/>
      <c r="AB16" s="1318"/>
      <c r="AC16" s="1318"/>
      <c r="AD16" s="1318"/>
    </row>
    <row r="17" spans="2:40" ht="35.15" customHeight="1">
      <c r="B17" s="1315"/>
      <c r="C17" s="2558" t="s">
        <v>21</v>
      </c>
      <c r="D17" s="2558"/>
      <c r="E17" s="1939" t="s">
        <v>5538</v>
      </c>
      <c r="F17" s="2559" t="s">
        <v>293</v>
      </c>
      <c r="G17" s="2559"/>
      <c r="H17" s="1315"/>
      <c r="I17" s="1315"/>
      <c r="J17" s="1315"/>
      <c r="K17" s="1315"/>
      <c r="L17" s="1315"/>
      <c r="M17" s="1315"/>
      <c r="N17" s="1315"/>
      <c r="O17" s="1315"/>
      <c r="P17" s="1315"/>
      <c r="Q17" s="1315"/>
      <c r="V17" s="1315"/>
      <c r="W17" s="1315"/>
      <c r="X17" s="1315"/>
      <c r="Y17" s="1315"/>
      <c r="Z17" s="1315"/>
    </row>
    <row r="18" spans="2:40" ht="38.15" customHeight="1">
      <c r="B18" s="1315"/>
      <c r="C18" s="2558"/>
      <c r="D18" s="2558"/>
      <c r="E18" s="1916" t="s">
        <v>5539</v>
      </c>
      <c r="F18" s="1916" t="s">
        <v>5533</v>
      </c>
      <c r="G18" s="1916" t="s">
        <v>5535</v>
      </c>
      <c r="H18" s="1315"/>
      <c r="I18" s="1315"/>
      <c r="J18" s="1315"/>
      <c r="K18" s="1315"/>
      <c r="L18" s="1315"/>
      <c r="M18" s="1315"/>
      <c r="N18" s="1315"/>
      <c r="O18" s="1315"/>
      <c r="P18" s="1315"/>
      <c r="Q18" s="1315"/>
      <c r="V18" s="1315"/>
      <c r="W18" s="1315"/>
      <c r="X18" s="1315"/>
      <c r="Y18" s="1315"/>
      <c r="Z18" s="1315"/>
    </row>
    <row r="19" spans="2:40" ht="22.5" customHeight="1">
      <c r="B19" s="1315"/>
      <c r="C19" s="2562" t="s">
        <v>5527</v>
      </c>
      <c r="D19" s="2562"/>
      <c r="E19" s="1940">
        <v>3.1</v>
      </c>
      <c r="F19" s="1941">
        <v>1000</v>
      </c>
      <c r="G19" s="1941">
        <v>500</v>
      </c>
      <c r="H19" s="1315"/>
      <c r="I19" s="1315"/>
      <c r="J19" s="1315"/>
      <c r="K19" s="1315"/>
      <c r="L19" s="1315"/>
      <c r="M19" s="1315"/>
      <c r="N19" s="1315"/>
      <c r="O19" s="1315"/>
      <c r="P19" s="1315"/>
      <c r="Q19" s="1315"/>
      <c r="V19" s="1315"/>
      <c r="W19" s="1315"/>
      <c r="X19" s="1315"/>
      <c r="Y19" s="1315"/>
      <c r="Z19" s="1315"/>
    </row>
    <row r="20" spans="2:40" ht="22.5">
      <c r="B20" s="1315"/>
      <c r="C20" s="2562" t="s">
        <v>5528</v>
      </c>
      <c r="D20" s="2562"/>
      <c r="E20" s="1940">
        <v>3.5</v>
      </c>
      <c r="F20" s="1941">
        <v>1000</v>
      </c>
      <c r="G20" s="1941">
        <v>500</v>
      </c>
      <c r="H20" s="1315"/>
      <c r="I20" s="1315"/>
      <c r="J20" s="1315"/>
      <c r="K20" s="1315"/>
      <c r="L20" s="1315"/>
      <c r="M20" s="1315"/>
      <c r="N20" s="1315"/>
      <c r="O20" s="1315"/>
      <c r="P20" s="1315"/>
      <c r="Q20" s="1315"/>
      <c r="V20" s="1315"/>
      <c r="W20" s="1315"/>
      <c r="X20" s="1315"/>
      <c r="Y20" s="1315"/>
      <c r="Z20" s="1315"/>
    </row>
    <row r="21" spans="2:40" ht="22.5">
      <c r="B21" s="1315"/>
      <c r="C21" s="1315"/>
      <c r="D21" s="1315"/>
      <c r="E21" s="1315"/>
      <c r="F21" s="1315"/>
      <c r="G21" s="1315"/>
      <c r="H21" s="1315"/>
      <c r="I21" s="1315"/>
      <c r="J21" s="1315"/>
      <c r="K21" s="1315"/>
      <c r="L21" s="1315"/>
      <c r="M21" s="1315"/>
      <c r="N21" s="1315"/>
      <c r="O21" s="1315"/>
      <c r="P21" s="1315"/>
      <c r="Q21" s="1315"/>
      <c r="V21" s="1315"/>
      <c r="W21" s="1315"/>
      <c r="X21" s="1315"/>
      <c r="Y21" s="1315"/>
      <c r="Z21" s="1315"/>
    </row>
    <row r="22" spans="2:40" ht="22.5">
      <c r="B22" s="2561" t="s">
        <v>4515</v>
      </c>
      <c r="C22" s="2561"/>
      <c r="D22" s="2561"/>
      <c r="E22" s="2561"/>
      <c r="F22" s="2561"/>
      <c r="G22" s="2561"/>
      <c r="H22" s="1315"/>
      <c r="I22" s="1315"/>
      <c r="J22" s="1315"/>
      <c r="K22" s="1315"/>
      <c r="L22" s="1315"/>
      <c r="M22" s="1315"/>
      <c r="N22" s="1315"/>
      <c r="O22" s="1315"/>
      <c r="P22" s="1315"/>
      <c r="Q22" s="1315"/>
      <c r="V22" s="1315"/>
      <c r="W22" s="1315"/>
      <c r="X22" s="1315"/>
      <c r="Y22" s="1315"/>
      <c r="Z22" s="1315"/>
    </row>
    <row r="23" spans="2:40" ht="22.5">
      <c r="E23" s="162"/>
      <c r="F23" s="1315"/>
      <c r="G23" s="1315"/>
      <c r="H23" s="1315"/>
      <c r="I23" s="1315"/>
      <c r="J23" s="1315"/>
      <c r="K23" s="1315"/>
      <c r="L23" s="1315"/>
      <c r="M23" s="1315"/>
      <c r="N23" s="1315"/>
      <c r="O23" s="1315"/>
      <c r="P23" s="1315"/>
      <c r="Q23" s="1315"/>
      <c r="R23" s="1315"/>
      <c r="S23" s="1315"/>
      <c r="V23" s="1315"/>
      <c r="W23" s="1315"/>
      <c r="X23" s="1315"/>
      <c r="Y23" s="1315"/>
      <c r="Z23" s="1315"/>
    </row>
    <row r="24" spans="2:40" ht="23">
      <c r="B24" s="2557" t="s">
        <v>468</v>
      </c>
      <c r="C24" s="2557"/>
      <c r="D24" s="2557"/>
      <c r="E24" s="2557"/>
      <c r="F24" s="2557"/>
      <c r="G24" s="2557"/>
      <c r="H24" s="2557"/>
      <c r="I24" s="2557"/>
      <c r="J24" s="2557"/>
      <c r="K24" s="2557"/>
      <c r="L24" s="2557"/>
      <c r="M24" s="2557"/>
      <c r="N24" s="2557"/>
      <c r="O24" s="2557"/>
      <c r="P24" s="2557"/>
      <c r="Q24" s="2557"/>
      <c r="R24" s="2557"/>
      <c r="S24" s="2557"/>
      <c r="T24" s="2557"/>
      <c r="U24" s="2557"/>
      <c r="V24" s="2557"/>
      <c r="W24" s="2557"/>
      <c r="X24" s="2557"/>
      <c r="Y24" s="2557"/>
      <c r="Z24" s="2557"/>
      <c r="AA24" s="2557"/>
      <c r="AB24" s="2557"/>
      <c r="AC24" s="2557"/>
      <c r="AD24" s="2557"/>
      <c r="AE24" s="2557"/>
      <c r="AF24" s="2557"/>
      <c r="AG24" s="2557"/>
      <c r="AH24" s="2557"/>
      <c r="AI24" s="2557"/>
      <c r="AJ24" s="2557"/>
      <c r="AK24" s="2557"/>
      <c r="AL24" s="2557"/>
      <c r="AM24" s="2557"/>
      <c r="AN24" s="2557"/>
    </row>
    <row r="25" spans="2:40" ht="23">
      <c r="B25" s="375"/>
      <c r="C25" s="375"/>
      <c r="D25" s="375"/>
      <c r="E25" s="375"/>
      <c r="F25" s="375"/>
      <c r="G25" s="375"/>
      <c r="H25" s="375"/>
      <c r="I25" s="375"/>
      <c r="J25" s="375"/>
      <c r="K25" s="375"/>
      <c r="L25" s="375"/>
      <c r="M25" s="375"/>
      <c r="N25" s="375"/>
      <c r="O25" s="375"/>
      <c r="P25" s="375"/>
      <c r="Q25" s="375"/>
      <c r="V25" s="375"/>
      <c r="W25" s="375"/>
    </row>
    <row r="26" spans="2:40" ht="23">
      <c r="D26" s="375"/>
      <c r="E26" s="375"/>
      <c r="F26" s="375"/>
      <c r="G26" s="375"/>
      <c r="H26" s="375"/>
      <c r="I26" s="375"/>
      <c r="J26" s="375"/>
      <c r="K26" s="375"/>
      <c r="L26" s="375"/>
      <c r="M26" s="375"/>
      <c r="N26" s="375"/>
      <c r="O26" s="375"/>
      <c r="P26" s="375"/>
    </row>
    <row r="27" spans="2:40" ht="14.5">
      <c r="D27" s="43"/>
      <c r="M27" s="43"/>
    </row>
    <row r="28" spans="2:40" ht="29.5" customHeight="1">
      <c r="B28" s="2325" t="s">
        <v>469</v>
      </c>
      <c r="C28" s="2329" t="s">
        <v>686</v>
      </c>
      <c r="D28" s="2325" t="s">
        <v>4355</v>
      </c>
      <c r="E28" s="2325"/>
      <c r="F28" s="2325"/>
      <c r="G28" s="2325" t="s">
        <v>470</v>
      </c>
      <c r="H28" s="2325"/>
      <c r="I28" s="2329" t="s">
        <v>2624</v>
      </c>
      <c r="J28" s="2329" t="s">
        <v>4366</v>
      </c>
      <c r="K28" s="2329" t="s">
        <v>4370</v>
      </c>
      <c r="L28" s="1899"/>
      <c r="M28" s="1899"/>
      <c r="N28" s="2325" t="s">
        <v>472</v>
      </c>
      <c r="O28" s="2329" t="s">
        <v>4369</v>
      </c>
      <c r="P28" s="2325" t="s">
        <v>4276</v>
      </c>
      <c r="R28" s="2355" t="s">
        <v>4368</v>
      </c>
      <c r="S28" s="2356"/>
      <c r="T28" s="2356"/>
      <c r="U28" s="2357"/>
      <c r="V28" s="1340"/>
      <c r="W28" s="1339"/>
      <c r="Y28" s="2329" t="s">
        <v>4350</v>
      </c>
      <c r="AA28" s="2325" t="s">
        <v>474</v>
      </c>
      <c r="AB28" s="2325"/>
    </row>
    <row r="29" spans="2:40" ht="34" customHeight="1">
      <c r="B29" s="2325"/>
      <c r="C29" s="2330"/>
      <c r="D29" s="2325"/>
      <c r="E29" s="2325"/>
      <c r="F29" s="2325"/>
      <c r="G29" s="2325"/>
      <c r="H29" s="2325"/>
      <c r="I29" s="2330"/>
      <c r="J29" s="2330"/>
      <c r="K29" s="2330"/>
      <c r="L29" s="1899"/>
      <c r="M29" s="1899"/>
      <c r="N29" s="2325"/>
      <c r="O29" s="2563"/>
      <c r="P29" s="2325"/>
      <c r="R29" s="2319" t="s">
        <v>4367</v>
      </c>
      <c r="S29" s="2321"/>
      <c r="T29" s="1899" t="s">
        <v>4366</v>
      </c>
      <c r="U29" s="1899" t="s">
        <v>4365</v>
      </c>
      <c r="V29" s="1314" t="s">
        <v>4346</v>
      </c>
      <c r="W29" s="1314" t="s">
        <v>4345</v>
      </c>
      <c r="Y29" s="2330"/>
      <c r="AA29" s="1901" t="s">
        <v>476</v>
      </c>
      <c r="AB29" s="1901" t="s">
        <v>15</v>
      </c>
    </row>
    <row r="30" spans="2:40" ht="14.5">
      <c r="B30" s="1313">
        <v>1</v>
      </c>
      <c r="C30" s="1423"/>
      <c r="D30" s="2519"/>
      <c r="E30" s="2527"/>
      <c r="F30" s="2520"/>
      <c r="G30" s="2519"/>
      <c r="H30" s="2520"/>
      <c r="I30" s="1338"/>
      <c r="J30" s="1338"/>
      <c r="K30" s="1312"/>
      <c r="L30" s="1310" t="str">
        <f t="shared" ref="L30:L39" si="0">IF(G30="","",G30&amp;" "&amp;P30)</f>
        <v/>
      </c>
      <c r="M30" s="1310" t="str">
        <f t="shared" ref="M30:M39" si="1">IF(LEFT(G30,5)="Ductl",D30&amp;" "&amp;G30,D30&amp;" "&amp;G30&amp;" "&amp;P30)</f>
        <v xml:space="preserve">  </v>
      </c>
      <c r="N30" s="1307"/>
      <c r="O30" s="1306"/>
      <c r="P30" s="1141" t="str">
        <f>IF(ISBLANK(D30),"",IF(OR(Y30="Missing Info",Y49="Missing Info"),"Missing Info",Qualifying_Index!N110))</f>
        <v/>
      </c>
      <c r="R30" s="2538"/>
      <c r="S30" s="2539"/>
      <c r="T30" s="1336"/>
      <c r="U30" s="1304"/>
      <c r="V30" s="1303" t="str">
        <f t="shared" ref="V30:V39" si="2">IF(D30="","",IF(W30="",R30,R30&amp;" "&amp;W30))</f>
        <v/>
      </c>
      <c r="W30" s="1303" t="str">
        <f t="shared" ref="W30:W39" si="3">IF(OR(R30="",RIGHT(R30,13)="Instantaneous"),"",IF(OR(LEFT(R30,3)="Oil",R30="None"),"",IF(T30&gt;55,"&gt; 55 gal","&lt;= 55 gal")))</f>
        <v/>
      </c>
      <c r="Y30" s="356" t="str">
        <f t="shared" ref="Y30:Y39" si="4">IF(ISBLANK(D30),"",IF(OR(ISBLANK(G30),ISBLANK(K30),ISBLANK(N30),ISBLANK(O30),IF(Existing_Heating_Source="New Construction",FALSE,OR(ISBLANK(R30)))),"Missing Info","Complete"))</f>
        <v/>
      </c>
      <c r="AA30" s="1302" t="str">
        <f>IF(ISBLANK(D30),"",IF(OR(P30="Missing Info",P30="DNQ"),P30,Qualifying_Index!O110*I30))</f>
        <v/>
      </c>
      <c r="AB30" s="1301"/>
      <c r="AC30" s="2544" t="str">
        <f>IF(G30="","",IF(COUNTIF(AA30:AA39,"Missing Info")&gt;0,"Please complete all required information in the 'Worksheet' and 'Installed System Specifications' tables.",""))</f>
        <v/>
      </c>
      <c r="AD30" s="2545"/>
    </row>
    <row r="31" spans="2:40" ht="14.5">
      <c r="B31" s="1141">
        <v>2</v>
      </c>
      <c r="C31" s="1424"/>
      <c r="D31" s="2518"/>
      <c r="E31" s="2518"/>
      <c r="F31" s="2518"/>
      <c r="G31" s="2519"/>
      <c r="H31" s="2520"/>
      <c r="I31" s="1337"/>
      <c r="J31" s="1337"/>
      <c r="K31" s="1309"/>
      <c r="L31" s="1310" t="str">
        <f t="shared" si="0"/>
        <v/>
      </c>
      <c r="M31" s="1310" t="str">
        <f t="shared" si="1"/>
        <v xml:space="preserve">  </v>
      </c>
      <c r="N31" s="1307"/>
      <c r="O31" s="1306"/>
      <c r="P31" s="1141" t="str">
        <f>IF(ISBLANK(D31),"",IF(OR(Y31="Missing Info",Y50="Missing Info"),"Missing Info",Qualifying_Index!N111))</f>
        <v/>
      </c>
      <c r="R31" s="2538"/>
      <c r="S31" s="2539"/>
      <c r="T31" s="1336"/>
      <c r="U31" s="1304"/>
      <c r="V31" s="1303" t="str">
        <f t="shared" si="2"/>
        <v/>
      </c>
      <c r="W31" s="1303" t="str">
        <f t="shared" si="3"/>
        <v/>
      </c>
      <c r="Y31" s="356" t="str">
        <f t="shared" si="4"/>
        <v/>
      </c>
      <c r="AA31" s="1302" t="str">
        <f>IF(ISBLANK(D31),"",IF(OR(P31="Missing Info",P31="DNQ"),P31,Qualifying_Index!O111*I31))</f>
        <v/>
      </c>
      <c r="AB31" s="1301"/>
      <c r="AC31" s="2544"/>
      <c r="AD31" s="2545"/>
    </row>
    <row r="32" spans="2:40" ht="14.5">
      <c r="B32" s="1141">
        <v>3</v>
      </c>
      <c r="C32" s="1424"/>
      <c r="D32" s="2518"/>
      <c r="E32" s="2518"/>
      <c r="F32" s="2518"/>
      <c r="G32" s="2519"/>
      <c r="H32" s="2520"/>
      <c r="I32" s="1337"/>
      <c r="J32" s="1337"/>
      <c r="K32" s="1309"/>
      <c r="L32" s="1310" t="str">
        <f t="shared" si="0"/>
        <v/>
      </c>
      <c r="M32" s="1310" t="str">
        <f t="shared" si="1"/>
        <v xml:space="preserve">  </v>
      </c>
      <c r="N32" s="1307"/>
      <c r="O32" s="1306"/>
      <c r="P32" s="1141" t="str">
        <f>IF(ISBLANK(D32),"",IF(OR(Y32="Missing Info",Y51="Missing Info"),"Missing Info",Qualifying_Index!N112))</f>
        <v/>
      </c>
      <c r="R32" s="2538"/>
      <c r="S32" s="2539"/>
      <c r="T32" s="1336"/>
      <c r="U32" s="1304"/>
      <c r="V32" s="1303" t="str">
        <f t="shared" si="2"/>
        <v/>
      </c>
      <c r="W32" s="1303" t="str">
        <f t="shared" si="3"/>
        <v/>
      </c>
      <c r="Y32" s="356" t="str">
        <f t="shared" si="4"/>
        <v/>
      </c>
      <c r="AA32" s="1302" t="str">
        <f>IF(ISBLANK(D32),"",IF(OR(P32="Missing Info",P32="DNQ"),P32,Qualifying_Index!O112*I32))</f>
        <v/>
      </c>
      <c r="AB32" s="1301"/>
      <c r="AC32" s="2544"/>
      <c r="AD32" s="2545"/>
    </row>
    <row r="33" spans="2:40" ht="14.5">
      <c r="B33" s="1141">
        <v>4</v>
      </c>
      <c r="C33" s="1424"/>
      <c r="D33" s="2518"/>
      <c r="E33" s="2518"/>
      <c r="F33" s="2518"/>
      <c r="G33" s="2519"/>
      <c r="H33" s="2520"/>
      <c r="I33" s="1337"/>
      <c r="J33" s="1337"/>
      <c r="K33" s="1309"/>
      <c r="L33" s="1310" t="str">
        <f t="shared" si="0"/>
        <v/>
      </c>
      <c r="M33" s="1310" t="str">
        <f t="shared" si="1"/>
        <v xml:space="preserve">  </v>
      </c>
      <c r="N33" s="1307"/>
      <c r="O33" s="1306"/>
      <c r="P33" s="1141" t="str">
        <f>IF(ISBLANK(D33),"",IF(OR(Y33="Missing Info",Y52="Missing Info"),"Missing Info",Qualifying_Index!N113))</f>
        <v/>
      </c>
      <c r="R33" s="2538"/>
      <c r="S33" s="2539"/>
      <c r="T33" s="1336"/>
      <c r="U33" s="1304"/>
      <c r="V33" s="1303" t="str">
        <f t="shared" si="2"/>
        <v/>
      </c>
      <c r="W33" s="1303" t="str">
        <f t="shared" si="3"/>
        <v/>
      </c>
      <c r="Y33" s="356" t="str">
        <f t="shared" si="4"/>
        <v/>
      </c>
      <c r="AA33" s="1302" t="str">
        <f>IF(ISBLANK(D33),"",IF(OR(P33="Missing Info",P33="DNQ"),P33,Qualifying_Index!O113*I33))</f>
        <v/>
      </c>
      <c r="AB33" s="1301"/>
      <c r="AC33" s="2544"/>
      <c r="AD33" s="2545"/>
    </row>
    <row r="34" spans="2:40" ht="14.5">
      <c r="B34" s="1141">
        <v>5</v>
      </c>
      <c r="C34" s="1424"/>
      <c r="D34" s="2518"/>
      <c r="E34" s="2518"/>
      <c r="F34" s="2518"/>
      <c r="G34" s="2519"/>
      <c r="H34" s="2520"/>
      <c r="I34" s="1337"/>
      <c r="J34" s="1337"/>
      <c r="K34" s="1309"/>
      <c r="L34" s="1310" t="str">
        <f t="shared" si="0"/>
        <v/>
      </c>
      <c r="M34" s="1310" t="str">
        <f t="shared" si="1"/>
        <v xml:space="preserve">  </v>
      </c>
      <c r="N34" s="1307"/>
      <c r="O34" s="1306"/>
      <c r="P34" s="1141" t="str">
        <f>IF(ISBLANK(D34),"",IF(OR(Y34="Missing Info",Y53="Missing Info"),"Missing Info",Qualifying_Index!N114))</f>
        <v/>
      </c>
      <c r="R34" s="2538"/>
      <c r="S34" s="2539"/>
      <c r="T34" s="1336"/>
      <c r="U34" s="1304"/>
      <c r="V34" s="1303" t="str">
        <f t="shared" si="2"/>
        <v/>
      </c>
      <c r="W34" s="1303" t="str">
        <f t="shared" si="3"/>
        <v/>
      </c>
      <c r="Y34" s="356" t="str">
        <f t="shared" si="4"/>
        <v/>
      </c>
      <c r="AA34" s="1302" t="str">
        <f>IF(ISBLANK(D34),"",IF(OR(P34="Missing Info",P34="DNQ"),P34,Qualifying_Index!O114*I34))</f>
        <v/>
      </c>
      <c r="AB34" s="1301"/>
      <c r="AC34" s="2544"/>
      <c r="AD34" s="2545"/>
    </row>
    <row r="35" spans="2:40" ht="14.5">
      <c r="B35" s="1141">
        <v>6</v>
      </c>
      <c r="C35" s="1424"/>
      <c r="D35" s="2518"/>
      <c r="E35" s="2518"/>
      <c r="F35" s="2518"/>
      <c r="G35" s="2519"/>
      <c r="H35" s="2520"/>
      <c r="I35" s="1337"/>
      <c r="J35" s="1337"/>
      <c r="K35" s="1309"/>
      <c r="L35" s="1310" t="str">
        <f t="shared" si="0"/>
        <v/>
      </c>
      <c r="M35" s="1310" t="str">
        <f t="shared" si="1"/>
        <v xml:space="preserve">  </v>
      </c>
      <c r="N35" s="1307"/>
      <c r="O35" s="1306"/>
      <c r="P35" s="1141" t="str">
        <f>IF(ISBLANK(D35),"",IF(OR(Y35="Missing Info",Y54="Missing Info"),"Missing Info",Qualifying_Index!N115))</f>
        <v/>
      </c>
      <c r="R35" s="2538"/>
      <c r="S35" s="2539"/>
      <c r="T35" s="1336"/>
      <c r="U35" s="1304"/>
      <c r="V35" s="1303" t="str">
        <f t="shared" si="2"/>
        <v/>
      </c>
      <c r="W35" s="1303" t="str">
        <f t="shared" si="3"/>
        <v/>
      </c>
      <c r="Y35" s="356" t="str">
        <f t="shared" si="4"/>
        <v/>
      </c>
      <c r="AA35" s="1302" t="str">
        <f>IF(ISBLANK(D35),"",IF(OR(P35="Missing Info",P35="DNQ"),P35,Qualifying_Index!O115*I35))</f>
        <v/>
      </c>
      <c r="AB35" s="1301"/>
      <c r="AC35" s="2544"/>
      <c r="AD35" s="2545"/>
    </row>
    <row r="36" spans="2:40" ht="14.5">
      <c r="B36" s="1141">
        <v>7</v>
      </c>
      <c r="C36" s="1424"/>
      <c r="D36" s="2518"/>
      <c r="E36" s="2518"/>
      <c r="F36" s="2518"/>
      <c r="G36" s="2519"/>
      <c r="H36" s="2520"/>
      <c r="I36" s="1337"/>
      <c r="J36" s="1337"/>
      <c r="K36" s="1309"/>
      <c r="L36" s="1310" t="str">
        <f t="shared" si="0"/>
        <v/>
      </c>
      <c r="M36" s="1310" t="str">
        <f t="shared" si="1"/>
        <v xml:space="preserve">  </v>
      </c>
      <c r="N36" s="1307"/>
      <c r="O36" s="1306"/>
      <c r="P36" s="1141" t="str">
        <f>IF(ISBLANK(D36),"",IF(OR(Y36="Missing Info",Y55="Missing Info"),"Missing Info",Qualifying_Index!N116))</f>
        <v/>
      </c>
      <c r="R36" s="2538"/>
      <c r="S36" s="2539"/>
      <c r="T36" s="1336"/>
      <c r="U36" s="1304"/>
      <c r="V36" s="1303" t="str">
        <f t="shared" si="2"/>
        <v/>
      </c>
      <c r="W36" s="1303" t="str">
        <f t="shared" si="3"/>
        <v/>
      </c>
      <c r="Y36" s="356" t="str">
        <f t="shared" si="4"/>
        <v/>
      </c>
      <c r="AA36" s="1302" t="str">
        <f>IF(ISBLANK(D36),"",IF(OR(P36="Missing Info",P36="DNQ"),P36,Qualifying_Index!O116*I36))</f>
        <v/>
      </c>
      <c r="AB36" s="1301"/>
      <c r="AC36" s="2544"/>
      <c r="AD36" s="2545"/>
    </row>
    <row r="37" spans="2:40" ht="14.5">
      <c r="B37" s="1141">
        <v>8</v>
      </c>
      <c r="C37" s="1424"/>
      <c r="D37" s="2518"/>
      <c r="E37" s="2518"/>
      <c r="F37" s="2518"/>
      <c r="G37" s="2519"/>
      <c r="H37" s="2520"/>
      <c r="I37" s="1337"/>
      <c r="J37" s="1337"/>
      <c r="K37" s="1309"/>
      <c r="L37" s="1310" t="str">
        <f t="shared" si="0"/>
        <v/>
      </c>
      <c r="M37" s="1310" t="str">
        <f t="shared" si="1"/>
        <v xml:space="preserve">  </v>
      </c>
      <c r="N37" s="1307"/>
      <c r="O37" s="1306"/>
      <c r="P37" s="1141" t="str">
        <f>IF(ISBLANK(D37),"",IF(OR(Y37="Missing Info",Y56="Missing Info"),"Missing Info",Qualifying_Index!N117))</f>
        <v/>
      </c>
      <c r="R37" s="2538"/>
      <c r="S37" s="2539"/>
      <c r="T37" s="1336"/>
      <c r="U37" s="1304"/>
      <c r="V37" s="1303" t="str">
        <f t="shared" si="2"/>
        <v/>
      </c>
      <c r="W37" s="1303" t="str">
        <f t="shared" si="3"/>
        <v/>
      </c>
      <c r="Y37" s="356" t="str">
        <f t="shared" si="4"/>
        <v/>
      </c>
      <c r="AA37" s="1302" t="str">
        <f>IF(ISBLANK(D37),"",IF(OR(P37="Missing Info",P37="DNQ"),P37,Qualifying_Index!O117*I37))</f>
        <v/>
      </c>
      <c r="AB37" s="1301"/>
      <c r="AC37" s="2544"/>
      <c r="AD37" s="2545"/>
    </row>
    <row r="38" spans="2:40" ht="14.5">
      <c r="B38" s="1141">
        <v>9</v>
      </c>
      <c r="C38" s="1424"/>
      <c r="D38" s="2518"/>
      <c r="E38" s="2518"/>
      <c r="F38" s="2518"/>
      <c r="G38" s="2519"/>
      <c r="H38" s="2520"/>
      <c r="I38" s="1337"/>
      <c r="J38" s="1337"/>
      <c r="K38" s="1309"/>
      <c r="L38" s="1310" t="str">
        <f t="shared" si="0"/>
        <v/>
      </c>
      <c r="M38" s="1310" t="str">
        <f t="shared" si="1"/>
        <v xml:space="preserve">  </v>
      </c>
      <c r="N38" s="1307"/>
      <c r="O38" s="1306"/>
      <c r="P38" s="1141" t="str">
        <f>IF(ISBLANK(D38),"",IF(OR(Y38="Missing Info",Y57="Missing Info"),"Missing Info",Qualifying_Index!N118))</f>
        <v/>
      </c>
      <c r="R38" s="2538"/>
      <c r="S38" s="2539"/>
      <c r="T38" s="1336"/>
      <c r="U38" s="1304"/>
      <c r="V38" s="1303" t="str">
        <f t="shared" si="2"/>
        <v/>
      </c>
      <c r="W38" s="1303" t="str">
        <f t="shared" si="3"/>
        <v/>
      </c>
      <c r="Y38" s="356" t="str">
        <f t="shared" si="4"/>
        <v/>
      </c>
      <c r="AA38" s="1302" t="str">
        <f>IF(ISBLANK(D38),"",IF(OR(P38="Missing Info",P38="DNQ"),P38,Qualifying_Index!O118*I38))</f>
        <v/>
      </c>
      <c r="AB38" s="1301"/>
      <c r="AC38" s="2544"/>
      <c r="AD38" s="2545"/>
    </row>
    <row r="39" spans="2:40" ht="14.5">
      <c r="B39" s="1141">
        <v>10</v>
      </c>
      <c r="C39" s="1424"/>
      <c r="D39" s="2518"/>
      <c r="E39" s="2518"/>
      <c r="F39" s="2518"/>
      <c r="G39" s="2519"/>
      <c r="H39" s="2520"/>
      <c r="I39" s="1337"/>
      <c r="J39" s="1337"/>
      <c r="K39" s="1309"/>
      <c r="L39" s="1310" t="str">
        <f t="shared" si="0"/>
        <v/>
      </c>
      <c r="M39" s="1310" t="str">
        <f t="shared" si="1"/>
        <v xml:space="preserve">  </v>
      </c>
      <c r="N39" s="1307"/>
      <c r="O39" s="1306"/>
      <c r="P39" s="1141" t="str">
        <f>IF(ISBLANK(D39),"",IF(OR(Y39="Missing Info",Y58="Missing Info"),"Missing Info",Qualifying_Index!N119))</f>
        <v/>
      </c>
      <c r="R39" s="2538"/>
      <c r="S39" s="2539"/>
      <c r="T39" s="1336"/>
      <c r="U39" s="1304"/>
      <c r="V39" s="1303" t="str">
        <f t="shared" si="2"/>
        <v/>
      </c>
      <c r="W39" s="1303" t="str">
        <f t="shared" si="3"/>
        <v/>
      </c>
      <c r="Y39" s="356" t="str">
        <f t="shared" si="4"/>
        <v/>
      </c>
      <c r="AA39" s="1302" t="str">
        <f>IF(ISBLANK(D39),"",IF(OR(P39="Missing Info",P39="DNQ"),P39,Qualifying_Index!O119*I39))</f>
        <v/>
      </c>
      <c r="AB39" s="1301"/>
      <c r="AC39" s="2544"/>
      <c r="AD39" s="2545"/>
    </row>
    <row r="40" spans="2:40" ht="15.5">
      <c r="D40" s="1299"/>
      <c r="F40" s="1300"/>
      <c r="G40" s="1300"/>
      <c r="H40" s="1300"/>
      <c r="I40" s="1300"/>
      <c r="J40" s="1300"/>
      <c r="K40" s="1300"/>
      <c r="L40" s="1300"/>
      <c r="N40" s="684"/>
      <c r="O40" s="684"/>
      <c r="P40" s="684"/>
      <c r="Q40" s="217"/>
    </row>
    <row r="41" spans="2:40" ht="14.5">
      <c r="D41" s="1298"/>
      <c r="M41" s="1298"/>
      <c r="AA41" s="43" t="s">
        <v>477</v>
      </c>
    </row>
    <row r="42" spans="2:40" ht="14.5">
      <c r="B42" s="2528"/>
      <c r="C42" s="639"/>
      <c r="D42" s="1296"/>
      <c r="E42" s="1296"/>
      <c r="F42" s="1296"/>
      <c r="G42" s="1295"/>
      <c r="H42" s="1295"/>
      <c r="I42" s="1295"/>
      <c r="J42" s="1295"/>
      <c r="K42" s="1295"/>
      <c r="L42" s="1295"/>
      <c r="M42" s="684"/>
      <c r="AA42" s="1294" t="str">
        <f>IF(SUM(AA30:AA39)=0,"",SUM(AA30:AA39))</f>
        <v/>
      </c>
    </row>
    <row r="43" spans="2:40" ht="14.5">
      <c r="B43" s="2528"/>
      <c r="C43" s="639"/>
      <c r="D43" s="223"/>
      <c r="E43" s="223"/>
      <c r="F43" s="223"/>
      <c r="G43" s="223"/>
      <c r="H43" s="223"/>
      <c r="I43" s="223"/>
      <c r="J43" s="223"/>
      <c r="K43" s="223"/>
      <c r="L43" s="223"/>
      <c r="M43" s="223"/>
      <c r="N43" s="223"/>
      <c r="O43" s="223"/>
      <c r="P43" s="223"/>
      <c r="AA43" s="43"/>
    </row>
    <row r="44" spans="2:40" ht="23">
      <c r="B44" s="2557" t="s">
        <v>478</v>
      </c>
      <c r="C44" s="2557"/>
      <c r="D44" s="2557"/>
      <c r="E44" s="2557"/>
      <c r="F44" s="2557"/>
      <c r="G44" s="2557"/>
      <c r="H44" s="2557"/>
      <c r="I44" s="2557"/>
      <c r="J44" s="2557"/>
      <c r="K44" s="2557"/>
      <c r="L44" s="2557"/>
      <c r="M44" s="2557"/>
      <c r="N44" s="2557"/>
      <c r="O44" s="2557"/>
      <c r="P44" s="2557"/>
      <c r="Q44" s="2557"/>
      <c r="R44" s="2557"/>
      <c r="S44" s="2557"/>
      <c r="T44" s="2557"/>
      <c r="U44" s="2557"/>
      <c r="V44" s="2557"/>
      <c r="W44" s="2557"/>
      <c r="X44" s="2557"/>
      <c r="Y44" s="2557"/>
      <c r="Z44" s="2557"/>
      <c r="AA44" s="2557"/>
      <c r="AB44" s="2557"/>
      <c r="AC44" s="2557"/>
      <c r="AD44" s="2557"/>
      <c r="AE44" s="2557"/>
      <c r="AF44" s="2557"/>
      <c r="AG44" s="2557"/>
      <c r="AH44" s="2557"/>
      <c r="AI44" s="2557"/>
      <c r="AJ44" s="2557"/>
      <c r="AK44" s="2557"/>
      <c r="AL44" s="2557"/>
      <c r="AM44" s="2557"/>
      <c r="AN44" s="2557"/>
    </row>
    <row r="45" spans="2:40" ht="14.5">
      <c r="B45" s="1293" t="s">
        <v>4344</v>
      </c>
      <c r="C45" s="1293"/>
    </row>
    <row r="46" spans="2:40" ht="14.5">
      <c r="B46" s="45"/>
      <c r="C46" s="45"/>
    </row>
    <row r="47" spans="2:40" ht="14.5" customHeight="1">
      <c r="B47" s="2325" t="s">
        <v>469</v>
      </c>
      <c r="C47" s="1900"/>
      <c r="D47" s="2532" t="s">
        <v>479</v>
      </c>
      <c r="E47" s="2533"/>
      <c r="F47" s="2533"/>
      <c r="G47" s="2533"/>
      <c r="H47" s="2533"/>
      <c r="I47" s="1925"/>
      <c r="J47" s="2532" t="s">
        <v>480</v>
      </c>
      <c r="K47" s="2533"/>
      <c r="L47" s="2533"/>
      <c r="M47" s="2533"/>
      <c r="N47" s="2533"/>
      <c r="O47" s="2534"/>
      <c r="P47" s="2550" t="s">
        <v>4364</v>
      </c>
      <c r="R47" s="2542" t="s">
        <v>73</v>
      </c>
      <c r="S47" s="2548"/>
      <c r="T47" s="2548"/>
      <c r="U47" s="2543"/>
      <c r="Y47" s="2329" t="s">
        <v>4350</v>
      </c>
    </row>
    <row r="48" spans="2:40" s="659" customFormat="1" ht="30.75" customHeight="1">
      <c r="B48" s="2325"/>
      <c r="C48" s="2529" t="s">
        <v>80</v>
      </c>
      <c r="D48" s="2531"/>
      <c r="E48" s="2535" t="s">
        <v>78</v>
      </c>
      <c r="F48" s="2536"/>
      <c r="G48" s="2537"/>
      <c r="H48" s="2529" t="s">
        <v>79</v>
      </c>
      <c r="I48" s="2531"/>
      <c r="J48" s="2529" t="s">
        <v>80</v>
      </c>
      <c r="K48" s="2531"/>
      <c r="L48" s="1929"/>
      <c r="M48" s="1929"/>
      <c r="N48" s="1928" t="s">
        <v>78</v>
      </c>
      <c r="O48" s="1930" t="s">
        <v>79</v>
      </c>
      <c r="P48" s="2552"/>
      <c r="Q48" s="42"/>
      <c r="R48" s="1927" t="s">
        <v>4341</v>
      </c>
      <c r="S48" s="1932" t="s">
        <v>80</v>
      </c>
      <c r="T48" s="1932" t="s">
        <v>78</v>
      </c>
      <c r="U48" s="1927" t="s">
        <v>79</v>
      </c>
      <c r="Y48" s="2330"/>
      <c r="AA48" s="1335"/>
    </row>
    <row r="49" spans="2:27" ht="14.5">
      <c r="B49" s="1291">
        <v>1</v>
      </c>
      <c r="C49" s="2310"/>
      <c r="D49" s="2312"/>
      <c r="E49" s="2315"/>
      <c r="F49" s="2315"/>
      <c r="G49" s="2315"/>
      <c r="H49" s="2310"/>
      <c r="I49" s="2312"/>
      <c r="J49" s="2538"/>
      <c r="K49" s="2539"/>
      <c r="L49" s="846"/>
      <c r="M49" s="846"/>
      <c r="N49" s="1333"/>
      <c r="O49" s="355"/>
      <c r="P49" s="355"/>
      <c r="R49" s="1136"/>
      <c r="S49" s="1136"/>
      <c r="T49" s="1290"/>
      <c r="U49" s="1289"/>
      <c r="Y49" s="356" t="str">
        <f t="shared" ref="Y49:Y58" si="5">IF(ISBLANK(D30),"",IF(OR(ISBLANK(C49),ISBLANK(E49),ISBLANK(H49),ISBLANK(J49),ISBLANK(N49),ISBLANK(O49),ISBLANK(P49),IF(Existing_Heating_Source="New Construction",FALSE,ISBLANK(R49))),"Missing Info","Complete"))</f>
        <v/>
      </c>
      <c r="AA49" s="1334"/>
    </row>
    <row r="50" spans="2:27" ht="14.5">
      <c r="B50" s="1291">
        <v>2</v>
      </c>
      <c r="C50" s="2310"/>
      <c r="D50" s="2312"/>
      <c r="E50" s="2315"/>
      <c r="F50" s="2315"/>
      <c r="G50" s="2315"/>
      <c r="H50" s="2310"/>
      <c r="I50" s="2312"/>
      <c r="J50" s="2310"/>
      <c r="K50" s="2312"/>
      <c r="L50" s="846"/>
      <c r="M50" s="846"/>
      <c r="N50" s="1333"/>
      <c r="O50" s="355"/>
      <c r="P50" s="355"/>
      <c r="R50" s="1136"/>
      <c r="S50" s="1136"/>
      <c r="T50" s="1290"/>
      <c r="U50" s="1289"/>
      <c r="Y50" s="356" t="str">
        <f t="shared" si="5"/>
        <v/>
      </c>
      <c r="AA50" s="358"/>
    </row>
    <row r="51" spans="2:27" ht="14.5">
      <c r="B51" s="1291">
        <v>3</v>
      </c>
      <c r="C51" s="2310"/>
      <c r="D51" s="2312"/>
      <c r="E51" s="2315"/>
      <c r="F51" s="2315"/>
      <c r="G51" s="2315"/>
      <c r="H51" s="2310"/>
      <c r="I51" s="2312"/>
      <c r="J51" s="2310"/>
      <c r="K51" s="2312"/>
      <c r="L51" s="846"/>
      <c r="M51" s="846"/>
      <c r="N51" s="1333"/>
      <c r="O51" s="355"/>
      <c r="P51" s="355"/>
      <c r="R51" s="1136"/>
      <c r="S51" s="1136"/>
      <c r="T51" s="1290"/>
      <c r="U51" s="1289"/>
      <c r="Y51" s="356" t="str">
        <f t="shared" si="5"/>
        <v/>
      </c>
      <c r="AA51" s="358"/>
    </row>
    <row r="52" spans="2:27" ht="14.5">
      <c r="B52" s="1291">
        <v>4</v>
      </c>
      <c r="C52" s="2310"/>
      <c r="D52" s="2312"/>
      <c r="E52" s="2315"/>
      <c r="F52" s="2315"/>
      <c r="G52" s="2315"/>
      <c r="H52" s="2310"/>
      <c r="I52" s="2312"/>
      <c r="J52" s="2310"/>
      <c r="K52" s="2312"/>
      <c r="L52" s="846"/>
      <c r="M52" s="846"/>
      <c r="N52" s="1333"/>
      <c r="O52" s="355"/>
      <c r="P52" s="355"/>
      <c r="R52" s="1136"/>
      <c r="S52" s="1136"/>
      <c r="T52" s="1290"/>
      <c r="U52" s="1289"/>
      <c r="Y52" s="356" t="str">
        <f t="shared" si="5"/>
        <v/>
      </c>
      <c r="AA52" s="358"/>
    </row>
    <row r="53" spans="2:27" ht="14.5">
      <c r="B53" s="1291">
        <v>5</v>
      </c>
      <c r="C53" s="2310"/>
      <c r="D53" s="2312"/>
      <c r="E53" s="2315"/>
      <c r="F53" s="2315"/>
      <c r="G53" s="2315"/>
      <c r="H53" s="2310"/>
      <c r="I53" s="2312"/>
      <c r="J53" s="2310"/>
      <c r="K53" s="2312"/>
      <c r="L53" s="846"/>
      <c r="M53" s="846"/>
      <c r="N53" s="1333"/>
      <c r="O53" s="355"/>
      <c r="P53" s="355"/>
      <c r="R53" s="1136"/>
      <c r="S53" s="1136"/>
      <c r="T53" s="1290"/>
      <c r="U53" s="1289"/>
      <c r="Y53" s="356" t="str">
        <f t="shared" si="5"/>
        <v/>
      </c>
      <c r="AA53" s="358"/>
    </row>
    <row r="54" spans="2:27" ht="14.5">
      <c r="B54" s="1291">
        <v>6</v>
      </c>
      <c r="C54" s="2310"/>
      <c r="D54" s="2312"/>
      <c r="E54" s="2315"/>
      <c r="F54" s="2315"/>
      <c r="G54" s="2315"/>
      <c r="H54" s="2310"/>
      <c r="I54" s="2312"/>
      <c r="J54" s="2310"/>
      <c r="K54" s="2312"/>
      <c r="L54" s="846"/>
      <c r="M54" s="846"/>
      <c r="N54" s="1333"/>
      <c r="O54" s="355"/>
      <c r="P54" s="355"/>
      <c r="R54" s="1136"/>
      <c r="S54" s="1136"/>
      <c r="T54" s="1290"/>
      <c r="U54" s="1289"/>
      <c r="Y54" s="356" t="str">
        <f t="shared" si="5"/>
        <v/>
      </c>
      <c r="AA54" s="358"/>
    </row>
    <row r="55" spans="2:27" ht="14.5">
      <c r="B55" s="1291">
        <v>7</v>
      </c>
      <c r="C55" s="2310"/>
      <c r="D55" s="2312"/>
      <c r="E55" s="2315"/>
      <c r="F55" s="2315"/>
      <c r="G55" s="2315"/>
      <c r="H55" s="2310"/>
      <c r="I55" s="2312"/>
      <c r="J55" s="2310"/>
      <c r="K55" s="2312"/>
      <c r="L55" s="846"/>
      <c r="M55" s="846"/>
      <c r="N55" s="1333"/>
      <c r="O55" s="355"/>
      <c r="P55" s="355"/>
      <c r="R55" s="1136"/>
      <c r="S55" s="1136"/>
      <c r="T55" s="1290"/>
      <c r="U55" s="1289"/>
      <c r="Y55" s="356" t="str">
        <f t="shared" si="5"/>
        <v/>
      </c>
      <c r="AA55" s="358"/>
    </row>
    <row r="56" spans="2:27" ht="14.5">
      <c r="B56" s="1291">
        <v>8</v>
      </c>
      <c r="C56" s="2310"/>
      <c r="D56" s="2312"/>
      <c r="E56" s="2315"/>
      <c r="F56" s="2315"/>
      <c r="G56" s="2315"/>
      <c r="H56" s="2310"/>
      <c r="I56" s="2312"/>
      <c r="J56" s="2310"/>
      <c r="K56" s="2312"/>
      <c r="L56" s="846"/>
      <c r="M56" s="846"/>
      <c r="N56" s="1333"/>
      <c r="O56" s="355"/>
      <c r="P56" s="355"/>
      <c r="R56" s="1136"/>
      <c r="S56" s="1136"/>
      <c r="T56" s="1290"/>
      <c r="U56" s="1289"/>
      <c r="Y56" s="356" t="str">
        <f t="shared" si="5"/>
        <v/>
      </c>
      <c r="AA56" s="358"/>
    </row>
    <row r="57" spans="2:27" ht="14.5">
      <c r="B57" s="1291">
        <v>9</v>
      </c>
      <c r="C57" s="2310"/>
      <c r="D57" s="2312"/>
      <c r="E57" s="2315"/>
      <c r="F57" s="2315"/>
      <c r="G57" s="2315"/>
      <c r="H57" s="2310"/>
      <c r="I57" s="2312"/>
      <c r="J57" s="2310"/>
      <c r="K57" s="2312"/>
      <c r="L57" s="846"/>
      <c r="M57" s="846"/>
      <c r="N57" s="1333"/>
      <c r="O57" s="355"/>
      <c r="P57" s="355"/>
      <c r="R57" s="1136"/>
      <c r="S57" s="1136"/>
      <c r="T57" s="1290"/>
      <c r="U57" s="1289"/>
      <c r="Y57" s="356" t="str">
        <f t="shared" si="5"/>
        <v/>
      </c>
      <c r="AA57" s="358"/>
    </row>
    <row r="58" spans="2:27" ht="14.5">
      <c r="B58" s="1291">
        <v>10</v>
      </c>
      <c r="C58" s="2310"/>
      <c r="D58" s="2312"/>
      <c r="E58" s="2315"/>
      <c r="F58" s="2315"/>
      <c r="G58" s="2315"/>
      <c r="H58" s="2310"/>
      <c r="I58" s="2312"/>
      <c r="J58" s="2310"/>
      <c r="K58" s="2312"/>
      <c r="L58" s="846"/>
      <c r="M58" s="846"/>
      <c r="N58" s="1333"/>
      <c r="O58" s="355"/>
      <c r="P58" s="355"/>
      <c r="R58" s="1136"/>
      <c r="S58" s="1136"/>
      <c r="T58" s="1290"/>
      <c r="U58" s="1289"/>
      <c r="Y58" s="356" t="str">
        <f t="shared" si="5"/>
        <v/>
      </c>
      <c r="AA58" s="358"/>
    </row>
    <row r="59" spans="2:27" ht="14.5">
      <c r="AA59" s="358"/>
    </row>
    <row r="60" spans="2:27" ht="14.5"/>
    <row r="61" spans="2:27" ht="14.5"/>
    <row r="62" spans="2:27" ht="14.5"/>
    <row r="63" spans="2:27" ht="14.5"/>
    <row r="64" spans="2:27" ht="14.5"/>
    <row r="65" s="42" customFormat="1" ht="14.5"/>
    <row r="66" s="42" customFormat="1" ht="14.5"/>
    <row r="67" s="42" customFormat="1" ht="14.5"/>
    <row r="68" s="42" customFormat="1" ht="14.5"/>
  </sheetData>
  <mergeCells count="110">
    <mergeCell ref="C55:D55"/>
    <mergeCell ref="Y28:Y29"/>
    <mergeCell ref="AA28:AB28"/>
    <mergeCell ref="G30:H30"/>
    <mergeCell ref="AC30:AD39"/>
    <mergeCell ref="D31:F31"/>
    <mergeCell ref="G31:H31"/>
    <mergeCell ref="D32:F32"/>
    <mergeCell ref="G32:H32"/>
    <mergeCell ref="N28:N29"/>
    <mergeCell ref="D39:F39"/>
    <mergeCell ref="G39:H39"/>
    <mergeCell ref="D36:F36"/>
    <mergeCell ref="C53:D53"/>
    <mergeCell ref="B15:AN15"/>
    <mergeCell ref="B24:AN24"/>
    <mergeCell ref="B44:AN44"/>
    <mergeCell ref="H54:I54"/>
    <mergeCell ref="H55:I55"/>
    <mergeCell ref="H56:I56"/>
    <mergeCell ref="D30:F30"/>
    <mergeCell ref="K28:K29"/>
    <mergeCell ref="O28:O29"/>
    <mergeCell ref="B42:B43"/>
    <mergeCell ref="B47:B48"/>
    <mergeCell ref="D47:H47"/>
    <mergeCell ref="J47:O47"/>
    <mergeCell ref="C48:D48"/>
    <mergeCell ref="H48:I48"/>
    <mergeCell ref="Y47:Y48"/>
    <mergeCell ref="G36:H36"/>
    <mergeCell ref="D37:F37"/>
    <mergeCell ref="G37:H37"/>
    <mergeCell ref="D38:F38"/>
    <mergeCell ref="G38:H38"/>
    <mergeCell ref="R36:S36"/>
    <mergeCell ref="E48:G48"/>
    <mergeCell ref="C54:D54"/>
    <mergeCell ref="H58:I58"/>
    <mergeCell ref="H49:I49"/>
    <mergeCell ref="H50:I50"/>
    <mergeCell ref="H51:I51"/>
    <mergeCell ref="H52:I52"/>
    <mergeCell ref="H53:I53"/>
    <mergeCell ref="C56:D56"/>
    <mergeCell ref="C57:D57"/>
    <mergeCell ref="C58:D58"/>
    <mergeCell ref="E49:G49"/>
    <mergeCell ref="E50:G50"/>
    <mergeCell ref="E51:G51"/>
    <mergeCell ref="E52:G52"/>
    <mergeCell ref="E53:G53"/>
    <mergeCell ref="E54:G54"/>
    <mergeCell ref="E55:G55"/>
    <mergeCell ref="E56:G56"/>
    <mergeCell ref="E57:G57"/>
    <mergeCell ref="E58:G58"/>
    <mergeCell ref="C49:D49"/>
    <mergeCell ref="C50:D50"/>
    <mergeCell ref="C51:D51"/>
    <mergeCell ref="C52:D52"/>
    <mergeCell ref="H57:I57"/>
    <mergeCell ref="C8:O8"/>
    <mergeCell ref="C9:O9"/>
    <mergeCell ref="C10:O10"/>
    <mergeCell ref="C11:O11"/>
    <mergeCell ref="C12:O12"/>
    <mergeCell ref="C13:O13"/>
    <mergeCell ref="R35:S35"/>
    <mergeCell ref="C28:C29"/>
    <mergeCell ref="I28:I29"/>
    <mergeCell ref="D33:F33"/>
    <mergeCell ref="G33:H33"/>
    <mergeCell ref="D34:F34"/>
    <mergeCell ref="G34:H34"/>
    <mergeCell ref="D35:F35"/>
    <mergeCell ref="G35:H35"/>
    <mergeCell ref="R34:S34"/>
    <mergeCell ref="B22:G22"/>
    <mergeCell ref="B28:B29"/>
    <mergeCell ref="D28:F29"/>
    <mergeCell ref="G28:H29"/>
    <mergeCell ref="C17:D18"/>
    <mergeCell ref="F17:G17"/>
    <mergeCell ref="C19:D19"/>
    <mergeCell ref="C20:D20"/>
    <mergeCell ref="J58:K58"/>
    <mergeCell ref="R28:U28"/>
    <mergeCell ref="J28:J29"/>
    <mergeCell ref="J48:K48"/>
    <mergeCell ref="J49:K49"/>
    <mergeCell ref="P28:P29"/>
    <mergeCell ref="J51:K51"/>
    <mergeCell ref="J50:K50"/>
    <mergeCell ref="J52:K52"/>
    <mergeCell ref="J53:K53"/>
    <mergeCell ref="R37:S37"/>
    <mergeCell ref="R29:S29"/>
    <mergeCell ref="R30:S30"/>
    <mergeCell ref="R31:S31"/>
    <mergeCell ref="R32:S32"/>
    <mergeCell ref="R33:S33"/>
    <mergeCell ref="J56:K56"/>
    <mergeCell ref="J57:K57"/>
    <mergeCell ref="J54:K54"/>
    <mergeCell ref="J55:K55"/>
    <mergeCell ref="R47:U47"/>
    <mergeCell ref="P47:P48"/>
    <mergeCell ref="R38:S38"/>
    <mergeCell ref="R39:S39"/>
  </mergeCells>
  <dataValidations count="12">
    <dataValidation type="decimal" allowBlank="1" showInputMessage="1" showErrorMessage="1" error="Please enter a number, or leave blank." sqref="T30:T39" xr:uid="{2B8497F8-5107-4444-BF05-4C52B3F6B5DC}">
      <formula1>1</formula1>
      <formula2>10000</formula2>
    </dataValidation>
    <dataValidation type="decimal" operator="greaterThan" allowBlank="1" showInputMessage="1" showErrorMessage="1" sqref="J30:J39" xr:uid="{00000000-0002-0000-0700-00000B000000}">
      <formula1>0</formula1>
    </dataValidation>
    <dataValidation type="whole" allowBlank="1" showInputMessage="1" showErrorMessage="1" error="Please enter a number, or leave blank." sqref="T30:T39" xr:uid="{00000000-0002-0000-0700-00000A000000}">
      <formula1>0</formula1>
      <formula2>1000</formula2>
    </dataValidation>
    <dataValidation type="list" allowBlank="1" showInputMessage="1" showErrorMessage="1" sqref="R30:S39" xr:uid="{00000000-0002-0000-0700-000009000000}">
      <formula1>OFFSET(Start_Existing_Water,0,MATCH(D30,Water_Type,0)-1,12)</formula1>
    </dataValidation>
    <dataValidation type="decimal" allowBlank="1" showInputMessage="1" showErrorMessage="1" error="Please enter a number, or leave blank." sqref="U30:U39" xr:uid="{00000000-0002-0000-0700-000007000000}">
      <formula1>1</formula1>
      <formula2>150</formula2>
    </dataValidation>
    <dataValidation type="list" allowBlank="1" showInputMessage="1" showErrorMessage="1" sqref="G30:H39" xr:uid="{00000000-0002-0000-0700-000006000000}">
      <formula1>Equipment_Type_DHW</formula1>
    </dataValidation>
    <dataValidation type="list" allowBlank="1" showInputMessage="1" showErrorMessage="1" sqref="M27 D27 R49:R58 P49:P58" xr:uid="{00000000-0002-0000-0700-000004000000}">
      <formula1>YES_NO</formula1>
    </dataValidation>
    <dataValidation type="list" allowBlank="1" showInputMessage="1" showErrorMessage="1" sqref="D30:D39" xr:uid="{00000000-0002-0000-0700-000003000000}">
      <formula1>Replacement_Type</formula1>
    </dataValidation>
    <dataValidation type="list" allowBlank="1" showInputMessage="1" showErrorMessage="1" sqref="M42" xr:uid="{00000000-0002-0000-0700-000002000000}">
      <formula1>Use</formula1>
    </dataValidation>
    <dataValidation type="decimal" allowBlank="1" showInputMessage="1" showErrorMessage="1" error="This value must be within the appropriate efficiency range" sqref="O30:O39" xr:uid="{00000000-0002-0000-0700-000001000000}">
      <formula1>1</formula1>
      <formula2>150</formula2>
    </dataValidation>
    <dataValidation type="decimal" allowBlank="1" showInputMessage="1" showErrorMessage="1" error="Please enter a number, or leave blank." sqref="U30:U39" xr:uid="{00000000-0002-0000-0700-000000000000}">
      <formula1>0</formula1>
      <formula2>150</formula2>
    </dataValidation>
    <dataValidation type="whole" allowBlank="1" showInputMessage="1" showErrorMessage="1" sqref="I30:I39" xr:uid="{822FEB85-D272-4DB1-8248-3778132B1C83}">
      <formula1>1</formula1>
      <formula2>100</formula2>
    </dataValidation>
  </dataValidations>
  <pageMargins left="0.7" right="0.7" top="0.75" bottom="0.75" header="0.3" footer="0.3"/>
  <pageSetup scale="41"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B7D56AEB-3F40-4D49-939C-DD1A4BE5A092}">
          <x14:formula1>
            <xm:f>References!$BQ$27:$BQ$28</xm:f>
          </x14:formula1>
          <xm:sqref>C30:C39</xm:sqref>
        </x14:dataValidation>
      </x14:dataValidations>
    </ext>
  </extLs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E88BB-8D5E-4018-BD80-EB9BE295B4D1}">
  <sheetPr codeName="Sheet50">
    <tabColor rgb="FFF85208"/>
  </sheetPr>
  <dimension ref="A1:M102"/>
  <sheetViews>
    <sheetView showGridLines="0" zoomScaleNormal="100" workbookViewId="0">
      <selection activeCell="O61" sqref="O61"/>
    </sheetView>
  </sheetViews>
  <sheetFormatPr defaultColWidth="0" defaultRowHeight="0" customHeight="1" zeroHeight="1"/>
  <cols>
    <col min="1" max="1" width="3.453125" style="1342" customWidth="1"/>
    <col min="2" max="2" width="27.453125" style="1342" customWidth="1"/>
    <col min="3" max="3" width="12.26953125" style="1342" customWidth="1"/>
    <col min="4" max="4" width="13.54296875" style="1342" customWidth="1"/>
    <col min="5" max="5" width="11.54296875" style="1342" customWidth="1"/>
    <col min="6" max="6" width="22.453125" style="1342" customWidth="1"/>
    <col min="7" max="7" width="15.81640625" style="1342" customWidth="1"/>
    <col min="8" max="8" width="14.54296875" style="1342" customWidth="1"/>
    <col min="9" max="9" width="15.453125" style="1342" customWidth="1"/>
    <col min="10" max="10" width="8.81640625" style="1342" customWidth="1"/>
    <col min="11" max="11" width="14.453125" style="1342" customWidth="1"/>
    <col min="12" max="12" width="3.453125" style="1342" customWidth="1"/>
    <col min="13" max="16384" width="8.81640625" style="1342" hidden="1"/>
  </cols>
  <sheetData>
    <row r="1" spans="1:13" s="1384" customFormat="1" ht="83.15" customHeight="1">
      <c r="A1" s="1942"/>
      <c r="B1" s="1943" t="str">
        <f>Development!A3&amp;" Geothermal System Commissioning Form"</f>
        <v>2024 Geothermal System Commissioning Form</v>
      </c>
      <c r="C1" s="1944"/>
      <c r="D1" s="1944"/>
      <c r="E1" s="1944"/>
      <c r="F1" s="1944"/>
      <c r="G1" s="1944"/>
      <c r="H1" s="1945"/>
      <c r="I1" s="1946"/>
      <c r="J1" s="1946"/>
      <c r="K1" s="1946"/>
      <c r="L1" s="1946"/>
    </row>
    <row r="2" spans="1:13" s="1382" customFormat="1" ht="6" customHeight="1">
      <c r="B2" s="1383"/>
      <c r="C2" s="1383"/>
      <c r="D2" s="1383"/>
      <c r="E2" s="1383"/>
      <c r="F2" s="1383"/>
      <c r="G2" s="1383"/>
      <c r="H2" s="1383"/>
    </row>
    <row r="3" spans="1:13" ht="30.65" customHeight="1">
      <c r="A3" s="1380"/>
      <c r="B3" s="1381"/>
      <c r="C3" s="1380"/>
      <c r="D3" s="1380"/>
      <c r="E3" s="1380"/>
      <c r="F3" s="1380"/>
      <c r="G3" s="1380"/>
      <c r="H3" s="1380"/>
    </row>
    <row r="4" spans="1:13" ht="25.4" customHeight="1">
      <c r="B4" s="1342" t="s">
        <v>243</v>
      </c>
      <c r="C4" s="2564"/>
      <c r="D4" s="2564"/>
      <c r="E4" s="2564"/>
      <c r="F4" s="2564"/>
      <c r="H4" s="1380"/>
      <c r="I4" s="1379"/>
      <c r="J4" s="1379"/>
      <c r="K4" s="1379"/>
    </row>
    <row r="5" spans="1:13" ht="18" customHeight="1"/>
    <row r="6" spans="1:13" ht="25.5" customHeight="1">
      <c r="B6" s="1342" t="s">
        <v>4419</v>
      </c>
      <c r="C6" s="2564"/>
      <c r="D6" s="2564"/>
      <c r="E6" s="2564"/>
      <c r="F6" s="2564"/>
      <c r="G6" s="1348"/>
      <c r="H6" s="1348"/>
      <c r="I6" s="1348"/>
      <c r="J6" s="1348"/>
      <c r="K6" s="1348"/>
      <c r="L6" s="1348"/>
      <c r="M6" s="1348"/>
    </row>
    <row r="7" spans="1:13" ht="25.5" customHeight="1">
      <c r="B7" s="1377"/>
      <c r="C7" s="1377"/>
      <c r="D7" s="1352"/>
      <c r="E7" s="1352"/>
      <c r="F7" s="1348"/>
      <c r="G7" s="1348"/>
      <c r="H7" s="1348"/>
      <c r="I7" s="1348"/>
      <c r="J7" s="1348"/>
      <c r="K7" s="1348"/>
      <c r="L7" s="1348"/>
      <c r="M7" s="1348"/>
    </row>
    <row r="8" spans="1:13" ht="25.5" customHeight="1" thickBot="1">
      <c r="B8" s="2565" t="s">
        <v>4418</v>
      </c>
      <c r="C8" s="2565"/>
      <c r="D8" s="2565"/>
      <c r="E8" s="2565"/>
      <c r="F8" s="2565"/>
      <c r="G8" s="2565"/>
      <c r="H8" s="2565"/>
      <c r="I8" s="2565"/>
      <c r="J8" s="2565"/>
      <c r="K8" s="2565"/>
      <c r="L8" s="1364"/>
      <c r="M8" s="1364"/>
    </row>
    <row r="9" spans="1:13" ht="25.5" customHeight="1">
      <c r="B9" s="1378" t="s">
        <v>4417</v>
      </c>
      <c r="F9" s="1352"/>
      <c r="G9" s="1352"/>
      <c r="H9" s="1352"/>
      <c r="I9" s="1377"/>
      <c r="J9" s="1377"/>
      <c r="K9" s="1377"/>
      <c r="L9" s="1377"/>
      <c r="M9" s="1376"/>
    </row>
    <row r="10" spans="1:13" ht="25.5" customHeight="1">
      <c r="B10" s="2568" t="s">
        <v>4416</v>
      </c>
      <c r="C10" s="2568"/>
      <c r="D10" s="2568"/>
      <c r="F10" s="2568" t="s">
        <v>4415</v>
      </c>
      <c r="G10" s="2568"/>
      <c r="H10" s="2568"/>
      <c r="I10" s="1377"/>
      <c r="J10" s="1377"/>
      <c r="K10" s="1377"/>
      <c r="L10" s="1377"/>
      <c r="M10" s="1376"/>
    </row>
    <row r="11" spans="1:13" ht="14">
      <c r="B11" s="1359" t="s">
        <v>4414</v>
      </c>
      <c r="C11" s="1375"/>
      <c r="D11" s="1352" t="s">
        <v>4398</v>
      </c>
      <c r="E11" s="1352"/>
      <c r="F11" s="1359" t="s">
        <v>4413</v>
      </c>
      <c r="G11" s="1375"/>
      <c r="H11" s="1352" t="s">
        <v>4398</v>
      </c>
      <c r="I11" s="2569"/>
      <c r="J11" s="2569"/>
      <c r="K11" s="1351"/>
      <c r="L11" s="1349"/>
      <c r="M11" s="1348"/>
    </row>
    <row r="12" spans="1:13" ht="14">
      <c r="B12" s="1359" t="s">
        <v>4412</v>
      </c>
      <c r="C12" s="1375"/>
      <c r="D12" s="1352" t="s">
        <v>4398</v>
      </c>
      <c r="E12" s="1352"/>
      <c r="F12" s="1359" t="s">
        <v>4411</v>
      </c>
      <c r="G12" s="1375"/>
      <c r="H12" s="1352" t="s">
        <v>4398</v>
      </c>
      <c r="I12" s="1352"/>
      <c r="J12" s="1352"/>
      <c r="K12" s="1351"/>
      <c r="L12" s="1349"/>
      <c r="M12" s="1348"/>
    </row>
    <row r="13" spans="1:13" ht="14">
      <c r="B13" s="1353" t="s">
        <v>4410</v>
      </c>
      <c r="C13" s="1374">
        <f>C11-C12</f>
        <v>0</v>
      </c>
      <c r="D13" s="1352" t="s">
        <v>4398</v>
      </c>
      <c r="E13" s="1352"/>
      <c r="F13" s="1353" t="s">
        <v>4410</v>
      </c>
      <c r="G13" s="1374">
        <f>G11-G12</f>
        <v>0</v>
      </c>
      <c r="H13" s="1352" t="s">
        <v>4398</v>
      </c>
      <c r="I13" s="1352"/>
      <c r="J13" s="1352"/>
      <c r="K13" s="1351"/>
      <c r="L13" s="1349"/>
      <c r="M13" s="1348"/>
    </row>
    <row r="14" spans="1:13" ht="14">
      <c r="B14" s="1353"/>
      <c r="C14" s="1353"/>
      <c r="D14" s="1352"/>
      <c r="E14" s="1352"/>
      <c r="F14" s="1353"/>
      <c r="G14" s="1353"/>
      <c r="H14" s="1352"/>
      <c r="I14" s="1352"/>
      <c r="J14" s="1352"/>
      <c r="K14" s="1351"/>
      <c r="L14" s="1349"/>
      <c r="M14" s="1348"/>
    </row>
    <row r="15" spans="1:13" ht="14">
      <c r="B15" s="1359" t="s">
        <v>4409</v>
      </c>
      <c r="C15" s="1375"/>
      <c r="D15" s="1352" t="s">
        <v>4404</v>
      </c>
      <c r="E15" s="1352"/>
      <c r="F15" s="1359" t="s">
        <v>4408</v>
      </c>
      <c r="G15" s="1375"/>
      <c r="H15" s="1352" t="s">
        <v>4404</v>
      </c>
      <c r="I15" s="1352"/>
      <c r="J15" s="1352"/>
      <c r="K15" s="1351"/>
      <c r="L15" s="1349"/>
      <c r="M15" s="1348"/>
    </row>
    <row r="16" spans="1:13" ht="14">
      <c r="B16" s="1359" t="s">
        <v>4407</v>
      </c>
      <c r="C16" s="1375"/>
      <c r="D16" s="1352" t="s">
        <v>4404</v>
      </c>
      <c r="E16" s="1352"/>
      <c r="F16" s="1359" t="s">
        <v>4406</v>
      </c>
      <c r="G16" s="1375"/>
      <c r="H16" s="1352" t="s">
        <v>4404</v>
      </c>
      <c r="I16" s="1352"/>
      <c r="J16" s="1352"/>
      <c r="K16" s="1351"/>
      <c r="L16" s="1349"/>
      <c r="M16" s="1348"/>
    </row>
    <row r="17" spans="2:13" ht="14">
      <c r="B17" s="1353" t="s">
        <v>4405</v>
      </c>
      <c r="C17" s="1374">
        <f>C15-C16</f>
        <v>0</v>
      </c>
      <c r="D17" s="1352" t="s">
        <v>4404</v>
      </c>
      <c r="E17" s="1352"/>
      <c r="F17" s="1353" t="s">
        <v>4405</v>
      </c>
      <c r="G17" s="1374">
        <f>G15-G16</f>
        <v>0</v>
      </c>
      <c r="H17" s="1352" t="s">
        <v>4404</v>
      </c>
      <c r="I17" s="1352"/>
      <c r="J17" s="1352"/>
      <c r="K17" s="1351"/>
      <c r="L17" s="1349"/>
      <c r="M17" s="1348"/>
    </row>
    <row r="18" spans="2:13" ht="14">
      <c r="B18" s="1353"/>
      <c r="C18" s="1353"/>
      <c r="D18" s="1352"/>
      <c r="E18" s="1352"/>
      <c r="F18" s="1353"/>
      <c r="G18" s="1353"/>
      <c r="H18" s="1352"/>
      <c r="I18" s="1352"/>
      <c r="J18" s="1352"/>
      <c r="K18" s="1351"/>
      <c r="L18" s="1349"/>
      <c r="M18" s="1348"/>
    </row>
    <row r="19" spans="2:13" ht="14">
      <c r="B19" s="1353" t="s">
        <v>4403</v>
      </c>
      <c r="C19" s="1373"/>
      <c r="D19" s="1352" t="s">
        <v>4402</v>
      </c>
      <c r="E19" s="1353"/>
      <c r="F19" s="1353" t="s">
        <v>4403</v>
      </c>
      <c r="G19" s="1373"/>
      <c r="H19" s="1352" t="s">
        <v>4402</v>
      </c>
      <c r="I19" s="1352"/>
      <c r="J19" s="1352"/>
      <c r="K19" s="1351"/>
      <c r="L19" s="1349"/>
      <c r="M19" s="1348"/>
    </row>
    <row r="20" spans="2:13" ht="14">
      <c r="D20" s="1353"/>
      <c r="E20" s="1353"/>
      <c r="F20" s="1353"/>
      <c r="G20" s="1353"/>
      <c r="H20" s="1353"/>
      <c r="I20" s="1352"/>
      <c r="J20" s="1352"/>
      <c r="K20" s="1351"/>
      <c r="L20" s="1349"/>
      <c r="M20" s="1348"/>
    </row>
    <row r="21" spans="2:13" ht="25.5" customHeight="1" thickBot="1">
      <c r="B21" s="2565" t="s">
        <v>4401</v>
      </c>
      <c r="C21" s="2565"/>
      <c r="D21" s="2565"/>
      <c r="E21" s="2565"/>
      <c r="F21" s="2565"/>
      <c r="G21" s="2565"/>
      <c r="H21" s="2565"/>
      <c r="I21" s="2565"/>
      <c r="J21" s="2565"/>
      <c r="K21" s="2565"/>
      <c r="L21" s="1364"/>
      <c r="M21" s="1364"/>
    </row>
    <row r="22" spans="2:13" ht="14">
      <c r="B22" s="1353"/>
      <c r="C22" s="1353"/>
      <c r="D22" s="1353"/>
      <c r="E22" s="1353"/>
      <c r="F22" s="1353"/>
      <c r="G22" s="1353"/>
      <c r="H22" s="1353"/>
      <c r="I22" s="1352"/>
      <c r="J22" s="1352"/>
      <c r="K22" s="1351"/>
      <c r="L22" s="1349"/>
      <c r="M22" s="1348"/>
    </row>
    <row r="23" spans="2:13" ht="14">
      <c r="B23" s="1368" t="s">
        <v>4400</v>
      </c>
      <c r="C23" s="2572"/>
      <c r="D23" s="2572"/>
      <c r="E23" s="2572"/>
      <c r="F23" s="2572"/>
      <c r="G23" s="2572"/>
      <c r="H23" s="1353"/>
      <c r="I23" s="1352"/>
      <c r="J23" s="1352"/>
      <c r="K23" s="1351"/>
      <c r="L23" s="1349"/>
      <c r="M23" s="1348"/>
    </row>
    <row r="24" spans="2:13" ht="14">
      <c r="B24" s="1368" t="s">
        <v>4399</v>
      </c>
      <c r="C24" s="1372"/>
      <c r="D24" s="1352" t="s">
        <v>4398</v>
      </c>
      <c r="E24" s="1354"/>
      <c r="F24" s="1354"/>
      <c r="G24" s="1354"/>
      <c r="H24" s="1353"/>
      <c r="I24" s="1352"/>
      <c r="J24" s="1352"/>
      <c r="K24" s="1351"/>
      <c r="L24" s="1349"/>
      <c r="M24" s="1348"/>
    </row>
    <row r="25" spans="2:13" ht="14">
      <c r="B25" s="1368" t="s">
        <v>4397</v>
      </c>
      <c r="C25" s="1371"/>
      <c r="D25" s="1354"/>
      <c r="E25" s="1354"/>
      <c r="F25" s="1354"/>
      <c r="G25" s="1354"/>
      <c r="H25" s="1353"/>
      <c r="I25" s="1352"/>
      <c r="J25" s="1352"/>
      <c r="K25" s="1351"/>
      <c r="L25" s="1349"/>
      <c r="M25" s="1348"/>
    </row>
    <row r="26" spans="2:13" ht="14">
      <c r="B26" s="1368" t="s">
        <v>4396</v>
      </c>
      <c r="C26" s="1370"/>
      <c r="D26" s="1354"/>
      <c r="E26" s="1354"/>
      <c r="F26" s="1354"/>
      <c r="G26" s="1354"/>
      <c r="H26" s="1353"/>
      <c r="I26" s="1352"/>
      <c r="J26" s="1352"/>
      <c r="K26" s="1351"/>
      <c r="L26" s="1349"/>
      <c r="M26" s="1348"/>
    </row>
    <row r="27" spans="2:13" ht="14">
      <c r="B27" s="1359"/>
      <c r="C27" s="1359"/>
      <c r="D27" s="1354"/>
      <c r="E27" s="1354"/>
      <c r="F27" s="1354"/>
      <c r="G27" s="1354"/>
      <c r="H27" s="1353"/>
      <c r="I27" s="1352"/>
      <c r="J27" s="1352"/>
      <c r="K27" s="1351"/>
      <c r="L27" s="1349"/>
      <c r="M27" s="1348"/>
    </row>
    <row r="28" spans="2:13" ht="14">
      <c r="B28" s="1353" t="s">
        <v>4395</v>
      </c>
      <c r="C28" s="1369">
        <f>C19*C13*C26</f>
        <v>0</v>
      </c>
      <c r="D28" s="1354" t="s">
        <v>4386</v>
      </c>
      <c r="E28" s="1354"/>
      <c r="F28" s="1354"/>
      <c r="G28" s="1354"/>
      <c r="H28" s="1353"/>
      <c r="I28" s="1352"/>
      <c r="J28" s="1352"/>
      <c r="K28" s="1351"/>
      <c r="L28" s="1349"/>
      <c r="M28" s="1348"/>
    </row>
    <row r="29" spans="2:13" ht="14">
      <c r="B29" s="1359"/>
      <c r="C29" s="1349"/>
      <c r="D29" s="1354"/>
      <c r="E29" s="1354"/>
      <c r="F29" s="1354"/>
      <c r="G29" s="1354"/>
      <c r="H29" s="1353"/>
      <c r="I29" s="1352"/>
      <c r="J29" s="1352"/>
      <c r="K29" s="1351"/>
      <c r="L29" s="1349"/>
      <c r="M29" s="1348"/>
    </row>
    <row r="30" spans="2:13" ht="25.5" customHeight="1" thickBot="1">
      <c r="B30" s="2565" t="s">
        <v>4394</v>
      </c>
      <c r="C30" s="2565"/>
      <c r="D30" s="2565"/>
      <c r="E30" s="2565"/>
      <c r="F30" s="2565"/>
      <c r="G30" s="2565"/>
      <c r="H30" s="2565"/>
      <c r="I30" s="2565"/>
      <c r="J30" s="2565"/>
      <c r="K30" s="2565"/>
      <c r="L30" s="1364"/>
      <c r="M30" s="1364"/>
    </row>
    <row r="31" spans="2:13" ht="14">
      <c r="B31" s="1363" t="s">
        <v>4393</v>
      </c>
      <c r="C31" s="1353"/>
      <c r="D31" s="1353"/>
      <c r="E31" s="1353"/>
      <c r="F31" s="1353"/>
      <c r="G31" s="1353"/>
      <c r="H31" s="1353"/>
      <c r="I31" s="1352"/>
      <c r="J31" s="1352"/>
      <c r="K31" s="1351"/>
      <c r="L31" s="1349"/>
      <c r="M31" s="1348"/>
    </row>
    <row r="32" spans="2:13" ht="14">
      <c r="B32" s="1363"/>
      <c r="C32" s="1353"/>
      <c r="D32" s="1353"/>
      <c r="E32" s="1353"/>
      <c r="F32" s="1353"/>
      <c r="G32" s="1353"/>
      <c r="H32" s="1353"/>
      <c r="I32" s="1352"/>
      <c r="J32" s="1352"/>
      <c r="K32" s="1351"/>
      <c r="L32" s="1349"/>
      <c r="M32" s="1348"/>
    </row>
    <row r="33" spans="2:13" ht="14">
      <c r="B33" s="1368" t="s">
        <v>4392</v>
      </c>
      <c r="C33" s="1367"/>
      <c r="D33" s="1352" t="s">
        <v>4391</v>
      </c>
      <c r="E33" s="1353"/>
      <c r="F33" s="1353"/>
      <c r="G33" s="1353"/>
      <c r="H33" s="1353"/>
      <c r="I33" s="1352"/>
      <c r="J33" s="1352"/>
      <c r="K33" s="1351"/>
      <c r="L33" s="1349"/>
      <c r="M33" s="1348"/>
    </row>
    <row r="34" spans="2:13" ht="14">
      <c r="B34" s="1368" t="s">
        <v>4390</v>
      </c>
      <c r="C34" s="1367"/>
      <c r="D34" s="1352" t="s">
        <v>4389</v>
      </c>
      <c r="E34" s="1354"/>
      <c r="F34" s="1354"/>
      <c r="G34" s="1354"/>
      <c r="H34" s="1353"/>
      <c r="I34" s="1352"/>
      <c r="J34" s="1352"/>
      <c r="K34" s="1351"/>
      <c r="L34" s="1349"/>
      <c r="M34" s="1348"/>
    </row>
    <row r="35" spans="2:13" ht="14">
      <c r="B35" s="1368" t="s">
        <v>4218</v>
      </c>
      <c r="C35" s="1367"/>
      <c r="D35" s="1354"/>
      <c r="E35" s="1354"/>
      <c r="F35" s="1354"/>
      <c r="G35" s="1354"/>
      <c r="H35" s="1353"/>
      <c r="I35" s="1352"/>
      <c r="J35" s="1352"/>
      <c r="K35" s="1351"/>
      <c r="L35" s="1349"/>
      <c r="M35" s="1348"/>
    </row>
    <row r="36" spans="2:13" ht="14">
      <c r="B36" s="1353" t="s">
        <v>4388</v>
      </c>
      <c r="C36" s="1366">
        <f>IF(C35=1,0.85*C34*C33,SQRT(3)*0.85*C34*C33)</f>
        <v>0</v>
      </c>
      <c r="D36" s="1354" t="s">
        <v>3798</v>
      </c>
      <c r="E36" s="1354"/>
      <c r="F36" s="1354"/>
      <c r="G36" s="1354"/>
      <c r="H36" s="1353"/>
      <c r="I36" s="1352"/>
      <c r="J36" s="1352"/>
      <c r="K36" s="1351"/>
      <c r="L36" s="1349"/>
      <c r="M36" s="1348"/>
    </row>
    <row r="37" spans="2:13" ht="14">
      <c r="B37" s="1359"/>
      <c r="C37" s="1359"/>
      <c r="D37" s="1354"/>
      <c r="E37" s="1354"/>
      <c r="F37" s="1354"/>
      <c r="G37" s="1354"/>
      <c r="H37" s="1353"/>
      <c r="I37" s="1352"/>
      <c r="J37" s="1352"/>
      <c r="K37" s="1351"/>
      <c r="L37" s="1349"/>
      <c r="M37" s="1348"/>
    </row>
    <row r="38" spans="2:13" ht="14">
      <c r="B38" s="1353" t="s">
        <v>4387</v>
      </c>
      <c r="C38" s="1366">
        <f>C28+References!BY47*C36</f>
        <v>0</v>
      </c>
      <c r="D38" s="1354" t="s">
        <v>4386</v>
      </c>
      <c r="E38" s="1354"/>
      <c r="F38" s="1354"/>
      <c r="G38" s="1354"/>
      <c r="H38" s="1353"/>
      <c r="I38" s="1352"/>
      <c r="J38" s="1352"/>
      <c r="K38" s="1351"/>
      <c r="L38" s="1349"/>
      <c r="M38" s="1348"/>
    </row>
    <row r="39" spans="2:13" ht="14">
      <c r="B39" s="1353"/>
      <c r="C39" s="1353"/>
      <c r="D39" s="1354"/>
      <c r="E39" s="1354"/>
      <c r="F39" s="1354"/>
      <c r="G39" s="1354"/>
      <c r="H39" s="1353"/>
      <c r="I39" s="1352"/>
      <c r="J39" s="1352"/>
      <c r="K39" s="1351"/>
      <c r="L39" s="1349"/>
      <c r="M39" s="1348"/>
    </row>
    <row r="40" spans="2:13" ht="14">
      <c r="B40" s="1353" t="s">
        <v>4375</v>
      </c>
      <c r="C40" s="1365" t="str">
        <f>IFERROR(C38/(References!BY47*C36),"")</f>
        <v/>
      </c>
      <c r="D40" s="1354"/>
      <c r="E40" s="1354"/>
      <c r="F40" s="1354"/>
      <c r="G40" s="1354"/>
      <c r="H40" s="1353"/>
      <c r="I40" s="1352"/>
      <c r="J40" s="1352"/>
      <c r="K40" s="1351"/>
      <c r="L40" s="1349"/>
      <c r="M40" s="1348"/>
    </row>
    <row r="41" spans="2:13" ht="14">
      <c r="B41" s="1353"/>
      <c r="C41" s="1353"/>
      <c r="D41" s="1354"/>
      <c r="E41" s="1354"/>
      <c r="F41" s="1354"/>
      <c r="G41" s="1354"/>
      <c r="H41" s="1353"/>
      <c r="I41" s="1352"/>
      <c r="J41" s="1352"/>
      <c r="K41" s="1351"/>
      <c r="L41" s="1349"/>
      <c r="M41" s="1348"/>
    </row>
    <row r="42" spans="2:13" ht="25.5" customHeight="1" thickBot="1">
      <c r="B42" s="2565" t="s">
        <v>4385</v>
      </c>
      <c r="C42" s="2565"/>
      <c r="D42" s="2565"/>
      <c r="E42" s="2565"/>
      <c r="F42" s="2565"/>
      <c r="G42" s="2565"/>
      <c r="H42" s="2565"/>
      <c r="I42" s="2565"/>
      <c r="J42" s="2565"/>
      <c r="K42" s="2565"/>
      <c r="L42" s="1364"/>
      <c r="M42" s="1364"/>
    </row>
    <row r="43" spans="2:13" ht="14">
      <c r="B43" s="1363"/>
      <c r="C43" s="1353"/>
      <c r="D43" s="1353"/>
      <c r="E43" s="1353"/>
      <c r="F43" s="1353"/>
      <c r="G43" s="1353"/>
      <c r="H43" s="1353"/>
      <c r="I43" s="1352"/>
      <c r="J43" s="1352"/>
      <c r="K43" s="1351"/>
      <c r="L43" s="1349"/>
      <c r="M43" s="1348"/>
    </row>
    <row r="44" spans="2:13" s="1359" customFormat="1" ht="30" customHeight="1">
      <c r="B44" s="1362" t="s">
        <v>4384</v>
      </c>
      <c r="C44" s="1362" t="s">
        <v>4383</v>
      </c>
      <c r="D44" s="1362" t="s">
        <v>4382</v>
      </c>
      <c r="E44" s="1362" t="s">
        <v>4381</v>
      </c>
      <c r="F44" s="1362" t="s">
        <v>4380</v>
      </c>
      <c r="G44" s="1362" t="s">
        <v>4379</v>
      </c>
      <c r="H44" s="1353"/>
      <c r="I44" s="1351"/>
      <c r="J44" s="1351"/>
      <c r="K44" s="1351"/>
      <c r="L44" s="1361"/>
      <c r="M44" s="1360"/>
    </row>
    <row r="45" spans="2:13" ht="14">
      <c r="B45" s="1357" t="s">
        <v>4378</v>
      </c>
      <c r="C45" s="1358">
        <f>C28</f>
        <v>0</v>
      </c>
      <c r="D45" s="882"/>
      <c r="E45" s="1355" t="str">
        <f>IF(ISBLANK(D45),"",IFERROR(D45/C45-1,""))</f>
        <v/>
      </c>
      <c r="F45" s="882"/>
      <c r="G45" s="882"/>
      <c r="H45" s="1353"/>
      <c r="I45" s="1352"/>
      <c r="J45" s="1352"/>
      <c r="K45" s="1351"/>
      <c r="L45" s="1349"/>
      <c r="M45" s="1348"/>
    </row>
    <row r="46" spans="2:13" ht="14">
      <c r="B46" s="1357" t="s">
        <v>4377</v>
      </c>
      <c r="C46" s="1358">
        <f>C38</f>
        <v>0</v>
      </c>
      <c r="D46" s="882"/>
      <c r="E46" s="1355" t="str">
        <f>IF(ISBLANK(D46),"",IFERROR(D46/C46-1,""))</f>
        <v/>
      </c>
      <c r="F46" s="882"/>
      <c r="G46" s="882"/>
      <c r="H46" s="1353"/>
      <c r="I46" s="1352"/>
      <c r="J46" s="1352"/>
      <c r="K46" s="1351"/>
      <c r="L46" s="1349"/>
      <c r="M46" s="1348"/>
    </row>
    <row r="47" spans="2:13" ht="14">
      <c r="B47" s="1357" t="s">
        <v>4376</v>
      </c>
      <c r="C47" s="1358">
        <f>C36</f>
        <v>0</v>
      </c>
      <c r="D47" s="882"/>
      <c r="E47" s="1355" t="str">
        <f>IF(ISBLANK(D47),"",IFERROR(D47/C47-1,""))</f>
        <v/>
      </c>
      <c r="F47" s="882"/>
      <c r="G47" s="882"/>
      <c r="H47" s="1353"/>
      <c r="I47" s="1352"/>
      <c r="J47" s="1352"/>
      <c r="K47" s="1351"/>
      <c r="L47" s="1349"/>
      <c r="M47" s="1348"/>
    </row>
    <row r="48" spans="2:13" ht="14">
      <c r="B48" s="1357" t="s">
        <v>4375</v>
      </c>
      <c r="C48" s="1356" t="str">
        <f>C40</f>
        <v/>
      </c>
      <c r="D48" s="882"/>
      <c r="E48" s="1355" t="str">
        <f>IF(ISBLANK(D48),"",IFERROR(D48/C48-1,""))</f>
        <v/>
      </c>
      <c r="F48" s="882"/>
      <c r="G48" s="882"/>
      <c r="H48" s="1353"/>
      <c r="I48" s="1352"/>
      <c r="J48" s="1352"/>
      <c r="K48" s="1351"/>
      <c r="L48" s="1349"/>
      <c r="M48" s="1348"/>
    </row>
    <row r="49" spans="2:13" ht="14">
      <c r="B49" s="1353"/>
      <c r="C49" s="1353"/>
      <c r="D49" s="1354"/>
      <c r="E49" s="1354"/>
      <c r="F49" s="1354"/>
      <c r="G49" s="1354"/>
      <c r="H49" s="1353"/>
      <c r="I49" s="1352"/>
      <c r="J49" s="1352"/>
      <c r="K49" s="1351"/>
      <c r="L49" s="1349"/>
      <c r="M49" s="1348"/>
    </row>
    <row r="50" spans="2:13" ht="22.4" customHeight="1">
      <c r="B50" s="1350" t="s">
        <v>4374</v>
      </c>
      <c r="C50" s="2570"/>
      <c r="D50" s="2570"/>
      <c r="E50" s="2570"/>
      <c r="F50" s="2570"/>
      <c r="G50" s="2570"/>
      <c r="H50" s="2570"/>
      <c r="I50" s="2570"/>
      <c r="J50" s="2570"/>
      <c r="K50" s="2570"/>
      <c r="L50" s="1349"/>
      <c r="M50" s="1348"/>
    </row>
    <row r="51" spans="2:13" ht="22.4" customHeight="1">
      <c r="B51" s="2571"/>
      <c r="C51" s="2571"/>
      <c r="D51" s="2571"/>
      <c r="E51" s="2571"/>
      <c r="F51" s="2571"/>
      <c r="G51" s="2571"/>
      <c r="H51" s="2571"/>
      <c r="I51" s="2571"/>
      <c r="J51" s="2571"/>
      <c r="K51" s="2571"/>
      <c r="L51" s="1349"/>
      <c r="M51" s="1348"/>
    </row>
    <row r="52" spans="2:13" ht="15.5">
      <c r="B52" s="1347"/>
      <c r="I52" s="1346"/>
    </row>
    <row r="53" spans="2:13" ht="32.15" customHeight="1">
      <c r="B53" s="2567" t="s">
        <v>4373</v>
      </c>
      <c r="C53" s="2567"/>
      <c r="D53" s="2564"/>
      <c r="E53" s="2564"/>
      <c r="F53" s="2564"/>
      <c r="G53" s="2564"/>
      <c r="I53" s="1346" t="s">
        <v>9</v>
      </c>
      <c r="J53" s="2566"/>
      <c r="K53" s="2566"/>
    </row>
    <row r="54" spans="2:13" customFormat="1" ht="32.15" customHeight="1"/>
    <row r="55" spans="2:13" ht="14">
      <c r="B55" s="63" t="s">
        <v>223</v>
      </c>
      <c r="C55" s="1344" t="str">
        <f>Development!A3&amp;"_"&amp;Version</f>
        <v>2024_2.0</v>
      </c>
      <c r="D55" s="1345"/>
      <c r="E55" s="1345"/>
      <c r="F55" s="1344"/>
      <c r="G55" s="1344"/>
      <c r="H55" s="1344"/>
      <c r="I55" s="67"/>
      <c r="J55" s="1343" t="s">
        <v>225</v>
      </c>
      <c r="K55" s="65" t="str">
        <f>Development!A4</f>
        <v>4.01.2024</v>
      </c>
    </row>
    <row r="56" spans="2:13" ht="14" hidden="1"/>
    <row r="57" spans="2:13" ht="14" hidden="1"/>
    <row r="58" spans="2:13" ht="14" hidden="1"/>
    <row r="59" spans="2:13" ht="14" hidden="1"/>
    <row r="60" spans="2:13" ht="14" hidden="1"/>
    <row r="61" spans="2:13" ht="14" hidden="1"/>
    <row r="62" spans="2:13" ht="13.9" hidden="1" customHeight="1"/>
    <row r="63" spans="2:13" ht="13.9" hidden="1" customHeight="1"/>
    <row r="64" spans="2:13" ht="13.9" hidden="1" customHeight="1"/>
    <row r="65" ht="13.9" hidden="1" customHeight="1"/>
    <row r="66" ht="13.9" hidden="1" customHeight="1"/>
    <row r="67" ht="13.9" hidden="1" customHeight="1"/>
    <row r="68" ht="13.9" hidden="1" customHeight="1"/>
    <row r="69" ht="13.9" hidden="1" customHeight="1"/>
    <row r="70" ht="13.9" hidden="1" customHeight="1"/>
    <row r="71" ht="13.9" hidden="1" customHeight="1"/>
    <row r="72" ht="13.9" hidden="1" customHeight="1"/>
    <row r="73" ht="13.9" hidden="1" customHeight="1"/>
    <row r="74" ht="13.9" hidden="1" customHeight="1"/>
    <row r="75" ht="13.9" hidden="1" customHeight="1"/>
    <row r="76" ht="13.9" hidden="1" customHeight="1"/>
    <row r="77" ht="13.9" hidden="1" customHeight="1"/>
    <row r="78" ht="13.9" hidden="1" customHeight="1"/>
    <row r="79" ht="13.9" hidden="1" customHeight="1"/>
    <row r="80" ht="13.9" hidden="1" customHeight="1"/>
    <row r="81" ht="13.9" hidden="1" customHeight="1"/>
    <row r="82" ht="13.9" hidden="1" customHeight="1"/>
    <row r="83" ht="13.9" hidden="1" customHeight="1"/>
    <row r="84" ht="13.9" hidden="1" customHeight="1"/>
    <row r="85" ht="13.9" hidden="1" customHeight="1"/>
    <row r="86" ht="13.9" hidden="1" customHeight="1"/>
    <row r="87" ht="13.9" hidden="1" customHeight="1"/>
    <row r="88" ht="13.9" hidden="1" customHeight="1"/>
    <row r="89" ht="13.9" hidden="1" customHeight="1"/>
    <row r="90" ht="13.9" hidden="1" customHeight="1"/>
    <row r="91" ht="13.9" hidden="1" customHeight="1"/>
    <row r="92" ht="13.9" hidden="1" customHeight="1"/>
    <row r="93" ht="13.9" hidden="1" customHeight="1"/>
    <row r="94" ht="13.9" hidden="1" customHeight="1"/>
    <row r="95" ht="13.9" hidden="1" customHeight="1"/>
    <row r="96" ht="13.9" hidden="1" customHeight="1"/>
    <row r="97" ht="13.9" hidden="1" customHeight="1"/>
    <row r="98" ht="13.9" hidden="1" customHeight="1"/>
    <row r="99" ht="13.9" hidden="1" customHeight="1"/>
    <row r="100" ht="13.9" hidden="1" customHeight="1"/>
    <row r="101" ht="13.9" hidden="1" customHeight="1"/>
    <row r="102" ht="13.9" hidden="1" customHeight="1"/>
  </sheetData>
  <mergeCells count="15">
    <mergeCell ref="C4:F4"/>
    <mergeCell ref="B8:K8"/>
    <mergeCell ref="B42:K42"/>
    <mergeCell ref="D53:G53"/>
    <mergeCell ref="J53:K53"/>
    <mergeCell ref="B53:C53"/>
    <mergeCell ref="C6:F6"/>
    <mergeCell ref="B10:D10"/>
    <mergeCell ref="F10:H10"/>
    <mergeCell ref="B21:K21"/>
    <mergeCell ref="I11:J11"/>
    <mergeCell ref="C50:K50"/>
    <mergeCell ref="B51:K51"/>
    <mergeCell ref="C23:G23"/>
    <mergeCell ref="B30:K30"/>
  </mergeCells>
  <pageMargins left="0.7" right="0.7" top="1.0416666666666666E-2" bottom="0.75" header="0.3" footer="0.3"/>
  <pageSetup scale="62"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25633" r:id="rId4" name="Group Box 1">
              <controlPr defaultSize="0" autoFill="0" autoPict="0">
                <anchor moveWithCells="1">
                  <from>
                    <xdr:col>0</xdr:col>
                    <xdr:colOff>95250</xdr:colOff>
                    <xdr:row>10</xdr:row>
                    <xdr:rowOff>0</xdr:rowOff>
                  </from>
                  <to>
                    <xdr:col>2</xdr:col>
                    <xdr:colOff>717550</xdr:colOff>
                    <xdr:row>15</xdr:row>
                    <xdr:rowOff>88900</xdr:rowOff>
                  </to>
                </anchor>
              </controlPr>
            </control>
          </mc:Choice>
        </mc:AlternateContent>
        <mc:AlternateContent xmlns:mc="http://schemas.openxmlformats.org/markup-compatibility/2006">
          <mc:Choice Requires="x14">
            <control shapeId="325634" r:id="rId5" name="Group Box 2">
              <controlPr defaultSize="0" autoFill="0" autoPict="0">
                <anchor moveWithCells="1">
                  <from>
                    <xdr:col>0</xdr:col>
                    <xdr:colOff>95250</xdr:colOff>
                    <xdr:row>10</xdr:row>
                    <xdr:rowOff>0</xdr:rowOff>
                  </from>
                  <to>
                    <xdr:col>2</xdr:col>
                    <xdr:colOff>622300</xdr:colOff>
                    <xdr:row>14</xdr:row>
                    <xdr:rowOff>165100</xdr:rowOff>
                  </to>
                </anchor>
              </controlPr>
            </control>
          </mc:Choice>
        </mc:AlternateContent>
        <mc:AlternateContent xmlns:mc="http://schemas.openxmlformats.org/markup-compatibility/2006">
          <mc:Choice Requires="x14">
            <control shapeId="325635" r:id="rId6" name="Group Box 3">
              <controlPr defaultSize="0" autoFill="0" autoPict="0">
                <anchor moveWithCells="1">
                  <from>
                    <xdr:col>0</xdr:col>
                    <xdr:colOff>95250</xdr:colOff>
                    <xdr:row>11</xdr:row>
                    <xdr:rowOff>0</xdr:rowOff>
                  </from>
                  <to>
                    <xdr:col>2</xdr:col>
                    <xdr:colOff>622300</xdr:colOff>
                    <xdr:row>15</xdr:row>
                    <xdr:rowOff>88900</xdr:rowOff>
                  </to>
                </anchor>
              </controlPr>
            </control>
          </mc:Choice>
        </mc:AlternateContent>
        <mc:AlternateContent xmlns:mc="http://schemas.openxmlformats.org/markup-compatibility/2006">
          <mc:Choice Requires="x14">
            <control shapeId="325636" r:id="rId7" name="Group Box 4">
              <controlPr defaultSize="0" autoFill="0" autoPict="0">
                <anchor moveWithCells="1">
                  <from>
                    <xdr:col>0</xdr:col>
                    <xdr:colOff>95250</xdr:colOff>
                    <xdr:row>10</xdr:row>
                    <xdr:rowOff>0</xdr:rowOff>
                  </from>
                  <to>
                    <xdr:col>2</xdr:col>
                    <xdr:colOff>622300</xdr:colOff>
                    <xdr:row>14</xdr:row>
                    <xdr:rowOff>88900</xdr:rowOff>
                  </to>
                </anchor>
              </controlPr>
            </control>
          </mc:Choice>
        </mc:AlternateContent>
        <mc:AlternateContent xmlns:mc="http://schemas.openxmlformats.org/markup-compatibility/2006">
          <mc:Choice Requires="x14">
            <control shapeId="325637" r:id="rId8" name="Group Box 5">
              <controlPr defaultSize="0" autoFill="0" autoPict="0">
                <anchor moveWithCells="1">
                  <from>
                    <xdr:col>4</xdr:col>
                    <xdr:colOff>88900</xdr:colOff>
                    <xdr:row>10</xdr:row>
                    <xdr:rowOff>0</xdr:rowOff>
                  </from>
                  <to>
                    <xdr:col>6</xdr:col>
                    <xdr:colOff>133350</xdr:colOff>
                    <xdr:row>14</xdr:row>
                    <xdr:rowOff>88900</xdr:rowOff>
                  </to>
                </anchor>
              </controlPr>
            </control>
          </mc:Choice>
        </mc:AlternateContent>
        <mc:AlternateContent xmlns:mc="http://schemas.openxmlformats.org/markup-compatibility/2006">
          <mc:Choice Requires="x14">
            <control shapeId="325638" r:id="rId9" name="Group Box 6">
              <controlPr defaultSize="0" autoFill="0" autoPict="0">
                <anchor moveWithCells="1">
                  <from>
                    <xdr:col>4</xdr:col>
                    <xdr:colOff>88900</xdr:colOff>
                    <xdr:row>10</xdr:row>
                    <xdr:rowOff>0</xdr:rowOff>
                  </from>
                  <to>
                    <xdr:col>6</xdr:col>
                    <xdr:colOff>133350</xdr:colOff>
                    <xdr:row>14</xdr:row>
                    <xdr:rowOff>88900</xdr:rowOff>
                  </to>
                </anchor>
              </controlPr>
            </control>
          </mc:Choice>
        </mc:AlternateContent>
        <mc:AlternateContent xmlns:mc="http://schemas.openxmlformats.org/markup-compatibility/2006">
          <mc:Choice Requires="x14">
            <control shapeId="325639" r:id="rId10" name="Group Box 7">
              <controlPr defaultSize="0" autoFill="0" autoPict="0">
                <anchor moveWithCells="1">
                  <from>
                    <xdr:col>4</xdr:col>
                    <xdr:colOff>88900</xdr:colOff>
                    <xdr:row>10</xdr:row>
                    <xdr:rowOff>0</xdr:rowOff>
                  </from>
                  <to>
                    <xdr:col>6</xdr:col>
                    <xdr:colOff>190500</xdr:colOff>
                    <xdr:row>14</xdr:row>
                    <xdr:rowOff>165100</xdr:rowOff>
                  </to>
                </anchor>
              </controlPr>
            </control>
          </mc:Choice>
        </mc:AlternateContent>
        <mc:AlternateContent xmlns:mc="http://schemas.openxmlformats.org/markup-compatibility/2006">
          <mc:Choice Requires="x14">
            <control shapeId="325640" r:id="rId11" name="Group Box 8">
              <controlPr defaultSize="0" autoFill="0" autoPict="0">
                <anchor moveWithCells="1">
                  <from>
                    <xdr:col>4</xdr:col>
                    <xdr:colOff>88900</xdr:colOff>
                    <xdr:row>10</xdr:row>
                    <xdr:rowOff>0</xdr:rowOff>
                  </from>
                  <to>
                    <xdr:col>6</xdr:col>
                    <xdr:colOff>133350</xdr:colOff>
                    <xdr:row>14</xdr:row>
                    <xdr:rowOff>88900</xdr:rowOff>
                  </to>
                </anchor>
              </controlPr>
            </control>
          </mc:Choice>
        </mc:AlternateContent>
        <mc:AlternateContent xmlns:mc="http://schemas.openxmlformats.org/markup-compatibility/2006">
          <mc:Choice Requires="x14">
            <control shapeId="325641" r:id="rId12" name="Group Box 9">
              <controlPr defaultSize="0" autoFill="0" autoPict="0">
                <anchor moveWithCells="1">
                  <from>
                    <xdr:col>4</xdr:col>
                    <xdr:colOff>88900</xdr:colOff>
                    <xdr:row>11</xdr:row>
                    <xdr:rowOff>0</xdr:rowOff>
                  </from>
                  <to>
                    <xdr:col>6</xdr:col>
                    <xdr:colOff>133350</xdr:colOff>
                    <xdr:row>15</xdr:row>
                    <xdr:rowOff>88900</xdr:rowOff>
                  </to>
                </anchor>
              </controlPr>
            </control>
          </mc:Choice>
        </mc:AlternateContent>
        <mc:AlternateContent xmlns:mc="http://schemas.openxmlformats.org/markup-compatibility/2006">
          <mc:Choice Requires="x14">
            <control shapeId="325642" r:id="rId13" name="Group Box 10">
              <controlPr defaultSize="0" autoFill="0" autoPict="0">
                <anchor moveWithCells="1">
                  <from>
                    <xdr:col>4</xdr:col>
                    <xdr:colOff>88900</xdr:colOff>
                    <xdr:row>10</xdr:row>
                    <xdr:rowOff>0</xdr:rowOff>
                  </from>
                  <to>
                    <xdr:col>6</xdr:col>
                    <xdr:colOff>133350</xdr:colOff>
                    <xdr:row>14</xdr:row>
                    <xdr:rowOff>88900</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0000"/>
  </sheetPr>
  <dimension ref="A2:CQ164"/>
  <sheetViews>
    <sheetView zoomScale="85" zoomScaleNormal="85" workbookViewId="0">
      <selection activeCell="AH27" sqref="AH27"/>
    </sheetView>
  </sheetViews>
  <sheetFormatPr defaultRowHeight="14.5"/>
  <cols>
    <col min="1" max="1" width="11.453125" bestFit="1" customWidth="1"/>
    <col min="2" max="2" width="14.81640625" customWidth="1"/>
    <col min="3" max="3" width="13.453125" customWidth="1"/>
    <col min="4" max="4" width="11.453125" customWidth="1"/>
    <col min="5" max="5" width="45.1796875" customWidth="1"/>
    <col min="6" max="6" width="13.1796875" bestFit="1" customWidth="1"/>
    <col min="7" max="7" width="12.54296875" bestFit="1" customWidth="1"/>
    <col min="8" max="8" width="14.1796875" bestFit="1" customWidth="1"/>
    <col min="9" max="9" width="14.1796875" customWidth="1"/>
    <col min="10" max="10" width="12.81640625" bestFit="1" customWidth="1"/>
    <col min="11" max="11" width="12.453125" bestFit="1" customWidth="1"/>
    <col min="12" max="12" width="12.7265625" bestFit="1" customWidth="1"/>
    <col min="13" max="13" width="11.453125" bestFit="1" customWidth="1"/>
    <col min="14" max="14" width="14.1796875" bestFit="1" customWidth="1"/>
    <col min="15" max="15" width="11.54296875" customWidth="1"/>
    <col min="16" max="16" width="10.81640625" customWidth="1"/>
    <col min="19" max="19" width="13" customWidth="1"/>
    <col min="20" max="20" width="15.26953125" customWidth="1"/>
    <col min="21" max="21" width="17.81640625" customWidth="1"/>
    <col min="22" max="22" width="13.26953125" customWidth="1"/>
    <col min="24" max="24" width="24.26953125" customWidth="1"/>
    <col min="25" max="25" width="12.7265625" customWidth="1"/>
    <col min="26" max="26" width="24.26953125" customWidth="1"/>
    <col min="27" max="27" width="12.7265625" customWidth="1"/>
    <col min="28" max="28" width="36.54296875" bestFit="1" customWidth="1"/>
    <col min="29" max="29" width="21.7265625" customWidth="1"/>
    <col min="30" max="30" width="19.26953125" customWidth="1"/>
    <col min="31" max="31" width="18.26953125" customWidth="1"/>
    <col min="32" max="32" width="19.81640625" customWidth="1"/>
    <col min="33" max="33" width="19.1796875" customWidth="1"/>
    <col min="34" max="34" width="21.54296875" customWidth="1"/>
    <col min="35" max="35" width="18.81640625" customWidth="1"/>
    <col min="36" max="36" width="14.1796875" customWidth="1"/>
    <col min="37" max="37" width="14.453125" customWidth="1"/>
    <col min="38" max="38" width="22.453125" customWidth="1"/>
    <col min="39" max="40" width="13.453125" customWidth="1"/>
    <col min="41" max="41" width="13.1796875" customWidth="1"/>
    <col min="42" max="42" width="10.81640625" customWidth="1"/>
    <col min="43" max="43" width="14.81640625" customWidth="1"/>
    <col min="44" max="44" width="13" customWidth="1"/>
    <col min="45" max="45" width="12.26953125" bestFit="1" customWidth="1"/>
    <col min="46" max="46" width="13.54296875" bestFit="1" customWidth="1"/>
    <col min="47" max="47" width="12.453125" customWidth="1"/>
    <col min="48" max="48" width="15.453125" customWidth="1"/>
    <col min="49" max="49" width="14.453125" customWidth="1"/>
    <col min="50" max="50" width="18.81640625" customWidth="1"/>
    <col min="51" max="51" width="29.7265625" customWidth="1"/>
    <col min="52" max="52" width="17.54296875" bestFit="1" customWidth="1"/>
    <col min="53" max="53" width="18.54296875" bestFit="1" customWidth="1"/>
    <col min="54" max="54" width="54.453125" customWidth="1"/>
    <col min="55" max="55" width="23.54296875" bestFit="1" customWidth="1"/>
    <col min="56" max="56" width="23.453125" bestFit="1" customWidth="1"/>
    <col min="57" max="57" width="18.453125" customWidth="1"/>
    <col min="58" max="58" width="19.7265625" bestFit="1" customWidth="1"/>
    <col min="59" max="59" width="14.26953125" customWidth="1"/>
    <col min="60" max="60" width="27.81640625" bestFit="1" customWidth="1"/>
    <col min="61" max="61" width="27.26953125" bestFit="1" customWidth="1"/>
    <col min="62" max="62" width="26.7265625" bestFit="1" customWidth="1"/>
    <col min="63" max="64" width="26.7265625" customWidth="1"/>
    <col min="65" max="65" width="25.7265625" bestFit="1" customWidth="1"/>
    <col min="66" max="66" width="23.7265625" bestFit="1" customWidth="1"/>
    <col min="67" max="72" width="13.453125" customWidth="1"/>
    <col min="73" max="73" width="13.54296875" customWidth="1"/>
    <col min="78" max="85" width="19.1796875" customWidth="1"/>
    <col min="86" max="86" width="26.81640625" customWidth="1"/>
    <col min="87" max="91" width="19.1796875" customWidth="1"/>
    <col min="94" max="94" width="18.81640625" bestFit="1" customWidth="1"/>
  </cols>
  <sheetData>
    <row r="2" ht="5.15" customHeight="1"/>
    <row r="3" ht="5.15" customHeight="1"/>
    <row r="4" ht="5.15" customHeight="1"/>
    <row r="5" ht="5.15" customHeight="1"/>
    <row r="6" ht="5.15" customHeight="1"/>
    <row r="7" ht="5.15" customHeight="1"/>
    <row r="8" ht="5.15" customHeight="1"/>
    <row r="9" ht="5.15" customHeight="1"/>
    <row r="10" ht="5.15" customHeight="1"/>
    <row r="11" ht="5.15" customHeight="1"/>
    <row r="12" ht="5.15" customHeight="1"/>
    <row r="13" ht="5.15" customHeight="1"/>
    <row r="14" ht="5.15" customHeight="1"/>
    <row r="15" ht="5.15" customHeight="1"/>
    <row r="16" ht="5.15" customHeight="1"/>
    <row r="17" spans="1:95" ht="14.5" customHeight="1"/>
    <row r="18" spans="1:95" ht="14.5" customHeight="1"/>
    <row r="19" spans="1:95" ht="14.5" customHeight="1"/>
    <row r="20" spans="1:95" ht="14.5" customHeight="1"/>
    <row r="21" spans="1:95" ht="14.5" customHeight="1"/>
    <row r="22" spans="1:95" ht="14.5" customHeight="1"/>
    <row r="23" spans="1:95" ht="14.5" customHeight="1"/>
    <row r="24" spans="1:95" ht="14.15" customHeight="1" thickBot="1">
      <c r="A24" t="s">
        <v>891</v>
      </c>
    </row>
    <row r="25" spans="1:95" ht="14.15" customHeight="1" thickBot="1">
      <c r="B25" s="313" t="s">
        <v>492</v>
      </c>
      <c r="C25" s="149" t="s">
        <v>623</v>
      </c>
      <c r="D25" s="2573" t="s">
        <v>988</v>
      </c>
      <c r="E25" s="149" t="s">
        <v>490</v>
      </c>
      <c r="G25" s="2575" t="s">
        <v>471</v>
      </c>
      <c r="H25" s="2575"/>
      <c r="I25" s="2575"/>
      <c r="J25" s="2575"/>
      <c r="K25" s="2575"/>
      <c r="L25" s="2575"/>
      <c r="M25" s="2575"/>
      <c r="N25" s="2575"/>
      <c r="O25" s="2576"/>
      <c r="P25" s="2578" t="s">
        <v>618</v>
      </c>
      <c r="Q25" s="2577" t="s">
        <v>3880</v>
      </c>
      <c r="S25" s="2578" t="s">
        <v>3881</v>
      </c>
      <c r="T25" s="2578" t="s">
        <v>5305</v>
      </c>
      <c r="U25" s="2578" t="s">
        <v>5293</v>
      </c>
      <c r="V25" s="313" t="s">
        <v>772</v>
      </c>
      <c r="W25" s="1636"/>
      <c r="X25" s="1116"/>
      <c r="Y25" s="2589" t="s">
        <v>12</v>
      </c>
      <c r="Z25" s="2590"/>
      <c r="AA25" s="2591"/>
      <c r="AB25" s="2580" t="s">
        <v>13</v>
      </c>
      <c r="AC25" s="2580"/>
      <c r="AD25" s="2580" t="s">
        <v>244</v>
      </c>
      <c r="AE25" s="2580"/>
      <c r="AF25" s="2580" t="s">
        <v>257</v>
      </c>
      <c r="AG25" s="2580"/>
      <c r="AH25" s="2580"/>
      <c r="AJ25" s="2603" t="s">
        <v>255</v>
      </c>
      <c r="AK25" s="2604"/>
      <c r="AL25" s="2605"/>
      <c r="AM25" s="1085" t="s">
        <v>235</v>
      </c>
      <c r="AN25" s="1086"/>
      <c r="AP25" s="2606" t="s">
        <v>3882</v>
      </c>
      <c r="AQ25" s="2607"/>
      <c r="AR25" s="2586" t="s">
        <v>160</v>
      </c>
      <c r="AS25" s="2586"/>
      <c r="AT25" s="2586"/>
      <c r="AU25" s="2586"/>
      <c r="AV25" s="2586" t="s">
        <v>145</v>
      </c>
      <c r="AW25" s="2586"/>
      <c r="AX25" s="2608"/>
      <c r="AZ25" s="1108"/>
      <c r="BA25" s="1109" t="s">
        <v>3883</v>
      </c>
      <c r="BB25" s="1109" t="s">
        <v>3885</v>
      </c>
      <c r="BC25" s="1110"/>
      <c r="BD25" s="1108"/>
      <c r="BE25" s="1109"/>
      <c r="BF25" s="1109"/>
      <c r="BG25" s="1110"/>
      <c r="BH25" s="1108"/>
      <c r="BI25" s="1110"/>
      <c r="BJ25" s="1108"/>
      <c r="BK25" s="1110"/>
      <c r="BM25" s="114" t="s">
        <v>258</v>
      </c>
      <c r="BN25" s="114"/>
      <c r="BO25" s="114"/>
      <c r="BP25" s="1090" t="s">
        <v>153</v>
      </c>
      <c r="BQ25" s="1091"/>
      <c r="BR25" s="1091"/>
      <c r="BS25" s="1091"/>
      <c r="BU25" s="1092" t="s">
        <v>295</v>
      </c>
      <c r="BV25" s="1093" t="s">
        <v>499</v>
      </c>
      <c r="BX25" s="1095" t="s">
        <v>836</v>
      </c>
      <c r="BY25" s="1093" t="s">
        <v>837</v>
      </c>
      <c r="CA25" s="2597" t="s">
        <v>731</v>
      </c>
      <c r="CB25" s="2598"/>
      <c r="CC25" s="2598"/>
      <c r="CD25" s="2598"/>
      <c r="CE25" s="2598"/>
      <c r="CF25" s="2598"/>
      <c r="CG25" s="2598"/>
      <c r="CH25" s="2598"/>
      <c r="CI25" s="2598"/>
      <c r="CJ25" s="2598"/>
      <c r="CK25" s="2598"/>
      <c r="CL25" s="2598"/>
      <c r="CM25" s="2598"/>
      <c r="CN25" s="2599"/>
    </row>
    <row r="26" spans="1:95" ht="14.15" customHeight="1" thickBot="1">
      <c r="A26" t="s">
        <v>256</v>
      </c>
      <c r="B26" s="152" t="s">
        <v>493</v>
      </c>
      <c r="C26" s="316"/>
      <c r="D26" s="2574"/>
      <c r="E26" s="316"/>
      <c r="G26" s="152" t="s">
        <v>3866</v>
      </c>
      <c r="H26" s="152" t="s">
        <v>291</v>
      </c>
      <c r="I26" s="152" t="s">
        <v>13</v>
      </c>
      <c r="J26" s="152" t="s">
        <v>12</v>
      </c>
      <c r="K26" s="152" t="s">
        <v>3873</v>
      </c>
      <c r="L26" s="1105" t="s">
        <v>3876</v>
      </c>
      <c r="M26" s="1105" t="s">
        <v>3259</v>
      </c>
      <c r="N26" s="1105" t="s">
        <v>3877</v>
      </c>
      <c r="O26" s="1105" t="s">
        <v>3878</v>
      </c>
      <c r="P26" s="2579"/>
      <c r="Q26" s="2577"/>
      <c r="S26" s="2579"/>
      <c r="T26" s="2579"/>
      <c r="U26" s="2579"/>
      <c r="V26" s="152" t="s">
        <v>12</v>
      </c>
      <c r="W26" s="152" t="s">
        <v>13</v>
      </c>
      <c r="X26" s="152" t="s">
        <v>14</v>
      </c>
      <c r="Y26" s="152" t="s">
        <v>33</v>
      </c>
      <c r="Z26" s="152" t="s">
        <v>34</v>
      </c>
      <c r="AA26" s="152" t="s">
        <v>275</v>
      </c>
      <c r="AB26" s="152" t="s">
        <v>33</v>
      </c>
      <c r="AC26" s="152" t="s">
        <v>34</v>
      </c>
      <c r="AD26" s="152" t="s">
        <v>33</v>
      </c>
      <c r="AE26" s="152" t="s">
        <v>34</v>
      </c>
      <c r="AF26" s="152" t="s">
        <v>12</v>
      </c>
      <c r="AG26" s="152" t="s">
        <v>13</v>
      </c>
      <c r="AH26" s="152" t="s">
        <v>244</v>
      </c>
      <c r="AJ26" s="645" t="s">
        <v>1852</v>
      </c>
      <c r="AK26" s="651" t="s">
        <v>254</v>
      </c>
      <c r="AL26" s="646" t="s">
        <v>253</v>
      </c>
      <c r="AM26" s="1088" t="s">
        <v>358</v>
      </c>
      <c r="AN26" s="1089"/>
      <c r="AP26" s="1121" t="s">
        <v>503</v>
      </c>
      <c r="AQ26" s="1122" t="s">
        <v>504</v>
      </c>
      <c r="AR26" s="1087" t="s">
        <v>503</v>
      </c>
      <c r="AS26" s="1087"/>
      <c r="AT26" s="1087" t="s">
        <v>504</v>
      </c>
      <c r="AU26" s="1087"/>
      <c r="AV26" s="175" t="s">
        <v>503</v>
      </c>
      <c r="AW26" s="175" t="s">
        <v>504</v>
      </c>
      <c r="AX26" s="176" t="s">
        <v>505</v>
      </c>
      <c r="AZ26" s="1111" t="s">
        <v>1054</v>
      </c>
      <c r="BA26" s="1112" t="s">
        <v>3884</v>
      </c>
      <c r="BB26" s="1112" t="s">
        <v>3884</v>
      </c>
      <c r="BC26" s="1113" t="s">
        <v>3886</v>
      </c>
      <c r="BD26" s="1111" t="s">
        <v>3887</v>
      </c>
      <c r="BE26" s="1112" t="s">
        <v>3888</v>
      </c>
      <c r="BF26" s="1112" t="s">
        <v>3889</v>
      </c>
      <c r="BG26" s="1113" t="s">
        <v>3890</v>
      </c>
      <c r="BH26" s="1111" t="s">
        <v>3891</v>
      </c>
      <c r="BI26" s="1113" t="s">
        <v>3892</v>
      </c>
      <c r="BJ26" s="1111" t="s">
        <v>3893</v>
      </c>
      <c r="BK26" s="1113" t="s">
        <v>3894</v>
      </c>
      <c r="BL26" s="108"/>
      <c r="BM26" s="114" t="s">
        <v>459</v>
      </c>
      <c r="BN26" s="114" t="s">
        <v>273</v>
      </c>
      <c r="BO26" s="114" t="s">
        <v>274</v>
      </c>
      <c r="BP26" s="114" t="s">
        <v>76</v>
      </c>
      <c r="BQ26" s="114" t="s">
        <v>74</v>
      </c>
      <c r="BR26" s="114" t="s">
        <v>2000</v>
      </c>
      <c r="BS26" s="114" t="s">
        <v>2001</v>
      </c>
      <c r="BU26" s="1092"/>
      <c r="BV26" s="1094"/>
      <c r="BX26" s="1096"/>
      <c r="BY26" s="1094"/>
      <c r="CA26" s="317" t="s">
        <v>724</v>
      </c>
      <c r="CB26" s="318" t="s">
        <v>726</v>
      </c>
      <c r="CC26" s="318" t="s">
        <v>725</v>
      </c>
      <c r="CD26" s="320" t="s">
        <v>745</v>
      </c>
      <c r="CE26" s="317" t="s">
        <v>727</v>
      </c>
      <c r="CF26" s="318" t="s">
        <v>728</v>
      </c>
      <c r="CG26" s="318" t="s">
        <v>729</v>
      </c>
      <c r="CH26" s="318" t="s">
        <v>730</v>
      </c>
      <c r="CI26" s="319" t="s">
        <v>742</v>
      </c>
      <c r="CJ26" s="319" t="s">
        <v>741</v>
      </c>
      <c r="CK26" s="319" t="s">
        <v>743</v>
      </c>
      <c r="CL26" s="320" t="s">
        <v>845</v>
      </c>
      <c r="CM26" s="320" t="s">
        <v>846</v>
      </c>
      <c r="CN26" s="320" t="s">
        <v>744</v>
      </c>
      <c r="CQ26" s="1638" t="s">
        <v>5292</v>
      </c>
    </row>
    <row r="27" spans="1:95" ht="14.15" customHeight="1">
      <c r="A27">
        <v>1</v>
      </c>
      <c r="B27" s="220" t="str">
        <f>IF(OR('In Unit HVAC Worksheet'!C61="Ducted ccASHP",'In Unit HVAC Worksheet'!C61="Ductless Mini Split - ccASHP",'In Unit HVAC Worksheet'!C61="Ductless Multi Split - ccASHP"),"Cold Climate","")</f>
        <v>Cold Climate</v>
      </c>
      <c r="C27" s="315" t="str">
        <f>IF(References!$C$21=TRUE,"Whole House",IF(RIGHT(References!$H$37,2)="HP","Retrofit","New"))</f>
        <v>Whole House</v>
      </c>
      <c r="D27" s="389">
        <f>IF(References!$C$21&lt;&gt;TRUE,"",IF(OR(References!$A$21=2),1,IF(AND('In Unit HVAC Worksheet'!S61&lt;&gt;"Central Air Conditioner",'In Unit HVAC Worksheet'!S61&lt;&gt;"Ducted Air Source HP",LEFT(H27,3)="Oil"),2,3)))</f>
        <v>3</v>
      </c>
      <c r="E27" s="315" t="str">
        <f>C27&amp;" "&amp;'In Unit HVAC Worksheet'!C61&amp;" "&amp;'In Unit HVAC Worksheet'!O61&amp;D27</f>
        <v>Whole House Ducted ccASHP Tier II3</v>
      </c>
      <c r="G27" s="220" t="str">
        <f>IF(OR(References!$A$21=2),"New Construction",IF('In Unit HVAC Worksheet'!S61="","None",'In Unit HVAC Worksheet'!S61))</f>
        <v>Central Air Conditioner</v>
      </c>
      <c r="H27" s="221" t="str">
        <f>IF(OR(References!$A$21=2),"New Construction",IF('In Unit HVAC Worksheet'!T61="","None",'In Unit HVAC Worksheet'!T61))</f>
        <v>None</v>
      </c>
      <c r="I27" s="220">
        <f>IF(G27=0,0,IF(OR('In Unit HVAC Worksheet'!V61="",'In Unit HVAC Worksheet'!S61=""),INDEX(References!$L$9:$L$16,MATCH(G27,References!$K$9:$K$16,0)),'In Unit HVAC Worksheet'!V61))</f>
        <v>11.8</v>
      </c>
      <c r="J27" s="221">
        <f>IF(G27=0,0,IF(OR('In Unit HVAC Worksheet'!U61="",'In Unit HVAC Worksheet'!S61=""),INDEX(References!$M$9:$M$16,MATCH(G27,References!$K$9:$K$16,0)),'In Unit HVAC Worksheet'!U61))</f>
        <v>14</v>
      </c>
      <c r="K27" s="221">
        <f>IF(H27="Electric ASHP",IF('In Unit HVAC Worksheet'!W61&lt;8.5,References!$M$42,References!$M$43),0)</f>
        <v>0</v>
      </c>
      <c r="L27" s="220">
        <f>IF(H27=0,0,IF('In Unit HVAC Worksheet'!W61="",INDEX(References!$L$20:$L$36,MATCH(H27,References!$H$20:$H$36,0)),IF(H27="Electric ASHP",'In Unit HVAC Worksheet'!W61*K27/3.412,'In Unit HVAC Worksheet'!W61)))</f>
        <v>2.011723329425557</v>
      </c>
      <c r="M27" s="221">
        <f>IF(H27=0,0,IF('In Unit HVAC Worksheet'!X61="",INDEX(References!$M$20:$M$36,MATCH(H27,References!$H$20:$H$36,0)),'In Unit HVAC Worksheet'!X61))</f>
        <v>0.81715000000000004</v>
      </c>
      <c r="N27" s="1106">
        <f>IF(H27=0,0,INDEX(References!$I$20:$I$36,MATCH(H27,References!$H$20:$H$36,0)))</f>
        <v>0.03</v>
      </c>
      <c r="O27" s="1106">
        <f>IF(H27=0,0,INDEX(References!$J$20:$J$36,MATCH(H27,References!$H$20:$H$36,0)))</f>
        <v>0.97</v>
      </c>
      <c r="P27" s="315">
        <f>IF(H27=0,0,INDEX(References!$N$20:$N$36,MATCH(H27,References!$H$20:$H$36,0)))</f>
        <v>1</v>
      </c>
      <c r="Q27" s="2">
        <f>IF(H27=0,0,INDEX(References!$O$20:$O$36,MATCH(H27,References!$H$20:$H$36,0)))</f>
        <v>7.3959999999999998E-2</v>
      </c>
      <c r="S27" s="315">
        <f>IF('In Unit HVAC Worksheet'!G61="","",'In Unit HVAC Worksheet'!G61)</f>
        <v>12000</v>
      </c>
      <c r="T27" s="315">
        <f>IF('In Unit HVAC Worksheet'!I61="","",'In Unit HVAC Worksheet'!I61)</f>
        <v>13000</v>
      </c>
      <c r="U27" s="315">
        <f>IF('In Unit HVAC Worksheet'!H61="","",'In Unit HVAC Worksheet'!H61)</f>
        <v>13000</v>
      </c>
      <c r="V27" s="153">
        <f>IF('In Unit HVAC Worksheet'!L61="","",IF('In Unit HVAC Worksheet'!K61=References!$G$60,'In Unit HVAC Worksheet'!L61,ROUND(1.2476*'In Unit HVAC Worksheet'!L61-2.8674,1)))</f>
        <v>17.100000000000001</v>
      </c>
      <c r="W27" s="153">
        <f>IF('In Unit HVAC Worksheet'!M61="","",IF('In Unit HVAC Worksheet'!K61=References!$G$60,'In Unit HVAC Worksheet'!M61,ROUND(1.0578*'In Unit HVAC Worksheet'!M61-0.1769,1)))</f>
        <v>12.5</v>
      </c>
      <c r="X27" s="153">
        <f>IF('In Unit HVAC Worksheet'!N61="","",IF('In Unit HVAC Worksheet'!K61=References!$G$60,'In Unit HVAC Worksheet'!N61,ROUND(1.1702*'In Unit HVAC Worksheet'!N61+0.07,1)))</f>
        <v>9.1</v>
      </c>
      <c r="Y27" s="2" t="str">
        <f>IF('In Unit HVAC Worksheet'!C61="","",INDEX(References!$T$7:$T$19,MATCH('In Unit HVAC Worksheet'!$C61,References!$S$7:$S$19,0)))</f>
        <v>N/A</v>
      </c>
      <c r="Z27" s="2">
        <f>IF('In Unit HVAC Worksheet'!C61="","",INDEX(References!$U$7:$U$19,MATCH('In Unit HVAC Worksheet'!$C61,References!$S$7:$S$19,0)))</f>
        <v>15</v>
      </c>
      <c r="AA27" s="2" t="str">
        <f>IF('In Unit HVAC Worksheet'!C61="","",INDEX(References!$V$7:$V$19,MATCH('In Unit HVAC Worksheet'!$C61,References!$S$7:$S$19,0)))</f>
        <v>N/A</v>
      </c>
      <c r="AB27" s="2">
        <f>IF('In Unit HVAC Worksheet'!C61="","",INDEX(References!$Y$7:$Y$19,MATCH('In Unit HVAC Worksheet'!$C61,References!$S$7:$S$19,0)))</f>
        <v>0</v>
      </c>
      <c r="AC27" s="2">
        <f>IF('In Unit HVAC Worksheet'!C61="","",INDEX(References!$Z$7:$Z$19,MATCH('In Unit HVAC Worksheet'!$C61,References!$S$7:$S$19,0)))</f>
        <v>0</v>
      </c>
      <c r="AD27" s="2" t="str">
        <f>IF('In Unit HVAC Worksheet'!C61="","",INDEX(References!$W$7:$W$19,MATCH('In Unit HVAC Worksheet'!$C61,References!$S$7:$S$19,0)))</f>
        <v>N/A</v>
      </c>
      <c r="AE27" s="2">
        <f>IF('In Unit HVAC Worksheet'!C61="","",INDEX(References!$X$7:$X$19,MATCH('In Unit HVAC Worksheet'!$C61,References!$S$7:$S$19,0)))</f>
        <v>9</v>
      </c>
      <c r="AF27" s="2" t="str">
        <f t="shared" ref="AF27:AF36" si="0">IF(OR(V27="",BU27="PTHP"),"",IF(AND(V27&lt;Y27,V27&lt;Z27),"DNQ",IF(V27&gt;=AA27,"Tier III",IF(V27&gt;=Z27,"Tier II","Tier I"))))</f>
        <v>Tier II</v>
      </c>
      <c r="AG27" s="2" t="str">
        <f t="shared" ref="AG27:AG36" si="1">IF(W27="","",IF(AND(BU27="PTHP",W27&lt;AB27),"DNQ",AF27))</f>
        <v>Tier II</v>
      </c>
      <c r="AH27" s="2" t="str">
        <f>IF('In Unit HVAC Worksheet'!C61="","",IF(AD27=0,"",IF(AND(X27&lt;AD27,X27&lt;AE27),"DNQ",IF(X27&gt;=AE27,"Tier II","Tier I"))))</f>
        <v>Tier II</v>
      </c>
      <c r="AI27" s="148" t="str">
        <f>IF(OR(AF27="DNQ",AG27="DNQ",AH27="DNQ",'In Unit HVAC Worksheet'!AB82="FAIL",AY27="DNQ"),"DNQ",IF(OR(AF27="Tier I",AH27="Tier I"),"Tier I",IF(OR(AF27="Tier II",AH27="Tier II"),"Tier II","Tier III")))</f>
        <v>Tier II</v>
      </c>
      <c r="AJ27" s="647" t="str">
        <f>References!$C$18</f>
        <v/>
      </c>
      <c r="AK27" s="251">
        <f>IF('In Unit HVAC Worksheet'!C61="","",IF(AI27="DNQ","DNQ",INDEX(IF(AJ27="Income Eligible ",References!$AK$3:$AK$36,References!$AJ$3:$AJ$36),MATCH(E27,References!$AE$3:$AE$36,0))*('In Unit HVAC Worksheet'!H61/12000)))</f>
        <v>1083.3333333333333</v>
      </c>
      <c r="AL27" s="648">
        <f>IF('In Unit HVAC Worksheet'!C61="","",IF(AK27="DNQ",0,INDEX(References!$AL$3:$AL$36,MATCH(Qualifying_Index!E27,References!$AE$3:$AE$36,0))))</f>
        <v>500</v>
      </c>
      <c r="AM27" s="647">
        <f t="shared" ref="AM27:AM36" si="2">IF(AL27&gt;0,1,2)</f>
        <v>1</v>
      </c>
      <c r="AN27" s="648">
        <f>AL27</f>
        <v>500</v>
      </c>
      <c r="AP27" s="1107">
        <f>'In Unit HVAC Worksheet'!Y82</f>
        <v>12000</v>
      </c>
      <c r="AQ27" s="1107">
        <f>'In Unit HVAC Worksheet'!AA82</f>
        <v>13000</v>
      </c>
      <c r="AR27" s="2">
        <f>(('In Unit HVAC Worksheet'!G61*0.65))</f>
        <v>7800</v>
      </c>
      <c r="AS27" s="2">
        <f>(('In Unit HVAC Worksheet'!G61*1.35))</f>
        <v>16200.000000000002</v>
      </c>
      <c r="AT27" s="2">
        <f>IF(AND(References!$C$21=TRUE,References!$H$4=FALSE),('In Unit HVAC Worksheet'!AA82*0.9),'In Unit HVAC Worksheet'!I61*0.65)</f>
        <v>11700</v>
      </c>
      <c r="AU27" s="2">
        <f>IF(AND(References!$C$21=TRUE,References!$H$4=FALSE),('In Unit HVAC Worksheet'!AA82*1.2),'In Unit HVAC Worksheet'!I61*1.35)</f>
        <v>15600</v>
      </c>
      <c r="AV27" s="2" t="str">
        <f>IF(AND('In Unit HVAC Worksheet'!Y82&gt;=Qualifying_Index!AR27,'In Unit HVAC Worksheet'!Y82&lt;=Qualifying_Index!AS27),"PASS","FAIL")</f>
        <v>PASS</v>
      </c>
      <c r="AW27" s="1120" t="str">
        <f>IF(OR(AT27=0,AU27=0),"FAIL",IF(AND(IF(References!$C$21=TRUE,'In Unit HVAC Worksheet'!I61,'In Unit HVAC Worksheet'!AA82)&gt;=AT27,IF(References!$C$21=TRUE,'In Unit HVAC Worksheet'!I61,'In Unit HVAC Worksheet'!AA82)&lt;=AU27),"PASS","FAIL"))</f>
        <v>PASS</v>
      </c>
      <c r="AX27" s="1120" t="str">
        <f>IF(References!$C$21=TRUE,IF(AND('In Unit HVAC Worksheet'!Y82="",'In Unit HVAC Worksheet'!AA82=""),"Missing Info",IF(AW27="PASS","PASS","FAIL")),IF(AND(OR('In Unit HVAC Worksheet'!Y82="",'In Unit HVAC Worksheet'!AA82=""),OR(LEFT('In Unit HVAC Worksheet'!C61,6)="Ducted",B27="Cold Climate")),"Missing Info",IF(OR(AV27="PASS",AW27="PASS",BU27="Ductless HP",BU27="PTHP"),"PASS","FAIL")))</f>
        <v>PASS</v>
      </c>
      <c r="AY27" t="str">
        <f>IF(B27="Cold Climate",IF(BU27="ccASHP",IF(OR(AZ27=References!$A$120,AZ27=References!$A$121,AZ27=References!$A$122,AZ27=References!$A$123,AZ27=References!$A$124),"","DNQ"),IF(C27="Whole House",IF(OR(AZ27=References!$A$121,AZ27=References!$A$122,AZ27=References!$A$123,AZ27=References!$A$124),"","DNQ"),"")),"")</f>
        <v/>
      </c>
      <c r="AZ27" s="1114" t="str">
        <f>IF(B27="","",IF(B27="Cold Climate",_xlfn.IFNA(INDEX('Integrated Controls'!$B$17:$B$18,MATCH('In Unit HVAC Worksheet'!R82,'Integrated Controls'!$A$17:$A$18,0)),"Separate Control"),""))</f>
        <v>No Fossil Fuel Heater</v>
      </c>
      <c r="BA27" s="585">
        <f>IF(AQ27=0,"",IF(B27="Cold Climate",T27/AQ27,U27/AQ27))</f>
        <v>1</v>
      </c>
      <c r="BB27" s="1083">
        <f>IF(AZ27="","",IF(AZ27="No Fossil Fuel Heater",1,IF(AZ27="Integrated/Modulating Control",IF(ROUND(BA27,1)&gt;1,1,ROUND(BA27,1)),IF(LEFT('In Unit HVAC Worksheet'!C61,6)="Ducted",0.9,IF(BA27&gt;=0.65,0.7,IF(BA27&gt;=0.55,0.6,IF(BA27&gt;=0.45,0.5,IF(BA27&gt;=0.35,0.4,0.3))))))))</f>
        <v>1</v>
      </c>
      <c r="BC27" s="702" t="str">
        <f>IF(B27="","",IF(B27="Cold Climate",'In Unit HVAC Worksheet'!C61&amp;" "&amp;AZ27&amp;" "&amp;BB27,""))</f>
        <v>Ducted ccASHP No Fossil Fuel Heater 1</v>
      </c>
      <c r="BD27" s="112">
        <f>IF($BC27="","",INDEX(References!$AH$63:$AH$118,MATCH($BC27,References!$AF$63:$AF$118,0)))</f>
        <v>0.82399999999999995</v>
      </c>
      <c r="BE27" s="112">
        <f>IF($BC27="","",INDEX(References!$AI$63:$AI$118,MATCH($BC27,References!$AF$63:$AF$118,0)))</f>
        <v>0.77700000000000002</v>
      </c>
      <c r="BF27" s="112">
        <f>IF($BC27="","",INDEX(References!$AJ$63:$AJ$118,MATCH($BC27,References!$AF$63:$AF$118,0)))</f>
        <v>1.52</v>
      </c>
      <c r="BG27" s="112">
        <f>IF($BC27="","",INDEX(References!$AK$63:$AK$118,MATCH($BC27,References!$AF$63:$AF$118,0)))</f>
        <v>0.85899999999999999</v>
      </c>
      <c r="BH27" s="1115">
        <f>IF(BC27="","",BF27+BG27*V27)</f>
        <v>16.2089</v>
      </c>
      <c r="BI27" s="1115">
        <f>IF(BC27="","",BD27+BE27*X27/References!$E$12)</f>
        <v>2.8963036342321216</v>
      </c>
      <c r="BJ27" s="112">
        <f>IF($BC27="","",INDEX(References!$AL$63:$AL$118,MATCH($BC27,References!$AF$63:$AF$118,0)))</f>
        <v>1</v>
      </c>
      <c r="BK27" s="112">
        <f>IF($BC27="","",INDEX(References!$AM$63:$AM$118,MATCH($BC27,References!$AF$63:$AF$118,0)))</f>
        <v>1</v>
      </c>
      <c r="BM27" s="2" t="str">
        <f>IF(OR('In Unit HVAC Worksheet'!G61="",'In Unit HVAC Worksheet'!J61="",'In Unit HVAC Worksheet'!M61="",'In Unit HVAC Worksheet'!N61="",'In Unit HVAC Worksheet'!C82="",'In Unit HVAC Worksheet'!E82="",'In Unit HVAC Worksheet'!F82="",'In Unit HVAC Worksheet'!I82="",'In Unit HVAC Worksheet'!K82="",'In Unit HVAC Worksheet'!M82=""),"Missing Info","")</f>
        <v/>
      </c>
      <c r="BN27" s="2" t="str">
        <f>IF(AND(BV27=1,'In Unit HVAC Worksheet'!N61=""),"Missing Info",IF(BU27="PTHP",BM27,IF(OR('In Unit HVAC Worksheet'!G61="",'In Unit HVAC Worksheet'!J61="",'In Unit HVAC Worksheet'!L61="",'In Unit HVAC Worksheet'!M61="",'In Unit HVAC Worksheet'!C82="",'In Unit HVAC Worksheet'!E82="",'In Unit HVAC Worksheet'!F82="",'In Unit HVAC Worksheet'!K82="",'In Unit HVAC Worksheet'!M82="",AX27="Missing Info"),"Missing Info","")))</f>
        <v/>
      </c>
      <c r="BO27" s="2" t="str">
        <f>IF(AND(BV27=1,'In Unit HVAC Worksheet'!N61=""),"Missing Info",IF(BU27="PTHP",BM27,IF(OR('In Unit HVAC Worksheet'!C82="",'In Unit HVAC Worksheet'!E82="",'In Unit HVAC Worksheet'!F82="",'In Unit HVAC Worksheet'!K82="",'In Unit HVAC Worksheet'!M82="",'In Unit HVAC Worksheet'!G61="",'In Unit HVAC Worksheet'!J61="",'In Unit HVAC Worksheet'!L61=""),"Missing Info","")))</f>
        <v/>
      </c>
      <c r="BP27" s="26">
        <f>IF(OR('In Unit HVAC Worksheet'!Z61="",'In Unit HVAC Worksheet'!M61=""),"",IF(OR('In Unit HVAC Worksheet'!C61="Ducted ASHP",'In Unit HVAC Worksheet'!C61="Ducted ccASHP"),'In Unit HVAC Worksheet'!G61/12000*(12/'In Unit HVAC Worksheet'!M61)*kW_CA,0))</f>
        <v>1.5939999999999999E-3</v>
      </c>
      <c r="BQ27" s="26">
        <f>IF('In Unit HVAC Worksheet'!M61="","",IF(OR('In Unit HVAC Worksheet'!Z61=""),"",'In Unit HVAC Worksheet'!G61*(12/'In Unit HVAC Worksheet'!M61)*kW_RS))</f>
        <v>0</v>
      </c>
      <c r="BR27" s="27">
        <f>IF(OR('In Unit HVAC Worksheet'!Z61="",'In Unit HVAC Worksheet'!L61="",'In Unit HVAC Worksheet'!M61=""),"",IF(OR('In Unit HVAC Worksheet'!C61="Ducted ASHP",'In Unit HVAC Worksheet'!C61="Ducted ccASHP"),'In Unit HVAC Worksheet'!G61/12000*(12/'In Unit HVAC Worksheet'!L61*FLH_Cool)*QI_kWh,0))</f>
        <v>26.362500000000001</v>
      </c>
      <c r="BS27" s="27">
        <f>IF(OR('In Unit HVAC Worksheet'!Z61="",'In Unit HVAC Worksheet'!L61="",'In Unit HVAC Worksheet'!M61=""),"",IF(OR('In Unit HVAC Worksheet'!C61="Ducted ASHP",'In Unit HVAC Worksheet'!C61="Ducted ccASHP"),'In Unit HVAC Worksheet'!I61/12000*(12/'In Unit HVAC Worksheet'!N61*FLH_Heat)*QI_kWh,0))</f>
        <v>72.175324675324674</v>
      </c>
      <c r="BU27" s="2" t="str">
        <f>IF('In Unit HVAC Worksheet'!C61="","",INDEX(References!$AB$7:$AB$19,MATCH('In Unit HVAC Worksheet'!C61,Equipment_Type,0)))</f>
        <v>ccASHP</v>
      </c>
      <c r="BV27" s="2">
        <f>IF('In Unit HVAC Worksheet'!C61="","",INDEX(References!$AA$7:$AA$19,MATCH('In Unit HVAC Worksheet'!C61,Equipment_Type,0)))</f>
        <v>1</v>
      </c>
      <c r="BX27" s="2">
        <f>IF(References!$H$14="",0,IF(B27&lt;&gt;"",IF(References!$A$21=1,IF(References!$C$27=1,References!$C$32,References!$C$34),IF(References!$C$27=1,FLH_Cool,References!$B$34)),IF(References!$C$27=1,References!$D$32,References!$D$34)))</f>
        <v>675</v>
      </c>
      <c r="BY27" s="2">
        <f>IF(References!$H$14="",0,IF(B27&lt;&gt;"",IF(References!$A$21=1,IF(References!$C$27=1,References!$C$33,References!$C$35),IF(References!$C$27=1,FLH_Heat,References!$B$35)),IF(References!$C$27=1,References!$D$33,References!$D$35)))</f>
        <v>1265</v>
      </c>
      <c r="CA27" s="321">
        <f>IF(OR($AX27="FAIL",'In Unit HVAC Worksheet'!G61="",AX27="Missing Info",AI27="DNQ"),0,IF(B27="Cold Climate",((AP27/1000)*((1/I27)-(1/W27))*BJ27)+SUM(BP27:BQ27),((S27/12000)*((12/I27)-(12/W27)))+SUM(BP27:BQ27)))</f>
        <v>5.8543152542372814E-2</v>
      </c>
      <c r="CB27" s="26">
        <f>IF(OR($AX27="FAIL",'In Unit HVAC Worksheet'!G61="",AX27="Missing Info",AI27="DNQ"),0,IF(B27="Cold Climate",((AP27/1000)*((1/J27)-(1/BH27))*BX27*BJ27)+BR27,IF(BU27="PTHP",((S27/12000)*(12/I27-12/W27)*BX27),((('In Unit HVAC Worksheet'!G61/12000)*((12/J27)-(12/V27))*BX27))+BR27)))</f>
        <v>105.20846910163105</v>
      </c>
      <c r="CC27" s="26">
        <f>IF(OR($AX27="FAIL",'In Unit HVAC Worksheet'!G61="",AX27="Missing Info",AI27="DNQ"),0,CB27*References!$E$12/1000)</f>
        <v>0.35897129657476512</v>
      </c>
      <c r="CD27" s="322">
        <f>CB27*References!$A$12</f>
        <v>123.96713914245186</v>
      </c>
      <c r="CE27" s="321">
        <f>IF(OR($AX27="FAIL",'In Unit HVAC Worksheet'!I61="",AX27="Missing Info",AI27="DNQ"),0,IF(N27=0,SUM(BP27:BQ27),IF(B27="Cold Climate",((AQ27/1000)*((1/L27)-(1/(X27/3.412)))*(1/References!$E$12)+SUM(BP27:BQ27))*N27,IF(BU27="PTHP",((U27/12000)*((1/(L27))-(1/(X27)))+SUM(BP27:BQ27))*N27*(1/References!$E$12),((U27/12000)*((1/(L27))-(1/(X27/3.412)))+SUM(BP27:BQ27))*N27))))</f>
        <v>1.4008858961038959E-2</v>
      </c>
      <c r="CF27" s="300">
        <f>IF(OR($AX27="FAIL",'In Unit HVAC Worksheet'!I61="",AX27="Missing Info",AI27="DNQ"),0,IF(N27=0,SUM(BS27),IF(B27="Cold Climate",((AQ27/1000)*((1/L27)-(1/BI27))*(1/References!$E$12)*BY27*BK27*N27+BS27),IF(BU27="PTHP",((U27/12000)*((12/(L27))-(12/X27))*(1/References!$E$12)*BY27*N27+BS27),((U27/12000)*((12/(L27*References!$E$12))-(12/X27))*BY27*N27+BS27)))))</f>
        <v>94.127170005528853</v>
      </c>
      <c r="CG27" s="26">
        <f>IF(OR($AX27="FAIL",'In Unit HVAC Worksheet'!I61="",AX27="Missing Info",AI27="DNQ"),0,IF(B27="Cold Climate",-((AQ27/1000)*(1/(X27/3.412))*(1/References!$E$12))*O27,IF(BU27="PTHP",-((U27/12000)*(1/(X27)))*O27*(1/References!$E$12),-((U27/12000)*(1/(X27/3.412)))*O27)))</f>
        <v>-1.3857142857142855</v>
      </c>
      <c r="CH27" s="299">
        <f>IF(OR($AX27="FAIL",'In Unit HVAC Worksheet'!I61="",AX27="Missing Info",AI27="DNQ"),0,IF(B27="Cold Climate",((AQ27/1000)*(1/BI27)*(1/References!$E$12)*BY27*BK27)*O27,IF(BU27="PTHP",(((U27/12000)*(12/X27)*BY27/References!$E$12)-(U27*BY27/1000000)*P27)*O27,(((U27/12000)*(12/X27)*BY27)-(U27*BY27/1000000)*P27)*O27)))</f>
        <v>1614.1820009900644</v>
      </c>
      <c r="CI27" s="299">
        <f>IF(OR($AX27="FAIL",AX27="Missing Info",'In Unit HVAC Worksheet'!C61=""),0,((CF27-CH27)*References!$E$12/1000))</f>
        <v>-5.1864270833192352</v>
      </c>
      <c r="CJ27" s="27">
        <f>IF(OR($AX27="FAIL",AX27="Missing Info",'In Unit HVAC Worksheet'!C61=""),0,IF(O27&lt;&gt;0,IF(B27="Cold Climate",((AQ27*BY27/M27)/1000000)*O27,((U27*BY27/M27)/1000000)*O27*P27),0))</f>
        <v>19.521079361194392</v>
      </c>
      <c r="CK27" s="27">
        <f>CI27+CJ27</f>
        <v>14.334652277875158</v>
      </c>
      <c r="CL27" s="371">
        <f>(CF27-CH27)*References!$A$12</f>
        <v>-1791.080607349078</v>
      </c>
      <c r="CM27" s="371">
        <f>CJ27*Q27*References!$D$4</f>
        <v>3182.9552485546101</v>
      </c>
      <c r="CN27" s="322">
        <f>CL27+CM27</f>
        <v>1391.874641205532</v>
      </c>
      <c r="CQ27" s="1637" t="str">
        <f>IF('In Unit HVAC Worksheet'!Q61="","",'In Unit HVAC Worksheet'!Q61)</f>
        <v/>
      </c>
    </row>
    <row r="28" spans="1:95" ht="14.15" customHeight="1">
      <c r="A28">
        <f>A27+1</f>
        <v>2</v>
      </c>
      <c r="B28" s="220" t="str">
        <f>IF(OR('In Unit HVAC Worksheet'!C62="Ducted ccASHP",'In Unit HVAC Worksheet'!C62="Ductless Mini Split - ccASHP",'In Unit HVAC Worksheet'!C62="Ductless Multi Split - ccASHP"),"Cold Climate","")</f>
        <v>Cold Climate</v>
      </c>
      <c r="C28" s="315" t="str">
        <f>IF(References!$C$21=TRUE,"Whole House",IF(RIGHT(References!$H$37,2)="HP","Retrofit","New"))</f>
        <v>Whole House</v>
      </c>
      <c r="D28" s="389">
        <f>IF(References!$C$21&lt;&gt;TRUE,"",IF(OR(References!$A$21=2),1,IF(AND('In Unit HVAC Worksheet'!S62&lt;&gt;"Central Air Conditioner",'In Unit HVAC Worksheet'!S62&lt;&gt;"Ducted Air Source HP",LEFT(H28,3)="Oil"),2,3)))</f>
        <v>3</v>
      </c>
      <c r="E28" s="315" t="str">
        <f>C28&amp;" "&amp;'In Unit HVAC Worksheet'!C62&amp;" "&amp;'In Unit HVAC Worksheet'!O62&amp;D28</f>
        <v>Whole House Ducted ccASHP Tier II3</v>
      </c>
      <c r="G28" s="220" t="str">
        <f>IF(OR(References!$A$21=2),"New Construction",IF('In Unit HVAC Worksheet'!S62="","None",'In Unit HVAC Worksheet'!S62))</f>
        <v>None</v>
      </c>
      <c r="H28" s="221" t="str">
        <f>IF(OR(References!$A$21=2),"New Construction",IF('In Unit HVAC Worksheet'!T62="","None",'In Unit HVAC Worksheet'!T62))</f>
        <v>None</v>
      </c>
      <c r="I28" s="220">
        <f>IF(G28=0,0,IF(OR('In Unit HVAC Worksheet'!V62="",'In Unit HVAC Worksheet'!S62=""),INDEX(References!$L$9:$L$16,MATCH(G28,References!$K$9:$K$16,0)),'In Unit HVAC Worksheet'!V62))</f>
        <v>12.3</v>
      </c>
      <c r="J28" s="221">
        <f>IF(G28=0,0,IF(OR('In Unit HVAC Worksheet'!U62="",'In Unit HVAC Worksheet'!S62=""),INDEX(References!$M$9:$M$16,MATCH(G28,References!$K$9:$K$16,0)),'In Unit HVAC Worksheet'!U62))</f>
        <v>15</v>
      </c>
      <c r="K28" s="221">
        <f>IF(H28="Electric ASHP",IF('In Unit HVAC Worksheet'!W62&lt;8.5,References!$M$42,References!$M$43),0)</f>
        <v>0</v>
      </c>
      <c r="L28" s="220">
        <f>IF(H28=0,0,IF('In Unit HVAC Worksheet'!W62="",INDEX(References!$L$20:$L$36,MATCH(H28,References!$H$20:$H$36,0)),IF(H28="Electric ASHP",'In Unit HVAC Worksheet'!W62*K28/3.412,'In Unit HVAC Worksheet'!W62)))</f>
        <v>2.011723329425557</v>
      </c>
      <c r="M28" s="221">
        <f>IF(H28=0,0,IF('In Unit HVAC Worksheet'!X62="",INDEX(References!$M$20:$M$36,MATCH(H28,References!$H$20:$H$36,0)),'In Unit HVAC Worksheet'!X62))</f>
        <v>0.81715000000000004</v>
      </c>
      <c r="N28" s="1106">
        <f>IF(H28=0,0,INDEX(References!$I$20:$I$36,MATCH(H28,References!$H$20:$H$36,0)))</f>
        <v>0.03</v>
      </c>
      <c r="O28" s="1106">
        <f>IF(H28=0,0,INDEX(References!$J$20:$J$36,MATCH(H28,References!$H$20:$H$36,0)))</f>
        <v>0.97</v>
      </c>
      <c r="P28" s="315">
        <f>IF(H28=0,0,INDEX(References!$N$20:$N$36,MATCH(H28,References!$H$20:$H$36,0)))</f>
        <v>1</v>
      </c>
      <c r="Q28" s="2">
        <f>IF(H28=0,0,INDEX(References!$O$20:$O$36,MATCH(H28,References!$H$20:$H$36,0)))</f>
        <v>7.3959999999999998E-2</v>
      </c>
      <c r="S28" s="315">
        <f>IF('In Unit HVAC Worksheet'!G62="","",'In Unit HVAC Worksheet'!G62)</f>
        <v>14000</v>
      </c>
      <c r="T28" s="315">
        <f>IF('In Unit HVAC Worksheet'!I62="","",'In Unit HVAC Worksheet'!I62)</f>
        <v>15000</v>
      </c>
      <c r="U28" s="315">
        <f>IF('In Unit HVAC Worksheet'!H62="","",'In Unit HVAC Worksheet'!H62)</f>
        <v>15000</v>
      </c>
      <c r="V28" s="153">
        <f>IF('In Unit HVAC Worksheet'!L62="","",IF('In Unit HVAC Worksheet'!K62=References!$G$60,'In Unit HVAC Worksheet'!L62,ROUND(1.2476*'In Unit HVAC Worksheet'!L62-2.8674,1)))</f>
        <v>22.1</v>
      </c>
      <c r="W28" s="153">
        <f>IF('In Unit HVAC Worksheet'!M62="","",IF('In Unit HVAC Worksheet'!K62=References!$G$60,'In Unit HVAC Worksheet'!M62,ROUND(1.0578*'In Unit HVAC Worksheet'!M62-0.1769,1)))</f>
        <v>17.8</v>
      </c>
      <c r="X28" s="153">
        <f>IF('In Unit HVAC Worksheet'!N62="","",IF('In Unit HVAC Worksheet'!K62=References!$G$60,'In Unit HVAC Worksheet'!N62,ROUND(1.1702*'In Unit HVAC Worksheet'!N62+0.07,1)))</f>
        <v>11.8</v>
      </c>
      <c r="Y28" s="2" t="str">
        <f>IF('In Unit HVAC Worksheet'!C62="","",INDEX(References!$T$7:$T$19,MATCH('In Unit HVAC Worksheet'!$C62,References!$S$7:$S$19,0)))</f>
        <v>N/A</v>
      </c>
      <c r="Z28" s="2">
        <f>IF('In Unit HVAC Worksheet'!C62="","",INDEX(References!$U$7:$U$19,MATCH('In Unit HVAC Worksheet'!$C62,References!$S$7:$S$19,0)))</f>
        <v>15</v>
      </c>
      <c r="AA28" s="2" t="str">
        <f>IF('In Unit HVAC Worksheet'!C62="","",INDEX(References!$V$7:$V$19,MATCH('In Unit HVAC Worksheet'!$C62,References!$S$7:$S$19,0)))</f>
        <v>N/A</v>
      </c>
      <c r="AB28" s="2">
        <f>IF('In Unit HVAC Worksheet'!C62="","",INDEX(References!$Y$7:$Y$19,MATCH('In Unit HVAC Worksheet'!$C62,References!$S$7:$S$19,0)))</f>
        <v>0</v>
      </c>
      <c r="AC28" s="2">
        <f>IF('In Unit HVAC Worksheet'!C62="","",INDEX(References!$Z$7:$Z$19,MATCH('In Unit HVAC Worksheet'!$C62,References!$S$7:$S$19,0)))</f>
        <v>0</v>
      </c>
      <c r="AD28" s="2" t="str">
        <f>IF('In Unit HVAC Worksheet'!C62="","",INDEX(References!$W$7:$W$19,MATCH('In Unit HVAC Worksheet'!$C62,References!$S$7:$S$19,0)))</f>
        <v>N/A</v>
      </c>
      <c r="AE28" s="2">
        <f>IF('In Unit HVAC Worksheet'!C62="","",INDEX(References!$X$7:$X$19,MATCH('In Unit HVAC Worksheet'!$C62,References!$S$7:$S$19,0)))</f>
        <v>9</v>
      </c>
      <c r="AF28" s="2" t="str">
        <f t="shared" si="0"/>
        <v>Tier II</v>
      </c>
      <c r="AG28" s="2" t="str">
        <f t="shared" si="1"/>
        <v>Tier II</v>
      </c>
      <c r="AH28" s="2" t="str">
        <f>IF('In Unit HVAC Worksheet'!C62="","",IF(AD28=0,"",IF(AND(X28&lt;AD28,X28&lt;AE28),"DNQ",IF(X28&gt;=AE28,"Tier II","Tier I"))))</f>
        <v>Tier II</v>
      </c>
      <c r="AI28" s="148" t="str">
        <f>IF(OR(AF28="DNQ",AG28="DNQ",AH28="DNQ",'In Unit HVAC Worksheet'!AB83="FAIL",AY28="DNQ"),"DNQ",IF(OR(AF28="Tier I",AH28="Tier I"),"Tier I",IF(OR(AF28="Tier II",AH28="Tier II"),"Tier II","Tier III")))</f>
        <v>Tier II</v>
      </c>
      <c r="AJ28" s="647" t="str">
        <f>References!$C$18</f>
        <v/>
      </c>
      <c r="AK28" s="251">
        <f>IF('In Unit HVAC Worksheet'!C62="","",IF(AI28="DNQ","DNQ",INDEX(IF(AJ28="Income Eligible ",References!$AK$3:$AK$36,References!$AJ$3:$AJ$36),MATCH(E28,References!$AE$3:$AE$36,0))*('In Unit HVAC Worksheet'!H62/12000)))</f>
        <v>1250</v>
      </c>
      <c r="AL28" s="648">
        <f>IF('In Unit HVAC Worksheet'!C62="","",IF(AK28="DNQ",0,INDEX(References!$AL$3:$AL$36,MATCH(Qualifying_Index!E28,References!$AE$3:$AE$36,0))))</f>
        <v>500</v>
      </c>
      <c r="AM28" s="647">
        <f t="shared" si="2"/>
        <v>1</v>
      </c>
      <c r="AN28" s="648">
        <f>IF(COUNTIF(AM27,1),0,AL28)</f>
        <v>0</v>
      </c>
      <c r="AP28" s="1107">
        <f>'In Unit HVAC Worksheet'!Y83</f>
        <v>14000</v>
      </c>
      <c r="AQ28" s="1107">
        <f>'In Unit HVAC Worksheet'!AA83</f>
        <v>15000</v>
      </c>
      <c r="AR28" s="2">
        <f>(('In Unit HVAC Worksheet'!G62*0.65))</f>
        <v>9100</v>
      </c>
      <c r="AS28" s="2">
        <f>(('In Unit HVAC Worksheet'!G62*1.35))</f>
        <v>18900</v>
      </c>
      <c r="AT28" s="2">
        <f>IF(AND(References!$C$21=TRUE,References!$H$4=FALSE),('In Unit HVAC Worksheet'!AA83*0.9),'In Unit HVAC Worksheet'!I62*0.65)</f>
        <v>13500</v>
      </c>
      <c r="AU28" s="2">
        <f>IF(AND(References!$C$21=TRUE,References!$H$4=FALSE),('In Unit HVAC Worksheet'!AA83*1.2),'In Unit HVAC Worksheet'!I62*1.35)</f>
        <v>18000</v>
      </c>
      <c r="AV28" s="2" t="str">
        <f>IF(AND('In Unit HVAC Worksheet'!Y83&gt;=Qualifying_Index!AR28,'In Unit HVAC Worksheet'!Y83&lt;=Qualifying_Index!AS28),"PASS","FAIL")</f>
        <v>PASS</v>
      </c>
      <c r="AW28" s="1120" t="str">
        <f>IF(OR(AT28=0,AU28=0),"FAIL",IF(AND(IF(References!$C$21=TRUE,'In Unit HVAC Worksheet'!I62,'In Unit HVAC Worksheet'!AA83)&gt;=AT28,IF(References!$C$21=TRUE,'In Unit HVAC Worksheet'!I62,'In Unit HVAC Worksheet'!AA83)&lt;=AU28),"PASS","FAIL"))</f>
        <v>PASS</v>
      </c>
      <c r="AX28" s="1120" t="str">
        <f>IF(References!$C$21=TRUE,IF(AND('In Unit HVAC Worksheet'!Y83="",'In Unit HVAC Worksheet'!AA83=""),"Missing Info",IF(AW28="PASS","PASS","FAIL")),IF(AND(OR('In Unit HVAC Worksheet'!Y83="",'In Unit HVAC Worksheet'!AA83=""),OR(LEFT('In Unit HVAC Worksheet'!C62,6)="Ducted",B28="Cold Climate")),"Missing Info",IF(OR(AV28="PASS",AW28="PASS",BU28="Ductless HP",BU28="PTHP"),"PASS","FAIL")))</f>
        <v>PASS</v>
      </c>
      <c r="AY28" t="str">
        <f>IF(B28="Cold Climate",IF(BU28="ccASHP",IF(OR(AZ28=References!$A$120,AZ28=References!$A$121,AZ28=References!$A$122,AZ28=References!$A$123,AZ28=References!$A$124),"","DNQ"),IF(C28="Whole House",IF(OR(AZ28=References!$A$121,AZ28=References!$A$122,AZ28=References!$A$123,AZ28=References!$A$124),"","DNQ"),"")),"")</f>
        <v/>
      </c>
      <c r="AZ28" s="1114" t="str">
        <f>IF(B28="","",IF(B28="Cold Climate",_xlfn.IFNA(INDEX('Integrated Controls'!$B$17:$B$18,MATCH('In Unit HVAC Worksheet'!R83,'Integrated Controls'!$A$17:$A$18,0)),"Separate Control"),""))</f>
        <v>No Fossil Fuel Heater</v>
      </c>
      <c r="BA28" s="585">
        <f t="shared" ref="BA28:BA36" si="3">IF(AQ28=0,"",T28/AQ28)</f>
        <v>1</v>
      </c>
      <c r="BB28" s="1083">
        <f>IF(AZ28="","",IF(AZ28="No Fossil Fuel Heater",1,IF(AZ28="Integrated/Modulating Control",IF(ROUND(BA28,1)&gt;1,1,ROUND(BA28,1)),IF(LEFT('In Unit HVAC Worksheet'!C62,6)="Ducted",0.9,IF(BA28&gt;=0.65,0.7,IF(BA28&gt;=0.55,0.6,IF(BA28&gt;=0.45,0.5,IF(BA28&gt;=0.35,0.4,0.3))))))))</f>
        <v>1</v>
      </c>
      <c r="BC28" s="702" t="str">
        <f>IF(B28="","",IF(B28="Cold Climate",'In Unit HVAC Worksheet'!C62&amp;" "&amp;AZ28&amp;" "&amp;BB28,""))</f>
        <v>Ducted ccASHP No Fossil Fuel Heater 1</v>
      </c>
      <c r="BD28" s="112">
        <f>IF($BC28="","",INDEX(References!$AH$63:$AH$118,MATCH($BC28,References!$AF$63:$AF$118,0)))</f>
        <v>0.82399999999999995</v>
      </c>
      <c r="BE28" s="112">
        <f>IF($BC28="","",INDEX(References!$AI$63:$AI$118,MATCH($BC28,References!$AF$63:$AF$118,0)))</f>
        <v>0.77700000000000002</v>
      </c>
      <c r="BF28" s="112">
        <f>IF($BC28="","",INDEX(References!$AJ$63:$AJ$118,MATCH($BC28,References!$AF$63:$AF$118,0)))</f>
        <v>1.52</v>
      </c>
      <c r="BG28" s="112">
        <f>IF($BC28="","",INDEX(References!$AK$63:$AK$118,MATCH($BC28,References!$AF$63:$AF$118,0)))</f>
        <v>0.85899999999999999</v>
      </c>
      <c r="BH28" s="1115">
        <f t="shared" ref="BH28:BH36" si="4">IF(BC28="","",BF28+BG28*V28)</f>
        <v>20.503900000000002</v>
      </c>
      <c r="BI28" s="1115">
        <f>IF(BC28="","",BD28+BE28*X28/References!$E$12)</f>
        <v>3.5111629542790155</v>
      </c>
      <c r="BJ28" s="112">
        <f>IF($BC28="","",INDEX(References!$AL$63:$AL$118,MATCH($BC28,References!$AF$63:$AF$118,0)))</f>
        <v>1</v>
      </c>
      <c r="BK28" s="112">
        <f>IF($BC28="","",INDEX(References!$AM$63:$AM$118,MATCH($BC28,References!$AF$63:$AF$118,0)))</f>
        <v>1</v>
      </c>
      <c r="BM28" s="2" t="str">
        <f>IF(OR('In Unit HVAC Worksheet'!G62="",'In Unit HVAC Worksheet'!J62="",'In Unit HVAC Worksheet'!M62="",'In Unit HVAC Worksheet'!N62="",'In Unit HVAC Worksheet'!C83="",'In Unit HVAC Worksheet'!E83="",'In Unit HVAC Worksheet'!F83="",'In Unit HVAC Worksheet'!I83="",'In Unit HVAC Worksheet'!K83="",'In Unit HVAC Worksheet'!M83=""),"Missing Info","")</f>
        <v/>
      </c>
      <c r="BN28" s="2" t="str">
        <f>IF(AND(BV28=1,'In Unit HVAC Worksheet'!N62=""),"Missing Info",IF(BU28="PTHP",BM28,IF(OR('In Unit HVAC Worksheet'!G62="",'In Unit HVAC Worksheet'!J62="",'In Unit HVAC Worksheet'!L62="",'In Unit HVAC Worksheet'!M62="",'In Unit HVAC Worksheet'!C83="",'In Unit HVAC Worksheet'!E83="",'In Unit HVAC Worksheet'!F83="",'In Unit HVAC Worksheet'!K83="",'In Unit HVAC Worksheet'!M83="",AX28="Missing Info"),"Missing Info","")))</f>
        <v/>
      </c>
      <c r="BO28" s="2" t="str">
        <f>IF(AND(BV28=1,'In Unit HVAC Worksheet'!N62=""),"Missing Info",IF(BU28="PTHP",BM28,IF(OR('In Unit HVAC Worksheet'!C83="",'In Unit HVAC Worksheet'!E83="",'In Unit HVAC Worksheet'!F83="",'In Unit HVAC Worksheet'!K83="",'In Unit HVAC Worksheet'!M83="",'In Unit HVAC Worksheet'!G62="",'In Unit HVAC Worksheet'!J62="",'In Unit HVAC Worksheet'!L62=""),"Missing Info","")))</f>
        <v/>
      </c>
      <c r="BP28" s="26">
        <f>IF(OR('In Unit HVAC Worksheet'!Z62="",'In Unit HVAC Worksheet'!M62=""),"",IF(OR('In Unit HVAC Worksheet'!C62="Ducted ASHP",'In Unit HVAC Worksheet'!C62="Ducted ccASHP"),'In Unit HVAC Worksheet'!G62/12000*(12/'In Unit HVAC Worksheet'!M62)*kW_CA,0))</f>
        <v>1.3127058823529413E-3</v>
      </c>
      <c r="BQ28" s="26">
        <f>IF('In Unit HVAC Worksheet'!M62="","",IF(OR('In Unit HVAC Worksheet'!Z62=""),"",'In Unit HVAC Worksheet'!G62*(12/'In Unit HVAC Worksheet'!M62)*kW_RS))</f>
        <v>0</v>
      </c>
      <c r="BR28" s="27">
        <f>IF(OR('In Unit HVAC Worksheet'!Z62="",'In Unit HVAC Worksheet'!L62="",'In Unit HVAC Worksheet'!M62=""),"",IF(OR('In Unit HVAC Worksheet'!C62="Ducted ASHP",'In Unit HVAC Worksheet'!C62="Ducted ccASHP"),'In Unit HVAC Worksheet'!G62/12000*(12/'In Unit HVAC Worksheet'!L62*FLH_Cool)*QI_kWh,0))</f>
        <v>24.605000000000004</v>
      </c>
      <c r="BS28" s="27">
        <f>IF(OR('In Unit HVAC Worksheet'!Z62="",'In Unit HVAC Worksheet'!L62="",'In Unit HVAC Worksheet'!M62=""),"",IF(OR('In Unit HVAC Worksheet'!C62="Ducted ASHP",'In Unit HVAC Worksheet'!C62="Ducted ccASHP"),'In Unit HVAC Worksheet'!I62/12000*(12/'In Unit HVAC Worksheet'!N62*FLH_Heat)*QI_kWh,0))</f>
        <v>64.125</v>
      </c>
      <c r="BU28" s="2" t="str">
        <f>IF('In Unit HVAC Worksheet'!C62="","",INDEX(References!$AB$7:$AB$19,MATCH('In Unit HVAC Worksheet'!C62,Equipment_Type,0)))</f>
        <v>ccASHP</v>
      </c>
      <c r="BV28" s="2">
        <f>IF('In Unit HVAC Worksheet'!C62="","",INDEX(References!$AA$7:$AA$19,MATCH('In Unit HVAC Worksheet'!C62,Equipment_Type,0)))</f>
        <v>1</v>
      </c>
      <c r="BX28" s="2">
        <f>IF(References!$H$14="",0,IF(B28&lt;&gt;"",IF(References!$A$21=1,IF(References!$C$27=1,References!$C$32,References!$C$34),IF(References!$C$27=1,FLH_Cool,References!$B$34)),IF(References!$C$27=1,References!$D$32,References!$D$34)))</f>
        <v>675</v>
      </c>
      <c r="BY28" s="2">
        <f>IF(References!$H$14="",0,IF(B28&lt;&gt;"",IF(References!$A$21=1,IF(References!$C$27=1,References!$C$33,References!$C$35),IF(References!$C$27=1,FLH_Heat,References!$B$35)),IF(References!$C$27=1,References!$D$33,References!$D$35)))</f>
        <v>1265</v>
      </c>
      <c r="CA28" s="321">
        <f>IF(OR($AX28="FAIL",'In Unit HVAC Worksheet'!G62="",AX28="Missing Info",AI28="DNQ"),0,IF(B28="Cold Climate",((AP28/1000)*((1/I28)-(1/W28))*BJ28)+SUM(BP28:BQ28),((S28/12000)*((12/I28)-(12/W28)))+SUM(BP28:BQ28)))</f>
        <v>0.3530072340635898</v>
      </c>
      <c r="CB28" s="26">
        <f>IF(OR($AX28="FAIL",'In Unit HVAC Worksheet'!G62="",AX28="Missing Info",AI28="DNQ"),0,IF(B28="Cold Climate",((AP28/1000)*((1/J28)-(1/BH28))*BX28*BJ28)+BR28,IF(BU28="PTHP",((S28/12000)*(12/I28-12/W28)*BX28),((('In Unit HVAC Worksheet'!G62/12000)*((12/J28)-(12/V28))*BX28))+BR28)))</f>
        <v>193.71707136203355</v>
      </c>
      <c r="CC28" s="26">
        <f>IF(OR($AX28="FAIL",'In Unit HVAC Worksheet'!G62="",AX28="Missing Info",AI28="DNQ"),0,CB28*References!$E$12/1000)</f>
        <v>0.66096264748725841</v>
      </c>
      <c r="CD28" s="322">
        <f>CB28*References!$A$12</f>
        <v>228.25682518588411</v>
      </c>
      <c r="CE28" s="321">
        <f>IF(OR($AX28="FAIL",'In Unit HVAC Worksheet'!I62="",AX28="Missing Info",AI28="DNQ"),0,IF(N28=0,SUM(BP28:BQ28),IF(B28="Cold Climate",((AQ28/1000)*((1/L28)-(1/(X28/3.412)))*(1/References!$E$12)+SUM(BP28:BQ28))*N28,IF(BU28="PTHP",((U28/12000)*((1/(L28))-(1/(X28)))+SUM(BP28:BQ28))*N28*(1/References!$E$12),((U28/12000)*((1/(L28))-(1/(X28/3.412)))+SUM(BP28:BQ28))*N28))))</f>
        <v>2.7463228515572171E-2</v>
      </c>
      <c r="CF28" s="300">
        <f>IF(OR($AX28="FAIL",'In Unit HVAC Worksheet'!I62="",AX28="Missing Info",AI28="DNQ"),0,IF(N28=0,SUM(BS28),IF(B28="Cold Climate",((AQ28/1000)*((1/L28)-(1/BI28))*(1/References!$E$12)*BY28*BK28*N28+BS28),IF(BU28="PTHP",((U28/12000)*((12/(L28))-(12/X28))*(1/References!$E$12)*BY28*N28+BS28),((U28/12000)*((12/(L28*References!$E$12))-(12/X28))*BY28*N28+BS28)))))</f>
        <v>99.541346851799162</v>
      </c>
      <c r="CG28" s="26">
        <f>IF(OR($AX28="FAIL",'In Unit HVAC Worksheet'!I62="",AX28="Missing Info",AI28="DNQ"),0,IF(B28="Cold Climate",-((AQ28/1000)*(1/(X28/3.412))*(1/References!$E$12))*O28,IF(BU28="PTHP",-((U28/12000)*(1/(X28)))*O28*(1/References!$E$12),-((U28/12000)*(1/(X28/3.412)))*O28)))</f>
        <v>-1.2330508474576267</v>
      </c>
      <c r="CH28" s="299">
        <f>IF(OR($AX28="FAIL",'In Unit HVAC Worksheet'!I62="",AX28="Missing Info",AI28="DNQ"),0,IF(B28="Cold Climate",((AQ28/1000)*(1/BI28)*(1/References!$E$12)*BY28*BK28)*O28,IF(BU28="PTHP",(((U28/12000)*(12/X28)*BY28/References!$E$12)-(U28*BY28/1000000)*P28)*O28,(((U28/12000)*(12/X28)*BY28)-(U28*BY28/1000000)*P28)*O28)))</f>
        <v>1536.361836407212</v>
      </c>
      <c r="CI28" s="299">
        <f>IF(OR($AX28="FAIL",AX28="Missing Info",'In Unit HVAC Worksheet'!C62=""),0,((CF28-CH28)*References!$E$12/1000))</f>
        <v>-4.9024315103630691</v>
      </c>
      <c r="CJ28" s="27">
        <f>IF(OR($AX28="FAIL",AX28="Missing Info",'In Unit HVAC Worksheet'!C62=""),0,IF(O28&lt;&gt;0,IF(B28="Cold Climate",((AQ28*BY28/M28)/1000000)*O28,((U28*BY28/M28)/1000000)*O28*P28),0))</f>
        <v>22.524322339839681</v>
      </c>
      <c r="CK28" s="27">
        <f t="shared" ref="CK28:CK36" si="5">CI28+CJ28</f>
        <v>17.621890829476612</v>
      </c>
      <c r="CL28" s="371">
        <f>(CF28-CH28)*References!$A$12</f>
        <v>-1693.005582843143</v>
      </c>
      <c r="CM28" s="371">
        <f>CJ28*Q28*References!$D$4</f>
        <v>3672.6406714091645</v>
      </c>
      <c r="CN28" s="322">
        <f t="shared" ref="CN28:CN36" si="6">CL28+CM28</f>
        <v>1979.6350885660215</v>
      </c>
      <c r="CQ28" s="1606" t="str">
        <f>IF('In Unit HVAC Worksheet'!Q62="","",'In Unit HVAC Worksheet'!Q62)</f>
        <v/>
      </c>
    </row>
    <row r="29" spans="1:95" ht="14.15" customHeight="1">
      <c r="A29">
        <f t="shared" ref="A29:A36" si="7">A28+1</f>
        <v>3</v>
      </c>
      <c r="B29" s="220" t="str">
        <f>IF(OR('In Unit HVAC Worksheet'!C63="Ducted ccASHP",'In Unit HVAC Worksheet'!C63="Ductless Mini Split - ccASHP",'In Unit HVAC Worksheet'!C63="Ductless Multi Split - ccASHP"),"Cold Climate","")</f>
        <v/>
      </c>
      <c r="C29" s="315" t="str">
        <f>IF(References!$C$21=TRUE,"Whole House",IF(RIGHT(References!$H$37,2)="HP","Retrofit","New"))</f>
        <v>Whole House</v>
      </c>
      <c r="D29" s="389">
        <f>IF(References!$C$21&lt;&gt;TRUE,"",IF(OR(References!$A$21=2),1,IF(AND('In Unit HVAC Worksheet'!S63&lt;&gt;"Central Air Conditioner",'In Unit HVAC Worksheet'!S63&lt;&gt;"Ducted Air Source HP",LEFT(H29,3)="Oil"),2,3)))</f>
        <v>3</v>
      </c>
      <c r="E29" s="315" t="str">
        <f>C29&amp;" "&amp;'In Unit HVAC Worksheet'!C63&amp;" "&amp;'In Unit HVAC Worksheet'!O63&amp;D29</f>
        <v>Whole House  3</v>
      </c>
      <c r="G29" s="220" t="str">
        <f>IF(OR(References!$A$21=2),"New Construction",IF('In Unit HVAC Worksheet'!S63="","None",'In Unit HVAC Worksheet'!S63))</f>
        <v>None</v>
      </c>
      <c r="H29" s="221" t="str">
        <f>IF(OR(References!$A$21=2),"New Construction",IF('In Unit HVAC Worksheet'!T63="","None",'In Unit HVAC Worksheet'!T63))</f>
        <v>None</v>
      </c>
      <c r="I29" s="220">
        <f>IF(G29=0,0,IF(OR('In Unit HVAC Worksheet'!V63="",'In Unit HVAC Worksheet'!S63=""),INDEX(References!$L$9:$L$16,MATCH(G29,References!$K$9:$K$16,0)),'In Unit HVAC Worksheet'!V63))</f>
        <v>12.3</v>
      </c>
      <c r="J29" s="221">
        <f>IF(G29=0,0,IF(OR('In Unit HVAC Worksheet'!U63="",'In Unit HVAC Worksheet'!S63=""),INDEX(References!$M$9:$M$16,MATCH(G29,References!$K$9:$K$16,0)),'In Unit HVAC Worksheet'!U63))</f>
        <v>15</v>
      </c>
      <c r="K29" s="221">
        <f>IF(H29="Electric ASHP",IF('In Unit HVAC Worksheet'!W63&lt;8.5,References!$M$42,References!$M$43),0)</f>
        <v>0</v>
      </c>
      <c r="L29" s="220">
        <f>IF(H29=0,0,IF('In Unit HVAC Worksheet'!W63="",INDEX(References!$L$20:$L$36,MATCH(H29,References!$H$20:$H$36,0)),IF(H29="Electric ASHP",'In Unit HVAC Worksheet'!W63*K29/3.412,'In Unit HVAC Worksheet'!W63)))</f>
        <v>2.011723329425557</v>
      </c>
      <c r="M29" s="221">
        <f>IF(H29=0,0,IF('In Unit HVAC Worksheet'!X63="",INDEX(References!$M$20:$M$36,MATCH(H29,References!$H$20:$H$36,0)),'In Unit HVAC Worksheet'!X63))</f>
        <v>0.81715000000000004</v>
      </c>
      <c r="N29" s="1106">
        <f>IF(H29=0,0,INDEX(References!$I$20:$I$36,MATCH(H29,References!$H$20:$H$36,0)))</f>
        <v>0.03</v>
      </c>
      <c r="O29" s="1106">
        <f>IF(H29=0,0,INDEX(References!$J$20:$J$36,MATCH(H29,References!$H$20:$H$36,0)))</f>
        <v>0.97</v>
      </c>
      <c r="P29" s="315">
        <f>IF(H29=0,0,INDEX(References!$N$20:$N$36,MATCH(H29,References!$H$20:$H$36,0)))</f>
        <v>1</v>
      </c>
      <c r="Q29" s="2">
        <f>IF(H29=0,0,INDEX(References!$O$20:$O$36,MATCH(H29,References!$H$20:$H$36,0)))</f>
        <v>7.3959999999999998E-2</v>
      </c>
      <c r="S29" s="315" t="str">
        <f>IF('In Unit HVAC Worksheet'!G63="","",'In Unit HVAC Worksheet'!G63)</f>
        <v/>
      </c>
      <c r="T29" s="315" t="str">
        <f>IF('In Unit HVAC Worksheet'!I63="","",'In Unit HVAC Worksheet'!I63)</f>
        <v/>
      </c>
      <c r="U29" s="315" t="str">
        <f>IF('In Unit HVAC Worksheet'!H63="","",'In Unit HVAC Worksheet'!H63)</f>
        <v/>
      </c>
      <c r="V29" s="153" t="str">
        <f>IF('In Unit HVAC Worksheet'!L63="","",IF('In Unit HVAC Worksheet'!K63=References!$G$60,'In Unit HVAC Worksheet'!L63,ROUND(1.2476*'In Unit HVAC Worksheet'!L63-2.8674,1)))</f>
        <v/>
      </c>
      <c r="W29" s="153" t="str">
        <f>IF('In Unit HVAC Worksheet'!M63="","",IF('In Unit HVAC Worksheet'!K63=References!$G$60,'In Unit HVAC Worksheet'!M63,ROUND(1.0578*'In Unit HVAC Worksheet'!M63-0.1769,1)))</f>
        <v/>
      </c>
      <c r="X29" s="153" t="str">
        <f>IF('In Unit HVAC Worksheet'!N63="","",IF('In Unit HVAC Worksheet'!K63=References!$G$60,'In Unit HVAC Worksheet'!N63,ROUND(1.1702*'In Unit HVAC Worksheet'!N63+0.07,1)))</f>
        <v/>
      </c>
      <c r="Y29" s="2" t="str">
        <f>IF('In Unit HVAC Worksheet'!C63="","",INDEX(References!$T$7:$T$19,MATCH('In Unit HVAC Worksheet'!$C63,References!$S$7:$S$19,0)))</f>
        <v/>
      </c>
      <c r="Z29" s="2" t="str">
        <f>IF('In Unit HVAC Worksheet'!C63="","",INDEX(References!$U$7:$U$19,MATCH('In Unit HVAC Worksheet'!$C63,References!$S$7:$S$19,0)))</f>
        <v/>
      </c>
      <c r="AA29" s="2" t="str">
        <f>IF('In Unit HVAC Worksheet'!C63="","",INDEX(References!$V$7:$V$19,MATCH('In Unit HVAC Worksheet'!$C63,References!$S$7:$S$19,0)))</f>
        <v/>
      </c>
      <c r="AB29" s="2" t="str">
        <f>IF('In Unit HVAC Worksheet'!C63="","",INDEX(References!$Y$7:$Y$19,MATCH('In Unit HVAC Worksheet'!$C63,References!$S$7:$S$19,0)))</f>
        <v/>
      </c>
      <c r="AC29" s="2" t="str">
        <f>IF('In Unit HVAC Worksheet'!C63="","",INDEX(References!$Z$7:$Z$19,MATCH('In Unit HVAC Worksheet'!$C63,References!$S$7:$S$19,0)))</f>
        <v/>
      </c>
      <c r="AD29" s="2" t="str">
        <f>IF('In Unit HVAC Worksheet'!C63="","",INDEX(References!$W$7:$W$19,MATCH('In Unit HVAC Worksheet'!$C63,References!$S$7:$S$19,0)))</f>
        <v/>
      </c>
      <c r="AE29" s="2" t="str">
        <f>IF('In Unit HVAC Worksheet'!C63="","",INDEX(References!$X$7:$X$19,MATCH('In Unit HVAC Worksheet'!$C63,References!$S$7:$S$19,0)))</f>
        <v/>
      </c>
      <c r="AF29" s="2" t="str">
        <f t="shared" si="0"/>
        <v/>
      </c>
      <c r="AG29" s="2" t="str">
        <f t="shared" si="1"/>
        <v/>
      </c>
      <c r="AH29" s="2" t="str">
        <f>IF('In Unit HVAC Worksheet'!C63="","",IF(AD29=0,"",IF(AND(X29&lt;AD29,X29&lt;AE29),"DNQ",IF(X29&gt;=AE29,"Tier II","Tier I"))))</f>
        <v/>
      </c>
      <c r="AI29" s="148" t="str">
        <f>IF(OR(AF29="DNQ",AG29="DNQ",AH29="DNQ",'In Unit HVAC Worksheet'!AB84="FAIL",AY29="DNQ"),"DNQ",IF(OR(AF29="Tier I",AH29="Tier I"),"Tier I",IF(OR(AF29="Tier II",AH29="Tier II"),"Tier II","Tier III")))</f>
        <v>Tier III</v>
      </c>
      <c r="AJ29" s="647" t="str">
        <f>References!$C$18</f>
        <v/>
      </c>
      <c r="AK29" s="251" t="str">
        <f>IF('In Unit HVAC Worksheet'!C63="","",IF(AI29="DNQ","DNQ",INDEX(IF(AJ29="Income Eligible ",References!$AK$3:$AK$36,References!$AJ$3:$AJ$36),MATCH(E29,References!$AE$3:$AE$36,0))*('In Unit HVAC Worksheet'!H63/12000)))</f>
        <v/>
      </c>
      <c r="AL29" s="648" t="str">
        <f>IF('In Unit HVAC Worksheet'!C63="","",IF(AK29="DNQ",0,INDEX(References!$AL$3:$AL$36,MATCH(Qualifying_Index!E29,References!$AE$3:$AE$36,0))))</f>
        <v/>
      </c>
      <c r="AM29" s="647">
        <f t="shared" si="2"/>
        <v>1</v>
      </c>
      <c r="AN29" s="648">
        <f>IF(COUNTIF(AM27:AM28,1),0,AL29)</f>
        <v>0</v>
      </c>
      <c r="AP29" s="1107">
        <f>'In Unit HVAC Worksheet'!Y84</f>
        <v>0</v>
      </c>
      <c r="AQ29" s="1107">
        <f>'In Unit HVAC Worksheet'!AA84</f>
        <v>0</v>
      </c>
      <c r="AR29" s="2">
        <f>(('In Unit HVAC Worksheet'!G63*0.65))</f>
        <v>0</v>
      </c>
      <c r="AS29" s="2">
        <f>(('In Unit HVAC Worksheet'!G63*1.35))</f>
        <v>0</v>
      </c>
      <c r="AT29" s="2">
        <f>IF(AND(References!$C$21=TRUE,References!$H$4=FALSE),('In Unit HVAC Worksheet'!AA84*0.9),'In Unit HVAC Worksheet'!I63*0.65)</f>
        <v>0</v>
      </c>
      <c r="AU29" s="2">
        <f>IF(AND(References!$C$21=TRUE,References!$H$4=FALSE),('In Unit HVAC Worksheet'!AA84*1.2),'In Unit HVAC Worksheet'!I63*1.35)</f>
        <v>0</v>
      </c>
      <c r="AV29" s="2" t="str">
        <f>IF(AND('In Unit HVAC Worksheet'!Y84&gt;=Qualifying_Index!AR29,'In Unit HVAC Worksheet'!Y84&lt;=Qualifying_Index!AS29),"PASS","FAIL")</f>
        <v>PASS</v>
      </c>
      <c r="AW29" s="1120" t="str">
        <f>IF(OR(AT29=0,AU29=0),"FAIL",IF(AND(IF(References!$C$21=TRUE,'In Unit HVAC Worksheet'!I63,'In Unit HVAC Worksheet'!AA84)&gt;=AT29,IF(References!$C$21=TRUE,'In Unit HVAC Worksheet'!I63,'In Unit HVAC Worksheet'!AA84)&lt;=AU29),"PASS","FAIL"))</f>
        <v>FAIL</v>
      </c>
      <c r="AX29" s="1120" t="str">
        <f>IF(References!$C$21=TRUE,IF(AND('In Unit HVAC Worksheet'!Y84="",'In Unit HVAC Worksheet'!AA84=""),"Missing Info",IF(AW29="PASS","PASS","FAIL")),IF(AND(OR('In Unit HVAC Worksheet'!Y84="",'In Unit HVAC Worksheet'!AA84=""),OR(LEFT('In Unit HVAC Worksheet'!C63,6)="Ducted",B29="Cold Climate")),"Missing Info",IF(OR(AV29="PASS",AW29="PASS",BU29="Ductless HP",BU29="PTHP"),"PASS","FAIL")))</f>
        <v>Missing Info</v>
      </c>
      <c r="AY29" t="str">
        <f>IF(B29="Cold Climate",IF(BU29="ccASHP",IF(OR(AZ29=References!$A$120,AZ29=References!$A$121,AZ29=References!$A$122,AZ29=References!$A$123,AZ29=References!$A$124),"","DNQ"),IF(C29="Whole House",IF(OR(AZ29=References!$A$121,AZ29=References!$A$122,AZ29=References!$A$123,AZ29=References!$A$124),"","DNQ"),"")),"")</f>
        <v/>
      </c>
      <c r="AZ29" s="1114" t="str">
        <f>IF(B29="","",IF(B29="Cold Climate",_xlfn.IFNA(INDEX('Integrated Controls'!$B$17:$B$18,MATCH('In Unit HVAC Worksheet'!R84,'Integrated Controls'!$A$17:$A$18,0)),"Separate Control"),""))</f>
        <v/>
      </c>
      <c r="BA29" s="585" t="str">
        <f t="shared" si="3"/>
        <v/>
      </c>
      <c r="BB29" s="1083" t="str">
        <f>IF(AZ29="","",IF(AZ29="No Fossil Fuel Heater",1,IF(AZ29="Integrated/Modulating Control",IF(ROUND(BA29,1)&gt;1,1,ROUND(BA29,1)),IF(LEFT('In Unit HVAC Worksheet'!C63,6)="Ducted",0.9,IF(BA29&gt;=0.65,0.7,IF(BA29&gt;=0.55,0.6,IF(BA29&gt;=0.45,0.5,IF(BA29&gt;=0.35,0.4,0.3))))))))</f>
        <v/>
      </c>
      <c r="BC29" s="702" t="str">
        <f>IF(B29="","",IF(B29="Cold Climate",'In Unit HVAC Worksheet'!C63&amp;" "&amp;AZ29&amp;" "&amp;BB29,""))</f>
        <v/>
      </c>
      <c r="BD29" s="112" t="str">
        <f>IF($BC29="","",INDEX(References!$AH$63:$AH$118,MATCH($BC29,References!$AF$63:$AF$118,0)))</f>
        <v/>
      </c>
      <c r="BE29" s="112" t="str">
        <f>IF($BC29="","",INDEX(References!$AI$63:$AI$118,MATCH($BC29,References!$AF$63:$AF$118,0)))</f>
        <v/>
      </c>
      <c r="BF29" s="112" t="str">
        <f>IF($BC29="","",INDEX(References!$AJ$63:$AJ$118,MATCH($BC29,References!$AF$63:$AF$118,0)))</f>
        <v/>
      </c>
      <c r="BG29" s="112" t="str">
        <f>IF($BC29="","",INDEX(References!$AK$63:$AK$118,MATCH($BC29,References!$AF$63:$AF$118,0)))</f>
        <v/>
      </c>
      <c r="BH29" s="1115" t="str">
        <f t="shared" si="4"/>
        <v/>
      </c>
      <c r="BI29" s="1115" t="str">
        <f>IF(BC29="","",BD29+BE29*X29/References!$E$12)</f>
        <v/>
      </c>
      <c r="BJ29" s="112" t="str">
        <f>IF($BC29="","",INDEX(References!$AL$63:$AL$118,MATCH($BC29,References!$AF$63:$AF$118,0)))</f>
        <v/>
      </c>
      <c r="BK29" s="112" t="str">
        <f>IF($BC29="","",INDEX(References!$AM$63:$AM$118,MATCH($BC29,References!$AF$63:$AF$118,0)))</f>
        <v/>
      </c>
      <c r="BM29" s="2" t="str">
        <f>IF(OR('In Unit HVAC Worksheet'!G63="",'In Unit HVAC Worksheet'!J63="",'In Unit HVAC Worksheet'!M63="",'In Unit HVAC Worksheet'!N63="",'In Unit HVAC Worksheet'!C84="",'In Unit HVAC Worksheet'!E84="",'In Unit HVAC Worksheet'!F84="",'In Unit HVAC Worksheet'!I84="",'In Unit HVAC Worksheet'!K84="",'In Unit HVAC Worksheet'!M84=""),"Missing Info","")</f>
        <v>Missing Info</v>
      </c>
      <c r="BN29" s="2" t="str">
        <f>IF(AND(BV29=1,'In Unit HVAC Worksheet'!N63=""),"Missing Info",IF(BU29="PTHP",BM29,IF(OR('In Unit HVAC Worksheet'!G63="",'In Unit HVAC Worksheet'!J63="",'In Unit HVAC Worksheet'!L63="",'In Unit HVAC Worksheet'!M63="",'In Unit HVAC Worksheet'!C84="",'In Unit HVAC Worksheet'!E84="",'In Unit HVAC Worksheet'!F84="",'In Unit HVAC Worksheet'!K84="",'In Unit HVAC Worksheet'!M84="",AX29="Missing Info"),"Missing Info","")))</f>
        <v>Missing Info</v>
      </c>
      <c r="BO29" s="2" t="str">
        <f>IF(AND(BV29=1,'In Unit HVAC Worksheet'!N63=""),"Missing Info",IF(BU29="PTHP",BM29,IF(OR('In Unit HVAC Worksheet'!C84="",'In Unit HVAC Worksheet'!E84="",'In Unit HVAC Worksheet'!F84="",'In Unit HVAC Worksheet'!K84="",'In Unit HVAC Worksheet'!M84="",'In Unit HVAC Worksheet'!G63="",'In Unit HVAC Worksheet'!J63="",'In Unit HVAC Worksheet'!L63=""),"Missing Info","")))</f>
        <v>Missing Info</v>
      </c>
      <c r="BP29" s="26" t="str">
        <f>IF(OR('In Unit HVAC Worksheet'!Z63="",'In Unit HVAC Worksheet'!M63=""),"",IF(OR('In Unit HVAC Worksheet'!C63="Ducted ASHP",'In Unit HVAC Worksheet'!C63="Ducted ccASHP"),'In Unit HVAC Worksheet'!G63/12000*(12/'In Unit HVAC Worksheet'!M63)*kW_CA,0))</f>
        <v/>
      </c>
      <c r="BQ29" s="26" t="str">
        <f>IF('In Unit HVAC Worksheet'!M63="","",IF(OR('In Unit HVAC Worksheet'!Z63=""),"",'In Unit HVAC Worksheet'!G63*(12/'In Unit HVAC Worksheet'!M63)*kW_RS))</f>
        <v/>
      </c>
      <c r="BR29" s="27" t="str">
        <f>IF(OR('In Unit HVAC Worksheet'!Z63="",'In Unit HVAC Worksheet'!L63="",'In Unit HVAC Worksheet'!M63=""),"",IF(OR('In Unit HVAC Worksheet'!C63="Ducted ASHP",'In Unit HVAC Worksheet'!C63="Ducted ccASHP"),'In Unit HVAC Worksheet'!G63/12000*(12/'In Unit HVAC Worksheet'!L63*FLH_Cool)*QI_kWh,0))</f>
        <v/>
      </c>
      <c r="BS29" s="27" t="str">
        <f>IF(OR('In Unit HVAC Worksheet'!Z63="",'In Unit HVAC Worksheet'!L63="",'In Unit HVAC Worksheet'!M63=""),"",IF(OR('In Unit HVAC Worksheet'!C63="Ducted ASHP",'In Unit HVAC Worksheet'!C63="Ducted ccASHP"),'In Unit HVAC Worksheet'!I63/12000*(12/'In Unit HVAC Worksheet'!N63*FLH_Heat)*QI_kWh,0))</f>
        <v/>
      </c>
      <c r="BU29" s="2" t="str">
        <f>IF('In Unit HVAC Worksheet'!C63="","",INDEX(References!$AB$7:$AB$19,MATCH('In Unit HVAC Worksheet'!C63,Equipment_Type,0)))</f>
        <v/>
      </c>
      <c r="BV29" s="2" t="str">
        <f>IF('In Unit HVAC Worksheet'!C63="","",INDEX(References!$AA$7:$AA$19,MATCH('In Unit HVAC Worksheet'!C63,Equipment_Type,0)))</f>
        <v/>
      </c>
      <c r="BX29" s="2">
        <f>IF(References!$H$14="",0,IF(B29&lt;&gt;"",IF(References!$A$21=1,IF(References!$C$27=1,References!$C$32,References!$C$34),IF(References!$C$27=1,FLH_Cool,References!$B$34)),IF(References!$C$27=1,References!$D$32,References!$D$34)))</f>
        <v>701</v>
      </c>
      <c r="BY29" s="2">
        <f>IF(References!$H$14="",0,IF(B29&lt;&gt;"",IF(References!$A$21=1,IF(References!$C$27=1,References!$C$33,References!$C$35),IF(References!$C$27=1,FLH_Heat,References!$B$35)),IF(References!$C$27=1,References!$D$33,References!$D$35)))</f>
        <v>642</v>
      </c>
      <c r="CA29" s="321">
        <f>IF(OR($AX29="FAIL",'In Unit HVAC Worksheet'!G63="",AX29="Missing Info",AI29="DNQ"),0,IF(B29="Cold Climate",((AP29/1000)*((1/I29)-(1/W29))*BJ29)+SUM(BP29:BQ29),((S29/12000)*((12/I29)-(12/W29)))+SUM(BP29:BQ29)))</f>
        <v>0</v>
      </c>
      <c r="CB29" s="26">
        <f>IF(OR($AX29="FAIL",'In Unit HVAC Worksheet'!G63="",AX29="Missing Info",AI29="DNQ"),0,IF(B29="Cold Climate",((AP29/1000)*((1/J29)-(1/BH29))*BX29*BJ29)+BR29,IF(BU29="PTHP",((S29/12000)*(12/I29-12/W29)*BX29),((('In Unit HVAC Worksheet'!G63/12000)*((12/J29)-(12/V29))*BX29))+BR29)))</f>
        <v>0</v>
      </c>
      <c r="CC29" s="26">
        <f>IF(OR($AX29="FAIL",'In Unit HVAC Worksheet'!G63="",AX29="Missing Info",AI29="DNQ"),0,CB29*References!$E$12/1000)</f>
        <v>0</v>
      </c>
      <c r="CD29" s="322">
        <f>CB29*References!$A$12</f>
        <v>0</v>
      </c>
      <c r="CE29" s="321">
        <f>IF(OR($AX29="FAIL",'In Unit HVAC Worksheet'!I63="",AX29="Missing Info",AI29="DNQ"),0,IF(N29=0,SUM(BP29:BQ29),IF(B29="Cold Climate",((AQ29/1000)*((1/L29)-(1/(X29/3.412)))*(1/References!$E$12)+SUM(BP29:BQ29))*N29,IF(BU29="PTHP",((U29/12000)*((1/(L29))-(1/(X29)))+SUM(BP29:BQ29))*N29*(1/References!$E$12),((U29/12000)*((1/(L29))-(1/(X29/3.412)))+SUM(BP29:BQ29))*N29))))</f>
        <v>0</v>
      </c>
      <c r="CF29" s="300">
        <f>IF(OR($AX29="FAIL",'In Unit HVAC Worksheet'!I63="",AX29="Missing Info",AI29="DNQ"),0,IF(N29=0,SUM(BS29),IF(B29="Cold Climate",((AQ29/1000)*((1/L29)-(1/BI29))*(1/References!$E$12)*BY29*BK29*N29+BS29),IF(BU29="PTHP",((U29/12000)*((12/(L29))-(12/X29))*(1/References!$E$12)*BY29*N29+BS29),((U29/12000)*((12/(L29*References!$E$12))-(12/X29))*BY29*N29+BS29)))))</f>
        <v>0</v>
      </c>
      <c r="CG29" s="26">
        <f>IF(OR($AX29="FAIL",'In Unit HVAC Worksheet'!I63="",AX29="Missing Info",AI29="DNQ"),0,IF(B29="Cold Climate",-((AQ29/1000)*(1/(X29/3.412))*(1/References!$E$12))*O29,IF(BU29="PTHP",-((U29/12000)*(1/(X29)))*O29*(1/References!$E$12),-((U29/12000)*(1/(X29/3.412)))*O29)))</f>
        <v>0</v>
      </c>
      <c r="CH29" s="299">
        <f>IF(OR($AX29="FAIL",'In Unit HVAC Worksheet'!I63="",AX29="Missing Info",AI29="DNQ"),0,IF(B29="Cold Climate",((AQ29/1000)*(1/BI29)*(1/References!$E$12)*BY29*BK29)*O29,IF(BU29="PTHP",(((U29/12000)*(12/X29)*BY29/References!$E$12)-(U29*BY29/1000000)*P29)*O29,(((U29/12000)*(12/X29)*BY29)-(U29*BY29/1000000)*P29)*O29)))</f>
        <v>0</v>
      </c>
      <c r="CI29" s="299">
        <f>IF(OR($AX29="FAIL",AX29="Missing Info",'In Unit HVAC Worksheet'!C63=""),0,((CF29-CH29)*References!$E$12/1000))</f>
        <v>0</v>
      </c>
      <c r="CJ29" s="27">
        <f>IF(OR($AX29="FAIL",AX29="Missing Info",'In Unit HVAC Worksheet'!C63=""),0,IF(O29&lt;&gt;0,IF(B29="Cold Climate",((AQ29*BY29/M29)/1000000)*O29,((U29*BY29/M29)/1000000)*O29*P29),0))</f>
        <v>0</v>
      </c>
      <c r="CK29" s="27">
        <f t="shared" si="5"/>
        <v>0</v>
      </c>
      <c r="CL29" s="371">
        <f>(CF29-CH29)*References!$A$12</f>
        <v>0</v>
      </c>
      <c r="CM29" s="371">
        <f>CJ29*Q29*References!$D$4</f>
        <v>0</v>
      </c>
      <c r="CN29" s="322">
        <f t="shared" si="6"/>
        <v>0</v>
      </c>
      <c r="CQ29" s="1606" t="str">
        <f>IF('In Unit HVAC Worksheet'!Q63="","",'In Unit HVAC Worksheet'!Q63)</f>
        <v/>
      </c>
    </row>
    <row r="30" spans="1:95" ht="14.15" customHeight="1">
      <c r="A30">
        <f t="shared" si="7"/>
        <v>4</v>
      </c>
      <c r="B30" s="220" t="str">
        <f>IF(OR('In Unit HVAC Worksheet'!C64="Ducted ccASHP",'In Unit HVAC Worksheet'!C64="Ductless Mini Split - ccASHP",'In Unit HVAC Worksheet'!C64="Ductless Multi Split - ccASHP"),"Cold Climate","")</f>
        <v/>
      </c>
      <c r="C30" s="315" t="str">
        <f>IF(References!$C$21=TRUE,"Whole House",IF(RIGHT(References!$H$37,2)="HP","Retrofit","New"))</f>
        <v>Whole House</v>
      </c>
      <c r="D30" s="389">
        <f>IF(References!$C$21&lt;&gt;TRUE,"",IF(OR(References!$A$21=2),1,IF(AND('In Unit HVAC Worksheet'!S64&lt;&gt;"Central Air Conditioner",'In Unit HVAC Worksheet'!S64&lt;&gt;"Ducted Air Source HP",LEFT(H30,3)="Oil"),2,3)))</f>
        <v>3</v>
      </c>
      <c r="E30" s="315" t="str">
        <f>C30&amp;" "&amp;'In Unit HVAC Worksheet'!C64&amp;" "&amp;'In Unit HVAC Worksheet'!O64&amp;D30</f>
        <v>Whole House  3</v>
      </c>
      <c r="G30" s="220" t="str">
        <f>IF(OR(References!$A$21=2),"New Construction",IF('In Unit HVAC Worksheet'!S64="","None",'In Unit HVAC Worksheet'!S64))</f>
        <v>None</v>
      </c>
      <c r="H30" s="221" t="str">
        <f>IF(OR(References!$A$21=2),"New Construction",IF('In Unit HVAC Worksheet'!T64="","None",'In Unit HVAC Worksheet'!T64))</f>
        <v>None</v>
      </c>
      <c r="I30" s="220">
        <f>IF(G30=0,0,IF(OR('In Unit HVAC Worksheet'!V64="",'In Unit HVAC Worksheet'!S64=""),INDEX(References!$L$9:$L$16,MATCH(G30,References!$K$9:$K$16,0)),'In Unit HVAC Worksheet'!V64))</f>
        <v>12.3</v>
      </c>
      <c r="J30" s="221">
        <f>IF(G30=0,0,IF(OR('In Unit HVAC Worksheet'!U64="",'In Unit HVAC Worksheet'!S64=""),INDEX(References!$M$9:$M$16,MATCH(G30,References!$K$9:$K$16,0)),'In Unit HVAC Worksheet'!U64))</f>
        <v>15</v>
      </c>
      <c r="K30" s="221">
        <f>IF(H30="Electric ASHP",IF('In Unit HVAC Worksheet'!W64&lt;8.5,References!$M$42,References!$M$43),0)</f>
        <v>0</v>
      </c>
      <c r="L30" s="220">
        <f>IF(H30=0,0,IF('In Unit HVAC Worksheet'!W64="",INDEX(References!$L$20:$L$36,MATCH(H30,References!$H$20:$H$36,0)),IF(H30="Electric ASHP",'In Unit HVAC Worksheet'!W64*K30/3.412,'In Unit HVAC Worksheet'!W64)))</f>
        <v>2.011723329425557</v>
      </c>
      <c r="M30" s="221">
        <f>IF(H30=0,0,IF('In Unit HVAC Worksheet'!X64="",INDEX(References!$M$20:$M$36,MATCH(H30,References!$H$20:$H$36,0)),'In Unit HVAC Worksheet'!X64))</f>
        <v>0.81715000000000004</v>
      </c>
      <c r="N30" s="1106">
        <f>IF(H30=0,0,INDEX(References!$I$20:$I$36,MATCH(H30,References!$H$20:$H$36,0)))</f>
        <v>0.03</v>
      </c>
      <c r="O30" s="1106">
        <f>IF(H30=0,0,INDEX(References!$J$20:$J$36,MATCH(H30,References!$H$20:$H$36,0)))</f>
        <v>0.97</v>
      </c>
      <c r="P30" s="315">
        <f>IF(H30=0,0,INDEX(References!$N$20:$N$36,MATCH(H30,References!$H$20:$H$36,0)))</f>
        <v>1</v>
      </c>
      <c r="Q30" s="2">
        <f>IF(H30=0,0,INDEX(References!$O$20:$O$36,MATCH(H30,References!$H$20:$H$36,0)))</f>
        <v>7.3959999999999998E-2</v>
      </c>
      <c r="S30" s="315" t="str">
        <f>IF('In Unit HVAC Worksheet'!G64="","",'In Unit HVAC Worksheet'!G64)</f>
        <v/>
      </c>
      <c r="T30" s="315" t="str">
        <f>IF('In Unit HVAC Worksheet'!I64="","",'In Unit HVAC Worksheet'!I64)</f>
        <v/>
      </c>
      <c r="U30" s="315" t="str">
        <f>IF('In Unit HVAC Worksheet'!H64="","",'In Unit HVAC Worksheet'!H64)</f>
        <v/>
      </c>
      <c r="V30" s="153" t="str">
        <f>IF('In Unit HVAC Worksheet'!L64="","",IF('In Unit HVAC Worksheet'!K64=References!$G$60,'In Unit HVAC Worksheet'!L64,ROUND(1.2476*'In Unit HVAC Worksheet'!L64-2.8674,1)))</f>
        <v/>
      </c>
      <c r="W30" s="153" t="str">
        <f>IF('In Unit HVAC Worksheet'!M64="","",IF('In Unit HVAC Worksheet'!K64=References!$G$60,'In Unit HVAC Worksheet'!M64,ROUND(1.0578*'In Unit HVAC Worksheet'!M64-0.1769,1)))</f>
        <v/>
      </c>
      <c r="X30" s="153" t="str">
        <f>IF('In Unit HVAC Worksheet'!N64="","",IF('In Unit HVAC Worksheet'!K64=References!$G$60,'In Unit HVAC Worksheet'!N64,ROUND(1.1702*'In Unit HVAC Worksheet'!N64+0.07,1)))</f>
        <v/>
      </c>
      <c r="Y30" s="2" t="str">
        <f>IF('In Unit HVAC Worksheet'!C64="","",INDEX(References!$T$7:$T$19,MATCH('In Unit HVAC Worksheet'!$C64,References!$S$7:$S$19,0)))</f>
        <v/>
      </c>
      <c r="Z30" s="2" t="str">
        <f>IF('In Unit HVAC Worksheet'!C64="","",INDEX(References!$U$7:$U$19,MATCH('In Unit HVAC Worksheet'!$C64,References!$S$7:$S$19,0)))</f>
        <v/>
      </c>
      <c r="AA30" s="2" t="str">
        <f>IF('In Unit HVAC Worksheet'!C64="","",INDEX(References!$V$7:$V$19,MATCH('In Unit HVAC Worksheet'!$C64,References!$S$7:$S$19,0)))</f>
        <v/>
      </c>
      <c r="AB30" s="2" t="str">
        <f>IF('In Unit HVAC Worksheet'!C64="","",INDEX(References!$Y$7:$Y$19,MATCH('In Unit HVAC Worksheet'!$C64,References!$S$7:$S$19,0)))</f>
        <v/>
      </c>
      <c r="AC30" s="2" t="str">
        <f>IF('In Unit HVAC Worksheet'!C64="","",INDEX(References!$Z$7:$Z$19,MATCH('In Unit HVAC Worksheet'!$C64,References!$S$7:$S$19,0)))</f>
        <v/>
      </c>
      <c r="AD30" s="2" t="str">
        <f>IF('In Unit HVAC Worksheet'!C64="","",INDEX(References!$W$7:$W$19,MATCH('In Unit HVAC Worksheet'!$C64,References!$S$7:$S$19,0)))</f>
        <v/>
      </c>
      <c r="AE30" s="2" t="str">
        <f>IF('In Unit HVAC Worksheet'!C64="","",INDEX(References!$X$7:$X$19,MATCH('In Unit HVAC Worksheet'!$C64,References!$S$7:$S$19,0)))</f>
        <v/>
      </c>
      <c r="AF30" s="2" t="str">
        <f t="shared" si="0"/>
        <v/>
      </c>
      <c r="AG30" s="2" t="str">
        <f t="shared" si="1"/>
        <v/>
      </c>
      <c r="AH30" s="2" t="str">
        <f>IF('In Unit HVAC Worksheet'!C64="","",IF(AD30=0,"",IF(AND(X30&lt;AD30,X30&lt;AE30),"DNQ",IF(X30&gt;=AE30,"Tier II","Tier I"))))</f>
        <v/>
      </c>
      <c r="AI30" s="148" t="str">
        <f>IF(OR(AF30="DNQ",AG30="DNQ",AH30="DNQ",'In Unit HVAC Worksheet'!AB85="FAIL",AY30="DNQ"),"DNQ",IF(OR(AF30="Tier I",AH30="Tier I"),"Tier I",IF(OR(AF30="Tier II",AH30="Tier II"),"Tier II","Tier III")))</f>
        <v>Tier III</v>
      </c>
      <c r="AJ30" s="647" t="str">
        <f>References!$C$18</f>
        <v/>
      </c>
      <c r="AK30" s="251" t="str">
        <f>IF('In Unit HVAC Worksheet'!C64="","",IF(AI30="DNQ","DNQ",INDEX(IF(AJ30="Income Eligible ",References!$AK$3:$AK$36,References!$AJ$3:$AJ$36),MATCH(E30,References!$AE$3:$AE$36,0))*('In Unit HVAC Worksheet'!H64/12000)))</f>
        <v/>
      </c>
      <c r="AL30" s="648" t="str">
        <f>IF('In Unit HVAC Worksheet'!C64="","",IF(AK30="DNQ",0,INDEX(References!$AL$3:$AL$36,MATCH(Qualifying_Index!E30,References!$AE$3:$AE$36,0))))</f>
        <v/>
      </c>
      <c r="AM30" s="647">
        <f t="shared" si="2"/>
        <v>1</v>
      </c>
      <c r="AN30" s="648">
        <f>IF(COUNTIF(AM27:AM29,1),0,AL30)</f>
        <v>0</v>
      </c>
      <c r="AP30" s="1107">
        <f>'In Unit HVAC Worksheet'!Y85</f>
        <v>0</v>
      </c>
      <c r="AQ30" s="1107">
        <f>'In Unit HVAC Worksheet'!AA85</f>
        <v>0</v>
      </c>
      <c r="AR30" s="2">
        <f>(('In Unit HVAC Worksheet'!G64*0.65))</f>
        <v>0</v>
      </c>
      <c r="AS30" s="2">
        <f>(('In Unit HVAC Worksheet'!G64*1.35))</f>
        <v>0</v>
      </c>
      <c r="AT30" s="2">
        <f>IF(AND(References!$C$21=TRUE,References!$H$4=FALSE),('In Unit HVAC Worksheet'!AA85*0.9),'In Unit HVAC Worksheet'!I64*0.65)</f>
        <v>0</v>
      </c>
      <c r="AU30" s="2">
        <f>IF(AND(References!$C$21=TRUE,References!$H$4=FALSE),('In Unit HVAC Worksheet'!AA85*1.2),'In Unit HVAC Worksheet'!I64*1.35)</f>
        <v>0</v>
      </c>
      <c r="AV30" s="2" t="str">
        <f>IF(AND('In Unit HVAC Worksheet'!Y85&gt;=Qualifying_Index!AR30,'In Unit HVAC Worksheet'!Y85&lt;=Qualifying_Index!AS30),"PASS","FAIL")</f>
        <v>PASS</v>
      </c>
      <c r="AW30" s="1120" t="str">
        <f>IF(OR(AT30=0,AU30=0),"FAIL",IF(AND(IF(References!$C$21=TRUE,'In Unit HVAC Worksheet'!I64,'In Unit HVAC Worksheet'!AA85)&gt;=AT30,IF(References!$C$21=TRUE,'In Unit HVAC Worksheet'!I64,'In Unit HVAC Worksheet'!AA85)&lt;=AU30),"PASS","FAIL"))</f>
        <v>FAIL</v>
      </c>
      <c r="AX30" s="1120" t="str">
        <f>IF(References!$C$21=TRUE,IF(AND('In Unit HVAC Worksheet'!Y85="",'In Unit HVAC Worksheet'!AA85=""),"Missing Info",IF(AW30="PASS","PASS","FAIL")),IF(AND(OR('In Unit HVAC Worksheet'!Y85="",'In Unit HVAC Worksheet'!AA85=""),OR(LEFT('In Unit HVAC Worksheet'!C64,6)="Ducted",B30="Cold Climate")),"Missing Info",IF(OR(AV30="PASS",AW30="PASS",BU30="Ductless HP",BU30="PTHP"),"PASS","FAIL")))</f>
        <v>Missing Info</v>
      </c>
      <c r="AY30" t="str">
        <f>IF(B30="Cold Climate",IF(BU30="ccASHP",IF(OR(AZ30=References!$A$120,AZ30=References!$A$121,AZ30=References!$A$122,AZ30=References!$A$123,AZ30=References!$A$124),"","DNQ"),IF(C30="Whole House",IF(OR(AZ30=References!$A$121,AZ30=References!$A$122,AZ30=References!$A$123,AZ30=References!$A$124),"","DNQ"),"")),"")</f>
        <v/>
      </c>
      <c r="AZ30" s="1114" t="str">
        <f>IF(B30="","",IF(B30="Cold Climate",_xlfn.IFNA(INDEX('Integrated Controls'!$B$17:$B$18,MATCH('In Unit HVAC Worksheet'!R85,'Integrated Controls'!$A$17:$A$18,0)),"Separate Control"),""))</f>
        <v/>
      </c>
      <c r="BA30" s="585" t="str">
        <f t="shared" si="3"/>
        <v/>
      </c>
      <c r="BB30" s="1083" t="str">
        <f>IF(AZ30="","",IF(AZ30="No Fossil Fuel Heater",1,IF(AZ30="Integrated/Modulating Control",IF(ROUND(BA30,1)&gt;1,1,ROUND(BA30,1)),IF(LEFT('In Unit HVAC Worksheet'!C64,6)="Ducted",0.9,IF(BA30&gt;=0.65,0.7,IF(BA30&gt;=0.55,0.6,IF(BA30&gt;=0.45,0.5,IF(BA30&gt;=0.35,0.4,0.3))))))))</f>
        <v/>
      </c>
      <c r="BC30" s="702" t="str">
        <f>IF(B30="","",IF(B30="Cold Climate",'In Unit HVAC Worksheet'!C64&amp;" "&amp;AZ30&amp;" "&amp;BB30,""))</f>
        <v/>
      </c>
      <c r="BD30" s="112" t="str">
        <f>IF($BC30="","",INDEX(References!$AH$63:$AH$118,MATCH($BC30,References!$AF$63:$AF$118,0)))</f>
        <v/>
      </c>
      <c r="BE30" s="112" t="str">
        <f>IF($BC30="","",INDEX(References!$AI$63:$AI$118,MATCH($BC30,References!$AF$63:$AF$118,0)))</f>
        <v/>
      </c>
      <c r="BF30" s="112" t="str">
        <f>IF($BC30="","",INDEX(References!$AJ$63:$AJ$118,MATCH($BC30,References!$AF$63:$AF$118,0)))</f>
        <v/>
      </c>
      <c r="BG30" s="112" t="str">
        <f>IF($BC30="","",INDEX(References!$AK$63:$AK$118,MATCH($BC30,References!$AF$63:$AF$118,0)))</f>
        <v/>
      </c>
      <c r="BH30" s="1115" t="str">
        <f t="shared" si="4"/>
        <v/>
      </c>
      <c r="BI30" s="1115" t="str">
        <f>IF(BC30="","",BD30+BE30*X30/References!$E$12)</f>
        <v/>
      </c>
      <c r="BJ30" s="112" t="str">
        <f>IF($BC30="","",INDEX(References!$AL$63:$AL$118,MATCH($BC30,References!$AF$63:$AF$118,0)))</f>
        <v/>
      </c>
      <c r="BK30" s="112" t="str">
        <f>IF($BC30="","",INDEX(References!$AM$63:$AM$118,MATCH($BC30,References!$AF$63:$AF$118,0)))</f>
        <v/>
      </c>
      <c r="BM30" s="2" t="str">
        <f>IF(OR('In Unit HVAC Worksheet'!G64="",'In Unit HVAC Worksheet'!J64="",'In Unit HVAC Worksheet'!M64="",'In Unit HVAC Worksheet'!N64="",'In Unit HVAC Worksheet'!C85="",'In Unit HVAC Worksheet'!E85="",'In Unit HVAC Worksheet'!F85="",'In Unit HVAC Worksheet'!I85="",'In Unit HVAC Worksheet'!K85="",'In Unit HVAC Worksheet'!M85=""),"Missing Info","")</f>
        <v>Missing Info</v>
      </c>
      <c r="BN30" s="2" t="str">
        <f>IF(AND(BV30=1,'In Unit HVAC Worksheet'!N64=""),"Missing Info",IF(BU30="PTHP",BM30,IF(OR('In Unit HVAC Worksheet'!G64="",'In Unit HVAC Worksheet'!J64="",'In Unit HVAC Worksheet'!L64="",'In Unit HVAC Worksheet'!M64="",'In Unit HVAC Worksheet'!C85="",'In Unit HVAC Worksheet'!E85="",'In Unit HVAC Worksheet'!F85="",'In Unit HVAC Worksheet'!K85="",'In Unit HVAC Worksheet'!M85="",AX30="Missing Info"),"Missing Info","")))</f>
        <v>Missing Info</v>
      </c>
      <c r="BO30" s="2" t="str">
        <f>IF(AND(BV30=1,'In Unit HVAC Worksheet'!N64=""),"Missing Info",IF(BU30="PTHP",BM30,IF(OR('In Unit HVAC Worksheet'!C85="",'In Unit HVAC Worksheet'!E85="",'In Unit HVAC Worksheet'!F85="",'In Unit HVAC Worksheet'!K85="",'In Unit HVAC Worksheet'!M85="",'In Unit HVAC Worksheet'!G64="",'In Unit HVAC Worksheet'!J64="",'In Unit HVAC Worksheet'!L64=""),"Missing Info","")))</f>
        <v>Missing Info</v>
      </c>
      <c r="BP30" s="26" t="str">
        <f>IF(OR('In Unit HVAC Worksheet'!Z64="",'In Unit HVAC Worksheet'!M64=""),"",IF(OR('In Unit HVAC Worksheet'!C64="Ducted ASHP",'In Unit HVAC Worksheet'!C64="Ducted ccASHP"),'In Unit HVAC Worksheet'!G64/12000*(12/'In Unit HVAC Worksheet'!M64)*kW_CA,0))</f>
        <v/>
      </c>
      <c r="BQ30" s="26" t="str">
        <f>IF('In Unit HVAC Worksheet'!M64="","",IF(OR('In Unit HVAC Worksheet'!Z64=""),"",'In Unit HVAC Worksheet'!G64*(12/'In Unit HVAC Worksheet'!M64)*kW_RS))</f>
        <v/>
      </c>
      <c r="BR30" s="27" t="str">
        <f>IF(OR('In Unit HVAC Worksheet'!Z64="",'In Unit HVAC Worksheet'!L64="",'In Unit HVAC Worksheet'!M64=""),"",IF(OR('In Unit HVAC Worksheet'!C64="Ducted ASHP",'In Unit HVAC Worksheet'!C64="Ducted ccASHP"),'In Unit HVAC Worksheet'!G64/12000*(12/'In Unit HVAC Worksheet'!L64*FLH_Cool)*QI_kWh,0))</f>
        <v/>
      </c>
      <c r="BS30" s="27" t="str">
        <f>IF(OR('In Unit HVAC Worksheet'!Z64="",'In Unit HVAC Worksheet'!L64="",'In Unit HVAC Worksheet'!M64=""),"",IF(OR('In Unit HVAC Worksheet'!C64="Ducted ASHP",'In Unit HVAC Worksheet'!C64="Ducted ccASHP"),'In Unit HVAC Worksheet'!I64/12000*(12/'In Unit HVAC Worksheet'!N64*FLH_Heat)*QI_kWh,0))</f>
        <v/>
      </c>
      <c r="BU30" s="2" t="str">
        <f>IF('In Unit HVAC Worksheet'!C64="","",INDEX(References!$AB$7:$AB$19,MATCH('In Unit HVAC Worksheet'!C64,Equipment_Type,0)))</f>
        <v/>
      </c>
      <c r="BV30" s="2" t="str">
        <f>IF('In Unit HVAC Worksheet'!C64="","",INDEX(References!$AA$7:$AA$19,MATCH('In Unit HVAC Worksheet'!C64,Equipment_Type,0)))</f>
        <v/>
      </c>
      <c r="BX30" s="2">
        <f>IF(References!$H$14="",0,IF(B30&lt;&gt;"",IF(References!$A$21=1,IF(References!$C$27=1,References!$C$32,References!$C$34),IF(References!$C$27=1,FLH_Cool,References!$B$34)),IF(References!$C$27=1,References!$D$32,References!$D$34)))</f>
        <v>701</v>
      </c>
      <c r="BY30" s="2">
        <f>IF(References!$H$14="",0,IF(B30&lt;&gt;"",IF(References!$A$21=1,IF(References!$C$27=1,References!$C$33,References!$C$35),IF(References!$C$27=1,FLH_Heat,References!$B$35)),IF(References!$C$27=1,References!$D$33,References!$D$35)))</f>
        <v>642</v>
      </c>
      <c r="CA30" s="321">
        <f>IF(OR($AX30="FAIL",'In Unit HVAC Worksheet'!G64="",AX30="Missing Info",AI30="DNQ"),0,IF(B30="Cold Climate",((AP30/1000)*((1/I30)-(1/W30))*BJ30)+SUM(BP30:BQ30),((S30/12000)*((12/I30)-(12/W30)))+SUM(BP30:BQ30)))</f>
        <v>0</v>
      </c>
      <c r="CB30" s="26">
        <f>IF(OR($AX30="FAIL",'In Unit HVAC Worksheet'!G64="",AX30="Missing Info",AI30="DNQ"),0,IF(B30="Cold Climate",((AP30/1000)*((1/J30)-(1/BH30))*BX30*BJ30)+BR30,IF(BU30="PTHP",((S30/12000)*(12/I30-12/W30)*BX30),((('In Unit HVAC Worksheet'!G64/12000)*((12/J30)-(12/V30))*BX30))+BR30)))</f>
        <v>0</v>
      </c>
      <c r="CC30" s="26">
        <f>IF(OR($AX30="FAIL",'In Unit HVAC Worksheet'!G64="",AX30="Missing Info",AI30="DNQ"),0,CB30*References!$E$12/1000)</f>
        <v>0</v>
      </c>
      <c r="CD30" s="322">
        <f>CB30*References!$A$12</f>
        <v>0</v>
      </c>
      <c r="CE30" s="321">
        <f>IF(OR($AX30="FAIL",'In Unit HVAC Worksheet'!I64="",AX30="Missing Info",AI30="DNQ"),0,IF(N30=0,SUM(BP30:BQ30),IF(B30="Cold Climate",((AQ30/1000)*((1/L30)-(1/(X30/3.412)))*(1/References!$E$12)+SUM(BP30:BQ30))*N30,IF(BU30="PTHP",((U30/12000)*((1/(L30))-(1/(X30)))+SUM(BP30:BQ30))*N30*(1/References!$E$12),((U30/12000)*((1/(L30))-(1/(X30/3.412)))+SUM(BP30:BQ30))*N30))))</f>
        <v>0</v>
      </c>
      <c r="CF30" s="300">
        <f>IF(OR($AX30="FAIL",'In Unit HVAC Worksheet'!I64="",AX30="Missing Info",AI30="DNQ"),0,IF(N30=0,SUM(BS30),IF(B30="Cold Climate",((AQ30/1000)*((1/L30)-(1/BI30))*(1/References!$E$12)*BY30*BK30*N30+BS30),IF(BU30="PTHP",((U30/12000)*((12/(L30))-(12/X30))*(1/References!$E$12)*BY30*N30+BS30),((U30/12000)*((12/(L30*References!$E$12))-(12/X30))*BY30*N30+BS30)))))</f>
        <v>0</v>
      </c>
      <c r="CG30" s="26">
        <f>IF(OR($AX30="FAIL",'In Unit HVAC Worksheet'!I64="",AX30="Missing Info",AI30="DNQ"),0,IF(B30="Cold Climate",-((AQ30/1000)*(1/(X30/3.412))*(1/References!$E$12))*O30,IF(BU30="PTHP",-((U30/12000)*(1/(X30)))*O30*(1/References!$E$12),-((U30/12000)*(1/(X30/3.412)))*O30)))</f>
        <v>0</v>
      </c>
      <c r="CH30" s="299">
        <f>IF(OR($AX30="FAIL",'In Unit HVAC Worksheet'!I64="",AX30="Missing Info",AI30="DNQ"),0,IF(B30="Cold Climate",((AQ30/1000)*(1/BI30)*(1/References!$E$12)*BY30*BK30)*O30,IF(BU30="PTHP",(((U30/12000)*(12/X30)*BY30/References!$E$12)-(U30*BY30/1000000)*P30)*O30,(((U30/12000)*(12/X30)*BY30)-(U30*BY30/1000000)*P30)*O30)))</f>
        <v>0</v>
      </c>
      <c r="CI30" s="299">
        <f>IF(OR($AX30="FAIL",AX30="Missing Info",'In Unit HVAC Worksheet'!C64=""),0,((CF30-CH30)*References!$E$12/1000))</f>
        <v>0</v>
      </c>
      <c r="CJ30" s="27">
        <f>IF(OR($AX30="FAIL",AX30="Missing Info",'In Unit HVAC Worksheet'!C64=""),0,IF(O30&lt;&gt;0,IF(B30="Cold Climate",((AQ30*BY30/M30)/1000000)*O30,((U30*BY30/M30)/1000000)*O30*P30),0))</f>
        <v>0</v>
      </c>
      <c r="CK30" s="27">
        <f t="shared" si="5"/>
        <v>0</v>
      </c>
      <c r="CL30" s="371">
        <f>(CF30-CH30)*References!$A$12</f>
        <v>0</v>
      </c>
      <c r="CM30" s="371">
        <f>CJ30*Q30*References!$D$4</f>
        <v>0</v>
      </c>
      <c r="CN30" s="322">
        <f t="shared" si="6"/>
        <v>0</v>
      </c>
      <c r="CQ30" s="1606" t="str">
        <f>IF('In Unit HVAC Worksheet'!Q64="","",'In Unit HVAC Worksheet'!Q64)</f>
        <v/>
      </c>
    </row>
    <row r="31" spans="1:95" ht="14.15" customHeight="1">
      <c r="A31">
        <f t="shared" si="7"/>
        <v>5</v>
      </c>
      <c r="B31" s="220" t="str">
        <f>IF(OR('In Unit HVAC Worksheet'!C65="Ducted ccASHP",'In Unit HVAC Worksheet'!C65="Ductless Mini Split - ccASHP",'In Unit HVAC Worksheet'!C65="Ductless Multi Split - ccASHP"),"Cold Climate","")</f>
        <v/>
      </c>
      <c r="C31" s="315" t="str">
        <f>IF(References!$C$21=TRUE,"Whole House",IF(RIGHT(References!$H$37,2)="HP","Retrofit","New"))</f>
        <v>Whole House</v>
      </c>
      <c r="D31" s="389">
        <f>IF(References!$C$21&lt;&gt;TRUE,"",IF(OR(References!$A$21=2),1,IF(AND('In Unit HVAC Worksheet'!S65&lt;&gt;"Central Air Conditioner",'In Unit HVAC Worksheet'!S65&lt;&gt;"Ducted Air Source HP",LEFT(H31,3)="Oil"),2,3)))</f>
        <v>3</v>
      </c>
      <c r="E31" s="315" t="str">
        <f>C31&amp;" "&amp;'In Unit HVAC Worksheet'!C65&amp;" "&amp;'In Unit HVAC Worksheet'!O65&amp;D31</f>
        <v>Whole House  3</v>
      </c>
      <c r="G31" s="220" t="str">
        <f>IF(OR(References!$A$21=2),"New Construction",IF('In Unit HVAC Worksheet'!S65="","None",'In Unit HVAC Worksheet'!S65))</f>
        <v>None</v>
      </c>
      <c r="H31" s="221" t="str">
        <f>IF(OR(References!$A$21=2),"New Construction",IF('In Unit HVAC Worksheet'!T65="","None",'In Unit HVAC Worksheet'!T65))</f>
        <v>None</v>
      </c>
      <c r="I31" s="220">
        <f>IF(G31=0,0,IF(OR('In Unit HVAC Worksheet'!V65="",'In Unit HVAC Worksheet'!S65=""),INDEX(References!$L$9:$L$16,MATCH(G31,References!$K$9:$K$16,0)),'In Unit HVAC Worksheet'!V65))</f>
        <v>12.3</v>
      </c>
      <c r="J31" s="221">
        <f>IF(G31=0,0,IF(OR('In Unit HVAC Worksheet'!U65="",'In Unit HVAC Worksheet'!S65=""),INDEX(References!$M$9:$M$16,MATCH(G31,References!$K$9:$K$16,0)),'In Unit HVAC Worksheet'!U65))</f>
        <v>15</v>
      </c>
      <c r="K31" s="221">
        <f>IF(H31="Electric ASHP",IF('In Unit HVAC Worksheet'!W65&lt;8.5,References!$M$42,References!$M$43),0)</f>
        <v>0</v>
      </c>
      <c r="L31" s="220">
        <f>IF(H31=0,0,IF('In Unit HVAC Worksheet'!W65="",INDEX(References!$L$20:$L$36,MATCH(H31,References!$H$20:$H$36,0)),IF(H31="Electric ASHP",'In Unit HVAC Worksheet'!W65*K31/3.412,'In Unit HVAC Worksheet'!W65)))</f>
        <v>2.011723329425557</v>
      </c>
      <c r="M31" s="221">
        <f>IF(H31=0,0,IF('In Unit HVAC Worksheet'!X65="",INDEX(References!$M$20:$M$36,MATCH(H31,References!$H$20:$H$36,0)),'In Unit HVAC Worksheet'!X65))</f>
        <v>0.81715000000000004</v>
      </c>
      <c r="N31" s="1106">
        <f>IF(H31=0,0,INDEX(References!$I$20:$I$36,MATCH(H31,References!$H$20:$H$36,0)))</f>
        <v>0.03</v>
      </c>
      <c r="O31" s="1106">
        <f>IF(H31=0,0,INDEX(References!$J$20:$J$36,MATCH(H31,References!$H$20:$H$36,0)))</f>
        <v>0.97</v>
      </c>
      <c r="P31" s="315">
        <f>IF(H31=0,0,INDEX(References!$N$20:$N$36,MATCH(H31,References!$H$20:$H$36,0)))</f>
        <v>1</v>
      </c>
      <c r="Q31" s="2">
        <f>IF(H31=0,0,INDEX(References!$O$20:$O$36,MATCH(H31,References!$H$20:$H$36,0)))</f>
        <v>7.3959999999999998E-2</v>
      </c>
      <c r="S31" s="315" t="str">
        <f>IF('In Unit HVAC Worksheet'!G65="","",'In Unit HVAC Worksheet'!G65)</f>
        <v/>
      </c>
      <c r="T31" s="315" t="str">
        <f>IF('In Unit HVAC Worksheet'!I65="","",'In Unit HVAC Worksheet'!I65)</f>
        <v/>
      </c>
      <c r="U31" s="315" t="str">
        <f>IF('In Unit HVAC Worksheet'!H65="","",'In Unit HVAC Worksheet'!H65)</f>
        <v/>
      </c>
      <c r="V31" s="153" t="str">
        <f>IF('In Unit HVAC Worksheet'!L65="","",IF('In Unit HVAC Worksheet'!K65=References!$G$60,'In Unit HVAC Worksheet'!L65,ROUND(1.2476*'In Unit HVAC Worksheet'!L65-2.8674,1)))</f>
        <v/>
      </c>
      <c r="W31" s="153" t="str">
        <f>IF('In Unit HVAC Worksheet'!M65="","",IF('In Unit HVAC Worksheet'!K65=References!$G$60,'In Unit HVAC Worksheet'!M65,ROUND(1.0578*'In Unit HVAC Worksheet'!M65-0.1769,1)))</f>
        <v/>
      </c>
      <c r="X31" s="153" t="str">
        <f>IF('In Unit HVAC Worksheet'!N65="","",IF('In Unit HVAC Worksheet'!K65=References!$G$60,'In Unit HVAC Worksheet'!N65,ROUND(1.1702*'In Unit HVAC Worksheet'!N65+0.07,1)))</f>
        <v/>
      </c>
      <c r="Y31" s="2" t="str">
        <f>IF('In Unit HVAC Worksheet'!C65="","",INDEX(References!$T$7:$T$19,MATCH('In Unit HVAC Worksheet'!$C65,References!$S$7:$S$19,0)))</f>
        <v/>
      </c>
      <c r="Z31" s="2" t="str">
        <f>IF('In Unit HVAC Worksheet'!C65="","",INDEX(References!$U$7:$U$19,MATCH('In Unit HVAC Worksheet'!$C65,References!$S$7:$S$19,0)))</f>
        <v/>
      </c>
      <c r="AA31" s="2" t="str">
        <f>IF('In Unit HVAC Worksheet'!C65="","",INDEX(References!$V$7:$V$19,MATCH('In Unit HVAC Worksheet'!$C65,References!$S$7:$S$19,0)))</f>
        <v/>
      </c>
      <c r="AB31" s="2" t="str">
        <f>IF('In Unit HVAC Worksheet'!C65="","",INDEX(References!$Y$7:$Y$19,MATCH('In Unit HVAC Worksheet'!$C65,References!$S$7:$S$19,0)))</f>
        <v/>
      </c>
      <c r="AC31" s="2" t="str">
        <f>IF('In Unit HVAC Worksheet'!C65="","",INDEX(References!$Z$7:$Z$19,MATCH('In Unit HVAC Worksheet'!$C65,References!$S$7:$S$19,0)))</f>
        <v/>
      </c>
      <c r="AD31" s="2" t="str">
        <f>IF('In Unit HVAC Worksheet'!C65="","",INDEX(References!$W$7:$W$19,MATCH('In Unit HVAC Worksheet'!$C65,References!$S$7:$S$19,0)))</f>
        <v/>
      </c>
      <c r="AE31" s="2" t="str">
        <f>IF('In Unit HVAC Worksheet'!C65="","",INDEX(References!$X$7:$X$19,MATCH('In Unit HVAC Worksheet'!$C65,References!$S$7:$S$19,0)))</f>
        <v/>
      </c>
      <c r="AF31" s="2" t="str">
        <f t="shared" si="0"/>
        <v/>
      </c>
      <c r="AG31" s="2" t="str">
        <f t="shared" si="1"/>
        <v/>
      </c>
      <c r="AH31" s="2" t="str">
        <f>IF('In Unit HVAC Worksheet'!C65="","",IF(AD31=0,"",IF(AND(X31&lt;AD31,X31&lt;AE31),"DNQ",IF(X31&gt;=AE31,"Tier II","Tier I"))))</f>
        <v/>
      </c>
      <c r="AI31" s="148" t="str">
        <f>IF(OR(AF31="DNQ",AG31="DNQ",AH31="DNQ",'In Unit HVAC Worksheet'!AB86="FAIL",AY31="DNQ"),"DNQ",IF(OR(AF31="Tier I",AH31="Tier I"),"Tier I",IF(OR(AF31="Tier II",AH31="Tier II"),"Tier II","Tier III")))</f>
        <v>Tier III</v>
      </c>
      <c r="AJ31" s="647" t="str">
        <f>References!$C$18</f>
        <v/>
      </c>
      <c r="AK31" s="251" t="str">
        <f>IF('In Unit HVAC Worksheet'!C65="","",IF(AI31="DNQ","DNQ",INDEX(IF(AJ31="Income Eligible ",References!$AK$3:$AK$36,References!$AJ$3:$AJ$36),MATCH(E31,References!$AE$3:$AE$36,0))*('In Unit HVAC Worksheet'!H65/12000)))</f>
        <v/>
      </c>
      <c r="AL31" s="648" t="str">
        <f>IF('In Unit HVAC Worksheet'!C65="","",IF(AK31="DNQ",0,INDEX(References!$AL$3:$AL$36,MATCH(Qualifying_Index!E31,References!$AE$3:$AE$36,0))))</f>
        <v/>
      </c>
      <c r="AM31" s="647">
        <f t="shared" si="2"/>
        <v>1</v>
      </c>
      <c r="AN31" s="648">
        <f>IF(COUNTIF(AM27:AM30,1),0,AL31)</f>
        <v>0</v>
      </c>
      <c r="AP31" s="1107">
        <f>'In Unit HVAC Worksheet'!Y86</f>
        <v>0</v>
      </c>
      <c r="AQ31" s="1107">
        <f>'In Unit HVAC Worksheet'!AA86</f>
        <v>0</v>
      </c>
      <c r="AR31" s="2">
        <f>(('In Unit HVAC Worksheet'!G65*0.65))</f>
        <v>0</v>
      </c>
      <c r="AS31" s="2">
        <f>(('In Unit HVAC Worksheet'!G65*1.35))</f>
        <v>0</v>
      </c>
      <c r="AT31" s="2">
        <f>IF(AND(References!$C$21=TRUE,References!$H$4=FALSE),('In Unit HVAC Worksheet'!AA86*0.9),'In Unit HVAC Worksheet'!I65*0.65)</f>
        <v>0</v>
      </c>
      <c r="AU31" s="2">
        <f>IF(AND(References!$C$21=TRUE,References!$H$4=FALSE),('In Unit HVAC Worksheet'!AA86*1.2),'In Unit HVAC Worksheet'!I65*1.35)</f>
        <v>0</v>
      </c>
      <c r="AV31" s="2" t="str">
        <f>IF(AND('In Unit HVAC Worksheet'!Y86&gt;=Qualifying_Index!AR31,'In Unit HVAC Worksheet'!Y86&lt;=Qualifying_Index!AS31),"PASS","FAIL")</f>
        <v>PASS</v>
      </c>
      <c r="AW31" s="1120" t="str">
        <f>IF(OR(AT31=0,AU31=0),"FAIL",IF(AND(IF(References!$C$21=TRUE,'In Unit HVAC Worksheet'!I65,'In Unit HVAC Worksheet'!AA86)&gt;=AT31,IF(References!$C$21=TRUE,'In Unit HVAC Worksheet'!I65,'In Unit HVAC Worksheet'!AA86)&lt;=AU31),"PASS","FAIL"))</f>
        <v>FAIL</v>
      </c>
      <c r="AX31" s="1120" t="str">
        <f>IF(References!$C$21=TRUE,IF(AND('In Unit HVAC Worksheet'!Y86="",'In Unit HVAC Worksheet'!AA86=""),"Missing Info",IF(AW31="PASS","PASS","FAIL")),IF(AND(OR('In Unit HVAC Worksheet'!Y86="",'In Unit HVAC Worksheet'!AA86=""),OR(LEFT('In Unit HVAC Worksheet'!C65,6)="Ducted",B31="Cold Climate")),"Missing Info",IF(OR(AV31="PASS",AW31="PASS",BU31="Ductless HP",BU31="PTHP"),"PASS","FAIL")))</f>
        <v>Missing Info</v>
      </c>
      <c r="AY31" t="str">
        <f>IF(B31="Cold Climate",IF(BU31="ccASHP",IF(OR(AZ31=References!$A$120,AZ31=References!$A$121,AZ31=References!$A$122,AZ31=References!$A$123,AZ31=References!$A$124),"","DNQ"),IF(C31="Whole House",IF(OR(AZ31=References!$A$121,AZ31=References!$A$122,AZ31=References!$A$123,AZ31=References!$A$124),"","DNQ"),"")),"")</f>
        <v/>
      </c>
      <c r="AZ31" s="1114" t="str">
        <f>IF(B31="","",IF(B31="Cold Climate",_xlfn.IFNA(INDEX('Integrated Controls'!$B$17:$B$18,MATCH('In Unit HVAC Worksheet'!R86,'Integrated Controls'!$A$17:$A$18,0)),"Separate Control"),""))</f>
        <v/>
      </c>
      <c r="BA31" s="585" t="str">
        <f t="shared" si="3"/>
        <v/>
      </c>
      <c r="BB31" s="1083" t="str">
        <f>IF(AZ31="","",IF(AZ31="No Fossil Fuel Heater",1,IF(AZ31="Integrated/Modulating Control",IF(ROUND(BA31,1)&gt;1,1,ROUND(BA31,1)),IF(LEFT('In Unit HVAC Worksheet'!C65,6)="Ducted",0.9,IF(BA31&gt;=0.65,0.7,IF(BA31&gt;=0.55,0.6,IF(BA31&gt;=0.45,0.5,IF(BA31&gt;=0.35,0.4,0.3))))))))</f>
        <v/>
      </c>
      <c r="BC31" s="702" t="str">
        <f>IF(B31="","",IF(B31="Cold Climate",'In Unit HVAC Worksheet'!C65&amp;" "&amp;AZ31&amp;" "&amp;BB31,""))</f>
        <v/>
      </c>
      <c r="BD31" s="112" t="str">
        <f>IF($BC31="","",INDEX(References!$AH$63:$AH$118,MATCH($BC31,References!$AF$63:$AF$118,0)))</f>
        <v/>
      </c>
      <c r="BE31" s="112" t="str">
        <f>IF($BC31="","",INDEX(References!$AI$63:$AI$118,MATCH($BC31,References!$AF$63:$AF$118,0)))</f>
        <v/>
      </c>
      <c r="BF31" s="112" t="str">
        <f>IF($BC31="","",INDEX(References!$AJ$63:$AJ$118,MATCH($BC31,References!$AF$63:$AF$118,0)))</f>
        <v/>
      </c>
      <c r="BG31" s="112" t="str">
        <f>IF($BC31="","",INDEX(References!$AK$63:$AK$118,MATCH($BC31,References!$AF$63:$AF$118,0)))</f>
        <v/>
      </c>
      <c r="BH31" s="1115" t="str">
        <f t="shared" si="4"/>
        <v/>
      </c>
      <c r="BI31" s="1115" t="str">
        <f>IF(BC31="","",BD31+BE31*X31/References!$E$12)</f>
        <v/>
      </c>
      <c r="BJ31" s="112" t="str">
        <f>IF($BC31="","",INDEX(References!$AL$63:$AL$118,MATCH($BC31,References!$AF$63:$AF$118,0)))</f>
        <v/>
      </c>
      <c r="BK31" s="112" t="str">
        <f>IF($BC31="","",INDEX(References!$AM$63:$AM$118,MATCH($BC31,References!$AF$63:$AF$118,0)))</f>
        <v/>
      </c>
      <c r="BM31" s="2" t="str">
        <f>IF(OR('In Unit HVAC Worksheet'!G65="",'In Unit HVAC Worksheet'!J65="",'In Unit HVAC Worksheet'!M65="",'In Unit HVAC Worksheet'!N65="",'In Unit HVAC Worksheet'!C86="",'In Unit HVAC Worksheet'!E86="",'In Unit HVAC Worksheet'!F86="",'In Unit HVAC Worksheet'!I86="",'In Unit HVAC Worksheet'!K86="",'In Unit HVAC Worksheet'!M86=""),"Missing Info","")</f>
        <v>Missing Info</v>
      </c>
      <c r="BN31" s="2" t="str">
        <f>IF(AND(BV31=1,'In Unit HVAC Worksheet'!N65=""),"Missing Info",IF(BU31="PTHP",BM31,IF(OR('In Unit HVAC Worksheet'!G65="",'In Unit HVAC Worksheet'!J65="",'In Unit HVAC Worksheet'!L65="",'In Unit HVAC Worksheet'!M65="",'In Unit HVAC Worksheet'!C86="",'In Unit HVAC Worksheet'!E86="",'In Unit HVAC Worksheet'!F86="",'In Unit HVAC Worksheet'!K86="",'In Unit HVAC Worksheet'!M86="",AX31="Missing Info"),"Missing Info","")))</f>
        <v>Missing Info</v>
      </c>
      <c r="BO31" s="2" t="str">
        <f>IF(AND(BV31=1,'In Unit HVAC Worksheet'!N65=""),"Missing Info",IF(BU31="PTHP",BM31,IF(OR('In Unit HVAC Worksheet'!C86="",'In Unit HVAC Worksheet'!E86="",'In Unit HVAC Worksheet'!F86="",'In Unit HVAC Worksheet'!K86="",'In Unit HVAC Worksheet'!M86="",'In Unit HVAC Worksheet'!G65="",'In Unit HVAC Worksheet'!J65="",'In Unit HVAC Worksheet'!L65=""),"Missing Info","")))</f>
        <v>Missing Info</v>
      </c>
      <c r="BP31" s="26" t="str">
        <f>IF(OR('In Unit HVAC Worksheet'!Z65="",'In Unit HVAC Worksheet'!M65=""),"",IF(OR('In Unit HVAC Worksheet'!C65="Ducted ASHP",'In Unit HVAC Worksheet'!C65="Ducted ccASHP"),'In Unit HVAC Worksheet'!G65/12000*(12/'In Unit HVAC Worksheet'!M65)*kW_CA,0))</f>
        <v/>
      </c>
      <c r="BQ31" s="26" t="str">
        <f>IF('In Unit HVAC Worksheet'!M65="","",IF(OR('In Unit HVAC Worksheet'!Z65=""),"",'In Unit HVAC Worksheet'!G65*(12/'In Unit HVAC Worksheet'!M65)*kW_RS))</f>
        <v/>
      </c>
      <c r="BR31" s="27" t="str">
        <f>IF(OR('In Unit HVAC Worksheet'!Z65="",'In Unit HVAC Worksheet'!L65="",'In Unit HVAC Worksheet'!M65=""),"",IF(OR('In Unit HVAC Worksheet'!C65="Ducted ASHP",'In Unit HVAC Worksheet'!C65="Ducted ccASHP"),'In Unit HVAC Worksheet'!G65/12000*(12/'In Unit HVAC Worksheet'!L65*FLH_Cool)*QI_kWh,0))</f>
        <v/>
      </c>
      <c r="BS31" s="27" t="str">
        <f>IF(OR('In Unit HVAC Worksheet'!Z65="",'In Unit HVAC Worksheet'!L65="",'In Unit HVAC Worksheet'!M65=""),"",IF(OR('In Unit HVAC Worksheet'!C65="Ducted ASHP",'In Unit HVAC Worksheet'!C65="Ducted ccASHP"),'In Unit HVAC Worksheet'!I65/12000*(12/'In Unit HVAC Worksheet'!N65*FLH_Heat)*QI_kWh,0))</f>
        <v/>
      </c>
      <c r="BU31" s="2" t="str">
        <f>IF('In Unit HVAC Worksheet'!C65="","",INDEX(References!$AB$7:$AB$19,MATCH('In Unit HVAC Worksheet'!C65,Equipment_Type,0)))</f>
        <v/>
      </c>
      <c r="BV31" s="2" t="str">
        <f>IF('In Unit HVAC Worksheet'!C65="","",INDEX(References!$AA$7:$AA$19,MATCH('In Unit HVAC Worksheet'!C65,Equipment_Type,0)))</f>
        <v/>
      </c>
      <c r="BX31" s="2">
        <f>IF(References!$H$14="",0,IF(B31&lt;&gt;"",IF(References!$A$21=1,IF(References!$C$27=1,References!$C$32,References!$C$34),IF(References!$C$27=1,FLH_Cool,References!$B$34)),IF(References!$C$27=1,References!$D$32,References!$D$34)))</f>
        <v>701</v>
      </c>
      <c r="BY31" s="2">
        <f>IF(References!$H$14="",0,IF(B31&lt;&gt;"",IF(References!$A$21=1,IF(References!$C$27=1,References!$C$33,References!$C$35),IF(References!$C$27=1,FLH_Heat,References!$B$35)),IF(References!$C$27=1,References!$D$33,References!$D$35)))</f>
        <v>642</v>
      </c>
      <c r="CA31" s="321">
        <f>IF(OR($AX31="FAIL",'In Unit HVAC Worksheet'!G65="",AX31="Missing Info",AI31="DNQ"),0,IF(B31="Cold Climate",((AP31/1000)*((1/I31)-(1/W31))*BJ31)+SUM(BP31:BQ31),((S31/12000)*((12/I31)-(12/W31)))+SUM(BP31:BQ31)))</f>
        <v>0</v>
      </c>
      <c r="CB31" s="26">
        <f>IF(OR($AX31="FAIL",'In Unit HVAC Worksheet'!G65="",AX31="Missing Info",AI31="DNQ"),0,IF(B31="Cold Climate",((AP31/1000)*((1/J31)-(1/BH31))*BX31*BJ31)+BR31,IF(BU31="PTHP",((S31/12000)*(12/I31-12/W31)*BX31),((('In Unit HVAC Worksheet'!G65/12000)*((12/J31)-(12/V31))*BX31))+BR31)))</f>
        <v>0</v>
      </c>
      <c r="CC31" s="26">
        <f>IF(OR($AX31="FAIL",'In Unit HVAC Worksheet'!G65="",AX31="Missing Info",AI31="DNQ"),0,CB31*References!$E$12/1000)</f>
        <v>0</v>
      </c>
      <c r="CD31" s="322">
        <f>CB31*References!$A$12</f>
        <v>0</v>
      </c>
      <c r="CE31" s="321">
        <f>IF(OR($AX31="FAIL",'In Unit HVAC Worksheet'!I65="",AX31="Missing Info",AI31="DNQ"),0,IF(N31=0,SUM(BP31:BQ31),IF(B31="Cold Climate",((AQ31/1000)*((1/L31)-(1/(X31/3.412)))*(1/References!$E$12)+SUM(BP31:BQ31))*N31,IF(BU31="PTHP",((U31/12000)*((1/(L31))-(1/(X31)))+SUM(BP31:BQ31))*N31*(1/References!$E$12),((U31/12000)*((1/(L31))-(1/(X31/3.412)))+SUM(BP31:BQ31))*N31))))</f>
        <v>0</v>
      </c>
      <c r="CF31" s="300">
        <f>IF(OR($AX31="FAIL",'In Unit HVAC Worksheet'!I65="",AX31="Missing Info",AI31="DNQ"),0,IF(N31=0,SUM(BS31),IF(B31="Cold Climate",((AQ31/1000)*((1/L31)-(1/BI31))*(1/References!$E$12)*BY31*BK31*N31+BS31),IF(BU31="PTHP",((U31/12000)*((12/(L31))-(12/X31))*(1/References!$E$12)*BY31*N31+BS31),((U31/12000)*((12/(L31*References!$E$12))-(12/X31))*BY31*N31+BS31)))))</f>
        <v>0</v>
      </c>
      <c r="CG31" s="26">
        <f>IF(OR($AX31="FAIL",'In Unit HVAC Worksheet'!I65="",AX31="Missing Info",AI31="DNQ"),0,IF(B31="Cold Climate",-((AQ31/1000)*(1/(X31/3.412))*(1/References!$E$12))*O31,IF(BU31="PTHP",-((U31/12000)*(1/(X31)))*O31*(1/References!$E$12),-((U31/12000)*(1/(X31/3.412)))*O31)))</f>
        <v>0</v>
      </c>
      <c r="CH31" s="299">
        <f>IF(OR($AX31="FAIL",'In Unit HVAC Worksheet'!I65="",AX31="Missing Info",AI31="DNQ"),0,IF(B31="Cold Climate",((AQ31/1000)*(1/BI31)*(1/References!$E$12)*BY31*BK31)*O31,IF(BU31="PTHP",(((U31/12000)*(12/X31)*BY31/References!$E$12)-(U31*BY31/1000000)*P31)*O31,(((U31/12000)*(12/X31)*BY31)-(U31*BY31/1000000)*P31)*O31)))</f>
        <v>0</v>
      </c>
      <c r="CI31" s="299">
        <f>IF(OR($AX31="FAIL",AX31="Missing Info",'In Unit HVAC Worksheet'!C65=""),0,((CF31-CH31)*References!$E$12/1000))</f>
        <v>0</v>
      </c>
      <c r="CJ31" s="27">
        <f>IF(OR($AX31="FAIL",AX31="Missing Info",'In Unit HVAC Worksheet'!C65=""),0,IF(O31&lt;&gt;0,IF(B31="Cold Climate",((AQ31*BY31/M31)/1000000)*O31,((U31*BY31/M31)/1000000)*O31*P31),0))</f>
        <v>0</v>
      </c>
      <c r="CK31" s="27">
        <f t="shared" si="5"/>
        <v>0</v>
      </c>
      <c r="CL31" s="371">
        <f>(CF31-CH31)*References!$A$12</f>
        <v>0</v>
      </c>
      <c r="CM31" s="371">
        <f>CJ31*Q31*References!$D$4</f>
        <v>0</v>
      </c>
      <c r="CN31" s="322">
        <f t="shared" si="6"/>
        <v>0</v>
      </c>
      <c r="CQ31" s="1606" t="str">
        <f>IF('In Unit HVAC Worksheet'!Q65="","",'In Unit HVAC Worksheet'!Q65)</f>
        <v/>
      </c>
    </row>
    <row r="32" spans="1:95" ht="14.15" customHeight="1">
      <c r="A32">
        <f t="shared" si="7"/>
        <v>6</v>
      </c>
      <c r="B32" s="220" t="str">
        <f>IF(OR('In Unit HVAC Worksheet'!C66="Ducted ccASHP",'In Unit HVAC Worksheet'!C66="Ductless Mini Split - ccASHP",'In Unit HVAC Worksheet'!C66="Ductless Multi Split - ccASHP"),"Cold Climate","")</f>
        <v/>
      </c>
      <c r="C32" s="315" t="str">
        <f>IF(References!$C$21=TRUE,"Whole House",IF(RIGHT(References!$H$37,2)="HP","Retrofit","New"))</f>
        <v>Whole House</v>
      </c>
      <c r="D32" s="389">
        <f>IF(References!$C$21&lt;&gt;TRUE,"",IF(OR(References!$A$21=2),1,IF(AND('In Unit HVAC Worksheet'!S66&lt;&gt;"Central Air Conditioner",'In Unit HVAC Worksheet'!S66&lt;&gt;"Ducted Air Source HP",LEFT(H32,3)="Oil"),2,3)))</f>
        <v>3</v>
      </c>
      <c r="E32" s="315" t="str">
        <f>C32&amp;" "&amp;'In Unit HVAC Worksheet'!C66&amp;" "&amp;'In Unit HVAC Worksheet'!O66&amp;D32</f>
        <v>Whole House  3</v>
      </c>
      <c r="G32" s="220" t="str">
        <f>IF(OR(References!$A$21=2),"New Construction",IF('In Unit HVAC Worksheet'!S66="","None",'In Unit HVAC Worksheet'!S66))</f>
        <v>None</v>
      </c>
      <c r="H32" s="221" t="str">
        <f>IF(OR(References!$A$21=2),"New Construction",IF('In Unit HVAC Worksheet'!T66="","None",'In Unit HVAC Worksheet'!T66))</f>
        <v>None</v>
      </c>
      <c r="I32" s="220">
        <f>IF(G32=0,0,IF(OR('In Unit HVAC Worksheet'!V66="",'In Unit HVAC Worksheet'!S66=""),INDEX(References!$L$9:$L$16,MATCH(G32,References!$K$9:$K$16,0)),'In Unit HVAC Worksheet'!V66))</f>
        <v>12.3</v>
      </c>
      <c r="J32" s="221">
        <f>IF(G32=0,0,IF(OR('In Unit HVAC Worksheet'!U66="",'In Unit HVAC Worksheet'!S66=""),INDEX(References!$M$9:$M$16,MATCH(G32,References!$K$9:$K$16,0)),'In Unit HVAC Worksheet'!U66))</f>
        <v>15</v>
      </c>
      <c r="K32" s="221">
        <f>IF(H32="Electric ASHP",IF('In Unit HVAC Worksheet'!W66&lt;8.5,References!$M$42,References!$M$43),0)</f>
        <v>0</v>
      </c>
      <c r="L32" s="220">
        <f>IF(H32=0,0,IF('In Unit HVAC Worksheet'!W66="",INDEX(References!$L$20:$L$36,MATCH(H32,References!$H$20:$H$36,0)),IF(H32="Electric ASHP",'In Unit HVAC Worksheet'!W66*K32/3.412,'In Unit HVAC Worksheet'!W66)))</f>
        <v>2.011723329425557</v>
      </c>
      <c r="M32" s="221">
        <f>IF(H32=0,0,IF('In Unit HVAC Worksheet'!X66="",INDEX(References!$M$20:$M$36,MATCH(H32,References!$H$20:$H$36,0)),'In Unit HVAC Worksheet'!X66))</f>
        <v>0.81715000000000004</v>
      </c>
      <c r="N32" s="1106">
        <f>IF(H32=0,0,INDEX(References!$I$20:$I$36,MATCH(H32,References!$H$20:$H$36,0)))</f>
        <v>0.03</v>
      </c>
      <c r="O32" s="1106">
        <f>IF(H32=0,0,INDEX(References!$J$20:$J$36,MATCH(H32,References!$H$20:$H$36,0)))</f>
        <v>0.97</v>
      </c>
      <c r="P32" s="315">
        <f>IF(H32=0,0,INDEX(References!$N$20:$N$36,MATCH(H32,References!$H$20:$H$36,0)))</f>
        <v>1</v>
      </c>
      <c r="Q32" s="2">
        <f>IF(H32=0,0,INDEX(References!$O$20:$O$36,MATCH(H32,References!$H$20:$H$36,0)))</f>
        <v>7.3959999999999998E-2</v>
      </c>
      <c r="S32" s="315" t="str">
        <f>IF('In Unit HVAC Worksheet'!G66="","",'In Unit HVAC Worksheet'!G66)</f>
        <v/>
      </c>
      <c r="T32" s="315" t="str">
        <f>IF('In Unit HVAC Worksheet'!I66="","",'In Unit HVAC Worksheet'!I66)</f>
        <v/>
      </c>
      <c r="U32" s="315" t="str">
        <f>IF('In Unit HVAC Worksheet'!H66="","",'In Unit HVAC Worksheet'!H66)</f>
        <v/>
      </c>
      <c r="V32" s="153" t="str">
        <f>IF('In Unit HVAC Worksheet'!L66="","",IF('In Unit HVAC Worksheet'!K66=References!$G$60,'In Unit HVAC Worksheet'!L66,ROUND(1.2476*'In Unit HVAC Worksheet'!L66-2.8674,1)))</f>
        <v/>
      </c>
      <c r="W32" s="153" t="str">
        <f>IF('In Unit HVAC Worksheet'!M66="","",IF('In Unit HVAC Worksheet'!K66=References!$G$60,'In Unit HVAC Worksheet'!M66,ROUND(1.0578*'In Unit HVAC Worksheet'!M66-0.1769,1)))</f>
        <v/>
      </c>
      <c r="X32" s="153" t="str">
        <f>IF('In Unit HVAC Worksheet'!N66="","",IF('In Unit HVAC Worksheet'!K66=References!$G$60,'In Unit HVAC Worksheet'!N66,ROUND(1.1702*'In Unit HVAC Worksheet'!N66+0.07,1)))</f>
        <v/>
      </c>
      <c r="Y32" s="2" t="str">
        <f>IF('In Unit HVAC Worksheet'!C66="","",INDEX(References!$T$7:$T$19,MATCH('In Unit HVAC Worksheet'!$C66,References!$S$7:$S$19,0)))</f>
        <v/>
      </c>
      <c r="Z32" s="2" t="str">
        <f>IF('In Unit HVAC Worksheet'!C66="","",INDEX(References!$U$7:$U$19,MATCH('In Unit HVAC Worksheet'!$C66,References!$S$7:$S$19,0)))</f>
        <v/>
      </c>
      <c r="AA32" s="2" t="str">
        <f>IF('In Unit HVAC Worksheet'!C66="","",INDEX(References!$V$7:$V$19,MATCH('In Unit HVAC Worksheet'!$C66,References!$S$7:$S$19,0)))</f>
        <v/>
      </c>
      <c r="AB32" s="2" t="str">
        <f>IF('In Unit HVAC Worksheet'!C66="","",INDEX(References!$Y$7:$Y$19,MATCH('In Unit HVAC Worksheet'!$C66,References!$S$7:$S$19,0)))</f>
        <v/>
      </c>
      <c r="AC32" s="2" t="str">
        <f>IF('In Unit HVAC Worksheet'!C66="","",INDEX(References!$Z$7:$Z$19,MATCH('In Unit HVAC Worksheet'!$C66,References!$S$7:$S$19,0)))</f>
        <v/>
      </c>
      <c r="AD32" s="2" t="str">
        <f>IF('In Unit HVAC Worksheet'!C66="","",INDEX(References!$W$7:$W$19,MATCH('In Unit HVAC Worksheet'!$C66,References!$S$7:$S$19,0)))</f>
        <v/>
      </c>
      <c r="AE32" s="2" t="str">
        <f>IF('In Unit HVAC Worksheet'!C66="","",INDEX(References!$X$7:$X$19,MATCH('In Unit HVAC Worksheet'!$C66,References!$S$7:$S$19,0)))</f>
        <v/>
      </c>
      <c r="AF32" s="2" t="str">
        <f t="shared" si="0"/>
        <v/>
      </c>
      <c r="AG32" s="2" t="str">
        <f t="shared" si="1"/>
        <v/>
      </c>
      <c r="AH32" s="2" t="str">
        <f>IF('In Unit HVAC Worksheet'!C66="","",IF(AD32=0,"",IF(AND(X32&lt;AD32,X32&lt;AE32),"DNQ",IF(X32&gt;=AE32,"Tier II","Tier I"))))</f>
        <v/>
      </c>
      <c r="AI32" s="148" t="str">
        <f>IF(OR(AF32="DNQ",AG32="DNQ",AH32="DNQ",'In Unit HVAC Worksheet'!AB87="FAIL",AY32="DNQ"),"DNQ",IF(OR(AF32="Tier I",AH32="Tier I"),"Tier I",IF(OR(AF32="Tier II",AH32="Tier II"),"Tier II","Tier III")))</f>
        <v>Tier III</v>
      </c>
      <c r="AJ32" s="647" t="str">
        <f>References!$C$18</f>
        <v/>
      </c>
      <c r="AK32" s="251" t="str">
        <f>IF('In Unit HVAC Worksheet'!C66="","",IF(AI32="DNQ","DNQ",INDEX(IF(AJ32="Income Eligible ",References!$AK$3:$AK$36,References!$AJ$3:$AJ$36),MATCH(E32,References!$AE$3:$AE$36,0))*('In Unit HVAC Worksheet'!H66/12000)))</f>
        <v/>
      </c>
      <c r="AL32" s="648" t="str">
        <f>IF('In Unit HVAC Worksheet'!C66="","",IF(AK32="DNQ",0,INDEX(References!$AL$3:$AL$36,MATCH(Qualifying_Index!E32,References!$AE$3:$AE$36,0))))</f>
        <v/>
      </c>
      <c r="AM32" s="647">
        <f t="shared" si="2"/>
        <v>1</v>
      </c>
      <c r="AN32" s="648">
        <f>IF(COUNTIF(AM27:AM31,1),0,AL32)</f>
        <v>0</v>
      </c>
      <c r="AP32" s="1107">
        <f>'In Unit HVAC Worksheet'!Y87</f>
        <v>0</v>
      </c>
      <c r="AQ32" s="1107">
        <f>'In Unit HVAC Worksheet'!AA87</f>
        <v>0</v>
      </c>
      <c r="AR32" s="2">
        <f>(('In Unit HVAC Worksheet'!G66*0.65))</f>
        <v>0</v>
      </c>
      <c r="AS32" s="2">
        <f>(('In Unit HVAC Worksheet'!G66*1.35))</f>
        <v>0</v>
      </c>
      <c r="AT32" s="2">
        <f>IF(AND(References!$C$21=TRUE,References!$H$4=FALSE),('In Unit HVAC Worksheet'!AA87*0.9),'In Unit HVAC Worksheet'!I66*0.65)</f>
        <v>0</v>
      </c>
      <c r="AU32" s="2">
        <f>IF(AND(References!$C$21=TRUE,References!$H$4=FALSE),('In Unit HVAC Worksheet'!AA87*1.2),'In Unit HVAC Worksheet'!I66*1.35)</f>
        <v>0</v>
      </c>
      <c r="AV32" s="2" t="str">
        <f>IF(AND('In Unit HVAC Worksheet'!Y87&gt;=Qualifying_Index!AR32,'In Unit HVAC Worksheet'!Y87&lt;=Qualifying_Index!AS32),"PASS","FAIL")</f>
        <v>PASS</v>
      </c>
      <c r="AW32" s="1120" t="str">
        <f>IF(OR(AT32=0,AU32=0),"FAIL",IF(AND(IF(References!$C$21=TRUE,'In Unit HVAC Worksheet'!I66,'In Unit HVAC Worksheet'!AA87)&gt;=AT32,IF(References!$C$21=TRUE,'In Unit HVAC Worksheet'!I66,'In Unit HVAC Worksheet'!AA87)&lt;=AU32),"PASS","FAIL"))</f>
        <v>FAIL</v>
      </c>
      <c r="AX32" s="1120" t="str">
        <f>IF(References!$C$21=TRUE,IF(AND('In Unit HVAC Worksheet'!Y87="",'In Unit HVAC Worksheet'!AA87=""),"Missing Info",IF(AW32="PASS","PASS","FAIL")),IF(AND(OR('In Unit HVAC Worksheet'!Y87="",'In Unit HVAC Worksheet'!AA87=""),OR(LEFT('In Unit HVAC Worksheet'!C66,6)="Ducted",B32="Cold Climate")),"Missing Info",IF(OR(AV32="PASS",AW32="PASS",BU32="Ductless HP",BU32="PTHP"),"PASS","FAIL")))</f>
        <v>Missing Info</v>
      </c>
      <c r="AY32" t="str">
        <f>IF(B32="Cold Climate",IF(BU32="ccASHP",IF(OR(AZ32=References!$A$120,AZ32=References!$A$121,AZ32=References!$A$122,AZ32=References!$A$123,AZ32=References!$A$124),"","DNQ"),IF(C32="Whole House",IF(OR(AZ32=References!$A$121,AZ32=References!$A$122,AZ32=References!$A$123,AZ32=References!$A$124),"","DNQ"),"")),"")</f>
        <v/>
      </c>
      <c r="AZ32" s="1114" t="str">
        <f>IF(B32="","",IF(B32="Cold Climate",_xlfn.IFNA(INDEX('Integrated Controls'!$B$17:$B$18,MATCH('In Unit HVAC Worksheet'!R87,'Integrated Controls'!$A$17:$A$18,0)),"Separate Control"),""))</f>
        <v/>
      </c>
      <c r="BA32" s="585" t="str">
        <f t="shared" si="3"/>
        <v/>
      </c>
      <c r="BB32" s="1083" t="str">
        <f>IF(AZ32="","",IF(AZ32="No Fossil Fuel Heater",1,IF(AZ32="Integrated/Modulating Control",IF(ROUND(BA32,1)&gt;1,1,ROUND(BA32,1)),IF(LEFT('In Unit HVAC Worksheet'!C66,6)="Ducted",0.9,IF(BA32&gt;=0.65,0.7,IF(BA32&gt;=0.55,0.6,IF(BA32&gt;=0.45,0.5,IF(BA32&gt;=0.35,0.4,0.3))))))))</f>
        <v/>
      </c>
      <c r="BC32" s="702" t="str">
        <f>IF(B32="","",IF(B32="Cold Climate",'In Unit HVAC Worksheet'!C66&amp;" "&amp;AZ32&amp;" "&amp;BB32,""))</f>
        <v/>
      </c>
      <c r="BD32" s="112" t="str">
        <f>IF($BC32="","",INDEX(References!$AH$63:$AH$118,MATCH($BC32,References!$AF$63:$AF$118,0)))</f>
        <v/>
      </c>
      <c r="BE32" s="112" t="str">
        <f>IF($BC32="","",INDEX(References!$AI$63:$AI$118,MATCH($BC32,References!$AF$63:$AF$118,0)))</f>
        <v/>
      </c>
      <c r="BF32" s="112" t="str">
        <f>IF($BC32="","",INDEX(References!$AJ$63:$AJ$118,MATCH($BC32,References!$AF$63:$AF$118,0)))</f>
        <v/>
      </c>
      <c r="BG32" s="112" t="str">
        <f>IF($BC32="","",INDEX(References!$AK$63:$AK$118,MATCH($BC32,References!$AF$63:$AF$118,0)))</f>
        <v/>
      </c>
      <c r="BH32" s="1115" t="str">
        <f t="shared" si="4"/>
        <v/>
      </c>
      <c r="BI32" s="1115" t="str">
        <f>IF(BC32="","",BD32+BE32*X32/References!$E$12)</f>
        <v/>
      </c>
      <c r="BJ32" s="112" t="str">
        <f>IF($BC32="","",INDEX(References!$AL$63:$AL$118,MATCH($BC32,References!$AF$63:$AF$118,0)))</f>
        <v/>
      </c>
      <c r="BK32" s="112" t="str">
        <f>IF($BC32="","",INDEX(References!$AM$63:$AM$118,MATCH($BC32,References!$AF$63:$AF$118,0)))</f>
        <v/>
      </c>
      <c r="BM32" s="2" t="str">
        <f>IF(OR('In Unit HVAC Worksheet'!G66="",'In Unit HVAC Worksheet'!J66="",'In Unit HVAC Worksheet'!M66="",'In Unit HVAC Worksheet'!N66="",'In Unit HVAC Worksheet'!C87="",'In Unit HVAC Worksheet'!E87="",'In Unit HVAC Worksheet'!F87="",'In Unit HVAC Worksheet'!I87="",'In Unit HVAC Worksheet'!K87="",'In Unit HVAC Worksheet'!M87=""),"Missing Info","")</f>
        <v>Missing Info</v>
      </c>
      <c r="BN32" s="2" t="str">
        <f>IF(AND(BV32=1,'In Unit HVAC Worksheet'!N66=""),"Missing Info",IF(BU32="PTHP",BM32,IF(OR('In Unit HVAC Worksheet'!G66="",'In Unit HVAC Worksheet'!J66="",'In Unit HVAC Worksheet'!L66="",'In Unit HVAC Worksheet'!M66="",'In Unit HVAC Worksheet'!C87="",'In Unit HVAC Worksheet'!E87="",'In Unit HVAC Worksheet'!F87="",'In Unit HVAC Worksheet'!K87="",'In Unit HVAC Worksheet'!M87="",AX32="Missing Info"),"Missing Info","")))</f>
        <v>Missing Info</v>
      </c>
      <c r="BO32" s="2" t="str">
        <f>IF(AND(BV32=1,'In Unit HVAC Worksheet'!N66=""),"Missing Info",IF(BU32="PTHP",BM32,IF(OR('In Unit HVAC Worksheet'!C87="",'In Unit HVAC Worksheet'!E87="",'In Unit HVAC Worksheet'!F87="",'In Unit HVAC Worksheet'!K87="",'In Unit HVAC Worksheet'!M87="",'In Unit HVAC Worksheet'!G66="",'In Unit HVAC Worksheet'!J66="",'In Unit HVAC Worksheet'!L66=""),"Missing Info","")))</f>
        <v>Missing Info</v>
      </c>
      <c r="BP32" s="26" t="str">
        <f>IF(OR('In Unit HVAC Worksheet'!Z66="",'In Unit HVAC Worksheet'!M66=""),"",IF(OR('In Unit HVAC Worksheet'!C66="Ducted ASHP",'In Unit HVAC Worksheet'!C66="Ducted ccASHP"),'In Unit HVAC Worksheet'!G66/12000*(12/'In Unit HVAC Worksheet'!M66)*kW_CA,0))</f>
        <v/>
      </c>
      <c r="BQ32" s="26" t="str">
        <f>IF('In Unit HVAC Worksheet'!M66="","",IF(OR('In Unit HVAC Worksheet'!Z66=""),"",'In Unit HVAC Worksheet'!G66*(12/'In Unit HVAC Worksheet'!M66)*kW_RS))</f>
        <v/>
      </c>
      <c r="BR32" s="27" t="str">
        <f>IF(OR('In Unit HVAC Worksheet'!Z66="",'In Unit HVAC Worksheet'!L66="",'In Unit HVAC Worksheet'!M66=""),"",IF(OR('In Unit HVAC Worksheet'!C66="Ducted ASHP",'In Unit HVAC Worksheet'!C66="Ducted ccASHP"),'In Unit HVAC Worksheet'!G66/12000*(12/'In Unit HVAC Worksheet'!L66*FLH_Cool)*QI_kWh,0))</f>
        <v/>
      </c>
      <c r="BS32" s="27" t="str">
        <f>IF(OR('In Unit HVAC Worksheet'!Z66="",'In Unit HVAC Worksheet'!L66="",'In Unit HVAC Worksheet'!M66=""),"",IF(OR('In Unit HVAC Worksheet'!C66="Ducted ASHP",'In Unit HVAC Worksheet'!C66="Ducted ccASHP"),'In Unit HVAC Worksheet'!I66/12000*(12/'In Unit HVAC Worksheet'!N66*FLH_Heat)*QI_kWh,0))</f>
        <v/>
      </c>
      <c r="BU32" s="2" t="str">
        <f>IF('In Unit HVAC Worksheet'!C66="","",INDEX(References!$AB$7:$AB$19,MATCH('In Unit HVAC Worksheet'!C66,Equipment_Type,0)))</f>
        <v/>
      </c>
      <c r="BV32" s="2" t="str">
        <f>IF('In Unit HVAC Worksheet'!C66="","",INDEX(References!$AA$7:$AA$19,MATCH('In Unit HVAC Worksheet'!C66,Equipment_Type,0)))</f>
        <v/>
      </c>
      <c r="BX32" s="2">
        <f>IF(References!$H$14="",0,IF(B32&lt;&gt;"",IF(References!$A$21=1,IF(References!$C$27=1,References!$C$32,References!$C$34),IF(References!$C$27=1,FLH_Cool,References!$B$34)),IF(References!$C$27=1,References!$D$32,References!$D$34)))</f>
        <v>701</v>
      </c>
      <c r="BY32" s="2">
        <f>IF(References!$H$14="",0,IF(B32&lt;&gt;"",IF(References!$A$21=1,IF(References!$C$27=1,References!$C$33,References!$C$35),IF(References!$C$27=1,FLH_Heat,References!$B$35)),IF(References!$C$27=1,References!$D$33,References!$D$35)))</f>
        <v>642</v>
      </c>
      <c r="CA32" s="321">
        <f>IF(OR($AX32="FAIL",'In Unit HVAC Worksheet'!G66="",AX32="Missing Info",AI32="DNQ"),0,IF(B32="Cold Climate",((AP32/1000)*((1/I32)-(1/W32))*BJ32)+SUM(BP32:BQ32),((S32/12000)*((12/I32)-(12/W32)))+SUM(BP32:BQ32)))</f>
        <v>0</v>
      </c>
      <c r="CB32" s="26">
        <f>IF(OR($AX32="FAIL",'In Unit HVAC Worksheet'!G66="",AX32="Missing Info",AI32="DNQ"),0,IF(B32="Cold Climate",((AP32/1000)*((1/J32)-(1/BH32))*BX32*BJ32)+BR32,IF(BU32="PTHP",((S32/12000)*(12/I32-12/W32)*BX32),((('In Unit HVAC Worksheet'!G66/12000)*((12/J32)-(12/V32))*BX32))+BR32)))</f>
        <v>0</v>
      </c>
      <c r="CC32" s="26">
        <f>IF(OR($AX32="FAIL",'In Unit HVAC Worksheet'!G66="",AX32="Missing Info",AI32="DNQ"),0,CB32*References!$E$12/1000)</f>
        <v>0</v>
      </c>
      <c r="CD32" s="322">
        <f>CB32*References!$A$12</f>
        <v>0</v>
      </c>
      <c r="CE32" s="321">
        <f>IF(OR($AX32="FAIL",'In Unit HVAC Worksheet'!I66="",AX32="Missing Info",AI32="DNQ"),0,IF(N32=0,SUM(BP32:BQ32),IF(B32="Cold Climate",((AQ32/1000)*((1/L32)-(1/(X32/3.412)))*(1/References!$E$12)+SUM(BP32:BQ32))*N32,IF(BU32="PTHP",((U32/12000)*((1/(L32))-(1/(X32)))+SUM(BP32:BQ32))*N32*(1/References!$E$12),((U32/12000)*((1/(L32))-(1/(X32/3.412)))+SUM(BP32:BQ32))*N32))))</f>
        <v>0</v>
      </c>
      <c r="CF32" s="300">
        <f>IF(OR($AX32="FAIL",'In Unit HVAC Worksheet'!I66="",AX32="Missing Info",AI32="DNQ"),0,IF(N32=0,SUM(BS32),IF(B32="Cold Climate",((AQ32/1000)*((1/L32)-(1/BI32))*(1/References!$E$12)*BY32*BK32*N32+BS32),IF(BU32="PTHP",((U32/12000)*((12/(L32))-(12/X32))*(1/References!$E$12)*BY32*N32+BS32),((U32/12000)*((12/(L32*References!$E$12))-(12/X32))*BY32*N32+BS32)))))</f>
        <v>0</v>
      </c>
      <c r="CG32" s="26">
        <f>IF(OR($AX32="FAIL",'In Unit HVAC Worksheet'!I66="",AX32="Missing Info",AI32="DNQ"),0,IF(B32="Cold Climate",-((AQ32/1000)*(1/(X32/3.412))*(1/References!$E$12))*O32,IF(BU32="PTHP",-((U32/12000)*(1/(X32)))*O32*(1/References!$E$12),-((U32/12000)*(1/(X32/3.412)))*O32)))</f>
        <v>0</v>
      </c>
      <c r="CH32" s="299">
        <f>IF(OR($AX32="FAIL",'In Unit HVAC Worksheet'!I66="",AX32="Missing Info",AI32="DNQ"),0,IF(B32="Cold Climate",((AQ32/1000)*(1/BI32)*(1/References!$E$12)*BY32*BK32)*O32,IF(BU32="PTHP",(((U32/12000)*(12/X32)*BY32/References!$E$12)-(U32*BY32/1000000)*P32)*O32,(((U32/12000)*(12/X32)*BY32)-(U32*BY32/1000000)*P32)*O32)))</f>
        <v>0</v>
      </c>
      <c r="CI32" s="299">
        <f>IF(OR($AX32="FAIL",AX32="Missing Info",'In Unit HVAC Worksheet'!C66=""),0,((CF32-CH32)*References!$E$12/1000))</f>
        <v>0</v>
      </c>
      <c r="CJ32" s="27">
        <f>IF(OR($AX32="FAIL",AX32="Missing Info",'In Unit HVAC Worksheet'!C66=""),0,IF(O32&lt;&gt;0,IF(B32="Cold Climate",((AQ32*BY32/M32)/1000000)*O32,((U32*BY32/M32)/1000000)*O32*P32),0))</f>
        <v>0</v>
      </c>
      <c r="CK32" s="27">
        <f t="shared" si="5"/>
        <v>0</v>
      </c>
      <c r="CL32" s="371">
        <f>(CF32-CH32)*References!$A$12</f>
        <v>0</v>
      </c>
      <c r="CM32" s="371">
        <f>CJ32*Q32*References!$D$4</f>
        <v>0</v>
      </c>
      <c r="CN32" s="322">
        <f t="shared" si="6"/>
        <v>0</v>
      </c>
      <c r="CQ32" s="1606" t="str">
        <f>IF('In Unit HVAC Worksheet'!Q66="","",'In Unit HVAC Worksheet'!Q66)</f>
        <v/>
      </c>
    </row>
    <row r="33" spans="1:95" ht="14.15" customHeight="1">
      <c r="A33">
        <f t="shared" si="7"/>
        <v>7</v>
      </c>
      <c r="B33" s="220" t="str">
        <f>IF(OR('In Unit HVAC Worksheet'!C67="Ducted ccASHP",'In Unit HVAC Worksheet'!C67="Ductless Mini Split - ccASHP",'In Unit HVAC Worksheet'!C67="Ductless Multi Split - ccASHP"),"Cold Climate","")</f>
        <v/>
      </c>
      <c r="C33" s="315" t="str">
        <f>IF(References!$C$21=TRUE,"Whole House",IF(RIGHT(References!$H$37,2)="HP","Retrofit","New"))</f>
        <v>Whole House</v>
      </c>
      <c r="D33" s="389">
        <f>IF(References!$C$21&lt;&gt;TRUE,"",IF(OR(References!$A$21=2),1,IF(AND('In Unit HVAC Worksheet'!S67&lt;&gt;"Central Air Conditioner",'In Unit HVAC Worksheet'!S67&lt;&gt;"Ducted Air Source HP",LEFT(H33,3)="Oil"),2,3)))</f>
        <v>3</v>
      </c>
      <c r="E33" s="315" t="str">
        <f>C33&amp;" "&amp;'In Unit HVAC Worksheet'!C67&amp;" "&amp;'In Unit HVAC Worksheet'!O67&amp;D33</f>
        <v>Whole House  3</v>
      </c>
      <c r="G33" s="220" t="str">
        <f>IF(OR(References!$A$21=2),"New Construction",IF('In Unit HVAC Worksheet'!S67="","None",'In Unit HVAC Worksheet'!S67))</f>
        <v>None</v>
      </c>
      <c r="H33" s="221" t="str">
        <f>IF(OR(References!$A$21=2),"New Construction",IF('In Unit HVAC Worksheet'!T67="","None",'In Unit HVAC Worksheet'!T67))</f>
        <v>None</v>
      </c>
      <c r="I33" s="220">
        <f>IF(G33=0,0,IF(OR('In Unit HVAC Worksheet'!V67="",'In Unit HVAC Worksheet'!S67=""),INDEX(References!$L$9:$L$16,MATCH(G33,References!$K$9:$K$16,0)),'In Unit HVAC Worksheet'!V67))</f>
        <v>12.3</v>
      </c>
      <c r="J33" s="221">
        <f>IF(G33=0,0,IF(OR('In Unit HVAC Worksheet'!U67="",'In Unit HVAC Worksheet'!S67=""),INDEX(References!$M$9:$M$16,MATCH(G33,References!$K$9:$K$16,0)),'In Unit HVAC Worksheet'!U67))</f>
        <v>15</v>
      </c>
      <c r="K33" s="221">
        <f>IF(H33="Electric ASHP",IF('In Unit HVAC Worksheet'!W67&lt;8.5,References!$M$42,References!$M$43),0)</f>
        <v>0</v>
      </c>
      <c r="L33" s="220">
        <f>IF(H33=0,0,IF('In Unit HVAC Worksheet'!W67="",INDEX(References!$L$20:$L$36,MATCH(H33,References!$H$20:$H$36,0)),IF(H33="Electric ASHP",'In Unit HVAC Worksheet'!W67*K33/3.412,'In Unit HVAC Worksheet'!W67)))</f>
        <v>2.011723329425557</v>
      </c>
      <c r="M33" s="221">
        <f>IF(H33=0,0,IF('In Unit HVAC Worksheet'!X67="",INDEX(References!$M$20:$M$36,MATCH(H33,References!$H$20:$H$36,0)),'In Unit HVAC Worksheet'!X67))</f>
        <v>0.81715000000000004</v>
      </c>
      <c r="N33" s="1106">
        <f>IF(H33=0,0,INDEX(References!$I$20:$I$36,MATCH(H33,References!$H$20:$H$36,0)))</f>
        <v>0.03</v>
      </c>
      <c r="O33" s="1106">
        <f>IF(H33=0,0,INDEX(References!$J$20:$J$36,MATCH(H33,References!$H$20:$H$36,0)))</f>
        <v>0.97</v>
      </c>
      <c r="P33" s="315">
        <f>IF(H33=0,0,INDEX(References!$N$20:$N$36,MATCH(H33,References!$H$20:$H$36,0)))</f>
        <v>1</v>
      </c>
      <c r="Q33" s="2">
        <f>IF(H33=0,0,INDEX(References!$O$20:$O$36,MATCH(H33,References!$H$20:$H$36,0)))</f>
        <v>7.3959999999999998E-2</v>
      </c>
      <c r="S33" s="315" t="str">
        <f>IF('In Unit HVAC Worksheet'!G67="","",'In Unit HVAC Worksheet'!G67)</f>
        <v/>
      </c>
      <c r="T33" s="315" t="str">
        <f>IF('In Unit HVAC Worksheet'!I67="","",'In Unit HVAC Worksheet'!I67)</f>
        <v/>
      </c>
      <c r="U33" s="315" t="str">
        <f>IF('In Unit HVAC Worksheet'!H67="","",'In Unit HVAC Worksheet'!H67)</f>
        <v/>
      </c>
      <c r="V33" s="153" t="str">
        <f>IF('In Unit HVAC Worksheet'!L67="","",IF('In Unit HVAC Worksheet'!K67=References!$G$60,'In Unit HVAC Worksheet'!L67,ROUND(1.2476*'In Unit HVAC Worksheet'!L67-2.8674,1)))</f>
        <v/>
      </c>
      <c r="W33" s="153" t="str">
        <f>IF('In Unit HVAC Worksheet'!M67="","",IF('In Unit HVAC Worksheet'!K67=References!$G$60,'In Unit HVAC Worksheet'!M67,ROUND(1.0578*'In Unit HVAC Worksheet'!M67-0.1769,1)))</f>
        <v/>
      </c>
      <c r="X33" s="153" t="str">
        <f>IF('In Unit HVAC Worksheet'!N67="","",IF('In Unit HVAC Worksheet'!K67=References!$G$60,'In Unit HVAC Worksheet'!N67,ROUND(1.1702*'In Unit HVAC Worksheet'!N67+0.07,1)))</f>
        <v/>
      </c>
      <c r="Y33" s="2" t="str">
        <f>IF('In Unit HVAC Worksheet'!C67="","",INDEX(References!$T$7:$T$19,MATCH('In Unit HVAC Worksheet'!$C67,References!$S$7:$S$19,0)))</f>
        <v/>
      </c>
      <c r="Z33" s="2" t="str">
        <f>IF('In Unit HVAC Worksheet'!C67="","",INDEX(References!$U$7:$U$19,MATCH('In Unit HVAC Worksheet'!$C67,References!$S$7:$S$19,0)))</f>
        <v/>
      </c>
      <c r="AA33" s="2" t="str">
        <f>IF('In Unit HVAC Worksheet'!C67="","",INDEX(References!$V$7:$V$19,MATCH('In Unit HVAC Worksheet'!$C67,References!$S$7:$S$19,0)))</f>
        <v/>
      </c>
      <c r="AB33" s="2" t="str">
        <f>IF('In Unit HVAC Worksheet'!C67="","",INDEX(References!$Y$7:$Y$19,MATCH('In Unit HVAC Worksheet'!$C67,References!$S$7:$S$19,0)))</f>
        <v/>
      </c>
      <c r="AC33" s="2" t="str">
        <f>IF('In Unit HVAC Worksheet'!C67="","",INDEX(References!$Z$7:$Z$19,MATCH('In Unit HVAC Worksheet'!$C67,References!$S$7:$S$19,0)))</f>
        <v/>
      </c>
      <c r="AD33" s="2" t="str">
        <f>IF('In Unit HVAC Worksheet'!C67="","",INDEX(References!$W$7:$W$19,MATCH('In Unit HVAC Worksheet'!$C67,References!$S$7:$S$19,0)))</f>
        <v/>
      </c>
      <c r="AE33" s="2" t="str">
        <f>IF('In Unit HVAC Worksheet'!C67="","",INDEX(References!$X$7:$X$19,MATCH('In Unit HVAC Worksheet'!$C67,References!$S$7:$S$19,0)))</f>
        <v/>
      </c>
      <c r="AF33" s="2" t="str">
        <f t="shared" si="0"/>
        <v/>
      </c>
      <c r="AG33" s="2" t="str">
        <f t="shared" si="1"/>
        <v/>
      </c>
      <c r="AH33" s="2" t="str">
        <f>IF('In Unit HVAC Worksheet'!C67="","",IF(AD33=0,"",IF(AND(X33&lt;AD33,X33&lt;AE33),"DNQ",IF(X33&gt;=AE33,"Tier II","Tier I"))))</f>
        <v/>
      </c>
      <c r="AI33" s="148" t="str">
        <f>IF(OR(AF33="DNQ",AG33="DNQ",AH33="DNQ",'In Unit HVAC Worksheet'!AB88="FAIL",AY33="DNQ"),"DNQ",IF(OR(AF33="Tier I",AH33="Tier I"),"Tier I",IF(OR(AF33="Tier II",AH33="Tier II"),"Tier II","Tier III")))</f>
        <v>Tier III</v>
      </c>
      <c r="AJ33" s="647" t="str">
        <f>References!$C$18</f>
        <v/>
      </c>
      <c r="AK33" s="251" t="str">
        <f>IF('In Unit HVAC Worksheet'!C67="","",IF(AI33="DNQ","DNQ",INDEX(IF(AJ33="Income Eligible ",References!$AK$3:$AK$36,References!$AJ$3:$AJ$36),MATCH(E33,References!$AE$3:$AE$36,0))*('In Unit HVAC Worksheet'!H67/12000)))</f>
        <v/>
      </c>
      <c r="AL33" s="648" t="str">
        <f>IF('In Unit HVAC Worksheet'!C67="","",IF(AK33="DNQ",0,INDEX(References!$AL$3:$AL$36,MATCH(Qualifying_Index!E33,References!$AE$3:$AE$36,0))))</f>
        <v/>
      </c>
      <c r="AM33" s="647">
        <f t="shared" si="2"/>
        <v>1</v>
      </c>
      <c r="AN33" s="648">
        <f>IF(COUNTIF(AM27:AM32,1),0,AL33)</f>
        <v>0</v>
      </c>
      <c r="AP33" s="1107">
        <f>'In Unit HVAC Worksheet'!Y88</f>
        <v>0</v>
      </c>
      <c r="AQ33" s="1107">
        <f>'In Unit HVAC Worksheet'!AA88</f>
        <v>0</v>
      </c>
      <c r="AR33" s="2">
        <f>(('In Unit HVAC Worksheet'!G67*0.65))</f>
        <v>0</v>
      </c>
      <c r="AS33" s="2">
        <f>(('In Unit HVAC Worksheet'!G67*1.35))</f>
        <v>0</v>
      </c>
      <c r="AT33" s="2">
        <f>IF(AND(References!$C$21=TRUE,References!$H$4=FALSE),('In Unit HVAC Worksheet'!AA88*0.9),'In Unit HVAC Worksheet'!I67*0.65)</f>
        <v>0</v>
      </c>
      <c r="AU33" s="2">
        <f>IF(AND(References!$C$21=TRUE,References!$H$4=FALSE),('In Unit HVAC Worksheet'!AA88*1.2),'In Unit HVAC Worksheet'!I67*1.35)</f>
        <v>0</v>
      </c>
      <c r="AV33" s="2" t="str">
        <f>IF(AND('In Unit HVAC Worksheet'!Y88&gt;=Qualifying_Index!AR33,'In Unit HVAC Worksheet'!Y88&lt;=Qualifying_Index!AS33),"PASS","FAIL")</f>
        <v>PASS</v>
      </c>
      <c r="AW33" s="1120" t="str">
        <f>IF(OR(AT33=0,AU33=0),"FAIL",IF(AND(IF(References!$C$21=TRUE,'In Unit HVAC Worksheet'!I67,'In Unit HVAC Worksheet'!AA88)&gt;=AT33,IF(References!$C$21=TRUE,'In Unit HVAC Worksheet'!I67,'In Unit HVAC Worksheet'!AA88)&lt;=AU33),"PASS","FAIL"))</f>
        <v>FAIL</v>
      </c>
      <c r="AX33" s="1120" t="str">
        <f>IF(References!$C$21=TRUE,IF(AND('In Unit HVAC Worksheet'!Y88="",'In Unit HVAC Worksheet'!AA88=""),"Missing Info",IF(AW33="PASS","PASS","FAIL")),IF(AND(OR('In Unit HVAC Worksheet'!Y88="",'In Unit HVAC Worksheet'!AA88=""),OR(LEFT('In Unit HVAC Worksheet'!C67,6)="Ducted",B33="Cold Climate")),"Missing Info",IF(OR(AV33="PASS",AW33="PASS",BU33="Ductless HP",BU33="PTHP"),"PASS","FAIL")))</f>
        <v>Missing Info</v>
      </c>
      <c r="AY33" t="str">
        <f>IF(B33="Cold Climate",IF(BU33="ccASHP",IF(OR(AZ33=References!$A$120,AZ33=References!$A$121,AZ33=References!$A$122,AZ33=References!$A$123,AZ33=References!$A$124),"","DNQ"),IF(C33="Whole House",IF(OR(AZ33=References!$A$121,AZ33=References!$A$122,AZ33=References!$A$123,AZ33=References!$A$124),"","DNQ"),"")),"")</f>
        <v/>
      </c>
      <c r="AZ33" s="1114" t="str">
        <f>IF(B33="","",IF(B33="Cold Climate",_xlfn.IFNA(INDEX('Integrated Controls'!$B$17:$B$18,MATCH('In Unit HVAC Worksheet'!R88,'Integrated Controls'!$A$17:$A$18,0)),"Separate Control"),""))</f>
        <v/>
      </c>
      <c r="BA33" s="585" t="str">
        <f t="shared" si="3"/>
        <v/>
      </c>
      <c r="BB33" s="1083" t="str">
        <f>IF(AZ33="","",IF(AZ33="No Fossil Fuel Heater",1,IF(AZ33="Integrated/Modulating Control",IF(ROUND(BA33,1)&gt;1,1,ROUND(BA33,1)),IF(LEFT('In Unit HVAC Worksheet'!C67,6)="Ducted",0.9,IF(BA33&gt;=0.65,0.7,IF(BA33&gt;=0.55,0.6,IF(BA33&gt;=0.45,0.5,IF(BA33&gt;=0.35,0.4,0.3))))))))</f>
        <v/>
      </c>
      <c r="BC33" s="702" t="str">
        <f>IF(B33="","",IF(B33="Cold Climate",'In Unit HVAC Worksheet'!C67&amp;" "&amp;AZ33&amp;" "&amp;BB33,""))</f>
        <v/>
      </c>
      <c r="BD33" s="112" t="str">
        <f>IF($BC33="","",INDEX(References!$AH$63:$AH$118,MATCH($BC33,References!$AF$63:$AF$118,0)))</f>
        <v/>
      </c>
      <c r="BE33" s="112" t="str">
        <f>IF($BC33="","",INDEX(References!$AI$63:$AI$118,MATCH($BC33,References!$AF$63:$AF$118,0)))</f>
        <v/>
      </c>
      <c r="BF33" s="112" t="str">
        <f>IF($BC33="","",INDEX(References!$AJ$63:$AJ$118,MATCH($BC33,References!$AF$63:$AF$118,0)))</f>
        <v/>
      </c>
      <c r="BG33" s="112" t="str">
        <f>IF($BC33="","",INDEX(References!$AK$63:$AK$118,MATCH($BC33,References!$AF$63:$AF$118,0)))</f>
        <v/>
      </c>
      <c r="BH33" s="1115" t="str">
        <f t="shared" si="4"/>
        <v/>
      </c>
      <c r="BI33" s="1115" t="str">
        <f>IF(BC33="","",BD33+BE33*X33/References!$E$12)</f>
        <v/>
      </c>
      <c r="BJ33" s="112" t="str">
        <f>IF($BC33="","",INDEX(References!$AL$63:$AL$118,MATCH($BC33,References!$AF$63:$AF$118,0)))</f>
        <v/>
      </c>
      <c r="BK33" s="112" t="str">
        <f>IF($BC33="","",INDEX(References!$AM$63:$AM$118,MATCH($BC33,References!$AF$63:$AF$118,0)))</f>
        <v/>
      </c>
      <c r="BM33" s="2" t="str">
        <f>IF(OR('In Unit HVAC Worksheet'!G67="",'In Unit HVAC Worksheet'!J67="",'In Unit HVAC Worksheet'!M67="",'In Unit HVAC Worksheet'!N67="",'In Unit HVAC Worksheet'!C88="",'In Unit HVAC Worksheet'!E88="",'In Unit HVAC Worksheet'!F88="",'In Unit HVAC Worksheet'!I88="",'In Unit HVAC Worksheet'!K88="",'In Unit HVAC Worksheet'!M88=""),"Missing Info","")</f>
        <v>Missing Info</v>
      </c>
      <c r="BN33" s="2" t="str">
        <f>IF(AND(BV33=1,'In Unit HVAC Worksheet'!N67=""),"Missing Info",IF(BU33="PTHP",BM33,IF(OR('In Unit HVAC Worksheet'!G67="",'In Unit HVAC Worksheet'!J67="",'In Unit HVAC Worksheet'!L67="",'In Unit HVAC Worksheet'!M67="",'In Unit HVAC Worksheet'!C88="",'In Unit HVAC Worksheet'!E88="",'In Unit HVAC Worksheet'!F88="",'In Unit HVAC Worksheet'!K88="",'In Unit HVAC Worksheet'!M88="",AX33="Missing Info"),"Missing Info","")))</f>
        <v>Missing Info</v>
      </c>
      <c r="BO33" s="2" t="str">
        <f>IF(AND(BV33=1,'In Unit HVAC Worksheet'!N67=""),"Missing Info",IF(BU33="PTHP",BM33,IF(OR('In Unit HVAC Worksheet'!C88="",'In Unit HVAC Worksheet'!E88="",'In Unit HVAC Worksheet'!F88="",'In Unit HVAC Worksheet'!K88="",'In Unit HVAC Worksheet'!M88="",'In Unit HVAC Worksheet'!G67="",'In Unit HVAC Worksheet'!J67="",'In Unit HVAC Worksheet'!L67=""),"Missing Info","")))</f>
        <v>Missing Info</v>
      </c>
      <c r="BP33" s="26" t="str">
        <f>IF(OR('In Unit HVAC Worksheet'!Z67="",'In Unit HVAC Worksheet'!M67=""),"",IF(OR('In Unit HVAC Worksheet'!C67="Ducted ASHP",'In Unit HVAC Worksheet'!C67="Ducted ccASHP"),'In Unit HVAC Worksheet'!G67/12000*(12/'In Unit HVAC Worksheet'!M67)*kW_CA,0))</f>
        <v/>
      </c>
      <c r="BQ33" s="26" t="str">
        <f>IF('In Unit HVAC Worksheet'!M67="","",IF(OR('In Unit HVAC Worksheet'!Z67=""),"",'In Unit HVAC Worksheet'!G67*(12/'In Unit HVAC Worksheet'!M67)*kW_RS))</f>
        <v/>
      </c>
      <c r="BR33" s="27" t="str">
        <f>IF(OR('In Unit HVAC Worksheet'!Z67="",'In Unit HVAC Worksheet'!L67="",'In Unit HVAC Worksheet'!M67=""),"",IF(OR('In Unit HVAC Worksheet'!C67="Ducted ASHP",'In Unit HVAC Worksheet'!C67="Ducted ccASHP"),'In Unit HVAC Worksheet'!G67/12000*(12/'In Unit HVAC Worksheet'!L67*FLH_Cool)*QI_kWh,0))</f>
        <v/>
      </c>
      <c r="BS33" s="27" t="str">
        <f>IF(OR('In Unit HVAC Worksheet'!Z67="",'In Unit HVAC Worksheet'!L67="",'In Unit HVAC Worksheet'!M67=""),"",IF(OR('In Unit HVAC Worksheet'!C67="Ducted ASHP",'In Unit HVAC Worksheet'!C67="Ducted ccASHP"),'In Unit HVAC Worksheet'!I67/12000*(12/'In Unit HVAC Worksheet'!N67*FLH_Heat)*QI_kWh,0))</f>
        <v/>
      </c>
      <c r="BU33" s="2" t="str">
        <f>IF('In Unit HVAC Worksheet'!C67="","",INDEX(References!$AB$7:$AB$19,MATCH('In Unit HVAC Worksheet'!C67,Equipment_Type,0)))</f>
        <v/>
      </c>
      <c r="BV33" s="2" t="str">
        <f>IF('In Unit HVAC Worksheet'!C67="","",INDEX(References!$AA$7:$AA$19,MATCH('In Unit HVAC Worksheet'!C67,Equipment_Type,0)))</f>
        <v/>
      </c>
      <c r="BX33" s="2">
        <f>IF(References!$H$14="",0,IF(B33&lt;&gt;"",IF(References!$A$21=1,IF(References!$C$27=1,References!$C$32,References!$C$34),IF(References!$C$27=1,FLH_Cool,References!$B$34)),IF(References!$C$27=1,References!$D$32,References!$D$34)))</f>
        <v>701</v>
      </c>
      <c r="BY33" s="2">
        <f>IF(References!$H$14="",0,IF(B33&lt;&gt;"",IF(References!$A$21=1,IF(References!$C$27=1,References!$C$33,References!$C$35),IF(References!$C$27=1,FLH_Heat,References!$B$35)),IF(References!$C$27=1,References!$D$33,References!$D$35)))</f>
        <v>642</v>
      </c>
      <c r="CA33" s="321">
        <f>IF(OR($AX33="FAIL",'In Unit HVAC Worksheet'!G67="",AX33="Missing Info",AI33="DNQ"),0,IF(B33="Cold Climate",((AP33/1000)*((1/I33)-(1/W33))*BJ33)+SUM(BP33:BQ33),((S33/12000)*((12/I33)-(12/W33)))+SUM(BP33:BQ33)))</f>
        <v>0</v>
      </c>
      <c r="CB33" s="26">
        <f>IF(OR($AX33="FAIL",'In Unit HVAC Worksheet'!G67="",AX33="Missing Info",AI33="DNQ"),0,IF(B33="Cold Climate",((AP33/1000)*((1/J33)-(1/BH33))*BX33*BJ33)+BR33,IF(BU33="PTHP",((S33/12000)*(12/I33-12/W33)*BX33),((('In Unit HVAC Worksheet'!G67/12000)*((12/J33)-(12/V33))*BX33))+BR33)))</f>
        <v>0</v>
      </c>
      <c r="CC33" s="26">
        <f>IF(OR($AX33="FAIL",'In Unit HVAC Worksheet'!G67="",AX33="Missing Info",AI33="DNQ"),0,CB33*References!$E$12/1000)</f>
        <v>0</v>
      </c>
      <c r="CD33" s="322">
        <f>CB33*References!$A$12</f>
        <v>0</v>
      </c>
      <c r="CE33" s="321">
        <f>IF(OR($AX33="FAIL",'In Unit HVAC Worksheet'!I67="",AX33="Missing Info",AI33="DNQ"),0,IF(N33=0,SUM(BP33:BQ33),IF(B33="Cold Climate",((AQ33/1000)*((1/L33)-(1/(X33/3.412)))*(1/References!$E$12)+SUM(BP33:BQ33))*N33,IF(BU33="PTHP",((U33/12000)*((1/(L33))-(1/(X33)))+SUM(BP33:BQ33))*N33*(1/References!$E$12),((U33/12000)*((1/(L33))-(1/(X33/3.412)))+SUM(BP33:BQ33))*N33))))</f>
        <v>0</v>
      </c>
      <c r="CF33" s="300">
        <f>IF(OR($AX33="FAIL",'In Unit HVAC Worksheet'!I67="",AX33="Missing Info",AI33="DNQ"),0,IF(N33=0,SUM(BS33),IF(B33="Cold Climate",((AQ33/1000)*((1/L33)-(1/BI33))*(1/References!$E$12)*BY33*BK33*N33+BS33),IF(BU33="PTHP",((U33/12000)*((12/(L33))-(12/X33))*(1/References!$E$12)*BY33*N33+BS33),((U33/12000)*((12/(L33*References!$E$12))-(12/X33))*BY33*N33+BS33)))))</f>
        <v>0</v>
      </c>
      <c r="CG33" s="26">
        <f>IF(OR($AX33="FAIL",'In Unit HVAC Worksheet'!I67="",AX33="Missing Info",AI33="DNQ"),0,IF(B33="Cold Climate",-((AQ33/1000)*(1/(X33/3.412))*(1/References!$E$12))*O33,IF(BU33="PTHP",-((U33/12000)*(1/(X33)))*O33*(1/References!$E$12),-((U33/12000)*(1/(X33/3.412)))*O33)))</f>
        <v>0</v>
      </c>
      <c r="CH33" s="299">
        <f>IF(OR($AX33="FAIL",'In Unit HVAC Worksheet'!I67="",AX33="Missing Info",AI33="DNQ"),0,IF(B33="Cold Climate",((AQ33/1000)*(1/BI33)*(1/References!$E$12)*BY33*BK33)*O33,IF(BU33="PTHP",(((U33/12000)*(12/X33)*BY33/References!$E$12)-(U33*BY33/1000000)*P33)*O33,(((U33/12000)*(12/X33)*BY33)-(U33*BY33/1000000)*P33)*O33)))</f>
        <v>0</v>
      </c>
      <c r="CI33" s="299">
        <f>IF(OR($AX33="FAIL",AX33="Missing Info",'In Unit HVAC Worksheet'!C67=""),0,((CF33-CH33)*References!$E$12/1000))</f>
        <v>0</v>
      </c>
      <c r="CJ33" s="27">
        <f>IF(OR($AX33="FAIL",AX33="Missing Info",'In Unit HVAC Worksheet'!C67=""),0,IF(O33&lt;&gt;0,IF(B33="Cold Climate",((AQ33*BY33/M33)/1000000)*O33,((U33*BY33/M33)/1000000)*O33*P33),0))</f>
        <v>0</v>
      </c>
      <c r="CK33" s="27">
        <f t="shared" si="5"/>
        <v>0</v>
      </c>
      <c r="CL33" s="371">
        <f>(CF33-CH33)*References!$A$12</f>
        <v>0</v>
      </c>
      <c r="CM33" s="371">
        <f>CJ33*Q33*References!$D$4</f>
        <v>0</v>
      </c>
      <c r="CN33" s="322">
        <f t="shared" si="6"/>
        <v>0</v>
      </c>
      <c r="CQ33" s="1606" t="str">
        <f>IF('In Unit HVAC Worksheet'!Q67="","",'In Unit HVAC Worksheet'!Q67)</f>
        <v/>
      </c>
    </row>
    <row r="34" spans="1:95" ht="14.15" customHeight="1">
      <c r="A34">
        <f t="shared" si="7"/>
        <v>8</v>
      </c>
      <c r="B34" s="220" t="str">
        <f>IF(OR('In Unit HVAC Worksheet'!C68="Ducted ccASHP",'In Unit HVAC Worksheet'!C68="Ductless Mini Split - ccASHP",'In Unit HVAC Worksheet'!C68="Ductless Multi Split - ccASHP"),"Cold Climate","")</f>
        <v/>
      </c>
      <c r="C34" s="315" t="str">
        <f>IF(References!$C$21=TRUE,"Whole House",IF(RIGHT(References!$H$37,2)="HP","Retrofit","New"))</f>
        <v>Whole House</v>
      </c>
      <c r="D34" s="389">
        <f>IF(References!$C$21&lt;&gt;TRUE,"",IF(OR(References!$A$21=2),1,IF(AND('In Unit HVAC Worksheet'!S68&lt;&gt;"Central Air Conditioner",'In Unit HVAC Worksheet'!S68&lt;&gt;"Ducted Air Source HP",LEFT(H34,3)="Oil"),2,3)))</f>
        <v>3</v>
      </c>
      <c r="E34" s="315" t="str">
        <f>C34&amp;" "&amp;'In Unit HVAC Worksheet'!C68&amp;" "&amp;'In Unit HVAC Worksheet'!O68&amp;D34</f>
        <v>Whole House  3</v>
      </c>
      <c r="G34" s="220" t="str">
        <f>IF(OR(References!$A$21=2),"New Construction",IF('In Unit HVAC Worksheet'!S68="","None",'In Unit HVAC Worksheet'!S68))</f>
        <v>None</v>
      </c>
      <c r="H34" s="221" t="str">
        <f>IF(OR(References!$A$21=2),"New Construction",IF('In Unit HVAC Worksheet'!T68="","None",'In Unit HVAC Worksheet'!T68))</f>
        <v>None</v>
      </c>
      <c r="I34" s="220">
        <f>IF(G34=0,0,IF(OR('In Unit HVAC Worksheet'!V68="",'In Unit HVAC Worksheet'!S68=""),INDEX(References!$L$9:$L$16,MATCH(G34,References!$K$9:$K$16,0)),'In Unit HVAC Worksheet'!V68))</f>
        <v>12.3</v>
      </c>
      <c r="J34" s="221">
        <f>IF(G34=0,0,IF(OR('In Unit HVAC Worksheet'!U68="",'In Unit HVAC Worksheet'!S68=""),INDEX(References!$M$9:$M$16,MATCH(G34,References!$K$9:$K$16,0)),'In Unit HVAC Worksheet'!U68))</f>
        <v>15</v>
      </c>
      <c r="K34" s="221">
        <f>IF(H34="Electric ASHP",IF('In Unit HVAC Worksheet'!W68&lt;8.5,References!$M$42,References!$M$43),0)</f>
        <v>0</v>
      </c>
      <c r="L34" s="220">
        <f>IF(H34=0,0,IF('In Unit HVAC Worksheet'!W68="",INDEX(References!$L$20:$L$36,MATCH(H34,References!$H$20:$H$36,0)),IF(H34="Electric ASHP",'In Unit HVAC Worksheet'!W68*K34/3.412,'In Unit HVAC Worksheet'!W68)))</f>
        <v>2.011723329425557</v>
      </c>
      <c r="M34" s="221">
        <f>IF(H34=0,0,IF('In Unit HVAC Worksheet'!X68="",INDEX(References!$M$20:$M$36,MATCH(H34,References!$H$20:$H$36,0)),'In Unit HVAC Worksheet'!X68))</f>
        <v>0.81715000000000004</v>
      </c>
      <c r="N34" s="1106">
        <f>IF(H34=0,0,INDEX(References!$I$20:$I$36,MATCH(H34,References!$H$20:$H$36,0)))</f>
        <v>0.03</v>
      </c>
      <c r="O34" s="1106">
        <f>IF(H34=0,0,INDEX(References!$J$20:$J$36,MATCH(H34,References!$H$20:$H$36,0)))</f>
        <v>0.97</v>
      </c>
      <c r="P34" s="315">
        <f>IF(H34=0,0,INDEX(References!$N$20:$N$36,MATCH(H34,References!$H$20:$H$36,0)))</f>
        <v>1</v>
      </c>
      <c r="Q34" s="2">
        <f>IF(H34=0,0,INDEX(References!$O$20:$O$36,MATCH(H34,References!$H$20:$H$36,0)))</f>
        <v>7.3959999999999998E-2</v>
      </c>
      <c r="S34" s="315" t="str">
        <f>IF('In Unit HVAC Worksheet'!G68="","",'In Unit HVAC Worksheet'!G68)</f>
        <v/>
      </c>
      <c r="T34" s="315" t="str">
        <f>IF('In Unit HVAC Worksheet'!I68="","",'In Unit HVAC Worksheet'!I68)</f>
        <v/>
      </c>
      <c r="U34" s="315" t="str">
        <f>IF('In Unit HVAC Worksheet'!H68="","",'In Unit HVAC Worksheet'!H68)</f>
        <v/>
      </c>
      <c r="V34" s="153" t="str">
        <f>IF('In Unit HVAC Worksheet'!L68="","",IF('In Unit HVAC Worksheet'!K68=References!$G$60,'In Unit HVAC Worksheet'!L68,ROUND(1.2476*'In Unit HVAC Worksheet'!L68-2.8674,1)))</f>
        <v/>
      </c>
      <c r="W34" s="153" t="str">
        <f>IF('In Unit HVAC Worksheet'!M68="","",IF('In Unit HVAC Worksheet'!K68=References!$G$60,'In Unit HVAC Worksheet'!M68,ROUND(1.0578*'In Unit HVAC Worksheet'!M68-0.1769,1)))</f>
        <v/>
      </c>
      <c r="X34" s="153" t="str">
        <f>IF('In Unit HVAC Worksheet'!N68="","",IF('In Unit HVAC Worksheet'!K68=References!$G$60,'In Unit HVAC Worksheet'!N68,ROUND(1.1702*'In Unit HVAC Worksheet'!N68+0.07,1)))</f>
        <v/>
      </c>
      <c r="Y34" s="2" t="str">
        <f>IF('In Unit HVAC Worksheet'!C68="","",INDEX(References!$T$7:$T$19,MATCH('In Unit HVAC Worksheet'!$C68,References!$S$7:$S$19,0)))</f>
        <v/>
      </c>
      <c r="Z34" s="2" t="str">
        <f>IF('In Unit HVAC Worksheet'!C68="","",INDEX(References!$U$7:$U$19,MATCH('In Unit HVAC Worksheet'!$C68,References!$S$7:$S$19,0)))</f>
        <v/>
      </c>
      <c r="AA34" s="2" t="str">
        <f>IF('In Unit HVAC Worksheet'!C68="","",INDEX(References!$V$7:$V$19,MATCH('In Unit HVAC Worksheet'!$C68,References!$S$7:$S$19,0)))</f>
        <v/>
      </c>
      <c r="AB34" s="2" t="str">
        <f>IF('In Unit HVAC Worksheet'!C68="","",INDEX(References!$Y$7:$Y$19,MATCH('In Unit HVAC Worksheet'!$C68,References!$S$7:$S$19,0)))</f>
        <v/>
      </c>
      <c r="AC34" s="2" t="str">
        <f>IF('In Unit HVAC Worksheet'!C68="","",INDEX(References!$Z$7:$Z$19,MATCH('In Unit HVAC Worksheet'!$C68,References!$S$7:$S$19,0)))</f>
        <v/>
      </c>
      <c r="AD34" s="2" t="str">
        <f>IF('In Unit HVAC Worksheet'!C68="","",INDEX(References!$W$7:$W$19,MATCH('In Unit HVAC Worksheet'!$C68,References!$S$7:$S$19,0)))</f>
        <v/>
      </c>
      <c r="AE34" s="2" t="str">
        <f>IF('In Unit HVAC Worksheet'!C68="","",INDEX(References!$X$7:$X$19,MATCH('In Unit HVAC Worksheet'!$C68,References!$S$7:$S$19,0)))</f>
        <v/>
      </c>
      <c r="AF34" s="2" t="str">
        <f t="shared" si="0"/>
        <v/>
      </c>
      <c r="AG34" s="2" t="str">
        <f t="shared" si="1"/>
        <v/>
      </c>
      <c r="AH34" s="2" t="str">
        <f>IF('In Unit HVAC Worksheet'!C68="","",IF(AD34=0,"",IF(AND(X34&lt;AD34,X34&lt;AE34),"DNQ",IF(X34&gt;=AE34,"Tier II","Tier I"))))</f>
        <v/>
      </c>
      <c r="AI34" s="148" t="str">
        <f>IF(OR(AF34="DNQ",AG34="DNQ",AH34="DNQ",'In Unit HVAC Worksheet'!AB89="FAIL",AY34="DNQ"),"DNQ",IF(OR(AF34="Tier I",AH34="Tier I"),"Tier I",IF(OR(AF34="Tier II",AH34="Tier II"),"Tier II","Tier III")))</f>
        <v>Tier III</v>
      </c>
      <c r="AJ34" s="647" t="str">
        <f>References!$C$18</f>
        <v/>
      </c>
      <c r="AK34" s="251" t="str">
        <f>IF('In Unit HVAC Worksheet'!C68="","",IF(AI34="DNQ","DNQ",INDEX(IF(AJ34="Income Eligible ",References!$AK$3:$AK$36,References!$AJ$3:$AJ$36),MATCH(E34,References!$AE$3:$AE$36,0))*('In Unit HVAC Worksheet'!H68/12000)))</f>
        <v/>
      </c>
      <c r="AL34" s="648" t="str">
        <f>IF('In Unit HVAC Worksheet'!C68="","",IF(AK34="DNQ",0,INDEX(References!$AL$3:$AL$36,MATCH(Qualifying_Index!E34,References!$AE$3:$AE$36,0))))</f>
        <v/>
      </c>
      <c r="AM34" s="647">
        <f t="shared" si="2"/>
        <v>1</v>
      </c>
      <c r="AN34" s="648">
        <f>IF(COUNTIF(AM27:AM33,1),0,AL34)</f>
        <v>0</v>
      </c>
      <c r="AP34" s="1107">
        <f>'In Unit HVAC Worksheet'!Y89</f>
        <v>0</v>
      </c>
      <c r="AQ34" s="1107">
        <f>'In Unit HVAC Worksheet'!AA89</f>
        <v>0</v>
      </c>
      <c r="AR34" s="2">
        <f>(('In Unit HVAC Worksheet'!G68*0.65))</f>
        <v>0</v>
      </c>
      <c r="AS34" s="2">
        <f>(('In Unit HVAC Worksheet'!G68*1.35))</f>
        <v>0</v>
      </c>
      <c r="AT34" s="2">
        <f>IF(AND(References!$C$21=TRUE,References!$H$4=FALSE),('In Unit HVAC Worksheet'!AA89*0.9),'In Unit HVAC Worksheet'!I68*0.65)</f>
        <v>0</v>
      </c>
      <c r="AU34" s="2">
        <f>IF(AND(References!$C$21=TRUE,References!$H$4=FALSE),('In Unit HVAC Worksheet'!AA89*1.2),'In Unit HVAC Worksheet'!I68*1.35)</f>
        <v>0</v>
      </c>
      <c r="AV34" s="2" t="str">
        <f>IF(AND('In Unit HVAC Worksheet'!Y89&gt;=Qualifying_Index!AR34,'In Unit HVAC Worksheet'!Y89&lt;=Qualifying_Index!AS34),"PASS","FAIL")</f>
        <v>PASS</v>
      </c>
      <c r="AW34" s="1120" t="str">
        <f>IF(OR(AT34=0,AU34=0),"FAIL",IF(AND(IF(References!$C$21=TRUE,'In Unit HVAC Worksheet'!I68,'In Unit HVAC Worksheet'!AA89)&gt;=AT34,IF(References!$C$21=TRUE,'In Unit HVAC Worksheet'!I68,'In Unit HVAC Worksheet'!AA89)&lt;=AU34),"PASS","FAIL"))</f>
        <v>FAIL</v>
      </c>
      <c r="AX34" s="1120" t="str">
        <f>IF(References!$C$21=TRUE,IF(AND('In Unit HVAC Worksheet'!Y89="",'In Unit HVAC Worksheet'!AA89=""),"Missing Info",IF(AW34="PASS","PASS","FAIL")),IF(AND(OR('In Unit HVAC Worksheet'!Y89="",'In Unit HVAC Worksheet'!AA89=""),OR(LEFT('In Unit HVAC Worksheet'!C68,6)="Ducted",B34="Cold Climate")),"Missing Info",IF(OR(AV34="PASS",AW34="PASS",BU34="Ductless HP",BU34="PTHP"),"PASS","FAIL")))</f>
        <v>Missing Info</v>
      </c>
      <c r="AY34" t="str">
        <f>IF(B34="Cold Climate",IF(BU34="ccASHP",IF(OR(AZ34=References!$A$120,AZ34=References!$A$121,AZ34=References!$A$122,AZ34=References!$A$123,AZ34=References!$A$124),"","DNQ"),IF(C34="Whole House",IF(OR(AZ34=References!$A$121,AZ34=References!$A$122,AZ34=References!$A$123,AZ34=References!$A$124),"","DNQ"),"")),"")</f>
        <v/>
      </c>
      <c r="AZ34" s="1114" t="str">
        <f>IF(B34="","",IF(B34="Cold Climate",_xlfn.IFNA(INDEX('Integrated Controls'!$B$17:$B$18,MATCH('In Unit HVAC Worksheet'!R89,'Integrated Controls'!$A$17:$A$18,0)),"Separate Control"),""))</f>
        <v/>
      </c>
      <c r="BA34" s="585" t="str">
        <f t="shared" si="3"/>
        <v/>
      </c>
      <c r="BB34" s="1083" t="str">
        <f>IF(AZ34="","",IF(AZ34="No Fossil Fuel Heater",1,IF(AZ34="Integrated/Modulating Control",IF(ROUND(BA34,1)&gt;1,1,ROUND(BA34,1)),IF(LEFT('In Unit HVAC Worksheet'!C68,6)="Ducted",0.9,IF(BA34&gt;=0.65,0.7,IF(BA34&gt;=0.55,0.6,IF(BA34&gt;=0.45,0.5,IF(BA34&gt;=0.35,0.4,0.3))))))))</f>
        <v/>
      </c>
      <c r="BC34" s="702" t="str">
        <f>IF(B34="","",IF(B34="Cold Climate",'In Unit HVAC Worksheet'!C68&amp;" "&amp;AZ34&amp;" "&amp;BB34,""))</f>
        <v/>
      </c>
      <c r="BD34" s="112" t="str">
        <f>IF($BC34="","",INDEX(References!$AH$63:$AH$118,MATCH($BC34,References!$AF$63:$AF$118,0)))</f>
        <v/>
      </c>
      <c r="BE34" s="112" t="str">
        <f>IF($BC34="","",INDEX(References!$AI$63:$AI$118,MATCH($BC34,References!$AF$63:$AF$118,0)))</f>
        <v/>
      </c>
      <c r="BF34" s="112" t="str">
        <f>IF($BC34="","",INDEX(References!$AJ$63:$AJ$118,MATCH($BC34,References!$AF$63:$AF$118,0)))</f>
        <v/>
      </c>
      <c r="BG34" s="112" t="str">
        <f>IF($BC34="","",INDEX(References!$AK$63:$AK$118,MATCH($BC34,References!$AF$63:$AF$118,0)))</f>
        <v/>
      </c>
      <c r="BH34" s="1115" t="str">
        <f t="shared" si="4"/>
        <v/>
      </c>
      <c r="BI34" s="1115" t="str">
        <f>IF(BC34="","",BD34+BE34*X34/References!$E$12)</f>
        <v/>
      </c>
      <c r="BJ34" s="112" t="str">
        <f>IF($BC34="","",INDEX(References!$AL$63:$AL$118,MATCH($BC34,References!$AF$63:$AF$118,0)))</f>
        <v/>
      </c>
      <c r="BK34" s="112" t="str">
        <f>IF($BC34="","",INDEX(References!$AM$63:$AM$118,MATCH($BC34,References!$AF$63:$AF$118,0)))</f>
        <v/>
      </c>
      <c r="BM34" s="2" t="str">
        <f>IF(OR('In Unit HVAC Worksheet'!G68="",'In Unit HVAC Worksheet'!J68="",'In Unit HVAC Worksheet'!M68="",'In Unit HVAC Worksheet'!N68="",'In Unit HVAC Worksheet'!C89="",'In Unit HVAC Worksheet'!E89="",'In Unit HVAC Worksheet'!F89="",'In Unit HVAC Worksheet'!I89="",'In Unit HVAC Worksheet'!K89="",'In Unit HVAC Worksheet'!M89=""),"Missing Info","")</f>
        <v>Missing Info</v>
      </c>
      <c r="BN34" s="2" t="str">
        <f>IF(AND(BV34=1,'In Unit HVAC Worksheet'!N68=""),"Missing Info",IF(BU34="PTHP",BM34,IF(OR('In Unit HVAC Worksheet'!G68="",'In Unit HVAC Worksheet'!J68="",'In Unit HVAC Worksheet'!L68="",'In Unit HVAC Worksheet'!M68="",'In Unit HVAC Worksheet'!C89="",'In Unit HVAC Worksheet'!E89="",'In Unit HVAC Worksheet'!F89="",'In Unit HVAC Worksheet'!K89="",'In Unit HVAC Worksheet'!M89="",AX34="Missing Info"),"Missing Info","")))</f>
        <v>Missing Info</v>
      </c>
      <c r="BO34" s="2" t="str">
        <f>IF(AND(BV34=1,'In Unit HVAC Worksheet'!N68=""),"Missing Info",IF(BU34="PTHP",BM34,IF(OR('In Unit HVAC Worksheet'!C89="",'In Unit HVAC Worksheet'!E89="",'In Unit HVAC Worksheet'!F89="",'In Unit HVAC Worksheet'!K89="",'In Unit HVAC Worksheet'!M89="",'In Unit HVAC Worksheet'!G68="",'In Unit HVAC Worksheet'!J68="",'In Unit HVAC Worksheet'!L68=""),"Missing Info","")))</f>
        <v>Missing Info</v>
      </c>
      <c r="BP34" s="26" t="str">
        <f>IF(OR('In Unit HVAC Worksheet'!Z68="",'In Unit HVAC Worksheet'!M68=""),"",IF(OR('In Unit HVAC Worksheet'!C68="Ducted ASHP",'In Unit HVAC Worksheet'!C68="Ducted ccASHP"),'In Unit HVAC Worksheet'!G68/12000*(12/'In Unit HVAC Worksheet'!M68)*kW_CA,0))</f>
        <v/>
      </c>
      <c r="BQ34" s="26" t="str">
        <f>IF('In Unit HVAC Worksheet'!M68="","",IF(OR('In Unit HVAC Worksheet'!Z68=""),"",'In Unit HVAC Worksheet'!G68*(12/'In Unit HVAC Worksheet'!M68)*kW_RS))</f>
        <v/>
      </c>
      <c r="BR34" s="27" t="str">
        <f>IF(OR('In Unit HVAC Worksheet'!Z68="",'In Unit HVAC Worksheet'!L68="",'In Unit HVAC Worksheet'!M68=""),"",IF(OR('In Unit HVAC Worksheet'!C68="Ducted ASHP",'In Unit HVAC Worksheet'!C68="Ducted ccASHP"),'In Unit HVAC Worksheet'!G68/12000*(12/'In Unit HVAC Worksheet'!L68*FLH_Cool)*QI_kWh,0))</f>
        <v/>
      </c>
      <c r="BS34" s="27" t="str">
        <f>IF(OR('In Unit HVAC Worksheet'!Z68="",'In Unit HVAC Worksheet'!L68="",'In Unit HVAC Worksheet'!M68=""),"",IF(OR('In Unit HVAC Worksheet'!C68="Ducted ASHP",'In Unit HVAC Worksheet'!C68="Ducted ccASHP"),'In Unit HVAC Worksheet'!I68/12000*(12/'In Unit HVAC Worksheet'!N68*FLH_Heat)*QI_kWh,0))</f>
        <v/>
      </c>
      <c r="BU34" s="2" t="str">
        <f>IF('In Unit HVAC Worksheet'!C68="","",INDEX(References!$AB$7:$AB$19,MATCH('In Unit HVAC Worksheet'!C68,Equipment_Type,0)))</f>
        <v/>
      </c>
      <c r="BV34" s="2" t="str">
        <f>IF('In Unit HVAC Worksheet'!C68="","",INDEX(References!$AA$7:$AA$19,MATCH('In Unit HVAC Worksheet'!C68,Equipment_Type,0)))</f>
        <v/>
      </c>
      <c r="BX34" s="2">
        <f>IF(References!$H$14="",0,IF(B34&lt;&gt;"",IF(References!$A$21=1,IF(References!$C$27=1,References!$C$32,References!$C$34),IF(References!$C$27=1,FLH_Cool,References!$B$34)),IF(References!$C$27=1,References!$D$32,References!$D$34)))</f>
        <v>701</v>
      </c>
      <c r="BY34" s="2">
        <f>IF(References!$H$14="",0,IF(B34&lt;&gt;"",IF(References!$A$21=1,IF(References!$C$27=1,References!$C$33,References!$C$35),IF(References!$C$27=1,FLH_Heat,References!$B$35)),IF(References!$C$27=1,References!$D$33,References!$D$35)))</f>
        <v>642</v>
      </c>
      <c r="CA34" s="321">
        <f>IF(OR($AX34="FAIL",'In Unit HVAC Worksheet'!G68="",AX34="Missing Info",AI34="DNQ"),0,IF(B34="Cold Climate",((AP34/1000)*((1/I34)-(1/W34))*BJ34)+SUM(BP34:BQ34),((S34/12000)*((12/I34)-(12/W34)))+SUM(BP34:BQ34)))</f>
        <v>0</v>
      </c>
      <c r="CB34" s="26">
        <f>IF(OR($AX34="FAIL",'In Unit HVAC Worksheet'!G68="",AX34="Missing Info",AI34="DNQ"),0,IF(B34="Cold Climate",((AP34/1000)*((1/J34)-(1/BH34))*BX34*BJ34)+BR34,IF(BU34="PTHP",((S34/12000)*(12/I34-12/W34)*BX34),((('In Unit HVAC Worksheet'!G68/12000)*((12/J34)-(12/V34))*BX34))+BR34)))</f>
        <v>0</v>
      </c>
      <c r="CC34" s="26">
        <f>IF(OR($AX34="FAIL",'In Unit HVAC Worksheet'!G68="",AX34="Missing Info",AI34="DNQ"),0,CB34*References!$E$12/1000)</f>
        <v>0</v>
      </c>
      <c r="CD34" s="322">
        <f>CB34*References!$A$12</f>
        <v>0</v>
      </c>
      <c r="CE34" s="321">
        <f>IF(OR($AX34="FAIL",'In Unit HVAC Worksheet'!I68="",AX34="Missing Info",AI34="DNQ"),0,IF(N34=0,SUM(BP34:BQ34),IF(B34="Cold Climate",((AQ34/1000)*((1/L34)-(1/(X34/3.412)))*(1/References!$E$12)+SUM(BP34:BQ34))*N34,IF(BU34="PTHP",((U34/12000)*((1/(L34))-(1/(X34)))+SUM(BP34:BQ34))*N34*(1/References!$E$12),((U34/12000)*((1/(L34))-(1/(X34/3.412)))+SUM(BP34:BQ34))*N34))))</f>
        <v>0</v>
      </c>
      <c r="CF34" s="300">
        <f>IF(OR($AX34="FAIL",'In Unit HVAC Worksheet'!I68="",AX34="Missing Info",AI34="DNQ"),0,IF(N34=0,SUM(BS34),IF(B34="Cold Climate",((AQ34/1000)*((1/L34)-(1/BI34))*(1/References!$E$12)*BY34*BK34*N34+BS34),IF(BU34="PTHP",((U34/12000)*((12/(L34))-(12/X34))*(1/References!$E$12)*BY34*N34+BS34),((U34/12000)*((12/(L34*References!$E$12))-(12/X34))*BY34*N34+BS34)))))</f>
        <v>0</v>
      </c>
      <c r="CG34" s="26">
        <f>IF(OR($AX34="FAIL",'In Unit HVAC Worksheet'!I68="",AX34="Missing Info",AI34="DNQ"),0,IF(B34="Cold Climate",-((AQ34/1000)*(1/(X34/3.412))*(1/References!$E$12))*O34,IF(BU34="PTHP",-((U34/12000)*(1/(X34)))*O34*(1/References!$E$12),-((U34/12000)*(1/(X34/3.412)))*O34)))</f>
        <v>0</v>
      </c>
      <c r="CH34" s="299">
        <f>IF(OR($AX34="FAIL",'In Unit HVAC Worksheet'!I68="",AX34="Missing Info",AI34="DNQ"),0,IF(B34="Cold Climate",((AQ34/1000)*(1/BI34)*(1/References!$E$12)*BY34*BK34)*O34,IF(BU34="PTHP",(((U34/12000)*(12/X34)*BY34/References!$E$12)-(U34*BY34/1000000)*P34)*O34,(((U34/12000)*(12/X34)*BY34)-(U34*BY34/1000000)*P34)*O34)))</f>
        <v>0</v>
      </c>
      <c r="CI34" s="299">
        <f>IF(OR($AX34="FAIL",AX34="Missing Info",'In Unit HVAC Worksheet'!C68=""),0,((CF34-CH34)*References!$E$12/1000))</f>
        <v>0</v>
      </c>
      <c r="CJ34" s="27">
        <f>IF(OR($AX34="FAIL",AX34="Missing Info",'In Unit HVAC Worksheet'!C68=""),0,IF(O34&lt;&gt;0,IF(B34="Cold Climate",((AQ34*BY34/M34)/1000000)*O34,((U34*BY34/M34)/1000000)*O34*P34),0))</f>
        <v>0</v>
      </c>
      <c r="CK34" s="27">
        <f t="shared" si="5"/>
        <v>0</v>
      </c>
      <c r="CL34" s="371">
        <f>(CF34-CH34)*References!$A$12</f>
        <v>0</v>
      </c>
      <c r="CM34" s="371">
        <f>CJ34*Q34*References!$D$4</f>
        <v>0</v>
      </c>
      <c r="CN34" s="322">
        <f t="shared" si="6"/>
        <v>0</v>
      </c>
      <c r="CQ34" s="1606" t="str">
        <f>IF('In Unit HVAC Worksheet'!Q68="","",'In Unit HVAC Worksheet'!Q68)</f>
        <v/>
      </c>
    </row>
    <row r="35" spans="1:95" ht="14.15" customHeight="1">
      <c r="A35">
        <f t="shared" si="7"/>
        <v>9</v>
      </c>
      <c r="B35" s="220" t="str">
        <f>IF(OR('In Unit HVAC Worksheet'!C69="Ducted ccASHP",'In Unit HVAC Worksheet'!C69="Ductless Mini Split - ccASHP",'In Unit HVAC Worksheet'!C69="Ductless Multi Split - ccASHP"),"Cold Climate","")</f>
        <v/>
      </c>
      <c r="C35" s="315" t="str">
        <f>IF(References!$C$21=TRUE,"Whole House",IF(RIGHT(References!$H$37,2)="HP","Retrofit","New"))</f>
        <v>Whole House</v>
      </c>
      <c r="D35" s="389">
        <f>IF(References!$C$21&lt;&gt;TRUE,"",IF(OR(References!$A$21=2),1,IF(AND('In Unit HVAC Worksheet'!S69&lt;&gt;"Central Air Conditioner",'In Unit HVAC Worksheet'!S69&lt;&gt;"Ducted Air Source HP",LEFT(H35,3)="Oil"),2,3)))</f>
        <v>3</v>
      </c>
      <c r="E35" s="315" t="str">
        <f>C35&amp;" "&amp;'In Unit HVAC Worksheet'!C69&amp;" "&amp;'In Unit HVAC Worksheet'!O69&amp;D35</f>
        <v>Whole House  3</v>
      </c>
      <c r="G35" s="220" t="str">
        <f>IF(OR(References!$A$21=2),"New Construction",IF('In Unit HVAC Worksheet'!S69="","None",'In Unit HVAC Worksheet'!S69))</f>
        <v>None</v>
      </c>
      <c r="H35" s="221" t="str">
        <f>IF(OR(References!$A$21=2),"New Construction",IF('In Unit HVAC Worksheet'!T69="","None",'In Unit HVAC Worksheet'!T69))</f>
        <v>None</v>
      </c>
      <c r="I35" s="220">
        <f>IF(G35=0,0,IF(OR('In Unit HVAC Worksheet'!V69="",'In Unit HVAC Worksheet'!S69=""),INDEX(References!$L$9:$L$16,MATCH(G35,References!$K$9:$K$16,0)),'In Unit HVAC Worksheet'!V69))</f>
        <v>12.3</v>
      </c>
      <c r="J35" s="221">
        <f>IF(G35=0,0,IF(OR('In Unit HVAC Worksheet'!U69="",'In Unit HVAC Worksheet'!S69=""),INDEX(References!$M$9:$M$16,MATCH(G35,References!$K$9:$K$16,0)),'In Unit HVAC Worksheet'!U69))</f>
        <v>15</v>
      </c>
      <c r="K35" s="221">
        <f>IF(H35="Electric ASHP",IF('In Unit HVAC Worksheet'!W69&lt;8.5,References!$M$42,References!$M$43),0)</f>
        <v>0</v>
      </c>
      <c r="L35" s="220">
        <f>IF(H35=0,0,IF('In Unit HVAC Worksheet'!W69="",INDEX(References!$L$20:$L$36,MATCH(H35,References!$H$20:$H$36,0)),IF(H35="Electric ASHP",'In Unit HVAC Worksheet'!W69*K35/3.412,'In Unit HVAC Worksheet'!W69)))</f>
        <v>2.011723329425557</v>
      </c>
      <c r="M35" s="221">
        <f>IF(H35=0,0,IF('In Unit HVAC Worksheet'!X69="",INDEX(References!$M$20:$M$36,MATCH(H35,References!$H$20:$H$36,0)),'In Unit HVAC Worksheet'!X69))</f>
        <v>0.81715000000000004</v>
      </c>
      <c r="N35" s="1106">
        <f>IF(H35=0,0,INDEX(References!$I$20:$I$36,MATCH(H35,References!$H$20:$H$36,0)))</f>
        <v>0.03</v>
      </c>
      <c r="O35" s="1106">
        <f>IF(H35=0,0,INDEX(References!$J$20:$J$36,MATCH(H35,References!$H$20:$H$36,0)))</f>
        <v>0.97</v>
      </c>
      <c r="P35" s="315">
        <f>IF(H35=0,0,INDEX(References!$N$20:$N$36,MATCH(H35,References!$H$20:$H$36,0)))</f>
        <v>1</v>
      </c>
      <c r="Q35" s="2">
        <f>IF(H35=0,0,INDEX(References!$O$20:$O$36,MATCH(H35,References!$H$20:$H$36,0)))</f>
        <v>7.3959999999999998E-2</v>
      </c>
      <c r="S35" s="315" t="str">
        <f>IF('In Unit HVAC Worksheet'!G69="","",'In Unit HVAC Worksheet'!G69)</f>
        <v/>
      </c>
      <c r="T35" s="315" t="str">
        <f>IF('In Unit HVAC Worksheet'!I69="","",'In Unit HVAC Worksheet'!I69)</f>
        <v/>
      </c>
      <c r="U35" s="315" t="str">
        <f>IF('In Unit HVAC Worksheet'!H69="","",'In Unit HVAC Worksheet'!H69)</f>
        <v/>
      </c>
      <c r="V35" s="153" t="str">
        <f>IF('In Unit HVAC Worksheet'!L69="","",IF('In Unit HVAC Worksheet'!K69=References!$G$60,'In Unit HVAC Worksheet'!L69,ROUND(1.2476*'In Unit HVAC Worksheet'!L69-2.8674,1)))</f>
        <v/>
      </c>
      <c r="W35" s="153" t="str">
        <f>IF('In Unit HVAC Worksheet'!M69="","",IF('In Unit HVAC Worksheet'!K69=References!$G$60,'In Unit HVAC Worksheet'!M69,ROUND(1.0578*'In Unit HVAC Worksheet'!M69-0.1769,1)))</f>
        <v/>
      </c>
      <c r="X35" s="153" t="str">
        <f>IF('In Unit HVAC Worksheet'!N69="","",IF('In Unit HVAC Worksheet'!K69=References!$G$60,'In Unit HVAC Worksheet'!N69,ROUND(1.1702*'In Unit HVAC Worksheet'!N69+0.07,1)))</f>
        <v/>
      </c>
      <c r="Y35" s="2" t="str">
        <f>IF('In Unit HVAC Worksheet'!C69="","",INDEX(References!$T$7:$T$19,MATCH('In Unit HVAC Worksheet'!$C69,References!$S$7:$S$19,0)))</f>
        <v/>
      </c>
      <c r="Z35" s="2" t="str">
        <f>IF('In Unit HVAC Worksheet'!C69="","",INDEX(References!$U$7:$U$19,MATCH('In Unit HVAC Worksheet'!$C69,References!$S$7:$S$19,0)))</f>
        <v/>
      </c>
      <c r="AA35" s="2" t="str">
        <f>IF('In Unit HVAC Worksheet'!C69="","",INDEX(References!$V$7:$V$19,MATCH('In Unit HVAC Worksheet'!$C69,References!$S$7:$S$19,0)))</f>
        <v/>
      </c>
      <c r="AB35" s="2" t="str">
        <f>IF('In Unit HVAC Worksheet'!C69="","",INDEX(References!$Y$7:$Y$19,MATCH('In Unit HVAC Worksheet'!$C69,References!$S$7:$S$19,0)))</f>
        <v/>
      </c>
      <c r="AC35" s="2" t="str">
        <f>IF('In Unit HVAC Worksheet'!C69="","",INDEX(References!$Z$7:$Z$19,MATCH('In Unit HVAC Worksheet'!$C69,References!$S$7:$S$19,0)))</f>
        <v/>
      </c>
      <c r="AD35" s="2" t="str">
        <f>IF('In Unit HVAC Worksheet'!C69="","",INDEX(References!$W$7:$W$19,MATCH('In Unit HVAC Worksheet'!$C69,References!$S$7:$S$19,0)))</f>
        <v/>
      </c>
      <c r="AE35" s="2" t="str">
        <f>IF('In Unit HVAC Worksheet'!C69="","",INDEX(References!$X$7:$X$19,MATCH('In Unit HVAC Worksheet'!$C69,References!$S$7:$S$19,0)))</f>
        <v/>
      </c>
      <c r="AF35" s="2" t="str">
        <f t="shared" si="0"/>
        <v/>
      </c>
      <c r="AG35" s="2" t="str">
        <f t="shared" si="1"/>
        <v/>
      </c>
      <c r="AH35" s="2" t="str">
        <f>IF('In Unit HVAC Worksheet'!C69="","",IF(AD35=0,"",IF(AND(X35&lt;AD35,X35&lt;AE35),"DNQ",IF(X35&gt;=AE35,"Tier II","Tier I"))))</f>
        <v/>
      </c>
      <c r="AI35" s="148" t="str">
        <f>IF(OR(AF35="DNQ",AG35="DNQ",AH35="DNQ",'In Unit HVAC Worksheet'!AB90="FAIL",AY35="DNQ"),"DNQ",IF(OR(AF35="Tier I",AH35="Tier I"),"Tier I",IF(OR(AF35="Tier II",AH35="Tier II"),"Tier II","Tier III")))</f>
        <v>Tier III</v>
      </c>
      <c r="AJ35" s="647" t="str">
        <f>References!$C$18</f>
        <v/>
      </c>
      <c r="AK35" s="251" t="str">
        <f>IF('In Unit HVAC Worksheet'!C69="","",IF(AI35="DNQ","DNQ",INDEX(IF(AJ35="Income Eligible ",References!$AK$3:$AK$36,References!$AJ$3:$AJ$36),MATCH(E35,References!$AE$3:$AE$36,0))*('In Unit HVAC Worksheet'!H69/12000)))</f>
        <v/>
      </c>
      <c r="AL35" s="648" t="str">
        <f>IF('In Unit HVAC Worksheet'!C69="","",IF(AK35="DNQ",0,INDEX(References!$AL$3:$AL$36,MATCH(Qualifying_Index!E35,References!$AE$3:$AE$36,0))))</f>
        <v/>
      </c>
      <c r="AM35" s="647">
        <f t="shared" si="2"/>
        <v>1</v>
      </c>
      <c r="AN35" s="648">
        <f>IF(COUNTIF(AM27:AM34,1),0,AL35)</f>
        <v>0</v>
      </c>
      <c r="AP35" s="1107">
        <f>'In Unit HVAC Worksheet'!Y90</f>
        <v>0</v>
      </c>
      <c r="AQ35" s="1107">
        <f>'In Unit HVAC Worksheet'!AA90</f>
        <v>0</v>
      </c>
      <c r="AR35" s="2">
        <f>(('In Unit HVAC Worksheet'!G69*0.65))</f>
        <v>0</v>
      </c>
      <c r="AS35" s="2">
        <f>(('In Unit HVAC Worksheet'!G69*1.35))</f>
        <v>0</v>
      </c>
      <c r="AT35" s="2">
        <f>IF(AND(References!$C$21=TRUE,References!$H$4=FALSE),('In Unit HVAC Worksheet'!AA90*0.9),'In Unit HVAC Worksheet'!I69*0.65)</f>
        <v>0</v>
      </c>
      <c r="AU35" s="2">
        <f>IF(AND(References!$C$21=TRUE,References!$H$4=FALSE),('In Unit HVAC Worksheet'!AA90*1.2),'In Unit HVAC Worksheet'!I69*1.35)</f>
        <v>0</v>
      </c>
      <c r="AV35" s="2" t="str">
        <f>IF(AND('In Unit HVAC Worksheet'!Y90&gt;=Qualifying_Index!AR35,'In Unit HVAC Worksheet'!Y90&lt;=Qualifying_Index!AS35),"PASS","FAIL")</f>
        <v>PASS</v>
      </c>
      <c r="AW35" s="1120" t="str">
        <f>IF(OR(AT35=0,AU35=0),"FAIL",IF(AND(IF(References!$C$21=TRUE,'In Unit HVAC Worksheet'!I69,'In Unit HVAC Worksheet'!AA90)&gt;=AT35,IF(References!$C$21=TRUE,'In Unit HVAC Worksheet'!I69,'In Unit HVAC Worksheet'!AA90)&lt;=AU35),"PASS","FAIL"))</f>
        <v>FAIL</v>
      </c>
      <c r="AX35" s="1120" t="str">
        <f>IF(References!$C$21=TRUE,IF(AND('In Unit HVAC Worksheet'!Y90="",'In Unit HVAC Worksheet'!AA90=""),"Missing Info",IF(AW35="PASS","PASS","FAIL")),IF(AND(OR('In Unit HVAC Worksheet'!Y90="",'In Unit HVAC Worksheet'!AA90=""),OR(LEFT('In Unit HVAC Worksheet'!C69,6)="Ducted",B35="Cold Climate")),"Missing Info",IF(OR(AV35="PASS",AW35="PASS",BU35="Ductless HP",BU35="PTHP"),"PASS","FAIL")))</f>
        <v>Missing Info</v>
      </c>
      <c r="AY35" t="str">
        <f>IF(B35="Cold Climate",IF(BU35="ccASHP",IF(OR(AZ35=References!$A$120,AZ35=References!$A$121,AZ35=References!$A$122,AZ35=References!$A$123,AZ35=References!$A$124),"","DNQ"),IF(C35="Whole House",IF(OR(AZ35=References!$A$121,AZ35=References!$A$122,AZ35=References!$A$123,AZ35=References!$A$124),"","DNQ"),"")),"")</f>
        <v/>
      </c>
      <c r="AZ35" s="1114" t="str">
        <f>IF(B35="","",IF(B35="Cold Climate",_xlfn.IFNA(INDEX('Integrated Controls'!$B$17:$B$18,MATCH('In Unit HVAC Worksheet'!R90,'Integrated Controls'!$A$17:$A$18,0)),"Separate Control"),""))</f>
        <v/>
      </c>
      <c r="BA35" s="585" t="str">
        <f t="shared" si="3"/>
        <v/>
      </c>
      <c r="BB35" s="1083" t="str">
        <f>IF(AZ35="","",IF(AZ35="No Fossil Fuel Heater",1,IF(AZ35="Integrated/Modulating Control",IF(ROUND(BA35,1)&gt;1,1,ROUND(BA35,1)),IF(LEFT('In Unit HVAC Worksheet'!C69,6)="Ducted",0.9,IF(BA35&gt;=0.65,0.7,IF(BA35&gt;=0.55,0.6,IF(BA35&gt;=0.45,0.5,IF(BA35&gt;=0.35,0.4,0.3))))))))</f>
        <v/>
      </c>
      <c r="BC35" s="702" t="str">
        <f>IF(B35="","",IF(B35="Cold Climate",'In Unit HVAC Worksheet'!C69&amp;" "&amp;AZ35&amp;" "&amp;BB35,""))</f>
        <v/>
      </c>
      <c r="BD35" s="112" t="str">
        <f>IF($BC35="","",INDEX(References!$AH$63:$AH$118,MATCH($BC35,References!$AF$63:$AF$118,0)))</f>
        <v/>
      </c>
      <c r="BE35" s="112" t="str">
        <f>IF($BC35="","",INDEX(References!$AI$63:$AI$118,MATCH($BC35,References!$AF$63:$AF$118,0)))</f>
        <v/>
      </c>
      <c r="BF35" s="112" t="str">
        <f>IF($BC35="","",INDEX(References!$AJ$63:$AJ$118,MATCH($BC35,References!$AF$63:$AF$118,0)))</f>
        <v/>
      </c>
      <c r="BG35" s="112" t="str">
        <f>IF($BC35="","",INDEX(References!$AK$63:$AK$118,MATCH($BC35,References!$AF$63:$AF$118,0)))</f>
        <v/>
      </c>
      <c r="BH35" s="1115" t="str">
        <f t="shared" si="4"/>
        <v/>
      </c>
      <c r="BI35" s="1115" t="str">
        <f>IF(BC35="","",BD35+BE35*X35/References!$E$12)</f>
        <v/>
      </c>
      <c r="BJ35" s="112" t="str">
        <f>IF($BC35="","",INDEX(References!$AL$63:$AL$118,MATCH($BC35,References!$AF$63:$AF$118,0)))</f>
        <v/>
      </c>
      <c r="BK35" s="112" t="str">
        <f>IF($BC35="","",INDEX(References!$AM$63:$AM$118,MATCH($BC35,References!$AF$63:$AF$118,0)))</f>
        <v/>
      </c>
      <c r="BM35" s="2" t="str">
        <f>IF(OR('In Unit HVAC Worksheet'!G69="",'In Unit HVAC Worksheet'!J69="",'In Unit HVAC Worksheet'!M69="",'In Unit HVAC Worksheet'!N69="",'In Unit HVAC Worksheet'!C90="",'In Unit HVAC Worksheet'!E90="",'In Unit HVAC Worksheet'!F90="",'In Unit HVAC Worksheet'!I90="",'In Unit HVAC Worksheet'!K90="",'In Unit HVAC Worksheet'!M90=""),"Missing Info","")</f>
        <v>Missing Info</v>
      </c>
      <c r="BN35" s="2" t="str">
        <f>IF(AND(BV35=1,'In Unit HVAC Worksheet'!N69=""),"Missing Info",IF(BU35="PTHP",BM35,IF(OR('In Unit HVAC Worksheet'!G69="",'In Unit HVAC Worksheet'!J69="",'In Unit HVAC Worksheet'!L69="",'In Unit HVAC Worksheet'!M69="",'In Unit HVAC Worksheet'!C90="",'In Unit HVAC Worksheet'!E90="",'In Unit HVAC Worksheet'!F90="",'In Unit HVAC Worksheet'!K90="",'In Unit HVAC Worksheet'!M90="",AX35="Missing Info"),"Missing Info","")))</f>
        <v>Missing Info</v>
      </c>
      <c r="BO35" s="2" t="str">
        <f>IF(AND(BV35=1,'In Unit HVAC Worksheet'!N69=""),"Missing Info",IF(BU35="PTHP",BM35,IF(OR('In Unit HVAC Worksheet'!C90="",'In Unit HVAC Worksheet'!E90="",'In Unit HVAC Worksheet'!F90="",'In Unit HVAC Worksheet'!K90="",'In Unit HVAC Worksheet'!M90="",'In Unit HVAC Worksheet'!G69="",'In Unit HVAC Worksheet'!J69="",'In Unit HVAC Worksheet'!L69=""),"Missing Info","")))</f>
        <v>Missing Info</v>
      </c>
      <c r="BP35" s="26" t="str">
        <f>IF(OR('In Unit HVAC Worksheet'!Z69="",'In Unit HVAC Worksheet'!M69=""),"",IF(OR('In Unit HVAC Worksheet'!C69="Ducted ASHP",'In Unit HVAC Worksheet'!C69="Ducted ccASHP"),'In Unit HVAC Worksheet'!G69/12000*(12/'In Unit HVAC Worksheet'!M69)*kW_CA,0))</f>
        <v/>
      </c>
      <c r="BQ35" s="26" t="str">
        <f>IF('In Unit HVAC Worksheet'!M69="","",IF(OR('In Unit HVAC Worksheet'!Z69=""),"",'In Unit HVAC Worksheet'!G69*(12/'In Unit HVAC Worksheet'!M69)*kW_RS))</f>
        <v/>
      </c>
      <c r="BR35" s="27" t="str">
        <f>IF(OR('In Unit HVAC Worksheet'!Z69="",'In Unit HVAC Worksheet'!L69="",'In Unit HVAC Worksheet'!M69=""),"",IF(OR('In Unit HVAC Worksheet'!C69="Ducted ASHP",'In Unit HVAC Worksheet'!C69="Ducted ccASHP"),'In Unit HVAC Worksheet'!G69/12000*(12/'In Unit HVAC Worksheet'!L69*FLH_Cool)*QI_kWh,0))</f>
        <v/>
      </c>
      <c r="BS35" s="27" t="str">
        <f>IF(OR('In Unit HVAC Worksheet'!Z69="",'In Unit HVAC Worksheet'!L69="",'In Unit HVAC Worksheet'!M69=""),"",IF(OR('In Unit HVAC Worksheet'!C69="Ducted ASHP",'In Unit HVAC Worksheet'!C69="Ducted ccASHP"),'In Unit HVAC Worksheet'!I69/12000*(12/'In Unit HVAC Worksheet'!N69*FLH_Heat)*QI_kWh,0))</f>
        <v/>
      </c>
      <c r="BU35" s="2" t="str">
        <f>IF('In Unit HVAC Worksheet'!C69="","",INDEX(References!$AB$7:$AB$19,MATCH('In Unit HVAC Worksheet'!C69,Equipment_Type,0)))</f>
        <v/>
      </c>
      <c r="BV35" s="2" t="str">
        <f>IF('In Unit HVAC Worksheet'!C69="","",INDEX(References!$AA$7:$AA$19,MATCH('In Unit HVAC Worksheet'!C69,Equipment_Type,0)))</f>
        <v/>
      </c>
      <c r="BX35" s="2">
        <f>IF(References!$H$14="",0,IF(B35&lt;&gt;"",IF(References!$A$21=1,IF(References!$C$27=1,References!$C$32,References!$C$34),IF(References!$C$27=1,FLH_Cool,References!$B$34)),IF(References!$C$27=1,References!$D$32,References!$D$34)))</f>
        <v>701</v>
      </c>
      <c r="BY35" s="2">
        <f>IF(References!$H$14="",0,IF(B35&lt;&gt;"",IF(References!$A$21=1,IF(References!$C$27=1,References!$C$33,References!$C$35),IF(References!$C$27=1,FLH_Heat,References!$B$35)),IF(References!$C$27=1,References!$D$33,References!$D$35)))</f>
        <v>642</v>
      </c>
      <c r="CA35" s="321">
        <f>IF(OR($AX35="FAIL",'In Unit HVAC Worksheet'!G69="",AX35="Missing Info",AI35="DNQ"),0,IF(B35="Cold Climate",((AP35/1000)*((1/I35)-(1/W35))*BJ35)+SUM(BP35:BQ35),((S35/12000)*((12/I35)-(12/W35)))+SUM(BP35:BQ35)))</f>
        <v>0</v>
      </c>
      <c r="CB35" s="26">
        <f>IF(OR($AX35="FAIL",'In Unit HVAC Worksheet'!G69="",AX35="Missing Info",AI35="DNQ"),0,IF(B35="Cold Climate",((AP35/1000)*((1/J35)-(1/BH35))*BX35*BJ35)+BR35,IF(BU35="PTHP",((S35/12000)*(12/I35-12/W35)*BX35),((('In Unit HVAC Worksheet'!G69/12000)*((12/J35)-(12/V35))*BX35))+BR35)))</f>
        <v>0</v>
      </c>
      <c r="CC35" s="26">
        <f>IF(OR($AX35="FAIL",'In Unit HVAC Worksheet'!G69="",AX35="Missing Info",AI35="DNQ"),0,CB35*References!$E$12/1000)</f>
        <v>0</v>
      </c>
      <c r="CD35" s="322">
        <f>CB35*References!$A$12</f>
        <v>0</v>
      </c>
      <c r="CE35" s="321">
        <f>IF(OR($AX35="FAIL",'In Unit HVAC Worksheet'!I69="",AX35="Missing Info",AI35="DNQ"),0,IF(N35=0,SUM(BP35:BQ35),IF(B35="Cold Climate",((AQ35/1000)*((1/L35)-(1/(X35/3.412)))*(1/References!$E$12)+SUM(BP35:BQ35))*N35,IF(BU35="PTHP",((U35/12000)*((1/(L35))-(1/(X35)))+SUM(BP35:BQ35))*N35*(1/References!$E$12),((U35/12000)*((1/(L35))-(1/(X35/3.412)))+SUM(BP35:BQ35))*N35))))</f>
        <v>0</v>
      </c>
      <c r="CF35" s="300">
        <f>IF(OR($AX35="FAIL",'In Unit HVAC Worksheet'!I69="",AX35="Missing Info",AI35="DNQ"),0,IF(N35=0,SUM(BS35),IF(B35="Cold Climate",((AQ35/1000)*((1/L35)-(1/BI35))*(1/References!$E$12)*BY35*BK35*N35+BS35),IF(BU35="PTHP",((U35/12000)*((12/(L35))-(12/X35))*(1/References!$E$12)*BY35*N35+BS35),((U35/12000)*((12/(L35*References!$E$12))-(12/X35))*BY35*N35+BS35)))))</f>
        <v>0</v>
      </c>
      <c r="CG35" s="26">
        <f>IF(OR($AX35="FAIL",'In Unit HVAC Worksheet'!I69="",AX35="Missing Info",AI35="DNQ"),0,IF(B35="Cold Climate",-((AQ35/1000)*(1/(X35/3.412))*(1/References!$E$12))*O35,IF(BU35="PTHP",-((U35/12000)*(1/(X35)))*O35*(1/References!$E$12),-((U35/12000)*(1/(X35/3.412)))*O35)))</f>
        <v>0</v>
      </c>
      <c r="CH35" s="299">
        <f>IF(OR($AX35="FAIL",'In Unit HVAC Worksheet'!I69="",AX35="Missing Info",AI35="DNQ"),0,IF(B35="Cold Climate",((AQ35/1000)*(1/BI35)*(1/References!$E$12)*BY35*BK35)*O35,IF(BU35="PTHP",(((U35/12000)*(12/X35)*BY35/References!$E$12)-(U35*BY35/1000000)*P35)*O35,(((U35/12000)*(12/X35)*BY35)-(U35*BY35/1000000)*P35)*O35)))</f>
        <v>0</v>
      </c>
      <c r="CI35" s="299">
        <f>IF(OR($AX35="FAIL",AX35="Missing Info",'In Unit HVAC Worksheet'!C69=""),0,((CF35-CH35)*References!$E$12/1000))</f>
        <v>0</v>
      </c>
      <c r="CJ35" s="27">
        <f>IF(OR($AX35="FAIL",AX35="Missing Info",'In Unit HVAC Worksheet'!C69=""),0,IF(O35&lt;&gt;0,IF(B35="Cold Climate",((AQ35*BY35/M35)/1000000)*O35,((U35*BY35/M35)/1000000)*O35*P35),0))</f>
        <v>0</v>
      </c>
      <c r="CK35" s="27">
        <f t="shared" si="5"/>
        <v>0</v>
      </c>
      <c r="CL35" s="371">
        <f>(CF35-CH35)*References!$A$12</f>
        <v>0</v>
      </c>
      <c r="CM35" s="371">
        <f>CJ35*Q35*References!$D$4</f>
        <v>0</v>
      </c>
      <c r="CN35" s="322">
        <f t="shared" si="6"/>
        <v>0</v>
      </c>
      <c r="CQ35" s="1606" t="str">
        <f>IF('In Unit HVAC Worksheet'!Q69="","",'In Unit HVAC Worksheet'!Q69)</f>
        <v/>
      </c>
    </row>
    <row r="36" spans="1:95" ht="14.15" customHeight="1" thickBot="1">
      <c r="A36">
        <f t="shared" si="7"/>
        <v>10</v>
      </c>
      <c r="B36" s="220" t="str">
        <f>IF(OR('In Unit HVAC Worksheet'!C70="Ducted ccASHP",'In Unit HVAC Worksheet'!C70="Ductless Mini Split - ccASHP",'In Unit HVAC Worksheet'!C70="Ductless Multi Split - ccASHP"),"Cold Climate","")</f>
        <v/>
      </c>
      <c r="C36" s="315" t="str">
        <f>IF(References!$C$21=TRUE,"Whole House",IF(RIGHT(References!$H$37,2)="HP","Retrofit","New"))</f>
        <v>Whole House</v>
      </c>
      <c r="D36" s="389">
        <f>IF(References!$C$21&lt;&gt;TRUE,"",IF(OR(References!$A$21=2),1,IF(AND('In Unit HVAC Worksheet'!S70&lt;&gt;"Central Air Conditioner",'In Unit HVAC Worksheet'!S70&lt;&gt;"Ducted Air Source HP",LEFT(H36,3)="Oil"),2,3)))</f>
        <v>3</v>
      </c>
      <c r="E36" s="315" t="str">
        <f>C36&amp;" "&amp;'In Unit HVAC Worksheet'!C70&amp;" "&amp;'In Unit HVAC Worksheet'!O70&amp;D36</f>
        <v>Whole House  3</v>
      </c>
      <c r="G36" s="220" t="str">
        <f>IF(OR(References!$A$21=2),"New Construction",IF('In Unit HVAC Worksheet'!S70="","None",'In Unit HVAC Worksheet'!S70))</f>
        <v>None</v>
      </c>
      <c r="H36" s="221" t="str">
        <f>IF(OR(References!$A$21=2),"New Construction",IF('In Unit HVAC Worksheet'!T70="","None",'In Unit HVAC Worksheet'!T70))</f>
        <v>None</v>
      </c>
      <c r="I36" s="220">
        <f>IF(G36=0,0,IF(OR('In Unit HVAC Worksheet'!V70="",'In Unit HVAC Worksheet'!S70=""),INDEX(References!$L$9:$L$16,MATCH(G36,References!$K$9:$K$16,0)),'In Unit HVAC Worksheet'!V70))</f>
        <v>12.3</v>
      </c>
      <c r="J36" s="221">
        <f>IF(G36=0,0,IF(OR('In Unit HVAC Worksheet'!U70="",'In Unit HVAC Worksheet'!S70=""),INDEX(References!$M$9:$M$16,MATCH(G36,References!$K$9:$K$16,0)),'In Unit HVAC Worksheet'!U70))</f>
        <v>15</v>
      </c>
      <c r="K36" s="221">
        <f>IF(H36="Electric ASHP",IF('In Unit HVAC Worksheet'!W70&lt;8.5,References!$M$42,References!$M$43),0)</f>
        <v>0</v>
      </c>
      <c r="L36" s="220">
        <f>IF(H36=0,0,IF('In Unit HVAC Worksheet'!W70="",INDEX(References!$L$20:$L$36,MATCH(H36,References!$H$20:$H$36,0)),IF(H36="Electric ASHP",'In Unit HVAC Worksheet'!W70*K36/3.412,'In Unit HVAC Worksheet'!W70)))</f>
        <v>2.011723329425557</v>
      </c>
      <c r="M36" s="221">
        <f>IF(H36=0,0,IF('In Unit HVAC Worksheet'!X70="",INDEX(References!$M$20:$M$36,MATCH(H36,References!$H$20:$H$36,0)),'In Unit HVAC Worksheet'!X70))</f>
        <v>0.81715000000000004</v>
      </c>
      <c r="N36" s="1106">
        <f>IF(H36=0,0,INDEX(References!$I$20:$I$36,MATCH(H36,References!$H$20:$H$36,0)))</f>
        <v>0.03</v>
      </c>
      <c r="O36" s="1106">
        <f>IF(H36=0,0,INDEX(References!$J$20:$J$36,MATCH(H36,References!$H$20:$H$36,0)))</f>
        <v>0.97</v>
      </c>
      <c r="P36" s="315">
        <f>IF(H36=0,0,INDEX(References!$N$20:$N$36,MATCH(H36,References!$H$20:$H$36,0)))</f>
        <v>1</v>
      </c>
      <c r="Q36" s="2">
        <f>IF(H36=0,0,INDEX(References!$O$20:$O$36,MATCH(H36,References!$H$20:$H$36,0)))</f>
        <v>7.3959999999999998E-2</v>
      </c>
      <c r="S36" s="315" t="str">
        <f>IF('In Unit HVAC Worksheet'!G70="","",'In Unit HVAC Worksheet'!G70)</f>
        <v/>
      </c>
      <c r="T36" s="315" t="str">
        <f>IF('In Unit HVAC Worksheet'!I70="","",'In Unit HVAC Worksheet'!I70)</f>
        <v/>
      </c>
      <c r="U36" s="315" t="str">
        <f>IF('In Unit HVAC Worksheet'!H70="","",'In Unit HVAC Worksheet'!H70)</f>
        <v/>
      </c>
      <c r="V36" s="153" t="str">
        <f>IF('In Unit HVAC Worksheet'!L70="","",IF('In Unit HVAC Worksheet'!K70=References!$G$60,'In Unit HVAC Worksheet'!L70,ROUND(1.2476*'In Unit HVAC Worksheet'!L70-2.8674,1)))</f>
        <v/>
      </c>
      <c r="W36" s="153" t="str">
        <f>IF('In Unit HVAC Worksheet'!M70="","",IF('In Unit HVAC Worksheet'!K70=References!$G$60,'In Unit HVAC Worksheet'!M70,ROUND(1.0578*'In Unit HVAC Worksheet'!M70-0.1769,1)))</f>
        <v/>
      </c>
      <c r="X36" s="153" t="str">
        <f>IF('In Unit HVAC Worksheet'!N70="","",IF('In Unit HVAC Worksheet'!K70=References!$G$60,'In Unit HVAC Worksheet'!N70,ROUND(1.1702*'In Unit HVAC Worksheet'!N70+0.07,1)))</f>
        <v/>
      </c>
      <c r="Y36" s="2" t="str">
        <f>IF('In Unit HVAC Worksheet'!C70="","",INDEX(References!$T$7:$T$19,MATCH('In Unit HVAC Worksheet'!$C70,References!$S$7:$S$19,0)))</f>
        <v/>
      </c>
      <c r="Z36" s="2" t="str">
        <f>IF('In Unit HVAC Worksheet'!C70="","",INDEX(References!$U$7:$U$19,MATCH('In Unit HVAC Worksheet'!$C70,References!$S$7:$S$19,0)))</f>
        <v/>
      </c>
      <c r="AA36" s="2" t="str">
        <f>IF('In Unit HVAC Worksheet'!C70="","",INDEX(References!$V$7:$V$19,MATCH('In Unit HVAC Worksheet'!$C70,References!$S$7:$S$19,0)))</f>
        <v/>
      </c>
      <c r="AB36" s="2" t="str">
        <f>IF('In Unit HVAC Worksheet'!C70="","",INDEX(References!$Y$7:$Y$19,MATCH('In Unit HVAC Worksheet'!$C70,References!$S$7:$S$19,0)))</f>
        <v/>
      </c>
      <c r="AC36" s="2" t="str">
        <f>IF('In Unit HVAC Worksheet'!C70="","",INDEX(References!$Z$7:$Z$19,MATCH('In Unit HVAC Worksheet'!$C70,References!$S$7:$S$19,0)))</f>
        <v/>
      </c>
      <c r="AD36" s="2" t="str">
        <f>IF('In Unit HVAC Worksheet'!C70="","",INDEX(References!$W$7:$W$19,MATCH('In Unit HVAC Worksheet'!$C70,References!$S$7:$S$19,0)))</f>
        <v/>
      </c>
      <c r="AE36" s="2" t="str">
        <f>IF('In Unit HVAC Worksheet'!C70="","",INDEX(References!$X$7:$X$19,MATCH('In Unit HVAC Worksheet'!$C70,References!$S$7:$S$19,0)))</f>
        <v/>
      </c>
      <c r="AF36" s="2" t="str">
        <f t="shared" si="0"/>
        <v/>
      </c>
      <c r="AG36" s="2" t="str">
        <f t="shared" si="1"/>
        <v/>
      </c>
      <c r="AH36" s="2" t="str">
        <f>IF('In Unit HVAC Worksheet'!C70="","",IF(AD36=0,"",IF(AND(X36&lt;AD36,X36&lt;AE36),"DNQ",IF(X36&gt;=AE36,"Tier II","Tier I"))))</f>
        <v/>
      </c>
      <c r="AI36" s="148" t="str">
        <f>IF(OR(AF36="DNQ",AG36="DNQ",AH36="DNQ",'In Unit HVAC Worksheet'!AB91="FAIL",AY36="DNQ"),"DNQ",IF(OR(AF36="Tier I",AH36="Tier I"),"Tier I",IF(OR(AF36="Tier II",AH36="Tier II"),"Tier II","Tier III")))</f>
        <v>Tier III</v>
      </c>
      <c r="AJ36" s="649" t="str">
        <f>References!$C$18</f>
        <v/>
      </c>
      <c r="AK36" s="251" t="str">
        <f>IF('In Unit HVAC Worksheet'!C70="","",IF(AI36="DNQ","DNQ",INDEX(IF(AJ36="Income Eligible ",References!$AK$3:$AK$36,References!$AJ$3:$AJ$36),MATCH(E36,References!$AE$3:$AE$36,0))*('In Unit HVAC Worksheet'!H70/12000)))</f>
        <v/>
      </c>
      <c r="AL36" s="650" t="str">
        <f>IF('In Unit HVAC Worksheet'!C70="","",IF(AK36="DNQ",0,INDEX(References!$AL$3:$AL$36,MATCH(Qualifying_Index!E36,References!$AE$3:$AE$36,0))))</f>
        <v/>
      </c>
      <c r="AM36" s="649">
        <f t="shared" si="2"/>
        <v>1</v>
      </c>
      <c r="AN36" s="650">
        <f>IF(COUNTIF(AM27:AM35,1),0,AL36)</f>
        <v>0</v>
      </c>
      <c r="AP36" s="1107">
        <f>'In Unit HVAC Worksheet'!Y91</f>
        <v>0</v>
      </c>
      <c r="AQ36" s="1107">
        <f>'In Unit HVAC Worksheet'!AA91</f>
        <v>0</v>
      </c>
      <c r="AR36" s="2">
        <f>(('In Unit HVAC Worksheet'!G70*0.65))</f>
        <v>0</v>
      </c>
      <c r="AS36" s="2">
        <f>(('In Unit HVAC Worksheet'!G70*1.35))</f>
        <v>0</v>
      </c>
      <c r="AT36" s="2">
        <f>IF(AND(References!$C$21=TRUE,References!$H$4=FALSE),('In Unit HVAC Worksheet'!AA91*0.9),'In Unit HVAC Worksheet'!I70*0.65)</f>
        <v>0</v>
      </c>
      <c r="AU36" s="2">
        <f>IF(AND(References!$C$21=TRUE,References!$H$4=FALSE),('In Unit HVAC Worksheet'!AA91*1.2),'In Unit HVAC Worksheet'!I70*1.35)</f>
        <v>0</v>
      </c>
      <c r="AV36" s="2" t="str">
        <f>IF(AND('In Unit HVAC Worksheet'!Y91&gt;=Qualifying_Index!AR36,'In Unit HVAC Worksheet'!Y91&lt;=Qualifying_Index!AS36),"PASS","FAIL")</f>
        <v>PASS</v>
      </c>
      <c r="AW36" s="1120" t="str">
        <f>IF(OR(AT36=0,AU36=0),"FAIL",IF(AND(IF(References!$C$21=TRUE,'In Unit HVAC Worksheet'!I70,'In Unit HVAC Worksheet'!AA91)&gt;=AT36,IF(References!$C$21=TRUE,'In Unit HVAC Worksheet'!I70,'In Unit HVAC Worksheet'!AA91)&lt;=AU36),"PASS","FAIL"))</f>
        <v>FAIL</v>
      </c>
      <c r="AX36" s="1120" t="str">
        <f>IF(References!$C$21=TRUE,IF(AND('In Unit HVAC Worksheet'!Y91="",'In Unit HVAC Worksheet'!AA91=""),"Missing Info",IF(AW36="PASS","PASS","FAIL")),IF(AND(OR('In Unit HVAC Worksheet'!Y91="",'In Unit HVAC Worksheet'!AA91=""),OR(LEFT('In Unit HVAC Worksheet'!C70,6)="Ducted",B36="Cold Climate")),"Missing Info",IF(OR(AV36="PASS",AW36="PASS",BU36="Ductless HP",BU36="PTHP"),"PASS","FAIL")))</f>
        <v>Missing Info</v>
      </c>
      <c r="AY36" t="str">
        <f>IF(B36="Cold Climate",IF(BU36="ccASHP",IF(OR(AZ36=References!$A$120,AZ36=References!$A$121,AZ36=References!$A$122,AZ36=References!$A$123,AZ36=References!$A$124),"","DNQ"),IF(C36="Whole House",IF(OR(AZ36=References!$A$121,AZ36=References!$A$122,AZ36=References!$A$123,AZ36=References!$A$124),"","DNQ"),"")),"")</f>
        <v/>
      </c>
      <c r="AZ36" s="1114" t="str">
        <f>IF(B36="","",IF(B36="Cold Climate",_xlfn.IFNA(INDEX('Integrated Controls'!$B$17:$B$18,MATCH('In Unit HVAC Worksheet'!R91,'Integrated Controls'!$A$17:$A$18,0)),"Separate Control"),""))</f>
        <v/>
      </c>
      <c r="BA36" s="585" t="str">
        <f t="shared" si="3"/>
        <v/>
      </c>
      <c r="BB36" s="1083" t="str">
        <f>IF(AZ36="","",IF(AZ36="No Fossil Fuel Heater",1,IF(AZ36="Integrated/Modulating Control",IF(ROUND(BA36,1)&gt;1,1,ROUND(BA36,1)),IF(LEFT('In Unit HVAC Worksheet'!C70,6)="Ducted",0.9,IF(BA36&gt;=0.65,0.7,IF(BA36&gt;=0.55,0.6,IF(BA36&gt;=0.45,0.5,IF(BA36&gt;=0.35,0.4,0.3))))))))</f>
        <v/>
      </c>
      <c r="BC36" s="702" t="str">
        <f>IF(B36="","",IF(B36="Cold Climate",'In Unit HVAC Worksheet'!C70&amp;" "&amp;AZ36&amp;" "&amp;BB36,""))</f>
        <v/>
      </c>
      <c r="BD36" s="112" t="str">
        <f>IF($BC36="","",INDEX(References!$AH$63:$AH$118,MATCH($BC36,References!$AF$63:$AF$118,0)))</f>
        <v/>
      </c>
      <c r="BE36" s="112" t="str">
        <f>IF($BC36="","",INDEX(References!$AI$63:$AI$118,MATCH($BC36,References!$AF$63:$AF$118,0)))</f>
        <v/>
      </c>
      <c r="BF36" s="112" t="str">
        <f>IF($BC36="","",INDEX(References!$AJ$63:$AJ$118,MATCH($BC36,References!$AF$63:$AF$118,0)))</f>
        <v/>
      </c>
      <c r="BG36" s="112" t="str">
        <f>IF($BC36="","",INDEX(References!$AK$63:$AK$118,MATCH($BC36,References!$AF$63:$AF$118,0)))</f>
        <v/>
      </c>
      <c r="BH36" s="1115" t="str">
        <f t="shared" si="4"/>
        <v/>
      </c>
      <c r="BI36" s="1115" t="str">
        <f>IF(BC36="","",BD36+BE36*X36/References!$E$12)</f>
        <v/>
      </c>
      <c r="BJ36" s="112" t="str">
        <f>IF($BC36="","",INDEX(References!$AL$63:$AL$118,MATCH($BC36,References!$AF$63:$AF$118,0)))</f>
        <v/>
      </c>
      <c r="BK36" s="112" t="str">
        <f>IF($BC36="","",INDEX(References!$AM$63:$AM$118,MATCH($BC36,References!$AF$63:$AF$118,0)))</f>
        <v/>
      </c>
      <c r="BM36" s="2" t="str">
        <f>IF(OR('In Unit HVAC Worksheet'!G70="",'In Unit HVAC Worksheet'!J70="",'In Unit HVAC Worksheet'!M70="",'In Unit HVAC Worksheet'!N70="",'In Unit HVAC Worksheet'!C91="",'In Unit HVAC Worksheet'!E91="",'In Unit HVAC Worksheet'!F91="",'In Unit HVAC Worksheet'!I91="",'In Unit HVAC Worksheet'!K91="",'In Unit HVAC Worksheet'!M91=""),"Missing Info","")</f>
        <v>Missing Info</v>
      </c>
      <c r="BN36" s="2" t="str">
        <f>IF(AND(BV36=1,'In Unit HVAC Worksheet'!N70=""),"Missing Info",IF(BU36="PTHP",BM36,IF(OR('In Unit HVAC Worksheet'!G70="",'In Unit HVAC Worksheet'!J70="",'In Unit HVAC Worksheet'!L70="",'In Unit HVAC Worksheet'!M70="",'In Unit HVAC Worksheet'!C91="",'In Unit HVAC Worksheet'!E91="",'In Unit HVAC Worksheet'!F91="",'In Unit HVAC Worksheet'!K91="",'In Unit HVAC Worksheet'!M91="",AX36="Missing Info"),"Missing Info","")))</f>
        <v>Missing Info</v>
      </c>
      <c r="BO36" s="2" t="str">
        <f>IF(AND(BV36=1,'In Unit HVAC Worksheet'!N70=""),"Missing Info",IF(BU36="PTHP",BM36,IF(OR('In Unit HVAC Worksheet'!C91="",'In Unit HVAC Worksheet'!E91="",'In Unit HVAC Worksheet'!F91="",'In Unit HVAC Worksheet'!K91="",'In Unit HVAC Worksheet'!M91="",'In Unit HVAC Worksheet'!G70="",'In Unit HVAC Worksheet'!J70="",'In Unit HVAC Worksheet'!L70=""),"Missing Info","")))</f>
        <v>Missing Info</v>
      </c>
      <c r="BP36" s="26" t="str">
        <f>IF(OR('In Unit HVAC Worksheet'!Z70="",'In Unit HVAC Worksheet'!M70=""),"",IF(OR('In Unit HVAC Worksheet'!C70="Ducted ASHP",'In Unit HVAC Worksheet'!C70="Ducted ccASHP"),'In Unit HVAC Worksheet'!G70/12000*(12/'In Unit HVAC Worksheet'!M70)*kW_CA,0))</f>
        <v/>
      </c>
      <c r="BQ36" s="26" t="str">
        <f>IF('In Unit HVAC Worksheet'!M70="","",IF(OR('In Unit HVAC Worksheet'!Z70=""),"",'In Unit HVAC Worksheet'!G70*(12/'In Unit HVAC Worksheet'!M70)*kW_RS))</f>
        <v/>
      </c>
      <c r="BR36" s="27" t="str">
        <f>IF(OR('In Unit HVAC Worksheet'!Z70="",'In Unit HVAC Worksheet'!L70="",'In Unit HVAC Worksheet'!M70=""),"",IF(OR('In Unit HVAC Worksheet'!C70="Ducted ASHP",'In Unit HVAC Worksheet'!C70="Ducted ccASHP"),'In Unit HVAC Worksheet'!G70/12000*(12/'In Unit HVAC Worksheet'!L70*FLH_Cool)*QI_kWh,0))</f>
        <v/>
      </c>
      <c r="BS36" s="27" t="str">
        <f>IF(OR('In Unit HVAC Worksheet'!Z70="",'In Unit HVAC Worksheet'!L70="",'In Unit HVAC Worksheet'!M70=""),"",IF(OR('In Unit HVAC Worksheet'!C70="Ducted ASHP",'In Unit HVAC Worksheet'!C70="Ducted ccASHP"),'In Unit HVAC Worksheet'!I70/12000*(12/'In Unit HVAC Worksheet'!N70*FLH_Heat)*QI_kWh,0))</f>
        <v/>
      </c>
      <c r="BU36" s="2" t="str">
        <f>IF('In Unit HVAC Worksheet'!C70="","",INDEX(References!$AB$7:$AB$19,MATCH('In Unit HVAC Worksheet'!C70,Equipment_Type,0)))</f>
        <v/>
      </c>
      <c r="BV36" s="2" t="str">
        <f>IF('In Unit HVAC Worksheet'!C70="","",INDEX(References!$AA$7:$AA$19,MATCH('In Unit HVAC Worksheet'!C70,Equipment_Type,0)))</f>
        <v/>
      </c>
      <c r="BX36" s="2">
        <f>IF(References!$H$14="",0,IF(B36&lt;&gt;"",IF(References!$A$21=1,IF(References!$C$27=1,References!$C$32,References!$C$34),IF(References!$C$27=1,FLH_Cool,References!$B$34)),IF(References!$C$27=1,References!$D$32,References!$D$34)))</f>
        <v>701</v>
      </c>
      <c r="BY36" s="2">
        <f>IF(References!$H$14="",0,IF(B36&lt;&gt;"",IF(References!$A$21=1,IF(References!$C$27=1,References!$C$33,References!$C$35),IF(References!$C$27=1,FLH_Heat,References!$B$35)),IF(References!$C$27=1,References!$D$33,References!$D$35)))</f>
        <v>642</v>
      </c>
      <c r="CA36" s="321">
        <f>IF(OR($AX36="FAIL",'In Unit HVAC Worksheet'!G70="",AX36="Missing Info",AI36="DNQ"),0,IF(B36="Cold Climate",((AP36/1000)*((1/I36)-(1/W36))*BJ36)+SUM(BP36:BQ36),((S36/12000)*((12/I36)-(12/W36)))+SUM(BP36:BQ36)))</f>
        <v>0</v>
      </c>
      <c r="CB36" s="26">
        <f>IF(OR($AX36="FAIL",'In Unit HVAC Worksheet'!G70="",AX36="Missing Info",AI36="DNQ"),0,IF(B36="Cold Climate",((AP36/1000)*((1/J36)-(1/BH36))*BX36*BJ36)+BR36,IF(BU36="PTHP",((S36/12000)*(12/I36-12/W36)*BX36),((('In Unit HVAC Worksheet'!G70/12000)*((12/J36)-(12/V36))*BX36))+BR36)))</f>
        <v>0</v>
      </c>
      <c r="CC36" s="26">
        <f>IF(OR($AX36="FAIL",'In Unit HVAC Worksheet'!G70="",AX36="Missing Info",AI36="DNQ"),0,CB36*References!$E$12/1000)</f>
        <v>0</v>
      </c>
      <c r="CD36" s="322">
        <f>CB36*References!$A$12</f>
        <v>0</v>
      </c>
      <c r="CE36" s="321">
        <f>IF(OR($AX36="FAIL",'In Unit HVAC Worksheet'!I70="",AX36="Missing Info",AI36="DNQ"),0,IF(N36=0,SUM(BP36:BQ36),IF(B36="Cold Climate",((AQ36/1000)*((1/L36)-(1/(X36/3.412)))*(1/References!$E$12)+SUM(BP36:BQ36))*N36,IF(BU36="PTHP",((U36/12000)*((1/(L36))-(1/(X36)))+SUM(BP36:BQ36))*N36*(1/References!$E$12),((U36/12000)*((1/(L36))-(1/(X36/3.412)))+SUM(BP36:BQ36))*N36))))</f>
        <v>0</v>
      </c>
      <c r="CF36" s="300">
        <f>IF(OR($AX36="FAIL",'In Unit HVAC Worksheet'!I70="",AX36="Missing Info",AI36="DNQ"),0,IF(N36=0,SUM(BS36),IF(B36="Cold Climate",((AQ36/1000)*((1/L36)-(1/BI36))*(1/References!$E$12)*BY36*BK36*N36+BS36),IF(BU36="PTHP",((U36/12000)*((12/(L36))-(12/X36))*(1/References!$E$12)*BY36*N36+BS36),((U36/12000)*((12/(L36*References!$E$12))-(12/X36))*BY36*N36+BS36)))))</f>
        <v>0</v>
      </c>
      <c r="CG36" s="26">
        <f>IF(OR($AX36="FAIL",'In Unit HVAC Worksheet'!I70="",AX36="Missing Info",AI36="DNQ"),0,IF(B36="Cold Climate",-((AQ36/1000)*(1/(X36/3.412))*(1/References!$E$12))*O36,IF(BU36="PTHP",-((U36/12000)*(1/(X36)))*O36*(1/References!$E$12),-((U36/12000)*(1/(X36/3.412)))*O36)))</f>
        <v>0</v>
      </c>
      <c r="CH36" s="299">
        <f>IF(OR($AX36="FAIL",'In Unit HVAC Worksheet'!I70="",AX36="Missing Info",AI36="DNQ"),0,IF(B36="Cold Climate",((AQ36/1000)*(1/BI36)*(1/References!$E$12)*BY36*BK36)*O36,IF(BU36="PTHP",(((U36/12000)*(12/X36)*BY36/References!$E$12)-(U36*BY36/1000000)*P36)*O36,(((U36/12000)*(12/X36)*BY36)-(U36*BY36/1000000)*P36)*O36)))</f>
        <v>0</v>
      </c>
      <c r="CI36" s="1119">
        <f>IF(OR($AX36="FAIL",AX36="Missing Info",'In Unit HVAC Worksheet'!C70=""),0,((CF36-CH36)*References!$E$12/1000))</f>
        <v>0</v>
      </c>
      <c r="CJ36" s="27">
        <f>IF(OR($AX36="FAIL",AX36="Missing Info",'In Unit HVAC Worksheet'!C70=""),0,IF(O36&lt;&gt;0,IF(B36="Cold Climate",((AQ36*BY36/M36)/1000000)*O36,((U36*BY36/M36)/1000000)*O36*P36),0))</f>
        <v>0</v>
      </c>
      <c r="CK36" s="323">
        <f t="shared" si="5"/>
        <v>0</v>
      </c>
      <c r="CL36" s="372">
        <f>(CF36-CH36)*References!$A$12</f>
        <v>0</v>
      </c>
      <c r="CM36" s="372">
        <f>CJ36*Q36*References!$D$4</f>
        <v>0</v>
      </c>
      <c r="CN36" s="324">
        <f t="shared" si="6"/>
        <v>0</v>
      </c>
      <c r="CQ36" s="1606" t="str">
        <f>IF('In Unit HVAC Worksheet'!Q70="","",'In Unit HVAC Worksheet'!Q70)</f>
        <v/>
      </c>
    </row>
    <row r="37" spans="1:95" ht="14.15" customHeight="1" thickBot="1">
      <c r="CQ37" s="1607" t="str">
        <f>IF('In Unit HVAC Worksheet'!Q71="","",'In Unit HVAC Worksheet'!Q71)</f>
        <v/>
      </c>
    </row>
    <row r="38" spans="1:95" ht="14.15" customHeight="1">
      <c r="BG38" s="301"/>
      <c r="BH38" s="301"/>
    </row>
    <row r="39" spans="1:95" ht="14.15" customHeight="1">
      <c r="A39" t="s">
        <v>892</v>
      </c>
      <c r="J39" s="107"/>
      <c r="K39" s="107"/>
      <c r="L39" s="107"/>
      <c r="AJ39" s="148"/>
      <c r="AK39" s="148"/>
    </row>
    <row r="40" spans="1:95" ht="14.15" customHeight="1">
      <c r="B40" s="103"/>
      <c r="C40" s="103"/>
      <c r="D40" s="103"/>
      <c r="E40" s="103"/>
      <c r="F40" s="381"/>
      <c r="G40" s="114"/>
      <c r="H40" s="103"/>
      <c r="I40" s="103"/>
      <c r="J40" s="103"/>
      <c r="K40" s="114"/>
      <c r="L40" s="103"/>
      <c r="M40" s="103"/>
      <c r="N40" s="103"/>
      <c r="O40" s="103"/>
      <c r="P40" s="2589"/>
      <c r="Q40" s="2590"/>
      <c r="R40" s="2591"/>
      <c r="S40" s="2589"/>
      <c r="T40" s="2590"/>
      <c r="U40" s="2591"/>
      <c r="V40" s="103"/>
      <c r="W40" s="103"/>
    </row>
    <row r="41" spans="1:95" ht="14.15" customHeight="1">
      <c r="A41" t="s">
        <v>256</v>
      </c>
      <c r="B41" s="103" t="s">
        <v>655</v>
      </c>
      <c r="C41" s="103" t="s">
        <v>893</v>
      </c>
      <c r="D41" s="103"/>
      <c r="E41" s="103" t="s">
        <v>894</v>
      </c>
      <c r="F41" s="381" t="s">
        <v>895</v>
      </c>
      <c r="G41" s="103" t="s">
        <v>896</v>
      </c>
      <c r="H41" s="103" t="s">
        <v>2624</v>
      </c>
      <c r="I41" s="103" t="s">
        <v>12</v>
      </c>
      <c r="J41" s="103" t="s">
        <v>14</v>
      </c>
      <c r="K41" s="103" t="s">
        <v>836</v>
      </c>
      <c r="L41" s="103" t="s">
        <v>897</v>
      </c>
      <c r="M41" s="103" t="s">
        <v>4698</v>
      </c>
      <c r="N41" s="103" t="s">
        <v>4699</v>
      </c>
      <c r="O41" s="103" t="s">
        <v>898</v>
      </c>
      <c r="P41" s="103" t="s">
        <v>899</v>
      </c>
      <c r="Q41" s="103" t="s">
        <v>903</v>
      </c>
      <c r="R41" s="1116"/>
      <c r="S41" s="2589"/>
      <c r="T41" s="2590"/>
      <c r="U41" s="2591"/>
      <c r="V41" s="103" t="s">
        <v>216</v>
      </c>
      <c r="W41" s="103" t="s">
        <v>2631</v>
      </c>
    </row>
    <row r="42" spans="1:95" ht="14.15" customHeight="1">
      <c r="A42">
        <v>1</v>
      </c>
      <c r="B42" s="314" t="str">
        <f>'Smart T-Stats'!D21</f>
        <v>Google Nest Learning Thermostat</v>
      </c>
      <c r="C42" s="2582" t="str">
        <f>IF(B42&lt;&gt;0,INDEX(References!C94:D130,MATCH(B42,References!C94:C130,0),2),"")</f>
        <v>Learning</v>
      </c>
      <c r="D42" s="2583"/>
      <c r="E42" s="379">
        <f>'Smart T-Stats'!G21</f>
        <v>1</v>
      </c>
      <c r="F42" s="314">
        <f>IF(B42&lt;&gt;0,IF(E42&lt;&gt;0,INDEX('In Unit HVAC Worksheet'!$B$61:$I$70,MATCH('Smart T-Stats'!G21,'In Unit HVAC Worksheet'!$B$61:$B$70,0),6),36000),0)</f>
        <v>12000</v>
      </c>
      <c r="G42" s="314">
        <f>IF(B42&lt;&gt;0,IF(E42&lt;&gt;0,INDEX('In Unit HVAC Worksheet'!$B$61:$I$70,MATCH('Smart T-Stats'!G21,'In Unit HVAC Worksheet'!$B$61:$B$70,0),8),36000),0)</f>
        <v>13000</v>
      </c>
      <c r="H42" s="106">
        <f>IF(B42&lt;&gt;0,IF(SUM('In Unit HVAC Worksheet'!$F$61:$F$70)=0,0,IF(E42&lt;&gt;0,'Smart T-Stats'!H21,0)),0)</f>
        <v>15</v>
      </c>
      <c r="I42" s="106" t="str">
        <f>IF(B42&lt;&gt;0,IF(E42&lt;&gt;0,INDEX('In Unit HVAC Worksheet'!$B$61:$N$70,MATCH('Smart T-Stats'!G21,'In Unit HVAC Worksheet'!$B$61:$B$70,0),10),References!$M$9),0)</f>
        <v>SEER2/EER2/HSPF2</v>
      </c>
      <c r="J42" s="106">
        <f>IF(B42&lt;&gt;0,IF(E42&lt;&gt;0,INDEX('In Unit HVAC Worksheet'!$B$61:$N$70,MATCH('Smart T-Stats'!G21,'In Unit HVAC Worksheet'!$B$61:$B$70,0),12),References!$M$29),0)</f>
        <v>12</v>
      </c>
      <c r="K42" s="382">
        <f t="shared" ref="K42:K51" si="8">BX27</f>
        <v>675</v>
      </c>
      <c r="L42" s="382">
        <f t="shared" ref="L42:L51" si="9">BY27</f>
        <v>1265</v>
      </c>
      <c r="M42" s="382">
        <f>IF(D42&lt;&gt;"",IF(D42="Learning",References!$D$47,References!$D$49),0)</f>
        <v>0</v>
      </c>
      <c r="N42" s="382">
        <f>IF(D42&lt;&gt;"",IF(D42="Learning",References!$D$48,References!$D$50),0)</f>
        <v>0</v>
      </c>
      <c r="O42" s="380">
        <f>IF(C42&lt;&gt;"",IF(H42=0,0,INDEX(References!$E$51:$E$53,MATCH('Smart T-Stats'!K21,References!$C$51:$C$53,0))),0)</f>
        <v>139.53</v>
      </c>
      <c r="P42" s="380">
        <f>O42*References!$E$12/1000</f>
        <v>0.47607635999999998</v>
      </c>
      <c r="Q42" s="106">
        <f>O42*References!$A$12</f>
        <v>164.408199</v>
      </c>
      <c r="R42" s="251"/>
      <c r="S42" s="2600" t="str">
        <f>IF('Smart T-Stats'!K21="","",IF(LEFT('Smart T-Stats'!K21)="HP",'Smart T-Stats'!K21,IF(RIGHT('Smart T-Stats'!K21,9)="t Cooling",IF(C42="Learning","Learning for Cooling","Connected for Cooling"),IF(C42="Learning","Learning for Heating and Cooling","Connected for Heating and Cooling"))))</f>
        <v>Learning for Cooling</v>
      </c>
      <c r="T42" s="2601"/>
      <c r="U42" s="2602"/>
      <c r="V42" s="106">
        <f>IF(S42="","",INDEX(References!$AJ$33:$AJ$45,MATCH(S42,References!$AE$33:$AE$47,0)))</f>
        <v>130</v>
      </c>
      <c r="W42" s="106">
        <f>IF(S42="","",V42*H42)</f>
        <v>1950</v>
      </c>
    </row>
    <row r="43" spans="1:95" ht="14.15" customHeight="1">
      <c r="A43">
        <v>2</v>
      </c>
      <c r="B43" s="314" t="str">
        <f>'Smart T-Stats'!D22</f>
        <v>Google Nest Learning Thermostat</v>
      </c>
      <c r="C43" s="2582" t="str">
        <f>IF(B43&lt;&gt;0,INDEX(References!C95:D128,MATCH(B43,References!C95:C128,0),2),"")</f>
        <v>Learning</v>
      </c>
      <c r="D43" s="2583"/>
      <c r="E43" s="379">
        <f>'Smart T-Stats'!G22</f>
        <v>2</v>
      </c>
      <c r="F43" s="314">
        <f>IF(B43&lt;&gt;0,IF(E43&lt;&gt;0,INDEX('In Unit HVAC Worksheet'!$B$61:$I$70,MATCH('Smart T-Stats'!G22,'In Unit HVAC Worksheet'!$B$61:$B$70,0),6),36000),0)</f>
        <v>14000</v>
      </c>
      <c r="G43" s="314">
        <f>IF(B43&lt;&gt;0,IF(E43&lt;&gt;0,INDEX('In Unit HVAC Worksheet'!$B$61:$I$70,MATCH('Smart T-Stats'!G22,'In Unit HVAC Worksheet'!$B$61:$B$70,0),8),36000),0)</f>
        <v>15000</v>
      </c>
      <c r="H43" s="106">
        <f>IF(B43&lt;&gt;0,IF(SUM('In Unit HVAC Worksheet'!$F$61:$F$70)=0,0,IF(E43&lt;&gt;0,'Smart T-Stats'!H22,0)),0)</f>
        <v>15</v>
      </c>
      <c r="I43" s="106" t="str">
        <f>IF(B43&lt;&gt;0,IF(E43&lt;&gt;0,INDEX('In Unit HVAC Worksheet'!$B$61:$N$70,MATCH('Smart T-Stats'!G22,'In Unit HVAC Worksheet'!$B$61:$B$70,0),10),References!$M$9),0)</f>
        <v>SEER2/EER2/HSPF2</v>
      </c>
      <c r="J43" s="106">
        <f>IF(B43&lt;&gt;0,IF(E43&lt;&gt;0,INDEX('In Unit HVAC Worksheet'!$B$61:$N$70,MATCH('Smart T-Stats'!G22,'In Unit HVAC Worksheet'!$B$61:$B$70,0),12),References!$M$29),0)</f>
        <v>17</v>
      </c>
      <c r="K43" s="382">
        <f t="shared" si="8"/>
        <v>675</v>
      </c>
      <c r="L43" s="382">
        <f t="shared" si="9"/>
        <v>1265</v>
      </c>
      <c r="M43" s="382">
        <f>IF(D43&lt;&gt;"",IF(D43="Learning",References!$D$47,References!$D$49),0)</f>
        <v>0</v>
      </c>
      <c r="N43" s="382">
        <f>IF(D43&lt;&gt;"",IF(D43="Learning",References!$D$48,References!$D$50),0)</f>
        <v>0</v>
      </c>
      <c r="O43" s="380">
        <f>IF(C43&lt;&gt;"",IF(H43=0,0,INDEX(References!$E$51:$E$53,MATCH('Smart T-Stats'!K22,References!$C$51:$C$53,0))),0)</f>
        <v>139.53</v>
      </c>
      <c r="P43" s="380">
        <f>O43*References!$E$12/1000</f>
        <v>0.47607635999999998</v>
      </c>
      <c r="Q43" s="106">
        <f>O43*References!$A$12</f>
        <v>164.408199</v>
      </c>
      <c r="R43" s="251"/>
      <c r="S43" s="2600" t="str">
        <f>IF('Smart T-Stats'!K22="","",IF(LEFT('Smart T-Stats'!K22)="HP",'Smart T-Stats'!K22,IF(RIGHT('Smart T-Stats'!K22,9)="t Cooling",IF(C43="Learning","Learning for Cooling","Connected for Cooling"),IF(C43="Learning","Learning for Heating and Cooling","Connected for Heating and Cooling"))))</f>
        <v>Learning for Cooling</v>
      </c>
      <c r="T43" s="2601"/>
      <c r="U43" s="2602"/>
      <c r="V43" s="106">
        <f>IF(S43="","",INDEX(References!$AJ$33:$AJ$45,MATCH(S43,References!$AE$33:$AE$47,0)))</f>
        <v>130</v>
      </c>
      <c r="W43" s="106">
        <f t="shared" ref="W43:W51" si="10">IF(S43="","",V43*H43)</f>
        <v>1950</v>
      </c>
    </row>
    <row r="44" spans="1:95" ht="14.15" customHeight="1">
      <c r="A44">
        <v>3</v>
      </c>
      <c r="B44" s="314">
        <f>'Smart T-Stats'!D23</f>
        <v>0</v>
      </c>
      <c r="C44" s="2582" t="str">
        <f>IF(B44&lt;&gt;0,INDEX(References!C96:D128,MATCH(B44,References!C96:C128,0),2),"")</f>
        <v/>
      </c>
      <c r="D44" s="2583"/>
      <c r="E44" s="379">
        <f>'Smart T-Stats'!G23</f>
        <v>0</v>
      </c>
      <c r="F44" s="314">
        <f>IF(B44&lt;&gt;0,IF(E44&lt;&gt;0,INDEX('In Unit HVAC Worksheet'!$B$61:$I$70,MATCH('Smart T-Stats'!G23,'In Unit HVAC Worksheet'!$B$61:$B$70,0),6),36000),0)</f>
        <v>0</v>
      </c>
      <c r="G44" s="314">
        <f>IF(B44&lt;&gt;0,IF(E44&lt;&gt;0,INDEX('In Unit HVAC Worksheet'!$B$61:$I$70,MATCH('Smart T-Stats'!G23,'In Unit HVAC Worksheet'!$B$61:$B$70,0),8),36000),0)</f>
        <v>0</v>
      </c>
      <c r="H44" s="106">
        <f>IF(B44&lt;&gt;0,IF(SUM('In Unit HVAC Worksheet'!$F$61:$F$70)=0,0,IF(E44&lt;&gt;0,'Smart T-Stats'!H23,0)),0)</f>
        <v>0</v>
      </c>
      <c r="I44" s="106">
        <f>IF(B44&lt;&gt;0,IF(E44&lt;&gt;0,INDEX('In Unit HVAC Worksheet'!$B$61:$N$70,MATCH('Smart T-Stats'!G23,'In Unit HVAC Worksheet'!$B$61:$B$70,0),10),References!$M$9),0)</f>
        <v>0</v>
      </c>
      <c r="J44" s="106">
        <f>IF(B44&lt;&gt;0,IF(E44&lt;&gt;0,INDEX('In Unit HVAC Worksheet'!$B$61:$N$70,MATCH('Smart T-Stats'!G23,'In Unit HVAC Worksheet'!$B$61:$B$70,0),12),References!$M$29),0)</f>
        <v>0</v>
      </c>
      <c r="K44" s="382">
        <f t="shared" si="8"/>
        <v>701</v>
      </c>
      <c r="L44" s="382">
        <f t="shared" si="9"/>
        <v>642</v>
      </c>
      <c r="M44" s="382">
        <f>IF(D44&lt;&gt;"",IF(D44="Learning",References!$D$47,References!$D$49),0)</f>
        <v>0</v>
      </c>
      <c r="N44" s="382">
        <f>IF(D44&lt;&gt;"",IF(D44="Learning",References!$D$48,References!$D$50),0)</f>
        <v>0</v>
      </c>
      <c r="O44" s="380">
        <f>IF(C44&lt;&gt;"",IF(H44=0,0,INDEX(References!$E$51:$E$53,MATCH('Smart T-Stats'!K23,References!$C$51:$C$53,0))),0)</f>
        <v>0</v>
      </c>
      <c r="P44" s="380">
        <f>O44*References!$E$12/1000</f>
        <v>0</v>
      </c>
      <c r="Q44" s="106">
        <f>O44*References!$A$12</f>
        <v>0</v>
      </c>
      <c r="R44" s="251"/>
      <c r="S44" s="2600" t="str">
        <f>IF('Smart T-Stats'!K23="","",IF(LEFT('Smart T-Stats'!K23)="HP",'Smart T-Stats'!K23,IF(RIGHT('Smart T-Stats'!K23,9)="t Cooling",IF(C44="Learning","Learning for Cooling","Connected for Cooling"),IF(C44="Learning","Learning for Heating and Cooling","Connected for Heating and Cooling"))))</f>
        <v/>
      </c>
      <c r="T44" s="2601"/>
      <c r="U44" s="2602"/>
      <c r="V44" s="106" t="str">
        <f>IF(S44="","",INDEX(References!$AJ$33:$AJ$45,MATCH(S44,References!$AE$33:$AE$47,0)))</f>
        <v/>
      </c>
      <c r="W44" s="106" t="str">
        <f t="shared" si="10"/>
        <v/>
      </c>
      <c r="AJ44" s="148"/>
      <c r="AK44" s="148"/>
    </row>
    <row r="45" spans="1:95" ht="14.15" customHeight="1">
      <c r="A45">
        <v>4</v>
      </c>
      <c r="B45" s="314">
        <f>'Smart T-Stats'!D24</f>
        <v>0</v>
      </c>
      <c r="C45" s="2582" t="str">
        <f>IF(B45&lt;&gt;0,INDEX(References!C97:D128,MATCH(B45,References!C97:C128,0),2),"")</f>
        <v/>
      </c>
      <c r="D45" s="2583"/>
      <c r="E45" s="379">
        <f>'Smart T-Stats'!G24</f>
        <v>0</v>
      </c>
      <c r="F45" s="314">
        <f>IF(B45&lt;&gt;0,IF(E45&lt;&gt;0,INDEX('In Unit HVAC Worksheet'!$B$61:$I$70,MATCH('Smart T-Stats'!G24,'In Unit HVAC Worksheet'!$B$61:$B$70,0),6),36000),0)</f>
        <v>0</v>
      </c>
      <c r="G45" s="314">
        <f>IF(B45&lt;&gt;0,IF(E45&lt;&gt;0,INDEX('In Unit HVAC Worksheet'!$B$61:$I$70,MATCH('Smart T-Stats'!G24,'In Unit HVAC Worksheet'!$B$61:$B$70,0),8),36000),0)</f>
        <v>0</v>
      </c>
      <c r="H45" s="106">
        <f>IF(B45&lt;&gt;0,IF(SUM('In Unit HVAC Worksheet'!$F$61:$F$70)=0,0,IF(E45&lt;&gt;0,'Smart T-Stats'!H24,0)),0)</f>
        <v>0</v>
      </c>
      <c r="I45" s="106">
        <f>IF(B45&lt;&gt;0,IF(E45&lt;&gt;0,INDEX('In Unit HVAC Worksheet'!$B$61:$N$70,MATCH('Smart T-Stats'!G24,'In Unit HVAC Worksheet'!$B$61:$B$70,0),10),References!$M$9),0)</f>
        <v>0</v>
      </c>
      <c r="J45" s="106">
        <f>IF(B45&lt;&gt;0,IF(E45&lt;&gt;0,INDEX('In Unit HVAC Worksheet'!$B$61:$N$70,MATCH('Smart T-Stats'!G24,'In Unit HVAC Worksheet'!$B$61:$B$70,0),12),References!$M$29),0)</f>
        <v>0</v>
      </c>
      <c r="K45" s="382">
        <f t="shared" si="8"/>
        <v>701</v>
      </c>
      <c r="L45" s="382">
        <f t="shared" si="9"/>
        <v>642</v>
      </c>
      <c r="M45" s="382">
        <f>IF(D45&lt;&gt;"",IF(D45="Learning",References!$D$47,References!$D$49),0)</f>
        <v>0</v>
      </c>
      <c r="N45" s="382">
        <f>IF(D45&lt;&gt;"",IF(D45="Learning",References!$D$48,References!$D$50),0)</f>
        <v>0</v>
      </c>
      <c r="O45" s="380">
        <f>IF(C45&lt;&gt;"",IF(H45=0,0,INDEX(References!$E$51:$E$53,MATCH('Smart T-Stats'!K24,References!$C$51:$C$53,0))),0)</f>
        <v>0</v>
      </c>
      <c r="P45" s="380">
        <f>O45*References!$E$12/1000</f>
        <v>0</v>
      </c>
      <c r="Q45" s="106">
        <f>O45*References!$A$12</f>
        <v>0</v>
      </c>
      <c r="R45" s="251"/>
      <c r="S45" s="2600" t="str">
        <f>IF('Smart T-Stats'!K24="","",IF(LEFT('Smart T-Stats'!K24)="HP",'Smart T-Stats'!K24,IF(RIGHT('Smart T-Stats'!K24,9)="t Cooling",IF(C45="Learning","Learning for Cooling","Connected for Cooling"),IF(C45="Learning","Learning for Heating and Cooling","Connected for Heating and Cooling"))))</f>
        <v/>
      </c>
      <c r="T45" s="2601"/>
      <c r="U45" s="2602"/>
      <c r="V45" s="106" t="str">
        <f>IF(S45="","",INDEX(References!$AJ$33:$AJ$45,MATCH(S45,References!$AE$33:$AE$47,0)))</f>
        <v/>
      </c>
      <c r="W45" s="106" t="str">
        <f t="shared" si="10"/>
        <v/>
      </c>
    </row>
    <row r="46" spans="1:95" ht="14.15" customHeight="1">
      <c r="A46">
        <v>5</v>
      </c>
      <c r="B46" s="314">
        <f>'Smart T-Stats'!D25</f>
        <v>0</v>
      </c>
      <c r="C46" s="2582" t="str">
        <f>IF(B46&lt;&gt;0,INDEX(References!C98:D130,MATCH(B46,References!C98:C130,0),2),"")</f>
        <v/>
      </c>
      <c r="D46" s="2583"/>
      <c r="E46" s="379">
        <f>'Smart T-Stats'!G25</f>
        <v>0</v>
      </c>
      <c r="F46" s="314">
        <f>IF(B46&lt;&gt;0,IF(E46&lt;&gt;0,INDEX('In Unit HVAC Worksheet'!$B$61:$I$70,MATCH('Smart T-Stats'!G25,'In Unit HVAC Worksheet'!$B$61:$B$70,0),6),36000),0)</f>
        <v>0</v>
      </c>
      <c r="G46" s="314">
        <f>IF(B46&lt;&gt;0,IF(E46&lt;&gt;0,INDEX('In Unit HVAC Worksheet'!$B$61:$I$70,MATCH('Smart T-Stats'!G25,'In Unit HVAC Worksheet'!$B$61:$B$70,0),8),36000),0)</f>
        <v>0</v>
      </c>
      <c r="H46" s="106">
        <f>IF(B46&lt;&gt;0,IF(SUM('In Unit HVAC Worksheet'!$F$61:$F$70)=0,0,IF(E46&lt;&gt;0,'Smart T-Stats'!H25,0)),0)</f>
        <v>0</v>
      </c>
      <c r="I46" s="106">
        <f>IF(B46&lt;&gt;0,IF(E46&lt;&gt;0,INDEX('In Unit HVAC Worksheet'!$B$61:$N$70,MATCH('Smart T-Stats'!G25,'In Unit HVAC Worksheet'!$B$61:$B$70,0),10),References!$M$9),0)</f>
        <v>0</v>
      </c>
      <c r="J46" s="106">
        <f>IF(B46&lt;&gt;0,IF(E46&lt;&gt;0,INDEX('In Unit HVAC Worksheet'!$B$61:$N$70,MATCH('Smart T-Stats'!G25,'In Unit HVAC Worksheet'!$B$61:$B$70,0),12),References!$M$29),0)</f>
        <v>0</v>
      </c>
      <c r="K46" s="382">
        <f t="shared" si="8"/>
        <v>701</v>
      </c>
      <c r="L46" s="382">
        <f t="shared" si="9"/>
        <v>642</v>
      </c>
      <c r="M46" s="382">
        <f>IF(D46&lt;&gt;"",IF(D46="Learning",References!$D$47,References!$D$49),0)</f>
        <v>0</v>
      </c>
      <c r="N46" s="382">
        <f>IF(D46&lt;&gt;"",IF(D46="Learning",References!$D$48,References!$D$50),0)</f>
        <v>0</v>
      </c>
      <c r="O46" s="380">
        <f>IF(C46&lt;&gt;"",IF(H46=0,0,INDEX(References!$E$51:$E$53,MATCH('Smart T-Stats'!K25,References!$C$51:$C$53,0))),0)</f>
        <v>0</v>
      </c>
      <c r="P46" s="380">
        <f>O46*References!$E$12/1000</f>
        <v>0</v>
      </c>
      <c r="Q46" s="106">
        <f>O46*References!$A$12</f>
        <v>0</v>
      </c>
      <c r="R46" s="251"/>
      <c r="S46" s="2600" t="str">
        <f>IF('Smart T-Stats'!K25="","",IF(LEFT('Smart T-Stats'!K25)="HP",'Smart T-Stats'!K25,IF(RIGHT('Smart T-Stats'!K25,9)="t Cooling",IF(C46="Learning","Learning for Cooling","Connected for Cooling"),IF(C46="Learning","Learning for Heating and Cooling","Connected for Heating and Cooling"))))</f>
        <v/>
      </c>
      <c r="T46" s="2601"/>
      <c r="U46" s="2602"/>
      <c r="V46" s="106" t="str">
        <f>IF(S46="","",INDEX(References!$AJ$33:$AJ$45,MATCH(S46,References!$AE$33:$AE$47,0)))</f>
        <v/>
      </c>
      <c r="W46" s="106" t="str">
        <f t="shared" si="10"/>
        <v/>
      </c>
    </row>
    <row r="47" spans="1:95" ht="14.15" customHeight="1">
      <c r="A47">
        <v>6</v>
      </c>
      <c r="B47" s="314">
        <f>'Smart T-Stats'!D26</f>
        <v>0</v>
      </c>
      <c r="C47" s="2582" t="str">
        <f>IF(B47&lt;&gt;0,INDEX(References!C99:D133,MATCH(B47,References!C99:C133,0),2),"")</f>
        <v/>
      </c>
      <c r="D47" s="2583"/>
      <c r="E47" s="379">
        <f>'Smart T-Stats'!G26</f>
        <v>0</v>
      </c>
      <c r="F47" s="314">
        <f>IF(B47&lt;&gt;0,IF(E47&lt;&gt;0,INDEX('In Unit HVAC Worksheet'!$B$61:$I$70,MATCH('Smart T-Stats'!G26,'In Unit HVAC Worksheet'!$B$61:$B$70,0),6),36000),0)</f>
        <v>0</v>
      </c>
      <c r="G47" s="314">
        <f>IF(B47&lt;&gt;0,IF(E47&lt;&gt;0,INDEX('In Unit HVAC Worksheet'!$B$61:$I$70,MATCH('Smart T-Stats'!G26,'In Unit HVAC Worksheet'!$B$61:$B$70,0),8),36000),0)</f>
        <v>0</v>
      </c>
      <c r="H47" s="106">
        <f>IF(B47&lt;&gt;0,IF(SUM('In Unit HVAC Worksheet'!$F$61:$F$70)=0,0,IF(E47&lt;&gt;0,'Smart T-Stats'!H26,0)),0)</f>
        <v>0</v>
      </c>
      <c r="I47" s="106">
        <f>IF(B47&lt;&gt;0,IF(E47&lt;&gt;0,INDEX('In Unit HVAC Worksheet'!$B$61:$N$70,MATCH('Smart T-Stats'!G26,'In Unit HVAC Worksheet'!$B$61:$B$70,0),10),References!$M$9),0)</f>
        <v>0</v>
      </c>
      <c r="J47" s="106">
        <f>IF(B47&lt;&gt;0,IF(E47&lt;&gt;0,INDEX('In Unit HVAC Worksheet'!$B$61:$N$70,MATCH('Smart T-Stats'!G26,'In Unit HVAC Worksheet'!$B$61:$B$70,0),12),References!$M$29),0)</f>
        <v>0</v>
      </c>
      <c r="K47" s="382">
        <f t="shared" si="8"/>
        <v>701</v>
      </c>
      <c r="L47" s="382">
        <f t="shared" si="9"/>
        <v>642</v>
      </c>
      <c r="M47" s="382">
        <f>IF(D47&lt;&gt;"",IF(D47="Learning",References!$D$47,References!$D$49),0)</f>
        <v>0</v>
      </c>
      <c r="N47" s="382">
        <f>IF(D47&lt;&gt;"",IF(D47="Learning",References!$D$48,References!$D$50),0)</f>
        <v>0</v>
      </c>
      <c r="O47" s="380">
        <f>IF(C47&lt;&gt;"",IF(H47=0,0,INDEX(References!$E$51:$E$53,MATCH('Smart T-Stats'!K26,References!$C$51:$C$53,0))),0)</f>
        <v>0</v>
      </c>
      <c r="P47" s="380">
        <f>O47*References!$E$12/1000</f>
        <v>0</v>
      </c>
      <c r="Q47" s="106">
        <f>O47*References!$A$12</f>
        <v>0</v>
      </c>
      <c r="R47" s="251"/>
      <c r="S47" s="2600" t="str">
        <f>IF('Smart T-Stats'!K26="","",IF(LEFT('Smart T-Stats'!K26)="HP",'Smart T-Stats'!K26,IF(RIGHT('Smart T-Stats'!K26,9)="t Cooling",IF(C47="Learning","Learning for Cooling","Connected for Cooling"),IF(C47="Learning","Learning for Heating and Cooling","Connected for Heating and Cooling"))))</f>
        <v/>
      </c>
      <c r="T47" s="2601"/>
      <c r="U47" s="2602"/>
      <c r="V47" s="106" t="str">
        <f>IF(S47="","",INDEX(References!$AJ$33:$AJ$45,MATCH(S47,References!$AE$33:$AE$47,0)))</f>
        <v/>
      </c>
      <c r="W47" s="106" t="str">
        <f t="shared" si="10"/>
        <v/>
      </c>
    </row>
    <row r="48" spans="1:95" ht="14.15" customHeight="1">
      <c r="A48">
        <v>7</v>
      </c>
      <c r="B48" s="314">
        <f>'Smart T-Stats'!D27</f>
        <v>0</v>
      </c>
      <c r="C48" s="2582" t="str">
        <f>IF(B48&lt;&gt;0,INDEX(References!C100:D134,MATCH(B48,References!C100:C134,0),2),"")</f>
        <v/>
      </c>
      <c r="D48" s="2583"/>
      <c r="E48" s="379">
        <f>'Smart T-Stats'!G27</f>
        <v>0</v>
      </c>
      <c r="F48" s="314">
        <f>IF(B48&lt;&gt;0,IF(E48&lt;&gt;0,INDEX('In Unit HVAC Worksheet'!$B$61:$I$70,MATCH('Smart T-Stats'!G27,'In Unit HVAC Worksheet'!$B$61:$B$70,0),6),36000),0)</f>
        <v>0</v>
      </c>
      <c r="G48" s="314">
        <f>IF(B48&lt;&gt;0,IF(E48&lt;&gt;0,INDEX('In Unit HVAC Worksheet'!$B$61:$I$70,MATCH('Smart T-Stats'!G27,'In Unit HVAC Worksheet'!$B$61:$B$70,0),8),36000),0)</f>
        <v>0</v>
      </c>
      <c r="H48" s="106">
        <f>IF(B48&lt;&gt;0,IF(SUM('In Unit HVAC Worksheet'!$F$61:$F$70)=0,0,IF(E48&lt;&gt;0,'Smart T-Stats'!H27,0)),0)</f>
        <v>0</v>
      </c>
      <c r="I48" s="106">
        <f>IF(B48&lt;&gt;0,IF(E48&lt;&gt;0,INDEX('In Unit HVAC Worksheet'!$B$61:$N$70,MATCH('Smart T-Stats'!G27,'In Unit HVAC Worksheet'!$B$61:$B$70,0),10),References!$M$9),0)</f>
        <v>0</v>
      </c>
      <c r="J48" s="106">
        <f>IF(B48&lt;&gt;0,IF(E48&lt;&gt;0,INDEX('In Unit HVAC Worksheet'!$B$61:$N$70,MATCH('Smart T-Stats'!G27,'In Unit HVAC Worksheet'!$B$61:$B$70,0),12),References!$M$29),0)</f>
        <v>0</v>
      </c>
      <c r="K48" s="382">
        <f t="shared" si="8"/>
        <v>701</v>
      </c>
      <c r="L48" s="382">
        <f t="shared" si="9"/>
        <v>642</v>
      </c>
      <c r="M48" s="382">
        <f>IF(D48&lt;&gt;"",IF(D48="Learning",References!$D$47,References!$D$49),0)</f>
        <v>0</v>
      </c>
      <c r="N48" s="382">
        <f>IF(D48&lt;&gt;"",IF(D48="Learning",References!$D$48,References!$D$50),0)</f>
        <v>0</v>
      </c>
      <c r="O48" s="380">
        <f>IF(C48&lt;&gt;"",IF(H48=0,0,INDEX(References!$E$51:$E$53,MATCH('Smart T-Stats'!K27,References!$C$51:$C$53,0))),0)</f>
        <v>0</v>
      </c>
      <c r="P48" s="380">
        <f>O48*References!$E$12/1000</f>
        <v>0</v>
      </c>
      <c r="Q48" s="106">
        <f>O48*References!$A$12</f>
        <v>0</v>
      </c>
      <c r="R48" s="251"/>
      <c r="S48" s="2600" t="str">
        <f>IF('Smart T-Stats'!K27="","",IF(LEFT('Smart T-Stats'!K27)="HP",'Smart T-Stats'!K27,IF(RIGHT('Smart T-Stats'!K27,9)="t Cooling",IF(C48="Learning","Learning for Cooling","Connected for Cooling"),IF(C48="Learning","Learning for Heating and Cooling","Connected for Heating and Cooling"))))</f>
        <v/>
      </c>
      <c r="T48" s="2601"/>
      <c r="U48" s="2602"/>
      <c r="V48" s="106" t="str">
        <f>IF(S48="","",INDEX(References!$AJ$33:$AJ$45,MATCH(S48,References!$AE$33:$AE$47,0)))</f>
        <v/>
      </c>
      <c r="W48" s="106" t="str">
        <f t="shared" si="10"/>
        <v/>
      </c>
    </row>
    <row r="49" spans="1:52" ht="14.15" customHeight="1">
      <c r="A49">
        <v>8</v>
      </c>
      <c r="B49" s="314">
        <f>'Smart T-Stats'!D28</f>
        <v>0</v>
      </c>
      <c r="C49" s="2582" t="str">
        <f>IF(B49&lt;&gt;0,INDEX(References!C101:D135,MATCH(B49,References!C101:C135,0),2),"")</f>
        <v/>
      </c>
      <c r="D49" s="2583"/>
      <c r="E49" s="379">
        <f>'Smart T-Stats'!G28</f>
        <v>0</v>
      </c>
      <c r="F49" s="314">
        <f>IF(B49&lt;&gt;0,IF(E49&lt;&gt;0,INDEX('In Unit HVAC Worksheet'!$B$61:$I$70,MATCH('Smart T-Stats'!G28,'In Unit HVAC Worksheet'!$B$61:$B$70,0),6),36000),0)</f>
        <v>0</v>
      </c>
      <c r="G49" s="314">
        <f>IF(B49&lt;&gt;0,IF(E49&lt;&gt;0,INDEX('In Unit HVAC Worksheet'!$B$61:$I$70,MATCH('Smart T-Stats'!G28,'In Unit HVAC Worksheet'!$B$61:$B$70,0),8),36000),0)</f>
        <v>0</v>
      </c>
      <c r="H49" s="106">
        <f>IF(B49&lt;&gt;0,IF(SUM('In Unit HVAC Worksheet'!$F$61:$F$70)=0,0,IF(E49&lt;&gt;0,'Smart T-Stats'!H28,0)),0)</f>
        <v>0</v>
      </c>
      <c r="I49" s="106">
        <f>IF(B49&lt;&gt;0,IF(E49&lt;&gt;0,INDEX('In Unit HVAC Worksheet'!$B$61:$N$70,MATCH('Smart T-Stats'!G28,'In Unit HVAC Worksheet'!$B$61:$B$70,0),10),References!$M$9),0)</f>
        <v>0</v>
      </c>
      <c r="J49" s="106">
        <f>IF(B49&lt;&gt;0,IF(E49&lt;&gt;0,INDEX('In Unit HVAC Worksheet'!$B$61:$N$70,MATCH('Smart T-Stats'!G28,'In Unit HVAC Worksheet'!$B$61:$B$70,0),12),References!$M$29),0)</f>
        <v>0</v>
      </c>
      <c r="K49" s="382">
        <f t="shared" si="8"/>
        <v>701</v>
      </c>
      <c r="L49" s="382">
        <f t="shared" si="9"/>
        <v>642</v>
      </c>
      <c r="M49" s="382">
        <f>IF(D49&lt;&gt;"",IF(D49="Learning",References!$D$47,References!$D$49),0)</f>
        <v>0</v>
      </c>
      <c r="N49" s="382">
        <f>IF(D49&lt;&gt;"",IF(D49="Learning",References!$D$48,References!$D$50),0)</f>
        <v>0</v>
      </c>
      <c r="O49" s="380">
        <f>IF(C49&lt;&gt;"",IF(H49=0,0,INDEX(References!$E$51:$E$53,MATCH('Smart T-Stats'!K28,References!$C$51:$C$53,0))),0)</f>
        <v>0</v>
      </c>
      <c r="P49" s="380">
        <f>O49*References!$E$12/1000</f>
        <v>0</v>
      </c>
      <c r="Q49" s="106">
        <f>O49*References!$A$12</f>
        <v>0</v>
      </c>
      <c r="R49" s="251"/>
      <c r="S49" s="2600" t="str">
        <f>IF('Smart T-Stats'!K28="","",IF(LEFT('Smart T-Stats'!K28)="HP",'Smart T-Stats'!K28,IF(RIGHT('Smart T-Stats'!K28,9)="t Cooling",IF(C49="Learning","Learning for Cooling","Connected for Cooling"),IF(C49="Learning","Learning for Heating and Cooling","Connected for Heating and Cooling"))))</f>
        <v/>
      </c>
      <c r="T49" s="2601"/>
      <c r="U49" s="2602"/>
      <c r="V49" s="106" t="str">
        <f>IF(S49="","",INDEX(References!$AJ$33:$AJ$45,MATCH(S49,References!$AE$33:$AE$47,0)))</f>
        <v/>
      </c>
      <c r="W49" s="106" t="str">
        <f t="shared" si="10"/>
        <v/>
      </c>
      <c r="AJ49" s="148"/>
      <c r="AK49" s="148"/>
    </row>
    <row r="50" spans="1:52" ht="14.15" customHeight="1">
      <c r="A50">
        <v>9</v>
      </c>
      <c r="B50" s="314">
        <f>'Smart T-Stats'!D29</f>
        <v>0</v>
      </c>
      <c r="C50" s="2582" t="str">
        <f>IF(B50&lt;&gt;0,INDEX(References!C102:D136,MATCH(B50,References!C102:C136,0),2),"")</f>
        <v/>
      </c>
      <c r="D50" s="2583"/>
      <c r="E50" s="379">
        <f>'Smart T-Stats'!G29</f>
        <v>0</v>
      </c>
      <c r="F50" s="314">
        <f>IF(B50&lt;&gt;0,IF(E50&lt;&gt;0,INDEX('In Unit HVAC Worksheet'!$B$61:$I$70,MATCH('Smart T-Stats'!G29,'In Unit HVAC Worksheet'!$B$61:$B$70,0),6),36000),0)</f>
        <v>0</v>
      </c>
      <c r="G50" s="314">
        <f>IF(B50&lt;&gt;0,IF(E50&lt;&gt;0,INDEX('In Unit HVAC Worksheet'!$B$61:$I$70,MATCH('Smart T-Stats'!G29,'In Unit HVAC Worksheet'!$B$61:$B$70,0),8),36000),0)</f>
        <v>0</v>
      </c>
      <c r="H50" s="106">
        <f>IF(B50&lt;&gt;0,IF(SUM('In Unit HVAC Worksheet'!$F$61:$F$70)=0,0,IF(E50&lt;&gt;0,'Smart T-Stats'!H29,0)),0)</f>
        <v>0</v>
      </c>
      <c r="I50" s="106">
        <f>IF(B50&lt;&gt;0,IF(E50&lt;&gt;0,INDEX('In Unit HVAC Worksheet'!$B$61:$N$70,MATCH('Smart T-Stats'!G29,'In Unit HVAC Worksheet'!$B$61:$B$70,0),10),References!$M$9),0)</f>
        <v>0</v>
      </c>
      <c r="J50" s="106">
        <f>IF(B50&lt;&gt;0,IF(E50&lt;&gt;0,INDEX('In Unit HVAC Worksheet'!$B$61:$N$70,MATCH('Smart T-Stats'!G29,'In Unit HVAC Worksheet'!$B$61:$B$70,0),12),References!$M$29),0)</f>
        <v>0</v>
      </c>
      <c r="K50" s="382">
        <f t="shared" si="8"/>
        <v>701</v>
      </c>
      <c r="L50" s="382">
        <f t="shared" si="9"/>
        <v>642</v>
      </c>
      <c r="M50" s="382">
        <f>IF(D50&lt;&gt;"",IF(D50="Learning",References!$D$47,References!$D$49),0)</f>
        <v>0</v>
      </c>
      <c r="N50" s="382">
        <f>IF(D50&lt;&gt;"",IF(D50="Learning",References!$D$48,References!$D$50),0)</f>
        <v>0</v>
      </c>
      <c r="O50" s="380">
        <f>IF(C50&lt;&gt;"",IF(H50=0,0,INDEX(References!$E$51:$E$53,MATCH('Smart T-Stats'!K29,References!$C$51:$C$53,0))),0)</f>
        <v>0</v>
      </c>
      <c r="P50" s="380">
        <f>O50*References!$E$12/1000</f>
        <v>0</v>
      </c>
      <c r="Q50" s="106">
        <f>O50*References!$A$12</f>
        <v>0</v>
      </c>
      <c r="R50" s="251"/>
      <c r="S50" s="2600" t="str">
        <f>IF('Smart T-Stats'!K29="","",IF(LEFT('Smart T-Stats'!K29)="HP",'Smart T-Stats'!K29,IF(RIGHT('Smart T-Stats'!K29,9)="t Cooling",IF(C50="Learning","Learning for Cooling","Connected for Cooling"),IF(C50="Learning","Learning for Heating and Cooling","Connected for Heating and Cooling"))))</f>
        <v/>
      </c>
      <c r="T50" s="2601"/>
      <c r="U50" s="2602"/>
      <c r="V50" s="106" t="str">
        <f>IF(S50="","",INDEX(References!$AJ$33:$AJ$45,MATCH(S50,References!$AE$33:$AE$47,0)))</f>
        <v/>
      </c>
      <c r="W50" s="106" t="str">
        <f t="shared" si="10"/>
        <v/>
      </c>
    </row>
    <row r="51" spans="1:52" ht="14.15" customHeight="1">
      <c r="A51">
        <v>10</v>
      </c>
      <c r="B51" s="314">
        <f>'Smart T-Stats'!D30</f>
        <v>0</v>
      </c>
      <c r="C51" s="2582" t="str">
        <f>IF(B51&lt;&gt;0,INDEX(References!C103:D137,MATCH(B51,References!C103:C137,0),2),"")</f>
        <v/>
      </c>
      <c r="D51" s="2583"/>
      <c r="E51" s="379">
        <f>'Smart T-Stats'!G30</f>
        <v>0</v>
      </c>
      <c r="F51" s="314">
        <f>IF(B51&lt;&gt;0,IF(E51&lt;&gt;0,INDEX('In Unit HVAC Worksheet'!$B$61:$I$70,MATCH('Smart T-Stats'!G30,'In Unit HVAC Worksheet'!$B$61:$B$70,0),6),36000),0)</f>
        <v>0</v>
      </c>
      <c r="G51" s="314">
        <f>IF(B51&lt;&gt;0,IF(E51&lt;&gt;0,INDEX('In Unit HVAC Worksheet'!$B$61:$I$70,MATCH('Smart T-Stats'!G30,'In Unit HVAC Worksheet'!$B$61:$B$70,0),8),36000),0)</f>
        <v>0</v>
      </c>
      <c r="H51" s="106">
        <f>IF(B51&lt;&gt;0,IF(SUM('In Unit HVAC Worksheet'!$F$61:$F$70)=0,0,IF(E51&lt;&gt;0,'Smart T-Stats'!H30,0)),0)</f>
        <v>0</v>
      </c>
      <c r="I51" s="106">
        <f>IF(B51&lt;&gt;0,IF(E51&lt;&gt;0,INDEX('In Unit HVAC Worksheet'!$B$61:$N$70,MATCH('Smart T-Stats'!G30,'In Unit HVAC Worksheet'!$B$61:$B$70,0),10),References!$M$9),0)</f>
        <v>0</v>
      </c>
      <c r="J51" s="106">
        <f>IF(B51&lt;&gt;0,IF(E51&lt;&gt;0,INDEX('In Unit HVAC Worksheet'!$B$61:$N$70,MATCH('Smart T-Stats'!G30,'In Unit HVAC Worksheet'!$B$61:$B$70,0),12),References!$M$29),0)</f>
        <v>0</v>
      </c>
      <c r="K51" s="382">
        <f t="shared" si="8"/>
        <v>701</v>
      </c>
      <c r="L51" s="382">
        <f t="shared" si="9"/>
        <v>642</v>
      </c>
      <c r="M51" s="382">
        <f>IF(D51&lt;&gt;"",IF(D51="Learning",References!$D$47,References!$D$49),0)</f>
        <v>0</v>
      </c>
      <c r="N51" s="382">
        <f>IF(D51&lt;&gt;"",IF(D51="Learning",References!$D$48,References!$D$50),0)</f>
        <v>0</v>
      </c>
      <c r="O51" s="380">
        <f>IF(C51&lt;&gt;"",IF(H51=0,0,INDEX(References!$E$51:$E$53,MATCH('Smart T-Stats'!K30,References!$C$51:$C$53,0))),0)</f>
        <v>0</v>
      </c>
      <c r="P51" s="380">
        <f>O51*References!$E$12/1000</f>
        <v>0</v>
      </c>
      <c r="Q51" s="106">
        <f>O51*References!$A$12</f>
        <v>0</v>
      </c>
      <c r="R51" s="251"/>
      <c r="S51" s="2600" t="str">
        <f>IF('Smart T-Stats'!K30="","",IF(LEFT('Smart T-Stats'!K30)="HP",'Smart T-Stats'!K30,IF(RIGHT('Smart T-Stats'!K30,9)="t Cooling",IF(C51="Learning","Learning for Cooling","Connected for Cooling"),IF(C51="Learning","Learning for Heating and Cooling","Connected for Heating and Cooling"))))</f>
        <v/>
      </c>
      <c r="T51" s="2601"/>
      <c r="U51" s="2602"/>
      <c r="V51" s="106" t="str">
        <f>IF(S51="","",INDEX(References!$AJ$33:$AJ$45,MATCH(S51,References!$AE$33:$AE$47,0)))</f>
        <v/>
      </c>
      <c r="W51" s="106" t="str">
        <f t="shared" si="10"/>
        <v/>
      </c>
    </row>
    <row r="52" spans="1:52" ht="14.15" customHeight="1"/>
    <row r="53" spans="1:52" ht="14.15" customHeight="1">
      <c r="A53" t="s">
        <v>1037</v>
      </c>
      <c r="J53" s="107"/>
      <c r="K53" s="107"/>
      <c r="L53" s="107"/>
    </row>
    <row r="54" spans="1:52" ht="14.15" customHeight="1">
      <c r="B54" s="103"/>
      <c r="C54" s="103"/>
      <c r="D54" s="103"/>
      <c r="E54" s="103"/>
      <c r="F54" s="381"/>
      <c r="G54" s="114"/>
      <c r="H54" s="103"/>
      <c r="I54" s="103"/>
      <c r="J54" s="114"/>
      <c r="K54" s="103"/>
      <c r="L54" s="103"/>
      <c r="M54" s="103"/>
      <c r="N54" s="103"/>
      <c r="O54" s="103"/>
      <c r="P54" s="103"/>
      <c r="Q54" s="103"/>
      <c r="R54" s="103"/>
      <c r="S54" s="103"/>
      <c r="T54" s="103"/>
      <c r="AJ54" s="148"/>
      <c r="AK54" s="148"/>
    </row>
    <row r="55" spans="1:52" ht="14.15" customHeight="1">
      <c r="A55" t="s">
        <v>256</v>
      </c>
      <c r="B55" s="103" t="s">
        <v>655</v>
      </c>
      <c r="C55" s="103" t="s">
        <v>1947</v>
      </c>
      <c r="D55" s="103"/>
      <c r="E55" s="103" t="s">
        <v>894</v>
      </c>
      <c r="F55" s="381" t="s">
        <v>895</v>
      </c>
      <c r="G55" s="103" t="s">
        <v>896</v>
      </c>
      <c r="H55" s="103" t="s">
        <v>12</v>
      </c>
      <c r="I55" s="103" t="s">
        <v>14</v>
      </c>
      <c r="J55" s="103" t="s">
        <v>836</v>
      </c>
      <c r="K55" s="103" t="s">
        <v>897</v>
      </c>
      <c r="L55" s="103" t="s">
        <v>898</v>
      </c>
      <c r="M55" s="103" t="s">
        <v>899</v>
      </c>
      <c r="N55" s="103" t="s">
        <v>903</v>
      </c>
      <c r="O55" s="103" t="s">
        <v>2624</v>
      </c>
      <c r="P55" s="103"/>
      <c r="Q55" s="103"/>
      <c r="R55" s="103"/>
      <c r="S55" s="103" t="s">
        <v>216</v>
      </c>
      <c r="T55" s="103" t="s">
        <v>2631</v>
      </c>
    </row>
    <row r="56" spans="1:52" ht="14.15" customHeight="1">
      <c r="A56">
        <v>11</v>
      </c>
      <c r="B56" s="314">
        <f>'Smart T-Stats'!D35</f>
        <v>0</v>
      </c>
      <c r="C56" s="2582" t="str">
        <f>IF('Integrated Controls'!$B17="","",'Integrated Controls'!$B17)</f>
        <v>No Fossil Fuel Heater</v>
      </c>
      <c r="D56" s="2583"/>
      <c r="E56" s="379">
        <f>'Smart T-Stats'!G35</f>
        <v>0</v>
      </c>
      <c r="F56" s="314">
        <f>IF(B56&lt;&gt;0,IF(E56&lt;&gt;0,INDEX('In Unit HVAC Worksheet'!$B$61:$I$70,MATCH(A56,'In Unit HVAC Worksheet'!$B$61:$B$70,0),5),36000),0)</f>
        <v>0</v>
      </c>
      <c r="G56" s="314">
        <f>IF(B56&lt;&gt;0,IF(E56&lt;&gt;0,INDEX('In Unit HVAC Worksheet'!$B$61:$I$70,MATCH(A56,'In Unit HVAC Worksheet'!$B$61:$B$70,0),7),36000),0)</f>
        <v>0</v>
      </c>
      <c r="H56" s="106">
        <f>IF(B56&lt;&gt;0,IF(E56&lt;&gt;0,INDEX('In Unit HVAC Worksheet'!$B$61:$N$70,MATCH(A56,'In Unit HVAC Worksheet'!$B$61:$B$70,0),9),References!$M$9),0)</f>
        <v>0</v>
      </c>
      <c r="I56" s="106">
        <f>IF(B56&lt;&gt;0,IF(E56&lt;&gt;0,INDEX('In Unit HVAC Worksheet'!$B$61:$N$70,MATCH(A56,'In Unit HVAC Worksheet'!$B$61:$B$70,0),11),References!$M$29),0)</f>
        <v>0</v>
      </c>
      <c r="J56" s="382">
        <f>AW41</f>
        <v>0</v>
      </c>
      <c r="K56" s="382">
        <f>AX41</f>
        <v>0</v>
      </c>
      <c r="L56" s="380">
        <v>0</v>
      </c>
      <c r="M56" s="380">
        <v>0</v>
      </c>
      <c r="N56" s="106">
        <f>L56*References!$A$12</f>
        <v>0</v>
      </c>
      <c r="O56" s="106">
        <f>IF(C56&lt;&gt;0,'Integrated Controls'!H17,0)</f>
        <v>0</v>
      </c>
      <c r="P56" s="106"/>
      <c r="Q56" s="106"/>
      <c r="R56" s="106"/>
      <c r="S56" s="106">
        <f>_xlfn.IFNA(INDEX(IF(References!$C$17=FALSE,References!$AJ$38:$AJ$41,References!$AK$38:$AK$41),MATCH(C56,References!$AE$38:$AE$41,0)),0)</f>
        <v>0</v>
      </c>
      <c r="T56" s="106">
        <f>_xlfn.IFNA(INDEX(IF(References!$C$17=FALSE,References!$AJ$38:$AJ$41,References!$AK$38:$AK$41),MATCH(C56,References!$AE$38:$AE$41,0))*O56,0)</f>
        <v>0</v>
      </c>
    </row>
    <row r="57" spans="1:52">
      <c r="A57">
        <v>12</v>
      </c>
      <c r="B57" s="314">
        <f>'Smart T-Stats'!D36</f>
        <v>0</v>
      </c>
      <c r="C57" s="2582" t="str">
        <f>IF('Integrated Controls'!$B18="","",'Integrated Controls'!$B18)</f>
        <v>No Fossil Fuel Heater</v>
      </c>
      <c r="D57" s="2583"/>
      <c r="E57" s="379">
        <f>'Smart T-Stats'!G36</f>
        <v>0</v>
      </c>
      <c r="F57" s="314">
        <f>IF(B57&lt;&gt;0,IF(E57&lt;&gt;0,INDEX('In Unit HVAC Worksheet'!$B$61:$I$70,MATCH(A57,'In Unit HVAC Worksheet'!$B$61:$B$70,0),5),36000),0)</f>
        <v>0</v>
      </c>
      <c r="G57" s="314">
        <f>IF(B57&lt;&gt;0,IF(E57&lt;&gt;0,INDEX('In Unit HVAC Worksheet'!$B$61:$I$70,MATCH(A57,'In Unit HVAC Worksheet'!$B$61:$B$70,0),7),36000),0)</f>
        <v>0</v>
      </c>
      <c r="H57" s="106">
        <f>IF(B57&lt;&gt;0,IF(E57&lt;&gt;0,INDEX('In Unit HVAC Worksheet'!$B$61:$N$70,MATCH(A57,'In Unit HVAC Worksheet'!$B$61:$B$70,0),9),References!$M$9),0)</f>
        <v>0</v>
      </c>
      <c r="I57" s="106">
        <f>IF(B57&lt;&gt;0,IF(E57&lt;&gt;0,INDEX('In Unit HVAC Worksheet'!$B$61:$N$70,MATCH(A57,'In Unit HVAC Worksheet'!$B$61:$B$70,0),11),References!$M$29),0)</f>
        <v>0</v>
      </c>
      <c r="J57" s="382">
        <f>AW42</f>
        <v>0</v>
      </c>
      <c r="K57" s="382">
        <f>AX42</f>
        <v>0</v>
      </c>
      <c r="L57" s="380">
        <v>0</v>
      </c>
      <c r="M57" s="380">
        <v>0</v>
      </c>
      <c r="N57" s="106">
        <f>L57*References!$A$12</f>
        <v>0</v>
      </c>
      <c r="O57" s="106">
        <f>IF(C57&lt;&gt;0,'Integrated Controls'!H18,0)</f>
        <v>0</v>
      </c>
      <c r="P57" s="106"/>
      <c r="Q57" s="106"/>
      <c r="R57" s="106"/>
      <c r="S57" s="106">
        <f>IF(S56&gt;0,0,_xlfn.IFNA(INDEX(IF(References!$C$17=FALSE,References!$AJ$38:$AJ$41,References!$AK$38:$AK$41),MATCH(C57,References!$AE$38:$AE$41,0)),0))</f>
        <v>0</v>
      </c>
      <c r="T57" s="106">
        <f>_xlfn.IFNA(INDEX(IF(References!$C$17=FALSE,References!$AJ$38:$AJ$41,References!$AK$38:$AK$41),MATCH(C57,References!$AE$38:$AE$41,0))*O57,0)</f>
        <v>0</v>
      </c>
    </row>
    <row r="59" spans="1:52">
      <c r="A59" t="s">
        <v>1484</v>
      </c>
    </row>
    <row r="60" spans="1:52" ht="15" customHeight="1">
      <c r="B60" s="2589" t="s">
        <v>1485</v>
      </c>
      <c r="C60" s="2590"/>
      <c r="D60" s="2590"/>
      <c r="E60" s="2590"/>
      <c r="F60" s="2590"/>
      <c r="G60" s="2590"/>
      <c r="H60" s="2590"/>
      <c r="I60" s="2590"/>
      <c r="J60" s="2590"/>
      <c r="K60" s="2590"/>
      <c r="L60" s="2590"/>
      <c r="M60" s="2590"/>
      <c r="N60" s="2590"/>
      <c r="O60" s="2590"/>
      <c r="P60" s="2590"/>
      <c r="Q60" s="2590"/>
      <c r="R60" s="2590"/>
      <c r="S60" s="2590"/>
      <c r="T60" s="2590"/>
      <c r="U60" s="2591"/>
      <c r="V60" s="511"/>
      <c r="W60" s="2573" t="s">
        <v>1507</v>
      </c>
      <c r="X60" s="555" t="s">
        <v>618</v>
      </c>
      <c r="Z60" s="581" t="s">
        <v>1542</v>
      </c>
      <c r="AA60" s="175"/>
      <c r="AB60" s="175"/>
      <c r="AC60" s="175"/>
      <c r="AD60" s="175"/>
      <c r="AE60" s="175"/>
      <c r="AF60" s="175"/>
      <c r="AG60" s="175"/>
      <c r="AH60" s="175"/>
      <c r="AI60" s="175"/>
      <c r="AJ60" s="175"/>
      <c r="AK60" s="175"/>
      <c r="AL60" s="175"/>
      <c r="AM60" s="175"/>
      <c r="AN60" s="175"/>
      <c r="AO60" s="175"/>
      <c r="AQ60" s="2573" t="s">
        <v>1809</v>
      </c>
      <c r="AR60" s="2573" t="s">
        <v>1516</v>
      </c>
      <c r="AS60" s="2573" t="s">
        <v>1517</v>
      </c>
      <c r="AT60" s="2573" t="s">
        <v>1518</v>
      </c>
      <c r="AU60" s="2573" t="s">
        <v>1520</v>
      </c>
      <c r="AV60" s="2573" t="s">
        <v>1519</v>
      </c>
      <c r="AW60" s="2573" t="s">
        <v>1521</v>
      </c>
      <c r="AX60" s="2573" t="s">
        <v>1522</v>
      </c>
      <c r="AY60" s="2573" t="s">
        <v>1785</v>
      </c>
      <c r="AZ60" s="2573" t="s">
        <v>602</v>
      </c>
    </row>
    <row r="61" spans="1:52" ht="29.25" customHeight="1">
      <c r="A61" t="s">
        <v>256</v>
      </c>
      <c r="B61" s="589" t="s">
        <v>1487</v>
      </c>
      <c r="C61" s="589" t="s">
        <v>1491</v>
      </c>
      <c r="D61" s="589" t="s">
        <v>1490</v>
      </c>
      <c r="E61" s="590" t="s">
        <v>1496</v>
      </c>
      <c r="F61" s="589" t="s">
        <v>1497</v>
      </c>
      <c r="G61" s="589" t="s">
        <v>1498</v>
      </c>
      <c r="H61" s="589" t="s">
        <v>1499</v>
      </c>
      <c r="I61" s="591" t="s">
        <v>1500</v>
      </c>
      <c r="J61" s="589" t="s">
        <v>1486</v>
      </c>
      <c r="K61" s="589" t="s">
        <v>1492</v>
      </c>
      <c r="L61" s="589" t="s">
        <v>1493</v>
      </c>
      <c r="M61" s="589" t="s">
        <v>1494</v>
      </c>
      <c r="N61" s="589" t="s">
        <v>1645</v>
      </c>
      <c r="O61" s="589" t="s">
        <v>1495</v>
      </c>
      <c r="P61" s="589" t="s">
        <v>1488</v>
      </c>
      <c r="Q61" s="589" t="s">
        <v>1501</v>
      </c>
      <c r="R61" s="589" t="s">
        <v>1502</v>
      </c>
      <c r="S61" s="589" t="s">
        <v>1503</v>
      </c>
      <c r="T61" s="589" t="s">
        <v>1646</v>
      </c>
      <c r="U61" s="589" t="s">
        <v>1504</v>
      </c>
      <c r="V61" s="550" t="s">
        <v>1506</v>
      </c>
      <c r="W61" s="2581"/>
      <c r="X61" s="584"/>
      <c r="Z61" s="381" t="s">
        <v>1513</v>
      </c>
      <c r="AA61" s="381" t="s">
        <v>1632</v>
      </c>
      <c r="AB61" s="381" t="s">
        <v>1633</v>
      </c>
      <c r="AC61" s="381" t="s">
        <v>1505</v>
      </c>
      <c r="AD61" s="2578" t="s">
        <v>1511</v>
      </c>
      <c r="AE61" s="2585"/>
      <c r="AF61" s="582" t="s">
        <v>1514</v>
      </c>
      <c r="AG61" s="575" t="s">
        <v>1515</v>
      </c>
      <c r="AH61" s="511" t="s">
        <v>1523</v>
      </c>
      <c r="AI61" s="511" t="s">
        <v>1524</v>
      </c>
      <c r="AJ61" s="511" t="s">
        <v>1532</v>
      </c>
      <c r="AK61" s="511" t="s">
        <v>1533</v>
      </c>
      <c r="AL61" s="511" t="s">
        <v>1762</v>
      </c>
      <c r="AM61" s="511" t="s">
        <v>1764</v>
      </c>
      <c r="AN61" s="511" t="s">
        <v>1765</v>
      </c>
      <c r="AO61" s="511" t="s">
        <v>1782</v>
      </c>
      <c r="AQ61" s="2581"/>
      <c r="AR61" s="2581"/>
      <c r="AS61" s="2581"/>
      <c r="AT61" s="2581"/>
      <c r="AU61" s="2581"/>
      <c r="AV61" s="2581"/>
      <c r="AW61" s="2581"/>
      <c r="AX61" s="2581"/>
      <c r="AY61" s="2581"/>
      <c r="AZ61" s="2581"/>
    </row>
    <row r="62" spans="1:52">
      <c r="A62">
        <v>1</v>
      </c>
      <c r="B62" s="512">
        <f>HPwES!$J$17</f>
        <v>0</v>
      </c>
      <c r="C62" s="512">
        <f>HPwES!$J$21</f>
        <v>0</v>
      </c>
      <c r="D62" s="512">
        <f>HPwES!$J$19</f>
        <v>0</v>
      </c>
      <c r="E62" s="588">
        <f>HPwES!$J$25</f>
        <v>0</v>
      </c>
      <c r="F62" s="512">
        <f>HPwES!$J$32</f>
        <v>0</v>
      </c>
      <c r="G62" s="512">
        <f>HPwES!$J$36</f>
        <v>0</v>
      </c>
      <c r="H62" s="512">
        <f>HPwES!$J$34</f>
        <v>0</v>
      </c>
      <c r="I62" s="580">
        <f>HPwES!$J$40</f>
        <v>0</v>
      </c>
      <c r="J62" s="512">
        <f>HPwES!$D$17</f>
        <v>0</v>
      </c>
      <c r="K62" s="512">
        <f>IF(HPwES!$D$21="",HPwES!$D$23*3.412,HPwES!$D$21)</f>
        <v>0</v>
      </c>
      <c r="L62" s="512">
        <f>IF(HPwES!$D$23="",HPwES!$D$21/3.412,HPwES!$D$23)</f>
        <v>0</v>
      </c>
      <c r="M62" s="512">
        <f>HPwES!$D$19</f>
        <v>0</v>
      </c>
      <c r="N62" s="512">
        <f>HPwES!$D$25</f>
        <v>0</v>
      </c>
      <c r="O62" s="580">
        <f>HPwES!$D$27</f>
        <v>0</v>
      </c>
      <c r="P62" s="221">
        <f>HPwES!$D$32</f>
        <v>0</v>
      </c>
      <c r="Q62" s="221">
        <f>IF(HPwES!$D$36="",HPwES!$D$38*3.412,HPwES!$D$36)</f>
        <v>0</v>
      </c>
      <c r="R62" s="221">
        <f>IF(HPwES!$D$38="",HPwES!$D$36/3.412,HPwES!$D$38)</f>
        <v>0</v>
      </c>
      <c r="S62" s="221">
        <f>HPwES!$D$34</f>
        <v>0</v>
      </c>
      <c r="T62" s="221">
        <f>HPwES!$D$40</f>
        <v>0</v>
      </c>
      <c r="U62" s="221">
        <f>HPwES!$D$42</f>
        <v>0</v>
      </c>
      <c r="V62" s="553">
        <f>$BX$27</f>
        <v>675</v>
      </c>
      <c r="W62" s="553">
        <f>$BY$27</f>
        <v>1265</v>
      </c>
      <c r="X62" s="553"/>
      <c r="Z62" s="389">
        <f>HPwES!$D$53</f>
        <v>0</v>
      </c>
      <c r="AA62" s="389" t="str">
        <f>IF(OR(HPwES!$D$55="",RIGHT(HPwES!$D$53,5)="Attic",RIGHT(HPwES!$D$53,6)="Garage"),"",HPwES!$D$55)</f>
        <v/>
      </c>
      <c r="AB62" s="382" t="str">
        <f>Z62&amp;" "&amp;AA62</f>
        <v xml:space="preserve">0 </v>
      </c>
      <c r="AC62" s="583">
        <f>HPwES!D57</f>
        <v>0</v>
      </c>
      <c r="AD62" s="2584">
        <f>HPwES!$D$49</f>
        <v>0</v>
      </c>
      <c r="AE62" s="2584"/>
      <c r="AF62" s="554">
        <f>IF(OR($Z62="",$Z62=0),0,INDEX(References!$AX$75:$AZ$82,MATCH($AB62,References!$AX$75:$AX$82,0),2))</f>
        <v>0</v>
      </c>
      <c r="AG62" s="577">
        <f>IF(OR($Z62="",$Z62=0),0,INDEX(References!$AX$75:$AZ$82,MATCH($AB62,References!$AX$75:$AX$82,0),3))</f>
        <v>0</v>
      </c>
      <c r="AH62" s="554" t="str">
        <f>IF(OR($Z62="",$Z62=0),"",INDEX(References!BA$75:BA$80,MATCH($AB62,References!$AX$75:$AX$81,0)))</f>
        <v/>
      </c>
      <c r="AI62" s="554" t="str">
        <f>IF(OR($Z62="",$Z62=0),"",INDEX(References!BB$75:BB$80,MATCH($AB62,References!$AX$75:$AX$81,0)))</f>
        <v/>
      </c>
      <c r="AJ62" s="554" t="str">
        <f>IF(OR($Z62="",$Z62=0),"",INDEX(References!BC$75:BC$80,MATCH($AB62,References!$AX$75:$AX$81,0)))</f>
        <v/>
      </c>
      <c r="AK62" s="554" t="str">
        <f>IF(OR($Z62="",$Z62=0),"",INDEX(References!BD$75:BD$80,MATCH($AB62,References!$AX$75:$AX$81,0)))</f>
        <v/>
      </c>
      <c r="AL62" s="615">
        <f>HPwES!$D$61</f>
        <v>0</v>
      </c>
      <c r="AM62" s="616" t="e">
        <f>IF(OR(AL62="Heating (1)",AL62="Heating (2)",AL62="Heating (1&amp;2)",AL62=""),0,IF(OR(AL62="Heating &amp; Cooling (1)",AL62="Cooling (1)"),(B62/1000)*(1/D62)*V62,IF(OR(AL62="Heating &amp; Cooling (2)",AL62="Cooling (2)"),(F62/1000)*(1/H62)*V62,(B62/1000)*(1/D62)*V62*E62+(F62/1000)*(1/H62)*V62*I62)))</f>
        <v>#DIV/0!</v>
      </c>
      <c r="AN62" s="616">
        <f>IF(OR(AL62="Cooling (1)",AL62="Cooling (2)",AL62=""),0,IF(AND(OR(AL62="Heating &amp; Cooling (1)",AL62="Heating (1)"),LEFT(N62,8)="Electric"),(J62/1000)*(1/K62)*W62,IF(AND(OR(AL62="Heating &amp; Cooling (2)",AL62="Heating (2)"),LEFT(T62,8)="Electric"),(P62/1000)*(1/Q62)*W62,IF(OR(AL62="Heating &amp; Cooling (1&amp;2)",AL62="Heating (1&amp;2)"),IF(AND(LEFT(N62,8)="Electric",LEFT(T62,8)="Electric"),(J62/1000)*(1/K62)*W62*O62+(P62/1000)*(1/Q62)*W62*U62,IF(LEFT(N62,8)="Electric",(J62/1000)*(1/K62)*W62*O62,IF(LEFT(T62,8)="Electric",(P62/1000)*(1/Q62)*W62*U62,0))),0))))</f>
        <v>0</v>
      </c>
      <c r="AO62" s="616">
        <f>IF(OR(AL62="Cooling (1)",AL62="Cooling (2)",AL62=""),0,IF(AND(OR(AL62="Heating &amp; Cooling (1)",AL62="Heating (1)"),LEFT(N62,8)&lt;&gt;"Electric"),(J62/1000)*(1/M62)*W62,IF(AND(OR(AL62="Heating &amp; Cooling (2)",AL62="Heating (2)"),LEFT(T62,8)&lt;&gt;"Electric"),(P62/1000)*(1/S62)*W62,IF(OR(AL62="Heating &amp; Cooling (1&amp;2)",AL62="Heating (1&amp;2)"),IF(AND(LEFT(N62,8)&lt;&gt;"Electric",LEFT(T62,8)&lt;&gt;"Electric"),(J62/1000)*(1/M62)*W62*O62+(P62/1000)*(1/S62)*W62*U62,IF(LEFT(N62,8)&lt;&gt;"Electric",(J62/1000)*(1/M62)*W62*O62,IF(LEFT(T62,8)&lt;&gt;"Electric",(P62/1000)*(1/S62)*W62*U62,0))),0))))</f>
        <v>0</v>
      </c>
      <c r="AQ62" s="553" t="str">
        <f>IF(OR(Z62="",AC62="",AC62=0,AD62="",AD62=0,AL62=0,AL62="- Please Select -"),"",INDEX(References!$BI$15:$BI$19,MATCH(Z62,References!$BH$15:$BH$19)))</f>
        <v/>
      </c>
      <c r="AR62" s="553" t="e">
        <f>IF(OR(AL62=0,LEFT(AL62,9)="Heating ("),0,IF(OR(AL62="Cooling (1)",AL62="Heating &amp; Cooling (1)"),(AC62/AD62)*((B62/1000)*(1/C62)),IF(OR(AL62="Cooling (2)",AL62="Heating &amp; Cooling (2)"),(AC62/AD62)*(F62/1000)*(1/G62),(AC62/AD62)*((B62/1000)*(1/C62)*E62+(F62/1000)*(1/G62)*I62))))*(1-(AH62/AJ62))*(1-AF62)</f>
        <v>#VALUE!</v>
      </c>
      <c r="AS62" s="553" t="e">
        <f>IF(OR(AL62=0,AN62=0),0,IF(OR(AL62="Heating (1)",AL62="Heating &amp; Cooling (1)"),(AC62/AD62)*((J62/1000)*(1/L62)),IF(OR(AL62="Heating (2)",AL62="Heating &amp; Cooling (2)"),(AC62/AD62)*(P62/1000)*(1/R62),(AC62/AD62)*((J62/1000)*(1/L62)*O62+(P62/1000)*(1/R62)*U62))))*(1-(AH62/AJ62))*(1-AF62)</f>
        <v>#VALUE!</v>
      </c>
      <c r="AT62" s="553" t="e">
        <f>(AC62/AD62)*AM62*(1-(AH62/AJ62))*(1-AF62)</f>
        <v>#DIV/0!</v>
      </c>
      <c r="AU62" s="553" t="e">
        <f>AT62*References!$D$12</f>
        <v>#DIV/0!</v>
      </c>
      <c r="AV62" s="553" t="e">
        <f>(AC62/AD62)*AN62*(1-(AI62/AK62))*(1-AG62)</f>
        <v>#DIV/0!</v>
      </c>
      <c r="AW62" s="553" t="e">
        <f>AV62*References!$D$12</f>
        <v>#DIV/0!</v>
      </c>
      <c r="AX62" s="553" t="e">
        <f>((AC62/AD62)*AO62*(1-(AI62/AK62))*(1-AG62))/10</f>
        <v>#DIV/0!</v>
      </c>
      <c r="AY62" s="553" t="e">
        <f>AT62+AV62</f>
        <v>#DIV/0!</v>
      </c>
      <c r="AZ62" s="553" t="e">
        <f>AU62+AW62+AX62</f>
        <v>#DIV/0!</v>
      </c>
    </row>
    <row r="63" spans="1:52">
      <c r="A63">
        <f>A62+1</f>
        <v>2</v>
      </c>
      <c r="B63" s="512">
        <f>HPwES!$J$17</f>
        <v>0</v>
      </c>
      <c r="C63" s="512">
        <f>HPwES!$J$21</f>
        <v>0</v>
      </c>
      <c r="D63" s="512">
        <f>HPwES!$J$19</f>
        <v>0</v>
      </c>
      <c r="E63" s="580">
        <f>HPwES!$J$25</f>
        <v>0</v>
      </c>
      <c r="F63" s="512">
        <f>HPwES!$J$32</f>
        <v>0</v>
      </c>
      <c r="G63" s="512">
        <f>HPwES!$J$36</f>
        <v>0</v>
      </c>
      <c r="H63" s="512">
        <f>HPwES!$J$34</f>
        <v>0</v>
      </c>
      <c r="I63" s="580">
        <f>HPwES!$J$40</f>
        <v>0</v>
      </c>
      <c r="J63" s="512">
        <f>HPwES!$D$17</f>
        <v>0</v>
      </c>
      <c r="K63" s="512">
        <f>IF(HPwES!$D$21="",HPwES!$D$23*3.412,HPwES!$D$21)</f>
        <v>0</v>
      </c>
      <c r="L63" s="512">
        <f>IF(HPwES!$D$23="",HPwES!$D$21/3.412,HPwES!$D$23)</f>
        <v>0</v>
      </c>
      <c r="M63" s="512">
        <f>HPwES!$D$19</f>
        <v>0</v>
      </c>
      <c r="N63" s="512">
        <f>HPwES!$D$25</f>
        <v>0</v>
      </c>
      <c r="O63" s="580">
        <f>HPwES!$D$27</f>
        <v>0</v>
      </c>
      <c r="P63" s="221">
        <f>HPwES!$D$32</f>
        <v>0</v>
      </c>
      <c r="Q63" s="221">
        <f>IF(HPwES!$D$36="",HPwES!$D$38*3.412,HPwES!$D$36)</f>
        <v>0</v>
      </c>
      <c r="R63" s="221">
        <f>IF(HPwES!$D$38="",HPwES!$D$36/3.412,HPwES!$D$38)</f>
        <v>0</v>
      </c>
      <c r="S63" s="221">
        <f>HPwES!$D$34</f>
        <v>0</v>
      </c>
      <c r="T63" s="221">
        <f>HPwES!$D$40</f>
        <v>0</v>
      </c>
      <c r="U63" s="221">
        <f>HPwES!$D$42</f>
        <v>0</v>
      </c>
      <c r="V63" s="553">
        <f>$BX$27</f>
        <v>675</v>
      </c>
      <c r="W63" s="553">
        <f>$BY$27</f>
        <v>1265</v>
      </c>
      <c r="X63" s="553"/>
      <c r="Z63" s="389">
        <f>HPwES!$J$53</f>
        <v>0</v>
      </c>
      <c r="AA63" s="389" t="str">
        <f>IF(OR(HPwES!J55="",RIGHT(HPwES!J53,5)="Attic",RIGHT(HPwES!J53,6)="Garage"),"",HPwES!$J$55)</f>
        <v/>
      </c>
      <c r="AB63" s="382" t="str">
        <f>Z63&amp;" "&amp;AA63</f>
        <v xml:space="preserve">0 </v>
      </c>
      <c r="AC63" s="583">
        <f>HPwES!J57</f>
        <v>0</v>
      </c>
      <c r="AD63" s="2584">
        <f>HPwES!$D$49</f>
        <v>0</v>
      </c>
      <c r="AE63" s="2584"/>
      <c r="AF63" s="554">
        <f>IF(OR($Z63="",$Z63=0),0,INDEX(References!$AX$75:$AZ$82,MATCH($AB63,References!$AX$75:$AX$82,0),2))</f>
        <v>0</v>
      </c>
      <c r="AG63" s="577">
        <f>IF(OR($Z63="",$Z63=0),0,INDEX(References!$AX$75:$AZ$82,MATCH($AB63,References!$AX$75:$AX$82,0),3))</f>
        <v>0</v>
      </c>
      <c r="AH63" s="554" t="str">
        <f>IF(OR($Z63="",$Z63=0),"",INDEX(References!BA$75:BA$80,MATCH($AB63,References!$AX$75:$AX$81,0)))</f>
        <v/>
      </c>
      <c r="AI63" s="554" t="str">
        <f>IF(OR($Z63="",$Z63=0),"",INDEX(References!BB$75:BB$80,MATCH($AB63,References!$AX$75:$AX$81,0)))</f>
        <v/>
      </c>
      <c r="AJ63" s="554" t="str">
        <f>IF(OR($Z63="",$Z63=0),"",INDEX(References!BC$75:BC$80,MATCH($AB63,References!$AX$75:$AX$81,0)))</f>
        <v/>
      </c>
      <c r="AK63" s="554" t="str">
        <f>IF(OR($Z63="",$Z63=0),"",INDEX(References!BD$75:BD$80,MATCH($AB63,References!$AX$75:$AX$81,0)))</f>
        <v/>
      </c>
      <c r="AL63" s="615">
        <f>HPwES!$J$61</f>
        <v>0</v>
      </c>
      <c r="AM63" s="616" t="e">
        <f t="shared" ref="AM63:AM64" si="11">IF(OR(AL63="Heating (1)",AL63="Heating (2)",AL63="Heating (1&amp;2)",AL63=""),0,IF(OR(AL63="Heating &amp; Cooling (1)",AL63="Cooling (1)"),(B63/1000)*(1/D63)*V63,IF(OR(AL63="Heating &amp; Cooling (2)",AL63="Cooling (2)"),(F63/1000)*(1/H63)*V63,(B63/1000)*(1/D63)*V63*E63+(F63/1000)*(1/H63)*V63*I63)))</f>
        <v>#DIV/0!</v>
      </c>
      <c r="AN63" s="616">
        <f t="shared" ref="AN63:AN64" si="12">IF(OR(AL63="Cooling (1)",AL63="Cooling (2)",AL63=""),0,IF(AND(OR(AL63="Heating &amp; Cooling (1)",AL63="Heating (1)"),LEFT(N63,8)="Electric"),(J63/1000)*(1/K63)*W63,IF(AND(OR(AL63="Heating &amp; Cooling (2)",AL63="Heating (2)"),LEFT(T63,8)="Electric"),(P63/1000)*(1/Q63)*W63,IF(OR(AL63="Heating &amp; Cooling (1&amp;2)",AL63="Heating (1&amp;2)"),IF(AND(LEFT(N63,8)="Electric",LEFT(T63,8)="Electric"),(J63/1000)*(1/K63)*W63*O63+(P63/1000)*(1/Q63)*W63*U63,IF(LEFT(N63,8)="Electric",(J63/1000)*(1/K63)*W63*O63,IF(LEFT(T63,8)="Electric",(P63/1000)*(1/Q63)*W63*U63,0))),0))))</f>
        <v>0</v>
      </c>
      <c r="AO63" s="616">
        <f t="shared" ref="AO63:AO64" si="13">IF(OR(AL63="Cooling (1)",AL63="Cooling (2)",AL63=""),0,IF(AND(OR(AL63="Heating &amp; Cooling (1)",AL63="Heating (1)"),LEFT(N63,8)&lt;&gt;"Electric"),(J63/1000)*(1/M63)*W63,IF(AND(OR(AL63="Heating &amp; Cooling (2)",AL63="Heating (2)"),LEFT(T63,8)&lt;&gt;"Electric"),(P63/1000)*(1/S63)*W63,IF(OR(AL63="Heating &amp; Cooling (1&amp;2)",AL63="Heating (1&amp;2)"),IF(AND(LEFT(N63,8)&lt;&gt;"Electric",LEFT(T63,8)&lt;&gt;"Electric"),(J63/1000)*(1/M63)*W63*O63+(P63/1000)*(1/S63)*W63*U63,IF(LEFT(N63,8)&lt;&gt;"Electric",(J63/1000)*(1/M63)*W63*O63,IF(LEFT(T63,8)&lt;&gt;"Electric",(P63/1000)*(1/S63)*W63*U63,0))),0))))</f>
        <v>0</v>
      </c>
      <c r="AQ63" s="553" t="str">
        <f>IF(OR(Z63="",AC63="",AC63=0,AD63="",AD63=0,AL63=0,AL63="- Please Select -"),"",INDEX(References!$BI$15:$BI$19,MATCH(Z63,References!$BH$15:$BH$19)))</f>
        <v/>
      </c>
      <c r="AR63" s="553" t="e">
        <f>IF(OR(AL63=0,LEFT(AL63,9)="Heating ("),0,IF(OR(AL63="Cooling (1)",AL63="Heating &amp; Cooling (1)"),(AC63/AD63)*((B63/1000)*(1/C63)),IF(OR(AL63="Cooling (2)",AL63="Heating &amp; Cooling (2)"),(AC63/AD63)*(F63/1000)*(1/G63),(AC63/AD63)*((B63/1000)*(1/C63)*E63+(F63/1000)*(1/G63)*I63))))*(1-(AH63/AJ63))*(1-AF63)</f>
        <v>#VALUE!</v>
      </c>
      <c r="AS63" s="553" t="e">
        <f>IF(OR(AL63=0,AN63=0),0,IF(OR(AL63="Heating (1)",AL63="Heating &amp; Cooling (1)"),(AC63/AD63)*((J63/1000)*(1/L63)),IF(OR(AL63="Heating (2)",AL63="Heating &amp; Cooling (2)"),(AC63/AD63)*(P63/1000)*(1/R63),(AC63/AD63)*((J63/1000)*(1/L63)*O63+(P63/1000)*(1/R63)*U63))))*(1-(AH63/AJ63))*(1-AF63)</f>
        <v>#VALUE!</v>
      </c>
      <c r="AT63" s="553" t="e">
        <f>(AC63/AD63)*AM63*(1-(AH63/AJ63))*(1-AF63)</f>
        <v>#DIV/0!</v>
      </c>
      <c r="AU63" s="553" t="e">
        <f>AT63*References!$D$12</f>
        <v>#DIV/0!</v>
      </c>
      <c r="AV63" s="553" t="e">
        <f>(AC63/AD63)*AN63*(1-(AI63/AK63))*(1-AG63)</f>
        <v>#DIV/0!</v>
      </c>
      <c r="AW63" s="553" t="e">
        <f>AV63*References!$D$12</f>
        <v>#DIV/0!</v>
      </c>
      <c r="AX63" s="553" t="e">
        <f>((AC63/AD63)*AO63*(1-(AI63/AK63))*(1-AG63))/10</f>
        <v>#DIV/0!</v>
      </c>
      <c r="AY63" s="553" t="e">
        <f t="shared" ref="AY63:AY64" si="14">AT63+AV63</f>
        <v>#DIV/0!</v>
      </c>
      <c r="AZ63" s="553" t="e">
        <f t="shared" ref="AZ63:AZ64" si="15">AU63+AW63+AX63</f>
        <v>#DIV/0!</v>
      </c>
    </row>
    <row r="64" spans="1:52">
      <c r="A64">
        <f t="shared" ref="A64:A67" si="16">A63+1</f>
        <v>3</v>
      </c>
      <c r="B64" s="512">
        <f>HPwES!$J$17</f>
        <v>0</v>
      </c>
      <c r="C64" s="512">
        <f>HPwES!$J$21</f>
        <v>0</v>
      </c>
      <c r="D64" s="512">
        <f>HPwES!$J$19</f>
        <v>0</v>
      </c>
      <c r="E64" s="580">
        <f>HPwES!$J$25</f>
        <v>0</v>
      </c>
      <c r="F64" s="512">
        <f>HPwES!$J$32</f>
        <v>0</v>
      </c>
      <c r="G64" s="512">
        <f>HPwES!$J$36</f>
        <v>0</v>
      </c>
      <c r="H64" s="512">
        <f>HPwES!$J$34</f>
        <v>0</v>
      </c>
      <c r="I64" s="580">
        <f>HPwES!$J$40</f>
        <v>0</v>
      </c>
      <c r="J64" s="512">
        <f>HPwES!$D$17</f>
        <v>0</v>
      </c>
      <c r="K64" s="512">
        <f>IF(HPwES!$D$21="",HPwES!$D$23*3.412,HPwES!$D$21)</f>
        <v>0</v>
      </c>
      <c r="L64" s="512">
        <f>IF(HPwES!$D$23="",HPwES!$D$21/3.412,HPwES!$D$23)</f>
        <v>0</v>
      </c>
      <c r="M64" s="512">
        <f>HPwES!$D$19</f>
        <v>0</v>
      </c>
      <c r="N64" s="512">
        <f>HPwES!$D$25</f>
        <v>0</v>
      </c>
      <c r="O64" s="580">
        <f>HPwES!$D$27</f>
        <v>0</v>
      </c>
      <c r="P64" s="221">
        <f>HPwES!$D$32</f>
        <v>0</v>
      </c>
      <c r="Q64" s="221">
        <f>IF(HPwES!$D$36="",HPwES!$D$38*3.412,HPwES!$D$36)</f>
        <v>0</v>
      </c>
      <c r="R64" s="221">
        <f>IF(HPwES!$D$38="",HPwES!$D$36/3.412,HPwES!$D$38)</f>
        <v>0</v>
      </c>
      <c r="S64" s="221">
        <f>HPwES!$D$34</f>
        <v>0</v>
      </c>
      <c r="T64" s="221">
        <f>HPwES!$D$40</f>
        <v>0</v>
      </c>
      <c r="U64" s="221">
        <f>HPwES!$D$42</f>
        <v>0</v>
      </c>
      <c r="V64" s="553">
        <f>$BX$27</f>
        <v>675</v>
      </c>
      <c r="W64" s="553">
        <f>$BY$27</f>
        <v>1265</v>
      </c>
      <c r="X64" s="153"/>
      <c r="Z64" s="389">
        <f>HPwES!$D$65</f>
        <v>0</v>
      </c>
      <c r="AA64" s="389" t="str">
        <f>IF(OR(HPwES!D67="",RIGHT(HPwES!$D$65,5)="Attic",RIGHT(HPwES!$D$65,6)="Garage"),"",HPwES!$D$67)</f>
        <v/>
      </c>
      <c r="AB64" s="382" t="str">
        <f>Z64&amp;" "&amp;AA64</f>
        <v xml:space="preserve">0 </v>
      </c>
      <c r="AC64" s="583">
        <f>HPwES!D69</f>
        <v>0</v>
      </c>
      <c r="AD64" s="2584">
        <f>HPwES!$D$49</f>
        <v>0</v>
      </c>
      <c r="AE64" s="2584"/>
      <c r="AF64" s="554">
        <f>IF(OR($Z64="",$Z64=0),0,INDEX(References!$AX$75:$AZ$82,MATCH($AB64,References!$AX$75:$AX$82,0),2))</f>
        <v>0</v>
      </c>
      <c r="AG64" s="577">
        <f>IF(OR($Z64="",$Z64=0),0,INDEX(References!$AX$75:$AZ$82,MATCH($AB64,References!$AX$75:$AX$82,0),3))</f>
        <v>0</v>
      </c>
      <c r="AH64" s="554" t="str">
        <f>IF(OR($Z64="",$Z64=0),"",INDEX(References!BA$75:BA$80,MATCH($AB64,References!$AX$75:$AX$81,0)))</f>
        <v/>
      </c>
      <c r="AI64" s="554" t="str">
        <f>IF(OR($Z64="",$Z64=0),"",INDEX(References!BB$75:BB$80,MATCH($AB64,References!$AX$75:$AX$81,0)))</f>
        <v/>
      </c>
      <c r="AJ64" s="554" t="str">
        <f>IF(OR($Z64="",$Z64=0),"",INDEX(References!BC$75:BC$80,MATCH($AB64,References!$AX$75:$AX$81,0)))</f>
        <v/>
      </c>
      <c r="AK64" s="554" t="str">
        <f>IF(OR($Z64="",$Z64=0),"",INDEX(References!BD$75:BD$80,MATCH($AB64,References!$AX$75:$AX$81,0)))</f>
        <v/>
      </c>
      <c r="AL64" s="615">
        <f>HPwES!$D$73</f>
        <v>0</v>
      </c>
      <c r="AM64" s="616" t="e">
        <f t="shared" si="11"/>
        <v>#DIV/0!</v>
      </c>
      <c r="AN64" s="616">
        <f t="shared" si="12"/>
        <v>0</v>
      </c>
      <c r="AO64" s="616">
        <f t="shared" si="13"/>
        <v>0</v>
      </c>
      <c r="AQ64" s="553" t="str">
        <f>IF(OR(Z64="",AC64="",AC64=0,AD64="",AD64=0,AL64=0,AL64="- Please Select -"),"",INDEX(References!$BI$15:$BI$19,MATCH(Z64,References!$BH$15:$BH$19)))</f>
        <v/>
      </c>
      <c r="AR64" s="553" t="e">
        <f>IF(OR(AL64=0,LEFT(AL64,9)="Heating ("),0,IF(OR(AL64="Cooling (1)",AL64="Heating &amp; Cooling (1)"),(AC64/AD64)*((B64/1000)*(1/C64)),IF(OR(AL64="Cooling (2)",AL64="Heating &amp; Cooling (2)"),(AC64/AD64)*(F64/1000)*(1/G64),(AC64/AD64)*((B64/1000)*(1/C64)*E64+(F64/1000)*(1/G64)*I64))))*(1-(AH64/AJ64))*(1-AF64)</f>
        <v>#VALUE!</v>
      </c>
      <c r="AS64" s="553" t="e">
        <f>IF(OR(AL64=0,AN64=0),0,IF(OR(AL64="Heating (1)",AL64="Heating &amp; Cooling (1)"),(AC64/AD64)*((J64/1000)*(1/L64)),IF(OR(AL64="Heating (2)",AL64="Heating &amp; Cooling (2)"),(AC64/AD64)*(P64/1000)*(1/R64),(AC64/AD64)*((J64/1000)*(1/L64)*O64+(P64/1000)*(1/R64)*U64))))*(1-(AH64/AJ64))*(1-AF64)</f>
        <v>#VALUE!</v>
      </c>
      <c r="AT64" s="553" t="e">
        <f>(AC64/AD64)*AM64*(1-(AH64/AJ64))*(1-AF64)</f>
        <v>#DIV/0!</v>
      </c>
      <c r="AU64" s="553" t="e">
        <f>AT64*References!$D$12</f>
        <v>#DIV/0!</v>
      </c>
      <c r="AV64" s="553" t="e">
        <f>(AC64/AD64)*AN64*(1-(AI64/AK64))*(1-AG64)</f>
        <v>#DIV/0!</v>
      </c>
      <c r="AW64" s="553" t="e">
        <f>AV64*References!$D$12</f>
        <v>#DIV/0!</v>
      </c>
      <c r="AX64" s="553" t="e">
        <f>((AC64/AD64)*AO64*(1-(AI64/AK64))*(1-AG64))/10</f>
        <v>#DIV/0!</v>
      </c>
      <c r="AY64" s="553" t="e">
        <f t="shared" si="14"/>
        <v>#DIV/0!</v>
      </c>
      <c r="AZ64" s="553" t="e">
        <f t="shared" si="15"/>
        <v>#DIV/0!</v>
      </c>
    </row>
    <row r="65" spans="1:66" ht="15" customHeight="1">
      <c r="A65">
        <f t="shared" si="16"/>
        <v>4</v>
      </c>
      <c r="B65" s="220"/>
      <c r="C65" s="220"/>
      <c r="D65" s="220"/>
      <c r="E65" s="220"/>
      <c r="F65" s="220"/>
      <c r="G65" s="220"/>
      <c r="H65" s="220"/>
      <c r="I65" s="220"/>
      <c r="J65" s="220"/>
      <c r="K65" s="220"/>
      <c r="L65" s="220"/>
      <c r="M65" s="220"/>
      <c r="N65" s="220"/>
      <c r="O65" s="220"/>
      <c r="P65" s="221"/>
      <c r="Q65" s="221"/>
      <c r="R65" s="221"/>
      <c r="S65" s="221"/>
      <c r="T65" s="221"/>
      <c r="U65" s="221"/>
      <c r="V65" s="553"/>
      <c r="W65" s="153"/>
      <c r="X65" s="153"/>
      <c r="Z65" s="389"/>
      <c r="AA65" s="389" t="str">
        <f>IF(OR(HPwES!$D$55="",RIGHT(HPwES!$D$53,5)&lt;&gt;"Space",RIGHT(HPwES!$D$53,8)&lt;&gt;"Basement"),"",HPwES!$D$55)</f>
        <v/>
      </c>
      <c r="AB65" s="382"/>
      <c r="AC65" s="583"/>
      <c r="AD65" s="2584"/>
      <c r="AE65" s="2584"/>
      <c r="AF65" s="554"/>
      <c r="AG65" s="577"/>
      <c r="AH65" s="554"/>
      <c r="AI65" s="554"/>
      <c r="AJ65" s="554"/>
      <c r="AK65" s="554"/>
      <c r="AL65" s="614"/>
      <c r="AM65" s="617"/>
      <c r="AN65" s="617"/>
      <c r="AO65" s="616"/>
      <c r="AQ65" s="553"/>
      <c r="AR65" s="553"/>
      <c r="AS65" s="153"/>
      <c r="AT65" s="153"/>
      <c r="AU65" s="553"/>
      <c r="AV65" s="153"/>
      <c r="AW65" s="153"/>
      <c r="AX65" s="553"/>
      <c r="AY65" s="153"/>
      <c r="AZ65" s="553"/>
    </row>
    <row r="66" spans="1:66">
      <c r="A66">
        <f t="shared" si="16"/>
        <v>5</v>
      </c>
      <c r="B66" s="220"/>
      <c r="C66" s="220"/>
      <c r="D66" s="220"/>
      <c r="E66" s="220"/>
      <c r="F66" s="220"/>
      <c r="G66" s="220"/>
      <c r="H66" s="220"/>
      <c r="I66" s="220"/>
      <c r="J66" s="220"/>
      <c r="K66" s="220"/>
      <c r="L66" s="220"/>
      <c r="M66" s="220"/>
      <c r="N66" s="220"/>
      <c r="O66" s="220"/>
      <c r="P66" s="221"/>
      <c r="Q66" s="221"/>
      <c r="R66" s="221"/>
      <c r="S66" s="221"/>
      <c r="T66" s="221"/>
      <c r="U66" s="221"/>
      <c r="V66" s="553"/>
      <c r="W66" s="153"/>
      <c r="X66" s="153"/>
      <c r="Z66" s="389"/>
      <c r="AA66" s="389" t="str">
        <f>IF(OR(HPwES!$D$55="",RIGHT(HPwES!$D$53,5)&lt;&gt;"Space",RIGHT(HPwES!$D$53,8)&lt;&gt;"Basement"),"",HPwES!$D$55)</f>
        <v/>
      </c>
      <c r="AB66" s="382"/>
      <c r="AC66" s="583"/>
      <c r="AD66" s="2584"/>
      <c r="AE66" s="2584"/>
      <c r="AF66" s="554"/>
      <c r="AG66" s="577"/>
      <c r="AH66" s="554"/>
      <c r="AI66" s="554"/>
      <c r="AJ66" s="554"/>
      <c r="AK66" s="554"/>
      <c r="AL66" s="614"/>
      <c r="AM66" s="617"/>
      <c r="AN66" s="617"/>
      <c r="AO66" s="616"/>
      <c r="AQ66" s="553"/>
      <c r="AR66" s="553"/>
      <c r="AS66" s="153"/>
      <c r="AT66" s="153"/>
      <c r="AU66" s="553"/>
      <c r="AV66" s="153"/>
      <c r="AW66" s="153"/>
      <c r="AX66" s="553"/>
      <c r="AY66" s="153"/>
      <c r="AZ66" s="553"/>
    </row>
    <row r="67" spans="1:66">
      <c r="A67">
        <f t="shared" si="16"/>
        <v>6</v>
      </c>
      <c r="B67" s="220"/>
      <c r="C67" s="220"/>
      <c r="D67" s="220"/>
      <c r="E67" s="220"/>
      <c r="F67" s="220"/>
      <c r="G67" s="220"/>
      <c r="H67" s="220"/>
      <c r="I67" s="220"/>
      <c r="J67" s="220"/>
      <c r="K67" s="220"/>
      <c r="L67" s="220"/>
      <c r="M67" s="220"/>
      <c r="N67" s="220"/>
      <c r="O67" s="220"/>
      <c r="P67" s="221"/>
      <c r="Q67" s="221"/>
      <c r="R67" s="221"/>
      <c r="S67" s="221"/>
      <c r="T67" s="221"/>
      <c r="U67" s="221"/>
      <c r="V67" s="553"/>
      <c r="W67" s="153"/>
      <c r="X67" s="153"/>
      <c r="Z67" s="389"/>
      <c r="AA67" s="389" t="str">
        <f>IF(OR(HPwES!$D$55="",RIGHT(HPwES!$D$53,5)&lt;&gt;"Space",RIGHT(HPwES!$D$53,8)&lt;&gt;"Basement"),"",HPwES!$D$55)</f>
        <v/>
      </c>
      <c r="AB67" s="382"/>
      <c r="AC67" s="583"/>
      <c r="AD67" s="2584"/>
      <c r="AE67" s="2584"/>
      <c r="AF67" s="554"/>
      <c r="AG67" s="577"/>
      <c r="AH67" s="554"/>
      <c r="AI67" s="554"/>
      <c r="AJ67" s="554"/>
      <c r="AK67" s="554"/>
      <c r="AL67" s="614"/>
      <c r="AM67" s="617"/>
      <c r="AN67" s="617"/>
      <c r="AO67" s="616"/>
      <c r="AQ67" s="553"/>
      <c r="AR67" s="553"/>
      <c r="AS67" s="153"/>
      <c r="AT67" s="153"/>
      <c r="AU67" s="553"/>
      <c r="AV67" s="153"/>
      <c r="AW67" s="153"/>
      <c r="AX67" s="553"/>
      <c r="AY67" s="153"/>
      <c r="AZ67" s="553"/>
    </row>
    <row r="68" spans="1:66">
      <c r="AY68" t="s">
        <v>1700</v>
      </c>
      <c r="AZ68" s="627">
        <f>IF(AND(AQ62="",AQ63="",AQ64=""),0,IF(References!$C$17=TRUE,MIN(References!$BJ$5,HPwES!$J$47),MIN(References!$BI$5,HPwES!$J$47)))</f>
        <v>0</v>
      </c>
    </row>
    <row r="69" spans="1:66">
      <c r="A69" t="s">
        <v>1544</v>
      </c>
    </row>
    <row r="70" spans="1:66" ht="15" customHeight="1">
      <c r="B70" s="2580" t="s">
        <v>1485</v>
      </c>
      <c r="C70" s="2580"/>
      <c r="D70" s="2580"/>
      <c r="E70" s="2580"/>
      <c r="F70" s="2580"/>
      <c r="G70" s="2580"/>
      <c r="H70" s="2580"/>
      <c r="I70" s="2580"/>
      <c r="J70" s="2580"/>
      <c r="K70" s="2580"/>
      <c r="L70" s="2580"/>
      <c r="M70" s="2580"/>
      <c r="N70" s="2580"/>
      <c r="O70" s="2580"/>
      <c r="P70" s="2580"/>
      <c r="Q70" s="2580"/>
      <c r="R70" s="2580"/>
      <c r="S70" s="2580"/>
      <c r="T70" s="2580"/>
      <c r="U70" s="2580"/>
      <c r="V70" s="511"/>
      <c r="W70" s="2592" t="s">
        <v>1507</v>
      </c>
      <c r="X70" s="555" t="s">
        <v>618</v>
      </c>
      <c r="Z70" s="2594" t="s">
        <v>1666</v>
      </c>
      <c r="AA70" s="2595"/>
      <c r="AB70" s="2595"/>
      <c r="AC70" s="2595"/>
      <c r="AD70" s="2595"/>
      <c r="AE70" s="2595"/>
      <c r="AF70" s="2595"/>
      <c r="AG70" s="2595"/>
      <c r="AH70" s="2595"/>
      <c r="AI70" s="2595"/>
      <c r="AJ70" s="2595"/>
      <c r="AK70" s="2595"/>
      <c r="AL70" s="2595"/>
      <c r="AM70" s="2595"/>
      <c r="AQ70" s="2573" t="s">
        <v>1809</v>
      </c>
      <c r="AR70" s="2573" t="s">
        <v>1516</v>
      </c>
      <c r="AS70" s="2573" t="s">
        <v>1517</v>
      </c>
      <c r="AT70" s="2573" t="s">
        <v>898</v>
      </c>
      <c r="AU70" s="2573" t="s">
        <v>1792</v>
      </c>
      <c r="AV70" s="2573" t="s">
        <v>1673</v>
      </c>
      <c r="AW70" s="2573" t="s">
        <v>602</v>
      </c>
      <c r="AX70" s="620"/>
      <c r="AY70" s="620"/>
      <c r="AZ70" s="620"/>
    </row>
    <row r="71" spans="1:66" ht="43.5" customHeight="1">
      <c r="A71" t="s">
        <v>256</v>
      </c>
      <c r="B71" s="555" t="s">
        <v>1487</v>
      </c>
      <c r="C71" s="555" t="s">
        <v>1491</v>
      </c>
      <c r="D71" s="555" t="s">
        <v>1490</v>
      </c>
      <c r="E71" s="551" t="s">
        <v>1496</v>
      </c>
      <c r="F71" s="555" t="s">
        <v>1497</v>
      </c>
      <c r="G71" s="555" t="s">
        <v>1498</v>
      </c>
      <c r="H71" s="555" t="s">
        <v>1499</v>
      </c>
      <c r="I71" s="552" t="s">
        <v>1500</v>
      </c>
      <c r="J71" s="555" t="s">
        <v>1486</v>
      </c>
      <c r="K71" s="555" t="s">
        <v>1492</v>
      </c>
      <c r="L71" s="555" t="s">
        <v>1493</v>
      </c>
      <c r="M71" s="555" t="s">
        <v>1494</v>
      </c>
      <c r="N71" s="589" t="s">
        <v>1645</v>
      </c>
      <c r="O71" s="555" t="s">
        <v>1495</v>
      </c>
      <c r="P71" s="555" t="s">
        <v>1488</v>
      </c>
      <c r="Q71" s="555" t="s">
        <v>1501</v>
      </c>
      <c r="R71" s="555" t="s">
        <v>1502</v>
      </c>
      <c r="S71" s="555" t="s">
        <v>1503</v>
      </c>
      <c r="T71" s="555" t="s">
        <v>1646</v>
      </c>
      <c r="U71" s="555" t="s">
        <v>1504</v>
      </c>
      <c r="V71" s="550" t="s">
        <v>1506</v>
      </c>
      <c r="W71" s="2593"/>
      <c r="X71" s="584"/>
      <c r="Z71" s="381" t="s">
        <v>1656</v>
      </c>
      <c r="AA71" s="381" t="s">
        <v>1657</v>
      </c>
      <c r="AB71" s="381" t="s">
        <v>1658</v>
      </c>
      <c r="AC71" s="381" t="s">
        <v>1655</v>
      </c>
      <c r="AD71" s="381" t="s">
        <v>1654</v>
      </c>
      <c r="AE71" s="381" t="s">
        <v>1659</v>
      </c>
      <c r="AF71" s="575" t="s">
        <v>1660</v>
      </c>
      <c r="AG71" s="576"/>
      <c r="AH71" s="381" t="s">
        <v>1661</v>
      </c>
      <c r="AI71" s="381" t="s">
        <v>1662</v>
      </c>
      <c r="AJ71" s="381" t="s">
        <v>1668</v>
      </c>
      <c r="AK71" s="381" t="s">
        <v>1669</v>
      </c>
      <c r="AL71" s="381" t="s">
        <v>1670</v>
      </c>
      <c r="AM71" s="381" t="s">
        <v>1671</v>
      </c>
      <c r="AQ71" s="2581"/>
      <c r="AR71" s="2581"/>
      <c r="AS71" s="2581"/>
      <c r="AT71" s="2581"/>
      <c r="AU71" s="2581"/>
      <c r="AV71" s="2581"/>
      <c r="AW71" s="2581"/>
      <c r="AX71" s="620"/>
      <c r="AY71" s="620"/>
      <c r="AZ71" s="620"/>
    </row>
    <row r="72" spans="1:66">
      <c r="A72">
        <v>1</v>
      </c>
      <c r="B72" s="512">
        <f>HPwES!$J$17</f>
        <v>0</v>
      </c>
      <c r="C72" s="512">
        <f>HPwES!$J$21</f>
        <v>0</v>
      </c>
      <c r="D72" s="512">
        <f>HPwES!$J$19</f>
        <v>0</v>
      </c>
      <c r="E72" s="588">
        <f>HPwES!$J$25</f>
        <v>0</v>
      </c>
      <c r="F72" s="512">
        <f>HPwES!$J$32</f>
        <v>0</v>
      </c>
      <c r="G72" s="512">
        <f>HPwES!$J$36</f>
        <v>0</v>
      </c>
      <c r="H72" s="512">
        <f>HPwES!$J$34</f>
        <v>0</v>
      </c>
      <c r="I72" s="580">
        <f>HPwES!$J$40</f>
        <v>0</v>
      </c>
      <c r="J72" s="512">
        <f>HPwES!$D$17</f>
        <v>0</v>
      </c>
      <c r="K72" s="512">
        <f>HPwES!$D$21</f>
        <v>0</v>
      </c>
      <c r="L72" s="512">
        <f>HPwES!$D$23</f>
        <v>0</v>
      </c>
      <c r="M72" s="512">
        <f>HPwES!$D$19</f>
        <v>0</v>
      </c>
      <c r="N72" s="512">
        <f>HPwES!$D$25</f>
        <v>0</v>
      </c>
      <c r="O72" s="580">
        <f>HPwES!$D$27</f>
        <v>0</v>
      </c>
      <c r="P72" s="221">
        <f>HPwES!$D$32</f>
        <v>0</v>
      </c>
      <c r="Q72" s="221">
        <f>HPwES!$D$36</f>
        <v>0</v>
      </c>
      <c r="R72" s="221">
        <f>HPwES!$D$38</f>
        <v>0</v>
      </c>
      <c r="S72" s="221">
        <f>HPwES!$D$34</f>
        <v>0</v>
      </c>
      <c r="T72" s="221">
        <f>HPwES!$D$40</f>
        <v>0</v>
      </c>
      <c r="U72" s="221">
        <f>HPwES!$D$42</f>
        <v>0</v>
      </c>
      <c r="V72" s="553">
        <f>$BX$27</f>
        <v>675</v>
      </c>
      <c r="W72" s="553">
        <f>$BY$27</f>
        <v>1265</v>
      </c>
      <c r="X72" s="553"/>
      <c r="Z72" s="389">
        <f>HPwES!D107</f>
        <v>0</v>
      </c>
      <c r="AA72" s="389">
        <f>HPwES!D109</f>
        <v>0</v>
      </c>
      <c r="AB72" s="382">
        <f>Z72-AA72</f>
        <v>0</v>
      </c>
      <c r="AC72" s="382">
        <f>References!$BD$87</f>
        <v>0.9</v>
      </c>
      <c r="AD72" s="382">
        <f>References!$BD$86</f>
        <v>19</v>
      </c>
      <c r="AE72" s="553" t="str">
        <f>IF(AND(B72="",J72=""),"",IF(B72="",IF(LEFT(N72,8)="Electric","Electric Only","Fossil Fuel Only"),IF(LEFT(N72,8)="Electric",IF(RIGHT(N72,4)="Pump","Heat Pump","AC Electric Heat"),"AC Fossil Fuel Heat")))</f>
        <v>AC Fossil Fuel Heat</v>
      </c>
      <c r="AF72" s="593" t="str">
        <f>IF(AND(F72="",P72=""),"",IF(F72="",IF(LEFT(T72,8)="Electric","Electric Only","Fossil Fuel Only"),IF(LEFT(T72,8)="Electric",IF(RIGHT(T72,4)="Pump","Heat Pump","AC Electric Heat"),"AC Fossil Fuel Heat")))</f>
        <v>AC Fossil Fuel Heat</v>
      </c>
      <c r="AG72" s="594"/>
      <c r="AH72" s="553">
        <f>INDEX(References!$AY$87:$AY$91,MATCH(AE72,References!$AX$87:$AX$91,0))</f>
        <v>2.2999999999999998</v>
      </c>
      <c r="AI72" s="553">
        <f>INDEX(References!$AY$87:$AY$91,MATCH(AF72,References!$AX$87:$AX$91,0))</f>
        <v>2.2999999999999998</v>
      </c>
      <c r="AJ72" s="553">
        <f>INDEX(References!$AZ$87:$AZ$91,MATCH(AE72,References!$AX$87:$AX$91,0))</f>
        <v>4.0000000000000001E-3</v>
      </c>
      <c r="AK72" s="553">
        <f>INDEX(References!$AZ$87:$AZ$91,MATCH(AF72,References!$AX$87:$AX$91,0))</f>
        <v>4.0000000000000001E-3</v>
      </c>
      <c r="AL72" s="596">
        <f>INDEX(References!$BA$87:$BA$91,MATCH(AE72,References!$AX$87:$AX$91,0))</f>
        <v>1.7</v>
      </c>
      <c r="AM72" s="553">
        <f>INDEX(References!$BA$87:$BA$91,MATCH(AF72,References!$AX$87:$AX$91,0))</f>
        <v>1.7</v>
      </c>
      <c r="AQ72" s="553" t="str">
        <f>IF(OR(Z72="",AA72="",Z72=0,AA72=0,HPwES!$C$13="",HPwES!$C$13="- Please Select -"),"",References!$BI$20)</f>
        <v/>
      </c>
      <c r="AR72" s="553">
        <f>(AB72/(AC72*AD72))*(AJ72*E72+AK72*I72)</f>
        <v>0</v>
      </c>
      <c r="AS72" s="595">
        <f>(AB72/(AC72*AD72))*(IF(RIGHT(AE72,4)="Only",0,AJ72*O72)+IF(RIGHT(AF72,4)="Only",0,AK72*U72))</f>
        <v>0</v>
      </c>
      <c r="AT72" s="553">
        <f>(AB72/(AC72*AD72))*(IF(LEFT(AE72,4)="Only",0,AH72*O72)+IF(LEFT(AF72,4)="Only",0,AI72*U72))</f>
        <v>0</v>
      </c>
      <c r="AU72" s="553">
        <f>AT72*References!$D$12</f>
        <v>0</v>
      </c>
      <c r="AV72" s="553">
        <f>(AB72/(AC72*AD72))*(AL72*E72+AM72*U72)/10</f>
        <v>0</v>
      </c>
      <c r="AW72" s="553">
        <f>AU72+AV72</f>
        <v>0</v>
      </c>
      <c r="AX72" s="619"/>
      <c r="AY72" s="619"/>
      <c r="AZ72" s="619"/>
    </row>
    <row r="73" spans="1:66">
      <c r="A73">
        <f>A72+1</f>
        <v>2</v>
      </c>
      <c r="B73" s="512"/>
      <c r="C73" s="512"/>
      <c r="D73" s="512"/>
      <c r="E73" s="580"/>
      <c r="F73" s="512"/>
      <c r="G73" s="512"/>
      <c r="H73" s="512"/>
      <c r="I73" s="580"/>
      <c r="J73" s="512"/>
      <c r="K73" s="512"/>
      <c r="L73" s="512"/>
      <c r="M73" s="512"/>
      <c r="N73" s="512"/>
      <c r="O73" s="580"/>
      <c r="P73" s="221"/>
      <c r="Q73" s="221"/>
      <c r="R73" s="221"/>
      <c r="S73" s="221"/>
      <c r="T73" s="221"/>
      <c r="U73" s="221"/>
      <c r="V73" s="553"/>
      <c r="W73" s="553"/>
      <c r="X73" s="553"/>
      <c r="Z73" s="389"/>
      <c r="AA73" s="389"/>
      <c r="AB73" s="382"/>
      <c r="AC73" s="382"/>
      <c r="AD73" s="382"/>
      <c r="AE73" s="553"/>
      <c r="AF73" s="553"/>
      <c r="AG73" s="553"/>
      <c r="AH73" s="553"/>
      <c r="AI73" s="553"/>
      <c r="AJ73" s="553"/>
      <c r="AK73" s="553"/>
      <c r="AL73" s="553"/>
      <c r="AM73" s="553"/>
      <c r="AQ73" s="553"/>
      <c r="AR73" s="553"/>
      <c r="AS73" s="553"/>
      <c r="AT73" s="553"/>
      <c r="AU73" s="553"/>
      <c r="AV73" s="553"/>
      <c r="AW73" s="153"/>
      <c r="AX73" s="619"/>
      <c r="AY73" s="107"/>
    </row>
    <row r="74" spans="1:66">
      <c r="AV74" t="s">
        <v>1700</v>
      </c>
      <c r="AW74" s="627">
        <f>IF(AQ72="",0,IF(References!$C$17=TRUE,MIN(References!$BJ$6,HPwES!$J$100),MIN(References!$BI$6,HPwES!$J$100)))</f>
        <v>0</v>
      </c>
    </row>
    <row r="75" spans="1:66">
      <c r="A75" t="s">
        <v>1545</v>
      </c>
    </row>
    <row r="76" spans="1:66" ht="15" customHeight="1">
      <c r="B76" s="2594" t="s">
        <v>1485</v>
      </c>
      <c r="C76" s="2595"/>
      <c r="D76" s="2595"/>
      <c r="E76" s="2595"/>
      <c r="F76" s="2595"/>
      <c r="G76" s="2595"/>
      <c r="H76" s="2595"/>
      <c r="I76" s="2595"/>
      <c r="J76" s="2595"/>
      <c r="K76" s="2595"/>
      <c r="L76" s="2595"/>
      <c r="M76" s="2595"/>
      <c r="N76" s="2595"/>
      <c r="O76" s="2595"/>
      <c r="P76" s="2595"/>
      <c r="Q76" s="2595"/>
      <c r="R76" s="2595"/>
      <c r="S76" s="2595"/>
      <c r="T76" s="2595"/>
      <c r="U76" s="2596"/>
      <c r="V76" s="589"/>
      <c r="W76" s="2587" t="s">
        <v>1507</v>
      </c>
      <c r="X76" s="2587" t="s">
        <v>618</v>
      </c>
    </row>
    <row r="77" spans="1:66" ht="61.5" customHeight="1">
      <c r="A77" t="s">
        <v>256</v>
      </c>
      <c r="B77" s="589" t="s">
        <v>1487</v>
      </c>
      <c r="C77" s="589" t="s">
        <v>1491</v>
      </c>
      <c r="D77" s="589" t="s">
        <v>1490</v>
      </c>
      <c r="E77" s="611" t="s">
        <v>1496</v>
      </c>
      <c r="F77" s="589" t="s">
        <v>1497</v>
      </c>
      <c r="G77" s="589" t="s">
        <v>1498</v>
      </c>
      <c r="H77" s="589" t="s">
        <v>1499</v>
      </c>
      <c r="I77" s="591" t="s">
        <v>1500</v>
      </c>
      <c r="J77" s="589" t="s">
        <v>1486</v>
      </c>
      <c r="K77" s="589" t="s">
        <v>1492</v>
      </c>
      <c r="L77" s="589" t="s">
        <v>1493</v>
      </c>
      <c r="M77" s="589" t="s">
        <v>1494</v>
      </c>
      <c r="N77" s="589" t="s">
        <v>1645</v>
      </c>
      <c r="O77" s="589" t="s">
        <v>1495</v>
      </c>
      <c r="P77" s="589" t="s">
        <v>1488</v>
      </c>
      <c r="Q77" s="589" t="s">
        <v>1501</v>
      </c>
      <c r="R77" s="589" t="s">
        <v>1502</v>
      </c>
      <c r="S77" s="589" t="s">
        <v>1503</v>
      </c>
      <c r="T77" s="589" t="s">
        <v>1646</v>
      </c>
      <c r="U77" s="589" t="s">
        <v>1504</v>
      </c>
      <c r="V77" s="612" t="s">
        <v>1506</v>
      </c>
      <c r="W77" s="2588"/>
      <c r="X77" s="2588"/>
      <c r="Z77" s="381" t="s">
        <v>1675</v>
      </c>
      <c r="AA77" s="381" t="s">
        <v>1676</v>
      </c>
      <c r="AB77" s="381" t="s">
        <v>1677</v>
      </c>
      <c r="AC77" s="381" t="s">
        <v>686</v>
      </c>
      <c r="AD77" s="381" t="s">
        <v>1682</v>
      </c>
      <c r="AE77" s="381" t="s">
        <v>1683</v>
      </c>
      <c r="AF77" s="381" t="s">
        <v>1659</v>
      </c>
      <c r="AG77" s="381" t="s">
        <v>1660</v>
      </c>
      <c r="AI77" s="381" t="s">
        <v>1684</v>
      </c>
      <c r="AJ77" s="381" t="s">
        <v>1685</v>
      </c>
      <c r="AK77" s="381" t="s">
        <v>1686</v>
      </c>
      <c r="AL77" s="381" t="s">
        <v>1687</v>
      </c>
      <c r="AM77" s="381" t="s">
        <v>1688</v>
      </c>
      <c r="AN77" s="381" t="s">
        <v>1689</v>
      </c>
      <c r="AO77" s="381" t="s">
        <v>1690</v>
      </c>
      <c r="AP77" s="381" t="s">
        <v>1691</v>
      </c>
      <c r="AQ77" s="381" t="s">
        <v>1692</v>
      </c>
      <c r="AR77" s="381" t="s">
        <v>1693</v>
      </c>
      <c r="AS77" s="381" t="s">
        <v>1694</v>
      </c>
      <c r="AT77" s="381" t="s">
        <v>1695</v>
      </c>
      <c r="AU77" s="381" t="s">
        <v>1731</v>
      </c>
      <c r="AV77" s="381" t="s">
        <v>1732</v>
      </c>
      <c r="AW77" s="381" t="s">
        <v>1733</v>
      </c>
      <c r="AX77" s="381" t="s">
        <v>1674</v>
      </c>
      <c r="AY77" s="381" t="s">
        <v>1734</v>
      </c>
      <c r="AZ77" s="381" t="s">
        <v>1735</v>
      </c>
      <c r="BB77" s="511" t="s">
        <v>1737</v>
      </c>
      <c r="BC77" s="511" t="s">
        <v>1738</v>
      </c>
      <c r="BD77" s="511" t="s">
        <v>1739</v>
      </c>
      <c r="BF77" s="511" t="s">
        <v>193</v>
      </c>
      <c r="BG77" s="511" t="s">
        <v>1736</v>
      </c>
      <c r="BH77" s="511" t="s">
        <v>1517</v>
      </c>
      <c r="BI77" s="511" t="s">
        <v>1672</v>
      </c>
      <c r="BJ77" s="511" t="s">
        <v>1792</v>
      </c>
      <c r="BK77" s="511" t="s">
        <v>1673</v>
      </c>
      <c r="BL77" s="511" t="s">
        <v>602</v>
      </c>
      <c r="BM77" s="264"/>
      <c r="BN77" s="264"/>
    </row>
    <row r="78" spans="1:66">
      <c r="A78">
        <v>1</v>
      </c>
      <c r="B78" s="512">
        <f>HPwES!$J$17</f>
        <v>0</v>
      </c>
      <c r="C78" s="512">
        <f>HPwES!$J$21</f>
        <v>0</v>
      </c>
      <c r="D78" s="512">
        <f>HPwES!$J$19</f>
        <v>0</v>
      </c>
      <c r="E78" s="588">
        <f>HPwES!$J$25</f>
        <v>0</v>
      </c>
      <c r="F78" s="512">
        <f>HPwES!$J$32</f>
        <v>0</v>
      </c>
      <c r="G78" s="512">
        <f>HPwES!$J$36</f>
        <v>0</v>
      </c>
      <c r="H78" s="512">
        <f>HPwES!$J$34</f>
        <v>0</v>
      </c>
      <c r="I78" s="580">
        <f>HPwES!$J$40</f>
        <v>0</v>
      </c>
      <c r="J78" s="512">
        <f>HPwES!$D$17</f>
        <v>0</v>
      </c>
      <c r="K78" s="512">
        <f>HPwES!$D$21</f>
        <v>0</v>
      </c>
      <c r="L78" s="512">
        <f>HPwES!$D$23</f>
        <v>0</v>
      </c>
      <c r="M78" s="512">
        <f>HPwES!$D$19</f>
        <v>0</v>
      </c>
      <c r="N78" s="512">
        <f>HPwES!$D$25</f>
        <v>0</v>
      </c>
      <c r="O78" s="580">
        <f>HPwES!$D$27</f>
        <v>0</v>
      </c>
      <c r="P78" s="221">
        <f>HPwES!$D$32</f>
        <v>0</v>
      </c>
      <c r="Q78" s="221">
        <f>HPwES!$D$36</f>
        <v>0</v>
      </c>
      <c r="R78" s="221">
        <f>HPwES!$D$38</f>
        <v>0</v>
      </c>
      <c r="S78" s="221">
        <f>HPwES!$D$34</f>
        <v>0</v>
      </c>
      <c r="T78" s="221">
        <f>HPwES!$D$40</f>
        <v>0</v>
      </c>
      <c r="U78" s="221">
        <f>HPwES!$D$42</f>
        <v>0</v>
      </c>
      <c r="V78" s="553">
        <f>$BX$27</f>
        <v>675</v>
      </c>
      <c r="W78" s="553">
        <f>$BY$27</f>
        <v>1265</v>
      </c>
      <c r="X78" s="553"/>
      <c r="Z78" s="597">
        <f>HPwES!D151</f>
        <v>0</v>
      </c>
      <c r="AA78" s="597">
        <f>IF(AND(AC78="Exterior Walls",HPwES!D153&gt;References!$BJ$84),References!$BJ$84,IF(HPwES!D153&gt;References!$BJ$88,References!$BJ$88,HPwES!D153))</f>
        <v>0</v>
      </c>
      <c r="AB78" s="597">
        <f>HPwES!D149</f>
        <v>0</v>
      </c>
      <c r="AC78" s="622">
        <f>HPwES!D145</f>
        <v>0</v>
      </c>
      <c r="AD78" s="2">
        <f>IF(AC78="Exterior Walls",IF(Z78&gt;References!$BI$81,References!$BJ$81,IF(Z78&gt;References!$BI$80,References!$BJ$80,IF(Z78&gt;References!$BI$79,References!$BJ$79,IF(Z78&gt;References!$BI$78,References!$BJ$78,IF(OR(Z78&gt;References!$BI$77,Z78=References!$BI$77),References!$BJ$77))))),IF(Z78&gt;References!$BI$86,References!$BJ$86,IF(Z78&gt;References!$BI$85,References!$BJ$85,IF(Z78&gt;References!$BI$81,References!$BJ$81,IF(Z78&gt;References!$BI$78,References!$BJ$78,IF(Z78&gt;=References!$BI$77,References!$BJ$77))))))</f>
        <v>0</v>
      </c>
      <c r="AE78" s="2">
        <f>IF(AC78="Exterior Walls",IF(Z78&gt;References!$BI$81,References!$BJ$81,IF(Z78&gt;References!$BI$80,References!$BJ$81,IF(Z78&gt;References!$BI$79,References!$BJ$80,IF(Z78&gt;References!$BI$78,References!$BJ$79,IF(Z78&gt;=References!$BI$77,References!$BJ$78))))),IF(Z78&gt;References!$BI$86,References!$BJ$86,IF(Z78&gt;References!$BI$85,References!$BJ$86,IF(Z78&gt;References!$BI$81,References!$BJ$85,IF(Z78&gt;References!$BI$78,References!$BJ$81,IF(Z78&gt;=References!$BI$77,References!$BJ$78))))))</f>
        <v>11</v>
      </c>
      <c r="AF78" s="382" t="str">
        <f>IF(AND(B78="",J78=""),"",IF(OR(B78="",B78=0),IF(LEFT(N78,8)="Electric","Electric Only","Fossil Fuel Only"),IF(LEFT(N78,8)="Electric",IF(RIGHT(N78,4)="Pump","Heat Pump","AC Electric Heat"),"AC Fossil Fuel Heat")))</f>
        <v>Fossil Fuel Only</v>
      </c>
      <c r="AG78" s="382" t="str">
        <f>IF(AND(F78="",P78=""),"",IF(OR(F78="",F78=0),IF(LEFT(T78,8)="Electric","Electric Only","Fossil Fuel Only"),IF(LEFT(T78,8)="Electric",IF(RIGHT(T78,4)="Pump","Heat Pump","AC Electric Heat"),"AC Fossil Fuel Heat")))</f>
        <v>Fossil Fuel Only</v>
      </c>
      <c r="AI78" s="382" t="e">
        <f>IF($AC78="Exterior Walls",INDEX(IF($AF78="AC Fossil Fuel Heat",References!$AY$97:$BM$113,IF($AF78="Heat Pump",References!$AY$121:$BM$137,IF($AF78="AC Electric Heat",References!$AY$145:$BM$161,IF($AF78="Electric Only",References!$AY$169:$BM$185,References!$AY$193:$BM$209)))),MATCH($AA78,References!$AX$97:$AX$113,0),MATCH($AD78,References!$AY$95:$BM$95,0)),INDEX(IF(AF78="AC Fossil Fuel Heat",References!$AY$217:$BM$266,IF($AF78="Heat Pump",References!$AY$274:$BM$323,IF($AF78="AC Electric Heat",References!$AY$331:$BM$380,References!$AY$444:$BM$493))),MATCH($AA78,References!$AX$217:$AX$266,0),MATCH($AD78,References!$AY$215:$BM$215,0)))</f>
        <v>#N/A</v>
      </c>
      <c r="AJ78" s="382" t="e">
        <f>IF($AC78="Exterior Walls",INDEX(IF($AF78="AC Fossil Fuel Heat",References!$AY$97:$BM$113,IF($AF78="Heat Pump",References!$AY$121:$BM$137,IF($AF78="AC Electric Heat",References!$AY$145:$BM$161,IF($AF78="Electric Only",References!$AY$169:$BM$185,References!$AY$193:$BM$209)))),MATCH($AA78,References!$AX$97:$AX$113,0),MATCH($AE78,References!$AY$95:$BM$95,0)),INDEX(IF($AF78="AC Fossil Fuel Heat",References!$AY$217:$BM$266,IF($AF78="Heat Pump",References!$AY$274:$BM$323,IF($AF78="AC Electric Heat",References!$AY$331:$BM$380,References!$AY$444:$BM$493))),MATCH($AA78,References!$AX$217:$AX$266,0),MATCH($AE78,References!$AY$215:$BM$215,0)))</f>
        <v>#N/A</v>
      </c>
      <c r="AK78" s="382" t="e">
        <f>IF(AD78=AE78,AI78,((($Z78-$AD78)*(AJ78-AI78))/($AE78-$AD78))+AI78)</f>
        <v>#N/A</v>
      </c>
      <c r="AL78" s="382" t="e">
        <f>IF($AC78="Exterior Walls",INDEX(IF($AG78="AC Fossil Fuel Heat",References!$AY$97:$BM$113,IF($AG78="Heat Pump",References!$AY$121:$BM$137,IF($AG78="AC Electric Heat",References!$AY$145:$BM$161,IF($AG78="Electric Only",References!$AY$169:$BM$185,References!$AY$193:$BM$209)))),MATCH($AA78,References!$AX$97:$AX$113,0),MATCH($AD78,References!$AY$95:$BM$95,0)),INDEX(IF($AG78="AC Fossil Fuel Heat",References!$AY$217:$BM$266,IF($AG78="Heat Pump",References!$AY$274:$BM$323,IF($AG78="AC Electric Heat",References!$AY$331:$BM$380,References!$AY$444:$BM$493))),MATCH($AA78,References!$AX$217:$AX$266,0),MATCH($AD78,References!$AY$215:$BM$215,0)))</f>
        <v>#N/A</v>
      </c>
      <c r="AM78" s="382" t="e">
        <f>IF($AC78="Exterior Walls",INDEX(IF($AG78="AC Fossil Fuel Heat",References!$AY$97:$BM$113,IF($AG78="Heat Pump",References!$AY$121:$BM$137,IF($AG78="AC Electric Heat",References!$AY$145:$BM$161,IF($AG78="Electric Only",References!$AY$169:$BM$185,References!$AY$193:$BM$209)))),MATCH($AA78,References!$AX$97:$AX$113,0),MATCH($AE78,References!$AY$95:$BM$95,0)),INDEX(IF($AG78="AC Fossil Fuel Heat",References!$AY$217:$BM$266,IF($AG78="Heat Pump",References!$AY$274:$BM$323,IF($AG78="AC Electric Heat",References!$AY$331:$BM$380,References!$AY$444:$BM$493))),MATCH($AA78,References!$AX$217:$AX$266,0),MATCH($AE78,References!$AY$215:$BM$215,0)))</f>
        <v>#N/A</v>
      </c>
      <c r="AN78" s="382" t="e">
        <f>IF(AL78=AM78,AL78,((($Z78-$AD78)*(AM78-AL78))/($AE78-$AD78))+AL78)</f>
        <v>#N/A</v>
      </c>
      <c r="AO78" s="382" t="e">
        <f>IF($AC78="Exterior Walls",INDEX(IF($AF78="AC Fossil Fuel Heat",References!$AY$97:$BM$113,IF($AF78="Heat Pump",References!$AY$121:$BM$137,IF($AF78="AC Electric Heat",References!$AY$145:$BM$161,References!$AY$169:$BM$185))),MATCH($AA78,References!$AX$97:$AX$113,0),MATCH($AD78,References!$AY$95:$BM$95,0)+1),INDEX(IF(AF78="AC Fossil Fuel Heat",References!$AY$217:$BM$266,IF($AF78="Heat Pump",References!$AY$274:$BM$323,IF($AF78="AC Electric Heat",References!$AY$331:$BM$380,References!$AY$444:$BM$493))),MATCH($AA78,References!$AX$217:$AX$266,0),MATCH($AD78,References!$AY$215:$BM$215,0)+1))</f>
        <v>#N/A</v>
      </c>
      <c r="AP78" s="598" t="e">
        <f>IF($AC78="Exterior Walls",INDEX(IF($AF78="AC Fossil Fuel Heat",References!$AY$97:$BM$113,IF($AF78="Heat Pump",References!$AY$121:$BM$137,IF($AF78="AC Electric Heat",References!$AY$145:$BM$161,References!$AY$169:$BM$185))),MATCH($AA78,References!$AX$97:$AX$113,0),MATCH($AE78,References!$AY$95:$BM$95,0)+1),INDEX(IF($AF78="AC Fossil Fuel Heat",References!$AY$217:$BM$266,IF($AF78="Heat Pump",References!$AY$274:$BM$323,IF($AF78="AC Electric Heat",References!$AY$331:$BM$380,References!$AY$444:$BM$493))),MATCH($AA78,References!$AX$217:$AX$266,0),MATCH($AE78,References!$AY$215:$BM$215,0)+1))</f>
        <v>#N/A</v>
      </c>
      <c r="AQ78" s="382" t="e">
        <f>IF(AO78=AP78,AO78,((($Z78-$AD78)*(AP78-AO78))/($AE78-$AD78))+AO78)</f>
        <v>#N/A</v>
      </c>
      <c r="AR78" s="382" t="e">
        <f>IF($AC78="Exterior Walls",INDEX(IF($AG78="AC Fossil Fuel Heat",References!$AY$97:$BM$113,IF($AG78="Heat Pump",References!$AY$121:$BM$137,IF($AG78="AC Electric Heat",References!$AY$145:$BM$161,References!$AY$169:$BM$185))),MATCH($AA78,References!$AX$97:$AX$113,0),MATCH($AD78,References!$AY$95:$BM$95,0)+1),INDEX(IF($AG78="AC Fossil Fuel Heat",References!$AY$217:$BM$266,IF($AG78="Heat Pump",References!$AY$274:$BM$323,IF($AG78="AC Electric Heat",References!$AY$331:$BM$380,References!$AY$444:$BM$493))),MATCH($AA78,References!$AX$217:$AX$266,0),MATCH($AD78,References!$AY$215:$BM$215,0)+1))</f>
        <v>#N/A</v>
      </c>
      <c r="AS78" s="598" t="e">
        <f>IF($AC78="Exterior Walls",INDEX(IF($AG78="AC Fossil Fuel Heat",References!$AY$97:$BM$113,IF($AG78="Heat Pump",References!$AY$121:$BM$137,IF($AG78="AC Electric Heat",References!$AY$145:$BM$161,References!$AY$169:$BM$185))),MATCH($AA78,References!$AX$97:$AX$113,0),MATCH($AE78,References!$AY$95:$BM$95,0)+1),INDEX(IF($AG78="AC Fossil Fuel Heat",References!$AY$217:$BM$266,IF($AG78="Heat Pump",References!$AY$274:$BM$323,IF($AG78="AC Electric Heat",References!$AY$331:$BM$380,References!$AY$444:$BM$493))),MATCH($AA78,References!$AX$217:$AX$266,0),MATCH($AE78,References!$AY$215:$BM$215,0)+1))</f>
        <v>#N/A</v>
      </c>
      <c r="AT78" s="382" t="e">
        <f>IF(AR78=AS78,AR78,((($Z78-$AD78)*(AS78-AR78))/($AE78-$AD78))+AR78)</f>
        <v>#N/A</v>
      </c>
      <c r="AU78" s="382" t="e">
        <f>IF($AC78="Exterior Walls",INDEX(IF($AF78="AC Fossil Fuel Heat",References!$AY$97:$BM$113,IF($AF78="Heat Pump",References!$AY$121:$BM$137,IF($AF78="AC Electric Heat",References!$AY$145:$BM$161,IF($AF78="Electric Only",References!$AY$169:$BM$185,References!$AY$193:$BM$209)))),MATCH($AA78,References!$AX$97:$AX$113,0),MATCH($AD78,References!$AY$95:$BM$95,0)+2),INDEX(IF($AF78="AC Fossil Fuel Heat",References!$AY$217:$BM$266,IF($AF78="Heat Pump",References!$AY$274:$BM$323,IF($AF78="AC Electric Heat",References!$AY$331:$BM$380,References!$AY$444:$BM$493))),MATCH($AA78,References!$AX$217:$AX$266,0),MATCH($AD78,References!$AY$215:$BM$215,0)+2))</f>
        <v>#N/A</v>
      </c>
      <c r="AV78" s="382" t="e">
        <f>IF($AC78="Exterior Walls",INDEX(IF($AF78="AC Fossil Fuel Heat",References!$AY$97:$BM$113,IF($AF78="Heat Pump",References!$AY$121:$BM$137,IF($AF78="AC Electric Heat",References!$AY$145:$BM$161,IF($AF78="Electric Only",References!$AY$169:$BM$185,References!$AY$193:$BM$209)))),MATCH($AA78,References!$AX$97:$AX$113,0),MATCH($AE78,References!$AY$95:$BM$95,0)+2),INDEX(IF($AF78="AC Fossil Fuel Heat",References!$AY$217:$BM$266,IF($AF78="Heat Pump",References!$AY$274:$BM$323,IF($AF78="AC Electric Heat",References!$AY$331:$BM$380,References!$AY$444:$BM$493))),MATCH($AA78,References!$AX$217:$AX$266,0),MATCH($AE78,References!$AY$215:$BM$215,0)+2))</f>
        <v>#N/A</v>
      </c>
      <c r="AW78" s="382" t="e">
        <f>IF(AU78=AV78,AU78,((($Z78-$AD78)*(AV78-AU78))/($AE78-$AD78))+AU78)</f>
        <v>#N/A</v>
      </c>
      <c r="AX78" s="382" t="e">
        <f>IF($AC78="Exterior Walls",INDEX(IF($AG78="AC Fossil Fuel Heat",References!$AY$97:$BM$113,IF($AG78="Heat Pump",References!$AY$121:$BM$137,IF($AG78="AC Electric Heat",References!$AY$145:$BM$161,IF($AG78="Electric Only",References!$AY$169:$BM$185,References!$AY$193:$BM$209)))),MATCH($AA78,References!$AX$97:$AX$113,0),MATCH($AD78,References!$AY$95:$BM$95,0)+2),INDEX(IF($AG78="AC Fossil Fuel Heat",References!$AY$217:$BM$266,IF($AG78="Heat Pump",References!$AY$274:$BM$323,IF($AG78="AC Electric Heat",References!$AY$331:$BM$380,References!$AY$444:$BM$493))),MATCH($AA78,References!$AX$217:$AX$266,0),MATCH($AD78,References!$AY$215:$BM$215,0)+2))</f>
        <v>#N/A</v>
      </c>
      <c r="AY78" s="382" t="e">
        <f>IF($AC78="Exterior Walls",INDEX(IF($AG78="AC Fossil Fuel Heat",References!$AY$97:$BM$113,IF($AG78="Heat Pump",References!$AY$121:$BM$137,IF($AG78="AC Electric Heat",References!$AY$145:$BM$161,IF($AG78="Electric Only",References!$AY$169:$BM$185,References!$AY$193:$BM$209)))),MATCH($AA78,References!$AX$97:$AX$113,0),MATCH($AE78,References!$AY$95:$BM$95,0)+2),INDEX(IF($AG78="AC Fossil Fuel Heat",References!$AY$217:$BM$266,IF($AG78="Heat Pump",References!$AY$274:$BM$323,IF($AG78="AC Electric Heat",References!$AY$331:$BM$380,References!$AY$444:$BM$493))),MATCH($AA78,References!$AX$217:$AX$266,0),MATCH($AE78,References!$AY$215:$BM$215,0)+2))</f>
        <v>#N/A</v>
      </c>
      <c r="AZ78" s="382" t="e">
        <f>IF(AX78=AY78,AX78,((($Z78-$AD78)*(AY78-AX78))/($AE78-$AD78))+AX78)</f>
        <v>#N/A</v>
      </c>
      <c r="BB78" s="595" t="e">
        <f>AQ78*E78+AT78*I78</f>
        <v>#N/A</v>
      </c>
      <c r="BC78" s="553" t="e">
        <f>IF(AF78="AC w/ Fossil Fuel",AK78*E78+AN78*I78,AK78*O78+AN78*U78)</f>
        <v>#N/A</v>
      </c>
      <c r="BD78" s="553" t="e">
        <f>AW78*O78+AZ78*U78</f>
        <v>#N/A</v>
      </c>
      <c r="BF78" s="595" t="str">
        <f>IF(OR(Z78="",AA78="",AB78="",AC78=0,AC78=""),"",INDEX(References!$BI$21:$BI$24,MATCH(IF(AC78="Attic 2","Attic",AC78),References!$BH$21:$BH$24,0)))</f>
        <v/>
      </c>
      <c r="BG78" s="595" t="e">
        <f>BB78*$AB78/1000</f>
        <v>#N/A</v>
      </c>
      <c r="BH78" s="553" t="e">
        <f t="shared" ref="BH78:BI82" si="17">BB78*$AB78/1000</f>
        <v>#N/A</v>
      </c>
      <c r="BI78" s="553" t="e">
        <f t="shared" si="17"/>
        <v>#N/A</v>
      </c>
      <c r="BJ78" s="553" t="e">
        <f>BI78*References!$D$12</f>
        <v>#N/A</v>
      </c>
      <c r="BK78" s="553" t="e">
        <f>BD78/10*$AB78/1000</f>
        <v>#N/A</v>
      </c>
      <c r="BL78" s="553" t="e">
        <f>BJ78+BK78</f>
        <v>#N/A</v>
      </c>
      <c r="BM78" s="619"/>
      <c r="BN78" s="619"/>
    </row>
    <row r="79" spans="1:66">
      <c r="A79">
        <f>A78+1</f>
        <v>2</v>
      </c>
      <c r="B79" s="512">
        <f>HPwES!$J$17</f>
        <v>0</v>
      </c>
      <c r="C79" s="512">
        <f>HPwES!$J$21</f>
        <v>0</v>
      </c>
      <c r="D79" s="512">
        <f>HPwES!$J$19</f>
        <v>0</v>
      </c>
      <c r="E79" s="580">
        <f>HPwES!$J$25</f>
        <v>0</v>
      </c>
      <c r="F79" s="512">
        <f>HPwES!$J$32</f>
        <v>0</v>
      </c>
      <c r="G79" s="512">
        <f>HPwES!$J$36</f>
        <v>0</v>
      </c>
      <c r="H79" s="512">
        <f>HPwES!$J$34</f>
        <v>0</v>
      </c>
      <c r="I79" s="580">
        <f>HPwES!$J$40</f>
        <v>0</v>
      </c>
      <c r="J79" s="512">
        <f>HPwES!$D$17</f>
        <v>0</v>
      </c>
      <c r="K79" s="512">
        <f>HPwES!$D$21</f>
        <v>0</v>
      </c>
      <c r="L79" s="512">
        <f>HPwES!$D$23</f>
        <v>0</v>
      </c>
      <c r="M79" s="512">
        <f>HPwES!$D$19</f>
        <v>0</v>
      </c>
      <c r="N79" s="512">
        <f>HPwES!$D$25</f>
        <v>0</v>
      </c>
      <c r="O79" s="580">
        <f>HPwES!$D$27</f>
        <v>0</v>
      </c>
      <c r="P79" s="221">
        <f>HPwES!$D$32</f>
        <v>0</v>
      </c>
      <c r="Q79" s="221">
        <f>HPwES!$D$36</f>
        <v>0</v>
      </c>
      <c r="R79" s="221">
        <f>HPwES!$D$38</f>
        <v>0</v>
      </c>
      <c r="S79" s="221">
        <f>HPwES!$D$34</f>
        <v>0</v>
      </c>
      <c r="T79" s="221">
        <f>HPwES!$D$40</f>
        <v>0</v>
      </c>
      <c r="U79" s="221">
        <f>HPwES!$D$42</f>
        <v>0</v>
      </c>
      <c r="V79" s="553">
        <f>$BX$27</f>
        <v>675</v>
      </c>
      <c r="W79" s="553">
        <f>$BY$27</f>
        <v>1265</v>
      </c>
      <c r="X79" s="553"/>
      <c r="Z79" s="597">
        <f>HPwES!J151</f>
        <v>0</v>
      </c>
      <c r="AA79" s="597">
        <f>IF(AND(AC79="Exterior Walls",HPwES!J153&gt;References!$BJ$84),References!$BJ$84,IF(HPwES!J153&gt;References!$BJ$88,References!$BJ$88,HPwES!J153))</f>
        <v>0</v>
      </c>
      <c r="AB79" s="597">
        <f>HPwES!J149</f>
        <v>0</v>
      </c>
      <c r="AC79" s="622">
        <f>HPwES!J145</f>
        <v>0</v>
      </c>
      <c r="AD79" s="2">
        <f>IF(AC79="Exterior Walls",IF(Z79&gt;References!$BI$81,References!$BJ$81,IF(Z79&gt;References!$BI$80,References!$BJ$80,IF(Z79&gt;References!$BI$79,References!$BJ$79,IF(Z79&gt;References!$BI$78,References!$BJ$78,IF(OR(Z79&gt;References!$BI$77,Z79=References!$BI$77),References!$BJ$77))))),IF(Z79&gt;References!$BI$86,References!$BJ$86,IF(Z79&gt;References!$BI$85,References!$BJ$85,IF(Z79&gt;References!$BI$81,References!$BJ$81,IF(Z79&gt;References!$BI$78,References!$BJ$78,IF(Z79&gt;=References!$BI$77,References!$BJ$77))))))</f>
        <v>0</v>
      </c>
      <c r="AE79" s="2">
        <f>IF(AC79="Exterior Walls",IF(Z79&gt;References!$BI$81,References!$BJ$81,IF(Z79&gt;References!$BI$80,References!$BJ$81,IF(Z79&gt;References!$BI$79,References!$BJ$80,IF(Z79&gt;References!$BI$78,References!$BJ$79,IF(Z79&gt;=References!$BI$77,References!$BJ$78))))),IF(Z79&gt;References!$BI$86,References!$BJ$86,IF(Z79&gt;References!$BI$85,References!$BJ$86,IF(Z79&gt;References!$BI$81,References!$BJ$85,IF(Z79&gt;References!$BI$78,References!$BJ$81,IF(Z79&gt;=References!$BI$77,References!$BJ$78))))))</f>
        <v>11</v>
      </c>
      <c r="AF79" s="382" t="str">
        <f t="shared" ref="AF79:AF87" si="18">IF(AND(B79="",J79=""),"",IF(OR(B79="",B79=0),IF(LEFT(N79,8)="Electric","Electric Only","Fossil Fuel Only"),IF(LEFT(N79,8)="Electric",IF(RIGHT(N79,4)="Pump","Heat Pump","AC Electric Heat"),"AC Fossil Fuel Heat")))</f>
        <v>Fossil Fuel Only</v>
      </c>
      <c r="AG79" s="382" t="str">
        <f t="shared" ref="AG79:AG87" si="19">IF(AND(F79="",P79=""),"",IF(OR(F79="",F79=0),IF(LEFT(T79,8)="Electric","Electric Only","Fossil Fuel Only"),IF(LEFT(T79,8)="Electric",IF(RIGHT(T79,4)="Pump","Heat Pump","AC Electric Heat"),"AC Fossil Fuel Heat")))</f>
        <v>Fossil Fuel Only</v>
      </c>
      <c r="AI79" s="382" t="e">
        <f>IF($AC79="Exterior Walls",INDEX(IF($AF79="AC Fossil Fuel Heat",References!$AY$97:$BM$113,IF($AF79="Heat Pump",References!$AY$121:$BM$137,IF($AF79="AC Electric Heat",References!$AY$145:$BM$161,IF($AF79="Electric Only",References!$AY$169:$BM$185,References!$AY$193:$BM$209)))),MATCH($AA79,References!$AX$97:$AX$113,0),MATCH($AD79,References!$AY$95:$BM$95,0)),INDEX(IF(AF79="AC Fossil Fuel Heat",References!$AY$217:$BM$266,IF($AF79="Heat Pump",References!$AY$274:$BM$323,IF($AF79="AC Electric Heat",References!$AY$331:$BM$380,References!$AY$444:$BM$493))),MATCH($AA79,References!$AX$217:$AX$266,0),MATCH($AD79,References!$AY$215:$BM$215,0)))</f>
        <v>#N/A</v>
      </c>
      <c r="AJ79" s="382" t="e">
        <f>IF($AC79="Exterior Walls",INDEX(IF($AF79="AC Fossil Fuel Heat",References!$AY$97:$BM$113,IF($AF79="Heat Pump",References!$AY$121:$BM$137,IF($AF79="AC Electric Heat",References!$AY$145:$BM$161,IF($AF79="Electric Only",References!$AY$169:$BM$185,References!$AY$193:$BM$209)))),MATCH($AA79,References!$AX$97:$AX$113,0),MATCH($AE79,References!$AY$95:$BM$95,0)),INDEX(IF($AF79="AC Fossil Fuel Heat",References!$AY$217:$BM$266,IF($AF79="Heat Pump",References!$AY$274:$BM$323,IF($AF79="AC Electric Heat",References!$AY$331:$BM$380,References!$AY$444:$BM$493))),MATCH($AA79,References!$AX$217:$AX$266,0),MATCH($AE79,References!$AY$215:$BM$215,0)))</f>
        <v>#N/A</v>
      </c>
      <c r="AK79" s="382" t="e">
        <f t="shared" ref="AK79:AK82" si="20">IF(AD79=AE79,AI79,((($Z79-$AD79)*(AJ79-AI79))/($AE79-$AD79))+AI79)</f>
        <v>#N/A</v>
      </c>
      <c r="AL79" s="382" t="e">
        <f>IF($AC79="Exterior Walls",INDEX(IF($AG79="AC Fossil Fuel Heat",References!$AY$97:$BM$113,IF($AG79="Heat Pump",References!$AY$121:$BM$137,IF($AG79="AC Electric Heat",References!$AY$145:$BM$161,IF($AG79="Electric Only",References!$AY$169:$BM$185,References!$AY$193:$BM$209)))),MATCH($AA79,References!$AX$97:$AX$113,0),MATCH($AD79,References!$AY$95:$BM$95,0)),INDEX(IF($AG79="AC Fossil Fuel Heat",References!$AY$217:$BM$266,IF($AG79="Heat Pump",References!$AY$274:$BM$323,IF($AG79="AC Electric Heat",References!$AY$331:$BM$380,References!$AY$444:$BM$493))),MATCH($AA79,References!$AX$217:$AX$266,0),MATCH($AD79,References!$AY$215:$BM$215,0)))</f>
        <v>#N/A</v>
      </c>
      <c r="AM79" s="382" t="e">
        <f>IF($AC79="Exterior Walls",INDEX(IF($AG79="AC Fossil Fuel Heat",References!$AY$97:$BM$113,IF($AG79="Heat Pump",References!$AY$121:$BM$137,IF($AG79="AC Electric Heat",References!$AY$145:$BM$161,IF($AG79="Electric Only",References!$AY$169:$BM$185,References!$AY$193:$BM$209)))),MATCH($AA79,References!$AX$97:$AX$113,0),MATCH($AE79,References!$AY$95:$BM$95,0)),INDEX(IF($AG79="AC Fossil Fuel Heat",References!$AY$217:$BM$266,IF($AG79="Heat Pump",References!$AY$274:$BM$323,IF($AG79="AC Electric Heat",References!$AY$331:$BM$380,References!$AY$444:$BM$493))),MATCH($AA79,References!$AX$217:$AX$266,0),MATCH($AE79,References!$AY$215:$BM$215,0)))</f>
        <v>#N/A</v>
      </c>
      <c r="AN79" s="382" t="e">
        <f t="shared" ref="AN79:AN82" si="21">IF(AL79=AM79,AL79,((($Z79-$AD79)*(AM79-AL79))/($AE79-$AD79))+AL79)</f>
        <v>#N/A</v>
      </c>
      <c r="AO79" s="382" t="e">
        <f>IF($AC79="Exterior Walls",INDEX(IF($AF79="AC Fossil Fuel Heat",References!$AY$97:$BM$113,IF($AF79="Heat Pump",References!$AY$121:$BM$137,IF($AF79="AC Electric Heat",References!$AY$145:$BM$161,References!$AY$169:$BM$185))),MATCH($AA79,References!$AX$97:$AX$113,0),MATCH($AD79,References!$AY$95:$BM$95,0)+1),INDEX(IF(AF79="AC Fossil Fuel Heat",References!$AY$217:$BM$266,IF($AF79="Heat Pump",References!$AY$274:$BM$323,IF($AF79="AC Electric Heat",References!$AY$331:$BM$380,References!$AY$444:$BM$493))),MATCH($AA79,References!$AX$217:$AX$266,0),MATCH($AD79,References!$AY$215:$BM$215,0)+1))</f>
        <v>#N/A</v>
      </c>
      <c r="AP79" s="598" t="e">
        <f>IF($AC79="Exterior Walls",INDEX(IF($AF79="AC Fossil Fuel Heat",References!$AY$97:$BM$113,IF($AF79="Heat Pump",References!$AY$121:$BM$137,IF($AF79="AC Electric Heat",References!$AY$145:$BM$161,References!$AY$169:$BM$185))),MATCH($AA79,References!$AX$97:$AX$113,0),MATCH($AE79,References!$AY$95:$BM$95,0)+1),INDEX(IF($AF79="AC Fossil Fuel Heat",References!$AY$217:$BM$266,IF($AF79="Heat Pump",References!$AY$274:$BM$323,IF($AF79="AC Electric Heat",References!$AY$331:$BM$380,References!$AY$444:$BM$493))),MATCH($AA79,References!$AX$217:$AX$266,0),MATCH($AE79,References!$AY$215:$BM$215,0)+1))</f>
        <v>#N/A</v>
      </c>
      <c r="AQ79" s="382" t="e">
        <f t="shared" ref="AQ79:AQ82" si="22">IF(AO79=AP79,AO79,((($Z79-$AD79)*(AP79-AO79))/($AE79-$AD79))+AO79)</f>
        <v>#N/A</v>
      </c>
      <c r="AR79" s="382" t="e">
        <f>IF($AC79="Exterior Walls",INDEX(IF($AG79="AC Fossil Fuel Heat",References!$AY$97:$BM$113,IF($AG79="Heat Pump",References!$AY$121:$BM$137,IF($AG79="AC Electric Heat",References!$AY$145:$BM$161,References!$AY$169:$BM$185))),MATCH($AA79,References!$AX$97:$AX$113,0),MATCH($AD79,References!$AY$95:$BM$95,0)+1),INDEX(IF($AG79="AC Fossil Fuel Heat",References!$AY$217:$BM$266,IF($AG79="Heat Pump",References!$AY$274:$BM$323,IF($AG79="AC Electric Heat",References!$AY$331:$BM$380,References!$AY$444:$BM$493))),MATCH($AA79,References!$AX$217:$AX$266,0),MATCH($AD79,References!$AY$215:$BM$215,0)+1))</f>
        <v>#N/A</v>
      </c>
      <c r="AS79" s="598" t="e">
        <f>IF($AC79="Exterior Walls",INDEX(IF($AG79="AC Fossil Fuel Heat",References!$AY$97:$BM$113,IF($AG79="Heat Pump",References!$AY$121:$BM$137,IF($AG79="AC Electric Heat",References!$AY$145:$BM$161,References!$AY$169:$BM$185))),MATCH($AA79,References!$AX$97:$AX$113,0),MATCH($AE79,References!$AY$95:$BM$95,0)+1),INDEX(IF($AG79="AC Fossil Fuel Heat",References!$AY$217:$BM$266,IF($AG79="Heat Pump",References!$AY$274:$BM$323,IF($AG79="AC Electric Heat",References!$AY$331:$BM$380,References!$AY$444:$BM$493))),MATCH($AA79,References!$AX$217:$AX$266,0),MATCH($AE79,References!$AY$215:$BM$215,0)+1))</f>
        <v>#N/A</v>
      </c>
      <c r="AT79" s="382" t="e">
        <f t="shared" ref="AT79:AT82" si="23">IF(AR79=AS79,AR79,((($Z79-$AD79)*(AS79-AR79))/($AE79-$AD79))+AR79)</f>
        <v>#N/A</v>
      </c>
      <c r="AU79" s="382" t="e">
        <f>IF($AC79="Exterior Walls",INDEX(IF($AF79="AC Fossil Fuel Heat",References!$AY$97:$BM$113,IF($AF79="Heat Pump",References!$AY$121:$BM$137,IF($AF79="AC Electric Heat",References!$AY$145:$BM$161,IF($AF79="Electric Only",References!$AY$169:$BM$185,References!$AY$193:$BM$209)))),MATCH($AA79,References!$AX$97:$AX$113,0),MATCH($AD79,References!$AY$95:$BM$95,0)+2),INDEX(IF($AF79="AC Fossil Fuel Heat",References!$AY$217:$BM$266,IF($AF79="Heat Pump",References!$AY$274:$BM$323,IF($AF79="AC Electric Heat",References!$AY$331:$BM$380,References!$AY$444:$BM$493))),MATCH($AA79,References!$AX$217:$AX$266,0),MATCH($AD79,References!$AY$215:$BM$215,0)+2))</f>
        <v>#N/A</v>
      </c>
      <c r="AV79" s="382" t="e">
        <f>IF($AC79="Exterior Walls",INDEX(IF($AF79="AC Fossil Fuel Heat",References!$AY$97:$BM$113,IF($AF79="Heat Pump",References!$AY$121:$BM$137,IF($AF79="AC Electric Heat",References!$AY$145:$BM$161,IF($AF79="Electric Only",References!$AY$169:$BM$185,References!$AY$193:$BM$209)))),MATCH($AA79,References!$AX$97:$AX$113,0),MATCH($AE79,References!$AY$95:$BM$95,0)+2),INDEX(IF($AF79="AC Fossil Fuel Heat",References!$AY$217:$BM$266,IF($AF79="Heat Pump",References!$AY$274:$BM$323,IF($AF79="AC Electric Heat",References!$AY$331:$BM$380,References!$AY$444:$BM$493))),MATCH($AA79,References!$AX$217:$AX$266,0),MATCH($AE79,References!$AY$215:$BM$215,0)+2))</f>
        <v>#N/A</v>
      </c>
      <c r="AW79" s="382" t="e">
        <f t="shared" ref="AW79:AW82" si="24">IF(AU79=AV79,AU79,((($Z79-$AD79)*(AV79-AU79))/($AE79-$AD79))+AU79)</f>
        <v>#N/A</v>
      </c>
      <c r="AX79" s="382" t="e">
        <f>IF($AC79="Exterior Walls",INDEX(IF($AG79="AC Fossil Fuel Heat",References!$AY$97:$BM$113,IF($AG79="Heat Pump",References!$AY$121:$BM$137,IF($AG79="AC Electric Heat",References!$AY$145:$BM$161,IF($AG79="Electric Only",References!$AY$169:$BM$185,References!$AY$193:$BM$209)))),MATCH($AA79,References!$AX$97:$AX$113,0),MATCH($AD79,References!$AY$95:$BM$95,0)+2),INDEX(IF($AG79="AC Fossil Fuel Heat",References!$AY$217:$BM$266,IF($AG79="Heat Pump",References!$AY$274:$BM$323,IF($AG79="AC Electric Heat",References!$AY$331:$BM$380,References!$AY$444:$BM$493))),MATCH($AA79,References!$AX$217:$AX$266,0),MATCH($AD79,References!$AY$215:$BM$215,0)+2))</f>
        <v>#N/A</v>
      </c>
      <c r="AY79" s="382" t="e">
        <f>IF($AC79="Exterior Walls",INDEX(IF($AG79="AC Fossil Fuel Heat",References!$AY$97:$BM$113,IF($AG79="Heat Pump",References!$AY$121:$BM$137,IF($AG79="AC Electric Heat",References!$AY$145:$BM$161,IF($AG79="Electric Only",References!$AY$169:$BM$185,References!$AY$193:$BM$209)))),MATCH($AA79,References!$AX$97:$AX$113,0),MATCH($AE79,References!$AY$95:$BM$95,0)+2),INDEX(IF($AG79="AC Fossil Fuel Heat",References!$AY$217:$BM$266,IF($AG79="Heat Pump",References!$AY$274:$BM$323,IF($AG79="AC Electric Heat",References!$AY$331:$BM$380,References!$AY$444:$BM$493))),MATCH($AA79,References!$AX$217:$AX$266,0),MATCH($AE79,References!$AY$215:$BM$215,0)+2))</f>
        <v>#N/A</v>
      </c>
      <c r="AZ79" s="382" t="e">
        <f t="shared" ref="AZ79:AZ82" si="25">IF(AX79=AY79,AX79,((($Z79-$AD79)*(AY79-AX79))/($AE79-$AD79))+AX79)</f>
        <v>#N/A</v>
      </c>
      <c r="BB79" s="595" t="e">
        <f t="shared" ref="BB79:BB82" si="26">AQ79*E79+AT79*I79</f>
        <v>#N/A</v>
      </c>
      <c r="BC79" s="553" t="e">
        <f t="shared" ref="BC79:BC82" si="27">IF(AF79="AC w/ Fossil Fuel",AK79*E79+AN79*I79,AK79*O79+AN79*U79)</f>
        <v>#N/A</v>
      </c>
      <c r="BD79" s="553" t="e">
        <f t="shared" ref="BD79:BD82" si="28">AW79*O79+AZ79*U79</f>
        <v>#N/A</v>
      </c>
      <c r="BF79" s="595" t="str">
        <f>IF(OR(Z79="",AA79="",AB79="",AC79=0,AC79=""),"",INDEX(References!$BI$21:$BI$24,MATCH(IF(AC79="Attic 2","Attic",AC79),References!$BH$21:$BH$24,0)))</f>
        <v/>
      </c>
      <c r="BG79" s="595" t="e">
        <f>BB79*$AB79/1000</f>
        <v>#N/A</v>
      </c>
      <c r="BH79" s="553" t="e">
        <f t="shared" si="17"/>
        <v>#N/A</v>
      </c>
      <c r="BI79" s="553" t="e">
        <f t="shared" si="17"/>
        <v>#N/A</v>
      </c>
      <c r="BJ79" s="553" t="e">
        <f>BI79*References!$D$12</f>
        <v>#N/A</v>
      </c>
      <c r="BK79" s="553" t="e">
        <f>BD79/10*$AB79/1000</f>
        <v>#N/A</v>
      </c>
      <c r="BL79" s="553" t="e">
        <f t="shared" ref="BL79:BL82" si="29">BJ79+BK79</f>
        <v>#N/A</v>
      </c>
      <c r="BM79" s="619"/>
      <c r="BN79" s="107"/>
    </row>
    <row r="80" spans="1:66">
      <c r="A80">
        <f t="shared" ref="A80:A87" si="30">A79+1</f>
        <v>3</v>
      </c>
      <c r="B80" s="512">
        <f>HPwES!$J$17</f>
        <v>0</v>
      </c>
      <c r="C80" s="512">
        <f>HPwES!$J$21</f>
        <v>0</v>
      </c>
      <c r="D80" s="512">
        <f>HPwES!$J$19</f>
        <v>0</v>
      </c>
      <c r="E80" s="588">
        <f>HPwES!$J$25</f>
        <v>0</v>
      </c>
      <c r="F80" s="512">
        <f>HPwES!$J$32</f>
        <v>0</v>
      </c>
      <c r="G80" s="512">
        <f>HPwES!$J$36</f>
        <v>0</v>
      </c>
      <c r="H80" s="512">
        <f>HPwES!$J$34</f>
        <v>0</v>
      </c>
      <c r="I80" s="580">
        <f>HPwES!$J$40</f>
        <v>0</v>
      </c>
      <c r="J80" s="512">
        <f>HPwES!$D$17</f>
        <v>0</v>
      </c>
      <c r="K80" s="512">
        <f>HPwES!$D$21</f>
        <v>0</v>
      </c>
      <c r="L80" s="512">
        <f>HPwES!$D$23</f>
        <v>0</v>
      </c>
      <c r="M80" s="512">
        <f>HPwES!$D$19</f>
        <v>0</v>
      </c>
      <c r="N80" s="512">
        <f>HPwES!$D$25</f>
        <v>0</v>
      </c>
      <c r="O80" s="580">
        <f>HPwES!$D$27</f>
        <v>0</v>
      </c>
      <c r="P80" s="221">
        <f>HPwES!$D$32</f>
        <v>0</v>
      </c>
      <c r="Q80" s="221">
        <f>HPwES!$D$36</f>
        <v>0</v>
      </c>
      <c r="R80" s="221">
        <f>HPwES!$D$38</f>
        <v>0</v>
      </c>
      <c r="S80" s="221">
        <f>HPwES!$D$34</f>
        <v>0</v>
      </c>
      <c r="T80" s="221">
        <f>HPwES!$D$40</f>
        <v>0</v>
      </c>
      <c r="U80" s="221">
        <f>HPwES!$D$42</f>
        <v>0</v>
      </c>
      <c r="V80" s="553">
        <f>$BX$27</f>
        <v>675</v>
      </c>
      <c r="W80" s="553">
        <f>$BY$27</f>
        <v>1265</v>
      </c>
      <c r="X80" s="153"/>
      <c r="Z80" s="597">
        <f>HPwES!D163</f>
        <v>0</v>
      </c>
      <c r="AA80" s="597">
        <f>IF(AND(AC80="Exterior Walls",HPwES!D165&gt;References!$BJ$84),References!$BJ$84,IF(HPwES!D165&gt;References!$BJ$88,References!$BJ$88,HPwES!D165))</f>
        <v>0</v>
      </c>
      <c r="AB80" s="597">
        <f>HPwES!D161</f>
        <v>0</v>
      </c>
      <c r="AC80" s="622">
        <f>HPwES!D157</f>
        <v>0</v>
      </c>
      <c r="AD80" s="2">
        <f>IF(AC80="Exterior Walls",IF(Z80&gt;References!$BI$81,References!$BJ$81,IF(Z80&gt;References!$BI$80,References!$BJ$80,IF(Z80&gt;References!$BI$79,References!$BJ$79,IF(Z80&gt;References!$BI$78,References!$BJ$78,IF(OR(Z80&gt;References!$BI$77,Z80=References!$BI$77),References!$BJ$77))))),IF(Z80&gt;References!$BI$86,References!$BJ$86,IF(Z80&gt;References!$BI$85,References!$BJ$85,IF(Z80&gt;References!$BI$81,References!$BJ$81,IF(Z80&gt;References!$BI$78,References!$BJ$78,IF(Z80&gt;=References!$BI$77,References!$BJ$77))))))</f>
        <v>0</v>
      </c>
      <c r="AE80" s="2">
        <f>IF(AC80="Exterior Walls",IF(Z80&gt;References!$BI$81,References!$BJ$81,IF(Z80&gt;References!$BI$80,References!$BJ$81,IF(Z80&gt;References!$BI$79,References!$BJ$80,IF(Z80&gt;References!$BI$78,References!$BJ$79,IF(Z80&gt;=References!$BI$77,References!$BJ$78))))),IF(Z80&gt;References!$BI$86,References!$BJ$86,IF(Z80&gt;References!$BI$85,References!$BJ$86,IF(Z80&gt;References!$BI$81,References!$BJ$85,IF(Z80&gt;References!$BI$78,References!$BJ$81,IF(Z80&gt;=References!$BI$77,References!$BJ$78))))))</f>
        <v>11</v>
      </c>
      <c r="AF80" s="382" t="str">
        <f t="shared" si="18"/>
        <v>Fossil Fuel Only</v>
      </c>
      <c r="AG80" s="382" t="str">
        <f t="shared" si="19"/>
        <v>Fossil Fuel Only</v>
      </c>
      <c r="AI80" s="382" t="e">
        <f>IF($AC80="Exterior Walls",INDEX(IF($AF80="AC Fossil Fuel Heat",References!$AY$97:$BM$113,IF($AF80="Heat Pump",References!$AY$121:$BM$137,IF($AF80="AC Electric Heat",References!$AY$145:$BM$161,IF($AF80="Electric Only",References!$AY$169:$BM$185,References!$AY$193:$BM$209)))),MATCH($AA80,References!$AX$97:$AX$113,0),MATCH($AD80,References!$AY$95:$BM$95,0)),INDEX(IF(AF80="AC Fossil Fuel Heat",References!$AY$217:$BM$266,IF($AF80="Heat Pump",References!$AY$274:$BM$323,IF($AF80="AC Electric Heat",References!$AY$331:$BM$380,References!$AY$444:$BM$493))),MATCH($AA80,References!$AX$217:$AX$266,0),MATCH($AD80,References!$AY$215:$BM$215,0)))</f>
        <v>#N/A</v>
      </c>
      <c r="AJ80" s="382" t="e">
        <f>IF($AC80="Exterior Walls",INDEX(IF($AF80="AC Fossil Fuel Heat",References!$AY$97:$BM$113,IF($AF80="Heat Pump",References!$AY$121:$BM$137,IF($AF80="AC Electric Heat",References!$AY$145:$BM$161,IF($AF80="Electric Only",References!$AY$169:$BM$185,References!$AY$193:$BM$209)))),MATCH($AA80,References!$AX$97:$AX$113,0),MATCH($AE80,References!$AY$95:$BM$95,0)),INDEX(IF($AF80="AC Fossil Fuel Heat",References!$AY$217:$BM$266,IF($AF80="Heat Pump",References!$AY$274:$BM$323,IF($AF80="AC Electric Heat",References!$AY$331:$BM$380,References!$AY$444:$BM$493))),MATCH($AA80,References!$AX$217:$AX$266,0),MATCH($AE80,References!$AY$215:$BM$215,0)))</f>
        <v>#N/A</v>
      </c>
      <c r="AK80" s="382" t="e">
        <f t="shared" si="20"/>
        <v>#N/A</v>
      </c>
      <c r="AL80" s="382" t="e">
        <f>IF($AC80="Exterior Walls",INDEX(IF($AG80="AC Fossil Fuel Heat",References!$AY$97:$BM$113,IF($AG80="Heat Pump",References!$AY$121:$BM$137,IF($AG80="AC Electric Heat",References!$AY$145:$BM$161,IF($AG80="Electric Only",References!$AY$169:$BM$185,References!$AY$193:$BM$209)))),MATCH($AA80,References!$AX$97:$AX$113,0),MATCH($AD80,References!$AY$95:$BM$95,0)),INDEX(IF($AG80="AC Fossil Fuel Heat",References!$AY$217:$BM$266,IF($AG80="Heat Pump",References!$AY$274:$BM$323,IF($AG80="AC Electric Heat",References!$AY$331:$BM$380,References!$AY$444:$BM$493))),MATCH($AA80,References!$AX$217:$AX$266,0),MATCH($AD80,References!$AY$215:$BM$215,0)))</f>
        <v>#N/A</v>
      </c>
      <c r="AM80" s="382" t="e">
        <f>IF($AC80="Exterior Walls",INDEX(IF($AG80="AC Fossil Fuel Heat",References!$AY$97:$BM$113,IF($AG80="Heat Pump",References!$AY$121:$BM$137,IF($AG80="AC Electric Heat",References!$AY$145:$BM$161,IF($AG80="Electric Only",References!$AY$169:$BM$185,References!$AY$193:$BM$209)))),MATCH($AA80,References!$AX$97:$AX$113,0),MATCH($AE80,References!$AY$95:$BM$95,0)),INDEX(IF($AG80="AC Fossil Fuel Heat",References!$AY$217:$BM$266,IF($AG80="Heat Pump",References!$AY$274:$BM$323,IF($AG80="AC Electric Heat",References!$AY$331:$BM$380,References!$AY$444:$BM$493))),MATCH($AA80,References!$AX$217:$AX$266,0),MATCH($AE80,References!$AY$215:$BM$215,0)))</f>
        <v>#N/A</v>
      </c>
      <c r="AN80" s="382" t="e">
        <f t="shared" si="21"/>
        <v>#N/A</v>
      </c>
      <c r="AO80" s="382" t="e">
        <f>IF($AC80="Exterior Walls",INDEX(IF($AF80="AC Fossil Fuel Heat",References!$AY$97:$BM$113,IF($AF80="Heat Pump",References!$AY$121:$BM$137,IF($AF80="AC Electric Heat",References!$AY$145:$BM$161,References!$AY$169:$BM$185))),MATCH($AA80,References!$AX$97:$AX$113,0),MATCH($AD80,References!$AY$95:$BM$95,0)+1),INDEX(IF(AF80="AC Fossil Fuel Heat",References!$AY$217:$BM$266,IF($AF80="Heat Pump",References!$AY$274:$BM$323,IF($AF80="AC Electric Heat",References!$AY$331:$BM$380,References!$AY$444:$BM$493))),MATCH($AA80,References!$AX$217:$AX$266,0),MATCH($AD80,References!$AY$215:$BM$215,0)+1))</f>
        <v>#N/A</v>
      </c>
      <c r="AP80" s="598" t="e">
        <f>IF($AC80="Exterior Walls",INDEX(IF($AF80="AC Fossil Fuel Heat",References!$AY$97:$BM$113,IF($AF80="Heat Pump",References!$AY$121:$BM$137,IF($AF80="AC Electric Heat",References!$AY$145:$BM$161,References!$AY$169:$BM$185))),MATCH($AA80,References!$AX$97:$AX$113,0),MATCH($AE80,References!$AY$95:$BM$95,0)+1),INDEX(IF($AF80="AC Fossil Fuel Heat",References!$AY$217:$BM$266,IF($AF80="Heat Pump",References!$AY$274:$BM$323,IF($AF80="AC Electric Heat",References!$AY$331:$BM$380,References!$AY$444:$BM$493))),MATCH($AA80,References!$AX$217:$AX$266,0),MATCH($AE80,References!$AY$215:$BM$215,0)+1))</f>
        <v>#N/A</v>
      </c>
      <c r="AQ80" s="382" t="e">
        <f t="shared" si="22"/>
        <v>#N/A</v>
      </c>
      <c r="AR80" s="382" t="e">
        <f>IF($AC80="Exterior Walls",INDEX(IF($AG80="AC Fossil Fuel Heat",References!$AY$97:$BM$113,IF($AG80="Heat Pump",References!$AY$121:$BM$137,IF($AG80="AC Electric Heat",References!$AY$145:$BM$161,References!$AY$169:$BM$185))),MATCH($AA80,References!$AX$97:$AX$113,0),MATCH($AD80,References!$AY$95:$BM$95,0)+1),INDEX(IF($AG80="AC Fossil Fuel Heat",References!$AY$217:$BM$266,IF($AG80="Heat Pump",References!$AY$274:$BM$323,IF($AG80="AC Electric Heat",References!$AY$331:$BM$380,References!$AY$444:$BM$493))),MATCH($AA80,References!$AX$217:$AX$266,0),MATCH($AD80,References!$AY$215:$BM$215,0)+1))</f>
        <v>#N/A</v>
      </c>
      <c r="AS80" s="598" t="e">
        <f>IF($AC80="Exterior Walls",INDEX(IF($AG80="AC Fossil Fuel Heat",References!$AY$97:$BM$113,IF($AG80="Heat Pump",References!$AY$121:$BM$137,IF($AG80="AC Electric Heat",References!$AY$145:$BM$161,References!$AY$169:$BM$185))),MATCH($AA80,References!$AX$97:$AX$113,0),MATCH($AE80,References!$AY$95:$BM$95,0)+1),INDEX(IF($AG80="AC Fossil Fuel Heat",References!$AY$217:$BM$266,IF($AG80="Heat Pump",References!$AY$274:$BM$323,IF($AG80="AC Electric Heat",References!$AY$331:$BM$380,References!$AY$444:$BM$493))),MATCH($AA80,References!$AX$217:$AX$266,0),MATCH($AE80,References!$AY$215:$BM$215,0)+1))</f>
        <v>#N/A</v>
      </c>
      <c r="AT80" s="382" t="e">
        <f t="shared" si="23"/>
        <v>#N/A</v>
      </c>
      <c r="AU80" s="382" t="e">
        <f>IF($AC80="Exterior Walls",INDEX(IF($AF80="AC Fossil Fuel Heat",References!$AY$97:$BM$113,IF($AF80="Heat Pump",References!$AY$121:$BM$137,IF($AF80="AC Electric Heat",References!$AY$145:$BM$161,IF($AF80="Electric Only",References!$AY$169:$BM$185,References!$AY$193:$BM$209)))),MATCH($AA80,References!$AX$97:$AX$113,0),MATCH($AD80,References!$AY$95:$BM$95,0)+2),INDEX(IF($AF80="AC Fossil Fuel Heat",References!$AY$217:$BM$266,IF($AF80="Heat Pump",References!$AY$274:$BM$323,IF($AF80="AC Electric Heat",References!$AY$331:$BM$380,References!$AY$444:$BM$493))),MATCH($AA80,References!$AX$217:$AX$266,0),MATCH($AD80,References!$AY$215:$BM$215,0)+2))</f>
        <v>#N/A</v>
      </c>
      <c r="AV80" s="382" t="e">
        <f>IF($AC80="Exterior Walls",INDEX(IF($AF80="AC Fossil Fuel Heat",References!$AY$97:$BM$113,IF($AF80="Heat Pump",References!$AY$121:$BM$137,IF($AF80="AC Electric Heat",References!$AY$145:$BM$161,IF($AF80="Electric Only",References!$AY$169:$BM$185,References!$AY$193:$BM$209)))),MATCH($AA80,References!$AX$97:$AX$113,0),MATCH($AE80,References!$AY$95:$BM$95,0)+2),INDEX(IF($AF80="AC Fossil Fuel Heat",References!$AY$217:$BM$266,IF($AF80="Heat Pump",References!$AY$274:$BM$323,IF($AF80="AC Electric Heat",References!$AY$331:$BM$380,References!$AY$444:$BM$493))),MATCH($AA80,References!$AX$217:$AX$266,0),MATCH($AE80,References!$AY$215:$BM$215,0)+2))</f>
        <v>#N/A</v>
      </c>
      <c r="AW80" s="382" t="e">
        <f t="shared" si="24"/>
        <v>#N/A</v>
      </c>
      <c r="AX80" s="382" t="e">
        <f>IF($AC80="Exterior Walls",INDEX(IF($AG80="AC Fossil Fuel Heat",References!$AY$97:$BM$113,IF($AG80="Heat Pump",References!$AY$121:$BM$137,IF($AG80="AC Electric Heat",References!$AY$145:$BM$161,IF($AG80="Electric Only",References!$AY$169:$BM$185,References!$AY$193:$BM$209)))),MATCH($AA80,References!$AX$97:$AX$113,0),MATCH($AD80,References!$AY$95:$BM$95,0)+2),INDEX(IF($AG80="AC Fossil Fuel Heat",References!$AY$217:$BM$266,IF($AG80="Heat Pump",References!$AY$274:$BM$323,IF($AG80="AC Electric Heat",References!$AY$331:$BM$380,References!$AY$444:$BM$493))),MATCH($AA80,References!$AX$217:$AX$266,0),MATCH($AD80,References!$AY$215:$BM$215,0)+2))</f>
        <v>#N/A</v>
      </c>
      <c r="AY80" s="382" t="e">
        <f>IF($AC80="Exterior Walls",INDEX(IF($AG80="AC Fossil Fuel Heat",References!$AY$97:$BM$113,IF($AG80="Heat Pump",References!$AY$121:$BM$137,IF($AG80="AC Electric Heat",References!$AY$145:$BM$161,IF($AG80="Electric Only",References!$AY$169:$BM$185,References!$AY$193:$BM$209)))),MATCH($AA80,References!$AX$97:$AX$113,0),MATCH($AE80,References!$AY$95:$BM$95,0)+2),INDEX(IF($AG80="AC Fossil Fuel Heat",References!$AY$217:$BM$266,IF($AG80="Heat Pump",References!$AY$274:$BM$323,IF($AG80="AC Electric Heat",References!$AY$331:$BM$380,References!$AY$444:$BM$493))),MATCH($AA80,References!$AX$217:$AX$266,0),MATCH($AE80,References!$AY$215:$BM$215,0)+2))</f>
        <v>#N/A</v>
      </c>
      <c r="AZ80" s="382" t="e">
        <f t="shared" si="25"/>
        <v>#N/A</v>
      </c>
      <c r="BB80" s="595" t="e">
        <f t="shared" si="26"/>
        <v>#N/A</v>
      </c>
      <c r="BC80" s="553" t="e">
        <f t="shared" si="27"/>
        <v>#N/A</v>
      </c>
      <c r="BD80" s="553" t="e">
        <f t="shared" si="28"/>
        <v>#N/A</v>
      </c>
      <c r="BF80" s="595" t="str">
        <f>IF(OR(Z80="",AA80="",AB80="",AC80=0,AC80=""),"",INDEX(References!$BI$21:$BI$24,MATCH(IF(AC80="Attic 2","Attic",AC80),References!$BH$21:$BH$24,0)))</f>
        <v/>
      </c>
      <c r="BG80" s="595" t="e">
        <f>BB80*$AB80/1000</f>
        <v>#N/A</v>
      </c>
      <c r="BH80" s="553" t="e">
        <f t="shared" si="17"/>
        <v>#N/A</v>
      </c>
      <c r="BI80" s="553" t="e">
        <f t="shared" si="17"/>
        <v>#N/A</v>
      </c>
      <c r="BJ80" s="553" t="e">
        <f>BI80*References!$D$12</f>
        <v>#N/A</v>
      </c>
      <c r="BK80" s="553" t="e">
        <f>BD80/10*$AB80/1000</f>
        <v>#N/A</v>
      </c>
      <c r="BL80" s="553" t="e">
        <f t="shared" si="29"/>
        <v>#N/A</v>
      </c>
      <c r="BM80" s="619"/>
      <c r="BN80" s="107"/>
    </row>
    <row r="81" spans="1:66">
      <c r="A81">
        <f t="shared" si="30"/>
        <v>4</v>
      </c>
      <c r="B81" s="512">
        <f>HPwES!$J$17</f>
        <v>0</v>
      </c>
      <c r="C81" s="512">
        <f>HPwES!$J$21</f>
        <v>0</v>
      </c>
      <c r="D81" s="512">
        <f>HPwES!$J$19</f>
        <v>0</v>
      </c>
      <c r="E81" s="580">
        <f>HPwES!$J$25</f>
        <v>0</v>
      </c>
      <c r="F81" s="512">
        <f>HPwES!$J$32</f>
        <v>0</v>
      </c>
      <c r="G81" s="512">
        <f>HPwES!$J$36</f>
        <v>0</v>
      </c>
      <c r="H81" s="512">
        <f>HPwES!$J$34</f>
        <v>0</v>
      </c>
      <c r="I81" s="580">
        <f>HPwES!$J$40</f>
        <v>0</v>
      </c>
      <c r="J81" s="512">
        <f>HPwES!$D$17</f>
        <v>0</v>
      </c>
      <c r="K81" s="512">
        <f>HPwES!$D$21</f>
        <v>0</v>
      </c>
      <c r="L81" s="512">
        <f>HPwES!$D$23</f>
        <v>0</v>
      </c>
      <c r="M81" s="512">
        <f>HPwES!$D$19</f>
        <v>0</v>
      </c>
      <c r="N81" s="512">
        <f>HPwES!$D$25</f>
        <v>0</v>
      </c>
      <c r="O81" s="580">
        <f>HPwES!$D$27</f>
        <v>0</v>
      </c>
      <c r="P81" s="221">
        <f>HPwES!$D$32</f>
        <v>0</v>
      </c>
      <c r="Q81" s="221">
        <f>HPwES!$D$36</f>
        <v>0</v>
      </c>
      <c r="R81" s="221">
        <f>HPwES!$D$38</f>
        <v>0</v>
      </c>
      <c r="S81" s="221">
        <f>HPwES!$D$34</f>
        <v>0</v>
      </c>
      <c r="T81" s="221">
        <f>HPwES!$D$40</f>
        <v>0</v>
      </c>
      <c r="U81" s="221">
        <f>HPwES!$D$42</f>
        <v>0</v>
      </c>
      <c r="V81" s="553">
        <f>$BX$27</f>
        <v>675</v>
      </c>
      <c r="W81" s="553">
        <f>$BY$27</f>
        <v>1265</v>
      </c>
      <c r="X81" s="153"/>
      <c r="Z81" s="597">
        <f>HPwES!J163</f>
        <v>0</v>
      </c>
      <c r="AA81" s="597">
        <f>IF(AND(AC81="Exterior Walls",HPwES!J165&gt;References!$BJ$84),References!$BJ$84,IF(HPwES!J165&gt;References!$BJ$88,References!$BJ$88,HPwES!J165))</f>
        <v>0</v>
      </c>
      <c r="AB81" s="597">
        <f>HPwES!J161</f>
        <v>0</v>
      </c>
      <c r="AC81" s="622">
        <f>HPwES!J157</f>
        <v>0</v>
      </c>
      <c r="AD81" s="2">
        <f>IF(AC81="Exterior Walls",IF(Z81&gt;References!$BI$81,References!$BJ$81,IF(Z81&gt;References!$BI$80,References!$BJ$80,IF(Z81&gt;References!$BI$79,References!$BJ$79,IF(Z81&gt;References!$BI$78,References!$BJ$78,IF(OR(Z81&gt;References!$BI$77,Z81=References!$BI$77),References!$BJ$77))))),IF(Z81&gt;References!$BI$86,References!$BJ$86,IF(Z81&gt;References!$BI$85,References!$BJ$85,IF(Z81&gt;References!$BI$81,References!$BJ$81,IF(Z81&gt;References!$BI$78,References!$BJ$78,IF(Z81&gt;=References!$BI$77,References!$BJ$77))))))</f>
        <v>0</v>
      </c>
      <c r="AE81" s="2">
        <f>IF(AC81="Exterior Walls",IF(Z81&gt;References!$BI$81,References!$BJ$81,IF(Z81&gt;References!$BI$80,References!$BJ$81,IF(Z81&gt;References!$BI$79,References!$BJ$80,IF(Z81&gt;References!$BI$78,References!$BJ$79,IF(Z81&gt;=References!$BI$77,References!$BJ$78))))),IF(Z81&gt;References!$BI$86,References!$BJ$86,IF(Z81&gt;References!$BI$85,References!$BJ$86,IF(Z81&gt;References!$BI$81,References!$BJ$85,IF(Z81&gt;References!$BI$78,References!$BJ$81,IF(Z81&gt;=References!$BI$77,References!$BJ$78))))))</f>
        <v>11</v>
      </c>
      <c r="AF81" s="382" t="str">
        <f t="shared" si="18"/>
        <v>Fossil Fuel Only</v>
      </c>
      <c r="AG81" s="382" t="str">
        <f t="shared" si="19"/>
        <v>Fossil Fuel Only</v>
      </c>
      <c r="AI81" s="382" t="e">
        <f>IF($AC81="Exterior Walls",INDEX(IF($AF81="AC Fossil Fuel Heat",References!$AY$97:$BM$113,IF($AF81="Heat Pump",References!$AY$121:$BM$137,IF($AF81="AC Electric Heat",References!$AY$145:$BM$161,IF($AF81="Electric Only",References!$AY$169:$BM$185,References!$AY$193:$BM$209)))),MATCH($AA81,References!$AX$97:$AX$113,0),MATCH($AD81,References!$AY$95:$BM$95,0)),INDEX(IF(AF81="AC Fossil Fuel Heat",References!$AY$217:$BM$266,IF($AF81="Heat Pump",References!$AY$274:$BM$323,IF($AF81="AC Electric Heat",References!$AY$331:$BM$380,References!$AY$444:$BM$493))),MATCH($AA81,References!$AX$217:$AX$266,0),MATCH($AD81,References!$AY$215:$BM$215,0)))</f>
        <v>#N/A</v>
      </c>
      <c r="AJ81" s="382" t="e">
        <f>IF($AC81="Exterior Walls",INDEX(IF($AF81="AC Fossil Fuel Heat",References!$AY$97:$BM$113,IF($AF81="Heat Pump",References!$AY$121:$BM$137,IF($AF81="AC Electric Heat",References!$AY$145:$BM$161,IF($AF81="Electric Only",References!$AY$169:$BM$185,References!$AY$193:$BM$209)))),MATCH($AA81,References!$AX$97:$AX$113,0),MATCH($AE81,References!$AY$95:$BM$95,0)),INDEX(IF($AF81="AC Fossil Fuel Heat",References!$AY$217:$BM$266,IF($AF81="Heat Pump",References!$AY$274:$BM$323,IF($AF81="AC Electric Heat",References!$AY$331:$BM$380,References!$AY$444:$BM$493))),MATCH($AA81,References!$AX$217:$AX$266,0),MATCH($AE81,References!$AY$215:$BM$215,0)))</f>
        <v>#N/A</v>
      </c>
      <c r="AK81" s="610" t="e">
        <f t="shared" si="20"/>
        <v>#N/A</v>
      </c>
      <c r="AL81" s="382" t="e">
        <f>IF($AC81="Exterior Walls",INDEX(IF($AG81="AC Fossil Fuel Heat",References!$AY$97:$BM$113,IF($AG81="Heat Pump",References!$AY$121:$BM$137,IF($AG81="AC Electric Heat",References!$AY$145:$BM$161,IF($AG81="Electric Only",References!$AY$169:$BM$185,References!$AY$193:$BM$209)))),MATCH($AA81,References!$AX$97:$AX$113,0),MATCH($AD81,References!$AY$95:$BM$95,0)),INDEX(IF($AG81="AC Fossil Fuel Heat",References!$AY$217:$BM$266,IF($AG81="Heat Pump",References!$AY$274:$BM$323,IF($AG81="AC Electric Heat",References!$AY$331:$BM$380,References!$AY$444:$BM$493))),MATCH($AA81,References!$AX$217:$AX$266,0),MATCH($AD81,References!$AY$215:$BM$215,0)))</f>
        <v>#N/A</v>
      </c>
      <c r="AM81" s="382" t="e">
        <f>IF($AC81="Exterior Walls",INDEX(IF($AG81="AC Fossil Fuel Heat",References!$AY$97:$BM$113,IF($AG81="Heat Pump",References!$AY$121:$BM$137,IF($AG81="AC Electric Heat",References!$AY$145:$BM$161,IF($AG81="Electric Only",References!$AY$169:$BM$185,References!$AY$193:$BM$209)))),MATCH($AA81,References!$AX$97:$AX$113,0),MATCH($AE81,References!$AY$95:$BM$95,0)),INDEX(IF($AG81="AC Fossil Fuel Heat",References!$AY$217:$BM$266,IF($AG81="Heat Pump",References!$AY$274:$BM$323,IF($AG81="AC Electric Heat",References!$AY$331:$BM$380,References!$AY$444:$BM$493))),MATCH($AA81,References!$AX$217:$AX$266,0),MATCH($AE81,References!$AY$215:$BM$215,0)))</f>
        <v>#N/A</v>
      </c>
      <c r="AN81" s="610" t="e">
        <f t="shared" si="21"/>
        <v>#N/A</v>
      </c>
      <c r="AO81" s="382" t="e">
        <f>IF($AC81="Exterior Walls",INDEX(IF($AF81="AC Fossil Fuel Heat",References!$AY$97:$BM$113,IF($AF81="Heat Pump",References!$AY$121:$BM$137,IF($AF81="AC Electric Heat",References!$AY$145:$BM$161,References!$AY$169:$BM$185))),MATCH($AA81,References!$AX$97:$AX$113,0),MATCH($AD81,References!$AY$95:$BM$95,0)+1),INDEX(IF(AF81="AC Fossil Fuel Heat",References!$AY$217:$BM$266,IF($AF81="Heat Pump",References!$AY$274:$BM$323,IF($AF81="AC Electric Heat",References!$AY$331:$BM$380,References!$AY$444:$BM$493))),MATCH($AA81,References!$AX$217:$AX$266,0),MATCH($AD81,References!$AY$215:$BM$215,0)+1))</f>
        <v>#N/A</v>
      </c>
      <c r="AP81" s="598" t="e">
        <f>IF($AC81="Exterior Walls",INDEX(IF($AF81="AC Fossil Fuel Heat",References!$AY$97:$BM$113,IF($AF81="Heat Pump",References!$AY$121:$BM$137,IF($AF81="AC Electric Heat",References!$AY$145:$BM$161,References!$AY$169:$BM$185))),MATCH($AA81,References!$AX$97:$AX$113,0),MATCH($AE81,References!$AY$95:$BM$95,0)+1),INDEX(IF($AF81="AC Fossil Fuel Heat",References!$AY$217:$BM$266,IF($AF81="Heat Pump",References!$AY$274:$BM$323,IF($AF81="AC Electric Heat",References!$AY$331:$BM$380,References!$AY$444:$BM$493))),MATCH($AA81,References!$AX$217:$AX$266,0),MATCH($AE81,References!$AY$215:$BM$215,0)+1))</f>
        <v>#N/A</v>
      </c>
      <c r="AQ81" s="610" t="e">
        <f t="shared" si="22"/>
        <v>#N/A</v>
      </c>
      <c r="AR81" s="382" t="e">
        <f>IF($AC81="Exterior Walls",INDEX(IF($AG81="AC Fossil Fuel Heat",References!$AY$97:$BM$113,IF($AG81="Heat Pump",References!$AY$121:$BM$137,IF($AG81="AC Electric Heat",References!$AY$145:$BM$161,References!$AY$169:$BM$185))),MATCH($AA81,References!$AX$97:$AX$113,0),MATCH($AD81,References!$AY$95:$BM$95,0)+1),INDEX(IF($AG81="AC Fossil Fuel Heat",References!$AY$217:$BM$266,IF($AG81="Heat Pump",References!$AY$274:$BM$323,IF($AG81="AC Electric Heat",References!$AY$331:$BM$380,References!$AY$444:$BM$493))),MATCH($AA81,References!$AX$217:$AX$266,0),MATCH($AD81,References!$AY$215:$BM$215,0)+1))</f>
        <v>#N/A</v>
      </c>
      <c r="AS81" s="598" t="e">
        <f>IF($AC81="Exterior Walls",INDEX(IF($AG81="AC Fossil Fuel Heat",References!$AY$97:$BM$113,IF($AG81="Heat Pump",References!$AY$121:$BM$137,IF($AG81="AC Electric Heat",References!$AY$145:$BM$161,References!$AY$169:$BM$185))),MATCH($AA81,References!$AX$97:$AX$113,0),MATCH($AE81,References!$AY$95:$BM$95,0)+1),INDEX(IF($AG81="AC Fossil Fuel Heat",References!$AY$217:$BM$266,IF($AG81="Heat Pump",References!$AY$274:$BM$323,IF($AG81="AC Electric Heat",References!$AY$331:$BM$380,References!$AY$444:$BM$493))),MATCH($AA81,References!$AX$217:$AX$266,0),MATCH($AE81,References!$AY$215:$BM$215,0)+1))</f>
        <v>#N/A</v>
      </c>
      <c r="AT81" s="610" t="e">
        <f t="shared" si="23"/>
        <v>#N/A</v>
      </c>
      <c r="AU81" s="382" t="e">
        <f>IF($AC81="Exterior Walls",INDEX(IF($AF81="AC Fossil Fuel Heat",References!$AY$97:$BM$113,IF($AF81="Heat Pump",References!$AY$121:$BM$137,IF($AF81="AC Electric Heat",References!$AY$145:$BM$161,IF($AF81="Electric Only",References!$AY$169:$BM$185,References!$AY$193:$BM$209)))),MATCH($AA81,References!$AX$97:$AX$113,0),MATCH($AD81,References!$AY$95:$BM$95,0)+2),INDEX(IF($AF81="AC Fossil Fuel Heat",References!$AY$217:$BM$266,IF($AF81="Heat Pump",References!$AY$274:$BM$323,IF($AF81="AC Electric Heat",References!$AY$331:$BM$380,References!$AY$444:$BM$493))),MATCH($AA81,References!$AX$217:$AX$266,0),MATCH($AD81,References!$AY$215:$BM$215,0)+2))</f>
        <v>#N/A</v>
      </c>
      <c r="AV81" s="382" t="e">
        <f>IF($AC81="Exterior Walls",INDEX(IF($AF81="AC Fossil Fuel Heat",References!$AY$97:$BM$113,IF($AF81="Heat Pump",References!$AY$121:$BM$137,IF($AF81="AC Electric Heat",References!$AY$145:$BM$161,IF($AF81="Electric Only",References!$AY$169:$BM$185,References!$AY$193:$BM$209)))),MATCH($AA81,References!$AX$97:$AX$113,0),MATCH($AE81,References!$AY$95:$BM$95,0)+2),INDEX(IF($AF81="AC Fossil Fuel Heat",References!$AY$217:$BM$266,IF($AF81="Heat Pump",References!$AY$274:$BM$323,IF($AF81="AC Electric Heat",References!$AY$331:$BM$380,References!$AY$444:$BM$493))),MATCH($AA81,References!$AX$217:$AX$266,0),MATCH($AE81,References!$AY$215:$BM$215,0)+2))</f>
        <v>#N/A</v>
      </c>
      <c r="AW81" s="382" t="e">
        <f t="shared" si="24"/>
        <v>#N/A</v>
      </c>
      <c r="AX81" s="382" t="e">
        <f>IF($AC81="Exterior Walls",INDEX(IF($AG81="AC Fossil Fuel Heat",References!$AY$97:$BM$113,IF($AG81="Heat Pump",References!$AY$121:$BM$137,IF($AG81="AC Electric Heat",References!$AY$145:$BM$161,IF($AG81="Electric Only",References!$AY$169:$BM$185,References!$AY$193:$BM$209)))),MATCH($AA81,References!$AX$97:$AX$113,0),MATCH($AD81,References!$AY$95:$BM$95,0)+2),INDEX(IF($AG81="AC Fossil Fuel Heat",References!$AY$217:$BM$266,IF($AG81="Heat Pump",References!$AY$274:$BM$323,IF($AG81="AC Electric Heat",References!$AY$331:$BM$380,References!$AY$444:$BM$493))),MATCH($AA81,References!$AX$217:$AX$266,0),MATCH($AD81,References!$AY$215:$BM$215,0)+2))</f>
        <v>#N/A</v>
      </c>
      <c r="AY81" s="382" t="e">
        <f>IF($AC81="Exterior Walls",INDEX(IF($AG81="AC Fossil Fuel Heat",References!$AY$97:$BM$113,IF($AG81="Heat Pump",References!$AY$121:$BM$137,IF($AG81="AC Electric Heat",References!$AY$145:$BM$161,IF($AG81="Electric Only",References!$AY$169:$BM$185,References!$AY$193:$BM$209)))),MATCH($AA81,References!$AX$97:$AX$113,0),MATCH($AE81,References!$AY$95:$BM$95,0)+2),INDEX(IF($AG81="AC Fossil Fuel Heat",References!$AY$217:$BM$266,IF($AG81="Heat Pump",References!$AY$274:$BM$323,IF($AG81="AC Electric Heat",References!$AY$331:$BM$380,References!$AY$444:$BM$493))),MATCH($AA81,References!$AX$217:$AX$266,0),MATCH($AE81,References!$AY$215:$BM$215,0)+2))</f>
        <v>#N/A</v>
      </c>
      <c r="AZ81" s="610" t="e">
        <f t="shared" si="25"/>
        <v>#N/A</v>
      </c>
      <c r="BB81" s="595" t="e">
        <f t="shared" si="26"/>
        <v>#N/A</v>
      </c>
      <c r="BC81" s="553" t="e">
        <f t="shared" si="27"/>
        <v>#N/A</v>
      </c>
      <c r="BD81" s="553" t="e">
        <f t="shared" si="28"/>
        <v>#N/A</v>
      </c>
      <c r="BF81" s="595" t="str">
        <f>IF(OR(Z81="",AA81="",AB81="",AC81=0,AC81=""),"",INDEX(References!$BI$21:$BI$24,MATCH(IF(AC81="Attic 2","Attic",AC81),References!$BH$21:$BH$24,0)))</f>
        <v/>
      </c>
      <c r="BG81" s="595" t="e">
        <f>BB81*$AB81/1000</f>
        <v>#N/A</v>
      </c>
      <c r="BH81" s="553" t="e">
        <f t="shared" si="17"/>
        <v>#N/A</v>
      </c>
      <c r="BI81" s="553" t="e">
        <f t="shared" si="17"/>
        <v>#N/A</v>
      </c>
      <c r="BJ81" s="553" t="e">
        <f>BI81*References!$D$12</f>
        <v>#N/A</v>
      </c>
      <c r="BK81" s="553" t="e">
        <f>BD81/10*$AB81/1000</f>
        <v>#N/A</v>
      </c>
      <c r="BL81" s="553" t="e">
        <f t="shared" si="29"/>
        <v>#N/A</v>
      </c>
      <c r="BM81" s="619"/>
      <c r="BN81" s="107"/>
    </row>
    <row r="82" spans="1:66">
      <c r="A82">
        <f t="shared" si="30"/>
        <v>5</v>
      </c>
      <c r="B82" s="512">
        <f>HPwES!$J$17</f>
        <v>0</v>
      </c>
      <c r="C82" s="512">
        <f>HPwES!$J$21</f>
        <v>0</v>
      </c>
      <c r="D82" s="512">
        <f>HPwES!$J$19</f>
        <v>0</v>
      </c>
      <c r="E82" s="588">
        <f>HPwES!$J$25</f>
        <v>0</v>
      </c>
      <c r="F82" s="512">
        <f>HPwES!$J$32</f>
        <v>0</v>
      </c>
      <c r="G82" s="512">
        <f>HPwES!$J$36</f>
        <v>0</v>
      </c>
      <c r="H82" s="512">
        <f>HPwES!$J$34</f>
        <v>0</v>
      </c>
      <c r="I82" s="580">
        <f>HPwES!$J$40</f>
        <v>0</v>
      </c>
      <c r="J82" s="512">
        <f>HPwES!$D$17</f>
        <v>0</v>
      </c>
      <c r="K82" s="512">
        <f>HPwES!$D$21</f>
        <v>0</v>
      </c>
      <c r="L82" s="512">
        <f>HPwES!$D$23</f>
        <v>0</v>
      </c>
      <c r="M82" s="512">
        <f>HPwES!$D$19</f>
        <v>0</v>
      </c>
      <c r="N82" s="512">
        <f>HPwES!$D$25</f>
        <v>0</v>
      </c>
      <c r="O82" s="580">
        <f>HPwES!$D$27</f>
        <v>0</v>
      </c>
      <c r="P82" s="221">
        <f>HPwES!$D$32</f>
        <v>0</v>
      </c>
      <c r="Q82" s="221">
        <f>HPwES!$D$36</f>
        <v>0</v>
      </c>
      <c r="R82" s="221">
        <f>HPwES!$D$38</f>
        <v>0</v>
      </c>
      <c r="S82" s="221">
        <f>HPwES!$D$34</f>
        <v>0</v>
      </c>
      <c r="T82" s="221">
        <f>HPwES!$D$40</f>
        <v>0</v>
      </c>
      <c r="U82" s="221">
        <f>HPwES!$D$42</f>
        <v>0</v>
      </c>
      <c r="V82" s="553">
        <f>$BX$27</f>
        <v>675</v>
      </c>
      <c r="W82" s="553">
        <f>$BY$27</f>
        <v>1265</v>
      </c>
      <c r="X82" s="153"/>
      <c r="Z82" s="597">
        <f>HPwES!D175</f>
        <v>0</v>
      </c>
      <c r="AA82" s="597">
        <f>IF(AND(AC82="Exterior Walls",HPwES!D177&gt;References!$BJ$84),References!$BJ$84,IF(HPwES!D177&gt;References!$BJ$88,References!$BJ$88,HPwES!D177))</f>
        <v>0</v>
      </c>
      <c r="AB82" s="597">
        <f>HPwES!D173</f>
        <v>0</v>
      </c>
      <c r="AC82" s="622">
        <f>HPwES!D169</f>
        <v>0</v>
      </c>
      <c r="AD82" s="2">
        <f>IF(AC82="Exterior Walls",IF(Z82&gt;References!$BI$81,References!$BJ$81,IF(Z82&gt;References!$BI$80,References!$BJ$80,IF(Z82&gt;References!$BI$79,References!$BJ$79,IF(Z82&gt;References!$BI$78,References!$BJ$78,IF(OR(Z82&gt;References!$BI$77,Z82=References!$BI$77),References!$BJ$77))))),IF(Z82&gt;References!$BI$86,References!$BJ$86,IF(Z82&gt;References!$BI$85,References!$BJ$85,IF(Z82&gt;References!$BI$81,References!$BJ$81,IF(Z82&gt;References!$BI$78,References!$BJ$78,IF(Z82&gt;=References!$BI$77,References!$BJ$77))))))</f>
        <v>0</v>
      </c>
      <c r="AE82" s="2">
        <f>IF(AC82="Exterior Walls",IF(Z82&gt;References!$BI$81,References!$BJ$81,IF(Z82&gt;References!$BI$80,References!$BJ$81,IF(Z82&gt;References!$BI$79,References!$BJ$80,IF(Z82&gt;References!$BI$78,References!$BJ$79,IF(Z82&gt;=References!$BI$77,References!$BJ$78))))),IF(Z82&gt;References!$BI$86,References!$BJ$86,IF(Z82&gt;References!$BI$85,References!$BJ$86,IF(Z82&gt;References!$BI$81,References!$BJ$85,IF(Z82&gt;References!$BI$78,References!$BJ$81,IF(Z82&gt;=References!$BI$77,References!$BJ$78))))))</f>
        <v>11</v>
      </c>
      <c r="AF82" s="382" t="str">
        <f t="shared" si="18"/>
        <v>Fossil Fuel Only</v>
      </c>
      <c r="AG82" s="382" t="str">
        <f t="shared" si="19"/>
        <v>Fossil Fuel Only</v>
      </c>
      <c r="AI82" s="382" t="e">
        <f>IF($AC82="Exterior Walls",INDEX(IF($AF82="AC Fossil Fuel Heat",References!$AY$97:$BM$113,IF($AF82="Heat Pump",References!$AY$121:$BM$137,IF($AF82="AC Electric Heat",References!$AY$145:$BM$161,IF($AF82="Electric Only",References!$AY$169:$BM$185,References!$AY$193:$BM$209)))),MATCH($AA82,References!$AX$97:$AX$113,0),MATCH($AD82,References!$AY$95:$BM$95,0)),INDEX(IF(AF82="AC Fossil Fuel Heat",References!$AY$217:$BM$266,IF($AF82="Heat Pump",References!$AY$274:$BM$323,IF($AF82="AC Electric Heat",References!$AY$331:$BM$380,References!$AY$444:$BM$493))),MATCH($AA82,References!$AX$217:$AX$266,0),MATCH($AD82,References!$AY$215:$BM$215,0)))</f>
        <v>#N/A</v>
      </c>
      <c r="AJ82" s="382" t="e">
        <f>IF($AC82="Exterior Walls",INDEX(IF($AF82="AC Fossil Fuel Heat",References!$AY$97:$BM$113,IF($AF82="Heat Pump",References!$AY$121:$BM$137,IF($AF82="AC Electric Heat",References!$AY$145:$BM$161,IF($AF82="Electric Only",References!$AY$169:$BM$185,References!$AY$193:$BM$209)))),MATCH($AA82,References!$AX$97:$AX$113,0),MATCH($AE82,References!$AY$95:$BM$95,0)),INDEX(IF($AF82="AC Fossil Fuel Heat",References!$AY$217:$BM$266,IF($AF82="Heat Pump",References!$AY$274:$BM$323,IF($AF82="AC Electric Heat",References!$AY$331:$BM$380,References!$AY$444:$BM$493))),MATCH($AA82,References!$AX$217:$AX$266,0),MATCH($AE82,References!$AY$215:$BM$215,0)))</f>
        <v>#N/A</v>
      </c>
      <c r="AK82" s="382" t="e">
        <f t="shared" si="20"/>
        <v>#N/A</v>
      </c>
      <c r="AL82" s="382" t="e">
        <f>IF($AC82="Exterior Walls",INDEX(IF($AG82="AC Fossil Fuel Heat",References!$AY$97:$BM$113,IF($AG82="Heat Pump",References!$AY$121:$BM$137,IF($AG82="AC Electric Heat",References!$AY$145:$BM$161,IF($AG82="Electric Only",References!$AY$169:$BM$185,References!$AY$193:$BM$209)))),MATCH($AA82,References!$AX$97:$AX$113,0),MATCH($AD82,References!$AY$95:$BM$95,0)),INDEX(IF($AG82="AC Fossil Fuel Heat",References!$AY$217:$BM$266,IF($AG82="Heat Pump",References!$AY$274:$BM$323,IF($AG82="AC Electric Heat",References!$AY$331:$BM$380,References!$AY$444:$BM$493))),MATCH($AA82,References!$AX$217:$AX$266,0),MATCH($AD82,References!$AY$215:$BM$215,0)))</f>
        <v>#N/A</v>
      </c>
      <c r="AM82" s="382" t="e">
        <f>IF($AC82="Exterior Walls",INDEX(IF($AG82="AC Fossil Fuel Heat",References!$AY$97:$BM$113,IF($AG82="Heat Pump",References!$AY$121:$BM$137,IF($AG82="AC Electric Heat",References!$AY$145:$BM$161,IF($AG82="Electric Only",References!$AY$169:$BM$185,References!$AY$193:$BM$209)))),MATCH($AA82,References!$AX$97:$AX$113,0),MATCH($AE82,References!$AY$95:$BM$95,0)),INDEX(IF($AG82="AC Fossil Fuel Heat",References!$AY$217:$BM$266,IF($AG82="Heat Pump",References!$AY$274:$BM$323,IF($AG82="AC Electric Heat",References!$AY$331:$BM$380,References!$AY$444:$BM$493))),MATCH($AA82,References!$AX$217:$AX$266,0),MATCH($AE82,References!$AY$215:$BM$215,0)))</f>
        <v>#N/A</v>
      </c>
      <c r="AN82" s="382" t="e">
        <f t="shared" si="21"/>
        <v>#N/A</v>
      </c>
      <c r="AO82" s="382" t="e">
        <f>IF($AC82="Exterior Walls",INDEX(IF($AF82="AC Fossil Fuel Heat",References!$AY$97:$BM$113,IF($AF82="Heat Pump",References!$AY$121:$BM$137,IF($AF82="AC Electric Heat",References!$AY$145:$BM$161,References!$AY$169:$BM$185))),MATCH($AA82,References!$AX$97:$AX$113,0),MATCH($AD82,References!$AY$95:$BM$95,0)+1),INDEX(IF(AF82="AC Fossil Fuel Heat",References!$AY$217:$BM$266,IF($AF82="Heat Pump",References!$AY$274:$BM$323,IF($AF82="AC Electric Heat",References!$AY$331:$BM$380,References!$AY$444:$BM$493))),MATCH($AA82,References!$AX$217:$AX$266,0),MATCH($AD82,References!$AY$215:$BM$215,0)+1))</f>
        <v>#N/A</v>
      </c>
      <c r="AP82" s="598" t="e">
        <f>IF($AC82="Exterior Walls",INDEX(IF($AF82="AC Fossil Fuel Heat",References!$AY$97:$BM$113,IF($AF82="Heat Pump",References!$AY$121:$BM$137,IF($AF82="AC Electric Heat",References!$AY$145:$BM$161,References!$AY$169:$BM$185))),MATCH($AA82,References!$AX$97:$AX$113,0),MATCH($AE82,References!$AY$95:$BM$95,0)+1),INDEX(IF($AF82="AC Fossil Fuel Heat",References!$AY$217:$BM$266,IF($AF82="Heat Pump",References!$AY$274:$BM$323,IF($AF82="AC Electric Heat",References!$AY$331:$BM$380,References!$AY$444:$BM$493))),MATCH($AA82,References!$AX$217:$AX$266,0),MATCH($AE82,References!$AY$215:$BM$215,0)+1))</f>
        <v>#N/A</v>
      </c>
      <c r="AQ82" s="382" t="e">
        <f t="shared" si="22"/>
        <v>#N/A</v>
      </c>
      <c r="AR82" s="382" t="e">
        <f>IF($AC82="Exterior Walls",INDEX(IF($AG82="AC Fossil Fuel Heat",References!$AY$97:$BM$113,IF($AG82="Heat Pump",References!$AY$121:$BM$137,IF($AG82="AC Electric Heat",References!$AY$145:$BM$161,References!$AY$169:$BM$185))),MATCH($AA82,References!$AX$97:$AX$113,0),MATCH($AD82,References!$AY$95:$BM$95,0)+1),INDEX(IF($AG82="AC Fossil Fuel Heat",References!$AY$217:$BM$266,IF($AG82="Heat Pump",References!$AY$274:$BM$323,IF($AG82="AC Electric Heat",References!$AY$331:$BM$380,References!$AY$444:$BM$493))),MATCH($AA82,References!$AX$217:$AX$266,0),MATCH($AD82,References!$AY$215:$BM$215,0)+1))</f>
        <v>#N/A</v>
      </c>
      <c r="AS82" s="598" t="e">
        <f>IF($AC82="Exterior Walls",INDEX(IF($AG82="AC Fossil Fuel Heat",References!$AY$97:$BM$113,IF($AG82="Heat Pump",References!$AY$121:$BM$137,IF($AG82="AC Electric Heat",References!$AY$145:$BM$161,References!$AY$169:$BM$185))),MATCH($AA82,References!$AX$97:$AX$113,0),MATCH($AE82,References!$AY$95:$BM$95,0)+1),INDEX(IF($AG82="AC Fossil Fuel Heat",References!$AY$217:$BM$266,IF($AG82="Heat Pump",References!$AY$274:$BM$323,IF($AG82="AC Electric Heat",References!$AY$331:$BM$380,References!$AY$444:$BM$493))),MATCH($AA82,References!$AX$217:$AX$266,0),MATCH($AE82,References!$AY$215:$BM$215,0)+1))</f>
        <v>#N/A</v>
      </c>
      <c r="AT82" s="382" t="e">
        <f t="shared" si="23"/>
        <v>#N/A</v>
      </c>
      <c r="AU82" s="382" t="e">
        <f>IF($AC82="Exterior Walls",INDEX(IF($AF82="AC Fossil Fuel Heat",References!$AY$97:$BM$113,IF($AF82="Heat Pump",References!$AY$121:$BM$137,IF($AF82="AC Electric Heat",References!$AY$145:$BM$161,IF($AF82="Electric Only",References!$AY$169:$BM$185,References!$AY$193:$BM$209)))),MATCH($AA82,References!$AX$97:$AX$113,0),MATCH($AD82,References!$AY$95:$BM$95,0)+2),INDEX(IF($AF82="AC Fossil Fuel Heat",References!$AY$217:$BM$266,IF($AF82="Heat Pump",References!$AY$274:$BM$323,IF($AF82="AC Electric Heat",References!$AY$331:$BM$380,References!$AY$444:$BM$493))),MATCH($AA82,References!$AX$217:$AX$266,0),MATCH($AD82,References!$AY$215:$BM$215,0)+2))</f>
        <v>#N/A</v>
      </c>
      <c r="AV82" s="382" t="e">
        <f>IF($AC82="Exterior Walls",INDEX(IF($AF82="AC Fossil Fuel Heat",References!$AY$97:$BM$113,IF($AF82="Heat Pump",References!$AY$121:$BM$137,IF($AF82="AC Electric Heat",References!$AY$145:$BM$161,IF($AF82="Electric Only",References!$AY$169:$BM$185,References!$AY$193:$BM$209)))),MATCH($AA82,References!$AX$97:$AX$113,0),MATCH($AE82,References!$AY$95:$BM$95,0)+2),INDEX(IF($AF82="AC Fossil Fuel Heat",References!$AY$217:$BM$266,IF($AF82="Heat Pump",References!$AY$274:$BM$323,IF($AF82="AC Electric Heat",References!$AY$331:$BM$380,References!$AY$444:$BM$493))),MATCH($AA82,References!$AX$217:$AX$266,0),MATCH($AE82,References!$AY$215:$BM$215,0)+2))</f>
        <v>#N/A</v>
      </c>
      <c r="AW82" s="382" t="e">
        <f t="shared" si="24"/>
        <v>#N/A</v>
      </c>
      <c r="AX82" s="382" t="e">
        <f>IF($AC82="Exterior Walls",INDEX(IF($AG82="AC Fossil Fuel Heat",References!$AY$97:$BM$113,IF($AG82="Heat Pump",References!$AY$121:$BM$137,IF($AG82="AC Electric Heat",References!$AY$145:$BM$161,IF($AG82="Electric Only",References!$AY$169:$BM$185,References!$AY$193:$BM$209)))),MATCH($AA82,References!$AX$97:$AX$113,0),MATCH($AD82,References!$AY$95:$BM$95,0)+2),INDEX(IF($AG82="AC Fossil Fuel Heat",References!$AY$217:$BM$266,IF($AG82="Heat Pump",References!$AY$274:$BM$323,IF($AG82="AC Electric Heat",References!$AY$331:$BM$380,References!$AY$444:$BM$493))),MATCH($AA82,References!$AX$217:$AX$266,0),MATCH($AD82,References!$AY$215:$BM$215,0)+2))</f>
        <v>#N/A</v>
      </c>
      <c r="AY82" s="382" t="e">
        <f>IF($AC82="Exterior Walls",INDEX(IF($AG82="AC Fossil Fuel Heat",References!$AY$97:$BM$113,IF($AG82="Heat Pump",References!$AY$121:$BM$137,IF($AG82="AC Electric Heat",References!$AY$145:$BM$161,IF($AG82="Electric Only",References!$AY$169:$BM$185,References!$AY$193:$BM$209)))),MATCH($AA82,References!$AX$97:$AX$113,0),MATCH($AE82,References!$AY$95:$BM$95,0)+2),INDEX(IF($AG82="AC Fossil Fuel Heat",References!$AY$217:$BM$266,IF($AG82="Heat Pump",References!$AY$274:$BM$323,IF($AG82="AC Electric Heat",References!$AY$331:$BM$380,References!$AY$444:$BM$493))),MATCH($AA82,References!$AX$217:$AX$266,0),MATCH($AE82,References!$AY$215:$BM$215,0)+2))</f>
        <v>#N/A</v>
      </c>
      <c r="AZ82" s="382" t="e">
        <f t="shared" si="25"/>
        <v>#N/A</v>
      </c>
      <c r="BB82" s="595" t="e">
        <f t="shared" si="26"/>
        <v>#N/A</v>
      </c>
      <c r="BC82" s="553" t="e">
        <f t="shared" si="27"/>
        <v>#N/A</v>
      </c>
      <c r="BD82" s="553" t="e">
        <f t="shared" si="28"/>
        <v>#N/A</v>
      </c>
      <c r="BF82" s="595" t="str">
        <f>IF(OR(Z82="",AA82="",AB82="",AC82=0,AC82=""),"",INDEX(References!$BI$21:$BI$24,MATCH(IF(AC82="Attic 2","Attic",AC82),References!$BH$21:$BH$24,0)))</f>
        <v/>
      </c>
      <c r="BG82" s="595" t="e">
        <f>BB82*$AB82/1000</f>
        <v>#N/A</v>
      </c>
      <c r="BH82" s="553" t="e">
        <f t="shared" si="17"/>
        <v>#N/A</v>
      </c>
      <c r="BI82" s="553" t="e">
        <f t="shared" si="17"/>
        <v>#N/A</v>
      </c>
      <c r="BJ82" s="553" t="e">
        <f>BI82*References!$D$12</f>
        <v>#N/A</v>
      </c>
      <c r="BK82" s="553" t="e">
        <f>BD82/10*$AB82/1000</f>
        <v>#N/A</v>
      </c>
      <c r="BL82" s="553" t="e">
        <f t="shared" si="29"/>
        <v>#N/A</v>
      </c>
      <c r="BM82" s="619"/>
      <c r="BN82" s="107"/>
    </row>
    <row r="83" spans="1:66">
      <c r="A83">
        <f t="shared" si="30"/>
        <v>6</v>
      </c>
      <c r="B83" s="220"/>
      <c r="C83" s="220"/>
      <c r="D83" s="220"/>
      <c r="E83" s="220"/>
      <c r="F83" s="220"/>
      <c r="G83" s="220"/>
      <c r="H83" s="220"/>
      <c r="I83" s="220"/>
      <c r="J83" s="220"/>
      <c r="K83" s="220"/>
      <c r="L83" s="220"/>
      <c r="M83" s="220"/>
      <c r="N83" s="220"/>
      <c r="O83" s="220"/>
      <c r="P83" s="221"/>
      <c r="Q83" s="221"/>
      <c r="R83" s="221"/>
      <c r="S83" s="221"/>
      <c r="T83" s="221"/>
      <c r="U83" s="221"/>
      <c r="V83" s="553"/>
      <c r="W83" s="153"/>
      <c r="X83" s="153"/>
      <c r="Z83" s="597"/>
      <c r="AA83" s="597"/>
      <c r="AB83" s="597"/>
      <c r="AC83" s="382"/>
      <c r="AD83" s="2"/>
      <c r="AE83" s="2"/>
      <c r="AF83" s="382" t="str">
        <f t="shared" si="18"/>
        <v/>
      </c>
      <c r="AG83" s="382" t="str">
        <f t="shared" si="19"/>
        <v/>
      </c>
      <c r="AI83" s="382"/>
      <c r="AJ83" s="2"/>
      <c r="AK83" s="382"/>
      <c r="AL83" s="382"/>
      <c r="AM83" s="382"/>
      <c r="AN83" s="382"/>
      <c r="AO83" s="382"/>
      <c r="AP83" s="382"/>
      <c r="AQ83" s="382"/>
      <c r="AR83" s="382"/>
      <c r="AS83" s="382"/>
      <c r="AT83" s="382"/>
      <c r="AU83" s="382"/>
      <c r="AV83" s="382"/>
      <c r="AW83" s="382"/>
      <c r="AX83" s="382"/>
      <c r="AY83" s="382"/>
      <c r="AZ83" s="382"/>
      <c r="BB83" s="595"/>
      <c r="BC83" s="153"/>
      <c r="BD83" s="153"/>
      <c r="BF83" s="553"/>
      <c r="BG83" s="553"/>
      <c r="BH83" s="153"/>
      <c r="BI83" s="153"/>
      <c r="BJ83" s="153"/>
      <c r="BK83" s="153"/>
      <c r="BL83" s="153"/>
      <c r="BM83" s="619"/>
      <c r="BN83" s="107"/>
    </row>
    <row r="84" spans="1:66">
      <c r="A84">
        <f t="shared" si="30"/>
        <v>7</v>
      </c>
      <c r="B84" s="220"/>
      <c r="C84" s="220"/>
      <c r="D84" s="220"/>
      <c r="E84" s="220"/>
      <c r="F84" s="220"/>
      <c r="G84" s="220"/>
      <c r="H84" s="220"/>
      <c r="I84" s="220"/>
      <c r="J84" s="220"/>
      <c r="K84" s="220"/>
      <c r="L84" s="220"/>
      <c r="M84" s="220"/>
      <c r="N84" s="220"/>
      <c r="O84" s="220"/>
      <c r="P84" s="221"/>
      <c r="Q84" s="221"/>
      <c r="R84" s="221"/>
      <c r="S84" s="221"/>
      <c r="T84" s="221"/>
      <c r="U84" s="221"/>
      <c r="V84" s="553"/>
      <c r="W84" s="153"/>
      <c r="X84" s="153"/>
      <c r="Z84" s="597"/>
      <c r="AA84" s="597"/>
      <c r="AB84" s="597"/>
      <c r="AC84" s="382"/>
      <c r="AD84" s="2"/>
      <c r="AE84" s="2"/>
      <c r="AF84" s="382" t="str">
        <f t="shared" si="18"/>
        <v/>
      </c>
      <c r="AG84" s="382" t="str">
        <f t="shared" si="19"/>
        <v/>
      </c>
      <c r="AI84" s="382"/>
      <c r="AJ84" s="2"/>
      <c r="AK84" s="382"/>
      <c r="AL84" s="382"/>
      <c r="AM84" s="382"/>
      <c r="AN84" s="382"/>
      <c r="AO84" s="382"/>
      <c r="AP84" s="382"/>
      <c r="AQ84" s="382"/>
      <c r="AR84" s="382"/>
      <c r="AS84" s="382"/>
      <c r="AT84" s="382"/>
      <c r="AU84" s="382"/>
      <c r="AV84" s="382"/>
      <c r="AW84" s="382"/>
      <c r="AX84" s="382"/>
      <c r="AY84" s="382"/>
      <c r="AZ84" s="382"/>
      <c r="BB84" s="553"/>
      <c r="BC84" s="153"/>
      <c r="BD84" s="153"/>
      <c r="BF84" s="553"/>
      <c r="BG84" s="553"/>
      <c r="BH84" s="153"/>
      <c r="BI84" s="153"/>
      <c r="BJ84" s="153"/>
      <c r="BK84" s="153"/>
      <c r="BL84" s="153"/>
      <c r="BM84" s="619"/>
      <c r="BN84" s="107"/>
    </row>
    <row r="85" spans="1:66">
      <c r="A85">
        <f t="shared" si="30"/>
        <v>8</v>
      </c>
      <c r="B85" s="220"/>
      <c r="C85" s="220"/>
      <c r="D85" s="220"/>
      <c r="E85" s="220"/>
      <c r="F85" s="220"/>
      <c r="G85" s="220"/>
      <c r="H85" s="220"/>
      <c r="I85" s="220"/>
      <c r="J85" s="220"/>
      <c r="K85" s="220"/>
      <c r="L85" s="220"/>
      <c r="M85" s="220"/>
      <c r="N85" s="220"/>
      <c r="O85" s="220"/>
      <c r="P85" s="221"/>
      <c r="Q85" s="221"/>
      <c r="R85" s="221"/>
      <c r="S85" s="221"/>
      <c r="T85" s="221"/>
      <c r="U85" s="221"/>
      <c r="V85" s="553"/>
      <c r="W85" s="153"/>
      <c r="X85" s="153"/>
      <c r="Z85" s="597"/>
      <c r="AA85" s="597"/>
      <c r="AB85" s="597"/>
      <c r="AC85" s="382"/>
      <c r="AD85" s="2"/>
      <c r="AE85" s="2"/>
      <c r="AF85" s="382" t="str">
        <f t="shared" si="18"/>
        <v/>
      </c>
      <c r="AG85" s="382" t="str">
        <f t="shared" si="19"/>
        <v/>
      </c>
      <c r="AI85" s="382"/>
      <c r="AJ85" s="2"/>
      <c r="AK85" s="382"/>
      <c r="AL85" s="382"/>
      <c r="AM85" s="382"/>
      <c r="AN85" s="382"/>
      <c r="AO85" s="382"/>
      <c r="AP85" s="382"/>
      <c r="AQ85" s="382"/>
      <c r="AR85" s="382"/>
      <c r="AS85" s="382"/>
      <c r="AT85" s="382"/>
      <c r="AU85" s="382"/>
      <c r="AV85" s="382"/>
      <c r="AW85" s="382"/>
      <c r="AX85" s="382"/>
      <c r="AY85" s="382"/>
      <c r="AZ85" s="382"/>
      <c r="BB85" s="553"/>
      <c r="BC85" s="153"/>
      <c r="BD85" s="153"/>
      <c r="BF85" s="553"/>
      <c r="BG85" s="553"/>
      <c r="BH85" s="153"/>
      <c r="BI85" s="153"/>
      <c r="BJ85" s="153"/>
      <c r="BK85" s="153"/>
      <c r="BL85" s="153"/>
      <c r="BM85" s="619"/>
      <c r="BN85" s="107"/>
    </row>
    <row r="86" spans="1:66">
      <c r="A86">
        <f t="shared" si="30"/>
        <v>9</v>
      </c>
      <c r="B86" s="220"/>
      <c r="C86" s="220"/>
      <c r="D86" s="220"/>
      <c r="E86" s="220"/>
      <c r="F86" s="220"/>
      <c r="G86" s="220"/>
      <c r="H86" s="220"/>
      <c r="I86" s="220"/>
      <c r="J86" s="220"/>
      <c r="K86" s="220"/>
      <c r="L86" s="220"/>
      <c r="M86" s="220"/>
      <c r="N86" s="220"/>
      <c r="O86" s="220"/>
      <c r="P86" s="221"/>
      <c r="Q86" s="221"/>
      <c r="R86" s="221"/>
      <c r="S86" s="221"/>
      <c r="T86" s="221"/>
      <c r="U86" s="221"/>
      <c r="V86" s="553"/>
      <c r="W86" s="153"/>
      <c r="X86" s="153"/>
      <c r="Z86" s="597"/>
      <c r="AA86" s="597"/>
      <c r="AB86" s="597"/>
      <c r="AC86" s="382"/>
      <c r="AD86" s="2"/>
      <c r="AE86" s="2"/>
      <c r="AF86" s="382" t="str">
        <f t="shared" si="18"/>
        <v/>
      </c>
      <c r="AG86" s="382" t="str">
        <f t="shared" si="19"/>
        <v/>
      </c>
      <c r="AI86" s="382"/>
      <c r="AJ86" s="2"/>
      <c r="AK86" s="382"/>
      <c r="AL86" s="382"/>
      <c r="AM86" s="382"/>
      <c r="AN86" s="382"/>
      <c r="AO86" s="382"/>
      <c r="AP86" s="382"/>
      <c r="AQ86" s="382"/>
      <c r="AR86" s="382"/>
      <c r="AS86" s="382"/>
      <c r="AT86" s="382"/>
      <c r="AU86" s="382"/>
      <c r="AV86" s="382"/>
      <c r="AW86" s="382"/>
      <c r="AX86" s="382"/>
      <c r="AY86" s="382"/>
      <c r="AZ86" s="382"/>
      <c r="BB86" s="553"/>
      <c r="BC86" s="153"/>
      <c r="BD86" s="153"/>
      <c r="BF86" s="553"/>
      <c r="BG86" s="553"/>
      <c r="BH86" s="153"/>
      <c r="BI86" s="153"/>
      <c r="BJ86" s="153"/>
      <c r="BK86" s="153"/>
      <c r="BL86" s="153"/>
      <c r="BM86" s="619"/>
      <c r="BN86" s="107"/>
    </row>
    <row r="87" spans="1:66">
      <c r="A87">
        <f t="shared" si="30"/>
        <v>10</v>
      </c>
      <c r="B87" s="220"/>
      <c r="C87" s="220"/>
      <c r="D87" s="220"/>
      <c r="E87" s="220"/>
      <c r="F87" s="220"/>
      <c r="G87" s="220"/>
      <c r="H87" s="220"/>
      <c r="I87" s="220"/>
      <c r="J87" s="220"/>
      <c r="K87" s="220"/>
      <c r="L87" s="220"/>
      <c r="M87" s="220"/>
      <c r="N87" s="220"/>
      <c r="O87" s="220"/>
      <c r="P87" s="221"/>
      <c r="Q87" s="221"/>
      <c r="R87" s="221"/>
      <c r="S87" s="221"/>
      <c r="T87" s="221"/>
      <c r="U87" s="221"/>
      <c r="V87" s="553"/>
      <c r="W87" s="153"/>
      <c r="X87" s="153"/>
      <c r="Z87" s="597"/>
      <c r="AA87" s="597"/>
      <c r="AB87" s="597"/>
      <c r="AC87" s="382"/>
      <c r="AD87" s="2"/>
      <c r="AE87" s="2"/>
      <c r="AF87" s="382" t="str">
        <f t="shared" si="18"/>
        <v/>
      </c>
      <c r="AG87" s="382" t="str">
        <f t="shared" si="19"/>
        <v/>
      </c>
      <c r="AI87" s="382"/>
      <c r="AJ87" s="2"/>
      <c r="AK87" s="382"/>
      <c r="AL87" s="382"/>
      <c r="AM87" s="382"/>
      <c r="AN87" s="382"/>
      <c r="AO87" s="382"/>
      <c r="AP87" s="382"/>
      <c r="AQ87" s="382"/>
      <c r="AR87" s="382"/>
      <c r="AS87" s="382"/>
      <c r="AT87" s="382"/>
      <c r="AU87" s="382"/>
      <c r="AV87" s="382"/>
      <c r="AW87" s="382"/>
      <c r="AX87" s="382"/>
      <c r="AY87" s="382"/>
      <c r="AZ87" s="382"/>
      <c r="BB87" s="553"/>
      <c r="BC87" s="153"/>
      <c r="BD87" s="153"/>
      <c r="BF87" s="553"/>
      <c r="BG87" s="553"/>
      <c r="BH87" s="153"/>
      <c r="BI87" s="153"/>
      <c r="BJ87" s="153"/>
      <c r="BK87" s="153"/>
      <c r="BL87" s="153"/>
      <c r="BM87" s="619"/>
      <c r="BN87" s="107"/>
    </row>
    <row r="88" spans="1:66">
      <c r="BK88" t="s">
        <v>1700</v>
      </c>
      <c r="BL88" s="627">
        <f>IF(AND(BF78="",BF79="",BF80="",BF81="",BF82=""),0,IF(References!$C$17=TRUE,MIN(References!$BJ$7,HPwES!$J$139),MIN(References!$BI$7,HPwES!$J$139)))</f>
        <v>0</v>
      </c>
    </row>
    <row r="89" spans="1:66">
      <c r="A89" s="247" t="s">
        <v>1309</v>
      </c>
    </row>
    <row r="90" spans="1:66">
      <c r="A90" s="134" t="s">
        <v>4275</v>
      </c>
      <c r="AB90" s="1030"/>
    </row>
    <row r="91" spans="1:66">
      <c r="AB91" s="1030"/>
    </row>
    <row r="92" spans="1:66" ht="29.15" customHeight="1">
      <c r="A92" s="2609" t="s">
        <v>256</v>
      </c>
      <c r="B92" s="2609" t="s">
        <v>4193</v>
      </c>
      <c r="C92" s="2614" t="s">
        <v>4288</v>
      </c>
      <c r="D92" s="2615"/>
      <c r="E92" s="2614" t="s">
        <v>12</v>
      </c>
      <c r="F92" s="2615"/>
      <c r="G92" s="2614" t="s">
        <v>13</v>
      </c>
      <c r="H92" s="2615"/>
      <c r="I92" s="2614" t="s">
        <v>244</v>
      </c>
      <c r="J92" s="2615"/>
      <c r="K92" s="2614" t="s">
        <v>4276</v>
      </c>
      <c r="L92" s="2615"/>
      <c r="N92" s="2587" t="s">
        <v>4276</v>
      </c>
      <c r="O92" s="2614" t="s">
        <v>255</v>
      </c>
      <c r="P92" s="2616"/>
      <c r="Q92" s="2615"/>
      <c r="T92" s="2587" t="s">
        <v>4287</v>
      </c>
      <c r="U92" s="2614" t="s">
        <v>4428</v>
      </c>
      <c r="V92" s="2616"/>
      <c r="W92" s="2616"/>
      <c r="X92" s="2616"/>
      <c r="Y92" s="2616"/>
      <c r="Z92" s="2615"/>
      <c r="AA92" s="2614" t="s">
        <v>145</v>
      </c>
      <c r="AB92" s="2616"/>
      <c r="AC92" s="2616"/>
      <c r="AD92" s="2616"/>
      <c r="AE92" s="2615"/>
      <c r="AG92" s="2614" t="s">
        <v>258</v>
      </c>
      <c r="AH92" s="2615"/>
      <c r="AI92" s="2587" t="s">
        <v>4286</v>
      </c>
    </row>
    <row r="93" spans="1:66" ht="29">
      <c r="A93" s="2609" t="s">
        <v>256</v>
      </c>
      <c r="B93" s="2609"/>
      <c r="C93" s="590" t="s">
        <v>13</v>
      </c>
      <c r="D93" s="590" t="s">
        <v>2202</v>
      </c>
      <c r="E93" s="590" t="s">
        <v>33</v>
      </c>
      <c r="F93" s="590" t="s">
        <v>34</v>
      </c>
      <c r="G93" s="590" t="s">
        <v>33</v>
      </c>
      <c r="H93" s="590" t="s">
        <v>34</v>
      </c>
      <c r="I93" s="590" t="s">
        <v>33</v>
      </c>
      <c r="J93" s="590" t="s">
        <v>34</v>
      </c>
      <c r="K93" s="590" t="s">
        <v>13</v>
      </c>
      <c r="L93" s="590" t="s">
        <v>244</v>
      </c>
      <c r="N93" s="2588"/>
      <c r="O93" s="590" t="s">
        <v>254</v>
      </c>
      <c r="P93" s="590" t="s">
        <v>4285</v>
      </c>
      <c r="Q93" s="590" t="s">
        <v>253</v>
      </c>
      <c r="T93" s="2588"/>
      <c r="U93" s="2614" t="s">
        <v>4283</v>
      </c>
      <c r="V93" s="2615"/>
      <c r="W93" s="2614" t="s">
        <v>4284</v>
      </c>
      <c r="X93" s="2615"/>
      <c r="Y93" s="2614" t="s">
        <v>4282</v>
      </c>
      <c r="Z93" s="2615"/>
      <c r="AA93" s="590" t="s">
        <v>4283</v>
      </c>
      <c r="AB93" s="590" t="s">
        <v>4282</v>
      </c>
      <c r="AC93" s="590" t="s">
        <v>503</v>
      </c>
      <c r="AD93" s="590" t="s">
        <v>504</v>
      </c>
      <c r="AE93" s="590" t="s">
        <v>505</v>
      </c>
      <c r="AF93" s="108"/>
      <c r="AG93" s="590" t="s">
        <v>4188</v>
      </c>
      <c r="AH93" s="590" t="s">
        <v>4190</v>
      </c>
      <c r="AI93" s="2588"/>
    </row>
    <row r="94" spans="1:66">
      <c r="A94" s="2">
        <v>1</v>
      </c>
      <c r="B94" s="2" t="str">
        <f>IF('Space Heating Worksheet'!C37="","",'Space Heating Worksheet'!C37)</f>
        <v/>
      </c>
      <c r="C94" s="153" t="str">
        <f>IF('Space Heating Worksheet'!U37="","",IF(OR('Space Heating Worksheet'!J37="Single Stage",NOT(ISNUMBER('Space Heating Worksheet'!W37))),'Space Heating Worksheet'!U37,'Space Heating Worksheet'!U37*0.5+'Space Heating Worksheet'!W37*0.5))</f>
        <v/>
      </c>
      <c r="D94" s="153" t="str">
        <f>IF('Space Heating Worksheet'!J37="","",IF(OR('Space Heating Worksheet'!J37="Single Stage",NOT(ISNUMBER('Space Heating Worksheet'!X37))),'Space Heating Worksheet'!V37,'Space Heating Worksheet'!V37*0.5+'Space Heating Worksheet'!X37*0.5))</f>
        <v/>
      </c>
      <c r="E94" s="2" t="str">
        <f>IF('Space Heating Worksheet'!$G37="","",INDEX(References!BP$13:BP$23,MATCH('Space Heating Worksheet'!$G37,References!$BO$13:$BO$23,0)))</f>
        <v/>
      </c>
      <c r="F94" s="2" t="str">
        <f>IF('Space Heating Worksheet'!$G37="","",INDEX(References!BQ$13:BQ$23,MATCH('Space Heating Worksheet'!$G37,References!$BO$13:$BO$23,0)))</f>
        <v/>
      </c>
      <c r="G94" s="2" t="str">
        <f>IF('Space Heating Worksheet'!$G37="","",INDEX(References!BR$13:BR$23,MATCH('Space Heating Worksheet'!$G37,References!$BO$13:$BO$23,0)))</f>
        <v/>
      </c>
      <c r="H94" s="2" t="str">
        <f>IF('Space Heating Worksheet'!$G37="","",INDEX(References!BS$13:BS$23,MATCH('Space Heating Worksheet'!$G37,References!$BO$13:$BO$23,0)))</f>
        <v/>
      </c>
      <c r="I94" s="2" t="str">
        <f>IF('Space Heating Worksheet'!$G37="","",INDEX(References!BT$13:BT$23,MATCH('Space Heating Worksheet'!$G37,References!$BO$13:$BO$23,0)))</f>
        <v/>
      </c>
      <c r="J94" s="2" t="str">
        <f>IF('Space Heating Worksheet'!$G37="","",INDEX(References!BU$13:BU$23,MATCH('Space Heating Worksheet'!$G37,References!$BO$13:$BO$23,0)))</f>
        <v/>
      </c>
      <c r="K94" s="2" t="str">
        <f t="shared" ref="K94:K103" si="31">IF(C94="","",IF(C94&lt;G94,"DNQ",IF(C94&gt;=H94,"Tier II","Tier I")))</f>
        <v/>
      </c>
      <c r="L94" s="2" t="str">
        <f t="shared" ref="L94:L103" si="32">IF(D94="","",IF(D94&lt;I94,"DNQ",IF(D94&gt;=J94,"Tier II","Tier I")))</f>
        <v/>
      </c>
      <c r="N94" s="2" t="str">
        <f t="shared" ref="N94:N103" si="33">IF(OR(K94="",L94=""),"",IF(OR(K94="DNQ",L94="DNQ",AE94="FAIL"),"DNQ",IF(OR(K94="Tier I",L94="Tier I"),"Tier I","Tier II")))</f>
        <v/>
      </c>
      <c r="O94" s="674" t="str">
        <f>IF(N94="","",IF(N94="DNQ","DNQ",INDEX(References!$CC$3:$CC$30,MATCH('Space Heating Worksheet'!N37,References!$CB$3:$CB$30,0))*('Space Heating Worksheet'!O37/12000)))</f>
        <v/>
      </c>
      <c r="P94" s="1390" t="str">
        <f>IF(N94="","",IF(AND(B94="Residential",'Space Heating Worksheet'!S56="Yes"),INDEX(References!$BU$113:$BU$117,MATCH('Space Heating Worksheet'!F37,References!$BO$113:$BO$117,0)),0))</f>
        <v/>
      </c>
      <c r="Q94" s="674"/>
      <c r="S94">
        <f>IF(COUNTIF(S93,200),100,200)</f>
        <v>200</v>
      </c>
      <c r="T94" s="585" t="str">
        <f>IF('Space Heating Worksheet'!X56="","",'Space Heating Worksheet'!X56)</f>
        <v/>
      </c>
      <c r="U94" s="1206" t="str">
        <f>IF('Space Heating Worksheet'!O37="","",'Space Heating Worksheet'!O37*0.75)</f>
        <v/>
      </c>
      <c r="V94" s="1206" t="str">
        <f>IF('Space Heating Worksheet'!O37="","",'Space Heating Worksheet'!O37*1.25)</f>
        <v/>
      </c>
      <c r="W94" s="1206" t="str">
        <f>IF('Space Heating Worksheet'!P37="","",'Space Heating Worksheet'!P37*0.75)</f>
        <v/>
      </c>
      <c r="X94" s="1206" t="str">
        <f>IF('Space Heating Worksheet'!P37="","",'Space Heating Worksheet'!P37*1.25)</f>
        <v/>
      </c>
      <c r="Y94" s="1205" t="str">
        <f>IF('Space Heating Worksheet'!Q37="","",IF(ISNUMBER('Space Heating Worksheet'!Q37),'Space Heating Worksheet'!Q37*0.75,0))</f>
        <v/>
      </c>
      <c r="Z94" s="1205" t="str">
        <f>IF('Space Heating Worksheet'!Q37="","",IF(ISNUMBER('Space Heating Worksheet'!Q37),'Space Heating Worksheet'!Q37*1.25,0))</f>
        <v/>
      </c>
      <c r="AA94" s="112" t="str">
        <f>IF(AND(U94="",V94=""),"",IF(AND('Space Heating Worksheet'!AI56&gt;=U94,'Space Heating Worksheet'!AI56&lt;=V94),"PASS","FAIL"))</f>
        <v/>
      </c>
      <c r="AB94" s="112" t="str">
        <f>IF(AND(Y94="",Z94=""),"",IF(AND('Space Heating Worksheet'!AI56&gt;=Y94,'Space Heating Worksheet'!AI56&lt;=Z94),"PASS","FAIL"))</f>
        <v/>
      </c>
      <c r="AC94" s="112" t="str">
        <f t="shared" ref="AC94:AC103" si="34">IF(AA94="FAIL",AB94,AA94)</f>
        <v/>
      </c>
      <c r="AD94" s="112" t="str">
        <f>IF(AND(W94="",X94=""),"",IF(AND('Space Heating Worksheet'!AJ56&gt;=W94,'Space Heating Worksheet'!AJ56&lt;=X94),"PASS","FAIL"))</f>
        <v/>
      </c>
      <c r="AE94" s="1391" t="str">
        <f>IF(AND(AC94="",AD94=""),"",IF(AND(T94&lt;&gt;"YES",B94="Residential"),"FAIL",IF(AA94="PASS","PASS",IF(AND(AB94="PASS",AD94="PASS"),"PASS","FAIL"))))</f>
        <v/>
      </c>
      <c r="AG94" s="2" t="str">
        <f>IF(AND('Space Heating Worksheet'!C56="",'Space Heating Worksheet'!F56="",'Space Heating Worksheet'!J56="",'Space Heating Worksheet'!O56="",'Space Heating Worksheet'!Q56="",'Space Heating Worksheet'!S56="",'Space Heating Worksheet'!AI56=""),"",IF(OR('Space Heating Worksheet'!C56="",'Space Heating Worksheet'!F56="",'Space Heating Worksheet'!J56="",'Space Heating Worksheet'!O56="",'Space Heating Worksheet'!Q56="",'Space Heating Worksheet'!S56="",'Space Heating Worksheet'!AI56=""),"Missing Info",""))</f>
        <v/>
      </c>
      <c r="AH94" s="2" t="str">
        <f>IF(AND('Space Heating Worksheet'!C56="",'Space Heating Worksheet'!F56="",'Space Heating Worksheet'!J56="",'Space Heating Worksheet'!O56="",'Space Heating Worksheet'!Q56="",'Space Heating Worksheet'!S56="",'Space Heating Worksheet'!AI56=""),"",IF(OR('Space Heating Worksheet'!C56="",'Space Heating Worksheet'!F56="",'Space Heating Worksheet'!J56="",'Space Heating Worksheet'!O56="",'Space Heating Worksheet'!Q56="",'Space Heating Worksheet'!S56="",'Space Heating Worksheet'!AI56=""),"Missing Info",""))</f>
        <v/>
      </c>
      <c r="AI94" s="1392" t="str">
        <f>IF(B94="Commercial",Qualifying_Index!AG94,Qualifying_Index!AH94)</f>
        <v/>
      </c>
    </row>
    <row r="95" spans="1:66">
      <c r="A95" s="2">
        <f t="shared" ref="A95:A103" si="35">A94+1</f>
        <v>2</v>
      </c>
      <c r="B95" s="2" t="str">
        <f>IF('Space Heating Worksheet'!C38="","",'Space Heating Worksheet'!C38)</f>
        <v/>
      </c>
      <c r="C95" s="153" t="str">
        <f>IF('Space Heating Worksheet'!U38="","",IF(OR('Space Heating Worksheet'!J38="Single Stage",NOT(ISNUMBER('Space Heating Worksheet'!W38))),'Space Heating Worksheet'!U38,'Space Heating Worksheet'!U38*0.5+'Space Heating Worksheet'!W38*0.5))</f>
        <v/>
      </c>
      <c r="D95" s="153" t="str">
        <f>IF('Space Heating Worksheet'!J38="","",IF(OR('Space Heating Worksheet'!J38="Single Stage",NOT(ISNUMBER('Space Heating Worksheet'!X38))),'Space Heating Worksheet'!V38,'Space Heating Worksheet'!V38*0.5+'Space Heating Worksheet'!X38*0.5))</f>
        <v/>
      </c>
      <c r="E95" s="2" t="str">
        <f>IF('Space Heating Worksheet'!$G38="","",INDEX(References!BP$13:BP$23,MATCH('Space Heating Worksheet'!$G38,References!$BO$13:$BO$23,0)))</f>
        <v/>
      </c>
      <c r="F95" s="2" t="str">
        <f>IF('Space Heating Worksheet'!$G38="","",INDEX(References!BQ$13:BQ$23,MATCH('Space Heating Worksheet'!$G38,References!$BO$13:$BO$23,0)))</f>
        <v/>
      </c>
      <c r="G95" s="2" t="str">
        <f>IF('Space Heating Worksheet'!$G38="","",INDEX(References!BR$13:BR$23,MATCH('Space Heating Worksheet'!$G38,References!$BO$13:$BO$23,0)))</f>
        <v/>
      </c>
      <c r="H95" s="2" t="str">
        <f>IF('Space Heating Worksheet'!$G38="","",INDEX(References!BS$13:BS$23,MATCH('Space Heating Worksheet'!$G38,References!$BO$13:$BO$23,0)))</f>
        <v/>
      </c>
      <c r="I95" s="2" t="str">
        <f>IF('Space Heating Worksheet'!$G38="","",INDEX(References!BT$13:BT$23,MATCH('Space Heating Worksheet'!$G38,References!$BO$13:$BO$23,0)))</f>
        <v/>
      </c>
      <c r="J95" s="2" t="str">
        <f>IF('Space Heating Worksheet'!$G38="","",INDEX(References!BU$13:BU$23,MATCH('Space Heating Worksheet'!$G38,References!$BO$13:$BO$23,0)))</f>
        <v/>
      </c>
      <c r="K95" s="2" t="str">
        <f t="shared" si="31"/>
        <v/>
      </c>
      <c r="L95" s="2" t="str">
        <f t="shared" si="32"/>
        <v/>
      </c>
      <c r="N95" s="2" t="str">
        <f t="shared" si="33"/>
        <v/>
      </c>
      <c r="O95" s="674" t="str">
        <f>IF(N95="","",IF(N95="DNQ","DNQ",INDEX(References!$CC$3:$CC$30,MATCH('Space Heating Worksheet'!N38,References!$CB$3:$CB$30,0))*('Space Heating Worksheet'!O38/12000)))</f>
        <v/>
      </c>
      <c r="P95" s="1390" t="str">
        <f>IF(N95="","",IF(AND(B95="Residential",'Space Heating Worksheet'!S57="Yes"),INDEX(References!$BU$113:$BU$117,MATCH('Space Heating Worksheet'!F38,References!$BO$113:$BO$117,0)),0))</f>
        <v/>
      </c>
      <c r="Q95" s="674"/>
      <c r="S95">
        <f>IF(COUNTIF(S94,200),100,200)</f>
        <v>100</v>
      </c>
      <c r="T95" s="585" t="str">
        <f>IF('Space Heating Worksheet'!X57="","",'Space Heating Worksheet'!X57)</f>
        <v/>
      </c>
      <c r="U95" s="1206" t="str">
        <f>IF('Space Heating Worksheet'!O38="","",'Space Heating Worksheet'!O38*0.75)</f>
        <v/>
      </c>
      <c r="V95" s="1206" t="str">
        <f>IF('Space Heating Worksheet'!O38="","",'Space Heating Worksheet'!O38*1.25)</f>
        <v/>
      </c>
      <c r="W95" s="1206" t="str">
        <f>IF('Space Heating Worksheet'!P38="","",'Space Heating Worksheet'!P38*0.75)</f>
        <v/>
      </c>
      <c r="X95" s="1206" t="str">
        <f>IF('Space Heating Worksheet'!P38="","",'Space Heating Worksheet'!P38*1.25)</f>
        <v/>
      </c>
      <c r="Y95" s="1205" t="str">
        <f>IF('Space Heating Worksheet'!Q38="","",IF(ISNUMBER('Space Heating Worksheet'!Q38),'Space Heating Worksheet'!Q38*0.75,0))</f>
        <v/>
      </c>
      <c r="Z95" s="1205" t="str">
        <f>IF('Space Heating Worksheet'!Q38="","",IF(ISNUMBER('Space Heating Worksheet'!Q38),'Space Heating Worksheet'!Q38*1.25,0))</f>
        <v/>
      </c>
      <c r="AA95" s="112" t="str">
        <f>IF(AND(U95="",V95=""),"",IF(AND('Space Heating Worksheet'!AI57&gt;=U95,'Space Heating Worksheet'!AI57&lt;=V95),"PASS","FAIL"))</f>
        <v/>
      </c>
      <c r="AB95" s="112" t="str">
        <f>IF(AND(Y95="",Z95=""),"",IF(AND('Space Heating Worksheet'!AI57&gt;=Y95,'Space Heating Worksheet'!AI57&lt;=Z95),"PASS","FAIL"))</f>
        <v/>
      </c>
      <c r="AC95" s="112" t="str">
        <f t="shared" si="34"/>
        <v/>
      </c>
      <c r="AD95" s="112" t="str">
        <f>IF(AND(W95="",X95=""),"",IF(AND('Space Heating Worksheet'!AJ57&gt;=W95,'Space Heating Worksheet'!AJ57&lt;=X95),"PASS","FAIL"))</f>
        <v/>
      </c>
      <c r="AE95" s="1391" t="str">
        <f t="shared" ref="AE95:AE103" si="36">IF(AND(AC95="",AD95=""),"",IF(AND(T95&lt;&gt;"YES",B95="Residential"),"FAIL",IF(AA95="PASS","PASS",IF(AND(AB95="PASS",AD95="PASS"),"PASS","FAIL"))))</f>
        <v/>
      </c>
      <c r="AG95" s="2" t="str">
        <f>IF(AND('Space Heating Worksheet'!C57="",'Space Heating Worksheet'!F57="",'Space Heating Worksheet'!J57="",'Space Heating Worksheet'!O57="",'Space Heating Worksheet'!Q57="",'Space Heating Worksheet'!S57="",'Space Heating Worksheet'!AI57=""),"",IF(OR('Space Heating Worksheet'!C57="",'Space Heating Worksheet'!F57="",'Space Heating Worksheet'!J57="",'Space Heating Worksheet'!O57="",'Space Heating Worksheet'!Q57="",'Space Heating Worksheet'!S57="",'Space Heating Worksheet'!AI57=""),"Missing Info",""))</f>
        <v/>
      </c>
      <c r="AH95" s="2" t="str">
        <f>IF(AND('Space Heating Worksheet'!C57="",'Space Heating Worksheet'!F57="",'Space Heating Worksheet'!J57="",'Space Heating Worksheet'!O57="",'Space Heating Worksheet'!Q57="",'Space Heating Worksheet'!S57="",'Space Heating Worksheet'!AI57=""),"",IF(OR('Space Heating Worksheet'!C57="",'Space Heating Worksheet'!F57="",'Space Heating Worksheet'!J57="",'Space Heating Worksheet'!O57="",'Space Heating Worksheet'!Q57="",'Space Heating Worksheet'!S57="",'Space Heating Worksheet'!AI57=""),"Missing Info",""))</f>
        <v/>
      </c>
      <c r="AI95" s="1392" t="str">
        <f>IF(B95="Commercial",Qualifying_Index!AG95,Qualifying_Index!AH95)</f>
        <v/>
      </c>
    </row>
    <row r="96" spans="1:66">
      <c r="A96" s="2">
        <f t="shared" si="35"/>
        <v>3</v>
      </c>
      <c r="B96" s="2" t="str">
        <f>IF('Space Heating Worksheet'!C39="","",'Space Heating Worksheet'!C39)</f>
        <v/>
      </c>
      <c r="C96" s="153" t="str">
        <f>IF('Space Heating Worksheet'!U39="","",IF(OR('Space Heating Worksheet'!J39="Single Stage",NOT(ISNUMBER('Space Heating Worksheet'!W39))),'Space Heating Worksheet'!U39,'Space Heating Worksheet'!U39*0.5+'Space Heating Worksheet'!W39*0.5))</f>
        <v/>
      </c>
      <c r="D96" s="153" t="str">
        <f>IF('Space Heating Worksheet'!J39="","",IF(OR('Space Heating Worksheet'!J39="Single Stage",NOT(ISNUMBER('Space Heating Worksheet'!X39))),'Space Heating Worksheet'!V39,'Space Heating Worksheet'!V39*0.5+'Space Heating Worksheet'!X39*0.5))</f>
        <v/>
      </c>
      <c r="E96" s="2" t="str">
        <f>IF('Space Heating Worksheet'!$G39="","",INDEX(References!BP$13:BP$23,MATCH('Space Heating Worksheet'!$G39,References!$BO$13:$BO$23,0)))</f>
        <v/>
      </c>
      <c r="F96" s="2" t="str">
        <f>IF('Space Heating Worksheet'!$G39="","",INDEX(References!BQ$13:BQ$23,MATCH('Space Heating Worksheet'!$G39,References!$BO$13:$BO$23,0)))</f>
        <v/>
      </c>
      <c r="G96" s="2" t="str">
        <f>IF('Space Heating Worksheet'!$G39="","",INDEX(References!BR$13:BR$23,MATCH('Space Heating Worksheet'!$G39,References!$BO$13:$BO$23,0)))</f>
        <v/>
      </c>
      <c r="H96" s="2" t="str">
        <f>IF('Space Heating Worksheet'!$G39="","",INDEX(References!BS$13:BS$23,MATCH('Space Heating Worksheet'!$G39,References!$BO$13:$BO$23,0)))</f>
        <v/>
      </c>
      <c r="I96" s="2" t="str">
        <f>IF('Space Heating Worksheet'!$G39="","",INDEX(References!BT$13:BT$23,MATCH('Space Heating Worksheet'!$G39,References!$BO$13:$BO$23,0)))</f>
        <v/>
      </c>
      <c r="J96" s="2" t="str">
        <f>IF('Space Heating Worksheet'!$G39="","",INDEX(References!BU$13:BU$23,MATCH('Space Heating Worksheet'!$G39,References!$BO$13:$BO$23,0)))</f>
        <v/>
      </c>
      <c r="K96" s="2" t="str">
        <f t="shared" si="31"/>
        <v/>
      </c>
      <c r="L96" s="2" t="str">
        <f t="shared" si="32"/>
        <v/>
      </c>
      <c r="N96" s="2" t="str">
        <f t="shared" si="33"/>
        <v/>
      </c>
      <c r="O96" s="674" t="str">
        <f>IF(N96="","",IF(N96="DNQ","DNQ",INDEX(References!$CC$3:$CC$30,MATCH('Space Heating Worksheet'!N39,References!$CB$3:$CB$30,0))*('Space Heating Worksheet'!O39/12000)))</f>
        <v/>
      </c>
      <c r="P96" s="1390" t="str">
        <f>IF(N96="","",IF(AND(B96="Residential",'Space Heating Worksheet'!S58="Yes"),INDEX(References!$BU$113:$BU$117,MATCH('Space Heating Worksheet'!F39,References!$BO$113:$BO$117,0)),0))</f>
        <v/>
      </c>
      <c r="Q96" s="674"/>
      <c r="S96">
        <f>IF(COUNTIF($S$94:S95,200),100,200)</f>
        <v>100</v>
      </c>
      <c r="T96" s="585" t="str">
        <f>IF('Space Heating Worksheet'!X58="","",'Space Heating Worksheet'!X58)</f>
        <v/>
      </c>
      <c r="U96" s="1206" t="str">
        <f>IF('Space Heating Worksheet'!O39="","",'Space Heating Worksheet'!O39*0.75)</f>
        <v/>
      </c>
      <c r="V96" s="1206" t="str">
        <f>IF('Space Heating Worksheet'!O39="","",'Space Heating Worksheet'!O39*1.25)</f>
        <v/>
      </c>
      <c r="W96" s="1206" t="str">
        <f>IF('Space Heating Worksheet'!P39="","",'Space Heating Worksheet'!P39*0.75)</f>
        <v/>
      </c>
      <c r="X96" s="1206" t="str">
        <f>IF('Space Heating Worksheet'!P39="","",'Space Heating Worksheet'!P39*1.25)</f>
        <v/>
      </c>
      <c r="Y96" s="1205" t="str">
        <f>IF('Space Heating Worksheet'!Q39="","",IF(ISNUMBER('Space Heating Worksheet'!Q39),'Space Heating Worksheet'!Q39*0.75,0))</f>
        <v/>
      </c>
      <c r="Z96" s="1205" t="str">
        <f>IF('Space Heating Worksheet'!Q39="","",IF(ISNUMBER('Space Heating Worksheet'!Q39),'Space Heating Worksheet'!Q39*1.25,0))</f>
        <v/>
      </c>
      <c r="AA96" s="112" t="str">
        <f>IF(AND(U96="",V96=""),"",IF(AND('Space Heating Worksheet'!AI58&gt;=U96,'Space Heating Worksheet'!AI58&lt;=V96),"PASS","FAIL"))</f>
        <v/>
      </c>
      <c r="AB96" s="112" t="str">
        <f>IF(AND(Y96="",Z96=""),"",IF(AND('Space Heating Worksheet'!AI58&gt;=Y96,'Space Heating Worksheet'!AI58&lt;=Z96),"PASS","FAIL"))</f>
        <v/>
      </c>
      <c r="AC96" s="112" t="str">
        <f t="shared" si="34"/>
        <v/>
      </c>
      <c r="AD96" s="112" t="str">
        <f>IF(AND(W96="",X96=""),"",IF(AND('Space Heating Worksheet'!AJ58&gt;=W96,'Space Heating Worksheet'!AJ58&lt;=X96),"PASS","FAIL"))</f>
        <v/>
      </c>
      <c r="AE96" s="1391" t="str">
        <f t="shared" si="36"/>
        <v/>
      </c>
      <c r="AG96" s="2" t="str">
        <f>IF(AND('Space Heating Worksheet'!C58="",'Space Heating Worksheet'!F58="",'Space Heating Worksheet'!J58="",'Space Heating Worksheet'!O58="",'Space Heating Worksheet'!Q58="",'Space Heating Worksheet'!S58="",'Space Heating Worksheet'!AI58=""),"",IF(OR('Space Heating Worksheet'!C58="",'Space Heating Worksheet'!F58="",'Space Heating Worksheet'!J58="",'Space Heating Worksheet'!O58="",'Space Heating Worksheet'!Q58="",'Space Heating Worksheet'!S58="",'Space Heating Worksheet'!AI58=""),"Missing Info",""))</f>
        <v/>
      </c>
      <c r="AH96" s="2" t="str">
        <f>IF(AND('Space Heating Worksheet'!C58="",'Space Heating Worksheet'!F58="",'Space Heating Worksheet'!J58="",'Space Heating Worksheet'!O58="",'Space Heating Worksheet'!Q58="",'Space Heating Worksheet'!S58="",'Space Heating Worksheet'!AI58=""),"",IF(OR('Space Heating Worksheet'!C58="",'Space Heating Worksheet'!F58="",'Space Heating Worksheet'!J58="",'Space Heating Worksheet'!O58="",'Space Heating Worksheet'!Q58="",'Space Heating Worksheet'!S58="",'Space Heating Worksheet'!AI58=""),"Missing Info",""))</f>
        <v/>
      </c>
      <c r="AI96" s="1392" t="str">
        <f>IF(B96="Commercial",Qualifying_Index!AG96,Qualifying_Index!AH96)</f>
        <v/>
      </c>
    </row>
    <row r="97" spans="1:35">
      <c r="A97" s="2">
        <f t="shared" si="35"/>
        <v>4</v>
      </c>
      <c r="B97" s="2" t="str">
        <f>IF('Space Heating Worksheet'!C40="","",'Space Heating Worksheet'!C40)</f>
        <v/>
      </c>
      <c r="C97" s="153" t="str">
        <f>IF('Space Heating Worksheet'!U40="","",IF(OR('Space Heating Worksheet'!J40="Single Stage",NOT(ISNUMBER('Space Heating Worksheet'!W40))),'Space Heating Worksheet'!U40,'Space Heating Worksheet'!U40*0.5+'Space Heating Worksheet'!W40*0.5))</f>
        <v/>
      </c>
      <c r="D97" s="153" t="str">
        <f>IF('Space Heating Worksheet'!J40="","",IF(OR('Space Heating Worksheet'!J40="Single Stage",NOT(ISNUMBER('Space Heating Worksheet'!X40))),'Space Heating Worksheet'!V40,'Space Heating Worksheet'!V40*0.5+'Space Heating Worksheet'!X40*0.5))</f>
        <v/>
      </c>
      <c r="E97" s="2" t="str">
        <f>IF('Space Heating Worksheet'!$G40="","",INDEX(References!BP$13:BP$23,MATCH('Space Heating Worksheet'!$G40,References!$BO$13:$BO$23,0)))</f>
        <v/>
      </c>
      <c r="F97" s="2" t="str">
        <f>IF('Space Heating Worksheet'!$G40="","",INDEX(References!BQ$13:BQ$23,MATCH('Space Heating Worksheet'!$G40,References!$BO$13:$BO$23,0)))</f>
        <v/>
      </c>
      <c r="G97" s="2" t="str">
        <f>IF('Space Heating Worksheet'!$G40="","",INDEX(References!BR$13:BR$23,MATCH('Space Heating Worksheet'!$G40,References!$BO$13:$BO$23,0)))</f>
        <v/>
      </c>
      <c r="H97" s="2" t="str">
        <f>IF('Space Heating Worksheet'!$G40="","",INDEX(References!BS$13:BS$23,MATCH('Space Heating Worksheet'!$G40,References!$BO$13:$BO$23,0)))</f>
        <v/>
      </c>
      <c r="I97" s="2" t="str">
        <f>IF('Space Heating Worksheet'!$G40="","",INDEX(References!BT$13:BT$23,MATCH('Space Heating Worksheet'!$G40,References!$BO$13:$BO$23,0)))</f>
        <v/>
      </c>
      <c r="J97" s="2" t="str">
        <f>IF('Space Heating Worksheet'!$G40="","",INDEX(References!BU$13:BU$23,MATCH('Space Heating Worksheet'!$G40,References!$BO$13:$BO$23,0)))</f>
        <v/>
      </c>
      <c r="K97" s="2" t="str">
        <f t="shared" si="31"/>
        <v/>
      </c>
      <c r="L97" s="2" t="str">
        <f t="shared" si="32"/>
        <v/>
      </c>
      <c r="N97" s="2" t="str">
        <f t="shared" si="33"/>
        <v/>
      </c>
      <c r="O97" s="674" t="str">
        <f>IF(N97="","",IF(N97="DNQ","DNQ",INDEX(References!$CC$3:$CC$30,MATCH('Space Heating Worksheet'!N40,References!$CB$3:$CB$30,0))*('Space Heating Worksheet'!O40/12000)))</f>
        <v/>
      </c>
      <c r="P97" s="1390" t="str">
        <f>IF(N97="","",IF(AND(B97="Residential",'Space Heating Worksheet'!S59="Yes"),INDEX(References!$BU$113:$BU$117,MATCH('Space Heating Worksheet'!F40,References!$BO$113:$BO$117,0)),0))</f>
        <v/>
      </c>
      <c r="Q97" s="674"/>
      <c r="S97">
        <f>IF(COUNTIF($S$94:S96,200),100,200)</f>
        <v>100</v>
      </c>
      <c r="T97" s="585" t="str">
        <f>IF('Space Heating Worksheet'!X59="","",'Space Heating Worksheet'!X59)</f>
        <v/>
      </c>
      <c r="U97" s="1206" t="str">
        <f>IF('Space Heating Worksheet'!O40="","",'Space Heating Worksheet'!O40*0.75)</f>
        <v/>
      </c>
      <c r="V97" s="1206" t="str">
        <f>IF('Space Heating Worksheet'!O40="","",'Space Heating Worksheet'!O40*1.25)</f>
        <v/>
      </c>
      <c r="W97" s="1206" t="str">
        <f>IF('Space Heating Worksheet'!P40="","",'Space Heating Worksheet'!P40*0.75)</f>
        <v/>
      </c>
      <c r="X97" s="1206" t="str">
        <f>IF('Space Heating Worksheet'!P40="","",'Space Heating Worksheet'!P40*1.25)</f>
        <v/>
      </c>
      <c r="Y97" s="1205" t="str">
        <f>IF('Space Heating Worksheet'!Q40="","",IF(ISNUMBER('Space Heating Worksheet'!Q40),'Space Heating Worksheet'!Q40*0.75,0))</f>
        <v/>
      </c>
      <c r="Z97" s="1205" t="str">
        <f>IF('Space Heating Worksheet'!Q40="","",IF(ISNUMBER('Space Heating Worksheet'!Q40),'Space Heating Worksheet'!Q40*1.25,0))</f>
        <v/>
      </c>
      <c r="AA97" s="112" t="str">
        <f>IF(AND(U97="",V97=""),"",IF(AND('Space Heating Worksheet'!AI59&gt;=U97,'Space Heating Worksheet'!AI59&lt;=V97),"PASS","FAIL"))</f>
        <v/>
      </c>
      <c r="AB97" s="112" t="str">
        <f>IF(AND(Y97="",Z97=""),"",IF(AND('Space Heating Worksheet'!AI59&gt;=Y97,'Space Heating Worksheet'!AI59&lt;=Z97),"PASS","FAIL"))</f>
        <v/>
      </c>
      <c r="AC97" s="112" t="str">
        <f t="shared" si="34"/>
        <v/>
      </c>
      <c r="AD97" s="112" t="str">
        <f>IF(AND(W97="",X97=""),"",IF(AND('Space Heating Worksheet'!AJ59&gt;=W97,'Space Heating Worksheet'!AJ59&lt;=X97),"PASS","FAIL"))</f>
        <v/>
      </c>
      <c r="AE97" s="1391" t="str">
        <f t="shared" si="36"/>
        <v/>
      </c>
      <c r="AG97" s="2" t="str">
        <f>IF(AND('Space Heating Worksheet'!C59="",'Space Heating Worksheet'!F59="",'Space Heating Worksheet'!J59="",'Space Heating Worksheet'!O59="",'Space Heating Worksheet'!Q59="",'Space Heating Worksheet'!S59="",'Space Heating Worksheet'!AI59=""),"",IF(OR('Space Heating Worksheet'!C59="",'Space Heating Worksheet'!F59="",'Space Heating Worksheet'!J59="",'Space Heating Worksheet'!O59="",'Space Heating Worksheet'!Q59="",'Space Heating Worksheet'!S59="",'Space Heating Worksheet'!AI59=""),"Missing Info",""))</f>
        <v/>
      </c>
      <c r="AH97" s="2" t="str">
        <f>IF(AND('Space Heating Worksheet'!C59="",'Space Heating Worksheet'!F59="",'Space Heating Worksheet'!J59="",'Space Heating Worksheet'!O59="",'Space Heating Worksheet'!Q59="",'Space Heating Worksheet'!S59="",'Space Heating Worksheet'!AI59=""),"",IF(OR('Space Heating Worksheet'!C59="",'Space Heating Worksheet'!F59="",'Space Heating Worksheet'!J59="",'Space Heating Worksheet'!O59="",'Space Heating Worksheet'!Q59="",'Space Heating Worksheet'!S59="",'Space Heating Worksheet'!AI59=""),"Missing Info",""))</f>
        <v/>
      </c>
      <c r="AI97" s="1392" t="str">
        <f>IF(B97="Commercial",Qualifying_Index!AG97,Qualifying_Index!AH97)</f>
        <v/>
      </c>
    </row>
    <row r="98" spans="1:35">
      <c r="A98" s="2">
        <f t="shared" si="35"/>
        <v>5</v>
      </c>
      <c r="B98" s="2" t="str">
        <f>IF('Space Heating Worksheet'!C41="","",'Space Heating Worksheet'!C41)</f>
        <v/>
      </c>
      <c r="C98" s="153" t="str">
        <f>IF('Space Heating Worksheet'!U41="","",IF(OR('Space Heating Worksheet'!J41="Single Stage",NOT(ISNUMBER('Space Heating Worksheet'!W41))),'Space Heating Worksheet'!U41,'Space Heating Worksheet'!U41*0.5+'Space Heating Worksheet'!W41*0.5))</f>
        <v/>
      </c>
      <c r="D98" s="153" t="str">
        <f>IF('Space Heating Worksheet'!J41="","",IF(OR('Space Heating Worksheet'!J41="Single Stage",NOT(ISNUMBER('Space Heating Worksheet'!X41))),'Space Heating Worksheet'!V41,'Space Heating Worksheet'!V41*0.5+'Space Heating Worksheet'!X41*0.5))</f>
        <v/>
      </c>
      <c r="E98" s="2" t="str">
        <f>IF('Space Heating Worksheet'!$G41="","",INDEX(References!BP$13:BP$23,MATCH('Space Heating Worksheet'!$G41,References!$BO$13:$BO$23,0)))</f>
        <v/>
      </c>
      <c r="F98" s="2" t="str">
        <f>IF('Space Heating Worksheet'!$G41="","",INDEX(References!BQ$13:BQ$23,MATCH('Space Heating Worksheet'!$G41,References!$BO$13:$BO$23,0)))</f>
        <v/>
      </c>
      <c r="G98" s="2" t="str">
        <f>IF('Space Heating Worksheet'!$G41="","",INDEX(References!BR$13:BR$23,MATCH('Space Heating Worksheet'!$G41,References!$BO$13:$BO$23,0)))</f>
        <v/>
      </c>
      <c r="H98" s="2" t="str">
        <f>IF('Space Heating Worksheet'!$G41="","",INDEX(References!BS$13:BS$23,MATCH('Space Heating Worksheet'!$G41,References!$BO$13:$BO$23,0)))</f>
        <v/>
      </c>
      <c r="I98" s="2" t="str">
        <f>IF('Space Heating Worksheet'!$G41="","",INDEX(References!BT$13:BT$23,MATCH('Space Heating Worksheet'!$G41,References!$BO$13:$BO$23,0)))</f>
        <v/>
      </c>
      <c r="J98" s="2" t="str">
        <f>IF('Space Heating Worksheet'!$G41="","",INDEX(References!BU$13:BU$23,MATCH('Space Heating Worksheet'!$G41,References!$BO$13:$BO$23,0)))</f>
        <v/>
      </c>
      <c r="K98" s="2" t="str">
        <f t="shared" si="31"/>
        <v/>
      </c>
      <c r="L98" s="2" t="str">
        <f t="shared" si="32"/>
        <v/>
      </c>
      <c r="N98" s="2" t="str">
        <f t="shared" si="33"/>
        <v/>
      </c>
      <c r="O98" s="674" t="str">
        <f>IF(N98="","",IF(N98="DNQ","DNQ",INDEX(References!$CC$3:$CC$30,MATCH('Space Heating Worksheet'!N41,References!$CB$3:$CB$30,0))*('Space Heating Worksheet'!O41/12000)))</f>
        <v/>
      </c>
      <c r="P98" s="1390" t="str">
        <f>IF(N98="","",IF(AND(B98="Residential",'Space Heating Worksheet'!S60="Yes"),INDEX(References!$BU$113:$BU$117,MATCH('Space Heating Worksheet'!F41,References!$BO$113:$BO$117,0)),0))</f>
        <v/>
      </c>
      <c r="Q98" s="674"/>
      <c r="S98">
        <f>IF(COUNTIF($S$94:S97,200),100,200)</f>
        <v>100</v>
      </c>
      <c r="T98" s="585" t="str">
        <f>IF('Space Heating Worksheet'!X60="","",'Space Heating Worksheet'!X60)</f>
        <v/>
      </c>
      <c r="U98" s="1206" t="str">
        <f>IF('Space Heating Worksheet'!O41="","",'Space Heating Worksheet'!O41*0.75)</f>
        <v/>
      </c>
      <c r="V98" s="1206" t="str">
        <f>IF('Space Heating Worksheet'!O41="","",'Space Heating Worksheet'!O41*1.25)</f>
        <v/>
      </c>
      <c r="W98" s="1206" t="str">
        <f>IF('Space Heating Worksheet'!P41="","",'Space Heating Worksheet'!P41*0.75)</f>
        <v/>
      </c>
      <c r="X98" s="1206" t="str">
        <f>IF('Space Heating Worksheet'!P41="","",'Space Heating Worksheet'!P41*1.25)</f>
        <v/>
      </c>
      <c r="Y98" s="1205" t="str">
        <f>IF('Space Heating Worksheet'!Q41="","",IF(ISNUMBER('Space Heating Worksheet'!Q41),'Space Heating Worksheet'!Q41*0.75,0))</f>
        <v/>
      </c>
      <c r="Z98" s="1205" t="str">
        <f>IF('Space Heating Worksheet'!Q41="","",IF(ISNUMBER('Space Heating Worksheet'!Q41),'Space Heating Worksheet'!Q41*1.25,0))</f>
        <v/>
      </c>
      <c r="AA98" s="112" t="str">
        <f>IF(AND(U98="",V98=""),"",IF(AND('Space Heating Worksheet'!AI60&gt;=U98,'Space Heating Worksheet'!AI60&lt;=V98),"PASS","FAIL"))</f>
        <v/>
      </c>
      <c r="AB98" s="112" t="str">
        <f>IF(AND(Y98="",Z98=""),"",IF(AND('Space Heating Worksheet'!AI60&gt;=Y98,'Space Heating Worksheet'!AI60&lt;=Z98),"PASS","FAIL"))</f>
        <v/>
      </c>
      <c r="AC98" s="112" t="str">
        <f t="shared" si="34"/>
        <v/>
      </c>
      <c r="AD98" s="112" t="str">
        <f>IF(AND(W98="",X98=""),"",IF(AND('Space Heating Worksheet'!AJ60&gt;=W98,'Space Heating Worksheet'!AJ60&lt;=X98),"PASS","FAIL"))</f>
        <v/>
      </c>
      <c r="AE98" s="1391" t="str">
        <f t="shared" si="36"/>
        <v/>
      </c>
      <c r="AG98" s="2" t="str">
        <f>IF(AND('Space Heating Worksheet'!C60="",'Space Heating Worksheet'!F60="",'Space Heating Worksheet'!J60="",'Space Heating Worksheet'!O60="",'Space Heating Worksheet'!Q60="",'Space Heating Worksheet'!S60="",'Space Heating Worksheet'!AI60=""),"",IF(OR('Space Heating Worksheet'!C60="",'Space Heating Worksheet'!F60="",'Space Heating Worksheet'!J60="",'Space Heating Worksheet'!O60="",'Space Heating Worksheet'!Q60="",'Space Heating Worksheet'!S60="",'Space Heating Worksheet'!AI60=""),"Missing Info",""))</f>
        <v/>
      </c>
      <c r="AH98" s="2" t="str">
        <f>IF(AND('Space Heating Worksheet'!C60="",'Space Heating Worksheet'!F60="",'Space Heating Worksheet'!J60="",'Space Heating Worksheet'!O60="",'Space Heating Worksheet'!Q60="",'Space Heating Worksheet'!S60="",'Space Heating Worksheet'!AI60=""),"",IF(OR('Space Heating Worksheet'!C60="",'Space Heating Worksheet'!F60="",'Space Heating Worksheet'!J60="",'Space Heating Worksheet'!O60="",'Space Heating Worksheet'!Q60="",'Space Heating Worksheet'!S60="",'Space Heating Worksheet'!AI60=""),"Missing Info",""))</f>
        <v/>
      </c>
      <c r="AI98" s="1392" t="str">
        <f>IF(B98="Commercial",Qualifying_Index!AG98,Qualifying_Index!AH98)</f>
        <v/>
      </c>
    </row>
    <row r="99" spans="1:35">
      <c r="A99" s="2">
        <f t="shared" si="35"/>
        <v>6</v>
      </c>
      <c r="B99" s="2" t="str">
        <f>IF('Space Heating Worksheet'!C42="","",'Space Heating Worksheet'!C42)</f>
        <v/>
      </c>
      <c r="C99" s="153" t="str">
        <f>IF('Space Heating Worksheet'!U42="","",IF(OR('Space Heating Worksheet'!J42="Single Stage",NOT(ISNUMBER('Space Heating Worksheet'!W42))),'Space Heating Worksheet'!U42,'Space Heating Worksheet'!U42*0.5+'Space Heating Worksheet'!W42*0.5))</f>
        <v/>
      </c>
      <c r="D99" s="153" t="str">
        <f>IF('Space Heating Worksheet'!J42="","",IF(OR('Space Heating Worksheet'!J42="Single Stage",NOT(ISNUMBER('Space Heating Worksheet'!X42))),'Space Heating Worksheet'!V42,'Space Heating Worksheet'!V42*0.5+'Space Heating Worksheet'!X42*0.5))</f>
        <v/>
      </c>
      <c r="E99" s="2" t="str">
        <f>IF('Space Heating Worksheet'!$G42="","",INDEX(References!BP$13:BP$23,MATCH('Space Heating Worksheet'!$G42,References!$BO$13:$BO$23,0)))</f>
        <v/>
      </c>
      <c r="F99" s="2" t="str">
        <f>IF('Space Heating Worksheet'!$G42="","",INDEX(References!BQ$13:BQ$23,MATCH('Space Heating Worksheet'!$G42,References!$BO$13:$BO$23,0)))</f>
        <v/>
      </c>
      <c r="G99" s="2" t="str">
        <f>IF('Space Heating Worksheet'!$G42="","",INDEX(References!BR$13:BR$23,MATCH('Space Heating Worksheet'!$G42,References!$BO$13:$BO$23,0)))</f>
        <v/>
      </c>
      <c r="H99" s="2" t="str">
        <f>IF('Space Heating Worksheet'!$G42="","",INDEX(References!BS$13:BS$23,MATCH('Space Heating Worksheet'!$G42,References!$BO$13:$BO$23,0)))</f>
        <v/>
      </c>
      <c r="I99" s="2" t="str">
        <f>IF('Space Heating Worksheet'!$G42="","",INDEX(References!BT$13:BT$23,MATCH('Space Heating Worksheet'!$G42,References!$BO$13:$BO$23,0)))</f>
        <v/>
      </c>
      <c r="J99" s="2" t="str">
        <f>IF('Space Heating Worksheet'!$G42="","",INDEX(References!BU$13:BU$23,MATCH('Space Heating Worksheet'!$G42,References!$BO$13:$BO$23,0)))</f>
        <v/>
      </c>
      <c r="K99" s="2" t="str">
        <f t="shared" si="31"/>
        <v/>
      </c>
      <c r="L99" s="2" t="str">
        <f t="shared" si="32"/>
        <v/>
      </c>
      <c r="N99" s="2" t="str">
        <f t="shared" si="33"/>
        <v/>
      </c>
      <c r="O99" s="674" t="str">
        <f>IF(N99="","",IF(N99="DNQ","DNQ",INDEX(References!$CC$3:$CC$30,MATCH('Space Heating Worksheet'!N42,References!$CB$3:$CB$30,0))*('Space Heating Worksheet'!O42/12000)))</f>
        <v/>
      </c>
      <c r="P99" s="1390" t="str">
        <f>IF(N99="","",IF(AND(B99="Residential",'Space Heating Worksheet'!S61="Yes"),INDEX(References!$BU$113:$BU$117,MATCH('Space Heating Worksheet'!F42,References!$BO$113:$BO$117,0)),0))</f>
        <v/>
      </c>
      <c r="Q99" s="674"/>
      <c r="S99">
        <f>IF(COUNTIF($S$94:S98,200),100,200)</f>
        <v>100</v>
      </c>
      <c r="T99" s="585" t="str">
        <f>IF('Space Heating Worksheet'!X61="","",'Space Heating Worksheet'!X61)</f>
        <v/>
      </c>
      <c r="U99" s="1206" t="str">
        <f>IF('Space Heating Worksheet'!O42="","",'Space Heating Worksheet'!O42*0.75)</f>
        <v/>
      </c>
      <c r="V99" s="1206" t="str">
        <f>IF('Space Heating Worksheet'!O42="","",'Space Heating Worksheet'!O42*1.25)</f>
        <v/>
      </c>
      <c r="W99" s="1206" t="str">
        <f>IF('Space Heating Worksheet'!P42="","",'Space Heating Worksheet'!P42*0.75)</f>
        <v/>
      </c>
      <c r="X99" s="1206" t="str">
        <f>IF('Space Heating Worksheet'!P42="","",'Space Heating Worksheet'!P42*1.25)</f>
        <v/>
      </c>
      <c r="Y99" s="1205" t="str">
        <f>IF('Space Heating Worksheet'!Q42="","",IF(ISNUMBER('Space Heating Worksheet'!Q42),'Space Heating Worksheet'!Q42*0.75,0))</f>
        <v/>
      </c>
      <c r="Z99" s="1205" t="str">
        <f>IF('Space Heating Worksheet'!Q42="","",IF(ISNUMBER('Space Heating Worksheet'!Q42),'Space Heating Worksheet'!Q42*1.25,0))</f>
        <v/>
      </c>
      <c r="AA99" s="112" t="str">
        <f>IF(AND(U99="",V99=""),"",IF(AND('Space Heating Worksheet'!AI61&gt;=U99,'Space Heating Worksheet'!AI61&lt;=V99),"PASS","FAIL"))</f>
        <v/>
      </c>
      <c r="AB99" s="112" t="str">
        <f>IF(AND(Y99="",Z99=""),"",IF(AND('Space Heating Worksheet'!AI61&gt;=Y99,'Space Heating Worksheet'!AI61&lt;=Z99),"PASS","FAIL"))</f>
        <v/>
      </c>
      <c r="AC99" s="112" t="str">
        <f t="shared" si="34"/>
        <v/>
      </c>
      <c r="AD99" s="112" t="str">
        <f>IF(AND(W99="",X99=""),"",IF(AND('Space Heating Worksheet'!AJ61&gt;=W99,'Space Heating Worksheet'!AJ61&lt;=X99),"PASS","FAIL"))</f>
        <v/>
      </c>
      <c r="AE99" s="1391" t="str">
        <f t="shared" si="36"/>
        <v/>
      </c>
      <c r="AG99" s="2" t="str">
        <f>IF(AND('Space Heating Worksheet'!C61="",'Space Heating Worksheet'!F61="",'Space Heating Worksheet'!J61="",'Space Heating Worksheet'!O61="",'Space Heating Worksheet'!Q61="",'Space Heating Worksheet'!S61="",'Space Heating Worksheet'!AI61=""),"",IF(OR('Space Heating Worksheet'!C61="",'Space Heating Worksheet'!F61="",'Space Heating Worksheet'!J61="",'Space Heating Worksheet'!O61="",'Space Heating Worksheet'!Q61="",'Space Heating Worksheet'!S61="",'Space Heating Worksheet'!AI61=""),"Missing Info",""))</f>
        <v/>
      </c>
      <c r="AH99" s="2" t="str">
        <f>IF(AND('Space Heating Worksheet'!C61="",'Space Heating Worksheet'!F61="",'Space Heating Worksheet'!J61="",'Space Heating Worksheet'!O61="",'Space Heating Worksheet'!Q61="",'Space Heating Worksheet'!S61="",'Space Heating Worksheet'!AI61=""),"",IF(OR('Space Heating Worksheet'!C61="",'Space Heating Worksheet'!F61="",'Space Heating Worksheet'!J61="",'Space Heating Worksheet'!O61="",'Space Heating Worksheet'!Q61="",'Space Heating Worksheet'!S61="",'Space Heating Worksheet'!AI61=""),"Missing Info",""))</f>
        <v/>
      </c>
      <c r="AI99" s="1392" t="str">
        <f>IF(B99="Commercial",Qualifying_Index!AG99,Qualifying_Index!AH99)</f>
        <v/>
      </c>
    </row>
    <row r="100" spans="1:35">
      <c r="A100" s="2">
        <f t="shared" si="35"/>
        <v>7</v>
      </c>
      <c r="B100" s="2" t="str">
        <f>IF('Space Heating Worksheet'!C43="","",'Space Heating Worksheet'!C43)</f>
        <v/>
      </c>
      <c r="C100" s="153" t="str">
        <f>IF('Space Heating Worksheet'!U43="","",IF(OR('Space Heating Worksheet'!J43="Single Stage",NOT(ISNUMBER('Space Heating Worksheet'!W43))),'Space Heating Worksheet'!U43,'Space Heating Worksheet'!U43*0.5+'Space Heating Worksheet'!W43*0.5))</f>
        <v/>
      </c>
      <c r="D100" s="153" t="str">
        <f>IF('Space Heating Worksheet'!J43="","",IF(OR('Space Heating Worksheet'!J43="Single Stage",NOT(ISNUMBER('Space Heating Worksheet'!X43))),'Space Heating Worksheet'!V43,'Space Heating Worksheet'!V43*0.5+'Space Heating Worksheet'!X43*0.5))</f>
        <v/>
      </c>
      <c r="E100" s="2" t="str">
        <f>IF('Space Heating Worksheet'!$G43="","",INDEX(References!BP$13:BP$23,MATCH('Space Heating Worksheet'!$G43,References!$BO$13:$BO$23,0)))</f>
        <v/>
      </c>
      <c r="F100" s="2" t="str">
        <f>IF('Space Heating Worksheet'!$G43="","",INDEX(References!BQ$13:BQ$23,MATCH('Space Heating Worksheet'!$G43,References!$BO$13:$BO$23,0)))</f>
        <v/>
      </c>
      <c r="G100" s="2" t="str">
        <f>IF('Space Heating Worksheet'!$G43="","",INDEX(References!BR$13:BR$23,MATCH('Space Heating Worksheet'!$G43,References!$BO$13:$BO$23,0)))</f>
        <v/>
      </c>
      <c r="H100" s="2" t="str">
        <f>IF('Space Heating Worksheet'!$G43="","",INDEX(References!BS$13:BS$23,MATCH('Space Heating Worksheet'!$G43,References!$BO$13:$BO$23,0)))</f>
        <v/>
      </c>
      <c r="I100" s="2" t="str">
        <f>IF('Space Heating Worksheet'!$G43="","",INDEX(References!BT$13:BT$23,MATCH('Space Heating Worksheet'!$G43,References!$BO$13:$BO$23,0)))</f>
        <v/>
      </c>
      <c r="J100" s="2" t="str">
        <f>IF('Space Heating Worksheet'!$G43="","",INDEX(References!BU$13:BU$23,MATCH('Space Heating Worksheet'!$G43,References!$BO$13:$BO$23,0)))</f>
        <v/>
      </c>
      <c r="K100" s="2" t="str">
        <f t="shared" si="31"/>
        <v/>
      </c>
      <c r="L100" s="2" t="str">
        <f t="shared" si="32"/>
        <v/>
      </c>
      <c r="N100" s="2" t="str">
        <f t="shared" si="33"/>
        <v/>
      </c>
      <c r="O100" s="674" t="str">
        <f>IF(N100="","",IF(N100="DNQ","DNQ",INDEX(References!$CC$3:$CC$30,MATCH('Space Heating Worksheet'!N43,References!$CB$3:$CB$30,0))*('Space Heating Worksheet'!O43/12000)))</f>
        <v/>
      </c>
      <c r="P100" s="1390" t="str">
        <f>IF(N100="","",IF(AND(B100="Residential",'Space Heating Worksheet'!S62="Yes"),INDEX(References!$BU$113:$BU$117,MATCH('Space Heating Worksheet'!F43,References!$BO$113:$BO$117,0)),0))</f>
        <v/>
      </c>
      <c r="Q100" s="674"/>
      <c r="S100">
        <f>IF(COUNTIF($S$94:S99,200),100,200)</f>
        <v>100</v>
      </c>
      <c r="T100" s="585" t="str">
        <f>IF('Space Heating Worksheet'!X62="","",'Space Heating Worksheet'!X62)</f>
        <v/>
      </c>
      <c r="U100" s="1206" t="str">
        <f>IF('Space Heating Worksheet'!O43="","",'Space Heating Worksheet'!O43*0.75)</f>
        <v/>
      </c>
      <c r="V100" s="1206" t="str">
        <f>IF('Space Heating Worksheet'!O43="","",'Space Heating Worksheet'!O43*1.25)</f>
        <v/>
      </c>
      <c r="W100" s="1206" t="str">
        <f>IF('Space Heating Worksheet'!P43="","",'Space Heating Worksheet'!P43*0.75)</f>
        <v/>
      </c>
      <c r="X100" s="1206" t="str">
        <f>IF('Space Heating Worksheet'!P43="","",'Space Heating Worksheet'!P43*1.25)</f>
        <v/>
      </c>
      <c r="Y100" s="1205" t="str">
        <f>IF('Space Heating Worksheet'!Q43="","",IF(ISNUMBER('Space Heating Worksheet'!Q43),'Space Heating Worksheet'!Q43*0.75,0))</f>
        <v/>
      </c>
      <c r="Z100" s="1205" t="str">
        <f>IF('Space Heating Worksheet'!Q43="","",IF(ISNUMBER('Space Heating Worksheet'!Q43),'Space Heating Worksheet'!Q43*1.25,0))</f>
        <v/>
      </c>
      <c r="AA100" s="112" t="str">
        <f>IF(AND(U100="",V100=""),"",IF(AND('Space Heating Worksheet'!AI62&gt;=U100,'Space Heating Worksheet'!AI62&lt;=V100),"PASS","FAIL"))</f>
        <v/>
      </c>
      <c r="AB100" s="112" t="str">
        <f>IF(AND(Y100="",Z100=""),"",IF(AND('Space Heating Worksheet'!AI62&gt;=Y100,'Space Heating Worksheet'!AI62&lt;=Z100),"PASS","FAIL"))</f>
        <v/>
      </c>
      <c r="AC100" s="112" t="str">
        <f t="shared" si="34"/>
        <v/>
      </c>
      <c r="AD100" s="112" t="str">
        <f>IF(AND(W100="",X100=""),"",IF(AND('Space Heating Worksheet'!AJ62&gt;=W100,'Space Heating Worksheet'!AJ62&lt;=X100),"PASS","FAIL"))</f>
        <v/>
      </c>
      <c r="AE100" s="1391" t="str">
        <f t="shared" si="36"/>
        <v/>
      </c>
      <c r="AG100" s="2" t="str">
        <f>IF(AND('Space Heating Worksheet'!C62="",'Space Heating Worksheet'!F62="",'Space Heating Worksheet'!J62="",'Space Heating Worksheet'!O62="",'Space Heating Worksheet'!Q62="",'Space Heating Worksheet'!S62="",'Space Heating Worksheet'!AI62=""),"",IF(OR('Space Heating Worksheet'!C62="",'Space Heating Worksheet'!F62="",'Space Heating Worksheet'!J62="",'Space Heating Worksheet'!O62="",'Space Heating Worksheet'!Q62="",'Space Heating Worksheet'!S62="",'Space Heating Worksheet'!AI62=""),"Missing Info",""))</f>
        <v/>
      </c>
      <c r="AH100" s="2" t="str">
        <f>IF(AND('Space Heating Worksheet'!C62="",'Space Heating Worksheet'!F62="",'Space Heating Worksheet'!J62="",'Space Heating Worksheet'!O62="",'Space Heating Worksheet'!Q62="",'Space Heating Worksheet'!S62="",'Space Heating Worksheet'!AI62=""),"",IF(OR('Space Heating Worksheet'!C62="",'Space Heating Worksheet'!F62="",'Space Heating Worksheet'!J62="",'Space Heating Worksheet'!O62="",'Space Heating Worksheet'!Q62="",'Space Heating Worksheet'!S62="",'Space Heating Worksheet'!AI62=""),"Missing Info",""))</f>
        <v/>
      </c>
      <c r="AI100" s="1392" t="str">
        <f>IF(B100="Commercial",Qualifying_Index!AG100,Qualifying_Index!AH100)</f>
        <v/>
      </c>
    </row>
    <row r="101" spans="1:35">
      <c r="A101" s="2">
        <f t="shared" si="35"/>
        <v>8</v>
      </c>
      <c r="B101" s="2" t="str">
        <f>IF('Space Heating Worksheet'!C44="","",'Space Heating Worksheet'!C44)</f>
        <v/>
      </c>
      <c r="C101" s="153" t="str">
        <f>IF('Space Heating Worksheet'!U44="","",IF(OR('Space Heating Worksheet'!J44="Single Stage",NOT(ISNUMBER('Space Heating Worksheet'!W44))),'Space Heating Worksheet'!U44,'Space Heating Worksheet'!U44*0.5+'Space Heating Worksheet'!W44*0.5))</f>
        <v/>
      </c>
      <c r="D101" s="153" t="str">
        <f>IF('Space Heating Worksheet'!J44="","",IF(OR('Space Heating Worksheet'!J44="Single Stage",NOT(ISNUMBER('Space Heating Worksheet'!X44))),'Space Heating Worksheet'!V44,'Space Heating Worksheet'!V44*0.5+'Space Heating Worksheet'!X44*0.5))</f>
        <v/>
      </c>
      <c r="E101" s="2" t="str">
        <f>IF('Space Heating Worksheet'!$G44="","",INDEX(References!BP$13:BP$23,MATCH('Space Heating Worksheet'!$G44,References!$BO$13:$BO$23,0)))</f>
        <v/>
      </c>
      <c r="F101" s="2" t="str">
        <f>IF('Space Heating Worksheet'!$G44="","",INDEX(References!BQ$13:BQ$23,MATCH('Space Heating Worksheet'!$G44,References!$BO$13:$BO$23,0)))</f>
        <v/>
      </c>
      <c r="G101" s="2" t="str">
        <f>IF('Space Heating Worksheet'!$G44="","",INDEX(References!BR$13:BR$23,MATCH('Space Heating Worksheet'!$G44,References!$BO$13:$BO$23,0)))</f>
        <v/>
      </c>
      <c r="H101" s="2" t="str">
        <f>IF('Space Heating Worksheet'!$G44="","",INDEX(References!BS$13:BS$23,MATCH('Space Heating Worksheet'!$G44,References!$BO$13:$BO$23,0)))</f>
        <v/>
      </c>
      <c r="I101" s="2" t="str">
        <f>IF('Space Heating Worksheet'!$G44="","",INDEX(References!BT$13:BT$23,MATCH('Space Heating Worksheet'!$G44,References!$BO$13:$BO$23,0)))</f>
        <v/>
      </c>
      <c r="J101" s="2" t="str">
        <f>IF('Space Heating Worksheet'!$G44="","",INDEX(References!BU$13:BU$23,MATCH('Space Heating Worksheet'!$G44,References!$BO$13:$BO$23,0)))</f>
        <v/>
      </c>
      <c r="K101" s="2" t="str">
        <f t="shared" si="31"/>
        <v/>
      </c>
      <c r="L101" s="2" t="str">
        <f t="shared" si="32"/>
        <v/>
      </c>
      <c r="N101" s="2" t="str">
        <f t="shared" si="33"/>
        <v/>
      </c>
      <c r="O101" s="674" t="str">
        <f>IF(N101="","",IF(N101="DNQ","DNQ",INDEX(References!$CC$3:$CC$30,MATCH('Space Heating Worksheet'!N44,References!$CB$3:$CB$30,0))*('Space Heating Worksheet'!O44/12000)))</f>
        <v/>
      </c>
      <c r="P101" s="1390" t="str">
        <f>IF(N101="","",IF(AND(B101="Residential",'Space Heating Worksheet'!S63="Yes"),INDEX(References!$BU$113:$BU$117,MATCH('Space Heating Worksheet'!F44,References!$BO$113:$BO$117,0)),0))</f>
        <v/>
      </c>
      <c r="Q101" s="674"/>
      <c r="S101">
        <f>IF(COUNTIF($S$94:S100,200),100,200)</f>
        <v>100</v>
      </c>
      <c r="T101" s="585" t="str">
        <f>IF('Space Heating Worksheet'!X63="","",'Space Heating Worksheet'!X63)</f>
        <v/>
      </c>
      <c r="U101" s="1206" t="str">
        <f>IF('Space Heating Worksheet'!O44="","",'Space Heating Worksheet'!O44*0.75)</f>
        <v/>
      </c>
      <c r="V101" s="1206" t="str">
        <f>IF('Space Heating Worksheet'!O44="","",'Space Heating Worksheet'!O44*1.25)</f>
        <v/>
      </c>
      <c r="W101" s="1206" t="str">
        <f>IF('Space Heating Worksheet'!P44="","",'Space Heating Worksheet'!P44*0.75)</f>
        <v/>
      </c>
      <c r="X101" s="1206" t="str">
        <f>IF('Space Heating Worksheet'!P44="","",'Space Heating Worksheet'!P44*1.25)</f>
        <v/>
      </c>
      <c r="Y101" s="1205" t="str">
        <f>IF('Space Heating Worksheet'!Q44="","",IF(ISNUMBER('Space Heating Worksheet'!Q44),'Space Heating Worksheet'!Q44*0.75,0))</f>
        <v/>
      </c>
      <c r="Z101" s="1205" t="str">
        <f>IF('Space Heating Worksheet'!Q44="","",IF(ISNUMBER('Space Heating Worksheet'!Q44),'Space Heating Worksheet'!Q44*1.25,0))</f>
        <v/>
      </c>
      <c r="AA101" s="112" t="str">
        <f>IF(AND(U101="",V101=""),"",IF(AND('Space Heating Worksheet'!AI63&gt;=U101,'Space Heating Worksheet'!AI63&lt;=V101),"PASS","FAIL"))</f>
        <v/>
      </c>
      <c r="AB101" s="112" t="str">
        <f>IF(AND(Y101="",Z101=""),"",IF(AND('Space Heating Worksheet'!AI63&gt;=Y101,'Space Heating Worksheet'!AI63&lt;=Z101),"PASS","FAIL"))</f>
        <v/>
      </c>
      <c r="AC101" s="112" t="str">
        <f t="shared" si="34"/>
        <v/>
      </c>
      <c r="AD101" s="112" t="str">
        <f>IF(AND(W101="",X101=""),"",IF(AND('Space Heating Worksheet'!AJ63&gt;=W101,'Space Heating Worksheet'!AJ63&lt;=X101),"PASS","FAIL"))</f>
        <v/>
      </c>
      <c r="AE101" s="1391" t="str">
        <f t="shared" si="36"/>
        <v/>
      </c>
      <c r="AG101" s="2" t="str">
        <f>IF(AND('Space Heating Worksheet'!C63="",'Space Heating Worksheet'!F63="",'Space Heating Worksheet'!J63="",'Space Heating Worksheet'!O63="",'Space Heating Worksheet'!Q63="",'Space Heating Worksheet'!S63="",'Space Heating Worksheet'!AI63=""),"",IF(OR('Space Heating Worksheet'!C63="",'Space Heating Worksheet'!F63="",'Space Heating Worksheet'!J63="",'Space Heating Worksheet'!O63="",'Space Heating Worksheet'!Q63="",'Space Heating Worksheet'!S63="",'Space Heating Worksheet'!AI63=""),"Missing Info",""))</f>
        <v/>
      </c>
      <c r="AH101" s="2" t="str">
        <f>IF(AND('Space Heating Worksheet'!C63="",'Space Heating Worksheet'!F63="",'Space Heating Worksheet'!J63="",'Space Heating Worksheet'!O63="",'Space Heating Worksheet'!Q63="",'Space Heating Worksheet'!S63="",'Space Heating Worksheet'!AI63=""),"",IF(OR('Space Heating Worksheet'!C63="",'Space Heating Worksheet'!F63="",'Space Heating Worksheet'!J63="",'Space Heating Worksheet'!O63="",'Space Heating Worksheet'!Q63="",'Space Heating Worksheet'!S63="",'Space Heating Worksheet'!AI63=""),"Missing Info",""))</f>
        <v/>
      </c>
      <c r="AI101" s="1392" t="str">
        <f>IF(B101="Commercial",Qualifying_Index!AG101,Qualifying_Index!AH101)</f>
        <v/>
      </c>
    </row>
    <row r="102" spans="1:35">
      <c r="A102" s="2">
        <f t="shared" si="35"/>
        <v>9</v>
      </c>
      <c r="B102" s="2" t="str">
        <f>IF('Space Heating Worksheet'!C45="","",'Space Heating Worksheet'!C45)</f>
        <v/>
      </c>
      <c r="C102" s="153" t="str">
        <f>IF('Space Heating Worksheet'!U45="","",IF(OR('Space Heating Worksheet'!J45="Single Stage",NOT(ISNUMBER('Space Heating Worksheet'!W45))),'Space Heating Worksheet'!U45,'Space Heating Worksheet'!U45*0.5+'Space Heating Worksheet'!W45*0.5))</f>
        <v/>
      </c>
      <c r="D102" s="153" t="str">
        <f>IF('Space Heating Worksheet'!J45="","",IF(OR('Space Heating Worksheet'!J45="Single Stage",NOT(ISNUMBER('Space Heating Worksheet'!X45))),'Space Heating Worksheet'!V45,'Space Heating Worksheet'!V45*0.5+'Space Heating Worksheet'!X45*0.5))</f>
        <v/>
      </c>
      <c r="E102" s="2" t="str">
        <f>IF('Space Heating Worksheet'!$G45="","",INDEX(References!BP$13:BP$23,MATCH('Space Heating Worksheet'!$G45,References!$BO$13:$BO$23,0)))</f>
        <v/>
      </c>
      <c r="F102" s="2" t="str">
        <f>IF('Space Heating Worksheet'!$G45="","",INDEX(References!BQ$13:BQ$23,MATCH('Space Heating Worksheet'!$G45,References!$BO$13:$BO$23,0)))</f>
        <v/>
      </c>
      <c r="G102" s="2" t="str">
        <f>IF('Space Heating Worksheet'!$G45="","",INDEX(References!BR$13:BR$23,MATCH('Space Heating Worksheet'!$G45,References!$BO$13:$BO$23,0)))</f>
        <v/>
      </c>
      <c r="H102" s="2" t="str">
        <f>IF('Space Heating Worksheet'!$G45="","",INDEX(References!BS$13:BS$23,MATCH('Space Heating Worksheet'!$G45,References!$BO$13:$BO$23,0)))</f>
        <v/>
      </c>
      <c r="I102" s="2" t="str">
        <f>IF('Space Heating Worksheet'!$G45="","",INDEX(References!BT$13:BT$23,MATCH('Space Heating Worksheet'!$G45,References!$BO$13:$BO$23,0)))</f>
        <v/>
      </c>
      <c r="J102" s="2" t="str">
        <f>IF('Space Heating Worksheet'!$G45="","",INDEX(References!BU$13:BU$23,MATCH('Space Heating Worksheet'!$G45,References!$BO$13:$BO$23,0)))</f>
        <v/>
      </c>
      <c r="K102" s="2" t="str">
        <f t="shared" si="31"/>
        <v/>
      </c>
      <c r="L102" s="2" t="str">
        <f t="shared" si="32"/>
        <v/>
      </c>
      <c r="N102" s="2" t="str">
        <f t="shared" si="33"/>
        <v/>
      </c>
      <c r="O102" s="674" t="str">
        <f>IF(N102="","",IF(N102="DNQ","DNQ",INDEX(References!$CC$3:$CC$30,MATCH('Space Heating Worksheet'!N45,References!$CB$3:$CB$30,0))*('Space Heating Worksheet'!O45/12000)))</f>
        <v/>
      </c>
      <c r="P102" s="1390" t="str">
        <f>IF(N102="","",IF(AND(B102="Residential",'Space Heating Worksheet'!S64="Yes"),INDEX(References!$BU$113:$BU$117,MATCH('Space Heating Worksheet'!F45,References!$BO$113:$BO$117,0)),0))</f>
        <v/>
      </c>
      <c r="Q102" s="674"/>
      <c r="S102">
        <f>IF(COUNTIF($S$94:S101,200),100,200)</f>
        <v>100</v>
      </c>
      <c r="T102" s="585" t="str">
        <f>IF('Space Heating Worksheet'!X64="","",'Space Heating Worksheet'!X64)</f>
        <v/>
      </c>
      <c r="U102" s="1206" t="str">
        <f>IF('Space Heating Worksheet'!O45="","",'Space Heating Worksheet'!O45*0.75)</f>
        <v/>
      </c>
      <c r="V102" s="1206" t="str">
        <f>IF('Space Heating Worksheet'!O45="","",'Space Heating Worksheet'!O45*1.25)</f>
        <v/>
      </c>
      <c r="W102" s="1206" t="str">
        <f>IF('Space Heating Worksheet'!P45="","",'Space Heating Worksheet'!P45*0.75)</f>
        <v/>
      </c>
      <c r="X102" s="1206" t="str">
        <f>IF('Space Heating Worksheet'!P45="","",'Space Heating Worksheet'!P45*1.25)</f>
        <v/>
      </c>
      <c r="Y102" s="1205" t="str">
        <f>IF('Space Heating Worksheet'!Q45="","",IF(ISNUMBER('Space Heating Worksheet'!Q45),'Space Heating Worksheet'!Q45*0.75,0))</f>
        <v/>
      </c>
      <c r="Z102" s="1205" t="str">
        <f>IF('Space Heating Worksheet'!Q45="","",IF(ISNUMBER('Space Heating Worksheet'!Q45),'Space Heating Worksheet'!Q45*1.25,0))</f>
        <v/>
      </c>
      <c r="AA102" s="112" t="str">
        <f>IF(AND(U102="",V102=""),"",IF(AND('Space Heating Worksheet'!AI64&gt;=U102,'Space Heating Worksheet'!AI64&lt;=V102),"PASS","FAIL"))</f>
        <v/>
      </c>
      <c r="AB102" s="112" t="str">
        <f>IF(AND(Y102="",Z102=""),"",IF(AND('Space Heating Worksheet'!AI64&gt;=Y102,'Space Heating Worksheet'!AI64&lt;=Z102),"PASS","FAIL"))</f>
        <v/>
      </c>
      <c r="AC102" s="112" t="str">
        <f t="shared" si="34"/>
        <v/>
      </c>
      <c r="AD102" s="112" t="str">
        <f>IF(AND(W102="",X102=""),"",IF(AND('Space Heating Worksheet'!AJ64&gt;=W102,'Space Heating Worksheet'!AJ64&lt;=X102),"PASS","FAIL"))</f>
        <v/>
      </c>
      <c r="AE102" s="1391" t="str">
        <f t="shared" si="36"/>
        <v/>
      </c>
      <c r="AG102" s="2" t="str">
        <f>IF(AND('Space Heating Worksheet'!C64="",'Space Heating Worksheet'!F64="",'Space Heating Worksheet'!J64="",'Space Heating Worksheet'!O64="",'Space Heating Worksheet'!Q64="",'Space Heating Worksheet'!S64="",'Space Heating Worksheet'!AI64=""),"",IF(OR('Space Heating Worksheet'!C64="",'Space Heating Worksheet'!F64="",'Space Heating Worksheet'!J64="",'Space Heating Worksheet'!O64="",'Space Heating Worksheet'!Q64="",'Space Heating Worksheet'!S64="",'Space Heating Worksheet'!AI64=""),"Missing Info",""))</f>
        <v/>
      </c>
      <c r="AH102" s="2" t="str">
        <f>IF(AND('Space Heating Worksheet'!C64="",'Space Heating Worksheet'!F64="",'Space Heating Worksheet'!J64="",'Space Heating Worksheet'!O64="",'Space Heating Worksheet'!Q64="",'Space Heating Worksheet'!S64="",'Space Heating Worksheet'!AI64=""),"",IF(OR('Space Heating Worksheet'!C64="",'Space Heating Worksheet'!F64="",'Space Heating Worksheet'!J64="",'Space Heating Worksheet'!O64="",'Space Heating Worksheet'!Q64="",'Space Heating Worksheet'!S64="",'Space Heating Worksheet'!AI64=""),"Missing Info",""))</f>
        <v/>
      </c>
      <c r="AI102" s="1392" t="str">
        <f>IF(B102="Commercial",Qualifying_Index!AG102,Qualifying_Index!AH102)</f>
        <v/>
      </c>
    </row>
    <row r="103" spans="1:35">
      <c r="A103" s="2">
        <f t="shared" si="35"/>
        <v>10</v>
      </c>
      <c r="B103" s="2" t="str">
        <f>IF('Space Heating Worksheet'!C46="","",'Space Heating Worksheet'!C46)</f>
        <v/>
      </c>
      <c r="C103" s="153" t="str">
        <f>IF('Space Heating Worksheet'!U46="","",IF(OR('Space Heating Worksheet'!J46="Single Stage",NOT(ISNUMBER('Space Heating Worksheet'!W46))),'Space Heating Worksheet'!U46,'Space Heating Worksheet'!U46*0.5+'Space Heating Worksheet'!W46*0.5))</f>
        <v/>
      </c>
      <c r="D103" s="153" t="str">
        <f>IF('Space Heating Worksheet'!J46="","",IF(OR('Space Heating Worksheet'!J46="Single Stage",NOT(ISNUMBER('Space Heating Worksheet'!X46))),'Space Heating Worksheet'!V46,'Space Heating Worksheet'!V46*0.5+'Space Heating Worksheet'!X46*0.5))</f>
        <v/>
      </c>
      <c r="E103" s="2" t="str">
        <f>IF('Space Heating Worksheet'!$G46="","",INDEX(References!BP$13:BP$23,MATCH('Space Heating Worksheet'!$G46,References!$BO$13:$BO$23,0)))</f>
        <v/>
      </c>
      <c r="F103" s="2" t="str">
        <f>IF('Space Heating Worksheet'!$G46="","",INDEX(References!BQ$13:BQ$23,MATCH('Space Heating Worksheet'!$G46,References!$BO$13:$BO$23,0)))</f>
        <v/>
      </c>
      <c r="G103" s="2" t="str">
        <f>IF('Space Heating Worksheet'!$G46="","",INDEX(References!BR$13:BR$23,MATCH('Space Heating Worksheet'!$G46,References!$BO$13:$BO$23,0)))</f>
        <v/>
      </c>
      <c r="H103" s="2" t="str">
        <f>IF('Space Heating Worksheet'!$G46="","",INDEX(References!BS$13:BS$23,MATCH('Space Heating Worksheet'!$G46,References!$BO$13:$BO$23,0)))</f>
        <v/>
      </c>
      <c r="I103" s="2" t="str">
        <f>IF('Space Heating Worksheet'!$G46="","",INDEX(References!BT$13:BT$23,MATCH('Space Heating Worksheet'!$G46,References!$BO$13:$BO$23,0)))</f>
        <v/>
      </c>
      <c r="J103" s="2" t="str">
        <f>IF('Space Heating Worksheet'!$G46="","",INDEX(References!BU$13:BU$23,MATCH('Space Heating Worksheet'!$G46,References!$BO$13:$BO$23,0)))</f>
        <v/>
      </c>
      <c r="K103" s="2" t="str">
        <f t="shared" si="31"/>
        <v/>
      </c>
      <c r="L103" s="2" t="str">
        <f t="shared" si="32"/>
        <v/>
      </c>
      <c r="N103" s="2" t="str">
        <f t="shared" si="33"/>
        <v/>
      </c>
      <c r="O103" s="674" t="str">
        <f>IF(N103="","",IF(N103="DNQ","DNQ",INDEX(References!$CC$3:$CC$30,MATCH('Space Heating Worksheet'!N46,References!$CB$3:$CB$30,0))*('Space Heating Worksheet'!O46/12000)))</f>
        <v/>
      </c>
      <c r="P103" s="1390" t="str">
        <f>IF(N103="","",IF(AND(B103="Residential",'Space Heating Worksheet'!S65="Yes"),INDEX(References!$BU$113:$BU$117,MATCH('Space Heating Worksheet'!F46,References!$BO$113:$BO$117,0)),0))</f>
        <v/>
      </c>
      <c r="Q103" s="674"/>
      <c r="S103">
        <f>IF(COUNTIF($S$94:S102,200),100,200)</f>
        <v>100</v>
      </c>
      <c r="T103" s="585" t="str">
        <f>IF('Space Heating Worksheet'!X65="","",'Space Heating Worksheet'!X65)</f>
        <v/>
      </c>
      <c r="U103" s="1206" t="str">
        <f>IF('Space Heating Worksheet'!O46="","",'Space Heating Worksheet'!O46*0.75)</f>
        <v/>
      </c>
      <c r="V103" s="1206" t="str">
        <f>IF('Space Heating Worksheet'!O46="","",'Space Heating Worksheet'!O46*1.25)</f>
        <v/>
      </c>
      <c r="W103" s="1206" t="str">
        <f>IF('Space Heating Worksheet'!P46="","",'Space Heating Worksheet'!P46*0.75)</f>
        <v/>
      </c>
      <c r="X103" s="1206" t="str">
        <f>IF('Space Heating Worksheet'!P46="","",'Space Heating Worksheet'!P46*1.25)</f>
        <v/>
      </c>
      <c r="Y103" s="1205" t="str">
        <f>IF('Space Heating Worksheet'!Q46="","",IF(ISNUMBER('Space Heating Worksheet'!Q46),'Space Heating Worksheet'!Q46*0.75,0))</f>
        <v/>
      </c>
      <c r="Z103" s="1205" t="str">
        <f>IF('Space Heating Worksheet'!Q46="","",IF(ISNUMBER('Space Heating Worksheet'!Q46),'Space Heating Worksheet'!Q46*1.25,0))</f>
        <v/>
      </c>
      <c r="AA103" s="112" t="str">
        <f>IF(AND(U103="",V103=""),"",IF(AND('Space Heating Worksheet'!AI65&gt;=U103,'Space Heating Worksheet'!AI65&lt;=V103),"PASS","FAIL"))</f>
        <v/>
      </c>
      <c r="AB103" s="112" t="str">
        <f>IF(AND(Y103="",Z103=""),"",IF(AND('Space Heating Worksheet'!AI65&gt;=Y103,'Space Heating Worksheet'!AI65&lt;=Z103),"PASS","FAIL"))</f>
        <v/>
      </c>
      <c r="AC103" s="112" t="str">
        <f t="shared" si="34"/>
        <v/>
      </c>
      <c r="AD103" s="112" t="str">
        <f>IF(AND(W103="",X103=""),"",IF(AND('Space Heating Worksheet'!AJ65&gt;=W103,'Space Heating Worksheet'!AJ65&lt;=X103),"PASS","FAIL"))</f>
        <v/>
      </c>
      <c r="AE103" s="1391" t="str">
        <f t="shared" si="36"/>
        <v/>
      </c>
      <c r="AG103" s="2" t="str">
        <f>IF(AND('Space Heating Worksheet'!C65="",'Space Heating Worksheet'!F65="",'Space Heating Worksheet'!J65="",'Space Heating Worksheet'!O65="",'Space Heating Worksheet'!Q65="",'Space Heating Worksheet'!S65="",'Space Heating Worksheet'!AI65=""),"",IF(OR('Space Heating Worksheet'!C65="",'Space Heating Worksheet'!F65="",'Space Heating Worksheet'!J65="",'Space Heating Worksheet'!O65="",'Space Heating Worksheet'!Q65="",'Space Heating Worksheet'!S65="",'Space Heating Worksheet'!AI65=""),"Missing Info",""))</f>
        <v/>
      </c>
      <c r="AH103" s="2" t="str">
        <f>IF(AND('Space Heating Worksheet'!C65="",'Space Heating Worksheet'!F65="",'Space Heating Worksheet'!J65="",'Space Heating Worksheet'!O65="",'Space Heating Worksheet'!Q65="",'Space Heating Worksheet'!S65="",'Space Heating Worksheet'!AI65=""),"",IF(OR('Space Heating Worksheet'!C65="",'Space Heating Worksheet'!F65="",'Space Heating Worksheet'!J65="",'Space Heating Worksheet'!O65="",'Space Heating Worksheet'!Q65="",'Space Heating Worksheet'!S65="",'Space Heating Worksheet'!AI65=""),"Missing Info",""))</f>
        <v/>
      </c>
      <c r="AI103" s="1392" t="str">
        <f>IF(B103="Commercial",Qualifying_Index!AG103,Qualifying_Index!AH103)</f>
        <v/>
      </c>
    </row>
    <row r="104" spans="1:35">
      <c r="AD104" s="148"/>
    </row>
    <row r="108" spans="1:35" ht="14.5" customHeight="1">
      <c r="A108" s="2609" t="s">
        <v>256</v>
      </c>
      <c r="B108" s="2609" t="s">
        <v>4193</v>
      </c>
      <c r="C108" s="2610" t="s">
        <v>4281</v>
      </c>
      <c r="D108" s="2611"/>
      <c r="E108" s="2610" t="s">
        <v>4280</v>
      </c>
      <c r="F108" s="2611"/>
      <c r="G108" s="2610" t="s">
        <v>4279</v>
      </c>
      <c r="H108" s="2611"/>
      <c r="I108" s="2610" t="s">
        <v>4278</v>
      </c>
      <c r="J108" s="2611"/>
      <c r="K108" s="2587" t="s">
        <v>2202</v>
      </c>
      <c r="L108" s="1386" t="s">
        <v>4277</v>
      </c>
      <c r="N108" s="2587" t="s">
        <v>4276</v>
      </c>
      <c r="O108" s="2614" t="s">
        <v>255</v>
      </c>
      <c r="P108" s="2615"/>
    </row>
    <row r="109" spans="1:35">
      <c r="A109" s="2609" t="s">
        <v>256</v>
      </c>
      <c r="B109" s="2609"/>
      <c r="C109" s="2612"/>
      <c r="D109" s="2613"/>
      <c r="E109" s="2612"/>
      <c r="F109" s="2613"/>
      <c r="G109" s="2612"/>
      <c r="H109" s="2613"/>
      <c r="I109" s="2612"/>
      <c r="J109" s="2613"/>
      <c r="K109" s="2588"/>
      <c r="L109" s="1387"/>
      <c r="N109" s="2588"/>
      <c r="O109" s="590" t="s">
        <v>254</v>
      </c>
      <c r="P109" s="590" t="s">
        <v>253</v>
      </c>
    </row>
    <row r="110" spans="1:35">
      <c r="A110" s="2">
        <v>1</v>
      </c>
      <c r="B110" s="2" t="str">
        <f>IF('Dedicated Water Heating'!C30="","",'Dedicated Water Heating'!C30)</f>
        <v/>
      </c>
      <c r="C110" s="2600" t="str">
        <f>IF('Dedicated Water Heating'!D30="","",'Dedicated Water Heating'!D30)</f>
        <v/>
      </c>
      <c r="D110" s="2602"/>
      <c r="E110" s="2600" t="str">
        <f>IF(C110="","","Water Heater")</f>
        <v/>
      </c>
      <c r="F110" s="2602"/>
      <c r="G110" s="2600" t="str">
        <f>IF('Dedicated Water Heating'!G30="","",'Dedicated Water Heating'!G30)</f>
        <v/>
      </c>
      <c r="H110" s="2602"/>
      <c r="I110" s="2600" t="str">
        <f>C110&amp;" "&amp;E110&amp;" "&amp;G110</f>
        <v xml:space="preserve">  </v>
      </c>
      <c r="J110" s="2602"/>
      <c r="K110" s="2" t="str">
        <f>IF('Dedicated Water Heating'!O30="","",'Dedicated Water Heating'!O30)</f>
        <v/>
      </c>
      <c r="L110" s="2" t="str">
        <f>IF(G110="","",INDEX(References!$CC$58:$CC$59,MATCH(G110,References!$CB$58:$CB$59,0)))</f>
        <v/>
      </c>
      <c r="N110" s="2" t="str">
        <f t="shared" ref="N110:N119" si="37">IF(OR(C110="",G110="",K110="",L110=""),"",IF(K110&gt;=L110,"Tier I","DNQ"))</f>
        <v/>
      </c>
      <c r="O110" s="674" t="str">
        <f>IF($N110="","",INDEX(References!CC$3:CC$26,MATCH($I110,References!$CB$3:$CB$26,0)))</f>
        <v/>
      </c>
      <c r="P110" s="674" t="str">
        <f>IF($I110="  ","",INDEX(References!CD$3:CD$26,MATCH($I110,References!$CB$3:$CB$26,0)))</f>
        <v/>
      </c>
    </row>
    <row r="111" spans="1:35">
      <c r="A111" s="2">
        <v>2</v>
      </c>
      <c r="B111" s="2" t="str">
        <f>IF('Dedicated Water Heating'!C31="","",'Dedicated Water Heating'!C31)</f>
        <v/>
      </c>
      <c r="C111" s="2600" t="str">
        <f>IF('Dedicated Water Heating'!D31="","",'Dedicated Water Heating'!D31)</f>
        <v/>
      </c>
      <c r="D111" s="2602"/>
      <c r="E111" s="2600" t="str">
        <f t="shared" ref="E111:E119" si="38">IF(C111="","","Water Heater")</f>
        <v/>
      </c>
      <c r="F111" s="2602"/>
      <c r="G111" s="2600" t="str">
        <f>IF('Dedicated Water Heating'!G31="","",'Dedicated Water Heating'!G31)</f>
        <v/>
      </c>
      <c r="H111" s="2602"/>
      <c r="I111" s="2600" t="str">
        <f t="shared" ref="I111:I119" si="39">C111&amp;" "&amp;E111&amp;" "&amp;G111</f>
        <v xml:space="preserve">  </v>
      </c>
      <c r="J111" s="2602"/>
      <c r="K111" s="2" t="str">
        <f>IF('Dedicated Water Heating'!O31="","",'Dedicated Water Heating'!O31)</f>
        <v/>
      </c>
      <c r="L111" s="2" t="str">
        <f>IF(G111="","",INDEX(References!$CC$58:$CC$59,MATCH(G111,References!$CB$58:$CB$59,0)))</f>
        <v/>
      </c>
      <c r="N111" s="2" t="str">
        <f t="shared" si="37"/>
        <v/>
      </c>
      <c r="O111" s="674" t="str">
        <f>IF($N111="","",INDEX(References!CC$3:CC$26,MATCH($I111,References!$CB$3:$CB$26,0)))</f>
        <v/>
      </c>
      <c r="P111" s="674" t="str">
        <f>IF($I111="  ","",INDEX(References!CD$3:CD$26,MATCH($I111,References!$CB$3:$CB$26,0)))</f>
        <v/>
      </c>
    </row>
    <row r="112" spans="1:35">
      <c r="A112" s="2">
        <f t="shared" ref="A112:A119" si="40">A111+1</f>
        <v>3</v>
      </c>
      <c r="B112" s="2" t="str">
        <f>IF('Dedicated Water Heating'!C32="","",'Dedicated Water Heating'!C32)</f>
        <v/>
      </c>
      <c r="C112" s="2600" t="str">
        <f>IF('Dedicated Water Heating'!D32="","",'Dedicated Water Heating'!D32)</f>
        <v/>
      </c>
      <c r="D112" s="2602"/>
      <c r="E112" s="2600" t="str">
        <f t="shared" si="38"/>
        <v/>
      </c>
      <c r="F112" s="2602"/>
      <c r="G112" s="2600" t="str">
        <f>IF('Dedicated Water Heating'!G32="","",'Dedicated Water Heating'!G32)</f>
        <v/>
      </c>
      <c r="H112" s="2602"/>
      <c r="I112" s="2600" t="str">
        <f t="shared" si="39"/>
        <v xml:space="preserve">  </v>
      </c>
      <c r="J112" s="2602"/>
      <c r="K112" s="2" t="str">
        <f>IF('Dedicated Water Heating'!O32="","",'Dedicated Water Heating'!O32)</f>
        <v/>
      </c>
      <c r="L112" s="2" t="str">
        <f>IF(G112="","",INDEX(References!$CC$58:$CC$59,MATCH(G112,References!$CB$58:$CB$59,0)))</f>
        <v/>
      </c>
      <c r="N112" s="2" t="str">
        <f t="shared" si="37"/>
        <v/>
      </c>
      <c r="O112" s="674" t="str">
        <f>IF($N112="","",INDEX(References!CC$3:CC$26,MATCH($I112,References!$CB$3:$CB$26,0)))</f>
        <v/>
      </c>
      <c r="P112" s="674" t="str">
        <f>IF($I112="  ","",INDEX(References!CD$3:CD$26,MATCH($I112,References!$CB$3:$CB$26,0)))</f>
        <v/>
      </c>
    </row>
    <row r="113" spans="1:74">
      <c r="A113" s="2">
        <f t="shared" si="40"/>
        <v>4</v>
      </c>
      <c r="B113" s="2" t="str">
        <f>IF('Dedicated Water Heating'!C33="","",'Dedicated Water Heating'!C33)</f>
        <v/>
      </c>
      <c r="C113" s="2600" t="str">
        <f>IF('Dedicated Water Heating'!D33="","",'Dedicated Water Heating'!D33)</f>
        <v/>
      </c>
      <c r="D113" s="2602"/>
      <c r="E113" s="2600" t="str">
        <f t="shared" si="38"/>
        <v/>
      </c>
      <c r="F113" s="2602"/>
      <c r="G113" s="2600" t="str">
        <f>IF('Dedicated Water Heating'!G33="","",'Dedicated Water Heating'!G33)</f>
        <v/>
      </c>
      <c r="H113" s="2602"/>
      <c r="I113" s="2600" t="str">
        <f t="shared" si="39"/>
        <v xml:space="preserve">  </v>
      </c>
      <c r="J113" s="2602"/>
      <c r="K113" s="2" t="str">
        <f>IF('Dedicated Water Heating'!O33="","",'Dedicated Water Heating'!O33)</f>
        <v/>
      </c>
      <c r="L113" s="2" t="str">
        <f>IF(G113="","",INDEX(References!$CC$58:$CC$59,MATCH(G113,References!$CB$58:$CB$59,0)))</f>
        <v/>
      </c>
      <c r="N113" s="2" t="str">
        <f t="shared" si="37"/>
        <v/>
      </c>
      <c r="O113" s="674" t="str">
        <f>IF($N113="","",INDEX(References!CC$3:CC$26,MATCH($I113,References!$CB$3:$CB$26,0)))</f>
        <v/>
      </c>
      <c r="P113" s="674" t="str">
        <f>IF($I113="  ","",INDEX(References!CD$3:CD$26,MATCH($I113,References!$CB$3:$CB$26,0)))</f>
        <v/>
      </c>
    </row>
    <row r="114" spans="1:74">
      <c r="A114" s="2">
        <f t="shared" si="40"/>
        <v>5</v>
      </c>
      <c r="B114" s="2" t="str">
        <f>IF('Dedicated Water Heating'!C34="","",'Dedicated Water Heating'!C34)</f>
        <v/>
      </c>
      <c r="C114" s="2600" t="str">
        <f>IF('Dedicated Water Heating'!D34="","",'Dedicated Water Heating'!D34)</f>
        <v/>
      </c>
      <c r="D114" s="2602"/>
      <c r="E114" s="2600" t="str">
        <f t="shared" si="38"/>
        <v/>
      </c>
      <c r="F114" s="2602"/>
      <c r="G114" s="2600" t="str">
        <f>IF('Dedicated Water Heating'!G34="","",'Dedicated Water Heating'!G34)</f>
        <v/>
      </c>
      <c r="H114" s="2602"/>
      <c r="I114" s="2600" t="str">
        <f t="shared" si="39"/>
        <v xml:space="preserve">  </v>
      </c>
      <c r="J114" s="2602"/>
      <c r="K114" s="2" t="str">
        <f>IF('Dedicated Water Heating'!O34="","",'Dedicated Water Heating'!O34)</f>
        <v/>
      </c>
      <c r="L114" s="2" t="str">
        <f>IF(G114="","",INDEX(References!$CC$58:$CC$59,MATCH(G114,References!$CB$58:$CB$59,0)))</f>
        <v/>
      </c>
      <c r="N114" s="2" t="str">
        <f t="shared" si="37"/>
        <v/>
      </c>
      <c r="O114" s="674" t="str">
        <f>IF($N114="","",INDEX(References!CC$3:CC$26,MATCH($I114,References!$CB$3:$CB$26,0)))</f>
        <v/>
      </c>
      <c r="P114" s="674" t="str">
        <f>IF($I114="  ","",INDEX(References!CD$3:CD$26,MATCH($I114,References!$CB$3:$CB$26,0)))</f>
        <v/>
      </c>
    </row>
    <row r="115" spans="1:74">
      <c r="A115" s="2">
        <f t="shared" si="40"/>
        <v>6</v>
      </c>
      <c r="B115" s="2" t="str">
        <f>IF('Dedicated Water Heating'!C35="","",'Dedicated Water Heating'!C35)</f>
        <v/>
      </c>
      <c r="C115" s="2600" t="str">
        <f>IF('Dedicated Water Heating'!D35="","",'Dedicated Water Heating'!D35)</f>
        <v/>
      </c>
      <c r="D115" s="2602"/>
      <c r="E115" s="2600" t="str">
        <f t="shared" si="38"/>
        <v/>
      </c>
      <c r="F115" s="2602"/>
      <c r="G115" s="2600" t="str">
        <f>IF('Dedicated Water Heating'!G35="","",'Dedicated Water Heating'!G35)</f>
        <v/>
      </c>
      <c r="H115" s="2602"/>
      <c r="I115" s="2600" t="str">
        <f t="shared" si="39"/>
        <v xml:space="preserve">  </v>
      </c>
      <c r="J115" s="2602"/>
      <c r="K115" s="2" t="str">
        <f>IF('Dedicated Water Heating'!O35="","",'Dedicated Water Heating'!O35)</f>
        <v/>
      </c>
      <c r="L115" s="2" t="str">
        <f>IF(G115="","",INDEX(References!$CC$58:$CC$59,MATCH(G115,References!$CB$58:$CB$59,0)))</f>
        <v/>
      </c>
      <c r="N115" s="2" t="str">
        <f t="shared" si="37"/>
        <v/>
      </c>
      <c r="O115" s="674" t="str">
        <f>IF($N115="","",INDEX(References!CC$3:CC$26,MATCH($I115,References!$CB$3:$CB$26,0)))</f>
        <v/>
      </c>
      <c r="P115" s="674" t="str">
        <f>IF($I115="  ","",INDEX(References!CD$3:CD$26,MATCH($I115,References!$CB$3:$CB$26,0)))</f>
        <v/>
      </c>
    </row>
    <row r="116" spans="1:74">
      <c r="A116" s="2">
        <f t="shared" si="40"/>
        <v>7</v>
      </c>
      <c r="B116" s="2" t="str">
        <f>IF('Dedicated Water Heating'!C36="","",'Dedicated Water Heating'!C36)</f>
        <v/>
      </c>
      <c r="C116" s="2600" t="str">
        <f>IF('Dedicated Water Heating'!D36="","",'Dedicated Water Heating'!D36)</f>
        <v/>
      </c>
      <c r="D116" s="2602"/>
      <c r="E116" s="2600" t="str">
        <f t="shared" si="38"/>
        <v/>
      </c>
      <c r="F116" s="2602"/>
      <c r="G116" s="2600" t="str">
        <f>IF('Dedicated Water Heating'!G36="","",'Dedicated Water Heating'!G36)</f>
        <v/>
      </c>
      <c r="H116" s="2602"/>
      <c r="I116" s="2600" t="str">
        <f t="shared" si="39"/>
        <v xml:space="preserve">  </v>
      </c>
      <c r="J116" s="2602"/>
      <c r="K116" s="2" t="str">
        <f>IF('Dedicated Water Heating'!O36="","",'Dedicated Water Heating'!O36)</f>
        <v/>
      </c>
      <c r="L116" s="2" t="str">
        <f>IF(G116="","",INDEX(References!$CC$58:$CC$59,MATCH(G116,References!$CB$58:$CB$59,0)))</f>
        <v/>
      </c>
      <c r="N116" s="2" t="str">
        <f t="shared" si="37"/>
        <v/>
      </c>
      <c r="O116" s="674" t="str">
        <f>IF($N116="","",INDEX(References!CC$3:CC$26,MATCH($I116,References!$CB$3:$CB$26,0)))</f>
        <v/>
      </c>
      <c r="P116" s="674" t="str">
        <f>IF($I116="  ","",INDEX(References!CD$3:CD$26,MATCH($I116,References!$CB$3:$CB$26,0)))</f>
        <v/>
      </c>
    </row>
    <row r="117" spans="1:74">
      <c r="A117" s="2">
        <f t="shared" si="40"/>
        <v>8</v>
      </c>
      <c r="B117" s="2" t="str">
        <f>IF('Dedicated Water Heating'!C37="","",'Dedicated Water Heating'!C37)</f>
        <v/>
      </c>
      <c r="C117" s="2600" t="str">
        <f>IF('Dedicated Water Heating'!D37="","",'Dedicated Water Heating'!D37)</f>
        <v/>
      </c>
      <c r="D117" s="2602"/>
      <c r="E117" s="2600" t="str">
        <f t="shared" si="38"/>
        <v/>
      </c>
      <c r="F117" s="2602"/>
      <c r="G117" s="2600" t="str">
        <f>IF('Dedicated Water Heating'!G37="","",'Dedicated Water Heating'!G37)</f>
        <v/>
      </c>
      <c r="H117" s="2602"/>
      <c r="I117" s="2600" t="str">
        <f t="shared" si="39"/>
        <v xml:space="preserve">  </v>
      </c>
      <c r="J117" s="2602"/>
      <c r="K117" s="2" t="str">
        <f>IF('Dedicated Water Heating'!O37="","",'Dedicated Water Heating'!O37)</f>
        <v/>
      </c>
      <c r="L117" s="2" t="str">
        <f>IF(G117="","",INDEX(References!$CC$58:$CC$59,MATCH(G117,References!$CB$58:$CB$59,0)))</f>
        <v/>
      </c>
      <c r="N117" s="2" t="str">
        <f t="shared" si="37"/>
        <v/>
      </c>
      <c r="O117" s="674" t="str">
        <f>IF($N117="","",INDEX(References!CC$3:CC$26,MATCH($I117,References!$CB$3:$CB$26,0)))</f>
        <v/>
      </c>
      <c r="P117" s="674" t="str">
        <f>IF($I117="  ","",INDEX(References!CD$3:CD$26,MATCH($I117,References!$CB$3:$CB$26,0)))</f>
        <v/>
      </c>
    </row>
    <row r="118" spans="1:74">
      <c r="A118" s="2">
        <f t="shared" si="40"/>
        <v>9</v>
      </c>
      <c r="B118" s="2" t="str">
        <f>IF('Dedicated Water Heating'!C38="","",'Dedicated Water Heating'!C38)</f>
        <v/>
      </c>
      <c r="C118" s="2600" t="str">
        <f>IF('Dedicated Water Heating'!D38="","",'Dedicated Water Heating'!D38)</f>
        <v/>
      </c>
      <c r="D118" s="2602"/>
      <c r="E118" s="2600" t="str">
        <f t="shared" si="38"/>
        <v/>
      </c>
      <c r="F118" s="2602"/>
      <c r="G118" s="2600" t="str">
        <f>IF('Dedicated Water Heating'!G38="","",'Dedicated Water Heating'!G38)</f>
        <v/>
      </c>
      <c r="H118" s="2602"/>
      <c r="I118" s="2600" t="str">
        <f t="shared" si="39"/>
        <v xml:space="preserve">  </v>
      </c>
      <c r="J118" s="2602"/>
      <c r="K118" s="2" t="str">
        <f>IF('Dedicated Water Heating'!O38="","",'Dedicated Water Heating'!O38)</f>
        <v/>
      </c>
      <c r="L118" s="2" t="str">
        <f>IF(G118="","",INDEX(References!$CC$58:$CC$59,MATCH(G118,References!$CB$58:$CB$59,0)))</f>
        <v/>
      </c>
      <c r="N118" s="2" t="str">
        <f t="shared" si="37"/>
        <v/>
      </c>
      <c r="O118" s="674" t="str">
        <f>IF($N118="","",INDEX(References!CC$3:CC$26,MATCH($I118,References!$CB$3:$CB$26,0)))</f>
        <v/>
      </c>
      <c r="P118" s="674" t="str">
        <f>IF($I118="  ","",INDEX(References!CD$3:CD$26,MATCH($I118,References!$CB$3:$CB$26,0)))</f>
        <v/>
      </c>
    </row>
    <row r="119" spans="1:74">
      <c r="A119" s="2">
        <f t="shared" si="40"/>
        <v>10</v>
      </c>
      <c r="B119" s="2" t="str">
        <f>IF('Dedicated Water Heating'!C39="","",'Dedicated Water Heating'!C39)</f>
        <v/>
      </c>
      <c r="C119" s="2600" t="str">
        <f>IF('Dedicated Water Heating'!D39="","",'Dedicated Water Heating'!D39)</f>
        <v/>
      </c>
      <c r="D119" s="2602"/>
      <c r="E119" s="2600" t="str">
        <f t="shared" si="38"/>
        <v/>
      </c>
      <c r="F119" s="2602"/>
      <c r="G119" s="2600" t="str">
        <f>IF('Dedicated Water Heating'!G39="","",'Dedicated Water Heating'!G39)</f>
        <v/>
      </c>
      <c r="H119" s="2602"/>
      <c r="I119" s="2600" t="str">
        <f t="shared" si="39"/>
        <v xml:space="preserve">  </v>
      </c>
      <c r="J119" s="2602"/>
      <c r="K119" s="2" t="str">
        <f>IF('Dedicated Water Heating'!O39="","",'Dedicated Water Heating'!O39)</f>
        <v/>
      </c>
      <c r="L119" s="2" t="str">
        <f>IF(G119="","",INDEX(References!$CC$58:$CC$59,MATCH(G119,References!$CB$58:$CB$59,0)))</f>
        <v/>
      </c>
      <c r="N119" s="2" t="str">
        <f t="shared" si="37"/>
        <v/>
      </c>
      <c r="O119" s="674" t="str">
        <f>IF($N119="","",INDEX(References!CC$3:CC$26,MATCH($I119,References!$CB$3:$CB$26,0)))</f>
        <v/>
      </c>
      <c r="P119" s="674" t="str">
        <f>IF($I119="  ","",INDEX(References!CD$3:CD$26,MATCH($I119,References!$CB$3:$CB$26,0)))</f>
        <v/>
      </c>
    </row>
    <row r="122" spans="1:74">
      <c r="A122" s="134" t="s">
        <v>4340</v>
      </c>
    </row>
    <row r="123" spans="1:74" ht="14.5" customHeight="1">
      <c r="A123" s="1247"/>
      <c r="B123" s="1247" t="s">
        <v>4258</v>
      </c>
      <c r="D123" s="1247"/>
      <c r="E123" s="1247"/>
      <c r="F123" s="1247"/>
      <c r="G123" s="1247"/>
      <c r="H123" s="1247"/>
      <c r="I123" s="1247"/>
      <c r="J123" s="1247"/>
      <c r="K123" s="2617" t="s">
        <v>4339</v>
      </c>
      <c r="L123" s="2618"/>
      <c r="M123" s="2618"/>
      <c r="N123" s="2618"/>
      <c r="O123" s="2618"/>
      <c r="P123" s="2618"/>
      <c r="Q123" s="2619"/>
      <c r="R123" s="2617" t="s">
        <v>4338</v>
      </c>
      <c r="S123" s="2618"/>
      <c r="T123" s="2618"/>
      <c r="U123" s="2618"/>
      <c r="V123" s="2619"/>
      <c r="W123" s="2617" t="s">
        <v>4337</v>
      </c>
      <c r="X123" s="2618"/>
      <c r="Y123" s="2618"/>
      <c r="Z123" s="2618"/>
      <c r="AA123" s="2619"/>
      <c r="AB123" s="2617" t="s">
        <v>4336</v>
      </c>
      <c r="AC123" s="2619"/>
      <c r="AD123" s="2617" t="s">
        <v>4335</v>
      </c>
      <c r="AE123" s="2618"/>
      <c r="AF123" s="2618"/>
      <c r="AG123" s="2618"/>
      <c r="AH123" s="2619"/>
      <c r="AI123" s="2617" t="s">
        <v>4334</v>
      </c>
      <c r="AJ123" s="2618"/>
      <c r="AK123" s="2618"/>
      <c r="AL123" s="2618"/>
      <c r="AM123" s="2619"/>
      <c r="AN123" s="1247"/>
      <c r="AO123" s="1241"/>
      <c r="AP123" s="1239"/>
      <c r="AQ123" s="2617" t="s">
        <v>4333</v>
      </c>
      <c r="AR123" s="2619"/>
      <c r="AS123" s="1240" t="s">
        <v>4332</v>
      </c>
      <c r="AT123" s="2617" t="s">
        <v>4331</v>
      </c>
      <c r="AU123" s="2618"/>
      <c r="AV123" s="2618"/>
      <c r="AW123" s="2618"/>
      <c r="AX123" s="2618"/>
      <c r="AY123" s="2618"/>
      <c r="AZ123" s="2619"/>
      <c r="BA123" s="1239" t="s">
        <v>4330</v>
      </c>
      <c r="BB123" s="2617" t="s">
        <v>3247</v>
      </c>
      <c r="BC123" s="2618"/>
      <c r="BD123" s="2619"/>
      <c r="BE123" s="1247"/>
      <c r="BF123" s="2617" t="s">
        <v>4329</v>
      </c>
      <c r="BG123" s="2618"/>
      <c r="BH123" s="2618"/>
      <c r="BI123" s="2618"/>
      <c r="BJ123" s="2619"/>
      <c r="BL123" s="2617" t="s">
        <v>4308</v>
      </c>
      <c r="BM123" s="2618"/>
      <c r="BN123" s="2618"/>
      <c r="BO123" s="2618"/>
      <c r="BP123" s="2618"/>
      <c r="BQ123" s="2618"/>
      <c r="BR123" s="2618"/>
      <c r="BS123" s="2618"/>
      <c r="BT123" s="2618"/>
      <c r="BU123" s="2618"/>
      <c r="BV123" s="2619"/>
    </row>
    <row r="124" spans="1:74" ht="58">
      <c r="A124" s="1247"/>
      <c r="B124" s="1393" t="s">
        <v>4193</v>
      </c>
      <c r="C124" s="1241" t="s">
        <v>668</v>
      </c>
      <c r="D124" s="1244" t="s">
        <v>4328</v>
      </c>
      <c r="E124" s="1239" t="s">
        <v>4307</v>
      </c>
      <c r="F124" s="1241" t="s">
        <v>4327</v>
      </c>
      <c r="G124" s="1244" t="s">
        <v>3233</v>
      </c>
      <c r="H124" s="1244" t="s">
        <v>4326</v>
      </c>
      <c r="I124" s="1244" t="s">
        <v>500</v>
      </c>
      <c r="J124" s="1239" t="s">
        <v>56</v>
      </c>
      <c r="K124" s="1241" t="s">
        <v>4319</v>
      </c>
      <c r="L124" s="1244" t="s">
        <v>4092</v>
      </c>
      <c r="M124" s="1244" t="s">
        <v>4087</v>
      </c>
      <c r="N124" s="1244" t="s">
        <v>4325</v>
      </c>
      <c r="O124" s="1244" t="s">
        <v>4316</v>
      </c>
      <c r="P124" s="1244" t="s">
        <v>4315</v>
      </c>
      <c r="Q124" s="1239" t="s">
        <v>4324</v>
      </c>
      <c r="R124" s="1241" t="s">
        <v>4323</v>
      </c>
      <c r="S124" s="1244" t="s">
        <v>4322</v>
      </c>
      <c r="T124" s="1244" t="s">
        <v>4321</v>
      </c>
      <c r="U124" s="1244" t="s">
        <v>77</v>
      </c>
      <c r="V124" s="1239" t="s">
        <v>265</v>
      </c>
      <c r="W124" s="1241" t="s">
        <v>4323</v>
      </c>
      <c r="X124" s="1244" t="s">
        <v>4322</v>
      </c>
      <c r="Y124" s="1244" t="s">
        <v>4321</v>
      </c>
      <c r="Z124" s="1244" t="s">
        <v>77</v>
      </c>
      <c r="AA124" s="1244" t="s">
        <v>265</v>
      </c>
      <c r="AB124" s="1286" t="s">
        <v>4296</v>
      </c>
      <c r="AC124" s="1244" t="s">
        <v>77</v>
      </c>
      <c r="AD124" s="1241" t="s">
        <v>280</v>
      </c>
      <c r="AE124" s="1244" t="s">
        <v>281</v>
      </c>
      <c r="AF124" s="1244" t="s">
        <v>3163</v>
      </c>
      <c r="AG124" s="1244" t="s">
        <v>283</v>
      </c>
      <c r="AH124" s="1239" t="s">
        <v>3015</v>
      </c>
      <c r="AI124" s="1241" t="s">
        <v>280</v>
      </c>
      <c r="AJ124" s="1244" t="s">
        <v>281</v>
      </c>
      <c r="AK124" s="1244" t="s">
        <v>3163</v>
      </c>
      <c r="AL124" s="1244" t="s">
        <v>283</v>
      </c>
      <c r="AM124" s="1239" t="s">
        <v>3015</v>
      </c>
      <c r="AN124" s="1247"/>
      <c r="AO124" s="1240" t="s">
        <v>4320</v>
      </c>
      <c r="AP124" s="1240" t="s">
        <v>3232</v>
      </c>
      <c r="AQ124" s="1244" t="s">
        <v>12</v>
      </c>
      <c r="AR124" s="1244" t="s">
        <v>13</v>
      </c>
      <c r="AS124" s="1240" t="s">
        <v>4313</v>
      </c>
      <c r="AT124" s="1244" t="s">
        <v>4319</v>
      </c>
      <c r="AU124" s="1244" t="s">
        <v>4318</v>
      </c>
      <c r="AV124" s="1244" t="s">
        <v>4317</v>
      </c>
      <c r="AW124" s="1244" t="s">
        <v>4174</v>
      </c>
      <c r="AX124" s="1244" t="s">
        <v>4316</v>
      </c>
      <c r="AY124" s="1244" t="s">
        <v>4315</v>
      </c>
      <c r="AZ124" s="1239" t="s">
        <v>4314</v>
      </c>
      <c r="BA124" s="1239" t="s">
        <v>4313</v>
      </c>
      <c r="BB124" s="1244" t="s">
        <v>265</v>
      </c>
      <c r="BC124" s="1244" t="s">
        <v>77</v>
      </c>
      <c r="BD124" s="1239" t="s">
        <v>4311</v>
      </c>
      <c r="BE124" s="1247"/>
      <c r="BF124" s="1241" t="s">
        <v>4312</v>
      </c>
      <c r="BG124" s="1244" t="s">
        <v>4365</v>
      </c>
      <c r="BH124" s="1244" t="s">
        <v>77</v>
      </c>
      <c r="BI124" s="1244" t="s">
        <v>4311</v>
      </c>
      <c r="BJ124" s="1239" t="s">
        <v>4735</v>
      </c>
      <c r="BL124" s="1241" t="s">
        <v>4297</v>
      </c>
      <c r="BM124" s="1239" t="s">
        <v>4296</v>
      </c>
      <c r="BN124" s="1241" t="s">
        <v>4295</v>
      </c>
      <c r="BO124" s="1239" t="s">
        <v>598</v>
      </c>
      <c r="BP124" s="1241" t="s">
        <v>4294</v>
      </c>
      <c r="BQ124" s="1239" t="s">
        <v>4293</v>
      </c>
      <c r="BR124" s="1241" t="s">
        <v>4310</v>
      </c>
      <c r="BS124" s="1239" t="s">
        <v>4309</v>
      </c>
      <c r="BT124" s="1240" t="s">
        <v>4290</v>
      </c>
      <c r="BU124" s="2620" t="s">
        <v>397</v>
      </c>
      <c r="BV124" s="1239" t="s">
        <v>4289</v>
      </c>
    </row>
    <row r="125" spans="1:74">
      <c r="A125" s="847">
        <v>1</v>
      </c>
      <c r="B125" s="104" t="str">
        <f>IF('Space Heating Worksheet'!C37="","",'Space Heating Worksheet'!C37)</f>
        <v/>
      </c>
      <c r="C125" s="1233" t="str">
        <f>IF(E125="","",INDEX(References!$CF$28:$CF$41,MATCH(Qualifying_Index!E125,References!$CG$28:$CG$41,0)))</f>
        <v/>
      </c>
      <c r="D125" s="1232">
        <f>IF(AND('Space Heating Worksheet'!AB37="",'Space Heating Worksheet'!D37&lt;&gt;""),"None",'Space Heating Worksheet'!AB37)</f>
        <v>0</v>
      </c>
      <c r="E125" s="1269" t="str">
        <f>IF(AND('Space Heating Worksheet'!AA37="",'Space Heating Worksheet'!D37&lt;&gt;""),"None",'Space Heating Worksheet'!AF37)</f>
        <v/>
      </c>
      <c r="F125" s="1266" t="str">
        <f>IF(AND('Space Heating Worksheet'!AJ56="",'Space Heating Worksheet'!P37=""),"",'Space Heating Worksheet'!AJ56)</f>
        <v/>
      </c>
      <c r="G125" s="1394" t="str">
        <f>IF($C125="","",IF(Existing_Heating_Source="Existing Building",INDEX(References!$BS$40:$BT$41,MATCH(B125,References!$BP$40:$BP$41,0),MATCH(G$124,References!$BS$39:$BT$39,0)),INDEX(References!$BQ$40:$BR$41,MATCH(B125,References!$BP$40:$BP$41,0),MATCH(G$124,References!$BQ$39:$BR$39,0))))</f>
        <v/>
      </c>
      <c r="H125" s="1285" t="str">
        <f>IF('Space Heating Worksheet'!$D37="","",IF(OR('Space Heating Worksheet'!$AE37=0,$E125="None"),INDEX(References!CH$28:CH$41,MATCH($E125,References!$CG$28:$CG$41,0)),'Space Heating Worksheet'!$AE37))</f>
        <v/>
      </c>
      <c r="I125" s="1285" t="str">
        <f>IF('Space Heating Worksheet'!$D37="","",IF(OR('Space Heating Worksheet'!$AE37=0,$E125="None"),INDEX(References!CI$28:CI$41,MATCH($E125,References!$CG$28:$CG$41,0)),'Space Heating Worksheet'!$AE37))</f>
        <v/>
      </c>
      <c r="J125" s="1234" t="str">
        <f>IF('Space Heating Worksheet'!$D37="","",IF(OR('Space Heating Worksheet'!$AE37=0,$E125="None"),INDEX(References!CJ$28:CJ$41,MATCH($E125,References!$CG$28:$CG$41,0)),'Space Heating Worksheet'!$AE37))</f>
        <v/>
      </c>
      <c r="K125" s="1262" t="str">
        <f>IF(OR('Space Heating Worksheet'!G37="",'Space Heating Worksheet'!G37=0),"",INDEX(References!$BX$30:$BX$36,MATCH('Space Heating Worksheet'!G37,References!$BW$30:$BW$36,0)))</f>
        <v/>
      </c>
      <c r="L125" s="1154" t="str">
        <f>IF('Space Heating Worksheet'!V37="","",'Space Heating Worksheet'!V37)</f>
        <v/>
      </c>
      <c r="M125" s="1229" t="str">
        <f>IF('Space Heating Worksheet'!X37="","",'Space Heating Worksheet'!X37)</f>
        <v/>
      </c>
      <c r="N125" s="1229" t="str">
        <f>IF(OR(D125="",D125=0),"",IF(D125="CAC",References!$CD$53,References!$CD$54))</f>
        <v/>
      </c>
      <c r="O125" s="1229" t="str">
        <f>IF(OR(L125="",L125=0),"",INDEX(References!$BT$72:$BT$74,MATCH('Space Heating Worksheet'!K37,References!$BP$72:$BP$74,0)))</f>
        <v/>
      </c>
      <c r="P125" s="1229" t="str">
        <f>IF(OR(L125="",L125=0),"",INDEX(References!$BT$75:$BT$77,MATCH('Space Heating Worksheet'!K37,References!$BP$75:$BP$77,0)))</f>
        <v/>
      </c>
      <c r="Q125" s="1282" t="str">
        <f>IF(L125="","",IF(OR('Space Heating Worksheet'!J37="Single Stage",NOT(ISNUMBER('Space Heating Worksheet'!V37))),IF(K125="Open Loop/Well",L125*O125,L125*O125*References!$CD$50),IF(K125="Open Loop/Well",((L125*References!$CG$43*O125)+(M125*References!$CG$44*P125))*N125,((L125*References!$CG$43*O125)+(M125*References!$CG$44*P125))*References!$CD$50*N125)))</f>
        <v/>
      </c>
      <c r="R125" s="1284" t="str">
        <f>IF(C125="","",IF(C125="None",F125*(1/100000)*(1/H125)*G125*References!$CK$44*References!$CK$46,IF(C125="NG",F125*(1/100000)*(1/H125)*G125,0)))</f>
        <v/>
      </c>
      <c r="S125" s="1283" t="str">
        <f>IF(C125="","",IF(C125="None",F125*(1/(References!$BZ$51*1000000))*(1/H125)*G125*References!$CK$45*References!$CK$46,IF(C125="Oil",F125*(1/(References!$BZ$51*1000000))*(1/H125)*G125,0)))</f>
        <v/>
      </c>
      <c r="T125" s="1283" t="str">
        <f>IF(C125="","",IF(C125="LP",F125*(1/(References!$BZ$52*1000000))*(1/H125)*G125,0))</f>
        <v/>
      </c>
      <c r="U125" s="1283" t="str">
        <f>IF(C125="","",IF(C125="None",F125*(1/I125)*G125/3412*References!$CK$47,IF(C125="Electric",F125*(1/I125)*G125/3412,0)))</f>
        <v/>
      </c>
      <c r="V125" s="1282" t="str">
        <f>IF(C125="","",IF(C125="None",F125*(1/I125)/3412*References!$CK$47,IF(C125="Electric",F125*(1/I125)/3412,0)))</f>
        <v/>
      </c>
      <c r="W125" s="1266" t="str">
        <f t="shared" ref="W125:Y134" si="41">IF($C125="","",0)</f>
        <v/>
      </c>
      <c r="X125" s="1265" t="str">
        <f t="shared" si="41"/>
        <v/>
      </c>
      <c r="Y125" s="1265" t="str">
        <f t="shared" si="41"/>
        <v/>
      </c>
      <c r="Z125" s="1283" t="str">
        <f t="shared" ref="Z125:Z134" si="42">IF(C125="","",F125*(1/Q125)*G125/3412)</f>
        <v/>
      </c>
      <c r="AA125" s="1282" t="str">
        <f t="shared" ref="AA125:AA134" si="43">IF(C125="","",F125*(1/Q125)/3412)</f>
        <v/>
      </c>
      <c r="AB125" s="1268" t="str">
        <f t="shared" ref="AB125:AB134" si="44">IF(C125="","",V125-AA125)</f>
        <v/>
      </c>
      <c r="AC125" s="1267" t="str">
        <f t="shared" ref="AC125:AC134" si="45">IF(C125="","",U125-Z125)</f>
        <v/>
      </c>
      <c r="AD125" s="1230" t="str">
        <f>IF(C125="","",(R125-W125)*References!$BZ$53)</f>
        <v/>
      </c>
      <c r="AE125" s="1278" t="str">
        <f>IF(C125="","",(S125-X125)*References!$BZ$51)</f>
        <v/>
      </c>
      <c r="AF125" s="1278" t="str">
        <f>IF(C125="","",(T125-Y125)*References!$BZ$52)</f>
        <v/>
      </c>
      <c r="AG125" s="1278" t="str">
        <f>IF(C125="","",(U125-Z125)*References!$BX$47)</f>
        <v/>
      </c>
      <c r="AH125" s="1277" t="str">
        <f t="shared" ref="AH125:AH134" si="46">IF(C125="","",SUM(AD125:AG125))</f>
        <v/>
      </c>
      <c r="AI125" s="1276" t="str">
        <f>IF(C125="","",AD125*References!$BY$53)</f>
        <v/>
      </c>
      <c r="AJ125" s="1275" t="str">
        <f>IF(C125="","",AE125*References!$BY$51)</f>
        <v/>
      </c>
      <c r="AK125" s="1275" t="str">
        <f>IF(C125="","",AF125*References!$BY$52)</f>
        <v/>
      </c>
      <c r="AL125" s="1275" t="str">
        <f>IF(C125="","",(AC125/1000)*References!$BY$43)</f>
        <v/>
      </c>
      <c r="AM125" s="1274" t="str">
        <f t="shared" ref="AM125:AM134" si="47">IF(H125="","",SUM(AI125:AL125))</f>
        <v/>
      </c>
      <c r="AN125" s="150"/>
      <c r="AO125" s="1281" t="str">
        <f>IF(AND('Space Heating Worksheet'!AI56="",'Space Heating Worksheet'!O37=""),"",'Space Heating Worksheet'!AI56)</f>
        <v/>
      </c>
      <c r="AP125" s="1395" t="str">
        <f>IF($C125="","",IF(Existing_Heating_Source="Existing Building",INDEX(References!$BS$40:$BT$41,MATCH(B125,References!$BP$40:$BP$41,0),MATCH(AP$124,References!$BS$39:$BT$39,0)),INDEX(References!$BQ$40:$BR$41,MATCH(B125,References!$BP$40:$BP$41,0),MATCH(AP$124,References!$BQ$39:$BR$39,0))))</f>
        <v/>
      </c>
      <c r="AQ125" s="1154" t="str">
        <f>IF('Space Heating Worksheet'!$D37="","",IF(OR('Space Heating Worksheet'!AC37=0,$D125="None"),INDEX(References!CH$19:CH$24,MATCH($D125,References!$CG$19:$CG$24,0)),'Space Heating Worksheet'!AC37))</f>
        <v/>
      </c>
      <c r="AR125" s="1154" t="str">
        <f>IF('Space Heating Worksheet'!$D37="","",IF(OR('Space Heating Worksheet'!AD37=0,$D125="None"),INDEX(References!CI$19:CI$24,MATCH($D125,References!$CG$19:$CG$24,0)),'Space Heating Worksheet'!AD37))</f>
        <v/>
      </c>
      <c r="AS125" s="1280" t="str">
        <f t="shared" ref="AS125:AS134" si="48">IF(C125="","",AO125/1000*(1/AQ125)*AP125)</f>
        <v/>
      </c>
      <c r="AT125" s="1236" t="str">
        <f>IF(OR('Space Heating Worksheet'!G37="",'Space Heating Worksheet'!G37=0),"",INDEX(References!$BX$30:$BX$36,MATCH('Space Heating Worksheet'!G37,References!$BW$30:$BW$36,0)))</f>
        <v/>
      </c>
      <c r="AU125" s="1285" t="str">
        <f>IF('Space Heating Worksheet'!U37="","",'Space Heating Worksheet'!U37)</f>
        <v/>
      </c>
      <c r="AV125" s="1285" t="str">
        <f>IF('Space Heating Worksheet'!W37="","",'Space Heating Worksheet'!W37)</f>
        <v/>
      </c>
      <c r="AW125" s="1285" t="str">
        <f>IF(OR(D125="",D125=0),"",References!$CD$52)</f>
        <v/>
      </c>
      <c r="AX125" s="1285" t="str">
        <f>IF(OR('Space Heating Worksheet'!C37="",'Space Heating Worksheet'!C37=0),"",INDEX(References!$BS$72:$BS$74,MATCH('Space Heating Worksheet'!K37,References!$BP$72:$BP$74,0)))</f>
        <v/>
      </c>
      <c r="AY125" s="1285" t="str">
        <f>IF(OR(L125="",L125=0),"",INDEX(References!$BS$75:$BS$77,MATCH('Space Heating Worksheet'!K37,References!$BP$75:$BP$77,0)))</f>
        <v/>
      </c>
      <c r="AZ125" s="1234" t="str">
        <f>IF(AU125="","",IF(OR('Space Heating Worksheet'!J37="Single Stage",NOT(ISNUMBER('Space Heating Worksheet'!V37))),IF(K125="Open Loop/Well",AU125*AX125,AU125*AX125*References!$CD$49),IF(K125="Open Loop/Well",((AU125*References!$CG$43*AX125)+(AV125*References!$CG$44*AY125))*References!$CD$49*AW125,((AU125*References!$CG$43*References!$CD$49*AX125)+(AV125*References!$CG$44*AY125))*AW125)))</f>
        <v/>
      </c>
      <c r="BA125" s="1227" t="str">
        <f t="shared" ref="BA125:BA134" si="49">IF(C125="","",AO125/1000*(1/AZ125)*AP125)</f>
        <v/>
      </c>
      <c r="BB125" s="1279" t="str">
        <f t="shared" ref="BB125:BB134" si="50">IF(C125="","",AO125/1000*((1/AR125)-(1/AZ125)))</f>
        <v/>
      </c>
      <c r="BC125" s="1272" t="str">
        <f t="shared" ref="BC125:BC134" si="51">IF(C125="","",AS125-BA125)</f>
        <v/>
      </c>
      <c r="BD125" s="1271" t="str">
        <f>IF(C125="","",BC125*References!$BX$47)</f>
        <v/>
      </c>
      <c r="BE125" s="1245"/>
      <c r="BF125" s="1261" t="str">
        <f>IF(C125="","",'Space Heating Worksheet'!V56)</f>
        <v/>
      </c>
      <c r="BG125" s="1285" t="str">
        <f>IF(C125="","",IF(AND(BF125="Yes",B125="Residential"),IF(C125="Electric",References!$BQ$59,References!$BS$56),0))</f>
        <v/>
      </c>
      <c r="BH125" s="1394" t="str">
        <f>IF(C125="","",IF(AND(BF125="Yes",B125="Residential"),IF(C125="Electric",(References!$BS$59*References!$BQ$56*References!$BS$57*References!$BS$58*(References!$BQ$57-References!$BQ$58)/References!$BZ$47)*((1/BG125)-(1/Q125)),(References!$BS$59*References!$BQ$56*References!$BS$57*References!$BS$58*(References!$BQ$57-References!$BQ$58)/References!$BZ$47)*(1/Q125)),0))</f>
        <v/>
      </c>
      <c r="BI125" s="1285" t="str">
        <f>IF(C125="","",IF(AND(BF125="Yes",B125="Residential"),IF(C125="Electric",BH125*References!$BX$47,(References!$BS$59*References!$BQ$56*References!$BS$57*References!$BS$58*(References!$BQ$57-References!$BQ$58)/1000000)*(1/BG125)-BH125*References!$BX$47),0))</f>
        <v/>
      </c>
      <c r="BJ125" s="1234" t="str">
        <f>IF(C125="","",IF(AND(BF125="Yes",Customer_Sector="Residential"),IF(C125="Electric",BH125*References!$BY$43,(BI125+BH125*References!$D$12)*INDEX(References!$BY$51:$BY$54,MATCH(C125,References!$BW$51:$BW$54,0))),0))</f>
        <v/>
      </c>
      <c r="BL125" s="1230" t="str">
        <f t="shared" ref="BL125:BL134" si="52">IF(C125="","",BB125)</f>
        <v/>
      </c>
      <c r="BM125" s="1260" t="str">
        <f t="shared" ref="BM125:BM134" si="53">IF(C125="","",AB125)</f>
        <v/>
      </c>
      <c r="BN125" s="1236" t="str">
        <f t="shared" ref="BN125:BN134" si="54">IF(C125="","",IF(AC125&gt;0,AC125,0)+BC125+IF(C125="Electric",BH125,0))</f>
        <v/>
      </c>
      <c r="BO125" s="1227" t="str">
        <f t="shared" ref="BO125:BO134" si="55">IF(C125="","",IF(AC125&gt;0,0,AC125*-1)+IF(C125="Electric",0,BH125))</f>
        <v/>
      </c>
      <c r="BP125" s="1236" t="str">
        <f t="shared" ref="BP125:BP134" si="56">IF(C125="","",IF(AG125&gt;0,AG125,0)+BD125+IF(C125="Electric",BI125,0))</f>
        <v/>
      </c>
      <c r="BQ125" s="1235" t="str">
        <f t="shared" ref="BQ125:BQ134" si="57">IF(C125="","",IF(AC125&gt;0,0,AG125)+SUM(AD125:AF125)+IF(C125="Electric",0,BI125))</f>
        <v/>
      </c>
      <c r="BR125" s="1225" t="str">
        <f>IF(C125="","",(BN125/1000)*References!$BY$43)</f>
        <v/>
      </c>
      <c r="BS125" s="1270" t="str">
        <f>IF(C125="","",IF(AC125&gt;0,0,AL125)+SUM(AI125:AK125)+IF(C125="Electric",0,BJ125))</f>
        <v/>
      </c>
      <c r="BT125" s="1223" t="str">
        <f>IF(C125="","",SUM(AD125:AF125)+IF(C125="Electric",0,BI125+BH125*References!$BX$47))</f>
        <v/>
      </c>
      <c r="BU125" s="2621"/>
      <c r="BV125" s="1227" t="str">
        <f t="shared" ref="BV125:BV134" si="58">IF(C125="","",BD125+AH125+BI125)</f>
        <v/>
      </c>
    </row>
    <row r="126" spans="1:74">
      <c r="A126" s="847">
        <f t="shared" ref="A126:A133" si="59">A125+1</f>
        <v>2</v>
      </c>
      <c r="B126" s="105" t="str">
        <f>IF('Space Heating Worksheet'!C38="","",'Space Heating Worksheet'!C38)</f>
        <v/>
      </c>
      <c r="C126" s="1233" t="str">
        <f>IF(E126="","",INDEX(References!$CF$28:$CF$41,MATCH(Qualifying_Index!E126,References!$CG$28:$CG$41,0)))</f>
        <v/>
      </c>
      <c r="D126" s="1232">
        <f>IF(AND('Space Heating Worksheet'!AB38="",'Space Heating Worksheet'!D38&lt;&gt;""),"None",'Space Heating Worksheet'!AB38)</f>
        <v>0</v>
      </c>
      <c r="E126" s="1269" t="str">
        <f>IF(AND('Space Heating Worksheet'!AA38="",'Space Heating Worksheet'!D38&lt;&gt;""),"None",'Space Heating Worksheet'!AF38)</f>
        <v/>
      </c>
      <c r="F126" s="1266" t="str">
        <f>IF(AND('Space Heating Worksheet'!AJ57="",'Space Heating Worksheet'!P38=""),"",'Space Heating Worksheet'!AJ57)</f>
        <v/>
      </c>
      <c r="G126" s="147" t="str">
        <f>IF($C126="","",IF(Existing_Heating_Source="Existing Building",INDEX(References!$BS$40:$BT$41,MATCH(B126,References!$BP$40:$BP$41,0),MATCH(G$124,References!$BS$39:$BT$39,0)),INDEX(References!$BQ$40:$BR$41,MATCH(B126,References!$BP$40:$BP$41,0),MATCH(G$124,References!$BQ$39:$BR$39,0))))</f>
        <v/>
      </c>
      <c r="H126" s="1154" t="str">
        <f>IF('Space Heating Worksheet'!$D38="","",IF(OR('Space Heating Worksheet'!$AE38=0,$E126="None"),INDEX(References!CH$28:CH$41,MATCH($E126,References!$CG$28:$CG$41,0)),'Space Heating Worksheet'!$AE38))</f>
        <v/>
      </c>
      <c r="I126" s="1154" t="str">
        <f>IF('Space Heating Worksheet'!$D38="","",IF(OR('Space Heating Worksheet'!$AE38=0,$E126="None"),INDEX(References!CI$28:CI$41,MATCH($E126,References!$CG$28:$CG$41,0)),'Space Heating Worksheet'!$AE38))</f>
        <v/>
      </c>
      <c r="J126" s="1224" t="str">
        <f>IF('Space Heating Worksheet'!$D38="","",IF(OR('Space Heating Worksheet'!$AE38=0,$E126="None"),INDEX(References!CJ$28:CJ$41,MATCH($E126,References!$CG$28:$CG$41,0)),'Space Heating Worksheet'!$AE38))</f>
        <v/>
      </c>
      <c r="K126" s="1262" t="str">
        <f>IF(OR('Space Heating Worksheet'!G38="",'Space Heating Worksheet'!G38=0),"",INDEX(References!$BX$30:$BX$36,MATCH('Space Heating Worksheet'!G38,References!$BW$30:$BW$36,0)))</f>
        <v/>
      </c>
      <c r="L126" s="1154" t="str">
        <f>IF('Space Heating Worksheet'!V38="","",'Space Heating Worksheet'!V38)</f>
        <v/>
      </c>
      <c r="M126" s="1229" t="str">
        <f>IF('Space Heating Worksheet'!X38="","",'Space Heating Worksheet'!X38)</f>
        <v/>
      </c>
      <c r="N126" s="1229" t="str">
        <f>IF(OR(D126="",D126=0),"",IF(D126="CAC",References!$CD$53,References!$CD$54))</f>
        <v/>
      </c>
      <c r="O126" s="1229" t="str">
        <f>IF(OR(L126="",L126=0),"",INDEX(References!$BT$72:$BT$74,MATCH('Space Heating Worksheet'!K38,References!$BP$72:$BP$74,0)))</f>
        <v/>
      </c>
      <c r="P126" s="1229" t="str">
        <f>IF(OR(L126="",L126=0),"",INDEX(References!$BT$75:$BT$77,MATCH('Space Heating Worksheet'!K38,References!$BP$75:$BP$77,0)))</f>
        <v/>
      </c>
      <c r="Q126" s="1260" t="str">
        <f>IF(L126="","",IF(OR('Space Heating Worksheet'!J38="Single Stage",NOT(ISNUMBER('Space Heating Worksheet'!V38))),IF(K126="Open Loop/Well",L126*O126,L126*O126*References!$CD$50),IF(K126="Open Loop/Well",((L126*References!$CG$43*O126)+(M126*References!$CG$44*P126))*N126,((L126*References!$CG$43*O126)+(M126*References!$CG$44*P126))*References!$CD$50*N126)))</f>
        <v/>
      </c>
      <c r="R126" s="1266" t="str">
        <f>IF(C126="","",IF(C126="None",F126*(1/100000)*(1/H126)*G126*References!$CK$44*References!$CK$46,IF(C126="NG",F126*(1/100000)*(1/H126)*G126,0)))</f>
        <v/>
      </c>
      <c r="S126" s="1267" t="str">
        <f>IF(C126="","",IF(C126="None",F126*(1/(References!$BZ$51*1000000))*(1/H126)*G126*References!$CK$45*References!$CK$46,IF(C126="Oil",F126*(1/(References!$BZ$51*1000000))*(1/H126)*G126,0)))</f>
        <v/>
      </c>
      <c r="T126" s="1267" t="str">
        <f>IF(C126="","",IF(C126="LP",F126*(1/(References!$BZ$52*1000000))*(1/H126)*G126,0))</f>
        <v/>
      </c>
      <c r="U126" s="1267" t="str">
        <f>IF(C126="","",IF(C126="None",F126*(1/I126)*G126/3412*References!$CK$47,IF(C126="Electric",F126*(1/I126)*G126/3412,0)))</f>
        <v/>
      </c>
      <c r="V126" s="1260" t="str">
        <f>IF(C126="","",IF(C126="None",F126*(1/I126)/3412*References!$CK$47,IF(C126="Electric",F126*(1/I126)/3412,0)))</f>
        <v/>
      </c>
      <c r="W126" s="1266" t="str">
        <f t="shared" si="41"/>
        <v/>
      </c>
      <c r="X126" s="1265" t="str">
        <f t="shared" si="41"/>
        <v/>
      </c>
      <c r="Y126" s="1265" t="str">
        <f t="shared" si="41"/>
        <v/>
      </c>
      <c r="Z126" s="1267" t="str">
        <f t="shared" si="42"/>
        <v/>
      </c>
      <c r="AA126" s="1260" t="str">
        <f t="shared" si="43"/>
        <v/>
      </c>
      <c r="AB126" s="1268" t="str">
        <f t="shared" si="44"/>
        <v/>
      </c>
      <c r="AC126" s="1267" t="str">
        <f t="shared" si="45"/>
        <v/>
      </c>
      <c r="AD126" s="1230" t="str">
        <f>IF(C126="","",(R126-W126)*References!$BZ$53)</f>
        <v/>
      </c>
      <c r="AE126" s="1278" t="str">
        <f>IF(C126="","",(S126-X126)*References!$BZ$51)</f>
        <v/>
      </c>
      <c r="AF126" s="1278" t="str">
        <f>IF(C126="","",(T126-Y126)*References!$BZ$52)</f>
        <v/>
      </c>
      <c r="AG126" s="1278" t="str">
        <f>IF(C126="","",(U126-Z126)*References!$BX$47)</f>
        <v/>
      </c>
      <c r="AH126" s="1277" t="str">
        <f t="shared" si="46"/>
        <v/>
      </c>
      <c r="AI126" s="1276" t="str">
        <f>IF(C126="","",AD126*References!$BY$53)</f>
        <v/>
      </c>
      <c r="AJ126" s="1275" t="str">
        <f>IF(C126="","",AE126*References!$BY$51)</f>
        <v/>
      </c>
      <c r="AK126" s="1275" t="str">
        <f>IF(C126="","",AF126*References!$BY$52)</f>
        <v/>
      </c>
      <c r="AL126" s="1275" t="str">
        <f>IF(C126="","",(AC126/1000)*References!$BY$43)</f>
        <v/>
      </c>
      <c r="AM126" s="1274" t="str">
        <f t="shared" si="47"/>
        <v/>
      </c>
      <c r="AN126" s="150"/>
      <c r="AO126" s="1263" t="str">
        <f>IF(AND('Space Heating Worksheet'!AI57="",'Space Heating Worksheet'!O38=""),"",'Space Heating Worksheet'!AI57)</f>
        <v/>
      </c>
      <c r="AP126" s="1396" t="str">
        <f>IF($C126="","",IF(Existing_Heating_Source="Existing Building",INDEX(References!$BS$40:$BT$41,MATCH(B126,References!$BP$40:$BP$41,0),MATCH(AP$124,References!$BS$39:$BT$39,0)),INDEX(References!$BQ$40:$BR$41,MATCH(B126,References!$BP$40:$BP$41,0),MATCH(AP$124,References!$BQ$39:$BR$39,0))))</f>
        <v/>
      </c>
      <c r="AQ126" s="1154" t="str">
        <f>IF('Space Heating Worksheet'!$D38="","",IF(OR('Space Heating Worksheet'!AC38=0,$D126="None"),INDEX(References!CH$19:CH$24,MATCH($D126,References!$CG$19:$CG$24,0)),'Space Heating Worksheet'!AC38))</f>
        <v/>
      </c>
      <c r="AR126" s="1154" t="str">
        <f>IF('Space Heating Worksheet'!$D38="","",IF(OR('Space Heating Worksheet'!AD38=0,$D126="None"),INDEX(References!CI$19:CI$24,MATCH($D126,References!$CG$19:$CG$24,0)),'Space Heating Worksheet'!AD38))</f>
        <v/>
      </c>
      <c r="AS126" s="1223" t="str">
        <f t="shared" si="48"/>
        <v/>
      </c>
      <c r="AT126" s="1228" t="str">
        <f>IF(OR('Space Heating Worksheet'!G38="",'Space Heating Worksheet'!G38=0),"",INDEX(References!$BX$30:$BX$36,MATCH('Space Heating Worksheet'!G38,References!$BW$30:$BW$36,0)))</f>
        <v/>
      </c>
      <c r="AU126" s="1154" t="str">
        <f>IF('Space Heating Worksheet'!U38="","",'Space Heating Worksheet'!U38)</f>
        <v/>
      </c>
      <c r="AV126" s="1154" t="str">
        <f>IF('Space Heating Worksheet'!W38="","",'Space Heating Worksheet'!W38)</f>
        <v/>
      </c>
      <c r="AW126" s="1154" t="str">
        <f>IF(OR(D126="",D126=0),"",References!$CD$52)</f>
        <v/>
      </c>
      <c r="AX126" s="1154" t="str">
        <f>IF(OR('Space Heating Worksheet'!C38="",'Space Heating Worksheet'!C38=0),"",INDEX(References!$BS$72:$BS$74,MATCH('Space Heating Worksheet'!K38,References!$BP$72:$BP$74,0)))</f>
        <v/>
      </c>
      <c r="AY126" s="1154" t="str">
        <f>IF(OR(L126="",L126=0),"",INDEX(References!$BS$75:$BS$77,MATCH('Space Heating Worksheet'!K38,References!$BP$75:$BP$77,0)))</f>
        <v/>
      </c>
      <c r="AZ126" s="1224" t="str">
        <f>IF(AU126="","",IF(OR('Space Heating Worksheet'!J38="Single Stage",NOT(ISNUMBER('Space Heating Worksheet'!V38))),IF(K126="Open Loop/Well",AU126*AX126,AU126*AX126*References!$CD$49),IF(K126="Open Loop/Well",((AU126*References!$CG$43*AX126)+(AV126*References!$CG$44*AY126))*References!$CD$49*AW126,((AU126*References!$CG$43*References!$CD$49*AX126)+(AV126*References!$CG$44*AY126))*AW126)))</f>
        <v/>
      </c>
      <c r="BA126" s="1227" t="str">
        <f t="shared" si="49"/>
        <v/>
      </c>
      <c r="BB126" s="1273" t="str">
        <f t="shared" si="50"/>
        <v/>
      </c>
      <c r="BC126" s="1272" t="str">
        <f t="shared" si="51"/>
        <v/>
      </c>
      <c r="BD126" s="1271" t="str">
        <f>IF(C126="","",BC126*References!$BX$47)</f>
        <v/>
      </c>
      <c r="BE126" s="1245"/>
      <c r="BF126" s="1261" t="str">
        <f>IF(C126="","",'Space Heating Worksheet'!V57)</f>
        <v/>
      </c>
      <c r="BG126" s="1154" t="str">
        <f>IF(C126="","",IF(AND(BF126="Yes",B126="Residential"),IF(C126="Electric",References!$BQ$59,References!$BS$56),0))</f>
        <v/>
      </c>
      <c r="BH126" s="147" t="str">
        <f>IF(C126="","",IF(AND(BF126="Yes",B126="Residential"),IF(C126="Electric",(References!$BS$59*References!$BQ$56*References!$BS$57*References!$BS$58*(References!$BQ$57-References!$BQ$58)/References!$BZ$47)*((1/BG126)-(1/Q126)),(References!$BS$59*References!$BQ$56*References!$BS$57*References!$BS$58*(References!$BQ$57-References!$BQ$58)/References!$BZ$47)*(1/Q126)),0))</f>
        <v/>
      </c>
      <c r="BI126" s="1154" t="str">
        <f>IF(C126="","",IF(AND(BF126="Yes",B126="Residential"),IF(C126="Electric",BH126*References!$BX$47,(References!$BS$59*References!$BQ$56*References!$BS$57*References!$BS$58*(References!$BQ$57-References!$BQ$58)/1000000)*(1/BG126)-BH126*References!$BX$47),0))</f>
        <v/>
      </c>
      <c r="BJ126" s="1224" t="str">
        <f>IF(C126="","",IF(AND(BF126="Yes",Customer_Sector="Residential"),IF(C126="Electric",BH126*References!$BY$43,(BI126+BH126*References!$D$12)*INDEX(References!$BY$51:$BY$54,MATCH(C126,References!$BW$51:$BW$54,0))),0))</f>
        <v/>
      </c>
      <c r="BL126" s="1230" t="str">
        <f t="shared" si="52"/>
        <v/>
      </c>
      <c r="BM126" s="1260" t="str">
        <f t="shared" si="53"/>
        <v/>
      </c>
      <c r="BN126" s="1228" t="str">
        <f t="shared" si="54"/>
        <v/>
      </c>
      <c r="BO126" s="1227" t="str">
        <f t="shared" si="55"/>
        <v/>
      </c>
      <c r="BP126" s="1228" t="str">
        <f t="shared" si="56"/>
        <v/>
      </c>
      <c r="BQ126" s="1227" t="str">
        <f t="shared" si="57"/>
        <v/>
      </c>
      <c r="BR126" s="1225" t="str">
        <f>IF(C126="","",(BN126/1000)*References!$BY$43)</f>
        <v/>
      </c>
      <c r="BS126" s="1270" t="str">
        <f t="shared" ref="BS126:BS134" si="60">IF(C126="","",IF(AC126&gt;0,0,AL126)+SUM(AI126:AK126)+IF(C126="Electric",0,BJ126))</f>
        <v/>
      </c>
      <c r="BT126" s="1223" t="str">
        <f>IF(C126="","",SUM(AD126:AF126)+IF(C126="Electric",0,BI126+BH126*References!$BX$47))</f>
        <v/>
      </c>
      <c r="BU126" s="2621"/>
      <c r="BV126" s="1227" t="str">
        <f t="shared" si="58"/>
        <v/>
      </c>
    </row>
    <row r="127" spans="1:74">
      <c r="A127" s="847">
        <f t="shared" si="59"/>
        <v>3</v>
      </c>
      <c r="B127" s="105" t="str">
        <f>IF('Space Heating Worksheet'!C39="","",'Space Heating Worksheet'!C39)</f>
        <v/>
      </c>
      <c r="C127" s="1233" t="str">
        <f>IF(E127="","",INDEX(References!$CF$28:$CF$41,MATCH(Qualifying_Index!E127,References!$CG$28:$CG$41,0)))</f>
        <v/>
      </c>
      <c r="D127" s="1232">
        <f>IF(AND('Space Heating Worksheet'!AB39="",'Space Heating Worksheet'!D39&lt;&gt;""),"None",'Space Heating Worksheet'!AB39)</f>
        <v>0</v>
      </c>
      <c r="E127" s="1269" t="str">
        <f>IF(AND('Space Heating Worksheet'!AA39="",'Space Heating Worksheet'!D39&lt;&gt;""),"None",'Space Heating Worksheet'!AF39)</f>
        <v/>
      </c>
      <c r="F127" s="1266" t="str">
        <f>IF(AND('Space Heating Worksheet'!AJ58="",'Space Heating Worksheet'!P39=""),"",'Space Heating Worksheet'!AJ58)</f>
        <v/>
      </c>
      <c r="G127" s="147" t="str">
        <f>IF($C127="","",IF(Existing_Heating_Source="Existing Building",INDEX(References!$BS$40:$BT$41,MATCH(B127,References!$BP$40:$BP$41,0),MATCH(G$124,References!$BS$39:$BT$39,0)),INDEX(References!$BQ$40:$BR$41,MATCH(B127,References!$BP$40:$BP$41,0),MATCH(G$124,References!$BQ$39:$BR$39,0))))</f>
        <v/>
      </c>
      <c r="H127" s="1154" t="str">
        <f>IF('Space Heating Worksheet'!$D39="","",IF(OR('Space Heating Worksheet'!$AE39=0,$E127="None"),INDEX(References!CH$28:CH$41,MATCH($E127,References!$CG$28:$CG$41,0)),'Space Heating Worksheet'!$AE39))</f>
        <v/>
      </c>
      <c r="I127" s="1154" t="str">
        <f>IF('Space Heating Worksheet'!$D39="","",IF(OR('Space Heating Worksheet'!$AE39=0,$E127="None"),INDEX(References!CI$28:CI$41,MATCH($E127,References!$CG$28:$CG$41,0)),'Space Heating Worksheet'!$AE39))</f>
        <v/>
      </c>
      <c r="J127" s="1224" t="str">
        <f>IF('Space Heating Worksheet'!$D39="","",IF(OR('Space Heating Worksheet'!$AE39=0,$E127="None"),INDEX(References!CJ$28:CJ$41,MATCH($E127,References!$CG$28:$CG$41,0)),'Space Heating Worksheet'!$AE39))</f>
        <v/>
      </c>
      <c r="K127" s="1262" t="str">
        <f>IF(OR('Space Heating Worksheet'!G39="",'Space Heating Worksheet'!G39=0),"",INDEX(References!$BX$30:$BX$36,MATCH('Space Heating Worksheet'!G39,References!$BW$30:$BW$36,0)))</f>
        <v/>
      </c>
      <c r="L127" s="1154" t="str">
        <f>IF('Space Heating Worksheet'!V39="","",'Space Heating Worksheet'!V39)</f>
        <v/>
      </c>
      <c r="M127" s="1229" t="str">
        <f>IF('Space Heating Worksheet'!X39="","",'Space Heating Worksheet'!X39)</f>
        <v/>
      </c>
      <c r="N127" s="1229" t="str">
        <f>IF(OR(D127="",D127=0),"",IF(D127="CAC",References!$CD$53,References!$CD$54))</f>
        <v/>
      </c>
      <c r="O127" s="1229" t="str">
        <f>IF(OR(L127="",L127=0),"",INDEX(References!$BT$72:$BT$74,MATCH('Space Heating Worksheet'!K39,References!$BP$72:$BP$74,0)))</f>
        <v/>
      </c>
      <c r="P127" s="1229" t="str">
        <f>IF(OR(L127="",L127=0),"",INDEX(References!$BT$75:$BT$77,MATCH('Space Heating Worksheet'!K39,References!$BP$75:$BP$77,0)))</f>
        <v/>
      </c>
      <c r="Q127" s="1260" t="str">
        <f>IF(L127="","",IF(OR('Space Heating Worksheet'!J39="Single Stage",NOT(ISNUMBER('Space Heating Worksheet'!V39))),IF(K127="Open Loop/Well",L127*O127,L127*O127*References!$CD$50),IF(K127="Open Loop/Well",((L127*References!$CG$43*O127)+(M127*References!$CG$44*P127))*N127,((L127*References!$CG$43*O127)+(M127*References!$CG$44*P127))*References!$CD$50*N127)))</f>
        <v/>
      </c>
      <c r="R127" s="1266" t="str">
        <f>IF(C127="","",IF(C127="None",F127*(1/100000)*(1/H127)*G127*References!$CK$44*References!$CK$46,IF(C127="NG",F127*(1/100000)*(1/H127)*G127,0)))</f>
        <v/>
      </c>
      <c r="S127" s="1267" t="str">
        <f>IF(C127="","",IF(C127="None",F127*(1/(References!$BZ$51*1000000))*(1/H127)*G127*References!$CK$45*References!$CK$46,IF(C127="Oil",F127*(1/(References!$BZ$51*1000000))*(1/H127)*G127,0)))</f>
        <v/>
      </c>
      <c r="T127" s="1267" t="str">
        <f>IF(C127="","",IF(C127="LP",F127*(1/(References!$BZ$52*1000000))*(1/H127)*G127,0))</f>
        <v/>
      </c>
      <c r="U127" s="1267" t="str">
        <f>IF(C127="","",IF(C127="None",F127*(1/I127)*G127/3412*References!$CK$47,IF(C127="Electric",F127*(1/I127)*G127/3412,0)))</f>
        <v/>
      </c>
      <c r="V127" s="1260" t="str">
        <f>IF(C127="","",IF(C127="None",F127*(1/I127)/3412*References!$CK$47,IF(C127="Electric",F127*(1/I127)/3412,0)))</f>
        <v/>
      </c>
      <c r="W127" s="1266" t="str">
        <f t="shared" si="41"/>
        <v/>
      </c>
      <c r="X127" s="1265" t="str">
        <f t="shared" si="41"/>
        <v/>
      </c>
      <c r="Y127" s="1265" t="str">
        <f t="shared" si="41"/>
        <v/>
      </c>
      <c r="Z127" s="1267" t="str">
        <f t="shared" si="42"/>
        <v/>
      </c>
      <c r="AA127" s="1260" t="str">
        <f t="shared" si="43"/>
        <v/>
      </c>
      <c r="AB127" s="1268" t="str">
        <f t="shared" si="44"/>
        <v/>
      </c>
      <c r="AC127" s="1267" t="str">
        <f t="shared" si="45"/>
        <v/>
      </c>
      <c r="AD127" s="1266" t="str">
        <f>IF(C127="","",(R127-W127)*References!$BZ$53)</f>
        <v/>
      </c>
      <c r="AE127" s="1265" t="str">
        <f>IF(C127="","",(S127-X127)*References!$BZ$51)</f>
        <v/>
      </c>
      <c r="AF127" s="1265" t="str">
        <f>IF(C127="","",(T127-Y127)*References!$BZ$52)</f>
        <v/>
      </c>
      <c r="AG127" s="1265" t="str">
        <f>IF(C127="","",(U127-Z127)*References!$BX$47)</f>
        <v/>
      </c>
      <c r="AH127" s="1264" t="str">
        <f t="shared" si="46"/>
        <v/>
      </c>
      <c r="AI127" s="1266" t="str">
        <f>IF(C127="","",AD127*References!$BY$53)</f>
        <v/>
      </c>
      <c r="AJ127" s="1265" t="str">
        <f>IF(C127="","",AE127*References!$BY$51)</f>
        <v/>
      </c>
      <c r="AK127" s="1265" t="str">
        <f>IF(C127="","",AF127*References!$BY$52)</f>
        <v/>
      </c>
      <c r="AL127" s="1265" t="str">
        <f>IF(C127="","",(AC127/1000)*References!$BY$43)</f>
        <v/>
      </c>
      <c r="AM127" s="1264" t="str">
        <f t="shared" si="47"/>
        <v/>
      </c>
      <c r="AN127" s="150"/>
      <c r="AO127" s="1263" t="str">
        <f>IF(AND('Space Heating Worksheet'!AI58="",'Space Heating Worksheet'!O39=""),"",'Space Heating Worksheet'!AI58)</f>
        <v/>
      </c>
      <c r="AP127" s="1396" t="str">
        <f>IF($C127="","",IF(Existing_Heating_Source="Existing Building",INDEX(References!$BS$40:$BT$41,MATCH(B127,References!$BP$40:$BP$41,0),MATCH(AP$124,References!$BS$39:$BT$39,0)),INDEX(References!$BQ$40:$BR$41,MATCH(B127,References!$BP$40:$BP$41,0),MATCH(AP$124,References!$BQ$39:$BR$39,0))))</f>
        <v/>
      </c>
      <c r="AQ127" s="1154" t="str">
        <f>IF('Space Heating Worksheet'!$D39="","",IF(OR('Space Heating Worksheet'!AC39=0,$D127="None"),INDEX(References!CH$19:CH$24,MATCH($D127,References!$CG$19:$CG$24,0)),'Space Heating Worksheet'!AC39))</f>
        <v/>
      </c>
      <c r="AR127" s="1154" t="str">
        <f>IF('Space Heating Worksheet'!$D39="","",IF(OR('Space Heating Worksheet'!AD39=0,$D127="None"),INDEX(References!CI$19:CI$24,MATCH($D127,References!$CG$19:$CG$24,0)),'Space Heating Worksheet'!AD39))</f>
        <v/>
      </c>
      <c r="AS127" s="1223" t="str">
        <f t="shared" si="48"/>
        <v/>
      </c>
      <c r="AT127" s="1228" t="str">
        <f>IF(OR('Space Heating Worksheet'!G39="",'Space Heating Worksheet'!G39=0),"",INDEX(References!$BX$30:$BX$36,MATCH('Space Heating Worksheet'!G39,References!$BW$30:$BW$36,0)))</f>
        <v/>
      </c>
      <c r="AU127" s="1154" t="str">
        <f>IF('Space Heating Worksheet'!U39="","",'Space Heating Worksheet'!U39)</f>
        <v/>
      </c>
      <c r="AV127" s="1154" t="str">
        <f>IF('Space Heating Worksheet'!W39="","",'Space Heating Worksheet'!W39)</f>
        <v/>
      </c>
      <c r="AW127" s="1154" t="str">
        <f>IF(OR(D127="",D127=0),"",References!$CD$52)</f>
        <v/>
      </c>
      <c r="AX127" s="1154" t="str">
        <f>IF(OR('Space Heating Worksheet'!C39="",'Space Heating Worksheet'!C39=0),"",INDEX(References!$BS$72:$BS$74,MATCH('Space Heating Worksheet'!K39,References!$BP$72:$BP$74,0)))</f>
        <v/>
      </c>
      <c r="AY127" s="1154" t="str">
        <f>IF(OR(L127="",L127=0),"",INDEX(References!$BS$75:$BS$77,MATCH('Space Heating Worksheet'!K39,References!$BP$75:$BP$77,0)))</f>
        <v/>
      </c>
      <c r="AZ127" s="1224" t="str">
        <f>IF(AU127="","",IF(OR('Space Heating Worksheet'!J39="Single Stage",NOT(ISNUMBER('Space Heating Worksheet'!V39))),IF(K127="Open Loop/Well",AU127*AX127,AU127*AX127*References!$CD$49),IF(K127="Open Loop/Well",((AU127*References!$CG$43*AX127)+(AV127*References!$CG$44*AY127))*References!$CD$49*AW127,((AU127*References!$CG$43*References!$CD$49*AX127)+(AV127*References!$CG$44*AY127))*AW127)))</f>
        <v/>
      </c>
      <c r="BA127" s="1227" t="str">
        <f t="shared" si="49"/>
        <v/>
      </c>
      <c r="BB127" s="1262" t="str">
        <f t="shared" si="50"/>
        <v/>
      </c>
      <c r="BC127" s="147" t="str">
        <f t="shared" si="51"/>
        <v/>
      </c>
      <c r="BD127" s="1227" t="str">
        <f>IF(C127="","",BC127*References!$BX$47)</f>
        <v/>
      </c>
      <c r="BE127" s="1245"/>
      <c r="BF127" s="1261" t="str">
        <f>IF(C127="","",'Space Heating Worksheet'!V58)</f>
        <v/>
      </c>
      <c r="BG127" s="1154" t="str">
        <f>IF(C127="","",IF(AND(BF127="Yes",B127="Residential"),IF(C127="Electric",References!$BQ$59,References!$BS$56),0))</f>
        <v/>
      </c>
      <c r="BH127" s="147" t="str">
        <f>IF(C127="","",IF(AND(BF127="Yes",B127="Residential"),IF(C127="Electric",(References!$BS$59*References!$BQ$56*References!$BS$57*References!$BS$58*(References!$BQ$57-References!$BQ$58)/References!$BZ$47)*((1/BG127)-(1/Q127)),(References!$BS$59*References!$BQ$56*References!$BS$57*References!$BS$58*(References!$BQ$57-References!$BQ$58)/References!$BZ$47)*(1/Q127)),0))</f>
        <v/>
      </c>
      <c r="BI127" s="1154" t="str">
        <f>IF(C127="","",IF(AND(BF127="Yes",B127="Residential"),IF(C127="Electric",BH127*References!$BX$47,(References!$BS$59*References!$BQ$56*References!$BS$57*References!$BS$58*(References!$BQ$57-References!$BQ$58)/1000000)*(1/BG127)-BH127*References!$BX$47),0))</f>
        <v/>
      </c>
      <c r="BJ127" s="1224" t="str">
        <f>IF(C127="","",IF(AND(BF127="Yes",Customer_Sector="Residential"),IF(C127="Electric",BH127*References!$BY$43,(BI127+BH127*References!$D$12)*INDEX(References!$BY$51:$BY$54,MATCH(C127,References!$BW$51:$BW$54,0))),0))</f>
        <v/>
      </c>
      <c r="BL127" s="1230" t="str">
        <f t="shared" si="52"/>
        <v/>
      </c>
      <c r="BM127" s="1260" t="str">
        <f t="shared" si="53"/>
        <v/>
      </c>
      <c r="BN127" s="1228" t="str">
        <f t="shared" si="54"/>
        <v/>
      </c>
      <c r="BO127" s="1227" t="str">
        <f t="shared" si="55"/>
        <v/>
      </c>
      <c r="BP127" s="1228" t="str">
        <f t="shared" si="56"/>
        <v/>
      </c>
      <c r="BQ127" s="1227" t="str">
        <f t="shared" si="57"/>
        <v/>
      </c>
      <c r="BR127" s="1228" t="str">
        <f>IF(C127="","",(BN127/1000)*References!$BY$43)</f>
        <v/>
      </c>
      <c r="BS127" s="1270" t="str">
        <f t="shared" si="60"/>
        <v/>
      </c>
      <c r="BT127" s="1223" t="str">
        <f>IF(C127="","",SUM(AD127:AF127)+IF(C127="Electric",0,BI127+BH127*References!$BX$47))</f>
        <v/>
      </c>
      <c r="BU127" s="2621"/>
      <c r="BV127" s="1227" t="str">
        <f t="shared" si="58"/>
        <v/>
      </c>
    </row>
    <row r="128" spans="1:74">
      <c r="A128" s="847">
        <f t="shared" si="59"/>
        <v>4</v>
      </c>
      <c r="B128" s="105" t="str">
        <f>IF('Space Heating Worksheet'!C40="","",'Space Heating Worksheet'!C40)</f>
        <v/>
      </c>
      <c r="C128" s="1233" t="str">
        <f>IF(E128="","",INDEX(References!$CF$28:$CF$41,MATCH(Qualifying_Index!E128,References!$CG$28:$CG$41,0)))</f>
        <v/>
      </c>
      <c r="D128" s="1232">
        <f>IF(AND('Space Heating Worksheet'!AB40="",'Space Heating Worksheet'!D40&lt;&gt;""),"None",'Space Heating Worksheet'!AB40)</f>
        <v>0</v>
      </c>
      <c r="E128" s="1269" t="str">
        <f>IF(AND('Space Heating Worksheet'!AA40="",'Space Heating Worksheet'!D40&lt;&gt;""),"None",'Space Heating Worksheet'!AF40)</f>
        <v/>
      </c>
      <c r="F128" s="1266" t="str">
        <f>IF(AND('Space Heating Worksheet'!AJ59="",'Space Heating Worksheet'!P40=""),"",'Space Heating Worksheet'!AJ59)</f>
        <v/>
      </c>
      <c r="G128" s="147" t="str">
        <f>IF($C128="","",IF(Existing_Heating_Source="Existing Building",INDEX(References!$BS$40:$BT$41,MATCH(B128,References!$BP$40:$BP$41,0),MATCH(G$124,References!$BS$39:$BT$39,0)),INDEX(References!$BQ$40:$BR$41,MATCH(B128,References!$BP$40:$BP$41,0),MATCH(G$124,References!$BQ$39:$BR$39,0))))</f>
        <v/>
      </c>
      <c r="H128" s="1154" t="str">
        <f>IF('Space Heating Worksheet'!$D40="","",IF(OR('Space Heating Worksheet'!$AE40=0,$E128="None"),INDEX(References!CH$28:CH$41,MATCH($E128,References!$CG$28:$CG$41,0)),'Space Heating Worksheet'!$AE40))</f>
        <v/>
      </c>
      <c r="I128" s="1154" t="str">
        <f>IF('Space Heating Worksheet'!$D40="","",IF(OR('Space Heating Worksheet'!$AE40=0,$E128="None"),INDEX(References!CI$28:CI$41,MATCH($E128,References!$CG$28:$CG$41,0)),'Space Heating Worksheet'!$AE40))</f>
        <v/>
      </c>
      <c r="J128" s="1224" t="str">
        <f>IF('Space Heating Worksheet'!$D40="","",IF(OR('Space Heating Worksheet'!$AE40=0,$E128="None"),INDEX(References!CJ$28:CJ$41,MATCH($E128,References!$CG$28:$CG$41,0)),'Space Heating Worksheet'!$AE40))</f>
        <v/>
      </c>
      <c r="K128" s="1262" t="str">
        <f>IF(OR('Space Heating Worksheet'!G40="",'Space Heating Worksheet'!G40=0),"",INDEX(References!$BX$30:$BX$36,MATCH('Space Heating Worksheet'!G40,References!$BW$30:$BW$36,0)))</f>
        <v/>
      </c>
      <c r="L128" s="1154" t="str">
        <f>IF('Space Heating Worksheet'!V40="","",'Space Heating Worksheet'!V40)</f>
        <v/>
      </c>
      <c r="M128" s="1229" t="str">
        <f>IF('Space Heating Worksheet'!X40="","",'Space Heating Worksheet'!X40)</f>
        <v/>
      </c>
      <c r="N128" s="1229" t="str">
        <f>IF(OR(D128="",D128=0),"",IF(D128="CAC",References!$CD$53,References!$CD$54))</f>
        <v/>
      </c>
      <c r="O128" s="1229" t="str">
        <f>IF(OR(L128="",L128=0),"",INDEX(References!$BT$72:$BT$74,MATCH('Space Heating Worksheet'!K40,References!$BP$72:$BP$74,0)))</f>
        <v/>
      </c>
      <c r="P128" s="1229" t="str">
        <f>IF(OR(L128="",L128=0),"",INDEX(References!$BT$75:$BT$77,MATCH('Space Heating Worksheet'!K40,References!$BP$75:$BP$77,0)))</f>
        <v/>
      </c>
      <c r="Q128" s="1260" t="str">
        <f>IF(L128="","",IF(OR('Space Heating Worksheet'!J40="Single Stage",NOT(ISNUMBER('Space Heating Worksheet'!V40))),IF(K128="Open Loop/Well",L128*O128,L128*O128*References!$CD$50),IF(K128="Open Loop/Well",((L128*References!$CG$43*O128)+(M128*References!$CG$44*P128))*N128,((L128*References!$CG$43*O128)+(M128*References!$CG$44*P128))*References!$CD$50*N128)))</f>
        <v/>
      </c>
      <c r="R128" s="1266" t="str">
        <f>IF(C128="","",IF(C128="None",F128*(1/100000)*(1/H128)*G128*References!$CK$44*References!$CK$46,IF(C128="NG",F128*(1/100000)*(1/H128)*G128,0)))</f>
        <v/>
      </c>
      <c r="S128" s="1267" t="str">
        <f>IF(C128="","",IF(C128="None",F128*(1/(References!$BZ$51*1000000))*(1/H128)*G128*References!$CK$45*References!$CK$46,IF(C128="Oil",F128*(1/(References!$BZ$51*1000000))*(1/H128)*G128,0)))</f>
        <v/>
      </c>
      <c r="T128" s="1267" t="str">
        <f>IF(C128="","",IF(C128="LP",F128*(1/(References!$BZ$52*1000000))*(1/H128)*G128,0))</f>
        <v/>
      </c>
      <c r="U128" s="1267" t="str">
        <f>IF(C128="","",IF(C128="None",F128*(1/I128)*G128/3412*References!$CK$47,IF(C128="Electric",F128*(1/I128)*G128/3412,0)))</f>
        <v/>
      </c>
      <c r="V128" s="1260" t="str">
        <f>IF(C128="","",IF(C128="None",F128*(1/I128)/3412*References!$CK$47,IF(C128="Electric",F128*(1/I128)/3412,0)))</f>
        <v/>
      </c>
      <c r="W128" s="1266" t="str">
        <f t="shared" si="41"/>
        <v/>
      </c>
      <c r="X128" s="1265" t="str">
        <f t="shared" si="41"/>
        <v/>
      </c>
      <c r="Y128" s="1265" t="str">
        <f t="shared" si="41"/>
        <v/>
      </c>
      <c r="Z128" s="1267" t="str">
        <f t="shared" si="42"/>
        <v/>
      </c>
      <c r="AA128" s="1260" t="str">
        <f t="shared" si="43"/>
        <v/>
      </c>
      <c r="AB128" s="1268" t="str">
        <f t="shared" si="44"/>
        <v/>
      </c>
      <c r="AC128" s="1267" t="str">
        <f t="shared" si="45"/>
        <v/>
      </c>
      <c r="AD128" s="1266" t="str">
        <f>IF(C128="","",(R128-W128)*References!$BZ$53)</f>
        <v/>
      </c>
      <c r="AE128" s="1265" t="str">
        <f>IF(C128="","",(S128-X128)*References!$BZ$51)</f>
        <v/>
      </c>
      <c r="AF128" s="1265" t="str">
        <f>IF(C128="","",(T128-Y128)*References!$BZ$52)</f>
        <v/>
      </c>
      <c r="AG128" s="1265" t="str">
        <f>IF(C128="","",(U128-Z128)*References!$BX$47)</f>
        <v/>
      </c>
      <c r="AH128" s="1264" t="str">
        <f t="shared" si="46"/>
        <v/>
      </c>
      <c r="AI128" s="1266" t="str">
        <f>IF(C128="","",AD128*References!$BY$53)</f>
        <v/>
      </c>
      <c r="AJ128" s="1265" t="str">
        <f>IF(C128="","",AE128*References!$BY$51)</f>
        <v/>
      </c>
      <c r="AK128" s="1265" t="str">
        <f>IF(C128="","",AF128*References!$BY$52)</f>
        <v/>
      </c>
      <c r="AL128" s="1265" t="str">
        <f>IF(C128="","",(AC128/1000)*References!$BY$43)</f>
        <v/>
      </c>
      <c r="AM128" s="1264" t="str">
        <f t="shared" si="47"/>
        <v/>
      </c>
      <c r="AN128" s="150"/>
      <c r="AO128" s="1263" t="str">
        <f>IF(AND('Space Heating Worksheet'!AI59="",'Space Heating Worksheet'!O40=""),"",'Space Heating Worksheet'!AI59)</f>
        <v/>
      </c>
      <c r="AP128" s="1396" t="str">
        <f>IF($C128="","",IF(Existing_Heating_Source="Existing Building",INDEX(References!$BS$40:$BT$41,MATCH(B128,References!$BP$40:$BP$41,0),MATCH(AP$124,References!$BS$39:$BT$39,0)),INDEX(References!$BQ$40:$BR$41,MATCH(B128,References!$BP$40:$BP$41,0),MATCH(AP$124,References!$BQ$39:$BR$39,0))))</f>
        <v/>
      </c>
      <c r="AQ128" s="1154" t="str">
        <f>IF('Space Heating Worksheet'!$D40="","",IF(OR('Space Heating Worksheet'!AC40=0,$D128="None"),INDEX(References!CH$19:CH$24,MATCH($D128,References!$CG$19:$CG$24,0)),'Space Heating Worksheet'!AC40))</f>
        <v/>
      </c>
      <c r="AR128" s="1154" t="str">
        <f>IF('Space Heating Worksheet'!$D40="","",IF(OR('Space Heating Worksheet'!AD40=0,$D128="None"),INDEX(References!CI$19:CI$24,MATCH($D128,References!$CG$19:$CG$24,0)),'Space Heating Worksheet'!AD40))</f>
        <v/>
      </c>
      <c r="AS128" s="1223" t="str">
        <f t="shared" si="48"/>
        <v/>
      </c>
      <c r="AT128" s="1228" t="str">
        <f>IF(OR('Space Heating Worksheet'!G40="",'Space Heating Worksheet'!G40=0),"",INDEX(References!$BX$30:$BX$36,MATCH('Space Heating Worksheet'!G40,References!$BW$30:$BW$36,0)))</f>
        <v/>
      </c>
      <c r="AU128" s="1154" t="str">
        <f>IF('Space Heating Worksheet'!U40="","",'Space Heating Worksheet'!U40)</f>
        <v/>
      </c>
      <c r="AV128" s="1154" t="str">
        <f>IF('Space Heating Worksheet'!W40="","",'Space Heating Worksheet'!W40)</f>
        <v/>
      </c>
      <c r="AW128" s="1154" t="str">
        <f>IF(OR(D128="",D128=0),"",References!$CD$52)</f>
        <v/>
      </c>
      <c r="AX128" s="1154" t="str">
        <f>IF(OR('Space Heating Worksheet'!C40="",'Space Heating Worksheet'!C40=0),"",INDEX(References!$BS$72:$BS$74,MATCH('Space Heating Worksheet'!K40,References!$BP$72:$BP$74,0)))</f>
        <v/>
      </c>
      <c r="AY128" s="1154" t="str">
        <f>IF(OR(L128="",L128=0),"",INDEX(References!$BS$75:$BS$77,MATCH('Space Heating Worksheet'!K40,References!$BP$75:$BP$77,0)))</f>
        <v/>
      </c>
      <c r="AZ128" s="1224" t="str">
        <f>IF(AU128="","",IF(OR('Space Heating Worksheet'!J40="Single Stage",NOT(ISNUMBER('Space Heating Worksheet'!V40))),IF(K128="Open Loop/Well",AU128*AX128,AU128*AX128*References!$CD$49),IF(K128="Open Loop/Well",((AU128*References!$CG$43*AX128)+(AV128*References!$CG$44*AY128))*References!$CD$49*AW128,((AU128*References!$CG$43*References!$CD$49*AX128)+(AV128*References!$CG$44*AY128))*AW128)))</f>
        <v/>
      </c>
      <c r="BA128" s="1227" t="str">
        <f t="shared" si="49"/>
        <v/>
      </c>
      <c r="BB128" s="1262" t="str">
        <f t="shared" si="50"/>
        <v/>
      </c>
      <c r="BC128" s="147" t="str">
        <f t="shared" si="51"/>
        <v/>
      </c>
      <c r="BD128" s="1227" t="str">
        <f>IF(C128="","",BC128*References!$BX$47)</f>
        <v/>
      </c>
      <c r="BE128" s="1245"/>
      <c r="BF128" s="1261" t="str">
        <f>IF(C128="","",'Space Heating Worksheet'!V59)</f>
        <v/>
      </c>
      <c r="BG128" s="1154" t="str">
        <f>IF(C128="","",IF(AND(BF128="Yes",B128="Residential"),IF(C128="Electric",References!$BQ$59,References!$BS$56),0))</f>
        <v/>
      </c>
      <c r="BH128" s="147" t="str">
        <f>IF(C128="","",IF(AND(BF128="Yes",B128="Residential"),IF(C128="Electric",(References!$BS$59*References!$BQ$56*References!$BS$57*References!$BS$58*(References!$BQ$57-References!$BQ$58)/References!$BZ$47)*((1/BG128)-(1/Q128)),(References!$BS$59*References!$BQ$56*References!$BS$57*References!$BS$58*(References!$BQ$57-References!$BQ$58)/References!$BZ$47)*(1/Q128)),0))</f>
        <v/>
      </c>
      <c r="BI128" s="1154" t="str">
        <f>IF(C128="","",IF(AND(BF128="Yes",B128="Residential"),IF(C128="Electric",BH128*References!$BX$47,(References!$BS$59*References!$BQ$56*References!$BS$57*References!$BS$58*(References!$BQ$57-References!$BQ$58)/1000000)*(1/BG128)-BH128*References!$BX$47),0))</f>
        <v/>
      </c>
      <c r="BJ128" s="1224" t="str">
        <f>IF(C128="","",IF(AND(BF128="Yes",Customer_Sector="Residential"),IF(C128="Electric",BH128*References!$BY$43,(BI128+BH128*References!$D$12)*INDEX(References!$BY$51:$BY$54,MATCH(C128,References!$BW$51:$BW$54,0))),0))</f>
        <v/>
      </c>
      <c r="BL128" s="1230" t="str">
        <f t="shared" si="52"/>
        <v/>
      </c>
      <c r="BM128" s="1260" t="str">
        <f t="shared" si="53"/>
        <v/>
      </c>
      <c r="BN128" s="1228" t="str">
        <f t="shared" si="54"/>
        <v/>
      </c>
      <c r="BO128" s="1227" t="str">
        <f t="shared" si="55"/>
        <v/>
      </c>
      <c r="BP128" s="1228" t="str">
        <f t="shared" si="56"/>
        <v/>
      </c>
      <c r="BQ128" s="1227" t="str">
        <f t="shared" si="57"/>
        <v/>
      </c>
      <c r="BR128" s="1228" t="str">
        <f>IF(C128="","",(BN128/1000)*References!$BY$43)</f>
        <v/>
      </c>
      <c r="BS128" s="1270" t="str">
        <f t="shared" si="60"/>
        <v/>
      </c>
      <c r="BT128" s="1223" t="str">
        <f>IF(C128="","",SUM(AD128:AF128)+IF(C128="Electric",0,BI128+BH128*References!$BX$47))</f>
        <v/>
      </c>
      <c r="BU128" s="2621"/>
      <c r="BV128" s="1227" t="str">
        <f t="shared" si="58"/>
        <v/>
      </c>
    </row>
    <row r="129" spans="1:74">
      <c r="A129" s="847">
        <f t="shared" si="59"/>
        <v>5</v>
      </c>
      <c r="B129" s="105" t="str">
        <f>IF('Space Heating Worksheet'!C41="","",'Space Heating Worksheet'!C41)</f>
        <v/>
      </c>
      <c r="C129" s="1233" t="str">
        <f>IF(E129="","",INDEX(References!$CF$28:$CF$41,MATCH(Qualifying_Index!E129,References!$CG$28:$CG$41,0)))</f>
        <v/>
      </c>
      <c r="D129" s="1232">
        <f>IF(AND('Space Heating Worksheet'!AB41="",'Space Heating Worksheet'!D41&lt;&gt;""),"None",'Space Heating Worksheet'!AB41)</f>
        <v>0</v>
      </c>
      <c r="E129" s="1269" t="str">
        <f>IF(AND('Space Heating Worksheet'!AA41="",'Space Heating Worksheet'!D41&lt;&gt;""),"None",'Space Heating Worksheet'!AF41)</f>
        <v/>
      </c>
      <c r="F129" s="1266" t="str">
        <f>IF(AND('Space Heating Worksheet'!AJ60="",'Space Heating Worksheet'!P41=""),"",'Space Heating Worksheet'!AJ60)</f>
        <v/>
      </c>
      <c r="G129" s="147" t="str">
        <f>IF($C129="","",IF(Existing_Heating_Source="Existing Building",INDEX(References!$BS$40:$BT$41,MATCH(B129,References!$BP$40:$BP$41,0),MATCH(G$124,References!$BS$39:$BT$39,0)),INDEX(References!$BQ$40:$BR$41,MATCH(B129,References!$BP$40:$BP$41,0),MATCH(G$124,References!$BQ$39:$BR$39,0))))</f>
        <v/>
      </c>
      <c r="H129" s="1154" t="str">
        <f>IF('Space Heating Worksheet'!$D41="","",IF(OR('Space Heating Worksheet'!$AE41=0,$E129="None"),INDEX(References!CH$28:CH$41,MATCH($E129,References!$CG$28:$CG$41,0)),'Space Heating Worksheet'!$AE41))</f>
        <v/>
      </c>
      <c r="I129" s="1154" t="str">
        <f>IF('Space Heating Worksheet'!$D41="","",IF(OR('Space Heating Worksheet'!$AE41=0,$E129="None"),INDEX(References!CI$28:CI$41,MATCH($E129,References!$CG$28:$CG$41,0)),'Space Heating Worksheet'!$AE41))</f>
        <v/>
      </c>
      <c r="J129" s="1224" t="str">
        <f>IF('Space Heating Worksheet'!$D41="","",IF(OR('Space Heating Worksheet'!$AE41=0,$E129="None"),INDEX(References!CJ$28:CJ$41,MATCH($E129,References!$CG$28:$CG$41,0)),'Space Heating Worksheet'!$AE41))</f>
        <v/>
      </c>
      <c r="K129" s="1262" t="str">
        <f>IF(OR('Space Heating Worksheet'!G41="",'Space Heating Worksheet'!G41=0),"",INDEX(References!$BX$30:$BX$36,MATCH('Space Heating Worksheet'!G41,References!$BW$30:$BW$36,0)))</f>
        <v/>
      </c>
      <c r="L129" s="1154" t="str">
        <f>IF('Space Heating Worksheet'!V41="","",'Space Heating Worksheet'!V41)</f>
        <v/>
      </c>
      <c r="M129" s="1229" t="str">
        <f>IF('Space Heating Worksheet'!X41="","",'Space Heating Worksheet'!X41)</f>
        <v/>
      </c>
      <c r="N129" s="1229" t="str">
        <f>IF(OR(D129="",D129=0),"",IF(D129="CAC",References!$CD$53,References!$CD$54))</f>
        <v/>
      </c>
      <c r="O129" s="1229" t="str">
        <f>IF(OR(L129="",L129=0),"",INDEX(References!$BT$72:$BT$74,MATCH('Space Heating Worksheet'!K41,References!$BP$72:$BP$74,0)))</f>
        <v/>
      </c>
      <c r="P129" s="1229" t="str">
        <f>IF(OR(L129="",L129=0),"",INDEX(References!$BT$75:$BT$77,MATCH('Space Heating Worksheet'!K41,References!$BP$75:$BP$77,0)))</f>
        <v/>
      </c>
      <c r="Q129" s="1260" t="str">
        <f>IF(L129="","",IF(OR('Space Heating Worksheet'!J41="Single Stage",NOT(ISNUMBER('Space Heating Worksheet'!V41))),IF(K129="Open Loop/Well",L129*O129,L129*O129*References!$CD$50),IF(K129="Open Loop/Well",((L129*References!$CG$43*O129)+(M129*References!$CG$44*P129))*N129,((L129*References!$CG$43*O129)+(M129*References!$CG$44*P129))*References!$CD$50*N129)))</f>
        <v/>
      </c>
      <c r="R129" s="1266" t="str">
        <f>IF(C129="","",IF(C129="None",F129*(1/100000)*(1/H129)*G129*References!$CK$44*References!$CK$46,IF(C129="NG",F129*(1/100000)*(1/H129)*G129,0)))</f>
        <v/>
      </c>
      <c r="S129" s="1267" t="str">
        <f>IF(C129="","",IF(C129="None",F129*(1/(References!$BZ$51*1000000))*(1/H129)*G129*References!$CK$45*References!$CK$46,IF(C129="Oil",F129*(1/(References!$BZ$51*1000000))*(1/H129)*G129,0)))</f>
        <v/>
      </c>
      <c r="T129" s="1267" t="str">
        <f>IF(C129="","",IF(C129="LP",F129*(1/(References!$BZ$52*1000000))*(1/H129)*G129,0))</f>
        <v/>
      </c>
      <c r="U129" s="1267" t="str">
        <f>IF(C129="","",IF(C129="None",F129*(1/I129)*G129/3412*References!$CK$47,IF(C129="Electric",F129*(1/I129)*G129/3412,0)))</f>
        <v/>
      </c>
      <c r="V129" s="1260" t="str">
        <f>IF(C129="","",IF(C129="None",F129*(1/I129)/3412*References!$CK$47,IF(C129="Electric",F129*(1/I129)/3412,0)))</f>
        <v/>
      </c>
      <c r="W129" s="1266" t="str">
        <f t="shared" si="41"/>
        <v/>
      </c>
      <c r="X129" s="1265" t="str">
        <f t="shared" si="41"/>
        <v/>
      </c>
      <c r="Y129" s="1265" t="str">
        <f t="shared" si="41"/>
        <v/>
      </c>
      <c r="Z129" s="1267" t="str">
        <f t="shared" si="42"/>
        <v/>
      </c>
      <c r="AA129" s="1260" t="str">
        <f t="shared" si="43"/>
        <v/>
      </c>
      <c r="AB129" s="1268" t="str">
        <f t="shared" si="44"/>
        <v/>
      </c>
      <c r="AC129" s="1267" t="str">
        <f t="shared" si="45"/>
        <v/>
      </c>
      <c r="AD129" s="1266" t="str">
        <f>IF(C129="","",(R129-W129)*References!$BZ$53)</f>
        <v/>
      </c>
      <c r="AE129" s="1265" t="str">
        <f>IF(C129="","",(S129-X129)*References!$BZ$51)</f>
        <v/>
      </c>
      <c r="AF129" s="1265" t="str">
        <f>IF(C129="","",(T129-Y129)*References!$BZ$52)</f>
        <v/>
      </c>
      <c r="AG129" s="1265" t="str">
        <f>IF(C129="","",(U129-Z129)*References!$BX$47)</f>
        <v/>
      </c>
      <c r="AH129" s="1264" t="str">
        <f t="shared" si="46"/>
        <v/>
      </c>
      <c r="AI129" s="1266" t="str">
        <f>IF(C129="","",AD129*References!$BY$53)</f>
        <v/>
      </c>
      <c r="AJ129" s="1265" t="str">
        <f>IF(C129="","",AE129*References!$BY$51)</f>
        <v/>
      </c>
      <c r="AK129" s="1265" t="str">
        <f>IF(C129="","",AF129*References!$BY$52)</f>
        <v/>
      </c>
      <c r="AL129" s="1265" t="str">
        <f>IF(C129="","",(AC129/1000)*References!$BY$43)</f>
        <v/>
      </c>
      <c r="AM129" s="1264" t="str">
        <f t="shared" si="47"/>
        <v/>
      </c>
      <c r="AN129" s="150"/>
      <c r="AO129" s="1263" t="str">
        <f>IF(AND('Space Heating Worksheet'!AI60="",'Space Heating Worksheet'!O41=""),"",'Space Heating Worksheet'!AI60)</f>
        <v/>
      </c>
      <c r="AP129" s="1396" t="str">
        <f>IF($C129="","",IF(Existing_Heating_Source="Existing Building",INDEX(References!$BS$40:$BT$41,MATCH(B129,References!$BP$40:$BP$41,0),MATCH(AP$124,References!$BS$39:$BT$39,0)),INDEX(References!$BQ$40:$BR$41,MATCH(B129,References!$BP$40:$BP$41,0),MATCH(AP$124,References!$BQ$39:$BR$39,0))))</f>
        <v/>
      </c>
      <c r="AQ129" s="1154" t="str">
        <f>IF('Space Heating Worksheet'!$D41="","",IF(OR('Space Heating Worksheet'!AC41=0,$D129="None"),INDEX(References!CH$19:CH$24,MATCH($D129,References!$CG$19:$CG$24,0)),'Space Heating Worksheet'!AC41))</f>
        <v/>
      </c>
      <c r="AR129" s="1154" t="str">
        <f>IF('Space Heating Worksheet'!$D41="","",IF(OR('Space Heating Worksheet'!AD41=0,$D129="None"),INDEX(References!CI$19:CI$24,MATCH($D129,References!$CG$19:$CG$24,0)),'Space Heating Worksheet'!AD41))</f>
        <v/>
      </c>
      <c r="AS129" s="1223" t="str">
        <f t="shared" si="48"/>
        <v/>
      </c>
      <c r="AT129" s="1228" t="str">
        <f>IF(OR('Space Heating Worksheet'!G41="",'Space Heating Worksheet'!G41=0),"",INDEX(References!$BX$30:$BX$36,MATCH('Space Heating Worksheet'!G41,References!$BW$30:$BW$36,0)))</f>
        <v/>
      </c>
      <c r="AU129" s="1154" t="str">
        <f>IF('Space Heating Worksheet'!U41="","",'Space Heating Worksheet'!U41)</f>
        <v/>
      </c>
      <c r="AV129" s="1154" t="str">
        <f>IF('Space Heating Worksheet'!W41="","",'Space Heating Worksheet'!W41)</f>
        <v/>
      </c>
      <c r="AW129" s="1154" t="str">
        <f>IF(OR(D129="",D129=0),"",References!$CD$52)</f>
        <v/>
      </c>
      <c r="AX129" s="1154" t="str">
        <f>IF(OR('Space Heating Worksheet'!C41="",'Space Heating Worksheet'!C41=0),"",INDEX(References!$BS$72:$BS$74,MATCH('Space Heating Worksheet'!K41,References!$BP$72:$BP$74,0)))</f>
        <v/>
      </c>
      <c r="AY129" s="1154" t="str">
        <f>IF(OR(L129="",L129=0),"",INDEX(References!$BS$75:$BS$77,MATCH('Space Heating Worksheet'!K41,References!$BP$75:$BP$77,0)))</f>
        <v/>
      </c>
      <c r="AZ129" s="1224" t="str">
        <f>IF(AU129="","",IF(OR('Space Heating Worksheet'!J41="Single Stage",NOT(ISNUMBER('Space Heating Worksheet'!V41))),IF(K129="Open Loop/Well",AU129*AX129,AU129*AX129*References!$CD$49),IF(K129="Open Loop/Well",((AU129*References!$CG$43*AX129)+(AV129*References!$CG$44*AY129))*References!$CD$49*AW129,((AU129*References!$CG$43*References!$CD$49*AX129)+(AV129*References!$CG$44*AY129))*AW129)))</f>
        <v/>
      </c>
      <c r="BA129" s="1227" t="str">
        <f t="shared" si="49"/>
        <v/>
      </c>
      <c r="BB129" s="1262" t="str">
        <f t="shared" si="50"/>
        <v/>
      </c>
      <c r="BC129" s="147" t="str">
        <f t="shared" si="51"/>
        <v/>
      </c>
      <c r="BD129" s="1227" t="str">
        <f>IF(C129="","",BC129*References!$BX$47)</f>
        <v/>
      </c>
      <c r="BE129" s="1245"/>
      <c r="BF129" s="1261" t="str">
        <f>IF(C129="","",'Space Heating Worksheet'!V60)</f>
        <v/>
      </c>
      <c r="BG129" s="1154" t="str">
        <f>IF(C129="","",IF(AND(BF129="Yes",B129="Residential"),IF(C129="Electric",References!$BQ$59,References!$BS$56),0))</f>
        <v/>
      </c>
      <c r="BH129" s="147" t="str">
        <f>IF(C129="","",IF(AND(BF129="Yes",B129="Residential"),IF(C129="Electric",(References!$BS$59*References!$BQ$56*References!$BS$57*References!$BS$58*(References!$BQ$57-References!$BQ$58)/References!$BZ$47)*((1/BG129)-(1/Q129)),(References!$BS$59*References!$BQ$56*References!$BS$57*References!$BS$58*(References!$BQ$57-References!$BQ$58)/References!$BZ$47)*(1/Q129)),0))</f>
        <v/>
      </c>
      <c r="BI129" s="1154" t="str">
        <f>IF(C129="","",IF(AND(BF129="Yes",B129="Residential"),IF(C129="Electric",BH129*References!$BX$47,(References!$BS$59*References!$BQ$56*References!$BS$57*References!$BS$58*(References!$BQ$57-References!$BQ$58)/1000000)*(1/BG129)-BH129*References!$BX$47),0))</f>
        <v/>
      </c>
      <c r="BJ129" s="1224" t="str">
        <f>IF(C129="","",IF(AND(BF129="Yes",Customer_Sector="Residential"),IF(C129="Electric",BH129*References!$BY$43,(BI129+BH129*References!$D$12)*INDEX(References!$BY$51:$BY$54,MATCH(C129,References!$BW$51:$BW$54,0))),0))</f>
        <v/>
      </c>
      <c r="BL129" s="1230" t="str">
        <f t="shared" si="52"/>
        <v/>
      </c>
      <c r="BM129" s="1260" t="str">
        <f t="shared" si="53"/>
        <v/>
      </c>
      <c r="BN129" s="1228" t="str">
        <f t="shared" si="54"/>
        <v/>
      </c>
      <c r="BO129" s="1227" t="str">
        <f t="shared" si="55"/>
        <v/>
      </c>
      <c r="BP129" s="1228" t="str">
        <f t="shared" si="56"/>
        <v/>
      </c>
      <c r="BQ129" s="1227" t="str">
        <f t="shared" si="57"/>
        <v/>
      </c>
      <c r="BR129" s="1228" t="str">
        <f>IF(C129="","",(BN129/1000)*References!$BY$43)</f>
        <v/>
      </c>
      <c r="BS129" s="1270" t="str">
        <f t="shared" si="60"/>
        <v/>
      </c>
      <c r="BT129" s="1223" t="str">
        <f>IF(C129="","",SUM(AD129:AF129)+IF(C129="Electric",0,BI129+BH129*References!$BX$47))</f>
        <v/>
      </c>
      <c r="BU129" s="2621"/>
      <c r="BV129" s="1227" t="str">
        <f t="shared" si="58"/>
        <v/>
      </c>
    </row>
    <row r="130" spans="1:74">
      <c r="A130" s="847">
        <f t="shared" si="59"/>
        <v>6</v>
      </c>
      <c r="B130" s="105" t="str">
        <f>IF('Space Heating Worksheet'!C42="","",'Space Heating Worksheet'!C42)</f>
        <v/>
      </c>
      <c r="C130" s="1233" t="str">
        <f>IF(E130="","",INDEX(References!$CF$28:$CF$41,MATCH(Qualifying_Index!E130,References!$CG$28:$CG$41,0)))</f>
        <v/>
      </c>
      <c r="D130" s="1232">
        <f>IF(AND('Space Heating Worksheet'!AB42="",'Space Heating Worksheet'!D42&lt;&gt;""),"None",'Space Heating Worksheet'!AB42)</f>
        <v>0</v>
      </c>
      <c r="E130" s="1269" t="str">
        <f>IF(AND('Space Heating Worksheet'!AA42="",'Space Heating Worksheet'!D42&lt;&gt;""),"None",'Space Heating Worksheet'!AF42)</f>
        <v/>
      </c>
      <c r="F130" s="1266" t="str">
        <f>IF(AND('Space Heating Worksheet'!AJ61="",'Space Heating Worksheet'!P42=""),"",'Space Heating Worksheet'!AJ61)</f>
        <v/>
      </c>
      <c r="G130" s="147" t="str">
        <f>IF($C130="","",IF(Existing_Heating_Source="Existing Building",INDEX(References!$BS$40:$BT$41,MATCH(B130,References!$BP$40:$BP$41,0),MATCH(G$124,References!$BS$39:$BT$39,0)),INDEX(References!$BQ$40:$BR$41,MATCH(B130,References!$BP$40:$BP$41,0),MATCH(G$124,References!$BQ$39:$BR$39,0))))</f>
        <v/>
      </c>
      <c r="H130" s="1154" t="str">
        <f>IF('Space Heating Worksheet'!$D42="","",IF(OR('Space Heating Worksheet'!$AE42=0,$E130="None"),INDEX(References!CH$28:CH$41,MATCH($E130,References!$CG$28:$CG$41,0)),'Space Heating Worksheet'!$AE42))</f>
        <v/>
      </c>
      <c r="I130" s="1154" t="str">
        <f>IF('Space Heating Worksheet'!$D42="","",IF(OR('Space Heating Worksheet'!$AE42=0,$E130="None"),INDEX(References!CI$28:CI$41,MATCH($E130,References!$CG$28:$CG$41,0)),'Space Heating Worksheet'!$AE42))</f>
        <v/>
      </c>
      <c r="J130" s="1224" t="str">
        <f>IF('Space Heating Worksheet'!$D42="","",IF(OR('Space Heating Worksheet'!$AE42=0,$E130="None"),INDEX(References!CJ$28:CJ$41,MATCH($E130,References!$CG$28:$CG$41,0)),'Space Heating Worksheet'!$AE42))</f>
        <v/>
      </c>
      <c r="K130" s="1262" t="str">
        <f>IF(OR('Space Heating Worksheet'!G42="",'Space Heating Worksheet'!G42=0),"",INDEX(References!$BX$30:$BX$36,MATCH('Space Heating Worksheet'!G42,References!$BW$30:$BW$36,0)))</f>
        <v/>
      </c>
      <c r="L130" s="1154" t="str">
        <f>IF('Space Heating Worksheet'!V42="","",'Space Heating Worksheet'!V42)</f>
        <v/>
      </c>
      <c r="M130" s="1229" t="str">
        <f>IF('Space Heating Worksheet'!X42="","",'Space Heating Worksheet'!X42)</f>
        <v/>
      </c>
      <c r="N130" s="1229" t="str">
        <f>IF(OR(D130="",D130=0),"",IF(D130="CAC",References!$CD$53,References!$CD$54))</f>
        <v/>
      </c>
      <c r="O130" s="1229" t="str">
        <f>IF(OR(L130="",L130=0),"",INDEX(References!$BT$72:$BT$74,MATCH('Space Heating Worksheet'!K42,References!$BP$72:$BP$74,0)))</f>
        <v/>
      </c>
      <c r="P130" s="1229" t="str">
        <f>IF(OR(L130="",L130=0),"",INDEX(References!$BT$75:$BT$77,MATCH('Space Heating Worksheet'!K42,References!$BP$75:$BP$77,0)))</f>
        <v/>
      </c>
      <c r="Q130" s="1260" t="str">
        <f>IF(L130="","",IF(OR('Space Heating Worksheet'!J42="Single Stage",NOT(ISNUMBER('Space Heating Worksheet'!V42))),IF(K130="Open Loop/Well",L130*O130,L130*O130*References!$CD$50),IF(K130="Open Loop/Well",((L130*References!$CG$43*O130)+(M130*References!$CG$44*P130))*N130,((L130*References!$CG$43*O130)+(M130*References!$CG$44*P130))*References!$CD$50*N130)))</f>
        <v/>
      </c>
      <c r="R130" s="1266" t="str">
        <f>IF(C130="","",IF(C130="None",F130*(1/100000)*(1/H130)*G130*References!$CK$44*References!$CK$46,IF(C130="NG",F130*(1/100000)*(1/H130)*G130,0)))</f>
        <v/>
      </c>
      <c r="S130" s="1267" t="str">
        <f>IF(C130="","",IF(C130="None",F130*(1/(References!$BZ$51*1000000))*(1/H130)*G130*References!$CK$45*References!$CK$46,IF(C130="Oil",F130*(1/(References!$BZ$51*1000000))*(1/H130)*G130,0)))</f>
        <v/>
      </c>
      <c r="T130" s="1267" t="str">
        <f>IF(C130="","",IF(C130="LP",F130*(1/(References!$BZ$52*1000000))*(1/H130)*G130,0))</f>
        <v/>
      </c>
      <c r="U130" s="1267" t="str">
        <f>IF(C130="","",IF(C130="None",F130*(1/I130)*G130/3412*References!$CK$47,IF(C130="Electric",F130*(1/I130)*G130/3412,0)))</f>
        <v/>
      </c>
      <c r="V130" s="1260" t="str">
        <f>IF(C130="","",IF(C130="None",F130*(1/I130)/3412*References!$CK$47,IF(C130="Electric",F130*(1/I130)/3412,0)))</f>
        <v/>
      </c>
      <c r="W130" s="1266" t="str">
        <f t="shared" si="41"/>
        <v/>
      </c>
      <c r="X130" s="1265" t="str">
        <f t="shared" si="41"/>
        <v/>
      </c>
      <c r="Y130" s="1265" t="str">
        <f t="shared" si="41"/>
        <v/>
      </c>
      <c r="Z130" s="1267" t="str">
        <f t="shared" si="42"/>
        <v/>
      </c>
      <c r="AA130" s="1260" t="str">
        <f t="shared" si="43"/>
        <v/>
      </c>
      <c r="AB130" s="1268" t="str">
        <f t="shared" si="44"/>
        <v/>
      </c>
      <c r="AC130" s="1267" t="str">
        <f t="shared" si="45"/>
        <v/>
      </c>
      <c r="AD130" s="1266" t="str">
        <f>IF(C130="","",(R130-W130)*References!$BZ$53)</f>
        <v/>
      </c>
      <c r="AE130" s="1265" t="str">
        <f>IF(C130="","",(S130-X130)*References!$BZ$51)</f>
        <v/>
      </c>
      <c r="AF130" s="1265" t="str">
        <f>IF(C130="","",(T130-Y130)*References!$BZ$52)</f>
        <v/>
      </c>
      <c r="AG130" s="1265" t="str">
        <f>IF(C130="","",(U130-Z130)*References!$BX$47)</f>
        <v/>
      </c>
      <c r="AH130" s="1264" t="str">
        <f t="shared" si="46"/>
        <v/>
      </c>
      <c r="AI130" s="1266" t="str">
        <f>IF(C130="","",AD130*References!$BY$53)</f>
        <v/>
      </c>
      <c r="AJ130" s="1265" t="str">
        <f>IF(C130="","",AE130*References!$BY$51)</f>
        <v/>
      </c>
      <c r="AK130" s="1265" t="str">
        <f>IF(C130="","",AF130*References!$BY$52)</f>
        <v/>
      </c>
      <c r="AL130" s="1265" t="str">
        <f>IF(C130="","",(AC130/1000)*References!$BY$43)</f>
        <v/>
      </c>
      <c r="AM130" s="1264" t="str">
        <f t="shared" si="47"/>
        <v/>
      </c>
      <c r="AN130" s="150"/>
      <c r="AO130" s="1263" t="str">
        <f>IF(AND('Space Heating Worksheet'!AI61="",'Space Heating Worksheet'!O42=""),"",'Space Heating Worksheet'!AI61)</f>
        <v/>
      </c>
      <c r="AP130" s="1396" t="str">
        <f>IF($C130="","",IF(Existing_Heating_Source="Existing Building",INDEX(References!$BS$40:$BT$41,MATCH(B130,References!$BP$40:$BP$41,0),MATCH(AP$124,References!$BS$39:$BT$39,0)),INDEX(References!$BQ$40:$BR$41,MATCH(B130,References!$BP$40:$BP$41,0),MATCH(AP$124,References!$BQ$39:$BR$39,0))))</f>
        <v/>
      </c>
      <c r="AQ130" s="1154" t="str">
        <f>IF('Space Heating Worksheet'!$D42="","",IF(OR('Space Heating Worksheet'!AC42=0,$D130="None"),INDEX(References!CH$19:CH$24,MATCH($D130,References!$CG$19:$CG$24,0)),'Space Heating Worksheet'!AC42))</f>
        <v/>
      </c>
      <c r="AR130" s="1154" t="str">
        <f>IF('Space Heating Worksheet'!$D42="","",IF(OR('Space Heating Worksheet'!AD42=0,$D130="None"),INDEX(References!CI$19:CI$24,MATCH($D130,References!$CG$19:$CG$24,0)),'Space Heating Worksheet'!AD42))</f>
        <v/>
      </c>
      <c r="AS130" s="1223" t="str">
        <f t="shared" si="48"/>
        <v/>
      </c>
      <c r="AT130" s="1228" t="str">
        <f>IF(OR('Space Heating Worksheet'!G42="",'Space Heating Worksheet'!G42=0),"",INDEX(References!$BX$30:$BX$36,MATCH('Space Heating Worksheet'!G42,References!$BW$30:$BW$36,0)))</f>
        <v/>
      </c>
      <c r="AU130" s="1154" t="str">
        <f>IF('Space Heating Worksheet'!U42="","",'Space Heating Worksheet'!U42)</f>
        <v/>
      </c>
      <c r="AV130" s="1154" t="str">
        <f>IF('Space Heating Worksheet'!W42="","",'Space Heating Worksheet'!W42)</f>
        <v/>
      </c>
      <c r="AW130" s="1154" t="str">
        <f>IF(OR(D130="",D130=0),"",References!$CD$52)</f>
        <v/>
      </c>
      <c r="AX130" s="1154" t="str">
        <f>IF(OR('Space Heating Worksheet'!C42="",'Space Heating Worksheet'!C42=0),"",INDEX(References!$BS$72:$BS$74,MATCH('Space Heating Worksheet'!K42,References!$BP$72:$BP$74,0)))</f>
        <v/>
      </c>
      <c r="AY130" s="1154" t="str">
        <f>IF(OR(L130="",L130=0),"",INDEX(References!$BS$75:$BS$77,MATCH('Space Heating Worksheet'!K42,References!$BP$75:$BP$77,0)))</f>
        <v/>
      </c>
      <c r="AZ130" s="1224" t="str">
        <f>IF(AU130="","",IF(OR('Space Heating Worksheet'!J42="Single Stage",NOT(ISNUMBER('Space Heating Worksheet'!V42))),IF(K130="Open Loop/Well",AU130*AX130,AU130*AX130*References!$CD$49),IF(K130="Open Loop/Well",((AU130*References!$CG$43*AX130)+(AV130*References!$CG$44*AY130))*References!$CD$49*AW130,((AU130*References!$CG$43*References!$CD$49*AX130)+(AV130*References!$CG$44*AY130))*AW130)))</f>
        <v/>
      </c>
      <c r="BA130" s="1227" t="str">
        <f t="shared" si="49"/>
        <v/>
      </c>
      <c r="BB130" s="1262" t="str">
        <f t="shared" si="50"/>
        <v/>
      </c>
      <c r="BC130" s="147" t="str">
        <f t="shared" si="51"/>
        <v/>
      </c>
      <c r="BD130" s="1227" t="str">
        <f>IF(C130="","",BC130*References!$BX$47)</f>
        <v/>
      </c>
      <c r="BE130" s="1245"/>
      <c r="BF130" s="1261" t="str">
        <f>IF(C130="","",'Space Heating Worksheet'!V61)</f>
        <v/>
      </c>
      <c r="BG130" s="1154" t="str">
        <f>IF(C130="","",IF(AND(BF130="Yes",B130="Residential"),IF(C130="Electric",References!$BQ$59,References!$BS$56),0))</f>
        <v/>
      </c>
      <c r="BH130" s="147" t="str">
        <f>IF(C130="","",IF(AND(BF130="Yes",B130="Residential"),IF(C130="Electric",(References!$BS$59*References!$BQ$56*References!$BS$57*References!$BS$58*(References!$BQ$57-References!$BQ$58)/References!$BZ$47)*((1/BG130)-(1/Q130)),(References!$BS$59*References!$BQ$56*References!$BS$57*References!$BS$58*(References!$BQ$57-References!$BQ$58)/References!$BZ$47)*(1/Q130)),0))</f>
        <v/>
      </c>
      <c r="BI130" s="1154" t="str">
        <f>IF(C130="","",IF(AND(BF130="Yes",B130="Residential"),IF(C130="Electric",BH130*References!$BX$47,(References!$BS$59*References!$BQ$56*References!$BS$57*References!$BS$58*(References!$BQ$57-References!$BQ$58)/1000000)*(1/BG130)-BH130*References!$BX$47),0))</f>
        <v/>
      </c>
      <c r="BJ130" s="1224" t="str">
        <f>IF(C130="","",IF(AND(BF130="Yes",Customer_Sector="Residential"),IF(C130="Electric",BH130*References!$BY$43,(BI130+BH130*References!$D$12)*INDEX(References!$BY$51:$BY$54,MATCH(C130,References!$BW$51:$BW$54,0))),0))</f>
        <v/>
      </c>
      <c r="BL130" s="1230" t="str">
        <f t="shared" si="52"/>
        <v/>
      </c>
      <c r="BM130" s="1260" t="str">
        <f t="shared" si="53"/>
        <v/>
      </c>
      <c r="BN130" s="1228" t="str">
        <f t="shared" si="54"/>
        <v/>
      </c>
      <c r="BO130" s="1227" t="str">
        <f t="shared" si="55"/>
        <v/>
      </c>
      <c r="BP130" s="1228" t="str">
        <f t="shared" si="56"/>
        <v/>
      </c>
      <c r="BQ130" s="1227" t="str">
        <f t="shared" si="57"/>
        <v/>
      </c>
      <c r="BR130" s="1228" t="str">
        <f>IF(C130="","",(BN130/1000)*References!$BY$43)</f>
        <v/>
      </c>
      <c r="BS130" s="1270" t="str">
        <f t="shared" si="60"/>
        <v/>
      </c>
      <c r="BT130" s="1223" t="str">
        <f>IF(C130="","",SUM(AD130:AF130)+IF(C130="Electric",0,BI130+BH130*References!$BX$47))</f>
        <v/>
      </c>
      <c r="BU130" s="2621"/>
      <c r="BV130" s="1227" t="str">
        <f t="shared" si="58"/>
        <v/>
      </c>
    </row>
    <row r="131" spans="1:74">
      <c r="A131" s="847">
        <f t="shared" si="59"/>
        <v>7</v>
      </c>
      <c r="B131" s="105" t="str">
        <f>IF('Space Heating Worksheet'!C43="","",'Space Heating Worksheet'!C43)</f>
        <v/>
      </c>
      <c r="C131" s="1233" t="str">
        <f>IF(E131="","",INDEX(References!$CF$28:$CF$41,MATCH(Qualifying_Index!E131,References!$CG$28:$CG$41,0)))</f>
        <v/>
      </c>
      <c r="D131" s="1232">
        <f>IF(AND('Space Heating Worksheet'!AB43="",'Space Heating Worksheet'!D43&lt;&gt;""),"None",'Space Heating Worksheet'!AB43)</f>
        <v>0</v>
      </c>
      <c r="E131" s="1269" t="str">
        <f>IF(AND('Space Heating Worksheet'!AA43="",'Space Heating Worksheet'!D43&lt;&gt;""),"None",'Space Heating Worksheet'!AF43)</f>
        <v/>
      </c>
      <c r="F131" s="1266" t="str">
        <f>IF(AND('Space Heating Worksheet'!AJ62="",'Space Heating Worksheet'!P43=""),"",'Space Heating Worksheet'!AJ62)</f>
        <v/>
      </c>
      <c r="G131" s="147" t="str">
        <f>IF($C131="","",IF(Existing_Heating_Source="Existing Building",INDEX(References!$BS$40:$BT$41,MATCH(B131,References!$BP$40:$BP$41,0),MATCH(G$124,References!$BS$39:$BT$39,0)),INDEX(References!$BQ$40:$BR$41,MATCH(B131,References!$BP$40:$BP$41,0),MATCH(G$124,References!$BQ$39:$BR$39,0))))</f>
        <v/>
      </c>
      <c r="H131" s="1154" t="str">
        <f>IF('Space Heating Worksheet'!$D43="","",IF(OR('Space Heating Worksheet'!$AE43=0,$E131="None"),INDEX(References!CH$28:CH$41,MATCH($E131,References!$CG$28:$CG$41,0)),'Space Heating Worksheet'!$AE43))</f>
        <v/>
      </c>
      <c r="I131" s="1154" t="str">
        <f>IF('Space Heating Worksheet'!$D43="","",IF(OR('Space Heating Worksheet'!$AE43=0,$E131="None"),INDEX(References!CI$28:CI$41,MATCH($E131,References!$CG$28:$CG$41,0)),'Space Heating Worksheet'!$AE43))</f>
        <v/>
      </c>
      <c r="J131" s="1224" t="str">
        <f>IF('Space Heating Worksheet'!$D43="","",IF(OR('Space Heating Worksheet'!$AE43=0,$E131="None"),INDEX(References!CJ$28:CJ$41,MATCH($E131,References!$CG$28:$CG$41,0)),'Space Heating Worksheet'!$AE43))</f>
        <v/>
      </c>
      <c r="K131" s="1262" t="str">
        <f>IF(OR('Space Heating Worksheet'!G43="",'Space Heating Worksheet'!G43=0),"",INDEX(References!$BX$30:$BX$36,MATCH('Space Heating Worksheet'!G43,References!$BW$30:$BW$36,0)))</f>
        <v/>
      </c>
      <c r="L131" s="1154" t="str">
        <f>IF('Space Heating Worksheet'!V43="","",'Space Heating Worksheet'!V43)</f>
        <v/>
      </c>
      <c r="M131" s="1229" t="str">
        <f>IF('Space Heating Worksheet'!X43="","",'Space Heating Worksheet'!X43)</f>
        <v/>
      </c>
      <c r="N131" s="1229" t="str">
        <f>IF(OR(D131="",D131=0),"",IF(D131="CAC",References!$CD$53,References!$CD$54))</f>
        <v/>
      </c>
      <c r="O131" s="1229" t="str">
        <f>IF(OR(L131="",L131=0),"",INDEX(References!$BT$72:$BT$74,MATCH('Space Heating Worksheet'!K43,References!$BP$72:$BP$74,0)))</f>
        <v/>
      </c>
      <c r="P131" s="1229" t="str">
        <f>IF(OR(L131="",L131=0),"",INDEX(References!$BT$75:$BT$77,MATCH('Space Heating Worksheet'!K43,References!$BP$75:$BP$77,0)))</f>
        <v/>
      </c>
      <c r="Q131" s="1260" t="str">
        <f>IF(L131="","",IF(OR('Space Heating Worksheet'!J43="Single Stage",NOT(ISNUMBER('Space Heating Worksheet'!V43))),IF(K131="Open Loop/Well",L131*O131,L131*O131*References!$CD$50),IF(K131="Open Loop/Well",((L131*References!$CG$43*O131)+(M131*References!$CG$44*P131))*N131,((L131*References!$CG$43*O131)+(M131*References!$CG$44*P131))*References!$CD$50*N131)))</f>
        <v/>
      </c>
      <c r="R131" s="1266" t="str">
        <f>IF(C131="","",IF(C131="None",F131*(1/100000)*(1/H131)*G131*References!$CK$44*References!$CK$46,IF(C131="NG",F131*(1/100000)*(1/H131)*G131,0)))</f>
        <v/>
      </c>
      <c r="S131" s="1267" t="str">
        <f>IF(C131="","",IF(C131="None",F131*(1/(References!$BZ$51*1000000))*(1/H131)*G131*References!$CK$45*References!$CK$46,IF(C131="Oil",F131*(1/(References!$BZ$51*1000000))*(1/H131)*G131,0)))</f>
        <v/>
      </c>
      <c r="T131" s="1267" t="str">
        <f>IF(C131="","",IF(C131="LP",F131*(1/(References!$BZ$52*1000000))*(1/H131)*G131,0))</f>
        <v/>
      </c>
      <c r="U131" s="1267" t="str">
        <f>IF(C131="","",IF(C131="None",F131*(1/I131)*G131/3412*References!$CK$47,IF(C131="Electric",F131*(1/I131)*G131/3412,0)))</f>
        <v/>
      </c>
      <c r="V131" s="1260" t="str">
        <f>IF(C131="","",IF(C131="None",F131*(1/I131)/3412*References!$CK$47,IF(C131="Electric",F131*(1/I131)/3412,0)))</f>
        <v/>
      </c>
      <c r="W131" s="1266" t="str">
        <f t="shared" si="41"/>
        <v/>
      </c>
      <c r="X131" s="1265" t="str">
        <f t="shared" si="41"/>
        <v/>
      </c>
      <c r="Y131" s="1265" t="str">
        <f t="shared" si="41"/>
        <v/>
      </c>
      <c r="Z131" s="1267" t="str">
        <f t="shared" si="42"/>
        <v/>
      </c>
      <c r="AA131" s="1260" t="str">
        <f t="shared" si="43"/>
        <v/>
      </c>
      <c r="AB131" s="1268" t="str">
        <f t="shared" si="44"/>
        <v/>
      </c>
      <c r="AC131" s="1267" t="str">
        <f t="shared" si="45"/>
        <v/>
      </c>
      <c r="AD131" s="1266" t="str">
        <f>IF(C131="","",(R131-W131)*References!$BZ$53)</f>
        <v/>
      </c>
      <c r="AE131" s="1265" t="str">
        <f>IF(C131="","",(S131-X131)*References!$BZ$51)</f>
        <v/>
      </c>
      <c r="AF131" s="1265" t="str">
        <f>IF(C131="","",(T131-Y131)*References!$BZ$52)</f>
        <v/>
      </c>
      <c r="AG131" s="1265" t="str">
        <f>IF(C131="","",(U131-Z131)*References!$BX$47)</f>
        <v/>
      </c>
      <c r="AH131" s="1264" t="str">
        <f t="shared" si="46"/>
        <v/>
      </c>
      <c r="AI131" s="1266" t="str">
        <f>IF(C131="","",AD131*References!$BY$53)</f>
        <v/>
      </c>
      <c r="AJ131" s="1265" t="str">
        <f>IF(C131="","",AE131*References!$BY$51)</f>
        <v/>
      </c>
      <c r="AK131" s="1265" t="str">
        <f>IF(C131="","",AF131*References!$BY$52)</f>
        <v/>
      </c>
      <c r="AL131" s="1265" t="str">
        <f>IF(C131="","",(AC131/1000)*References!$BY$43)</f>
        <v/>
      </c>
      <c r="AM131" s="1264" t="str">
        <f t="shared" si="47"/>
        <v/>
      </c>
      <c r="AN131" s="150"/>
      <c r="AO131" s="1263" t="str">
        <f>IF(AND('Space Heating Worksheet'!AI62="",'Space Heating Worksheet'!O43=""),"",'Space Heating Worksheet'!AI62)</f>
        <v/>
      </c>
      <c r="AP131" s="1396" t="str">
        <f>IF($C131="","",IF(Existing_Heating_Source="Existing Building",INDEX(References!$BS$40:$BT$41,MATCH(B131,References!$BP$40:$BP$41,0),MATCH(AP$124,References!$BS$39:$BT$39,0)),INDEX(References!$BQ$40:$BR$41,MATCH(B131,References!$BP$40:$BP$41,0),MATCH(AP$124,References!$BQ$39:$BR$39,0))))</f>
        <v/>
      </c>
      <c r="AQ131" s="1154" t="str">
        <f>IF('Space Heating Worksheet'!$D43="","",IF(OR('Space Heating Worksheet'!AC43=0,$D131="None"),INDEX(References!CH$19:CH$24,MATCH($D131,References!$CG$19:$CG$24,0)),'Space Heating Worksheet'!AC43))</f>
        <v/>
      </c>
      <c r="AR131" s="1154" t="str">
        <f>IF('Space Heating Worksheet'!$D43="","",IF(OR('Space Heating Worksheet'!AD43=0,$D131="None"),INDEX(References!CI$19:CI$24,MATCH($D131,References!$CG$19:$CG$24,0)),'Space Heating Worksheet'!AD43))</f>
        <v/>
      </c>
      <c r="AS131" s="1223" t="str">
        <f t="shared" si="48"/>
        <v/>
      </c>
      <c r="AT131" s="1228" t="str">
        <f>IF(OR('Space Heating Worksheet'!G43="",'Space Heating Worksheet'!G43=0),"",INDEX(References!$BX$30:$BX$36,MATCH('Space Heating Worksheet'!G43,References!$BW$30:$BW$36,0)))</f>
        <v/>
      </c>
      <c r="AU131" s="1154" t="str">
        <f>IF('Space Heating Worksheet'!U43="","",'Space Heating Worksheet'!U43)</f>
        <v/>
      </c>
      <c r="AV131" s="1154" t="str">
        <f>IF('Space Heating Worksheet'!W43="","",'Space Heating Worksheet'!W43)</f>
        <v/>
      </c>
      <c r="AW131" s="1154" t="str">
        <f>IF(OR(D131="",D131=0),"",References!$CD$52)</f>
        <v/>
      </c>
      <c r="AX131" s="1154" t="str">
        <f>IF(OR('Space Heating Worksheet'!C43="",'Space Heating Worksheet'!C43=0),"",INDEX(References!$BS$72:$BS$74,MATCH('Space Heating Worksheet'!K43,References!$BP$72:$BP$74,0)))</f>
        <v/>
      </c>
      <c r="AY131" s="1154" t="str">
        <f>IF(OR(L131="",L131=0),"",INDEX(References!$BS$75:$BS$77,MATCH('Space Heating Worksheet'!K43,References!$BP$75:$BP$77,0)))</f>
        <v/>
      </c>
      <c r="AZ131" s="1224" t="str">
        <f>IF(AU131="","",IF(OR('Space Heating Worksheet'!J43="Single Stage",NOT(ISNUMBER('Space Heating Worksheet'!V43))),IF(K131="Open Loop/Well",AU131*AX131,AU131*AX131*References!$CD$49),IF(K131="Open Loop/Well",((AU131*References!$CG$43*AX131)+(AV131*References!$CG$44*AY131))*References!$CD$49*AW131,((AU131*References!$CG$43*References!$CD$49*AX131)+(AV131*References!$CG$44*AY131))*AW131)))</f>
        <v/>
      </c>
      <c r="BA131" s="1227" t="str">
        <f t="shared" si="49"/>
        <v/>
      </c>
      <c r="BB131" s="1262" t="str">
        <f t="shared" si="50"/>
        <v/>
      </c>
      <c r="BC131" s="147" t="str">
        <f t="shared" si="51"/>
        <v/>
      </c>
      <c r="BD131" s="1227" t="str">
        <f>IF(C131="","",BC131*References!$BX$47)</f>
        <v/>
      </c>
      <c r="BE131" s="1245"/>
      <c r="BF131" s="1261" t="str">
        <f>IF(C131="","",'Space Heating Worksheet'!V62)</f>
        <v/>
      </c>
      <c r="BG131" s="1154" t="str">
        <f>IF(C131="","",IF(AND(BF131="Yes",B131="Residential"),IF(C131="Electric",References!$BQ$59,References!$BS$56),0))</f>
        <v/>
      </c>
      <c r="BH131" s="147" t="str">
        <f>IF(C131="","",IF(AND(BF131="Yes",B131="Residential"),IF(C131="Electric",(References!$BS$59*References!$BQ$56*References!$BS$57*References!$BS$58*(References!$BQ$57-References!$BQ$58)/References!$BZ$47)*((1/BG131)-(1/Q131)),(References!$BS$59*References!$BQ$56*References!$BS$57*References!$BS$58*(References!$BQ$57-References!$BQ$58)/References!$BZ$47)*(1/Q131)),0))</f>
        <v/>
      </c>
      <c r="BI131" s="1154" t="str">
        <f>IF(C131="","",IF(AND(BF131="Yes",B131="Residential"),IF(C131="Electric",BH131*References!$BX$47,(References!$BS$59*References!$BQ$56*References!$BS$57*References!$BS$58*(References!$BQ$57-References!$BQ$58)/1000000)*(1/BG131)-BH131*References!$BX$47),0))</f>
        <v/>
      </c>
      <c r="BJ131" s="1224" t="str">
        <f>IF(C131="","",IF(AND(BF131="Yes",Customer_Sector="Residential"),IF(C131="Electric",BH131*References!$BY$43,(BI131+BH131*References!$D$12)*INDEX(References!$BY$51:$BY$54,MATCH(C131,References!$BW$51:$BW$54,0))),0))</f>
        <v/>
      </c>
      <c r="BL131" s="1230" t="str">
        <f t="shared" si="52"/>
        <v/>
      </c>
      <c r="BM131" s="1260" t="str">
        <f t="shared" si="53"/>
        <v/>
      </c>
      <c r="BN131" s="1228" t="str">
        <f t="shared" si="54"/>
        <v/>
      </c>
      <c r="BO131" s="1227" t="str">
        <f t="shared" si="55"/>
        <v/>
      </c>
      <c r="BP131" s="1228" t="str">
        <f t="shared" si="56"/>
        <v/>
      </c>
      <c r="BQ131" s="1227" t="str">
        <f t="shared" si="57"/>
        <v/>
      </c>
      <c r="BR131" s="1228" t="str">
        <f>IF(C131="","",(BN131/1000)*References!$BY$43)</f>
        <v/>
      </c>
      <c r="BS131" s="1270" t="str">
        <f t="shared" si="60"/>
        <v/>
      </c>
      <c r="BT131" s="1223" t="str">
        <f>IF(C131="","",SUM(AD131:AF131)+IF(C131="Electric",0,BI131+BH131*References!$BX$47))</f>
        <v/>
      </c>
      <c r="BU131" s="2621"/>
      <c r="BV131" s="1227" t="str">
        <f t="shared" si="58"/>
        <v/>
      </c>
    </row>
    <row r="132" spans="1:74">
      <c r="A132" s="847">
        <f t="shared" si="59"/>
        <v>8</v>
      </c>
      <c r="B132" s="105" t="str">
        <f>IF('Space Heating Worksheet'!C44="","",'Space Heating Worksheet'!C44)</f>
        <v/>
      </c>
      <c r="C132" s="1233" t="str">
        <f>IF(E132="","",INDEX(References!$CF$28:$CF$41,MATCH(Qualifying_Index!E132,References!$CG$28:$CG$41,0)))</f>
        <v/>
      </c>
      <c r="D132" s="1232">
        <f>IF(AND('Space Heating Worksheet'!AB44="",'Space Heating Worksheet'!D44&lt;&gt;""),"None",'Space Heating Worksheet'!AB44)</f>
        <v>0</v>
      </c>
      <c r="E132" s="1269" t="str">
        <f>IF(AND('Space Heating Worksheet'!AA44="",'Space Heating Worksheet'!D44&lt;&gt;""),"None",'Space Heating Worksheet'!AF44)</f>
        <v/>
      </c>
      <c r="F132" s="1266" t="str">
        <f>IF(AND('Space Heating Worksheet'!AJ63="",'Space Heating Worksheet'!P44=""),"",'Space Heating Worksheet'!AJ63)</f>
        <v/>
      </c>
      <c r="G132" s="147" t="str">
        <f>IF($C132="","",IF(Existing_Heating_Source="Existing Building",INDEX(References!$BS$40:$BT$41,MATCH(B132,References!$BP$40:$BP$41,0),MATCH(G$124,References!$BS$39:$BT$39,0)),INDEX(References!$BQ$40:$BR$41,MATCH(B132,References!$BP$40:$BP$41,0),MATCH(G$124,References!$BQ$39:$BR$39,0))))</f>
        <v/>
      </c>
      <c r="H132" s="1154" t="str">
        <f>IF('Space Heating Worksheet'!$D44="","",IF(OR('Space Heating Worksheet'!$AE44=0,$E132="None"),INDEX(References!CH$28:CH$41,MATCH($E132,References!$CG$28:$CG$41,0)),'Space Heating Worksheet'!$AE44))</f>
        <v/>
      </c>
      <c r="I132" s="1154" t="str">
        <f>IF('Space Heating Worksheet'!$D44="","",IF(OR('Space Heating Worksheet'!$AE44=0,$E132="None"),INDEX(References!CI$28:CI$41,MATCH($E132,References!$CG$28:$CG$41,0)),'Space Heating Worksheet'!$AE44))</f>
        <v/>
      </c>
      <c r="J132" s="1224" t="str">
        <f>IF('Space Heating Worksheet'!$D44="","",IF(OR('Space Heating Worksheet'!$AE44=0,$E132="None"),INDEX(References!CJ$28:CJ$41,MATCH($E132,References!$CG$28:$CG$41,0)),'Space Heating Worksheet'!$AE44))</f>
        <v/>
      </c>
      <c r="K132" s="1262" t="str">
        <f>IF(OR('Space Heating Worksheet'!G44="",'Space Heating Worksheet'!G44=0),"",INDEX(References!$BX$30:$BX$36,MATCH('Space Heating Worksheet'!G44,References!$BW$30:$BW$36,0)))</f>
        <v/>
      </c>
      <c r="L132" s="1154" t="str">
        <f>IF('Space Heating Worksheet'!V44="","",'Space Heating Worksheet'!V44)</f>
        <v/>
      </c>
      <c r="M132" s="1229" t="str">
        <f>IF('Space Heating Worksheet'!X44="","",'Space Heating Worksheet'!X44)</f>
        <v/>
      </c>
      <c r="N132" s="1229" t="str">
        <f>IF(OR(D132="",D132=0),"",IF(D132="CAC",References!$CD$53,References!$CD$54))</f>
        <v/>
      </c>
      <c r="O132" s="1229" t="str">
        <f>IF(OR(L132="",L132=0),"",INDEX(References!$BT$72:$BT$74,MATCH('Space Heating Worksheet'!K44,References!$BP$72:$BP$74,0)))</f>
        <v/>
      </c>
      <c r="P132" s="1229" t="str">
        <f>IF(OR(L132="",L132=0),"",INDEX(References!$BT$75:$BT$77,MATCH('Space Heating Worksheet'!K44,References!$BP$75:$BP$77,0)))</f>
        <v/>
      </c>
      <c r="Q132" s="1260" t="str">
        <f>IF(L132="","",IF(OR('Space Heating Worksheet'!J44="Single Stage",NOT(ISNUMBER('Space Heating Worksheet'!V44))),IF(K132="Open Loop/Well",L132*O132,L132*O132*References!$CD$50),IF(K132="Open Loop/Well",((L132*References!$CG$43*O132)+(M132*References!$CG$44*P132))*N132,((L132*References!$CG$43*O132)+(M132*References!$CG$44*P132))*References!$CD$50*N132)))</f>
        <v/>
      </c>
      <c r="R132" s="1266" t="str">
        <f>IF(C132="","",IF(C132="None",F132*(1/100000)*(1/H132)*G132*References!$CK$44*References!$CK$46,IF(C132="NG",F132*(1/100000)*(1/H132)*G132,0)))</f>
        <v/>
      </c>
      <c r="S132" s="1267" t="str">
        <f>IF(C132="","",IF(C132="None",F132*(1/(References!$BZ$51*1000000))*(1/H132)*G132*References!$CK$45*References!$CK$46,IF(C132="Oil",F132*(1/(References!$BZ$51*1000000))*(1/H132)*G132,0)))</f>
        <v/>
      </c>
      <c r="T132" s="1267" t="str">
        <f>IF(C132="","",IF(C132="LP",F132*(1/(References!$BZ$52*1000000))*(1/H132)*G132,0))</f>
        <v/>
      </c>
      <c r="U132" s="1267" t="str">
        <f>IF(C132="","",IF(C132="None",F132*(1/I132)*G132/3412*References!$CK$47,IF(C132="Electric",F132*(1/I132)*G132/3412,0)))</f>
        <v/>
      </c>
      <c r="V132" s="1260" t="str">
        <f>IF(C132="","",IF(C132="None",F132*(1/I132)/3412*References!$CK$47,IF(C132="Electric",F132*(1/I132)/3412,0)))</f>
        <v/>
      </c>
      <c r="W132" s="1266" t="str">
        <f t="shared" si="41"/>
        <v/>
      </c>
      <c r="X132" s="1265" t="str">
        <f t="shared" si="41"/>
        <v/>
      </c>
      <c r="Y132" s="1265" t="str">
        <f t="shared" si="41"/>
        <v/>
      </c>
      <c r="Z132" s="1267" t="str">
        <f t="shared" si="42"/>
        <v/>
      </c>
      <c r="AA132" s="1260" t="str">
        <f t="shared" si="43"/>
        <v/>
      </c>
      <c r="AB132" s="1268" t="str">
        <f t="shared" si="44"/>
        <v/>
      </c>
      <c r="AC132" s="1267" t="str">
        <f t="shared" si="45"/>
        <v/>
      </c>
      <c r="AD132" s="1266" t="str">
        <f>IF(C132="","",(R132-W132)*References!$BZ$53)</f>
        <v/>
      </c>
      <c r="AE132" s="1265" t="str">
        <f>IF(C132="","",(S132-X132)*References!$BZ$51)</f>
        <v/>
      </c>
      <c r="AF132" s="1265" t="str">
        <f>IF(C132="","",(T132-Y132)*References!$BZ$52)</f>
        <v/>
      </c>
      <c r="AG132" s="1265" t="str">
        <f>IF(C132="","",(U132-Z132)*References!$BX$47)</f>
        <v/>
      </c>
      <c r="AH132" s="1264" t="str">
        <f t="shared" si="46"/>
        <v/>
      </c>
      <c r="AI132" s="1266" t="str">
        <f>IF(C132="","",AD132*References!$BY$53)</f>
        <v/>
      </c>
      <c r="AJ132" s="1265" t="str">
        <f>IF(C132="","",AE132*References!$BY$51)</f>
        <v/>
      </c>
      <c r="AK132" s="1265" t="str">
        <f>IF(C132="","",AF132*References!$BY$52)</f>
        <v/>
      </c>
      <c r="AL132" s="1265" t="str">
        <f>IF(C132="","",(AC132/1000)*References!$BY$43)</f>
        <v/>
      </c>
      <c r="AM132" s="1264" t="str">
        <f t="shared" si="47"/>
        <v/>
      </c>
      <c r="AN132" s="150"/>
      <c r="AO132" s="1263" t="str">
        <f>IF(AND('Space Heating Worksheet'!AI63="",'Space Heating Worksheet'!O44=""),"",'Space Heating Worksheet'!AI63)</f>
        <v/>
      </c>
      <c r="AP132" s="1396" t="str">
        <f>IF($C132="","",IF(Existing_Heating_Source="Existing Building",INDEX(References!$BS$40:$BT$41,MATCH(B132,References!$BP$40:$BP$41,0),MATCH(AP$124,References!$BS$39:$BT$39,0)),INDEX(References!$BQ$40:$BR$41,MATCH(B132,References!$BP$40:$BP$41,0),MATCH(AP$124,References!$BQ$39:$BR$39,0))))</f>
        <v/>
      </c>
      <c r="AQ132" s="1154" t="str">
        <f>IF('Space Heating Worksheet'!$D44="","",IF(OR('Space Heating Worksheet'!AC44=0,$D132="None"),INDEX(References!CH$19:CH$24,MATCH($D132,References!$CG$19:$CG$24,0)),'Space Heating Worksheet'!AC44))</f>
        <v/>
      </c>
      <c r="AR132" s="1154" t="str">
        <f>IF('Space Heating Worksheet'!$D44="","",IF(OR('Space Heating Worksheet'!AD44=0,$D132="None"),INDEX(References!CI$19:CI$24,MATCH($D132,References!$CG$19:$CG$24,0)),'Space Heating Worksheet'!AD44))</f>
        <v/>
      </c>
      <c r="AS132" s="1223" t="str">
        <f t="shared" si="48"/>
        <v/>
      </c>
      <c r="AT132" s="1228" t="str">
        <f>IF(OR('Space Heating Worksheet'!G44="",'Space Heating Worksheet'!G44=0),"",INDEX(References!$BX$30:$BX$36,MATCH('Space Heating Worksheet'!G44,References!$BW$30:$BW$36,0)))</f>
        <v/>
      </c>
      <c r="AU132" s="1154" t="str">
        <f>IF('Space Heating Worksheet'!U44="","",'Space Heating Worksheet'!U44)</f>
        <v/>
      </c>
      <c r="AV132" s="1154" t="str">
        <f>IF('Space Heating Worksheet'!W44="","",'Space Heating Worksheet'!W44)</f>
        <v/>
      </c>
      <c r="AW132" s="1154" t="str">
        <f>IF(OR(D132="",D132=0),"",References!$CD$52)</f>
        <v/>
      </c>
      <c r="AX132" s="1154" t="str">
        <f>IF(OR('Space Heating Worksheet'!C44="",'Space Heating Worksheet'!C44=0),"",INDEX(References!$BS$72:$BS$74,MATCH('Space Heating Worksheet'!K44,References!$BP$72:$BP$74,0)))</f>
        <v/>
      </c>
      <c r="AY132" s="1154" t="str">
        <f>IF(OR(L132="",L132=0),"",INDEX(References!$BS$75:$BS$77,MATCH('Space Heating Worksheet'!K44,References!$BP$75:$BP$77,0)))</f>
        <v/>
      </c>
      <c r="AZ132" s="1224" t="str">
        <f>IF(AU132="","",IF(OR('Space Heating Worksheet'!J44="Single Stage",NOT(ISNUMBER('Space Heating Worksheet'!V44))),IF(K132="Open Loop/Well",AU132*AX132,AU132*AX132*References!$CD$49),IF(K132="Open Loop/Well",((AU132*References!$CG$43*AX132)+(AV132*References!$CG$44*AY132))*References!$CD$49*AW132,((AU132*References!$CG$43*References!$CD$49*AX132)+(AV132*References!$CG$44*AY132))*AW132)))</f>
        <v/>
      </c>
      <c r="BA132" s="1227" t="str">
        <f t="shared" si="49"/>
        <v/>
      </c>
      <c r="BB132" s="1262" t="str">
        <f t="shared" si="50"/>
        <v/>
      </c>
      <c r="BC132" s="147" t="str">
        <f t="shared" si="51"/>
        <v/>
      </c>
      <c r="BD132" s="1227" t="str">
        <f>IF(C132="","",BC132*References!$BX$47)</f>
        <v/>
      </c>
      <c r="BE132" s="1245"/>
      <c r="BF132" s="1261" t="str">
        <f>IF(C132="","",'Space Heating Worksheet'!V63)</f>
        <v/>
      </c>
      <c r="BG132" s="1154" t="str">
        <f>IF(C132="","",IF(AND(BF132="Yes",B132="Residential"),IF(C132="Electric",References!$BQ$59,References!$BS$56),0))</f>
        <v/>
      </c>
      <c r="BH132" s="147" t="str">
        <f>IF(C132="","",IF(AND(BF132="Yes",B132="Residential"),IF(C132="Electric",(References!$BS$59*References!$BQ$56*References!$BS$57*References!$BS$58*(References!$BQ$57-References!$BQ$58)/References!$BZ$47)*((1/BG132)-(1/Q132)),(References!$BS$59*References!$BQ$56*References!$BS$57*References!$BS$58*(References!$BQ$57-References!$BQ$58)/References!$BZ$47)*(1/Q132)),0))</f>
        <v/>
      </c>
      <c r="BI132" s="1154" t="str">
        <f>IF(C132="","",IF(AND(BF132="Yes",B132="Residential"),IF(C132="Electric",BH132*References!$BX$47,(References!$BS$59*References!$BQ$56*References!$BS$57*References!$BS$58*(References!$BQ$57-References!$BQ$58)/1000000)*(1/BG132)-BH132*References!$BX$47),0))</f>
        <v/>
      </c>
      <c r="BJ132" s="1224" t="str">
        <f>IF(C132="","",IF(AND(BF132="Yes",Customer_Sector="Residential"),IF(C132="Electric",BH132*References!$BY$43,(BI132+BH132*References!$D$12)*INDEX(References!$BY$51:$BY$54,MATCH(C132,References!$BW$51:$BW$54,0))),0))</f>
        <v/>
      </c>
      <c r="BL132" s="1230" t="str">
        <f t="shared" si="52"/>
        <v/>
      </c>
      <c r="BM132" s="1260" t="str">
        <f t="shared" si="53"/>
        <v/>
      </c>
      <c r="BN132" s="1228" t="str">
        <f t="shared" si="54"/>
        <v/>
      </c>
      <c r="BO132" s="1227" t="str">
        <f t="shared" si="55"/>
        <v/>
      </c>
      <c r="BP132" s="1228" t="str">
        <f t="shared" si="56"/>
        <v/>
      </c>
      <c r="BQ132" s="1227" t="str">
        <f t="shared" si="57"/>
        <v/>
      </c>
      <c r="BR132" s="1228" t="str">
        <f>IF(C132="","",(BN132/1000)*References!$BY$43)</f>
        <v/>
      </c>
      <c r="BS132" s="1270" t="str">
        <f t="shared" si="60"/>
        <v/>
      </c>
      <c r="BT132" s="1223" t="str">
        <f>IF(C132="","",SUM(AD132:AF132)+IF(C132="Electric",0,BI132+BH132*References!$BX$47))</f>
        <v/>
      </c>
      <c r="BU132" s="2621"/>
      <c r="BV132" s="1227" t="str">
        <f t="shared" si="58"/>
        <v/>
      </c>
    </row>
    <row r="133" spans="1:74">
      <c r="A133" s="847">
        <f t="shared" si="59"/>
        <v>9</v>
      </c>
      <c r="B133" s="105" t="str">
        <f>IF('Space Heating Worksheet'!C45="","",'Space Heating Worksheet'!C45)</f>
        <v/>
      </c>
      <c r="C133" s="1233" t="str">
        <f>IF(E133="","",INDEX(References!$CF$28:$CF$41,MATCH(Qualifying_Index!E133,References!$CG$28:$CG$41,0)))</f>
        <v/>
      </c>
      <c r="D133" s="1232">
        <f>IF(AND('Space Heating Worksheet'!AB45="",'Space Heating Worksheet'!D45&lt;&gt;""),"None",'Space Heating Worksheet'!AB45)</f>
        <v>0</v>
      </c>
      <c r="E133" s="1269" t="str">
        <f>IF(AND('Space Heating Worksheet'!AA45="",'Space Heating Worksheet'!D45&lt;&gt;""),"None",'Space Heating Worksheet'!AF45)</f>
        <v/>
      </c>
      <c r="F133" s="1266" t="str">
        <f>IF(AND('Space Heating Worksheet'!AJ64="",'Space Heating Worksheet'!P45=""),"",'Space Heating Worksheet'!AJ64)</f>
        <v/>
      </c>
      <c r="G133" s="147" t="str">
        <f>IF($C133="","",IF(Existing_Heating_Source="Existing Building",INDEX(References!$BS$40:$BT$41,MATCH(B133,References!$BP$40:$BP$41,0),MATCH(G$124,References!$BS$39:$BT$39,0)),INDEX(References!$BQ$40:$BR$41,MATCH(B133,References!$BP$40:$BP$41,0),MATCH(G$124,References!$BQ$39:$BR$39,0))))</f>
        <v/>
      </c>
      <c r="H133" s="1154" t="str">
        <f>IF('Space Heating Worksheet'!$D45="","",IF(OR('Space Heating Worksheet'!$AE45=0,$E133="None"),INDEX(References!CH$28:CH$41,MATCH($E133,References!$CG$28:$CG$41,0)),'Space Heating Worksheet'!$AE45))</f>
        <v/>
      </c>
      <c r="I133" s="1154" t="str">
        <f>IF('Space Heating Worksheet'!$D45="","",IF(OR('Space Heating Worksheet'!$AE45=0,$E133="None"),INDEX(References!CI$28:CI$41,MATCH($E133,References!$CG$28:$CG$41,0)),'Space Heating Worksheet'!$AE45))</f>
        <v/>
      </c>
      <c r="J133" s="1224" t="str">
        <f>IF('Space Heating Worksheet'!$D45="","",IF(OR('Space Heating Worksheet'!$AE45=0,$E133="None"),INDEX(References!CJ$28:CJ$41,MATCH($E133,References!$CG$28:$CG$41,0)),'Space Heating Worksheet'!$AE45))</f>
        <v/>
      </c>
      <c r="K133" s="1262" t="str">
        <f>IF(OR('Space Heating Worksheet'!G45="",'Space Heating Worksheet'!G45=0),"",INDEX(References!$BX$30:$BX$36,MATCH('Space Heating Worksheet'!G45,References!$BW$30:$BW$36,0)))</f>
        <v/>
      </c>
      <c r="L133" s="1154" t="str">
        <f>IF('Space Heating Worksheet'!V45="","",'Space Heating Worksheet'!V45)</f>
        <v/>
      </c>
      <c r="M133" s="1229" t="str">
        <f>IF('Space Heating Worksheet'!X45="","",'Space Heating Worksheet'!X45)</f>
        <v/>
      </c>
      <c r="N133" s="1229" t="str">
        <f>IF(OR(D133="",D133=0),"",IF(D133="CAC",References!$CD$53,References!$CD$54))</f>
        <v/>
      </c>
      <c r="O133" s="1229" t="str">
        <f>IF(OR(L133="",L133=0),"",INDEX(References!$BT$72:$BT$74,MATCH('Space Heating Worksheet'!K45,References!$BP$72:$BP$74,0)))</f>
        <v/>
      </c>
      <c r="P133" s="1229" t="str">
        <f>IF(OR(L133="",L133=0),"",INDEX(References!$BT$75:$BT$77,MATCH('Space Heating Worksheet'!K45,References!$BP$75:$BP$77,0)))</f>
        <v/>
      </c>
      <c r="Q133" s="1260" t="str">
        <f>IF(L133="","",IF(OR('Space Heating Worksheet'!J45="Single Stage",NOT(ISNUMBER('Space Heating Worksheet'!V45))),IF(K133="Open Loop/Well",L133*O133,L133*O133*References!$CD$50),IF(K133="Open Loop/Well",((L133*References!$CG$43*O133)+(M133*References!$CG$44*P133))*N133,((L133*References!$CG$43*O133)+(M133*References!$CG$44*P133))*References!$CD$50*N133)))</f>
        <v/>
      </c>
      <c r="R133" s="1266" t="str">
        <f>IF(C133="","",IF(C133="None",F133*(1/100000)*(1/H133)*G133*References!$CK$44*References!$CK$46,IF(C133="NG",F133*(1/100000)*(1/H133)*G133,0)))</f>
        <v/>
      </c>
      <c r="S133" s="1267" t="str">
        <f>IF(C133="","",IF(C133="None",F133*(1/(References!$BZ$51*1000000))*(1/H133)*G133*References!$CK$45*References!$CK$46,IF(C133="Oil",F133*(1/(References!$BZ$51*1000000))*(1/H133)*G133,0)))</f>
        <v/>
      </c>
      <c r="T133" s="1267" t="str">
        <f>IF(C133="","",IF(C133="LP",F133*(1/(References!$BZ$52*1000000))*(1/H133)*G133,0))</f>
        <v/>
      </c>
      <c r="U133" s="1267" t="str">
        <f>IF(C133="","",IF(C133="None",F133*(1/I133)*G133/3412*References!$CK$47,IF(C133="Electric",F133*(1/I133)*G133/3412,0)))</f>
        <v/>
      </c>
      <c r="V133" s="1260" t="str">
        <f>IF(C133="","",IF(C133="None",F133*(1/I133)/3412*References!$CK$47,IF(C133="Electric",F133*(1/I133)/3412,0)))</f>
        <v/>
      </c>
      <c r="W133" s="1266" t="str">
        <f t="shared" si="41"/>
        <v/>
      </c>
      <c r="X133" s="1265" t="str">
        <f t="shared" si="41"/>
        <v/>
      </c>
      <c r="Y133" s="1265" t="str">
        <f t="shared" si="41"/>
        <v/>
      </c>
      <c r="Z133" s="1267" t="str">
        <f t="shared" si="42"/>
        <v/>
      </c>
      <c r="AA133" s="1260" t="str">
        <f t="shared" si="43"/>
        <v/>
      </c>
      <c r="AB133" s="1268" t="str">
        <f t="shared" si="44"/>
        <v/>
      </c>
      <c r="AC133" s="1267" t="str">
        <f t="shared" si="45"/>
        <v/>
      </c>
      <c r="AD133" s="1266" t="str">
        <f>IF(C133="","",(R133-W133)*References!$BZ$53)</f>
        <v/>
      </c>
      <c r="AE133" s="1265" t="str">
        <f>IF(C133="","",(S133-X133)*References!$BZ$51)</f>
        <v/>
      </c>
      <c r="AF133" s="1265" t="str">
        <f>IF(C133="","",(T133-Y133)*References!$BZ$52)</f>
        <v/>
      </c>
      <c r="AG133" s="1265" t="str">
        <f>IF(C133="","",(U133-Z133)*References!$BX$47)</f>
        <v/>
      </c>
      <c r="AH133" s="1264" t="str">
        <f t="shared" si="46"/>
        <v/>
      </c>
      <c r="AI133" s="1266" t="str">
        <f>IF(C133="","",AD133*References!$BY$53)</f>
        <v/>
      </c>
      <c r="AJ133" s="1265" t="str">
        <f>IF(C133="","",AE133*References!$BY$51)</f>
        <v/>
      </c>
      <c r="AK133" s="1265" t="str">
        <f>IF(C133="","",AF133*References!$BY$52)</f>
        <v/>
      </c>
      <c r="AL133" s="1265" t="str">
        <f>IF(C133="","",(AC133/1000)*References!$BY$43)</f>
        <v/>
      </c>
      <c r="AM133" s="1264" t="str">
        <f t="shared" si="47"/>
        <v/>
      </c>
      <c r="AN133" s="150"/>
      <c r="AO133" s="1263" t="str">
        <f>IF(AND('Space Heating Worksheet'!AI64="",'Space Heating Worksheet'!O45=""),"",'Space Heating Worksheet'!AI64)</f>
        <v/>
      </c>
      <c r="AP133" s="1396" t="str">
        <f>IF($C133="","",IF(Existing_Heating_Source="Existing Building",INDEX(References!$BS$40:$BT$41,MATCH(B133,References!$BP$40:$BP$41,0),MATCH(AP$124,References!$BS$39:$BT$39,0)),INDEX(References!$BQ$40:$BR$41,MATCH(B133,References!$BP$40:$BP$41,0),MATCH(AP$124,References!$BQ$39:$BR$39,0))))</f>
        <v/>
      </c>
      <c r="AQ133" s="1154" t="str">
        <f>IF('Space Heating Worksheet'!$D45="","",IF(OR('Space Heating Worksheet'!AC45=0,$D133="None"),INDEX(References!CH$19:CH$24,MATCH($D133,References!$CG$19:$CG$24,0)),'Space Heating Worksheet'!AC45))</f>
        <v/>
      </c>
      <c r="AR133" s="1154" t="str">
        <f>IF('Space Heating Worksheet'!$D45="","",IF(OR('Space Heating Worksheet'!AD45=0,$D133="None"),INDEX(References!CI$19:CI$24,MATCH($D133,References!$CG$19:$CG$24,0)),'Space Heating Worksheet'!AD45))</f>
        <v/>
      </c>
      <c r="AS133" s="1223" t="str">
        <f t="shared" si="48"/>
        <v/>
      </c>
      <c r="AT133" s="1228" t="str">
        <f>IF(OR('Space Heating Worksheet'!G45="",'Space Heating Worksheet'!G45=0),"",INDEX(References!$BX$30:$BX$36,MATCH('Space Heating Worksheet'!G45,References!$BW$30:$BW$36,0)))</f>
        <v/>
      </c>
      <c r="AU133" s="1154" t="str">
        <f>IF('Space Heating Worksheet'!U45="","",'Space Heating Worksheet'!U45)</f>
        <v/>
      </c>
      <c r="AV133" s="1154" t="str">
        <f>IF('Space Heating Worksheet'!W45="","",'Space Heating Worksheet'!W45)</f>
        <v/>
      </c>
      <c r="AW133" s="1154" t="str">
        <f>IF(OR(D133="",D133=0),"",References!$CD$52)</f>
        <v/>
      </c>
      <c r="AX133" s="1154" t="str">
        <f>IF(OR('Space Heating Worksheet'!C45="",'Space Heating Worksheet'!C45=0),"",INDEX(References!$BS$72:$BS$74,MATCH('Space Heating Worksheet'!K45,References!$BP$72:$BP$74,0)))</f>
        <v/>
      </c>
      <c r="AY133" s="1154" t="str">
        <f>IF(OR(L133="",L133=0),"",INDEX(References!$BS$75:$BS$77,MATCH('Space Heating Worksheet'!K45,References!$BP$75:$BP$77,0)))</f>
        <v/>
      </c>
      <c r="AZ133" s="1224" t="str">
        <f>IF(AU133="","",IF(OR('Space Heating Worksheet'!J45="Single Stage",NOT(ISNUMBER('Space Heating Worksheet'!V45))),IF(K133="Open Loop/Well",AU133*AX133,AU133*AX133*References!$CD$49),IF(K133="Open Loop/Well",((AU133*References!$CG$43*AX133)+(AV133*References!$CG$44*AY133))*References!$CD$49*AW133,((AU133*References!$CG$43*References!$CD$49*AX133)+(AV133*References!$CG$44*AY133))*AW133)))</f>
        <v/>
      </c>
      <c r="BA133" s="1227" t="str">
        <f t="shared" si="49"/>
        <v/>
      </c>
      <c r="BB133" s="1262" t="str">
        <f t="shared" si="50"/>
        <v/>
      </c>
      <c r="BC133" s="147" t="str">
        <f t="shared" si="51"/>
        <v/>
      </c>
      <c r="BD133" s="1227" t="str">
        <f>IF(C133="","",BC133*References!$BX$47)</f>
        <v/>
      </c>
      <c r="BE133" s="1245"/>
      <c r="BF133" s="1261" t="str">
        <f>IF(C133="","",'Space Heating Worksheet'!V64)</f>
        <v/>
      </c>
      <c r="BG133" s="1154" t="str">
        <f>IF(C133="","",IF(AND(BF133="Yes",B133="Residential"),IF(C133="Electric",References!$BQ$59,References!$BS$56),0))</f>
        <v/>
      </c>
      <c r="BH133" s="147" t="str">
        <f>IF(C133="","",IF(AND(BF133="Yes",B133="Residential"),IF(C133="Electric",(References!$BS$59*References!$BQ$56*References!$BS$57*References!$BS$58*(References!$BQ$57-References!$BQ$58)/References!$BZ$47)*((1/BG133)-(1/Q133)),(References!$BS$59*References!$BQ$56*References!$BS$57*References!$BS$58*(References!$BQ$57-References!$BQ$58)/References!$BZ$47)*(1/Q133)),0))</f>
        <v/>
      </c>
      <c r="BI133" s="1154" t="str">
        <f>IF(C133="","",IF(AND(BF133="Yes",B133="Residential"),IF(C133="Electric",BH133*References!$BX$47,(References!$BS$59*References!$BQ$56*References!$BS$57*References!$BS$58*(References!$BQ$57-References!$BQ$58)/1000000)*(1/BG133)-BH133*References!$BX$47),0))</f>
        <v/>
      </c>
      <c r="BJ133" s="1224" t="str">
        <f>IF(C133="","",IF(AND(BF133="Yes",Customer_Sector="Residential"),IF(C133="Electric",BH133*References!$BY$43,(BI133+BH133*References!$D$12)*INDEX(References!$BY$51:$BY$54,MATCH(C133,References!$BW$51:$BW$54,0))),0))</f>
        <v/>
      </c>
      <c r="BL133" s="1230" t="str">
        <f t="shared" si="52"/>
        <v/>
      </c>
      <c r="BM133" s="1260" t="str">
        <f t="shared" si="53"/>
        <v/>
      </c>
      <c r="BN133" s="1228" t="str">
        <f t="shared" si="54"/>
        <v/>
      </c>
      <c r="BO133" s="1227" t="str">
        <f t="shared" si="55"/>
        <v/>
      </c>
      <c r="BP133" s="1228" t="str">
        <f t="shared" si="56"/>
        <v/>
      </c>
      <c r="BQ133" s="1227" t="str">
        <f t="shared" si="57"/>
        <v/>
      </c>
      <c r="BR133" s="1228" t="str">
        <f>IF(C133="","",(BN133/1000)*References!$BY$43)</f>
        <v/>
      </c>
      <c r="BS133" s="1270" t="str">
        <f t="shared" si="60"/>
        <v/>
      </c>
      <c r="BT133" s="1223" t="str">
        <f>IF(C133="","",SUM(AD133:AF133)+IF(C133="Electric",0,BI133+BH133*References!$BX$47))</f>
        <v/>
      </c>
      <c r="BU133" s="2621"/>
      <c r="BV133" s="1227" t="str">
        <f t="shared" si="58"/>
        <v/>
      </c>
    </row>
    <row r="134" spans="1:74">
      <c r="A134" s="847">
        <f>A133+1</f>
        <v>10</v>
      </c>
      <c r="B134" s="106" t="str">
        <f>IF('Space Heating Worksheet'!C46="","",'Space Heating Worksheet'!C46)</f>
        <v/>
      </c>
      <c r="C134" s="1221" t="str">
        <f>IF(E134="","",INDEX(References!$CF$28:$CF$41,MATCH(Qualifying_Index!E134,References!$CG$28:$CG$41,0)))</f>
        <v/>
      </c>
      <c r="D134" s="1220">
        <f>IF(AND('Space Heating Worksheet'!AB46="",'Space Heating Worksheet'!D46&lt;&gt;""),"None",'Space Heating Worksheet'!AB46)</f>
        <v>0</v>
      </c>
      <c r="E134" s="1259" t="str">
        <f>IF(AND('Space Heating Worksheet'!AA46="",'Space Heating Worksheet'!D46&lt;&gt;""),"None",'Space Heating Worksheet'!AF46)</f>
        <v/>
      </c>
      <c r="F134" s="1257" t="str">
        <f>IF(AND('Space Heating Worksheet'!AJ65="",'Space Heating Worksheet'!P46=""),"",'Space Heating Worksheet'!AJ65)</f>
        <v/>
      </c>
      <c r="G134" s="1249" t="str">
        <f>IF($C134="","",IF(Existing_Heating_Source="Existing Building",INDEX(References!$BS$40:$BT$41,MATCH(B134,References!$BP$40:$BP$41,0),MATCH(G$124,References!$BS$39:$BT$39,0)),INDEX(References!$BQ$40:$BR$41,MATCH(B134,References!$BP$40:$BP$41,0),MATCH(G$124,References!$BQ$39:$BR$39,0))))</f>
        <v/>
      </c>
      <c r="H134" s="1252" t="str">
        <f>IF('Space Heating Worksheet'!$D46="","",IF(OR('Space Heating Worksheet'!$AE46=0,$E134="None"),INDEX(References!CH$28:CH$41,MATCH($E134,References!$CG$28:$CG$41,0)),'Space Heating Worksheet'!$AE46))</f>
        <v/>
      </c>
      <c r="I134" s="1252" t="str">
        <f>IF('Space Heating Worksheet'!$D46="","",IF(OR('Space Heating Worksheet'!$AE46=0,$E134="None"),INDEX(References!CI$28:CI$41,MATCH($E134,References!$CG$28:$CG$41,0)),'Space Heating Worksheet'!$AE46))</f>
        <v/>
      </c>
      <c r="J134" s="1210" t="str">
        <f>IF('Space Heating Worksheet'!$D46="","",IF(OR('Space Heating Worksheet'!$AE46=0,$E134="None"),INDEX(References!CJ$28:CJ$41,MATCH($E134,References!$CG$28:$CG$41,0)),'Space Heating Worksheet'!$AE46))</f>
        <v/>
      </c>
      <c r="K134" s="1251" t="str">
        <f>IF(OR('Space Heating Worksheet'!G46="",'Space Heating Worksheet'!G46=0),"",INDEX(References!$BX$30:$BX$36,MATCH('Space Heating Worksheet'!G46,References!$BW$30:$BW$36,0)))</f>
        <v/>
      </c>
      <c r="L134" s="1252" t="str">
        <f>IF('Space Heating Worksheet'!V46="","",'Space Heating Worksheet'!V46)</f>
        <v/>
      </c>
      <c r="M134" s="1216" t="str">
        <f>IF('Space Heating Worksheet'!X46="","",'Space Heating Worksheet'!X46)</f>
        <v/>
      </c>
      <c r="N134" s="1216" t="str">
        <f>IF(OR(D134="",D134=0),"",IF(D134="CAC",References!$CD$53,References!$CD$54))</f>
        <v/>
      </c>
      <c r="O134" s="1216" t="str">
        <f>IF(OR(L134="",L134=0),"",INDEX(References!$BT$72:$BT$74,MATCH('Space Heating Worksheet'!K46,References!$BP$72:$BP$74,0)))</f>
        <v/>
      </c>
      <c r="P134" s="1216" t="str">
        <f>IF(OR(L134="",L134=0),"",INDEX(References!$BT$75:$BT$77,MATCH('Space Heating Worksheet'!K46,References!$BP$75:$BP$77,0)))</f>
        <v/>
      </c>
      <c r="Q134" s="1248" t="str">
        <f>IF(L134="","",IF(OR('Space Heating Worksheet'!J46="Single Stage",NOT(ISNUMBER('Space Heating Worksheet'!V46))),IF(K134="Open Loop/Well",L134*O134,L134*O134*References!$CD$50),IF(K134="Open Loop/Well",((L134*References!$CG$43*O134)+(M134*References!$CG$44*P134))*N134,((L134*References!$CG$43*O134)+(M134*References!$CG$44*P134))*References!$CD$50*N134)))</f>
        <v/>
      </c>
      <c r="R134" s="1257" t="str">
        <f>IF(C134="","",IF(C134="None",F134*(1/100000)*(1/H134)*G134*References!$CK$44*References!$CK$46,IF(C134="NG",F134*(1/100000)*(1/H134)*G134,0)))</f>
        <v/>
      </c>
      <c r="S134" s="1256" t="str">
        <f>IF(C134="","",IF(C134="None",F134*(1/(References!$BZ$51*1000000))*(1/H134)*G134*References!$CK$45*References!$CK$46,IF(C134="Oil",F134*(1/(References!$BZ$51*1000000))*(1/H134)*G134,0)))</f>
        <v/>
      </c>
      <c r="T134" s="1256" t="str">
        <f>IF(C134="","",IF(C134="LP",F134*(1/(References!$BZ$52*1000000))*(1/H134)*G134,0))</f>
        <v/>
      </c>
      <c r="U134" s="1256" t="str">
        <f>IF(C134="","",IF(C134="None",F134*(1/I134)*G134/3412*References!$CK$47,IF(C134="Electric",F134*(1/I134)*G134/3412,0)))</f>
        <v/>
      </c>
      <c r="V134" s="1248" t="str">
        <f>IF(C134="","",IF(C134="None",F134*(1/I134)/3412*References!$CK$47,IF(C134="Electric",F134*(1/I134)/3412,0)))</f>
        <v/>
      </c>
      <c r="W134" s="1257" t="str">
        <f t="shared" si="41"/>
        <v/>
      </c>
      <c r="X134" s="1256" t="str">
        <f t="shared" si="41"/>
        <v/>
      </c>
      <c r="Y134" s="1256" t="str">
        <f t="shared" si="41"/>
        <v/>
      </c>
      <c r="Z134" s="1256" t="str">
        <f t="shared" si="42"/>
        <v/>
      </c>
      <c r="AA134" s="1248" t="str">
        <f t="shared" si="43"/>
        <v/>
      </c>
      <c r="AB134" s="1258" t="str">
        <f t="shared" si="44"/>
        <v/>
      </c>
      <c r="AC134" s="1253" t="str">
        <f t="shared" si="45"/>
        <v/>
      </c>
      <c r="AD134" s="1257" t="str">
        <f>IF(C134="","",(R134-W134)*References!$BZ$53)</f>
        <v/>
      </c>
      <c r="AE134" s="1256" t="str">
        <f>IF(C134="","",(S134-X134)*References!$BZ$51)</f>
        <v/>
      </c>
      <c r="AF134" s="1256" t="str">
        <f>IF(C134="","",(T134-Y134)*References!$BZ$52)</f>
        <v/>
      </c>
      <c r="AG134" s="1256" t="str">
        <f>IF(C134="","",(U134-Z134)*References!$BX$47)</f>
        <v/>
      </c>
      <c r="AH134" s="1255" t="str">
        <f t="shared" si="46"/>
        <v/>
      </c>
      <c r="AI134" s="1257" t="str">
        <f>IF(C134="","",AD134*References!$BY$53)</f>
        <v/>
      </c>
      <c r="AJ134" s="1256" t="str">
        <f>IF(C134="","",AE134*References!$BY$51)</f>
        <v/>
      </c>
      <c r="AK134" s="1256" t="str">
        <f>IF(C134="","",AF134*References!$BY$52)</f>
        <v/>
      </c>
      <c r="AL134" s="1256" t="str">
        <f>IF(C134="","",(AC134/1000)*References!$BY$43)</f>
        <v/>
      </c>
      <c r="AM134" s="1255" t="str">
        <f t="shared" si="47"/>
        <v/>
      </c>
      <c r="AN134" s="150"/>
      <c r="AO134" s="1254" t="str">
        <f>IF(AND('Space Heating Worksheet'!AI65="",'Space Heating Worksheet'!O46=""),"",'Space Heating Worksheet'!AI65)</f>
        <v/>
      </c>
      <c r="AP134" s="1397" t="str">
        <f>IF($C134="","",IF(Existing_Heating_Source="Existing Building",INDEX(References!$BS$40:$BT$41,MATCH(B134,References!$BP$40:$BP$41,0),MATCH(AP$124,References!$BS$39:$BT$39,0)),INDEX(References!$BQ$40:$BR$41,MATCH(B134,References!$BP$40:$BP$41,0),MATCH(AP$124,References!$BQ$39:$BR$39,0))))</f>
        <v/>
      </c>
      <c r="AQ134" s="1252" t="str">
        <f>IF('Space Heating Worksheet'!$D46="","",IF(OR('Space Heating Worksheet'!AC46=0,$D134="None"),INDEX(References!CH$19:CH$24,MATCH($D134,References!$CG$19:$CG$24,0)),'Space Heating Worksheet'!AC46))</f>
        <v/>
      </c>
      <c r="AR134" s="1210" t="str">
        <f>IF('Space Heating Worksheet'!$D46="","",IF(OR('Space Heating Worksheet'!AD46=0,$D134="None"),INDEX(References!CI$19:CI$24,MATCH($D134,References!$CG$19:$CG$24,0)),'Space Heating Worksheet'!AD46))</f>
        <v/>
      </c>
      <c r="AS134" s="1209" t="str">
        <f t="shared" si="48"/>
        <v/>
      </c>
      <c r="AT134" s="1215" t="str">
        <f>IF(OR('Space Heating Worksheet'!G46="",'Space Heating Worksheet'!G46=0),"",INDEX(References!$BX$30:$BX$36,MATCH('Space Heating Worksheet'!G46,References!$BW$30:$BW$36,0)))</f>
        <v/>
      </c>
      <c r="AU134" s="1252" t="str">
        <f>IF('Space Heating Worksheet'!U46="","",'Space Heating Worksheet'!U46)</f>
        <v/>
      </c>
      <c r="AV134" s="1252" t="str">
        <f>IF('Space Heating Worksheet'!W46="","",'Space Heating Worksheet'!W46)</f>
        <v/>
      </c>
      <c r="AW134" s="1252" t="str">
        <f>IF(OR(D134="",D134=0),"",References!$CD$52)</f>
        <v/>
      </c>
      <c r="AX134" s="1252" t="str">
        <f>IF(OR('Space Heating Worksheet'!C46="",'Space Heating Worksheet'!C46=0),"",INDEX(References!$BS$72:$BS$74,MATCH('Space Heating Worksheet'!K46,References!$BP$72:$BP$74,0)))</f>
        <v/>
      </c>
      <c r="AY134" s="1252" t="str">
        <f>IF(OR(L134="",L134=0),"",INDEX(References!$BS$75:$BS$77,MATCH('Space Heating Worksheet'!K46,References!$BP$75:$BP$77,0)))</f>
        <v/>
      </c>
      <c r="AZ134" s="1210" t="str">
        <f>IF(AU134="","",IF(OR('Space Heating Worksheet'!J46="Single Stage",NOT(ISNUMBER('Space Heating Worksheet'!V46))),IF(K134="Open Loop/Well",AU134*AX134,AU134*AX134*References!$CD$49),IF(K134="Open Loop/Well",((AU134*References!$CG$43*AX134)+(AV134*References!$CG$44*AY134))*References!$CD$49*AW134,((AU134*References!$CG$43*References!$CD$49*AX134)+(AV134*References!$CG$44*AY134))*AW134)))</f>
        <v/>
      </c>
      <c r="BA134" s="1209" t="str">
        <f t="shared" si="49"/>
        <v/>
      </c>
      <c r="BB134" s="1251" t="str">
        <f t="shared" si="50"/>
        <v/>
      </c>
      <c r="BC134" s="1249" t="str">
        <f t="shared" si="51"/>
        <v/>
      </c>
      <c r="BD134" s="1214" t="str">
        <f>IF(C134="","",BC134*References!$BX$47)</f>
        <v/>
      </c>
      <c r="BE134" s="1245"/>
      <c r="BF134" s="1250" t="str">
        <f>IF(C134="","",'Space Heating Worksheet'!V65)</f>
        <v/>
      </c>
      <c r="BG134" s="1252" t="str">
        <f>IF(C134="","",IF(AND(BF134="Yes",B134="Residential"),IF(C134="Electric",References!$BQ$59,References!$BS$56),0))</f>
        <v/>
      </c>
      <c r="BH134" s="1249" t="str">
        <f>IF(C134="","",IF(AND(BF134="Yes",B134="Residential"),IF(C134="Electric",(References!$BS$59*References!$BQ$56*References!$BS$57*References!$BS$58*(References!$BQ$57-References!$BQ$58)/References!$BZ$47)*((1/BG134)-(1/Q134)),(References!$BS$59*References!$BQ$56*References!$BS$57*References!$BS$58*(References!$BQ$57-References!$BQ$58)/References!$BZ$47)*(1/Q134)),0))</f>
        <v/>
      </c>
      <c r="BI134" s="1252" t="str">
        <f>IF(C134="","",IF(AND(BF134="Yes",B134="Residential"),IF(C134="Electric",BH134*References!$BX$47,(References!$BS$59*References!$BQ$56*References!$BS$57*References!$BS$58*(References!$BQ$57-References!$BQ$58)/1000000)*(1/BG134)-BH134*References!$BX$47),0))</f>
        <v/>
      </c>
      <c r="BJ134" s="1210" t="str">
        <f>IF(C134="","",IF(AND(BF134="Yes",Customer_Sector="Residential"),IF(C134="Electric",BH134*References!$BY$43,(BI134+BH134*References!$D$12)*INDEX(References!$BY$51:$BY$54,MATCH(C134,References!$BW$51:$BW$54,0))),0))</f>
        <v/>
      </c>
      <c r="BL134" s="1217" t="str">
        <f t="shared" si="52"/>
        <v/>
      </c>
      <c r="BM134" s="1248" t="str">
        <f t="shared" si="53"/>
        <v/>
      </c>
      <c r="BN134" s="1215" t="str">
        <f t="shared" si="54"/>
        <v/>
      </c>
      <c r="BO134" s="1214" t="str">
        <f t="shared" si="55"/>
        <v/>
      </c>
      <c r="BP134" s="1215" t="str">
        <f t="shared" si="56"/>
        <v/>
      </c>
      <c r="BQ134" s="1214" t="str">
        <f t="shared" si="57"/>
        <v/>
      </c>
      <c r="BR134" s="1215" t="str">
        <f>IF(C134="","",(BN134/1000)*References!$BY$43)</f>
        <v/>
      </c>
      <c r="BS134" s="1458" t="str">
        <f t="shared" si="60"/>
        <v/>
      </c>
      <c r="BT134" s="1209" t="str">
        <f>IF(C134="","",SUM(AD134:AF134)+IF(C134="Electric",0,BI134+BH134*References!$BX$47))</f>
        <v/>
      </c>
      <c r="BU134" s="2622"/>
      <c r="BV134" s="1214" t="str">
        <f t="shared" si="58"/>
        <v/>
      </c>
    </row>
    <row r="135" spans="1:74">
      <c r="A135" s="847"/>
      <c r="V135" s="150"/>
      <c r="W135" s="150"/>
      <c r="X135" s="150"/>
      <c r="Y135" s="150"/>
      <c r="Z135" s="150"/>
      <c r="AA135" s="150"/>
      <c r="AB135" s="150"/>
      <c r="AC135" s="150"/>
      <c r="AD135" s="150"/>
      <c r="AE135" s="150"/>
      <c r="AF135" s="150"/>
      <c r="AG135" s="150"/>
      <c r="AH135" s="150"/>
      <c r="AI135" s="150"/>
      <c r="AJ135" s="150"/>
      <c r="AK135" s="150"/>
      <c r="AL135" s="150"/>
      <c r="AM135" s="150"/>
      <c r="AO135" s="150"/>
      <c r="AZ135" s="147"/>
    </row>
    <row r="136" spans="1:74" ht="29">
      <c r="A136" s="1247" t="s">
        <v>4145</v>
      </c>
      <c r="R136" s="2617" t="s">
        <v>4308</v>
      </c>
      <c r="S136" s="2618"/>
      <c r="T136" s="2618"/>
      <c r="U136" s="2618"/>
      <c r="V136" s="2618"/>
      <c r="W136" s="2618"/>
      <c r="X136" s="2618"/>
      <c r="Y136" s="2618"/>
      <c r="Z136" s="2618"/>
      <c r="AA136" s="2618"/>
      <c r="AB136" s="2619"/>
      <c r="AF136" s="1246"/>
      <c r="AK136" s="1246"/>
      <c r="AR136" s="1245"/>
      <c r="AS136" s="1245"/>
    </row>
    <row r="137" spans="1:74" ht="29">
      <c r="A137" s="847"/>
      <c r="B137" s="1393" t="s">
        <v>4193</v>
      </c>
      <c r="C137" s="1241" t="s">
        <v>4307</v>
      </c>
      <c r="D137" s="1244" t="s">
        <v>4306</v>
      </c>
      <c r="E137" s="1244" t="s">
        <v>4305</v>
      </c>
      <c r="F137" s="1244" t="s">
        <v>4304</v>
      </c>
      <c r="G137" s="1239" t="s">
        <v>4303</v>
      </c>
      <c r="H137" s="1241" t="s">
        <v>4073</v>
      </c>
      <c r="I137" s="1244" t="s">
        <v>4302</v>
      </c>
      <c r="J137" s="1244" t="s">
        <v>4301</v>
      </c>
      <c r="K137" s="1239" t="s">
        <v>2326</v>
      </c>
      <c r="L137" s="1241" t="s">
        <v>4300</v>
      </c>
      <c r="M137" s="1244" t="s">
        <v>3055</v>
      </c>
      <c r="N137" s="1244" t="s">
        <v>4299</v>
      </c>
      <c r="O137" s="1239" t="s">
        <v>4298</v>
      </c>
      <c r="R137" s="1241" t="s">
        <v>4297</v>
      </c>
      <c r="S137" s="1239" t="s">
        <v>4296</v>
      </c>
      <c r="T137" s="1243" t="s">
        <v>4295</v>
      </c>
      <c r="U137" s="1242" t="s">
        <v>598</v>
      </c>
      <c r="V137" s="1241" t="s">
        <v>4294</v>
      </c>
      <c r="W137" s="1239" t="s">
        <v>4293</v>
      </c>
      <c r="X137" s="1241" t="s">
        <v>4292</v>
      </c>
      <c r="Y137" s="1239" t="s">
        <v>4291</v>
      </c>
      <c r="Z137" s="1240" t="s">
        <v>4290</v>
      </c>
      <c r="AA137" s="2620" t="s">
        <v>397</v>
      </c>
      <c r="AB137" s="1239" t="s">
        <v>4289</v>
      </c>
      <c r="AT137" s="147"/>
      <c r="AU137" s="147"/>
      <c r="AV137" s="147"/>
    </row>
    <row r="138" spans="1:74">
      <c r="A138" s="847">
        <v>1</v>
      </c>
      <c r="B138" s="104" t="str">
        <f>IF('Dedicated Water Heating'!C30="","",'Dedicated Water Heating'!C30)</f>
        <v/>
      </c>
      <c r="C138" s="1233" t="str">
        <f>IF(AND('Dedicated Water Heating'!R30="",'Dedicated Water Heating'!D30&lt;&gt;""),"None",'Dedicated Water Heating'!V30)</f>
        <v/>
      </c>
      <c r="D138" s="1238" t="str">
        <f t="shared" ref="D138:D147" si="61">IF(C138="","",IF(OR(LEFT(C138,11)="Natural Gas",LEFT(C138,3)="Oil",LEFT(C138,7)="Propane"),IF(LEFT(C138,11)="Natural Gas","Natural Gas",IF(LEFT(C138,3)="Oil","Oil","Propane")),"Electric"))</f>
        <v/>
      </c>
      <c r="E138" s="1238" t="str">
        <f>IF(AND(C138="",'Dedicated Water Heating'!D30=0),"",IF('Dedicated Water Heating'!T30&lt;&gt;0,'Dedicated Water Heating'!T30,IF('Dedicated Water Heating'!J30&lt;&gt;0,'Dedicated Water Heating'!J30,55)))</f>
        <v/>
      </c>
      <c r="F138" s="1238" t="str">
        <f>IF('Dedicated Water Heating'!$C30="","",INDEX(References!$CH$78:$CH$92,MATCH($C138,References!$CG$78:$CG$92,0)))</f>
        <v/>
      </c>
      <c r="G138" s="1237" t="str">
        <f>IF('Dedicated Water Heating'!$C30="","",IF('Dedicated Water Heating'!S30&lt;&gt;0,'Dedicated Water Heating'!S30,IF(OR(LEFT(C138,13)="Electric Tank",LEFT(C138,4)="ASHP",LEFT(C138,4)="Geot",LEFT(C138,4)="None"),INDEX(References!$CJ$78:$CJ$92,MATCH($C138,References!$CG$78:$CG$92,0)),INDEX(References!$CI$78:$CI$92,MATCH($C138,References!$CG$78:$CG$92,0))-INDEX(References!$CJ$78:$CJ$92,MATCH($C138,References!$CG$78:$CG$92,0))*E138)))</f>
        <v/>
      </c>
      <c r="H138" s="116" t="str">
        <f>IF(C138="","",IF(B138="Residential",References!$BT$85,References!$BR$106))</f>
        <v/>
      </c>
      <c r="I138" t="str">
        <f>IF(C138="","",References!$CH$96-References!$CH$95)</f>
        <v/>
      </c>
      <c r="J138" t="str">
        <f>IF('Dedicated Water Heating'!P49="","",'Dedicated Water Heating'!P49)</f>
        <v/>
      </c>
      <c r="K138" s="1142" t="str">
        <f>IF(C138="","",IF(J138="Yes",References!$CH$100,References!$CH$101))</f>
        <v/>
      </c>
      <c r="L138" s="99" t="str">
        <f>IF('Dedicated Water Heating'!D30="","",'Dedicated Water Heating'!D30)</f>
        <v/>
      </c>
      <c r="M138" t="str">
        <f>IF(OR('Dedicated Water Heating'!D30="",'Dedicated Water Heating'!O30="",'Dedicated Water Heating'!O30=0),"",'Dedicated Water Heating'!O30)</f>
        <v/>
      </c>
      <c r="N138" s="107" t="str">
        <f t="shared" ref="N138:N147" si="62">IF(M138="","",M138*0.9)</f>
        <v/>
      </c>
      <c r="O138" s="1227" t="str">
        <f t="shared" ref="O138:O147" si="63">IF(L138="","",K138*H138*365*8.33*I138)</f>
        <v/>
      </c>
      <c r="R138" s="1230" t="str">
        <f t="shared" ref="R138:R147" si="64">IF(L138="","",0)</f>
        <v/>
      </c>
      <c r="S138" s="1229" t="str">
        <f t="shared" ref="S138:S147" si="65">IF(L138="","",0)</f>
        <v/>
      </c>
      <c r="T138" s="1236" t="str">
        <f t="shared" ref="T138:T147" si="66">IF(OR(O138="",G138="",N138=""),"",IF(D138="Electric",(O138/3412)*((1/G138)-(1/N138)),0))</f>
        <v/>
      </c>
      <c r="U138" s="1235" t="str">
        <f t="shared" ref="U138:U147" si="67">IF(OR(O138="",G138="",N138=""),"",IF(D138="Electric",0,(O138/3412)*((1/N138))))</f>
        <v/>
      </c>
      <c r="V138" s="301" t="str">
        <f>IF(OR(L138="",T138=""),"",T138*References!$BX$47)</f>
        <v/>
      </c>
      <c r="W138" s="1226" t="str">
        <f>IF(OR(L138="",U138=""),"",IF(D138="Electric",0,((O138/1000000)*(1/G138))-(U138*References!$BX$47)))</f>
        <v/>
      </c>
      <c r="X138" s="1225" t="str">
        <f>IF(OR(L138="",T138=""),"",(T138)*References!$BX$43)</f>
        <v/>
      </c>
      <c r="Y138" s="1234" t="str">
        <f>IF(OR(L138="",U138="",W138=""),"",-U138*References!$BX$43+Z138*IF(D138="Electric",0,INDEX(References!$BX$51:$BX$54,MATCH(D138,References!$BW$51:$BW$54,0))))</f>
        <v/>
      </c>
      <c r="Z138" s="1223" t="str">
        <f t="shared" ref="Z138:Z147" si="68">IF(OR(L138="",U138=""),"",IF(D138="Fossil Fuel",((O138/1000000)*(1/G138)),0))</f>
        <v/>
      </c>
      <c r="AA138" s="2621"/>
      <c r="AB138" s="1222" t="str">
        <f t="shared" ref="AB138:AB147" si="69">IF(OR(V138="",W138=""),"",V138+W138)</f>
        <v/>
      </c>
      <c r="AT138" s="147"/>
      <c r="AU138" s="147"/>
      <c r="AV138" s="147"/>
    </row>
    <row r="139" spans="1:74">
      <c r="A139" s="847">
        <v>2</v>
      </c>
      <c r="B139" s="105" t="str">
        <f>IF('Dedicated Water Heating'!C31="","",'Dedicated Water Heating'!C31)</f>
        <v/>
      </c>
      <c r="C139" s="1233" t="str">
        <f>IF(AND('Dedicated Water Heating'!R31="",'Dedicated Water Heating'!D31&lt;&gt;""),"None",'Dedicated Water Heating'!V31)</f>
        <v/>
      </c>
      <c r="D139" s="1232" t="str">
        <f t="shared" si="61"/>
        <v/>
      </c>
      <c r="E139" s="1232" t="str">
        <f>IF(AND(C139="",'Dedicated Water Heating'!D31=0),"",IF('Dedicated Water Heating'!T31&lt;&gt;0,'Dedicated Water Heating'!T31,IF('Dedicated Water Heating'!J31&lt;&gt;0,'Dedicated Water Heating'!J31,55)))</f>
        <v/>
      </c>
      <c r="F139" s="1232" t="str">
        <f>IF('Dedicated Water Heating'!$C31="","",INDEX(References!$CH$78:$CH$92,MATCH($C139,References!$CG$78:$CG$92,0)))</f>
        <v/>
      </c>
      <c r="G139" s="1231" t="str">
        <f>IF('Dedicated Water Heating'!$C31="","",IF('Dedicated Water Heating'!S31&lt;&gt;0,'Dedicated Water Heating'!S31,IF(OR(LEFT(C139,13)="Electric Tank",LEFT(C139,4)="ASHP",LEFT(C139,4)="Geot",LEFT(C139,4)="None"),INDEX(References!$CJ$78:$CJ$92,MATCH($C139,References!$CG$78:$CG$92,0)),INDEX(References!$CI$78:$CI$92,MATCH($C139,References!$CG$78:$CG$92,0))-INDEX(References!$CJ$78:$CJ$92,MATCH($C139,References!$CG$78:$CG$92,0))*E139)))</f>
        <v/>
      </c>
      <c r="H139" s="99" t="str">
        <f>IF(C139="","",IF(B139="Residential",References!$BT$85,References!$BR$106))</f>
        <v/>
      </c>
      <c r="I139" t="str">
        <f>IF(C139="","",References!$CH$96-References!$CH$95)</f>
        <v/>
      </c>
      <c r="J139" t="str">
        <f>IF('Dedicated Water Heating'!P50="","",'Dedicated Water Heating'!P50)</f>
        <v/>
      </c>
      <c r="K139" s="1142" t="str">
        <f>IF(C139="","",IF(J139="Yes",References!$CH$100,References!$CH$101))</f>
        <v/>
      </c>
      <c r="L139" s="99" t="str">
        <f>IF('Dedicated Water Heating'!D31="","",'Dedicated Water Heating'!D31)</f>
        <v/>
      </c>
      <c r="M139" t="str">
        <f>IF(OR('Dedicated Water Heating'!D31="",'Dedicated Water Heating'!O31="",'Dedicated Water Heating'!O31=0),"",'Dedicated Water Heating'!O31)</f>
        <v/>
      </c>
      <c r="N139" s="107" t="str">
        <f t="shared" si="62"/>
        <v/>
      </c>
      <c r="O139" s="1227" t="str">
        <f t="shared" si="63"/>
        <v/>
      </c>
      <c r="R139" s="1230" t="str">
        <f t="shared" si="64"/>
        <v/>
      </c>
      <c r="S139" s="1229" t="str">
        <f t="shared" si="65"/>
        <v/>
      </c>
      <c r="T139" s="1228" t="str">
        <f t="shared" si="66"/>
        <v/>
      </c>
      <c r="U139" s="1227" t="str">
        <f t="shared" si="67"/>
        <v/>
      </c>
      <c r="V139" s="301" t="str">
        <f>IF(OR(L139="",T139=""),"",T139*References!$BX$47)</f>
        <v/>
      </c>
      <c r="W139" s="1226" t="str">
        <f>IF(OR(L139="",U139=""),"",IF(D139="Electric",0,((O139/1000000)*(1/G139))-(U139*References!$BX$47)))</f>
        <v/>
      </c>
      <c r="X139" s="1225" t="str">
        <f>IF(OR(L139="",T139=""),"",(T139)*References!$BX$43)</f>
        <v/>
      </c>
      <c r="Y139" s="1224" t="str">
        <f>IF(OR(L139="",U139="",W139=""),"",-U139*References!$BX$43+Z139*IF(D139="Electric",0,INDEX(References!$BX$51:$BX$54,MATCH(D139,References!$BW$51:$BW$54,0))))</f>
        <v/>
      </c>
      <c r="Z139" s="1223" t="str">
        <f t="shared" si="68"/>
        <v/>
      </c>
      <c r="AA139" s="2621"/>
      <c r="AB139" s="1222" t="str">
        <f t="shared" si="69"/>
        <v/>
      </c>
      <c r="AT139" s="147"/>
      <c r="AU139" s="147"/>
      <c r="AV139" s="147"/>
    </row>
    <row r="140" spans="1:74">
      <c r="A140" s="847">
        <v>3</v>
      </c>
      <c r="B140" s="105" t="str">
        <f>IF('Dedicated Water Heating'!C32="","",'Dedicated Water Heating'!C32)</f>
        <v/>
      </c>
      <c r="C140" s="1233" t="str">
        <f>IF(AND('Dedicated Water Heating'!R32="",'Dedicated Water Heating'!D32&lt;&gt;""),"None",'Dedicated Water Heating'!V32)</f>
        <v/>
      </c>
      <c r="D140" s="1232" t="str">
        <f t="shared" si="61"/>
        <v/>
      </c>
      <c r="E140" s="1232" t="str">
        <f>IF(AND(C140="",'Dedicated Water Heating'!D32=0),"",IF('Dedicated Water Heating'!T32&lt;&gt;0,'Dedicated Water Heating'!T32,IF('Dedicated Water Heating'!J32&lt;&gt;0,'Dedicated Water Heating'!J32,55)))</f>
        <v/>
      </c>
      <c r="F140" s="1232" t="str">
        <f>IF('Dedicated Water Heating'!$C32="","",INDEX(References!$CH$78:$CH$92,MATCH($C140,References!$CG$78:$CG$92,0)))</f>
        <v/>
      </c>
      <c r="G140" s="1231" t="str">
        <f>IF('Dedicated Water Heating'!$C32="","",IF('Dedicated Water Heating'!S32&lt;&gt;0,'Dedicated Water Heating'!S32,IF(OR(LEFT(C140,13)="Electric Tank",LEFT(C140,4)="ASHP",LEFT(C140,4)="Geot",LEFT(C140,4)="None"),INDEX(References!$CJ$78:$CJ$92,MATCH($C140,References!$CG$78:$CG$92,0)),INDEX(References!$CI$78:$CI$92,MATCH($C140,References!$CG$78:$CG$92,0))-INDEX(References!$CJ$78:$CJ$92,MATCH($C140,References!$CG$78:$CG$92,0))*E140)))</f>
        <v/>
      </c>
      <c r="H140" s="99" t="str">
        <f>IF(C140="","",IF(B140="Residential",References!$BT$85,References!$BR$106))</f>
        <v/>
      </c>
      <c r="I140" t="str">
        <f>IF(C140="","",References!$CH$96-References!$CH$95)</f>
        <v/>
      </c>
      <c r="J140" t="str">
        <f>IF('Dedicated Water Heating'!P51="","",'Dedicated Water Heating'!P51)</f>
        <v/>
      </c>
      <c r="K140" s="1142" t="str">
        <f>IF(C140="","",IF(J140="Yes",References!$CH$100,References!$CH$101))</f>
        <v/>
      </c>
      <c r="L140" s="99" t="str">
        <f>IF('Dedicated Water Heating'!D32="","",'Dedicated Water Heating'!D32)</f>
        <v/>
      </c>
      <c r="M140" t="str">
        <f>IF(OR('Dedicated Water Heating'!D32="",'Dedicated Water Heating'!O32="",'Dedicated Water Heating'!O32=0),"",'Dedicated Water Heating'!O32)</f>
        <v/>
      </c>
      <c r="N140" s="107" t="str">
        <f t="shared" si="62"/>
        <v/>
      </c>
      <c r="O140" s="1227" t="str">
        <f t="shared" si="63"/>
        <v/>
      </c>
      <c r="R140" s="1230" t="str">
        <f t="shared" si="64"/>
        <v/>
      </c>
      <c r="S140" s="1229" t="str">
        <f t="shared" si="65"/>
        <v/>
      </c>
      <c r="T140" s="1228" t="str">
        <f t="shared" si="66"/>
        <v/>
      </c>
      <c r="U140" s="1227" t="str">
        <f t="shared" si="67"/>
        <v/>
      </c>
      <c r="V140" s="301" t="str">
        <f>IF(OR(L140="",T140=""),"",T140*References!$BX$47)</f>
        <v/>
      </c>
      <c r="W140" s="1226" t="str">
        <f>IF(OR(L140="",U140=""),"",IF(D140="Electric",0,((O140/1000000)*(1/G140))-(U140*References!$BX$47)))</f>
        <v/>
      </c>
      <c r="X140" s="1225" t="str">
        <f>IF(OR(L140="",T140=""),"",(T140)*References!$BX$43)</f>
        <v/>
      </c>
      <c r="Y140" s="1224" t="str">
        <f>IF(OR(L140="",U140="",W140=""),"",-U140*References!$BX$43+Z140*IF(D140="Electric",0,INDEX(References!$BX$51:$BX$54,MATCH(D140,References!$BW$51:$BW$54,0))))</f>
        <v/>
      </c>
      <c r="Z140" s="1223" t="str">
        <f t="shared" si="68"/>
        <v/>
      </c>
      <c r="AA140" s="2621"/>
      <c r="AB140" s="1222" t="str">
        <f t="shared" si="69"/>
        <v/>
      </c>
      <c r="AT140" s="147"/>
      <c r="AU140" s="147"/>
      <c r="AV140" s="147"/>
    </row>
    <row r="141" spans="1:74">
      <c r="A141" s="847">
        <v>4</v>
      </c>
      <c r="B141" s="105" t="str">
        <f>IF('Dedicated Water Heating'!C33="","",'Dedicated Water Heating'!C33)</f>
        <v/>
      </c>
      <c r="C141" s="1233" t="str">
        <f>IF(AND('Dedicated Water Heating'!R33="",'Dedicated Water Heating'!D33&lt;&gt;""),"None",'Dedicated Water Heating'!V33)</f>
        <v/>
      </c>
      <c r="D141" s="1232" t="str">
        <f t="shared" si="61"/>
        <v/>
      </c>
      <c r="E141" s="1232" t="str">
        <f>IF(AND(C141="",'Dedicated Water Heating'!D33=0),"",IF('Dedicated Water Heating'!T33&lt;&gt;0,'Dedicated Water Heating'!T33,IF('Dedicated Water Heating'!J33&lt;&gt;0,'Dedicated Water Heating'!J33,55)))</f>
        <v/>
      </c>
      <c r="F141" s="1232" t="str">
        <f>IF('Dedicated Water Heating'!$C33="","",INDEX(References!$CH$78:$CH$92,MATCH($C141,References!$CG$78:$CG$92,0)))</f>
        <v/>
      </c>
      <c r="G141" s="1231" t="str">
        <f>IF('Dedicated Water Heating'!$C33="","",IF('Dedicated Water Heating'!S33&lt;&gt;0,'Dedicated Water Heating'!S33,IF(OR(LEFT(C141,13)="Electric Tank",LEFT(C141,4)="ASHP",LEFT(C141,4)="Geot",LEFT(C141,4)="None"),INDEX(References!$CJ$78:$CJ$92,MATCH($C141,References!$CG$78:$CG$92,0)),INDEX(References!$CI$78:$CI$92,MATCH($C141,References!$CG$78:$CG$92,0))-INDEX(References!$CJ$78:$CJ$92,MATCH($C141,References!$CG$78:$CG$92,0))*E141)))</f>
        <v/>
      </c>
      <c r="H141" s="99" t="str">
        <f>IF(C141="","",IF(B141="Residential",References!$BT$85,References!$BR$106))</f>
        <v/>
      </c>
      <c r="I141" t="str">
        <f>IF(C141="","",References!$CH$96-References!$CH$95)</f>
        <v/>
      </c>
      <c r="J141" t="str">
        <f>IF('Dedicated Water Heating'!P52="","",'Dedicated Water Heating'!P52)</f>
        <v/>
      </c>
      <c r="K141" s="1142" t="str">
        <f>IF(C141="","",IF(J141="Yes",References!$CH$100,References!$CH$101))</f>
        <v/>
      </c>
      <c r="L141" s="99" t="str">
        <f>IF('Dedicated Water Heating'!D33="","",'Dedicated Water Heating'!D33)</f>
        <v/>
      </c>
      <c r="M141" t="str">
        <f>IF(OR('Dedicated Water Heating'!D33="",'Dedicated Water Heating'!O33="",'Dedicated Water Heating'!O33=0),"",'Dedicated Water Heating'!O33)</f>
        <v/>
      </c>
      <c r="N141" s="107" t="str">
        <f t="shared" si="62"/>
        <v/>
      </c>
      <c r="O141" s="1227" t="str">
        <f t="shared" si="63"/>
        <v/>
      </c>
      <c r="R141" s="1230" t="str">
        <f t="shared" si="64"/>
        <v/>
      </c>
      <c r="S141" s="1229" t="str">
        <f t="shared" si="65"/>
        <v/>
      </c>
      <c r="T141" s="1228" t="str">
        <f t="shared" si="66"/>
        <v/>
      </c>
      <c r="U141" s="1227" t="str">
        <f t="shared" si="67"/>
        <v/>
      </c>
      <c r="V141" s="301" t="str">
        <f>IF(OR(L141="",T141=""),"",T141*References!$BX$47)</f>
        <v/>
      </c>
      <c r="W141" s="1226" t="str">
        <f>IF(OR(L141="",U141=""),"",IF(D141="Electric",0,((O141/1000000)*(1/G141))-(U141*References!$BX$47)))</f>
        <v/>
      </c>
      <c r="X141" s="1225" t="str">
        <f>IF(OR(L141="",T141=""),"",(T141)*References!$BX$43)</f>
        <v/>
      </c>
      <c r="Y141" s="1224" t="str">
        <f>IF(OR(L141="",U141="",W141=""),"",-U141*References!$BX$43+Z141*IF(D141="Electric",0,INDEX(References!$BX$51:$BX$54,MATCH(D141,References!$BW$51:$BW$54,0))))</f>
        <v/>
      </c>
      <c r="Z141" s="1223" t="str">
        <f t="shared" si="68"/>
        <v/>
      </c>
      <c r="AA141" s="2621"/>
      <c r="AB141" s="1222" t="str">
        <f t="shared" si="69"/>
        <v/>
      </c>
      <c r="AT141" s="147"/>
      <c r="AU141" s="147"/>
      <c r="AV141" s="147"/>
    </row>
    <row r="142" spans="1:74">
      <c r="A142" s="847">
        <v>5</v>
      </c>
      <c r="B142" s="105" t="str">
        <f>IF('Dedicated Water Heating'!C34="","",'Dedicated Water Heating'!C34)</f>
        <v/>
      </c>
      <c r="C142" s="1233" t="str">
        <f>IF(AND('Dedicated Water Heating'!R34="",'Dedicated Water Heating'!D34&lt;&gt;""),"None",'Dedicated Water Heating'!V34)</f>
        <v/>
      </c>
      <c r="D142" s="1232" t="str">
        <f t="shared" si="61"/>
        <v/>
      </c>
      <c r="E142" s="1232" t="str">
        <f>IF(AND(C142="",'Dedicated Water Heating'!D34=0),"",IF('Dedicated Water Heating'!T34&lt;&gt;0,'Dedicated Water Heating'!T34,IF('Dedicated Water Heating'!J34&lt;&gt;0,'Dedicated Water Heating'!J34,55)))</f>
        <v/>
      </c>
      <c r="F142" s="1232" t="str">
        <f>IF('Dedicated Water Heating'!$C34="","",INDEX(References!$CH$78:$CH$92,MATCH($C142,References!$CG$78:$CG$92,0)))</f>
        <v/>
      </c>
      <c r="G142" s="1231" t="str">
        <f>IF('Dedicated Water Heating'!$C34="","",IF('Dedicated Water Heating'!S34&lt;&gt;0,'Dedicated Water Heating'!S34,IF(OR(LEFT(C142,13)="Electric Tank",LEFT(C142,4)="ASHP",LEFT(C142,4)="Geot",LEFT(C142,4)="None"),INDEX(References!$CJ$78:$CJ$92,MATCH($C142,References!$CG$78:$CG$92,0)),INDEX(References!$CI$78:$CI$92,MATCH($C142,References!$CG$78:$CG$92,0))-INDEX(References!$CJ$78:$CJ$92,MATCH($C142,References!$CG$78:$CG$92,0))*E142)))</f>
        <v/>
      </c>
      <c r="H142" s="99" t="str">
        <f>IF(C142="","",IF(B142="Residential",References!$BT$85,References!$BR$106))</f>
        <v/>
      </c>
      <c r="I142" t="str">
        <f>IF(C142="","",References!$CH$96-References!$CH$95)</f>
        <v/>
      </c>
      <c r="J142" t="str">
        <f>IF('Dedicated Water Heating'!P53="","",'Dedicated Water Heating'!P53)</f>
        <v/>
      </c>
      <c r="K142" s="1142" t="str">
        <f>IF(C142="","",IF(J142="Yes",References!$CH$100,References!$CH$101))</f>
        <v/>
      </c>
      <c r="L142" s="99" t="str">
        <f>IF('Dedicated Water Heating'!D34="","",'Dedicated Water Heating'!D34)</f>
        <v/>
      </c>
      <c r="M142" t="str">
        <f>IF(OR('Dedicated Water Heating'!D34="",'Dedicated Water Heating'!O34="",'Dedicated Water Heating'!O34=0),"",'Dedicated Water Heating'!O34)</f>
        <v/>
      </c>
      <c r="N142" s="107" t="str">
        <f t="shared" si="62"/>
        <v/>
      </c>
      <c r="O142" s="1227" t="str">
        <f t="shared" si="63"/>
        <v/>
      </c>
      <c r="R142" s="1230" t="str">
        <f t="shared" si="64"/>
        <v/>
      </c>
      <c r="S142" s="1229" t="str">
        <f t="shared" si="65"/>
        <v/>
      </c>
      <c r="T142" s="1228" t="str">
        <f t="shared" si="66"/>
        <v/>
      </c>
      <c r="U142" s="1227" t="str">
        <f t="shared" si="67"/>
        <v/>
      </c>
      <c r="V142" s="301" t="str">
        <f>IF(OR(L142="",T142=""),"",T142*References!$BX$47)</f>
        <v/>
      </c>
      <c r="W142" s="1226" t="str">
        <f>IF(OR(L142="",U142=""),"",IF(D142="Electric",0,((O142/1000000)*(1/G142))-(U142*References!$BX$47)))</f>
        <v/>
      </c>
      <c r="X142" s="1225" t="str">
        <f>IF(OR(L142="",T142=""),"",(T142)*References!$BX$43)</f>
        <v/>
      </c>
      <c r="Y142" s="1224" t="str">
        <f>IF(OR(L142="",U142="",W142=""),"",-U142*References!$BX$43+Z142*IF(D142="Electric",0,INDEX(References!$BX$51:$BX$54,MATCH(D142,References!$BW$51:$BW$54,0))))</f>
        <v/>
      </c>
      <c r="Z142" s="1223" t="str">
        <f t="shared" si="68"/>
        <v/>
      </c>
      <c r="AA142" s="2621"/>
      <c r="AB142" s="1222" t="str">
        <f t="shared" si="69"/>
        <v/>
      </c>
      <c r="AT142" s="147"/>
      <c r="AU142" s="147"/>
      <c r="AV142" s="147"/>
    </row>
    <row r="143" spans="1:74">
      <c r="A143" s="847">
        <v>6</v>
      </c>
      <c r="B143" s="105" t="str">
        <f>IF('Dedicated Water Heating'!C35="","",'Dedicated Water Heating'!C35)</f>
        <v/>
      </c>
      <c r="C143" s="1233" t="str">
        <f>IF(AND('Dedicated Water Heating'!R35="",'Dedicated Water Heating'!D35&lt;&gt;""),"None",'Dedicated Water Heating'!V35)</f>
        <v/>
      </c>
      <c r="D143" s="1232" t="str">
        <f t="shared" si="61"/>
        <v/>
      </c>
      <c r="E143" s="1232" t="str">
        <f>IF(AND(C143="",'Dedicated Water Heating'!D35=0),"",IF('Dedicated Water Heating'!T35&lt;&gt;0,'Dedicated Water Heating'!T35,IF('Dedicated Water Heating'!J35&lt;&gt;0,'Dedicated Water Heating'!J35,55)))</f>
        <v/>
      </c>
      <c r="F143" s="1232" t="str">
        <f>IF('Dedicated Water Heating'!$C35="","",INDEX(References!$CH$78:$CH$92,MATCH($C143,References!$CG$78:$CG$92,0)))</f>
        <v/>
      </c>
      <c r="G143" s="1231" t="str">
        <f>IF('Dedicated Water Heating'!$C35="","",IF('Dedicated Water Heating'!S35&lt;&gt;0,'Dedicated Water Heating'!S35,IF(OR(LEFT(C143,13)="Electric Tank",LEFT(C143,4)="ASHP",LEFT(C143,4)="Geot",LEFT(C143,4)="None"),INDEX(References!$CJ$78:$CJ$92,MATCH($C143,References!$CG$78:$CG$92,0)),INDEX(References!$CI$78:$CI$92,MATCH($C143,References!$CG$78:$CG$92,0))-INDEX(References!$CJ$78:$CJ$92,MATCH($C143,References!$CG$78:$CG$92,0))*E143)))</f>
        <v/>
      </c>
      <c r="H143" s="99" t="str">
        <f>IF(C143="","",IF(B143="Residential",References!$BT$85,References!$BR$106))</f>
        <v/>
      </c>
      <c r="I143" t="str">
        <f>IF(C143="","",References!$CH$96-References!$CH$95)</f>
        <v/>
      </c>
      <c r="J143" t="str">
        <f>IF('Dedicated Water Heating'!P54="","",'Dedicated Water Heating'!P54)</f>
        <v/>
      </c>
      <c r="K143" s="1142" t="str">
        <f>IF(C143="","",IF(J143="Yes",References!$CH$100,References!$CH$101))</f>
        <v/>
      </c>
      <c r="L143" s="99" t="str">
        <f>IF('Dedicated Water Heating'!D35="","",'Dedicated Water Heating'!D35)</f>
        <v/>
      </c>
      <c r="M143" t="str">
        <f>IF(OR('Dedicated Water Heating'!D35="",'Dedicated Water Heating'!O35="",'Dedicated Water Heating'!O35=0),"",'Dedicated Water Heating'!O35)</f>
        <v/>
      </c>
      <c r="N143" s="107" t="str">
        <f t="shared" si="62"/>
        <v/>
      </c>
      <c r="O143" s="1227" t="str">
        <f t="shared" si="63"/>
        <v/>
      </c>
      <c r="R143" s="1230" t="str">
        <f t="shared" si="64"/>
        <v/>
      </c>
      <c r="S143" s="1229" t="str">
        <f t="shared" si="65"/>
        <v/>
      </c>
      <c r="T143" s="1228" t="str">
        <f t="shared" si="66"/>
        <v/>
      </c>
      <c r="U143" s="1227" t="str">
        <f t="shared" si="67"/>
        <v/>
      </c>
      <c r="V143" s="301" t="str">
        <f>IF(OR(L143="",T143=""),"",T143*References!$BX$47)</f>
        <v/>
      </c>
      <c r="W143" s="1226" t="str">
        <f>IF(OR(L143="",U143=""),"",IF(D143="Electric",0,((O143/1000000)*(1/G143))-(U143*References!$BX$47)))</f>
        <v/>
      </c>
      <c r="X143" s="1225" t="str">
        <f>IF(OR(L143="",T143=""),"",(T143)*References!$BX$43)</f>
        <v/>
      </c>
      <c r="Y143" s="1224" t="str">
        <f>IF(OR(L143="",U143="",W143=""),"",-U143*References!$BX$43+Z143*IF(D143="Electric",0,INDEX(References!$BX$51:$BX$54,MATCH(D143,References!$BW$51:$BW$54,0))))</f>
        <v/>
      </c>
      <c r="Z143" s="1223" t="str">
        <f t="shared" si="68"/>
        <v/>
      </c>
      <c r="AA143" s="2621"/>
      <c r="AB143" s="1222" t="str">
        <f t="shared" si="69"/>
        <v/>
      </c>
      <c r="AT143" s="147"/>
      <c r="AU143" s="147"/>
      <c r="AV143" s="147"/>
    </row>
    <row r="144" spans="1:74">
      <c r="A144" s="847">
        <v>7</v>
      </c>
      <c r="B144" s="105" t="str">
        <f>IF('Dedicated Water Heating'!C36="","",'Dedicated Water Heating'!C36)</f>
        <v/>
      </c>
      <c r="C144" s="1233" t="str">
        <f>IF(AND('Dedicated Water Heating'!R36="",'Dedicated Water Heating'!D36&lt;&gt;""),"None",'Dedicated Water Heating'!V36)</f>
        <v/>
      </c>
      <c r="D144" s="1232" t="str">
        <f t="shared" si="61"/>
        <v/>
      </c>
      <c r="E144" s="1232" t="str">
        <f>IF(AND(C144="",'Dedicated Water Heating'!D36=0),"",IF('Dedicated Water Heating'!T36&lt;&gt;0,'Dedicated Water Heating'!T36,IF('Dedicated Water Heating'!J36&lt;&gt;0,'Dedicated Water Heating'!J36,55)))</f>
        <v/>
      </c>
      <c r="F144" s="1232" t="str">
        <f>IF('Dedicated Water Heating'!$C36="","",INDEX(References!$CH$78:$CH$92,MATCH($C144,References!$CG$78:$CG$92,0)))</f>
        <v/>
      </c>
      <c r="G144" s="1231" t="str">
        <f>IF('Dedicated Water Heating'!$C36="","",IF('Dedicated Water Heating'!S36&lt;&gt;0,'Dedicated Water Heating'!S36,IF(OR(LEFT(C144,13)="Electric Tank",LEFT(C144,4)="ASHP",LEFT(C144,4)="Geot",LEFT(C144,4)="None"),INDEX(References!$CJ$78:$CJ$92,MATCH($C144,References!$CG$78:$CG$92,0)),INDEX(References!$CI$78:$CI$92,MATCH($C144,References!$CG$78:$CG$92,0))-INDEX(References!$CJ$78:$CJ$92,MATCH($C144,References!$CG$78:$CG$92,0))*E144)))</f>
        <v/>
      </c>
      <c r="H144" s="99" t="str">
        <f>IF(C144="","",IF(B144="Residential",References!$BT$85,References!$BR$106))</f>
        <v/>
      </c>
      <c r="I144" t="str">
        <f>IF(C144="","",References!$CH$96-References!$CH$95)</f>
        <v/>
      </c>
      <c r="J144" t="str">
        <f>IF('Dedicated Water Heating'!P55="","",'Dedicated Water Heating'!P55)</f>
        <v/>
      </c>
      <c r="K144" s="1142" t="str">
        <f>IF(C144="","",IF(J144="Yes",References!$CH$100,References!$CH$101))</f>
        <v/>
      </c>
      <c r="L144" s="99" t="str">
        <f>IF('Dedicated Water Heating'!D36="","",'Dedicated Water Heating'!D36)</f>
        <v/>
      </c>
      <c r="M144" t="str">
        <f>IF(OR('Dedicated Water Heating'!D36="",'Dedicated Water Heating'!O36="",'Dedicated Water Heating'!O36=0),"",'Dedicated Water Heating'!O36)</f>
        <v/>
      </c>
      <c r="N144" s="107" t="str">
        <f t="shared" si="62"/>
        <v/>
      </c>
      <c r="O144" s="1227" t="str">
        <f t="shared" si="63"/>
        <v/>
      </c>
      <c r="R144" s="1230" t="str">
        <f t="shared" si="64"/>
        <v/>
      </c>
      <c r="S144" s="1229" t="str">
        <f t="shared" si="65"/>
        <v/>
      </c>
      <c r="T144" s="1228" t="str">
        <f t="shared" si="66"/>
        <v/>
      </c>
      <c r="U144" s="1227" t="str">
        <f t="shared" si="67"/>
        <v/>
      </c>
      <c r="V144" s="301" t="str">
        <f>IF(OR(L144="",T144=""),"",T144*References!$BX$47)</f>
        <v/>
      </c>
      <c r="W144" s="1226" t="str">
        <f>IF(OR(L144="",U144=""),"",IF(D144="Electric",0,((O144/1000000)*(1/G144))-(U144*References!$BX$47)))</f>
        <v/>
      </c>
      <c r="X144" s="1225" t="str">
        <f>IF(OR(L144="",T144=""),"",(T144)*References!$BX$43)</f>
        <v/>
      </c>
      <c r="Y144" s="1224" t="str">
        <f>IF(OR(L144="",U144="",W144=""),"",-U144*References!$BX$43+Z144*IF(D144="Electric",0,INDEX(References!$BX$51:$BX$54,MATCH(D144,References!$BW$51:$BW$54,0))))</f>
        <v/>
      </c>
      <c r="Z144" s="1223" t="str">
        <f t="shared" si="68"/>
        <v/>
      </c>
      <c r="AA144" s="2621"/>
      <c r="AB144" s="1222" t="str">
        <f t="shared" si="69"/>
        <v/>
      </c>
      <c r="AT144" s="147"/>
      <c r="AU144" s="147"/>
      <c r="AV144" s="147"/>
    </row>
    <row r="145" spans="1:48">
      <c r="A145" s="847">
        <v>8</v>
      </c>
      <c r="B145" s="105" t="str">
        <f>IF('Dedicated Water Heating'!C37="","",'Dedicated Water Heating'!C37)</f>
        <v/>
      </c>
      <c r="C145" s="1233" t="str">
        <f>IF(AND('Dedicated Water Heating'!R37="",'Dedicated Water Heating'!D37&lt;&gt;""),"None",'Dedicated Water Heating'!V37)</f>
        <v/>
      </c>
      <c r="D145" s="1232" t="str">
        <f t="shared" si="61"/>
        <v/>
      </c>
      <c r="E145" s="1232" t="str">
        <f>IF(AND(C145="",'Dedicated Water Heating'!D37=0),"",IF('Dedicated Water Heating'!T37&lt;&gt;0,'Dedicated Water Heating'!T37,IF('Dedicated Water Heating'!J37&lt;&gt;0,'Dedicated Water Heating'!J37,55)))</f>
        <v/>
      </c>
      <c r="F145" s="1232" t="str">
        <f>IF('Dedicated Water Heating'!$C37="","",INDEX(References!$CH$78:$CH$92,MATCH($C145,References!$CG$78:$CG$92,0)))</f>
        <v/>
      </c>
      <c r="G145" s="1231" t="str">
        <f>IF('Dedicated Water Heating'!$C37="","",IF('Dedicated Water Heating'!S37&lt;&gt;0,'Dedicated Water Heating'!S37,IF(OR(LEFT(C145,13)="Electric Tank",LEFT(C145,4)="ASHP",LEFT(C145,4)="Geot",LEFT(C145,4)="None"),INDEX(References!$CJ$78:$CJ$92,MATCH($C145,References!$CG$78:$CG$92,0)),INDEX(References!$CI$78:$CI$92,MATCH($C145,References!$CG$78:$CG$92,0))-INDEX(References!$CJ$78:$CJ$92,MATCH($C145,References!$CG$78:$CG$92,0))*E145)))</f>
        <v/>
      </c>
      <c r="H145" s="99" t="str">
        <f>IF(C145="","",IF(B145="Residential",References!$BT$85,References!$BR$106))</f>
        <v/>
      </c>
      <c r="I145" t="str">
        <f>IF(C145="","",References!$CH$96-References!$CH$95)</f>
        <v/>
      </c>
      <c r="J145" t="str">
        <f>IF('Dedicated Water Heating'!P56="","",'Dedicated Water Heating'!P56)</f>
        <v/>
      </c>
      <c r="K145" s="1142" t="str">
        <f>IF(C145="","",IF(J145="Yes",References!$CH$100,References!$CH$101))</f>
        <v/>
      </c>
      <c r="L145" s="99" t="str">
        <f>IF('Dedicated Water Heating'!D37="","",'Dedicated Water Heating'!D37)</f>
        <v/>
      </c>
      <c r="M145" t="str">
        <f>IF(OR('Dedicated Water Heating'!D37="",'Dedicated Water Heating'!O37="",'Dedicated Water Heating'!O37=0),"",'Dedicated Water Heating'!O37)</f>
        <v/>
      </c>
      <c r="N145" s="107" t="str">
        <f t="shared" si="62"/>
        <v/>
      </c>
      <c r="O145" s="1227" t="str">
        <f t="shared" si="63"/>
        <v/>
      </c>
      <c r="R145" s="1230" t="str">
        <f t="shared" si="64"/>
        <v/>
      </c>
      <c r="S145" s="1229" t="str">
        <f t="shared" si="65"/>
        <v/>
      </c>
      <c r="T145" s="1228" t="str">
        <f t="shared" si="66"/>
        <v/>
      </c>
      <c r="U145" s="1227" t="str">
        <f t="shared" si="67"/>
        <v/>
      </c>
      <c r="V145" s="301" t="str">
        <f>IF(OR(L145="",T145=""),"",T145*References!$BX$47)</f>
        <v/>
      </c>
      <c r="W145" s="1226" t="str">
        <f>IF(OR(L145="",U145=""),"",IF(D145="Electric",0,((O145/1000000)*(1/G145))-(U145*References!$BX$47)))</f>
        <v/>
      </c>
      <c r="X145" s="1225" t="str">
        <f>IF(OR(L145="",T145=""),"",(T145)*References!$BX$43)</f>
        <v/>
      </c>
      <c r="Y145" s="1224" t="str">
        <f>IF(OR(L145="",U145="",W145=""),"",-U145*References!$BX$43+Z145*IF(D145="Electric",0,INDEX(References!$BX$51:$BX$54,MATCH(D145,References!$BW$51:$BW$54,0))))</f>
        <v/>
      </c>
      <c r="Z145" s="1223" t="str">
        <f t="shared" si="68"/>
        <v/>
      </c>
      <c r="AA145" s="2621"/>
      <c r="AB145" s="1222" t="str">
        <f t="shared" si="69"/>
        <v/>
      </c>
      <c r="AT145" s="147"/>
      <c r="AU145" s="147"/>
      <c r="AV145" s="147"/>
    </row>
    <row r="146" spans="1:48">
      <c r="A146" s="847">
        <v>9</v>
      </c>
      <c r="B146" s="105" t="str">
        <f>IF('Dedicated Water Heating'!C38="","",'Dedicated Water Heating'!C38)</f>
        <v/>
      </c>
      <c r="C146" s="1233" t="str">
        <f>IF(AND('Dedicated Water Heating'!R38="",'Dedicated Water Heating'!D38&lt;&gt;""),"None",'Dedicated Water Heating'!V38)</f>
        <v/>
      </c>
      <c r="D146" s="1232" t="str">
        <f t="shared" si="61"/>
        <v/>
      </c>
      <c r="E146" s="1232" t="str">
        <f>IF(AND(C146="",'Dedicated Water Heating'!D38=0),"",IF('Dedicated Water Heating'!T38&lt;&gt;0,'Dedicated Water Heating'!T38,IF('Dedicated Water Heating'!J38&lt;&gt;0,'Dedicated Water Heating'!J38,55)))</f>
        <v/>
      </c>
      <c r="F146" s="1232" t="str">
        <f>IF('Dedicated Water Heating'!$C38="","",INDEX(References!$CH$78:$CH$92,MATCH($C146,References!$CG$78:$CG$92,0)))</f>
        <v/>
      </c>
      <c r="G146" s="1231" t="str">
        <f>IF('Dedicated Water Heating'!$C38="","",IF('Dedicated Water Heating'!S38&lt;&gt;0,'Dedicated Water Heating'!S38,IF(OR(LEFT(C146,13)="Electric Tank",LEFT(C146,4)="ASHP",LEFT(C146,4)="Geot",LEFT(C146,4)="None"),INDEX(References!$CJ$78:$CJ$92,MATCH($C146,References!$CG$78:$CG$92,0)),INDEX(References!$CI$78:$CI$92,MATCH($C146,References!$CG$78:$CG$92,0))-INDEX(References!$CJ$78:$CJ$92,MATCH($C146,References!$CG$78:$CG$92,0))*E146)))</f>
        <v/>
      </c>
      <c r="H146" s="99" t="str">
        <f>IF(C146="","",IF(B146="Residential",References!$BT$85,References!$BR$106))</f>
        <v/>
      </c>
      <c r="I146" t="str">
        <f>IF(C146="","",References!$CH$96-References!$CH$95)</f>
        <v/>
      </c>
      <c r="J146" t="str">
        <f>IF('Dedicated Water Heating'!P57="","",'Dedicated Water Heating'!P57)</f>
        <v/>
      </c>
      <c r="K146" s="1142" t="str">
        <f>IF(C146="","",IF(J146="Yes",References!$CH$100,References!$CH$101))</f>
        <v/>
      </c>
      <c r="L146" s="99" t="str">
        <f>IF('Dedicated Water Heating'!D38="","",'Dedicated Water Heating'!D38)</f>
        <v/>
      </c>
      <c r="M146" t="str">
        <f>IF(OR('Dedicated Water Heating'!D38="",'Dedicated Water Heating'!O38="",'Dedicated Water Heating'!O38=0),"",'Dedicated Water Heating'!O38)</f>
        <v/>
      </c>
      <c r="N146" s="107" t="str">
        <f t="shared" si="62"/>
        <v/>
      </c>
      <c r="O146" s="1227" t="str">
        <f t="shared" si="63"/>
        <v/>
      </c>
      <c r="R146" s="1230" t="str">
        <f t="shared" si="64"/>
        <v/>
      </c>
      <c r="S146" s="1229" t="str">
        <f t="shared" si="65"/>
        <v/>
      </c>
      <c r="T146" s="1228" t="str">
        <f t="shared" si="66"/>
        <v/>
      </c>
      <c r="U146" s="1227" t="str">
        <f t="shared" si="67"/>
        <v/>
      </c>
      <c r="V146" s="301" t="str">
        <f>IF(OR(L146="",T146=""),"",T146*References!$BX$47)</f>
        <v/>
      </c>
      <c r="W146" s="1226" t="str">
        <f>IF(OR(L146="",U146=""),"",IF(D146="Electric",0,((O146/1000000)*(1/G146))-(U146*References!$BX$47)))</f>
        <v/>
      </c>
      <c r="X146" s="1225" t="str">
        <f>IF(OR(L146="",T146=""),"",(T146)*References!$BX$43)</f>
        <v/>
      </c>
      <c r="Y146" s="1224" t="str">
        <f>IF(OR(L146="",U146="",W146=""),"",-U146*References!$BX$43+Z146*IF(D146="Electric",0,INDEX(References!$BX$51:$BX$54,MATCH(D146,References!$BW$51:$BW$54,0))))</f>
        <v/>
      </c>
      <c r="Z146" s="1223" t="str">
        <f t="shared" si="68"/>
        <v/>
      </c>
      <c r="AA146" s="2621"/>
      <c r="AB146" s="1222" t="str">
        <f t="shared" si="69"/>
        <v/>
      </c>
    </row>
    <row r="147" spans="1:48">
      <c r="A147" s="847">
        <v>10</v>
      </c>
      <c r="B147" s="106" t="str">
        <f>IF('Dedicated Water Heating'!C39="","",'Dedicated Water Heating'!C39)</f>
        <v/>
      </c>
      <c r="C147" s="1221" t="str">
        <f>IF(AND('Dedicated Water Heating'!R39="",'Dedicated Water Heating'!D39&lt;&gt;""),"None",'Dedicated Water Heating'!V39)</f>
        <v/>
      </c>
      <c r="D147" s="1220" t="str">
        <f t="shared" si="61"/>
        <v/>
      </c>
      <c r="E147" s="1220" t="str">
        <f>IF(AND(C147="",'Dedicated Water Heating'!D39=0),"",IF('Dedicated Water Heating'!T39&lt;&gt;0,'Dedicated Water Heating'!T39,IF('Dedicated Water Heating'!J39&lt;&gt;0,'Dedicated Water Heating'!J39,55)))</f>
        <v/>
      </c>
      <c r="F147" s="1220" t="str">
        <f>IF('Dedicated Water Heating'!$C39="","",INDEX(References!$CH$78:$CH$92,MATCH($C147,References!$CG$78:$CG$92,0)))</f>
        <v/>
      </c>
      <c r="G147" s="1219" t="str">
        <f>IF('Dedicated Water Heating'!$C39="","",IF('Dedicated Water Heating'!S39&lt;&gt;0,'Dedicated Water Heating'!S39,IF(OR(LEFT(C147,13)="Electric Tank",LEFT(C147,4)="ASHP",LEFT(C147,4)="Geot",LEFT(C147,4)="None"),INDEX(References!$CJ$78:$CJ$92,MATCH($C147,References!$CG$78:$CG$92,0)),INDEX(References!$CI$78:$CI$92,MATCH($C147,References!$CG$78:$CG$92,0))-INDEX(References!$CJ$78:$CJ$92,MATCH($C147,References!$CG$78:$CG$92,0))*E147)))</f>
        <v/>
      </c>
      <c r="H147" s="101" t="str">
        <f>IF(C147="","",IF(B147="Residential",References!$BT$85,References!$BR$106))</f>
        <v/>
      </c>
      <c r="I147" s="90" t="str">
        <f>IF(C147="","",References!$CH$96-References!$CH$95)</f>
        <v/>
      </c>
      <c r="J147" s="90" t="str">
        <f>IF('Dedicated Water Heating'!P58="","",'Dedicated Water Heating'!P58)</f>
        <v/>
      </c>
      <c r="K147" s="1218" t="str">
        <f>IF(C147="","",IF(J147="Yes",References!$CH$100,References!$CH$101))</f>
        <v/>
      </c>
      <c r="L147" s="101" t="str">
        <f>IF('Dedicated Water Heating'!D39="","",'Dedicated Water Heating'!D39)</f>
        <v/>
      </c>
      <c r="M147" s="90" t="str">
        <f>IF(OR('Dedicated Water Heating'!D39="",'Dedicated Water Heating'!O39="",'Dedicated Water Heating'!O39=0),"",'Dedicated Water Heating'!O39)</f>
        <v/>
      </c>
      <c r="N147" s="295" t="str">
        <f t="shared" si="62"/>
        <v/>
      </c>
      <c r="O147" s="1214" t="str">
        <f t="shared" si="63"/>
        <v/>
      </c>
      <c r="R147" s="1217" t="str">
        <f t="shared" si="64"/>
        <v/>
      </c>
      <c r="S147" s="1216" t="str">
        <f t="shared" si="65"/>
        <v/>
      </c>
      <c r="T147" s="1215" t="str">
        <f t="shared" si="66"/>
        <v/>
      </c>
      <c r="U147" s="1214" t="str">
        <f t="shared" si="67"/>
        <v/>
      </c>
      <c r="V147" s="1213" t="str">
        <f>IF(OR(L147="",T147=""),"",T147*References!$BX$47)</f>
        <v/>
      </c>
      <c r="W147" s="1212" t="str">
        <f>IF(OR(L147="",U147=""),"",IF(D147="Electric",0,((O147/1000000)*(1/G147))-(U147*References!$BX$47)))</f>
        <v/>
      </c>
      <c r="X147" s="1211" t="str">
        <f>IF(OR(L147="",T147=""),"",(T147)*References!$BX$43)</f>
        <v/>
      </c>
      <c r="Y147" s="1210" t="str">
        <f>IF(OR(L147="",U147="",W147=""),"",-U147*References!$BX$43+Z147*IF(D147="Electric",0,INDEX(References!$BX$51:$BX$54,MATCH(D147,References!$BW$51:$BW$54,0))))</f>
        <v/>
      </c>
      <c r="Z147" s="1209" t="str">
        <f t="shared" si="68"/>
        <v/>
      </c>
      <c r="AA147" s="2622"/>
      <c r="AB147" s="1208" t="str">
        <f t="shared" si="69"/>
        <v/>
      </c>
    </row>
    <row r="148" spans="1:48">
      <c r="A148" s="847"/>
      <c r="H148" s="1207"/>
      <c r="I148" s="643"/>
      <c r="J148" s="643"/>
      <c r="K148" s="643"/>
      <c r="L148" s="643"/>
      <c r="M148" s="643"/>
      <c r="N148" s="643"/>
      <c r="O148" s="643"/>
      <c r="P148" s="643"/>
      <c r="Q148" s="643"/>
      <c r="R148" s="643"/>
      <c r="S148" s="643"/>
      <c r="T148" s="643"/>
      <c r="U148" s="643"/>
      <c r="V148" s="643"/>
      <c r="W148" s="643"/>
      <c r="X148" s="643"/>
      <c r="Y148" s="643"/>
    </row>
    <row r="149" spans="1:48">
      <c r="A149" s="847"/>
      <c r="H149" s="1207"/>
      <c r="I149" s="643"/>
      <c r="J149" s="643"/>
      <c r="K149" s="643"/>
      <c r="L149" s="643"/>
      <c r="M149" s="643"/>
      <c r="N149" s="643"/>
      <c r="O149" s="643"/>
      <c r="P149" s="643"/>
      <c r="Q149" s="643"/>
      <c r="R149" s="643"/>
      <c r="S149" s="643"/>
      <c r="T149" s="643"/>
      <c r="U149" s="643"/>
      <c r="V149" s="643"/>
      <c r="W149" s="643"/>
      <c r="X149" s="643"/>
      <c r="Y149" s="643"/>
    </row>
    <row r="150" spans="1:48">
      <c r="A150" s="847"/>
      <c r="H150" s="1207"/>
      <c r="I150" s="643"/>
      <c r="J150" s="643"/>
      <c r="K150" s="643"/>
      <c r="L150" s="643"/>
      <c r="M150" s="643"/>
      <c r="N150" s="643"/>
      <c r="O150" s="643"/>
      <c r="P150" s="643"/>
      <c r="Q150" s="643"/>
      <c r="R150" s="643"/>
      <c r="S150" s="643"/>
      <c r="T150" s="643"/>
      <c r="U150" s="643"/>
      <c r="V150" s="643"/>
      <c r="W150" s="643"/>
      <c r="X150" s="643"/>
      <c r="Y150" s="643"/>
    </row>
    <row r="151" spans="1:48">
      <c r="A151" s="847"/>
      <c r="H151" s="1207"/>
      <c r="I151" s="643"/>
      <c r="J151" s="643"/>
      <c r="K151" s="643"/>
      <c r="L151" s="643"/>
      <c r="M151" s="643"/>
      <c r="N151" s="643"/>
      <c r="O151" s="643"/>
      <c r="P151" s="643"/>
      <c r="Q151" s="643"/>
      <c r="R151" s="643"/>
      <c r="S151" s="643"/>
      <c r="T151" s="643"/>
      <c r="U151" s="643"/>
      <c r="V151" s="643"/>
      <c r="W151" s="643"/>
      <c r="X151" s="643"/>
      <c r="Y151" s="643"/>
    </row>
    <row r="152" spans="1:48">
      <c r="A152" s="847"/>
      <c r="H152" s="1207"/>
      <c r="I152" s="643"/>
      <c r="J152" s="643"/>
      <c r="K152" s="643"/>
      <c r="L152" s="643"/>
      <c r="M152" s="643"/>
      <c r="N152" s="643"/>
      <c r="O152" s="643"/>
      <c r="P152" s="643"/>
      <c r="Q152" s="643"/>
      <c r="R152" s="643"/>
      <c r="S152" s="643"/>
      <c r="T152" s="643"/>
      <c r="U152" s="643"/>
      <c r="V152" s="643"/>
      <c r="W152" s="643"/>
      <c r="X152" s="643"/>
      <c r="Y152" s="643"/>
    </row>
    <row r="153" spans="1:48">
      <c r="A153" s="847"/>
      <c r="H153" s="1207"/>
      <c r="I153" s="643"/>
      <c r="J153" s="643"/>
      <c r="K153" s="643"/>
      <c r="L153" s="643"/>
      <c r="M153" s="643"/>
      <c r="N153" s="643"/>
      <c r="O153" s="643"/>
      <c r="P153" s="643"/>
      <c r="Q153" s="643"/>
      <c r="R153" s="643"/>
      <c r="S153" s="643"/>
      <c r="T153" s="643"/>
      <c r="U153" s="643"/>
      <c r="V153" s="643"/>
      <c r="W153" s="643"/>
      <c r="X153" s="643"/>
      <c r="Y153" s="643"/>
    </row>
    <row r="154" spans="1:48">
      <c r="A154" s="847"/>
      <c r="H154" s="1207"/>
      <c r="I154" s="643"/>
      <c r="J154" s="643"/>
      <c r="K154" s="643"/>
      <c r="L154" s="643"/>
      <c r="M154" s="643"/>
      <c r="N154" s="643"/>
      <c r="O154" s="643"/>
      <c r="P154" s="643"/>
      <c r="Q154" s="643"/>
      <c r="R154" s="643"/>
      <c r="S154" s="643"/>
      <c r="T154" s="643"/>
      <c r="U154" s="643"/>
      <c r="V154" s="643"/>
      <c r="W154" s="643"/>
      <c r="X154" s="643"/>
      <c r="Y154" s="643"/>
    </row>
    <row r="155" spans="1:48">
      <c r="A155" s="847"/>
      <c r="H155" s="1207"/>
      <c r="I155" s="643"/>
      <c r="J155" s="643"/>
      <c r="K155" s="643"/>
      <c r="L155" s="643"/>
      <c r="M155" s="643"/>
      <c r="N155" s="643"/>
      <c r="O155" s="643"/>
      <c r="P155" s="643"/>
      <c r="Q155" s="643"/>
      <c r="R155" s="643"/>
      <c r="S155" s="643"/>
      <c r="T155" s="643"/>
      <c r="U155" s="643"/>
      <c r="V155" s="643"/>
      <c r="W155" s="643"/>
      <c r="X155" s="643"/>
      <c r="Y155" s="643"/>
    </row>
    <row r="156" spans="1:48">
      <c r="A156" s="847"/>
      <c r="H156" s="1207"/>
      <c r="I156" s="643"/>
      <c r="J156" s="643"/>
      <c r="K156" s="643"/>
      <c r="L156" s="643"/>
      <c r="M156" s="643"/>
      <c r="N156" s="643"/>
      <c r="O156" s="643"/>
      <c r="P156" s="643"/>
      <c r="Q156" s="643"/>
      <c r="R156" s="643"/>
      <c r="S156" s="643"/>
      <c r="T156" s="643"/>
      <c r="U156" s="643"/>
      <c r="V156" s="643"/>
      <c r="W156" s="643"/>
      <c r="X156" s="643"/>
      <c r="Y156" s="643"/>
    </row>
    <row r="157" spans="1:48">
      <c r="A157" s="847"/>
      <c r="H157" s="1207"/>
      <c r="I157" s="643"/>
      <c r="J157" s="643"/>
      <c r="K157" s="643"/>
      <c r="L157" s="643"/>
      <c r="M157" s="643"/>
      <c r="N157" s="643"/>
      <c r="O157" s="643"/>
      <c r="P157" s="643"/>
      <c r="Q157" s="643"/>
      <c r="R157" s="643"/>
      <c r="S157" s="643"/>
      <c r="T157" s="643"/>
      <c r="U157" s="643"/>
      <c r="V157" s="643"/>
      <c r="W157" s="643"/>
      <c r="X157" s="643"/>
      <c r="Y157" s="643"/>
    </row>
    <row r="158" spans="1:48">
      <c r="A158" s="847"/>
    </row>
    <row r="159" spans="1:48">
      <c r="A159" s="847"/>
    </row>
    <row r="160" spans="1:48">
      <c r="A160" s="847"/>
    </row>
    <row r="161" spans="1:1">
      <c r="A161" s="847"/>
    </row>
    <row r="162" spans="1:1">
      <c r="A162" s="847"/>
    </row>
    <row r="163" spans="1:1">
      <c r="A163" s="847"/>
    </row>
    <row r="164" spans="1:1">
      <c r="A164" s="847"/>
    </row>
  </sheetData>
  <mergeCells count="153">
    <mergeCell ref="AZ60:AZ61"/>
    <mergeCell ref="AW70:AW71"/>
    <mergeCell ref="AQ60:AQ61"/>
    <mergeCell ref="AA92:AE92"/>
    <mergeCell ref="AG92:AH92"/>
    <mergeCell ref="AI92:AI93"/>
    <mergeCell ref="P40:R40"/>
    <mergeCell ref="S40:U40"/>
    <mergeCell ref="S42:U42"/>
    <mergeCell ref="S41:U41"/>
    <mergeCell ref="Z70:AM70"/>
    <mergeCell ref="AD66:AE66"/>
    <mergeCell ref="AD65:AE65"/>
    <mergeCell ref="AQ70:AQ71"/>
    <mergeCell ref="AR70:AR71"/>
    <mergeCell ref="AT70:AT71"/>
    <mergeCell ref="AS70:AS71"/>
    <mergeCell ref="AR60:AR61"/>
    <mergeCell ref="AX60:AX61"/>
    <mergeCell ref="AY60:AY61"/>
    <mergeCell ref="AW60:AW61"/>
    <mergeCell ref="AV60:AV61"/>
    <mergeCell ref="AU70:AU71"/>
    <mergeCell ref="BL123:BV123"/>
    <mergeCell ref="BU124:BU134"/>
    <mergeCell ref="BF123:BJ123"/>
    <mergeCell ref="W123:AA123"/>
    <mergeCell ref="R123:V123"/>
    <mergeCell ref="K123:Q123"/>
    <mergeCell ref="R136:AB136"/>
    <mergeCell ref="AA137:AA147"/>
    <mergeCell ref="W93:X93"/>
    <mergeCell ref="Y93:Z93"/>
    <mergeCell ref="T92:T93"/>
    <mergeCell ref="U92:Z92"/>
    <mergeCell ref="U93:V93"/>
    <mergeCell ref="I115:J115"/>
    <mergeCell ref="I116:J116"/>
    <mergeCell ref="I117:J117"/>
    <mergeCell ref="I118:J118"/>
    <mergeCell ref="I119:J119"/>
    <mergeCell ref="BB123:BD123"/>
    <mergeCell ref="AQ123:AR123"/>
    <mergeCell ref="AT123:AZ123"/>
    <mergeCell ref="AI123:AM123"/>
    <mergeCell ref="AD123:AH123"/>
    <mergeCell ref="AB123:AC123"/>
    <mergeCell ref="G115:H115"/>
    <mergeCell ref="G116:H116"/>
    <mergeCell ref="G117:H117"/>
    <mergeCell ref="G118:H118"/>
    <mergeCell ref="G119:H119"/>
    <mergeCell ref="E112:F112"/>
    <mergeCell ref="E113:F113"/>
    <mergeCell ref="E114:F114"/>
    <mergeCell ref="E115:F115"/>
    <mergeCell ref="E116:F116"/>
    <mergeCell ref="E117:F117"/>
    <mergeCell ref="E118:F118"/>
    <mergeCell ref="E119:F119"/>
    <mergeCell ref="E110:F110"/>
    <mergeCell ref="I110:J110"/>
    <mergeCell ref="I111:J111"/>
    <mergeCell ref="I112:J112"/>
    <mergeCell ref="I113:J113"/>
    <mergeCell ref="I114:J114"/>
    <mergeCell ref="G108:H109"/>
    <mergeCell ref="G110:H110"/>
    <mergeCell ref="G111:H111"/>
    <mergeCell ref="G112:H112"/>
    <mergeCell ref="G113:H113"/>
    <mergeCell ref="G114:H114"/>
    <mergeCell ref="E111:F111"/>
    <mergeCell ref="C115:D115"/>
    <mergeCell ref="C116:D116"/>
    <mergeCell ref="C117:D117"/>
    <mergeCell ref="C118:D118"/>
    <mergeCell ref="C119:D119"/>
    <mergeCell ref="C110:D110"/>
    <mergeCell ref="C111:D111"/>
    <mergeCell ref="C112:D112"/>
    <mergeCell ref="C113:D113"/>
    <mergeCell ref="C114:D114"/>
    <mergeCell ref="A108:A109"/>
    <mergeCell ref="K108:K109"/>
    <mergeCell ref="B108:B109"/>
    <mergeCell ref="C108:D109"/>
    <mergeCell ref="E108:F109"/>
    <mergeCell ref="I108:J109"/>
    <mergeCell ref="N108:N109"/>
    <mergeCell ref="O108:P108"/>
    <mergeCell ref="A92:A93"/>
    <mergeCell ref="K92:L92"/>
    <mergeCell ref="N92:N93"/>
    <mergeCell ref="O92:Q92"/>
    <mergeCell ref="B92:B93"/>
    <mergeCell ref="C92:D92"/>
    <mergeCell ref="E92:F92"/>
    <mergeCell ref="G92:H92"/>
    <mergeCell ref="I92:J92"/>
    <mergeCell ref="CA25:CN25"/>
    <mergeCell ref="S49:U49"/>
    <mergeCell ref="S50:U50"/>
    <mergeCell ref="S51:U51"/>
    <mergeCell ref="S43:U43"/>
    <mergeCell ref="S44:U44"/>
    <mergeCell ref="S45:U45"/>
    <mergeCell ref="S46:U46"/>
    <mergeCell ref="S47:U47"/>
    <mergeCell ref="S48:U48"/>
    <mergeCell ref="AJ25:AL25"/>
    <mergeCell ref="AP25:AQ25"/>
    <mergeCell ref="AD25:AE25"/>
    <mergeCell ref="AF25:AH25"/>
    <mergeCell ref="Y25:AA25"/>
    <mergeCell ref="AV25:AX25"/>
    <mergeCell ref="U25:U26"/>
    <mergeCell ref="C57:D57"/>
    <mergeCell ref="C50:D50"/>
    <mergeCell ref="C51:D51"/>
    <mergeCell ref="AD64:AE64"/>
    <mergeCell ref="X76:X77"/>
    <mergeCell ref="C56:D56"/>
    <mergeCell ref="B60:U60"/>
    <mergeCell ref="W70:W71"/>
    <mergeCell ref="B70:U70"/>
    <mergeCell ref="B76:U76"/>
    <mergeCell ref="W60:W61"/>
    <mergeCell ref="W76:W77"/>
    <mergeCell ref="D25:D26"/>
    <mergeCell ref="G25:O25"/>
    <mergeCell ref="Q25:Q26"/>
    <mergeCell ref="S25:S26"/>
    <mergeCell ref="T25:T26"/>
    <mergeCell ref="P25:P26"/>
    <mergeCell ref="AB25:AC25"/>
    <mergeCell ref="AV70:AV71"/>
    <mergeCell ref="AU60:AU61"/>
    <mergeCell ref="AS60:AS61"/>
    <mergeCell ref="C42:D42"/>
    <mergeCell ref="C43:D43"/>
    <mergeCell ref="C44:D44"/>
    <mergeCell ref="C45:D45"/>
    <mergeCell ref="C46:D46"/>
    <mergeCell ref="C47:D47"/>
    <mergeCell ref="C48:D48"/>
    <mergeCell ref="C49:D49"/>
    <mergeCell ref="AD67:AE67"/>
    <mergeCell ref="AD61:AE61"/>
    <mergeCell ref="AD62:AE62"/>
    <mergeCell ref="AD63:AE63"/>
    <mergeCell ref="AT60:AT61"/>
    <mergeCell ref="AR25:AU25"/>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B050"/>
  </sheetPr>
  <dimension ref="A1:M65"/>
  <sheetViews>
    <sheetView showGridLines="0" tabSelected="1" zoomScaleNormal="100" workbookViewId="0"/>
  </sheetViews>
  <sheetFormatPr defaultColWidth="0" defaultRowHeight="14.5" zeroHeight="1"/>
  <cols>
    <col min="1" max="1" width="17.453125" style="42" customWidth="1"/>
    <col min="2" max="2" width="15" style="42" customWidth="1"/>
    <col min="3" max="6" width="13.81640625" style="42" customWidth="1"/>
    <col min="7" max="7" width="1.81640625" style="42" customWidth="1"/>
    <col min="8" max="8" width="15.81640625" style="42" customWidth="1"/>
    <col min="9" max="9" width="13.81640625" style="42" customWidth="1"/>
    <col min="10" max="10" width="15.7265625" style="42" customWidth="1"/>
    <col min="11" max="11" width="16.54296875" style="42" customWidth="1"/>
    <col min="12" max="12" width="16.26953125" style="42" customWidth="1"/>
    <col min="13" max="13" width="1.81640625" style="42" customWidth="1"/>
    <col min="14" max="16384" width="0" style="42" hidden="1"/>
  </cols>
  <sheetData>
    <row r="1" spans="1:13" s="1070" customFormat="1" ht="55" customHeight="1">
      <c r="A1" s="1891" t="str">
        <f>Development!A3&amp;" Multi-Family Program"</f>
        <v>2024 Multi-Family Program</v>
      </c>
      <c r="B1" s="1892"/>
      <c r="C1" s="1892"/>
      <c r="D1" s="1892"/>
      <c r="E1" s="1892"/>
      <c r="F1" s="1892"/>
      <c r="G1" s="1892"/>
      <c r="H1" s="1895"/>
      <c r="I1" s="1895"/>
      <c r="J1" s="1895"/>
      <c r="K1" s="1895"/>
      <c r="L1" s="1895"/>
      <c r="M1" s="1895"/>
    </row>
    <row r="2" spans="1:13" s="1070" customFormat="1" ht="29.15" customHeight="1" thickBot="1">
      <c r="A2" s="1893" t="str">
        <f>"Multi-Family 
Rebate Application, Version "&amp;Development!A2</f>
        <v>Multi-Family 
Rebate Application, Version 2.0</v>
      </c>
      <c r="B2" s="1892"/>
      <c r="C2" s="1892"/>
      <c r="D2" s="1892"/>
      <c r="E2" s="1892"/>
      <c r="F2" s="1892"/>
      <c r="G2" s="1892"/>
      <c r="H2" s="1895"/>
      <c r="I2" s="1895"/>
      <c r="J2" s="1895"/>
      <c r="K2" s="1895"/>
      <c r="L2" s="1895"/>
      <c r="M2" s="1895"/>
    </row>
    <row r="3" spans="1:13" ht="54.65" customHeight="1" thickTop="1">
      <c r="A3" s="2146" t="s">
        <v>5632</v>
      </c>
      <c r="B3" s="2146"/>
      <c r="C3" s="2146"/>
      <c r="D3" s="2146"/>
      <c r="E3" s="2146"/>
      <c r="F3" s="2146"/>
      <c r="G3" s="2146"/>
      <c r="H3" s="2146"/>
      <c r="I3" s="2146"/>
      <c r="J3" s="2146"/>
      <c r="K3" s="2146"/>
      <c r="L3" s="2146"/>
      <c r="M3" s="2146"/>
    </row>
    <row r="4" spans="1:13" ht="18.5" thickBot="1">
      <c r="A4" s="2121" t="s">
        <v>2036</v>
      </c>
      <c r="B4" s="2121"/>
      <c r="C4" s="2121"/>
      <c r="D4" s="2121"/>
      <c r="E4" s="2121"/>
      <c r="F4" s="2121"/>
      <c r="G4" s="2121"/>
      <c r="H4" s="2121"/>
      <c r="I4" s="2121"/>
      <c r="J4" s="2121"/>
      <c r="K4" s="2121"/>
      <c r="L4" s="2121"/>
    </row>
    <row r="5" spans="1:13" ht="28" customHeight="1">
      <c r="A5" s="2122" t="s">
        <v>220</v>
      </c>
      <c r="B5" s="2122"/>
      <c r="C5" s="2120"/>
      <c r="D5" s="2120"/>
      <c r="E5" s="2120"/>
      <c r="F5" s="2120"/>
      <c r="G5" s="157"/>
      <c r="H5" s="157"/>
      <c r="I5" s="157"/>
      <c r="J5" s="349" t="s">
        <v>482</v>
      </c>
      <c r="K5" s="2120"/>
      <c r="L5" s="2120"/>
    </row>
    <row r="6" spans="1:13" ht="28" customHeight="1">
      <c r="A6" s="2122" t="s">
        <v>3526</v>
      </c>
      <c r="B6" s="2122"/>
      <c r="C6" s="2123"/>
      <c r="D6" s="2123"/>
      <c r="E6" s="2123"/>
      <c r="F6" s="2123"/>
      <c r="G6" s="157"/>
      <c r="H6" s="157"/>
      <c r="I6" s="157"/>
      <c r="J6" s="349" t="s">
        <v>3547</v>
      </c>
      <c r="K6" s="2124"/>
      <c r="L6" s="2124"/>
    </row>
    <row r="7" spans="1:13" ht="28" customHeight="1">
      <c r="A7" s="2122" t="s">
        <v>3282</v>
      </c>
      <c r="B7" s="2122"/>
      <c r="C7" s="2123"/>
      <c r="D7" s="2123"/>
      <c r="E7" s="2123"/>
      <c r="F7" s="2123"/>
      <c r="G7" s="157"/>
      <c r="H7" s="349" t="s">
        <v>0</v>
      </c>
      <c r="I7" s="2120"/>
      <c r="J7" s="2120"/>
      <c r="K7" s="349" t="s">
        <v>1</v>
      </c>
      <c r="L7" s="142"/>
    </row>
    <row r="8" spans="1:13" ht="28" customHeight="1">
      <c r="A8" s="2118" t="s">
        <v>483</v>
      </c>
      <c r="B8" s="2125"/>
      <c r="C8" s="2123"/>
      <c r="D8" s="2123"/>
      <c r="E8" s="2123"/>
      <c r="F8" s="2123"/>
      <c r="G8" s="157"/>
      <c r="H8" s="349" t="s">
        <v>0</v>
      </c>
      <c r="I8" s="2120"/>
      <c r="J8" s="2120"/>
      <c r="K8" s="349" t="s">
        <v>1</v>
      </c>
      <c r="L8" s="142"/>
    </row>
    <row r="9" spans="1:13" ht="28" customHeight="1">
      <c r="A9" s="2122"/>
      <c r="B9" s="2122"/>
      <c r="C9" s="2127"/>
      <c r="D9" s="2127"/>
      <c r="E9" s="2127"/>
      <c r="F9" s="2127"/>
      <c r="G9" s="157"/>
      <c r="H9" s="157"/>
      <c r="I9" s="2128" t="s">
        <v>2</v>
      </c>
      <c r="J9" s="2128"/>
      <c r="K9" s="2126"/>
      <c r="L9" s="2126"/>
    </row>
    <row r="10" spans="1:13" ht="28" customHeight="1">
      <c r="A10" s="2122" t="s">
        <v>3</v>
      </c>
      <c r="B10" s="2122"/>
      <c r="C10" s="2120"/>
      <c r="D10" s="2120"/>
      <c r="E10" s="2120"/>
      <c r="F10" s="2120"/>
      <c r="G10" s="157"/>
      <c r="H10" s="157"/>
      <c r="I10" s="2131" t="s">
        <v>214</v>
      </c>
      <c r="J10" s="2131"/>
      <c r="K10" s="2132"/>
      <c r="L10" s="2132"/>
    </row>
    <row r="11" spans="1:13" ht="28" customHeight="1">
      <c r="A11" s="2122" t="s">
        <v>4</v>
      </c>
      <c r="B11" s="2122"/>
      <c r="C11" s="2133"/>
      <c r="D11" s="2123"/>
      <c r="E11" s="2123"/>
      <c r="F11" s="2123"/>
      <c r="G11" s="157"/>
      <c r="H11" s="262"/>
      <c r="I11" s="2134" t="s">
        <v>2034</v>
      </c>
      <c r="J11" s="2134"/>
      <c r="K11" s="2135"/>
      <c r="L11" s="2135"/>
    </row>
    <row r="12" spans="1:13">
      <c r="A12" s="348"/>
      <c r="B12" s="348"/>
      <c r="C12" s="157"/>
      <c r="D12" s="157"/>
      <c r="E12" s="157"/>
      <c r="F12" s="157"/>
      <c r="G12" s="157"/>
      <c r="H12" s="157"/>
      <c r="I12" s="157"/>
      <c r="J12" s="157"/>
      <c r="K12" s="157"/>
      <c r="L12" s="157"/>
    </row>
    <row r="13" spans="1:13" ht="28" customHeight="1">
      <c r="A13" s="76" t="s">
        <v>654</v>
      </c>
      <c r="B13" s="76"/>
      <c r="C13" s="2119" t="s">
        <v>1345</v>
      </c>
      <c r="D13" s="2119"/>
      <c r="E13" s="2119"/>
      <c r="F13" s="2119"/>
      <c r="G13"/>
      <c r="H13"/>
      <c r="I13"/>
      <c r="J13" s="349" t="s">
        <v>3283</v>
      </c>
      <c r="K13" s="2154"/>
      <c r="L13" s="2154"/>
    </row>
    <row r="14" spans="1:13">
      <c r="B14" s="185"/>
      <c r="C14" s="2153"/>
      <c r="D14" s="2153"/>
      <c r="E14" s="2153"/>
      <c r="F14" s="2153"/>
      <c r="G14" s="2153"/>
      <c r="H14" s="2153"/>
      <c r="I14" s="2153"/>
      <c r="J14" s="185"/>
      <c r="K14" s="185"/>
      <c r="L14" s="185"/>
    </row>
    <row r="15" spans="1:13" ht="27" customHeight="1">
      <c r="A15" s="1055" t="s">
        <v>484</v>
      </c>
      <c r="B15" s="187"/>
      <c r="C15" s="2119" t="s">
        <v>1345</v>
      </c>
      <c r="D15" s="2119"/>
      <c r="E15"/>
      <c r="F15"/>
      <c r="G15"/>
      <c r="H15"/>
      <c r="I15"/>
      <c r="J15" s="349" t="s">
        <v>5471</v>
      </c>
      <c r="K15" s="2120"/>
      <c r="L15" s="2120"/>
    </row>
    <row r="16" spans="1:13" ht="14.5" customHeight="1">
      <c r="A16"/>
      <c r="B16"/>
      <c r="C16"/>
      <c r="D16"/>
      <c r="E16"/>
      <c r="F16"/>
      <c r="G16"/>
      <c r="H16"/>
      <c r="I16"/>
      <c r="J16"/>
      <c r="K16" s="185"/>
      <c r="L16" s="185"/>
    </row>
    <row r="17" spans="1:12" ht="30" customHeight="1">
      <c r="A17" s="2118" t="s">
        <v>5691</v>
      </c>
      <c r="B17" s="2118"/>
      <c r="C17" s="2119" t="s">
        <v>1345</v>
      </c>
      <c r="D17" s="2119"/>
      <c r="E17"/>
      <c r="F17"/>
      <c r="G17"/>
      <c r="H17"/>
      <c r="I17" s="697"/>
      <c r="J17" s="349" t="s">
        <v>5570</v>
      </c>
      <c r="K17" s="2120"/>
      <c r="L17" s="2120"/>
    </row>
    <row r="18" spans="1:12" ht="14.5" customHeight="1">
      <c r="C18" s="201" t="s">
        <v>5690</v>
      </c>
      <c r="E18" s="75"/>
      <c r="F18" s="75"/>
      <c r="G18" s="75"/>
      <c r="H18" s="75"/>
      <c r="I18" s="75"/>
      <c r="J18" s="75"/>
      <c r="K18" s="75"/>
      <c r="L18" s="75"/>
    </row>
    <row r="19" spans="1:12" ht="18.5" thickBot="1">
      <c r="A19" s="2129" t="s">
        <v>6</v>
      </c>
      <c r="B19" s="2129"/>
      <c r="C19" s="2129"/>
      <c r="D19" s="2129"/>
      <c r="E19" s="2129"/>
      <c r="F19" s="2129"/>
      <c r="G19" s="2129"/>
      <c r="H19" s="2129"/>
      <c r="I19" s="2129"/>
      <c r="J19" s="2129"/>
      <c r="K19" s="2129"/>
      <c r="L19" s="2129"/>
    </row>
    <row r="20" spans="1:12" ht="11.15" customHeight="1">
      <c r="A20" s="188"/>
      <c r="B20" s="188"/>
      <c r="C20" s="188"/>
      <c r="D20" s="188"/>
      <c r="E20" s="188"/>
      <c r="F20" s="188"/>
      <c r="G20" s="188"/>
      <c r="H20" s="188"/>
      <c r="I20" s="188"/>
      <c r="J20" s="337"/>
      <c r="K20" s="337"/>
      <c r="L20" s="337"/>
    </row>
    <row r="21" spans="1:12" ht="28" customHeight="1">
      <c r="A21" s="2122" t="s">
        <v>7</v>
      </c>
      <c r="B21" s="2122"/>
      <c r="C21" s="2120"/>
      <c r="D21" s="2120"/>
      <c r="E21" s="2120"/>
      <c r="F21" s="2120"/>
      <c r="G21" s="143"/>
      <c r="H21" s="143"/>
      <c r="I21" s="189"/>
      <c r="J21" s="189"/>
      <c r="K21" s="189"/>
      <c r="L21" s="143"/>
    </row>
    <row r="22" spans="1:12" ht="28" customHeight="1">
      <c r="A22" s="2122" t="s">
        <v>8</v>
      </c>
      <c r="B22" s="2122"/>
      <c r="C22" s="2123"/>
      <c r="D22" s="2123"/>
      <c r="E22" s="2123"/>
      <c r="F22" s="2123"/>
      <c r="G22" s="157"/>
      <c r="H22" s="349" t="s">
        <v>0</v>
      </c>
      <c r="I22" s="2120"/>
      <c r="J22" s="2120"/>
      <c r="K22" s="349" t="s">
        <v>1</v>
      </c>
      <c r="L22" s="142"/>
    </row>
    <row r="23" spans="1:12" ht="28" customHeight="1">
      <c r="A23" s="2122" t="s">
        <v>3</v>
      </c>
      <c r="B23" s="2122"/>
      <c r="C23" s="2123"/>
      <c r="D23" s="2123"/>
      <c r="E23" s="2123"/>
      <c r="F23" s="2123"/>
      <c r="G23" s="157"/>
      <c r="J23" s="349" t="s">
        <v>2</v>
      </c>
      <c r="K23" s="2130"/>
      <c r="L23" s="2130"/>
    </row>
    <row r="24" spans="1:12" ht="28" customHeight="1">
      <c r="A24" s="2122" t="s">
        <v>215</v>
      </c>
      <c r="B24" s="2122"/>
      <c r="C24" s="2123"/>
      <c r="D24" s="2123"/>
      <c r="E24" s="2123"/>
      <c r="F24" s="2123"/>
      <c r="G24" s="157"/>
      <c r="J24" s="349" t="s">
        <v>214</v>
      </c>
      <c r="K24" s="2149"/>
      <c r="L24" s="2149"/>
    </row>
    <row r="25" spans="1:12" ht="28" customHeight="1">
      <c r="A25" s="2122" t="s">
        <v>4</v>
      </c>
      <c r="B25" s="2122"/>
      <c r="C25" s="2133"/>
      <c r="D25" s="2123"/>
      <c r="E25" s="2123"/>
      <c r="F25" s="2123"/>
      <c r="G25" s="157"/>
      <c r="J25" s="349" t="s">
        <v>5</v>
      </c>
      <c r="K25" s="2149"/>
      <c r="L25" s="2149"/>
    </row>
    <row r="26" spans="1:12">
      <c r="A26" s="157"/>
      <c r="B26" s="157"/>
      <c r="C26" s="157"/>
      <c r="D26" s="157"/>
      <c r="E26" s="157"/>
      <c r="F26" s="157"/>
      <c r="G26" s="157"/>
      <c r="H26" s="157"/>
      <c r="I26" s="157"/>
      <c r="J26" s="157"/>
      <c r="K26" s="157"/>
      <c r="L26" s="157"/>
    </row>
    <row r="27" spans="1:12">
      <c r="A27" s="143" t="s">
        <v>3521</v>
      </c>
      <c r="B27" s="157"/>
      <c r="C27" s="157"/>
      <c r="D27" s="157"/>
      <c r="E27" s="157"/>
      <c r="F27" s="157"/>
      <c r="G27" s="157"/>
      <c r="H27" s="157"/>
      <c r="I27" s="157"/>
      <c r="J27" s="157"/>
      <c r="K27" s="157"/>
      <c r="L27" s="157"/>
    </row>
    <row r="28" spans="1:12">
      <c r="A28" s="144" t="s">
        <v>485</v>
      </c>
      <c r="B28" s="157"/>
      <c r="C28" s="157"/>
      <c r="D28" s="157"/>
      <c r="E28" s="157"/>
      <c r="F28" s="157"/>
      <c r="G28" s="157"/>
      <c r="H28" s="157"/>
      <c r="I28" s="157"/>
      <c r="J28" s="157"/>
      <c r="K28" s="157"/>
      <c r="L28" s="145"/>
    </row>
    <row r="29" spans="1:12">
      <c r="A29" s="157"/>
      <c r="B29" s="157"/>
      <c r="C29" s="157"/>
      <c r="D29" s="157"/>
      <c r="E29" s="157"/>
      <c r="F29" s="157"/>
      <c r="G29" s="157"/>
      <c r="H29" s="157"/>
      <c r="I29" s="157"/>
      <c r="J29" s="157"/>
      <c r="K29" s="157"/>
      <c r="L29" s="157"/>
    </row>
    <row r="30" spans="1:12" ht="51.65" customHeight="1">
      <c r="A30" s="2150" t="s">
        <v>176</v>
      </c>
      <c r="B30" s="2150"/>
      <c r="C30" s="2150"/>
      <c r="D30" s="2150"/>
      <c r="E30" s="2150"/>
      <c r="F30" s="2150"/>
      <c r="G30" s="2150"/>
      <c r="H30" s="2150"/>
      <c r="I30" s="2150"/>
      <c r="J30" s="2150"/>
      <c r="K30" s="2150"/>
      <c r="L30" s="2150"/>
    </row>
    <row r="31" spans="1:12" ht="28" customHeight="1">
      <c r="A31" s="2122" t="s">
        <v>3</v>
      </c>
      <c r="B31" s="2122"/>
      <c r="C31" s="2151" t="str">
        <f>IF($C$23="","",$C$23)</f>
        <v/>
      </c>
      <c r="D31" s="2151"/>
      <c r="E31" s="2151"/>
      <c r="F31" s="2151"/>
      <c r="G31" s="157"/>
      <c r="H31" s="76" t="s">
        <v>486</v>
      </c>
      <c r="I31" s="2152"/>
      <c r="J31" s="2152"/>
      <c r="K31" s="2152"/>
      <c r="L31" s="2152"/>
    </row>
    <row r="32" spans="1:12">
      <c r="A32" s="346"/>
      <c r="B32" s="346"/>
      <c r="C32" s="348"/>
      <c r="D32" s="348"/>
      <c r="E32" s="348"/>
      <c r="F32" s="348"/>
      <c r="G32" s="157"/>
      <c r="H32" s="76"/>
      <c r="I32" s="348"/>
      <c r="J32" s="348"/>
      <c r="K32" s="348"/>
      <c r="L32" s="348"/>
    </row>
    <row r="33" spans="1:12" ht="18.5" thickBot="1">
      <c r="A33" s="2129" t="s">
        <v>216</v>
      </c>
      <c r="B33" s="2129"/>
      <c r="C33" s="2129"/>
      <c r="D33" s="2129"/>
      <c r="E33" s="2129"/>
      <c r="F33" s="2129"/>
      <c r="G33" s="2129"/>
      <c r="H33" s="2129"/>
      <c r="I33" s="2129"/>
      <c r="J33" s="2129"/>
      <c r="K33" s="2129"/>
      <c r="L33" s="2129"/>
    </row>
    <row r="34" spans="1:12" ht="18">
      <c r="A34" s="157"/>
      <c r="B34" s="144"/>
      <c r="C34" s="144"/>
      <c r="D34" s="144"/>
      <c r="E34" s="144"/>
      <c r="F34" s="144"/>
      <c r="G34" s="157"/>
      <c r="H34" s="157"/>
      <c r="I34" s="157"/>
      <c r="J34" s="79" t="s">
        <v>2035</v>
      </c>
      <c r="K34" s="2147">
        <f>SUM('Multi-Family Heat Pumps'!N28,'Multi-Family Heat Pumps'!J50,'Multi-Family Heat Pumps'!W129,'Multi-Family Heat Pumps'!W131,'Multi-Family Heat Pumps'!W133,'Multi-Family Heat Pumps'!W135)</f>
        <v>0</v>
      </c>
      <c r="L34" s="2148"/>
    </row>
    <row r="35" spans="1:12" ht="43.75" customHeight="1">
      <c r="A35" s="2138" t="s">
        <v>487</v>
      </c>
      <c r="B35" s="2138"/>
      <c r="C35" s="2138"/>
      <c r="D35" s="2138"/>
      <c r="E35" s="2138"/>
      <c r="F35" s="2138"/>
      <c r="G35" s="2138"/>
      <c r="H35" s="2138"/>
      <c r="I35" s="2138"/>
      <c r="J35" s="2138"/>
      <c r="K35" s="2138"/>
      <c r="L35" s="2138"/>
    </row>
    <row r="36" spans="1:12" ht="3" customHeight="1">
      <c r="A36" s="345"/>
      <c r="B36" s="345"/>
      <c r="C36" s="345"/>
      <c r="D36" s="345"/>
      <c r="E36" s="345"/>
      <c r="F36" s="345"/>
      <c r="G36" s="347"/>
      <c r="H36" s="347"/>
      <c r="I36" s="347"/>
      <c r="J36" s="347"/>
      <c r="K36" s="347"/>
      <c r="L36" s="347"/>
    </row>
    <row r="37" spans="1:12" ht="163.5" customHeight="1">
      <c r="A37" s="2139" t="s">
        <v>3522</v>
      </c>
      <c r="B37" s="2140"/>
      <c r="C37" s="2140"/>
      <c r="D37" s="2140"/>
      <c r="E37" s="2140"/>
      <c r="F37" s="2140"/>
      <c r="G37" s="2140"/>
      <c r="H37" s="2140"/>
      <c r="I37" s="2140"/>
      <c r="J37" s="2140"/>
      <c r="K37" s="2140"/>
      <c r="L37" s="2140"/>
    </row>
    <row r="38" spans="1:12" ht="35.15" customHeight="1">
      <c r="A38" s="2141" t="s">
        <v>1829</v>
      </c>
      <c r="B38" s="2142"/>
      <c r="C38" s="2120"/>
      <c r="D38" s="2120"/>
      <c r="E38" s="2120"/>
      <c r="F38" s="2120"/>
      <c r="G38" s="2120"/>
      <c r="H38" s="2120"/>
      <c r="I38" s="2120"/>
      <c r="J38" s="157"/>
      <c r="K38" s="157"/>
      <c r="L38" s="157"/>
    </row>
    <row r="39" spans="1:12">
      <c r="A39" s="344"/>
      <c r="B39" s="345"/>
      <c r="C39" s="347"/>
      <c r="D39" s="347"/>
      <c r="E39" s="347"/>
      <c r="F39" s="347"/>
      <c r="G39" s="347"/>
      <c r="H39" s="347"/>
      <c r="I39" s="347"/>
      <c r="J39" s="157"/>
      <c r="K39" s="157"/>
      <c r="L39" s="157"/>
    </row>
    <row r="40" spans="1:12" ht="50.15" customHeight="1">
      <c r="A40" s="2141" t="s">
        <v>488</v>
      </c>
      <c r="B40" s="2142"/>
      <c r="C40" s="2143"/>
      <c r="D40" s="2143"/>
      <c r="E40" s="2143"/>
      <c r="F40" s="2143"/>
      <c r="G40" s="2143"/>
      <c r="H40" s="2143"/>
      <c r="I40" s="2143"/>
      <c r="J40" s="349" t="s">
        <v>9</v>
      </c>
      <c r="K40" s="2144"/>
      <c r="L40" s="2145"/>
    </row>
    <row r="41" spans="1:12">
      <c r="A41" s="344"/>
      <c r="B41" s="344"/>
      <c r="C41" s="157"/>
      <c r="D41" s="157"/>
      <c r="E41" s="157"/>
      <c r="F41" s="157"/>
      <c r="G41" s="157"/>
      <c r="H41" s="157"/>
      <c r="I41" s="157"/>
      <c r="J41" s="76"/>
      <c r="K41" s="41"/>
      <c r="L41" s="41"/>
    </row>
    <row r="42" spans="1:12">
      <c r="A42" s="344"/>
      <c r="B42" s="344"/>
      <c r="C42" s="157"/>
      <c r="D42" s="157"/>
      <c r="E42" s="157"/>
      <c r="F42" s="157"/>
      <c r="G42" s="157"/>
      <c r="H42" s="157"/>
      <c r="I42" s="157"/>
      <c r="J42" s="76"/>
      <c r="K42" s="41"/>
      <c r="L42" s="41"/>
    </row>
    <row r="43" spans="1:12">
      <c r="A43" s="157"/>
      <c r="B43" s="157"/>
      <c r="C43" s="157"/>
      <c r="D43" s="157"/>
      <c r="E43" s="157"/>
      <c r="F43" s="157"/>
      <c r="G43" s="157"/>
      <c r="H43" s="157"/>
      <c r="I43" s="157"/>
      <c r="J43" s="190" t="s">
        <v>489</v>
      </c>
      <c r="K43" s="191" t="s">
        <v>226</v>
      </c>
      <c r="L43" s="146"/>
    </row>
    <row r="44" spans="1:12">
      <c r="A44" s="157"/>
      <c r="B44" s="157"/>
      <c r="C44" s="157"/>
      <c r="D44" s="157"/>
      <c r="E44" s="157"/>
      <c r="F44" s="157"/>
      <c r="G44" s="157"/>
      <c r="H44" s="157"/>
      <c r="I44" s="157"/>
      <c r="J44" s="157"/>
      <c r="K44" s="157"/>
      <c r="L44" s="157"/>
    </row>
    <row r="45" spans="1:12" ht="19.75" customHeight="1">
      <c r="A45" s="80" t="s">
        <v>223</v>
      </c>
      <c r="B45" s="671" t="str">
        <f>Development!A2</f>
        <v>2.0</v>
      </c>
      <c r="C45" s="82"/>
      <c r="D45" s="2136"/>
      <c r="E45" s="2136"/>
      <c r="F45" s="2136"/>
      <c r="G45" s="2137"/>
      <c r="H45" s="2137"/>
      <c r="I45" s="2137"/>
      <c r="J45" s="83"/>
      <c r="K45" s="84" t="s">
        <v>225</v>
      </c>
      <c r="L45" s="85" t="str">
        <f>Development!A4</f>
        <v>4.01.2024</v>
      </c>
    </row>
    <row r="46" spans="1:12"/>
    <row r="47" spans="1:12"/>
    <row r="48" spans="1:12"/>
    <row r="59"/>
    <row r="60"/>
    <row r="61"/>
    <row r="62"/>
    <row r="65"/>
  </sheetData>
  <sheetProtection algorithmName="SHA-512" hashValue="hORuibMnOQJzd1OCWLkaNjK6f9EsBVpo/43r+B1tJBy7nq4WGZSSWTdz/HD1s9GgGmi58FIjS8BYY8tXdPKEHg==" saltValue="VazVgupFpO+oDhtvytZhCw==" spinCount="100000" sheet="1" objects="1" scenarios="1"/>
  <mergeCells count="64">
    <mergeCell ref="A3:M3"/>
    <mergeCell ref="K34:L34"/>
    <mergeCell ref="K24:L24"/>
    <mergeCell ref="K25:L25"/>
    <mergeCell ref="A30:L30"/>
    <mergeCell ref="A31:B31"/>
    <mergeCell ref="C31:F31"/>
    <mergeCell ref="I31:L31"/>
    <mergeCell ref="A33:L33"/>
    <mergeCell ref="C14:I14"/>
    <mergeCell ref="A24:B24"/>
    <mergeCell ref="C24:F24"/>
    <mergeCell ref="A25:B25"/>
    <mergeCell ref="C25:F25"/>
    <mergeCell ref="K13:L13"/>
    <mergeCell ref="C15:D15"/>
    <mergeCell ref="C22:F22"/>
    <mergeCell ref="I22:J22"/>
    <mergeCell ref="D45:F45"/>
    <mergeCell ref="G45:I45"/>
    <mergeCell ref="A35:L35"/>
    <mergeCell ref="A37:L37"/>
    <mergeCell ref="A38:B38"/>
    <mergeCell ref="C38:I38"/>
    <mergeCell ref="A40:B40"/>
    <mergeCell ref="C40:I40"/>
    <mergeCell ref="K40:L40"/>
    <mergeCell ref="C8:F8"/>
    <mergeCell ref="I8:J8"/>
    <mergeCell ref="A23:B23"/>
    <mergeCell ref="C23:F23"/>
    <mergeCell ref="I9:J9"/>
    <mergeCell ref="A19:L19"/>
    <mergeCell ref="K23:L23"/>
    <mergeCell ref="I10:J10"/>
    <mergeCell ref="K10:L10"/>
    <mergeCell ref="A11:B11"/>
    <mergeCell ref="C11:F11"/>
    <mergeCell ref="I11:J11"/>
    <mergeCell ref="K11:L11"/>
    <mergeCell ref="A21:B21"/>
    <mergeCell ref="C21:F21"/>
    <mergeCell ref="A22:B22"/>
    <mergeCell ref="A10:B10"/>
    <mergeCell ref="A9:B9"/>
    <mergeCell ref="C9:F9"/>
    <mergeCell ref="K15:L15"/>
    <mergeCell ref="C13:F13"/>
    <mergeCell ref="A17:B17"/>
    <mergeCell ref="C17:D17"/>
    <mergeCell ref="K17:L17"/>
    <mergeCell ref="A4:L4"/>
    <mergeCell ref="A5:B5"/>
    <mergeCell ref="C5:F5"/>
    <mergeCell ref="K5:L5"/>
    <mergeCell ref="C10:F10"/>
    <mergeCell ref="A6:B6"/>
    <mergeCell ref="C6:F6"/>
    <mergeCell ref="K6:L6"/>
    <mergeCell ref="A7:B7"/>
    <mergeCell ref="C7:F7"/>
    <mergeCell ref="I7:J7"/>
    <mergeCell ref="A8:B8"/>
    <mergeCell ref="K9:L9"/>
  </mergeCells>
  <conditionalFormatting sqref="A1:XFD1">
    <cfRule type="cellIs" dxfId="98" priority="1" stopIfTrue="1" operator="equal">
      <formula>"Missing Info"</formula>
    </cfRule>
  </conditionalFormatting>
  <conditionalFormatting sqref="K34:L34">
    <cfRule type="expression" dxfId="97" priority="3" stopIfTrue="1">
      <formula>K34=""</formula>
    </cfRule>
  </conditionalFormatting>
  <dataValidations count="4">
    <dataValidation type="whole" allowBlank="1" showInputMessage="1" showErrorMessage="1" errorTitle="This is a Numer feild" error="Please only enter numbers into this cell. " sqref="K11:L11" xr:uid="{3C670531-E99C-4485-939E-A245753D4E8D}">
      <formula1>0</formula1>
      <formula2>1000000</formula2>
    </dataValidation>
    <dataValidation type="whole" operator="greaterThan" allowBlank="1" showInputMessage="1" showErrorMessage="1" sqref="C5:F5 K5:L6 L7:L8" xr:uid="{0DDDD771-F3EA-40E2-A9CE-60E7E8503426}">
      <formula1>1</formula1>
    </dataValidation>
    <dataValidation type="list" allowBlank="1" showInputMessage="1" showErrorMessage="1" sqref="C13:F13" xr:uid="{7A592CDA-375B-4F9D-AEEA-2935F3FC9DBB}">
      <formula1>"Select…, Existing Building, New Construction"</formula1>
    </dataValidation>
    <dataValidation type="list" allowBlank="1" showInputMessage="1" showErrorMessage="1" sqref="C17:D17" xr:uid="{4987956A-5A94-4B8F-AF8A-427EB58730FC}">
      <formula1>"Select…,Yes,No,Unsure"</formula1>
    </dataValidation>
  </dataValidations>
  <hyperlinks>
    <hyperlink ref="C18" r:id="rId1" xr:uid="{ECF20F2A-F94C-4A73-856F-F3AE65818608}"/>
  </hyperlinks>
  <pageMargins left="0.7" right="0.7" top="0.75" bottom="0.75" header="0.3" footer="0.3"/>
  <pageSetup scale="52"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extLst>
    <ext xmlns:x14="http://schemas.microsoft.com/office/spreadsheetml/2009/9/main" uri="{CCE6A557-97BC-4b89-ADB6-D9C93CAAB3DF}">
      <x14:dataValidations xmlns:xm="http://schemas.microsoft.com/office/excel/2006/main" count="2">
        <x14:dataValidation type="list" allowBlank="1" showInputMessage="1" showErrorMessage="1" xr:uid="{58FD9021-4480-43E3-8881-6263B68ECF2B}">
          <x14:formula1>
            <xm:f>References!$C$25:$C$26</xm:f>
          </x14:formula1>
          <xm:sqref>K13:L13</xm:sqref>
        </x14:dataValidation>
        <x14:dataValidation type="list" allowBlank="1" showInputMessage="1" showErrorMessage="1" xr:uid="{F3867963-562A-493A-9D20-AE150D0EEA12}">
          <x14:formula1>
            <xm:f>References!$G$53:$G$56</xm:f>
          </x14:formula1>
          <xm:sqref>C15:D15</xm:sqref>
        </x14:dataValidation>
      </x14:dataValidations>
    </ext>
  </extLst>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C1CFD-263E-40D1-8344-9A45C6CE0690}">
  <sheetPr codeName="Sheet30">
    <tabColor rgb="FF00B050"/>
    <pageSetUpPr fitToPage="1"/>
  </sheetPr>
  <dimension ref="A1:N177"/>
  <sheetViews>
    <sheetView showGridLines="0" zoomScale="85" zoomScaleNormal="85" workbookViewId="0"/>
  </sheetViews>
  <sheetFormatPr defaultColWidth="0" defaultRowHeight="14.5"/>
  <cols>
    <col min="1" max="1" width="3.81640625" style="42" customWidth="1"/>
    <col min="2" max="2" width="4.1796875" style="42" customWidth="1"/>
    <col min="3" max="3" width="23.54296875" style="42" customWidth="1"/>
    <col min="4" max="4" width="27.54296875" style="42" customWidth="1"/>
    <col min="5" max="5" width="7.453125" style="42" customWidth="1"/>
    <col min="6" max="6" width="16.1796875" style="42" customWidth="1"/>
    <col min="7" max="8" width="8.81640625" style="42" customWidth="1"/>
    <col min="9" max="9" width="22.1796875" style="42" customWidth="1"/>
    <col min="10" max="10" width="27.7265625" style="42" customWidth="1"/>
    <col min="11" max="11" width="13.54296875" style="42" customWidth="1"/>
    <col min="12" max="12" width="8.81640625" style="42" customWidth="1"/>
    <col min="13" max="13" width="10" style="42" customWidth="1"/>
    <col min="14" max="14" width="3.7265625" style="42" customWidth="1"/>
    <col min="15" max="16384" width="8.81640625" style="42" hidden="1"/>
  </cols>
  <sheetData>
    <row r="1" spans="1:13" ht="45" customHeight="1">
      <c r="B1" s="350" t="str">
        <f>Development!A3&amp;" Residential Efficiency Program"</f>
        <v>2024 Residential Efficiency Program</v>
      </c>
      <c r="D1" s="350"/>
      <c r="E1" s="350"/>
      <c r="F1" s="350"/>
      <c r="G1" s="350"/>
      <c r="H1" s="350"/>
      <c r="I1" s="350"/>
      <c r="J1" s="350"/>
      <c r="K1" s="350"/>
      <c r="L1" s="350"/>
      <c r="M1" s="350"/>
    </row>
    <row r="2" spans="1:13" ht="12" customHeight="1">
      <c r="B2" s="350"/>
      <c r="D2" s="350"/>
      <c r="E2" s="350"/>
      <c r="F2" s="350"/>
      <c r="G2" s="350"/>
      <c r="H2" s="350"/>
      <c r="I2" s="350"/>
      <c r="J2" s="350"/>
      <c r="K2" s="350"/>
      <c r="L2" s="350"/>
      <c r="M2" s="350"/>
    </row>
    <row r="3" spans="1:13" ht="36" customHeight="1">
      <c r="B3" s="352" t="s">
        <v>1256</v>
      </c>
      <c r="C3" s="437"/>
      <c r="D3" s="59"/>
      <c r="E3" s="436"/>
      <c r="F3" s="436"/>
      <c r="G3" s="436"/>
      <c r="H3" s="436"/>
      <c r="I3" s="436"/>
      <c r="J3" s="436"/>
      <c r="K3" s="436"/>
      <c r="L3" s="436"/>
      <c r="M3" s="436"/>
    </row>
    <row r="4" spans="1:13" ht="42" customHeight="1">
      <c r="B4" s="2625" t="s">
        <v>1899</v>
      </c>
      <c r="C4" s="2625"/>
      <c r="D4" s="2625"/>
      <c r="E4" s="2625"/>
      <c r="F4" s="2625"/>
      <c r="G4" s="2625"/>
      <c r="H4" s="2625"/>
      <c r="I4" s="2625"/>
      <c r="J4" s="2625"/>
      <c r="K4" s="2625"/>
      <c r="L4" s="2625"/>
      <c r="M4" s="2625"/>
    </row>
    <row r="5" spans="1:13" ht="27.65" customHeight="1">
      <c r="B5" s="2626" t="s">
        <v>29</v>
      </c>
      <c r="C5" s="2626"/>
      <c r="D5" s="678"/>
      <c r="E5" s="678"/>
      <c r="F5" s="678"/>
      <c r="G5" s="678"/>
      <c r="H5" s="678"/>
      <c r="I5" s="678"/>
      <c r="J5" s="678"/>
      <c r="K5" s="678"/>
      <c r="L5" s="678"/>
      <c r="M5" s="678"/>
    </row>
    <row r="6" spans="1:13" ht="15" customHeight="1">
      <c r="B6" s="198" t="s">
        <v>1255</v>
      </c>
      <c r="C6" s="199" t="s">
        <v>1254</v>
      </c>
      <c r="D6" s="678"/>
      <c r="E6" s="678"/>
      <c r="F6" s="678"/>
      <c r="G6" s="678"/>
      <c r="H6" s="678"/>
      <c r="I6" s="678"/>
      <c r="J6" s="678"/>
      <c r="K6" s="678"/>
      <c r="L6" s="678"/>
      <c r="M6" s="678"/>
    </row>
    <row r="7" spans="1:13" ht="18.649999999999999" customHeight="1">
      <c r="A7" s="679"/>
      <c r="B7" s="198" t="s">
        <v>1253</v>
      </c>
      <c r="C7" s="42" t="s">
        <v>1252</v>
      </c>
      <c r="G7" s="431"/>
      <c r="H7" s="431"/>
      <c r="I7" s="431"/>
      <c r="J7" s="431"/>
      <c r="K7" s="431"/>
      <c r="L7" s="431"/>
      <c r="M7" s="431"/>
    </row>
    <row r="8" spans="1:13" ht="18.649999999999999" customHeight="1">
      <c r="B8" s="198" t="s">
        <v>1251</v>
      </c>
      <c r="C8" s="42" t="s">
        <v>1250</v>
      </c>
      <c r="G8" s="431"/>
      <c r="H8" s="431"/>
      <c r="I8" s="431"/>
      <c r="J8" s="431"/>
      <c r="K8" s="431"/>
      <c r="L8" s="431"/>
      <c r="M8" s="431"/>
    </row>
    <row r="9" spans="1:13" ht="18.649999999999999" customHeight="1">
      <c r="B9" s="198" t="s">
        <v>1898</v>
      </c>
      <c r="C9" s="42" t="s">
        <v>1902</v>
      </c>
      <c r="G9" s="431"/>
      <c r="H9" s="431"/>
      <c r="I9" s="431"/>
      <c r="J9" s="431"/>
      <c r="K9" s="431"/>
      <c r="L9" s="431"/>
      <c r="M9" s="431"/>
    </row>
    <row r="10" spans="1:13" ht="13" customHeight="1">
      <c r="B10" s="680"/>
      <c r="C10" s="681"/>
      <c r="G10" s="432"/>
      <c r="H10" s="432"/>
      <c r="I10" s="432"/>
      <c r="J10" s="432"/>
      <c r="K10" s="431"/>
      <c r="L10" s="431"/>
      <c r="M10" s="431"/>
    </row>
    <row r="11" spans="1:13" ht="25" customHeight="1" thickBot="1">
      <c r="B11" s="427" t="s">
        <v>468</v>
      </c>
      <c r="C11" s="427"/>
      <c r="D11" s="427"/>
      <c r="E11" s="427"/>
      <c r="F11" s="427"/>
      <c r="G11" s="427"/>
      <c r="H11" s="427"/>
      <c r="I11" s="427"/>
      <c r="J11" s="427"/>
      <c r="K11" s="427"/>
      <c r="L11" s="427"/>
      <c r="M11" s="427"/>
    </row>
    <row r="12" spans="1:13" ht="33.65" customHeight="1">
      <c r="B12" s="680"/>
      <c r="C12" s="2628" t="s">
        <v>1249</v>
      </c>
      <c r="D12" s="2628"/>
      <c r="E12" s="682"/>
      <c r="F12" s="682"/>
      <c r="G12" s="432"/>
      <c r="H12" s="432"/>
      <c r="I12" s="432"/>
      <c r="J12" s="432"/>
      <c r="K12" s="431"/>
      <c r="L12" s="431"/>
      <c r="M12" s="431"/>
    </row>
    <row r="13" spans="1:13" ht="19.5" customHeight="1">
      <c r="B13" s="680"/>
      <c r="C13" s="2627"/>
      <c r="D13" s="2627"/>
      <c r="E13" s="683"/>
      <c r="F13" s="682"/>
      <c r="G13" s="432"/>
      <c r="H13" s="432"/>
      <c r="I13" s="432"/>
      <c r="J13" s="432"/>
      <c r="K13" s="431"/>
      <c r="L13" s="431"/>
      <c r="M13" s="431"/>
    </row>
    <row r="14" spans="1:13" ht="14.5" customHeight="1">
      <c r="C14" s="432"/>
      <c r="E14" s="684"/>
      <c r="G14" s="432"/>
      <c r="H14" s="432"/>
      <c r="I14" s="432"/>
      <c r="J14" s="432"/>
      <c r="K14" s="431"/>
      <c r="L14" s="431"/>
      <c r="M14" s="431"/>
    </row>
    <row r="15" spans="1:13" ht="24" thickBot="1">
      <c r="C15" s="427" t="s">
        <v>1565</v>
      </c>
      <c r="D15" s="424"/>
      <c r="I15" s="435" t="s">
        <v>1566</v>
      </c>
      <c r="J15" s="424"/>
      <c r="K15" s="431"/>
      <c r="L15" s="431"/>
      <c r="M15" s="431"/>
    </row>
    <row r="16" spans="1:13" ht="15" customHeight="1">
      <c r="K16" s="431"/>
      <c r="L16" s="431"/>
      <c r="M16" s="431"/>
    </row>
    <row r="17" spans="3:13" ht="15" customHeight="1">
      <c r="C17" s="42" t="s">
        <v>1247</v>
      </c>
      <c r="D17" s="560"/>
      <c r="E17" s="685" t="s">
        <v>1571</v>
      </c>
      <c r="I17" s="42" t="s">
        <v>1246</v>
      </c>
      <c r="J17" s="561"/>
      <c r="K17" s="685" t="s">
        <v>1571</v>
      </c>
      <c r="L17" s="431"/>
      <c r="M17" s="431"/>
    </row>
    <row r="18" spans="3:13" ht="15" customHeight="1">
      <c r="K18" s="431"/>
      <c r="L18" s="431"/>
      <c r="M18" s="431"/>
    </row>
    <row r="19" spans="3:13" ht="15" customHeight="1">
      <c r="C19" s="42" t="s">
        <v>1245</v>
      </c>
      <c r="D19" s="562"/>
      <c r="E19" s="686"/>
      <c r="I19" s="42" t="s">
        <v>1244</v>
      </c>
      <c r="J19" s="433"/>
      <c r="K19" s="431"/>
      <c r="L19" s="431"/>
      <c r="M19" s="431"/>
    </row>
    <row r="20" spans="3:13" ht="15" customHeight="1">
      <c r="K20" s="431"/>
      <c r="L20" s="431"/>
      <c r="M20" s="431"/>
    </row>
    <row r="21" spans="3:13" ht="15" customHeight="1">
      <c r="C21" s="42" t="s">
        <v>1243</v>
      </c>
      <c r="D21" s="434"/>
      <c r="E21" s="687"/>
      <c r="I21" s="42" t="s">
        <v>1242</v>
      </c>
      <c r="J21" s="433"/>
      <c r="K21" s="431"/>
      <c r="L21" s="431"/>
      <c r="M21" s="431"/>
    </row>
    <row r="22" spans="3:13" ht="15" customHeight="1">
      <c r="K22" s="431"/>
      <c r="L22" s="431"/>
      <c r="M22" s="431"/>
    </row>
    <row r="23" spans="3:13" ht="15" customHeight="1">
      <c r="C23" s="42" t="s">
        <v>1241</v>
      </c>
      <c r="D23" s="434"/>
      <c r="E23" s="687"/>
      <c r="I23" s="42" t="s">
        <v>1241</v>
      </c>
      <c r="J23" s="433"/>
      <c r="K23" s="431"/>
      <c r="L23" s="431"/>
      <c r="M23" s="431"/>
    </row>
    <row r="24" spans="3:13" ht="15" customHeight="1">
      <c r="K24" s="431"/>
      <c r="L24" s="431"/>
      <c r="M24" s="431"/>
    </row>
    <row r="25" spans="3:13" ht="15" customHeight="1">
      <c r="C25" s="359" t="s">
        <v>1240</v>
      </c>
      <c r="D25" s="74"/>
      <c r="I25" s="42" t="s">
        <v>1568</v>
      </c>
      <c r="J25" s="562"/>
      <c r="K25" s="431"/>
      <c r="L25" s="431"/>
      <c r="M25" s="431"/>
    </row>
    <row r="26" spans="3:13" ht="15" customHeight="1">
      <c r="C26" s="359"/>
      <c r="K26" s="431"/>
      <c r="L26" s="431"/>
      <c r="M26" s="431"/>
    </row>
    <row r="27" spans="3:13" ht="15" customHeight="1">
      <c r="C27" s="359" t="s">
        <v>1567</v>
      </c>
      <c r="D27" s="562"/>
      <c r="K27" s="431"/>
      <c r="L27" s="431"/>
      <c r="M27" s="431"/>
    </row>
    <row r="28" spans="3:13" ht="15" customHeight="1">
      <c r="C28" s="359"/>
      <c r="K28" s="431"/>
      <c r="L28" s="431"/>
      <c r="M28" s="431"/>
    </row>
    <row r="29" spans="3:13" ht="15" customHeight="1">
      <c r="C29" s="359"/>
      <c r="K29" s="431"/>
      <c r="L29" s="431"/>
      <c r="M29" s="431"/>
    </row>
    <row r="30" spans="3:13" ht="24" customHeight="1" thickBot="1">
      <c r="C30" s="427" t="s">
        <v>1569</v>
      </c>
      <c r="D30" s="424"/>
      <c r="I30" s="435" t="s">
        <v>1570</v>
      </c>
      <c r="J30" s="424"/>
      <c r="K30" s="431"/>
      <c r="L30" s="431"/>
      <c r="M30" s="431"/>
    </row>
    <row r="31" spans="3:13" ht="15" customHeight="1">
      <c r="K31" s="431"/>
      <c r="L31" s="431"/>
      <c r="M31" s="431"/>
    </row>
    <row r="32" spans="3:13" ht="15" customHeight="1">
      <c r="C32" s="42" t="s">
        <v>1247</v>
      </c>
      <c r="D32" s="560"/>
      <c r="E32" s="685" t="s">
        <v>1571</v>
      </c>
      <c r="I32" s="42" t="s">
        <v>1246</v>
      </c>
      <c r="J32" s="561"/>
      <c r="K32" s="685" t="s">
        <v>1571</v>
      </c>
      <c r="L32" s="431"/>
      <c r="M32" s="431"/>
    </row>
    <row r="33" spans="2:13" ht="15" customHeight="1">
      <c r="K33" s="431"/>
      <c r="L33" s="431"/>
      <c r="M33" s="431"/>
    </row>
    <row r="34" spans="2:13" ht="15" customHeight="1">
      <c r="C34" s="42" t="s">
        <v>1245</v>
      </c>
      <c r="D34" s="562"/>
      <c r="E34" s="686"/>
      <c r="I34" s="42" t="s">
        <v>1244</v>
      </c>
      <c r="J34" s="433"/>
      <c r="K34" s="431"/>
      <c r="L34" s="431"/>
      <c r="M34" s="431"/>
    </row>
    <row r="35" spans="2:13" ht="15" customHeight="1">
      <c r="K35" s="431"/>
      <c r="L35" s="431"/>
      <c r="M35" s="431"/>
    </row>
    <row r="36" spans="2:13" ht="15" customHeight="1">
      <c r="C36" s="42" t="s">
        <v>1243</v>
      </c>
      <c r="D36" s="434"/>
      <c r="E36" s="687"/>
      <c r="I36" s="42" t="s">
        <v>1242</v>
      </c>
      <c r="J36" s="433"/>
      <c r="K36" s="431"/>
      <c r="L36" s="431"/>
      <c r="M36" s="431"/>
    </row>
    <row r="37" spans="2:13" ht="15" customHeight="1">
      <c r="K37" s="431"/>
      <c r="L37" s="431"/>
      <c r="M37" s="431"/>
    </row>
    <row r="38" spans="2:13" ht="15" customHeight="1">
      <c r="C38" s="42" t="s">
        <v>1241</v>
      </c>
      <c r="D38" s="434"/>
      <c r="E38" s="687"/>
      <c r="I38" s="42" t="s">
        <v>1241</v>
      </c>
      <c r="J38" s="433"/>
      <c r="K38" s="431"/>
      <c r="L38" s="431"/>
      <c r="M38" s="431"/>
    </row>
    <row r="39" spans="2:13" ht="15" customHeight="1">
      <c r="K39" s="431"/>
      <c r="L39" s="431"/>
      <c r="M39" s="431"/>
    </row>
    <row r="40" spans="2:13" ht="15" customHeight="1">
      <c r="C40" s="359" t="s">
        <v>1240</v>
      </c>
      <c r="D40" s="74"/>
      <c r="I40" s="42" t="s">
        <v>1568</v>
      </c>
      <c r="J40" s="562"/>
      <c r="K40" s="431"/>
      <c r="L40" s="431"/>
      <c r="M40" s="431"/>
    </row>
    <row r="41" spans="2:13" ht="15" customHeight="1">
      <c r="C41" s="359"/>
      <c r="K41" s="431"/>
      <c r="L41" s="431"/>
      <c r="M41" s="431"/>
    </row>
    <row r="42" spans="2:13" ht="15" customHeight="1">
      <c r="C42" s="359" t="s">
        <v>1567</v>
      </c>
      <c r="D42" s="562"/>
      <c r="K42" s="431"/>
      <c r="L42" s="431"/>
      <c r="M42" s="431"/>
    </row>
    <row r="43" spans="2:13" ht="15" customHeight="1">
      <c r="C43" s="359"/>
      <c r="K43" s="431"/>
      <c r="L43" s="431"/>
      <c r="M43" s="431"/>
    </row>
    <row r="44" spans="2:13" ht="15" customHeight="1">
      <c r="C44" s="359"/>
      <c r="K44" s="431"/>
      <c r="L44" s="431"/>
      <c r="M44" s="431"/>
    </row>
    <row r="45" spans="2:13">
      <c r="B45" s="59"/>
      <c r="C45" s="59"/>
      <c r="D45" s="59"/>
      <c r="E45" s="59"/>
      <c r="F45" s="59"/>
      <c r="G45" s="59"/>
      <c r="H45" s="59"/>
      <c r="I45" s="59"/>
      <c r="J45" s="59"/>
      <c r="K45" s="59"/>
      <c r="L45" s="59"/>
      <c r="M45" s="59"/>
    </row>
    <row r="46" spans="2:13" s="53" customFormat="1" ht="40" customHeight="1">
      <c r="B46" s="428" t="s">
        <v>1239</v>
      </c>
    </row>
    <row r="47" spans="2:13">
      <c r="C47" s="42" t="s">
        <v>1557</v>
      </c>
      <c r="D47" s="355"/>
      <c r="I47" s="42" t="s">
        <v>1699</v>
      </c>
      <c r="J47" s="665"/>
    </row>
    <row r="48" spans="2:13">
      <c r="K48" s="2623" t="str">
        <f>IF(J47="","",IF(J49&lt;J47,"","*Please note the rebate cannot be higher than the cost of installation"))</f>
        <v/>
      </c>
      <c r="L48" s="2623"/>
      <c r="M48" s="2623"/>
    </row>
    <row r="49" spans="3:13" ht="15" customHeight="1">
      <c r="C49" s="43" t="s">
        <v>1651</v>
      </c>
      <c r="D49" s="604"/>
      <c r="E49" s="688" t="s">
        <v>1558</v>
      </c>
      <c r="I49" s="42" t="s">
        <v>1700</v>
      </c>
      <c r="J49" s="118">
        <f>IF(OR(Qualifying_Index!AZ68=0,Qualifying_Index!AZ68=""),0,Qualifying_Index!AZ68)</f>
        <v>0</v>
      </c>
      <c r="K49" s="2623"/>
      <c r="L49" s="2623"/>
      <c r="M49" s="2623"/>
    </row>
    <row r="50" spans="3:13">
      <c r="C50" s="689" t="s">
        <v>1610</v>
      </c>
      <c r="K50" s="2623"/>
      <c r="L50" s="2623"/>
      <c r="M50" s="2623"/>
    </row>
    <row r="51" spans="3:13" ht="24" thickBot="1">
      <c r="C51" s="430" t="s">
        <v>1229</v>
      </c>
      <c r="D51" s="424"/>
      <c r="E51" s="424"/>
      <c r="I51" s="427" t="s">
        <v>1228</v>
      </c>
      <c r="J51" s="424"/>
    </row>
    <row r="53" spans="3:13">
      <c r="C53" s="359" t="s">
        <v>1238</v>
      </c>
      <c r="D53" s="429"/>
      <c r="I53" s="359" t="s">
        <v>1238</v>
      </c>
      <c r="J53" s="96"/>
    </row>
    <row r="54" spans="3:13">
      <c r="C54" s="359"/>
      <c r="I54" s="359"/>
    </row>
    <row r="55" spans="3:13">
      <c r="C55" s="359" t="s">
        <v>1561</v>
      </c>
      <c r="D55" s="429"/>
      <c r="I55" s="359" t="s">
        <v>1561</v>
      </c>
      <c r="J55" s="429"/>
    </row>
    <row r="56" spans="3:13">
      <c r="C56" s="359"/>
      <c r="I56" s="359"/>
    </row>
    <row r="57" spans="3:13" ht="29.5" customHeight="1">
      <c r="C57" s="690" t="s">
        <v>1559</v>
      </c>
      <c r="D57" s="604"/>
      <c r="E57" s="691"/>
      <c r="I57" s="690" t="s">
        <v>1559</v>
      </c>
      <c r="J57" s="604"/>
    </row>
    <row r="58" spans="3:13" ht="14.5" customHeight="1">
      <c r="C58" s="690"/>
      <c r="E58" s="691"/>
      <c r="I58" s="690"/>
    </row>
    <row r="59" spans="3:13" ht="29.5" customHeight="1">
      <c r="C59" s="628" t="s">
        <v>1756</v>
      </c>
      <c r="D59" s="604"/>
      <c r="I59" s="42" t="s">
        <v>1222</v>
      </c>
      <c r="J59" s="604"/>
    </row>
    <row r="60" spans="3:13" ht="14.5" customHeight="1">
      <c r="C60" s="628"/>
    </row>
    <row r="61" spans="3:13" ht="29.5" customHeight="1">
      <c r="C61" s="359" t="s">
        <v>1755</v>
      </c>
      <c r="D61" s="604"/>
      <c r="I61" s="42" t="s">
        <v>1755</v>
      </c>
      <c r="J61" s="604"/>
    </row>
    <row r="62" spans="3:13" ht="29.5" customHeight="1">
      <c r="C62" s="628"/>
    </row>
    <row r="63" spans="3:13" ht="29.5" customHeight="1" thickBot="1">
      <c r="C63" s="430" t="s">
        <v>1227</v>
      </c>
      <c r="D63" s="424"/>
      <c r="E63" s="424"/>
    </row>
    <row r="64" spans="3:13" ht="14.5" customHeight="1"/>
    <row r="65" spans="3:14" ht="14.5" customHeight="1">
      <c r="C65" s="359" t="s">
        <v>1238</v>
      </c>
      <c r="D65" s="429"/>
    </row>
    <row r="66" spans="3:14" ht="14.5" customHeight="1">
      <c r="C66" s="359"/>
    </row>
    <row r="67" spans="3:14" ht="14.5" customHeight="1">
      <c r="C67" s="359" t="s">
        <v>1561</v>
      </c>
      <c r="D67" s="429"/>
      <c r="F67" s="692"/>
    </row>
    <row r="68" spans="3:14" ht="14.5" customHeight="1">
      <c r="C68" s="359"/>
    </row>
    <row r="69" spans="3:14" ht="29.5" customHeight="1">
      <c r="C69" s="690" t="s">
        <v>1560</v>
      </c>
      <c r="D69" s="604"/>
      <c r="F69" s="693"/>
      <c r="G69" s="693"/>
      <c r="H69" s="693"/>
      <c r="I69" s="693"/>
      <c r="J69" s="693"/>
      <c r="K69" s="693"/>
      <c r="L69" s="693"/>
      <c r="M69" s="693"/>
      <c r="N69" s="693"/>
    </row>
    <row r="70" spans="3:14" ht="15" customHeight="1">
      <c r="C70" s="359"/>
      <c r="F70" s="693"/>
      <c r="G70" s="693"/>
      <c r="H70" s="693"/>
      <c r="I70" s="693"/>
      <c r="J70" s="693"/>
      <c r="K70" s="693"/>
      <c r="L70" s="693"/>
      <c r="M70" s="693"/>
      <c r="N70" s="693"/>
    </row>
    <row r="71" spans="3:14" ht="29.5" customHeight="1">
      <c r="C71" s="628" t="s">
        <v>1756</v>
      </c>
      <c r="D71" s="604"/>
      <c r="F71" s="693"/>
      <c r="G71" s="693"/>
      <c r="H71" s="693"/>
      <c r="I71" s="693"/>
      <c r="J71" s="693"/>
      <c r="K71" s="693"/>
      <c r="L71" s="693"/>
      <c r="M71" s="693"/>
      <c r="N71" s="693"/>
    </row>
    <row r="72" spans="3:14" ht="15" customHeight="1">
      <c r="C72" s="628"/>
      <c r="F72" s="693"/>
      <c r="G72" s="693"/>
      <c r="H72" s="693"/>
      <c r="I72" s="693"/>
      <c r="J72" s="693"/>
      <c r="K72" s="693"/>
      <c r="L72" s="693"/>
      <c r="M72" s="693"/>
      <c r="N72" s="693"/>
    </row>
    <row r="73" spans="3:14" ht="29.5" customHeight="1">
      <c r="C73" s="628" t="s">
        <v>1755</v>
      </c>
      <c r="D73" s="604"/>
      <c r="F73" s="693"/>
      <c r="G73" s="693"/>
      <c r="H73" s="693"/>
      <c r="I73" s="693"/>
      <c r="J73" s="693"/>
      <c r="K73" s="693"/>
      <c r="L73" s="693"/>
      <c r="M73" s="693"/>
      <c r="N73" s="693"/>
    </row>
    <row r="74" spans="3:14" ht="29.5" customHeight="1">
      <c r="E74" s="691"/>
      <c r="F74" s="693"/>
      <c r="G74" s="693"/>
      <c r="H74" s="693"/>
      <c r="I74" s="693"/>
      <c r="J74" s="693"/>
      <c r="K74" s="693"/>
      <c r="L74" s="693"/>
      <c r="M74" s="693"/>
      <c r="N74" s="693"/>
    </row>
    <row r="75" spans="3:14" ht="0.65" customHeight="1">
      <c r="C75" s="359"/>
      <c r="D75" s="694"/>
      <c r="E75" s="694"/>
      <c r="I75" s="359"/>
      <c r="J75" s="691"/>
    </row>
    <row r="76" spans="3:14" ht="0.65" customHeight="1">
      <c r="C76" s="359"/>
      <c r="D76" s="694"/>
      <c r="E76" s="694"/>
      <c r="I76" s="359"/>
      <c r="J76" s="691"/>
    </row>
    <row r="77" spans="3:14" ht="0.65" customHeight="1">
      <c r="C77" s="359"/>
      <c r="D77" s="694"/>
      <c r="E77" s="694"/>
      <c r="I77" s="359"/>
      <c r="J77" s="691"/>
    </row>
    <row r="78" spans="3:14" ht="0.65" customHeight="1">
      <c r="C78" s="359"/>
      <c r="D78" s="694"/>
      <c r="E78" s="694"/>
      <c r="I78" s="359"/>
      <c r="J78" s="691"/>
    </row>
    <row r="79" spans="3:14" ht="0.65" customHeight="1">
      <c r="C79" s="359"/>
      <c r="D79" s="694"/>
      <c r="E79" s="694"/>
      <c r="I79" s="359"/>
      <c r="J79" s="691"/>
    </row>
    <row r="80" spans="3:14" ht="0.65" customHeight="1">
      <c r="C80" s="359"/>
      <c r="D80" s="694"/>
      <c r="E80" s="694"/>
      <c r="I80" s="359"/>
      <c r="J80" s="691"/>
    </row>
    <row r="81" spans="3:10" ht="0.65" customHeight="1">
      <c r="C81" s="359"/>
      <c r="D81" s="694"/>
      <c r="E81" s="694"/>
      <c r="I81" s="359"/>
      <c r="J81" s="691"/>
    </row>
    <row r="82" spans="3:10" ht="0.65" customHeight="1">
      <c r="C82" s="359"/>
      <c r="D82" s="694"/>
      <c r="E82" s="694"/>
      <c r="I82" s="359"/>
      <c r="J82" s="691"/>
    </row>
    <row r="83" spans="3:10" ht="0.65" customHeight="1">
      <c r="C83" s="359"/>
      <c r="D83" s="694"/>
      <c r="E83" s="694"/>
      <c r="I83" s="359"/>
      <c r="J83" s="691"/>
    </row>
    <row r="84" spans="3:10" ht="0.65" customHeight="1">
      <c r="C84" s="359"/>
      <c r="D84" s="694"/>
      <c r="E84" s="694"/>
      <c r="I84" s="359"/>
      <c r="J84" s="691"/>
    </row>
    <row r="85" spans="3:10" ht="0.65" customHeight="1">
      <c r="C85" s="359"/>
      <c r="D85" s="694"/>
      <c r="E85" s="694"/>
      <c r="I85" s="359"/>
      <c r="J85" s="691"/>
    </row>
    <row r="86" spans="3:10" ht="0.65" customHeight="1">
      <c r="C86" s="359"/>
      <c r="D86" s="694"/>
      <c r="E86" s="694"/>
      <c r="I86" s="359"/>
      <c r="J86" s="691"/>
    </row>
    <row r="87" spans="3:10" ht="0.65" customHeight="1">
      <c r="C87" s="359"/>
      <c r="D87" s="694"/>
      <c r="E87" s="694"/>
      <c r="I87" s="359"/>
      <c r="J87" s="691"/>
    </row>
    <row r="88" spans="3:10" ht="0.65" customHeight="1">
      <c r="C88" s="359"/>
      <c r="D88" s="694"/>
      <c r="E88" s="694"/>
      <c r="I88" s="359"/>
      <c r="J88" s="691"/>
    </row>
    <row r="89" spans="3:10" ht="0.65" customHeight="1">
      <c r="C89" s="359"/>
      <c r="D89" s="694"/>
      <c r="E89" s="694"/>
      <c r="I89" s="359"/>
      <c r="J89" s="691"/>
    </row>
    <row r="90" spans="3:10" ht="0.65" customHeight="1">
      <c r="C90" s="359"/>
      <c r="D90" s="694"/>
      <c r="E90" s="694"/>
      <c r="I90" s="359"/>
      <c r="J90" s="691"/>
    </row>
    <row r="91" spans="3:10" ht="0.65" customHeight="1">
      <c r="C91" s="359"/>
      <c r="D91" s="694"/>
      <c r="E91" s="694"/>
      <c r="I91" s="359"/>
      <c r="J91" s="691"/>
    </row>
    <row r="92" spans="3:10" ht="0.65" customHeight="1">
      <c r="C92" s="359"/>
      <c r="D92" s="694"/>
      <c r="E92" s="694"/>
      <c r="I92" s="359"/>
      <c r="J92" s="691"/>
    </row>
    <row r="93" spans="3:10" ht="0.65" customHeight="1">
      <c r="C93" s="359"/>
      <c r="D93" s="694"/>
      <c r="E93" s="694"/>
      <c r="I93" s="359"/>
      <c r="J93" s="691"/>
    </row>
    <row r="94" spans="3:10" ht="0.65" customHeight="1">
      <c r="C94" s="359"/>
      <c r="D94" s="694"/>
      <c r="E94" s="694"/>
      <c r="I94" s="359"/>
      <c r="J94" s="691"/>
    </row>
    <row r="95" spans="3:10" ht="0.65" customHeight="1"/>
    <row r="96" spans="3:10" ht="0.65" customHeight="1"/>
    <row r="97" spans="2:13" ht="0.65" customHeight="1"/>
    <row r="98" spans="2:13" ht="19.5" customHeight="1"/>
    <row r="99" spans="2:13" ht="40" customHeight="1">
      <c r="B99" s="599" t="s">
        <v>1237</v>
      </c>
      <c r="C99" s="49"/>
      <c r="D99" s="49"/>
      <c r="E99" s="49"/>
      <c r="F99" s="49"/>
      <c r="G99" s="49"/>
      <c r="H99" s="49"/>
      <c r="I99" s="49"/>
      <c r="J99" s="49"/>
      <c r="K99" s="49"/>
      <c r="L99" s="49"/>
      <c r="M99" s="49"/>
    </row>
    <row r="100" spans="2:13">
      <c r="C100" s="359" t="s">
        <v>1236</v>
      </c>
      <c r="D100" s="355"/>
      <c r="I100" s="42" t="s">
        <v>1699</v>
      </c>
      <c r="J100" s="665"/>
    </row>
    <row r="101" spans="2:13">
      <c r="C101" s="359"/>
      <c r="K101" s="2623" t="str">
        <f>IF(J100="","",IF(J102&lt;J100,"","*Please note the rebate cannot be higher than the cost of installation"))</f>
        <v/>
      </c>
      <c r="L101" s="2623"/>
      <c r="M101" s="2623"/>
    </row>
    <row r="102" spans="2:13">
      <c r="C102" s="359"/>
      <c r="I102" s="42" t="s">
        <v>1700</v>
      </c>
      <c r="J102" s="118">
        <f>IF(OR(Qualifying_Index!AW74=0,Qualifying_Index!AW74=""),0,Qualifying_Index!AW74)</f>
        <v>0</v>
      </c>
      <c r="K102" s="2623"/>
      <c r="L102" s="2623"/>
      <c r="M102" s="2623"/>
    </row>
    <row r="103" spans="2:13" ht="24" thickBot="1">
      <c r="C103" s="427" t="s">
        <v>1229</v>
      </c>
      <c r="D103" s="424"/>
      <c r="E103" s="424"/>
      <c r="I103" s="426"/>
      <c r="J103" s="426"/>
    </row>
    <row r="105" spans="2:13">
      <c r="C105" s="359" t="s">
        <v>1235</v>
      </c>
      <c r="D105" s="96"/>
      <c r="E105" s="688" t="s">
        <v>1701</v>
      </c>
      <c r="I105" s="359"/>
    </row>
    <row r="106" spans="2:13">
      <c r="C106" s="359"/>
      <c r="I106" s="359"/>
    </row>
    <row r="107" spans="2:13">
      <c r="C107" s="359" t="s">
        <v>1234</v>
      </c>
      <c r="D107" s="600"/>
      <c r="E107" s="217"/>
      <c r="I107" s="359"/>
      <c r="J107" s="217"/>
    </row>
    <row r="108" spans="2:13">
      <c r="C108" s="359"/>
      <c r="I108" s="359"/>
    </row>
    <row r="109" spans="2:13">
      <c r="C109" s="359" t="s">
        <v>1233</v>
      </c>
      <c r="D109" s="600"/>
      <c r="E109" s="217"/>
      <c r="I109" s="359"/>
      <c r="J109" s="217"/>
    </row>
    <row r="110" spans="2:13">
      <c r="C110" s="359"/>
      <c r="I110" s="359"/>
    </row>
    <row r="111" spans="2:13" ht="16.5" customHeight="1">
      <c r="C111" s="2624" t="s">
        <v>1232</v>
      </c>
      <c r="I111" s="2624"/>
    </row>
    <row r="112" spans="2:13">
      <c r="C112" s="2624"/>
      <c r="D112" s="423"/>
      <c r="E112" s="691"/>
      <c r="I112" s="2624"/>
      <c r="J112" s="695"/>
    </row>
    <row r="113" ht="5.15" customHeight="1"/>
    <row r="114" ht="0.65" customHeight="1"/>
    <row r="115" ht="0.65" customHeight="1"/>
    <row r="116" ht="0.65" customHeight="1"/>
    <row r="117" ht="0.65" customHeight="1"/>
    <row r="118" ht="0.65" customHeight="1"/>
    <row r="119" ht="0.65" customHeight="1"/>
    <row r="120" ht="0.65" customHeight="1"/>
    <row r="121" ht="0.65" customHeight="1"/>
    <row r="122" ht="0.65" customHeight="1"/>
    <row r="123" ht="0.65" customHeight="1"/>
    <row r="124" ht="0.65" customHeight="1"/>
    <row r="125" ht="0.65" customHeight="1"/>
    <row r="126" ht="0.65" customHeight="1"/>
    <row r="127" ht="0.65" customHeight="1"/>
    <row r="128" ht="0.65" customHeight="1"/>
    <row r="129" spans="2:13" ht="0.65" customHeight="1"/>
    <row r="130" spans="2:13" ht="0.65" customHeight="1"/>
    <row r="131" spans="2:13" ht="0.65" customHeight="1"/>
    <row r="132" spans="2:13" ht="0.65" customHeight="1"/>
    <row r="133" spans="2:13" ht="0.65" customHeight="1"/>
    <row r="134" spans="2:13" ht="0.65" customHeight="1"/>
    <row r="135" spans="2:13" ht="0.65" customHeight="1"/>
    <row r="136" spans="2:13" ht="0.65" customHeight="1"/>
    <row r="137" spans="2:13" ht="18.75" customHeight="1"/>
    <row r="138" spans="2:13" ht="40" customHeight="1">
      <c r="B138" s="599" t="s">
        <v>1231</v>
      </c>
      <c r="C138" s="49"/>
      <c r="D138" s="49"/>
      <c r="E138" s="49"/>
      <c r="F138" s="49"/>
      <c r="G138" s="49"/>
      <c r="H138" s="49"/>
      <c r="I138" s="49"/>
      <c r="J138" s="49"/>
      <c r="K138" s="49"/>
      <c r="L138" s="49"/>
      <c r="M138" s="49"/>
    </row>
    <row r="139" spans="2:13">
      <c r="C139" s="359" t="s">
        <v>1230</v>
      </c>
      <c r="D139" s="355"/>
      <c r="I139" s="42" t="s">
        <v>1699</v>
      </c>
      <c r="J139" s="665"/>
    </row>
    <row r="140" spans="2:13" ht="15" customHeight="1">
      <c r="C140" s="359"/>
      <c r="K140" s="2623" t="str">
        <f>IF(J139="","",IF(J141&lt;J139,"","*Please note the rebate cannot be higher than the cost of installation"))</f>
        <v/>
      </c>
      <c r="L140" s="2623"/>
      <c r="M140" s="2623"/>
    </row>
    <row r="141" spans="2:13">
      <c r="C141" s="43"/>
      <c r="I141" s="42" t="s">
        <v>1700</v>
      </c>
      <c r="J141" s="118">
        <f>IF(OR(Qualifying_Index!BL88=0,Qualifying_Index!BL88=""),0,Qualifying_Index!BL88)</f>
        <v>0</v>
      </c>
      <c r="K141" s="2623"/>
      <c r="L141" s="2623"/>
      <c r="M141" s="2623"/>
    </row>
    <row r="142" spans="2:13">
      <c r="C142" s="43"/>
      <c r="K142" s="2623"/>
      <c r="L142" s="2623"/>
      <c r="M142" s="2623"/>
    </row>
    <row r="143" spans="2:13" ht="24" thickBot="1">
      <c r="C143" s="424" t="s">
        <v>1229</v>
      </c>
      <c r="D143" s="424"/>
      <c r="E143" s="424"/>
      <c r="I143" s="424" t="s">
        <v>1228</v>
      </c>
      <c r="J143" s="424"/>
    </row>
    <row r="144" spans="2:13">
      <c r="D144" s="43"/>
    </row>
    <row r="145" spans="3:10">
      <c r="C145" s="359" t="s">
        <v>1224</v>
      </c>
      <c r="D145" s="96"/>
      <c r="I145" s="359" t="s">
        <v>1224</v>
      </c>
      <c r="J145" s="96"/>
    </row>
    <row r="146" spans="3:10">
      <c r="C146" s="359"/>
      <c r="I146" s="359"/>
    </row>
    <row r="147" spans="3:10">
      <c r="C147" s="696" t="str">
        <f>IF(OR(D145="Basement Ceiling",D145=""),"Location Attribute:","")</f>
        <v>Location Attribute:</v>
      </c>
      <c r="D147" s="167"/>
      <c r="G147" s="223"/>
      <c r="H147" s="223"/>
      <c r="I147" s="696" t="str">
        <f>IF(OR(J145="Basement Ceiling",J145=""),"Location Attribute:","")</f>
        <v>Location Attribute:</v>
      </c>
      <c r="J147" s="425"/>
    </row>
    <row r="148" spans="3:10">
      <c r="C148" s="359"/>
      <c r="I148" s="359"/>
    </row>
    <row r="149" spans="3:10" ht="26.5" customHeight="1">
      <c r="C149" s="690" t="s">
        <v>1698</v>
      </c>
      <c r="D149" s="601"/>
      <c r="E149" s="691"/>
      <c r="I149" s="690" t="s">
        <v>1698</v>
      </c>
      <c r="J149" s="601"/>
    </row>
    <row r="150" spans="3:10">
      <c r="C150" s="359"/>
      <c r="I150" s="359"/>
    </row>
    <row r="151" spans="3:10">
      <c r="C151" s="359" t="s">
        <v>1223</v>
      </c>
      <c r="D151" s="422"/>
      <c r="E151" s="217"/>
      <c r="I151" s="359" t="s">
        <v>1223</v>
      </c>
      <c r="J151" s="422"/>
    </row>
    <row r="152" spans="3:10">
      <c r="C152" s="359"/>
      <c r="D152" s="217"/>
      <c r="E152" s="217"/>
      <c r="I152" s="359"/>
    </row>
    <row r="153" spans="3:10">
      <c r="C153" s="359" t="s">
        <v>1222</v>
      </c>
      <c r="D153" s="422"/>
      <c r="E153" s="217"/>
      <c r="I153" s="359" t="s">
        <v>1222</v>
      </c>
      <c r="J153" s="422"/>
    </row>
    <row r="155" spans="3:10" ht="24" thickBot="1">
      <c r="C155" s="424" t="s">
        <v>1227</v>
      </c>
      <c r="D155" s="424"/>
      <c r="E155" s="424"/>
      <c r="I155" s="424" t="s">
        <v>1226</v>
      </c>
      <c r="J155" s="424"/>
    </row>
    <row r="156" spans="3:10">
      <c r="D156" s="43"/>
    </row>
    <row r="157" spans="3:10">
      <c r="C157" s="359" t="s">
        <v>1224</v>
      </c>
      <c r="D157" s="96"/>
      <c r="I157" s="359" t="s">
        <v>1224</v>
      </c>
      <c r="J157" s="96"/>
    </row>
    <row r="158" spans="3:10">
      <c r="C158" s="359"/>
      <c r="I158" s="359"/>
    </row>
    <row r="159" spans="3:10">
      <c r="C159" s="696" t="str">
        <f>IF(OR(D157="Basement Ceiling",D157=""),"Location Attribute:","")</f>
        <v>Location Attribute:</v>
      </c>
      <c r="D159" s="167"/>
      <c r="G159" s="223"/>
      <c r="H159" s="223"/>
      <c r="I159" s="696" t="str">
        <f>IF(OR(J157="Basement Ceiling",J157=""),"Location Attribute:","")</f>
        <v>Location Attribute:</v>
      </c>
      <c r="J159" s="425"/>
    </row>
    <row r="160" spans="3:10">
      <c r="C160" s="359"/>
      <c r="I160" s="359"/>
    </row>
    <row r="161" spans="3:10" ht="26.5" customHeight="1">
      <c r="C161" s="690" t="s">
        <v>1698</v>
      </c>
      <c r="D161" s="601"/>
      <c r="E161" s="691"/>
      <c r="I161" s="690" t="s">
        <v>1698</v>
      </c>
      <c r="J161" s="601"/>
    </row>
    <row r="162" spans="3:10">
      <c r="C162" s="359"/>
      <c r="I162" s="359"/>
    </row>
    <row r="163" spans="3:10">
      <c r="C163" s="359" t="s">
        <v>1223</v>
      </c>
      <c r="D163" s="422"/>
      <c r="E163" s="217"/>
      <c r="I163" s="359" t="s">
        <v>1223</v>
      </c>
      <c r="J163" s="422"/>
    </row>
    <row r="164" spans="3:10">
      <c r="C164" s="359"/>
      <c r="D164" s="217"/>
      <c r="E164" s="217"/>
      <c r="I164" s="359"/>
    </row>
    <row r="165" spans="3:10">
      <c r="C165" s="359" t="s">
        <v>1222</v>
      </c>
      <c r="D165" s="422"/>
      <c r="E165" s="217"/>
      <c r="I165" s="359" t="s">
        <v>1222</v>
      </c>
      <c r="J165" s="422"/>
    </row>
    <row r="167" spans="3:10" ht="24" thickBot="1">
      <c r="C167" s="424" t="s">
        <v>1225</v>
      </c>
      <c r="D167" s="424"/>
      <c r="E167" s="424"/>
    </row>
    <row r="169" spans="3:10">
      <c r="C169" s="359" t="s">
        <v>1224</v>
      </c>
      <c r="D169" s="96"/>
    </row>
    <row r="170" spans="3:10">
      <c r="C170" s="359"/>
    </row>
    <row r="171" spans="3:10">
      <c r="C171" s="696" t="str">
        <f>IF(OR(D169="Basement Ceiling",D169=""),"Location Attribute:","")</f>
        <v>Location Attribute:</v>
      </c>
      <c r="D171" s="167"/>
    </row>
    <row r="172" spans="3:10">
      <c r="C172" s="359"/>
    </row>
    <row r="173" spans="3:10" ht="26.5" customHeight="1">
      <c r="C173" s="690" t="s">
        <v>1698</v>
      </c>
      <c r="D173" s="601"/>
      <c r="E173" s="691"/>
    </row>
    <row r="174" spans="3:10">
      <c r="C174" s="359"/>
    </row>
    <row r="175" spans="3:10">
      <c r="C175" s="359" t="s">
        <v>1223</v>
      </c>
      <c r="D175" s="422"/>
      <c r="E175" s="217"/>
    </row>
    <row r="176" spans="3:10">
      <c r="C176" s="359"/>
      <c r="D176" s="217"/>
      <c r="E176" s="217"/>
    </row>
    <row r="177" spans="3:5">
      <c r="C177" s="359" t="s">
        <v>1222</v>
      </c>
      <c r="D177" s="422"/>
      <c r="E177" s="217"/>
    </row>
  </sheetData>
  <sheetProtection algorithmName="SHA-512" hashValue="rc0pyuTb5QeCvo1OltpQZCLN4Xzf7OtzoE2E/tj2JZYZO31yRGCDh27vEtYDLtojuKWMrKhX7UndIEzACZgzjA==" saltValue="RiFQVvJ4Vt3ArCi9frWf2w==" spinCount="100000" sheet="1" objects="1" scenarios="1" formatRows="0"/>
  <mergeCells count="10">
    <mergeCell ref="K140:M141"/>
    <mergeCell ref="K142:M142"/>
    <mergeCell ref="C111:C112"/>
    <mergeCell ref="I111:I112"/>
    <mergeCell ref="B4:M4"/>
    <mergeCell ref="B5:C5"/>
    <mergeCell ref="C13:D13"/>
    <mergeCell ref="C12:D12"/>
    <mergeCell ref="K48:M50"/>
    <mergeCell ref="K101:M102"/>
  </mergeCells>
  <conditionalFormatting sqref="B11:M11">
    <cfRule type="expression" dxfId="55" priority="17">
      <formula>$E$10="Cooling"</formula>
    </cfRule>
  </conditionalFormatting>
  <conditionalFormatting sqref="C15:D25 C26:C29 C43:C44">
    <cfRule type="expression" dxfId="54" priority="18">
      <formula>$C$13="Cooling"</formula>
    </cfRule>
  </conditionalFormatting>
  <conditionalFormatting sqref="C55:D55">
    <cfRule type="expression" dxfId="53" priority="11">
      <formula>$D$53="Unconditioned Attic"</formula>
    </cfRule>
    <cfRule type="expression" dxfId="52" priority="12">
      <formula>$D$53="Unconditioned Garage"</formula>
    </cfRule>
  </conditionalFormatting>
  <conditionalFormatting sqref="C67:D67">
    <cfRule type="expression" dxfId="51" priority="2">
      <formula>$D$65= "Unconditioned Garage"</formula>
    </cfRule>
    <cfRule type="expression" dxfId="50" priority="3">
      <formula>$D$65= "Unconditioned Attic"</formula>
    </cfRule>
  </conditionalFormatting>
  <conditionalFormatting sqref="C30:E42 I30:K42">
    <cfRule type="expression" dxfId="49" priority="10">
      <formula>$C$13="Heating &amp; Cooling (1)"</formula>
    </cfRule>
  </conditionalFormatting>
  <conditionalFormatting sqref="D27">
    <cfRule type="expression" dxfId="48" priority="15">
      <formula>$C$13="Cooling"</formula>
    </cfRule>
  </conditionalFormatting>
  <conditionalFormatting sqref="D147">
    <cfRule type="expression" dxfId="47" priority="24">
      <formula>$D$145=""</formula>
    </cfRule>
    <cfRule type="expression" dxfId="46" priority="25">
      <formula>$D$145="Basement Ceiling"</formula>
    </cfRule>
  </conditionalFormatting>
  <conditionalFormatting sqref="D159">
    <cfRule type="expression" dxfId="45" priority="22">
      <formula>$D$157=""</formula>
    </cfRule>
    <cfRule type="expression" dxfId="44" priority="23">
      <formula>$D$157="Basement Ceiling"</formula>
    </cfRule>
  </conditionalFormatting>
  <conditionalFormatting sqref="D171">
    <cfRule type="expression" dxfId="43" priority="20">
      <formula>$D$169=""</formula>
    </cfRule>
    <cfRule type="expression" dxfId="42" priority="21">
      <formula>$D$169="Basement Ceiling"</formula>
    </cfRule>
  </conditionalFormatting>
  <conditionalFormatting sqref="I15:J24 I25 I26:J29 I43:J44">
    <cfRule type="expression" dxfId="41" priority="30">
      <formula>$C$13="Heating"</formula>
    </cfRule>
  </conditionalFormatting>
  <conditionalFormatting sqref="I55:J55">
    <cfRule type="expression" dxfId="40" priority="4">
      <formula>$J$53="Unconditioned Attic"</formula>
    </cfRule>
    <cfRule type="expression" dxfId="39" priority="16">
      <formula>$J$55="Unconditioned Attic"</formula>
    </cfRule>
    <cfRule type="expression" dxfId="38" priority="19">
      <formula>$J$53="Unconditioned Garage"</formula>
    </cfRule>
  </conditionalFormatting>
  <conditionalFormatting sqref="J25">
    <cfRule type="expression" dxfId="37" priority="14">
      <formula>$E$13="Cooling"</formula>
    </cfRule>
  </conditionalFormatting>
  <conditionalFormatting sqref="J147">
    <cfRule type="expression" dxfId="36" priority="26">
      <formula>J145=""</formula>
    </cfRule>
    <cfRule type="expression" dxfId="35" priority="27">
      <formula>J145="Basement Ceiling"</formula>
    </cfRule>
  </conditionalFormatting>
  <conditionalFormatting sqref="J159">
    <cfRule type="expression" dxfId="34" priority="28">
      <formula>J157=""</formula>
    </cfRule>
    <cfRule type="expression" dxfId="33" priority="29">
      <formula>J157="Basement Ceiling"</formula>
    </cfRule>
  </conditionalFormatting>
  <dataValidations count="10">
    <dataValidation type="decimal" operator="greaterThan" allowBlank="1" showInputMessage="1" showErrorMessage="1" sqref="D19 J19 J21 J23 D23 D21 J105 D105 J109 J107 D112 J112 D107:E109 D34 J34 J36 J38 D38 D36" xr:uid="{0318B4FA-F85F-4CBF-9CD9-AF689FAB0725}">
      <formula1>0</formula1>
    </dataValidation>
    <dataValidation type="whole" operator="greaterThan" allowBlank="1" showInputMessage="1" showErrorMessage="1" sqref="D17 J17 D149 J32 J161 D32 E173:E177 J149 D161 D173:D174 D176" xr:uid="{49EF026D-8DAB-4E8D-AEF1-821CA4E8C694}">
      <formula1>0</formula1>
    </dataValidation>
    <dataValidation type="list" allowBlank="1" showInputMessage="1" showErrorMessage="1" sqref="D145 J145 D157 J157 D169" xr:uid="{41BA679A-87B9-4AAD-98D1-48CD0B84C9DA}">
      <formula1>Insulation_Location</formula1>
    </dataValidation>
    <dataValidation type="list" allowBlank="1" showInputMessage="1" showErrorMessage="1" sqref="J53 D53 D65" xr:uid="{00000000-0002-0000-0900-000003000000}">
      <formula1>Duct_Location</formula1>
    </dataValidation>
    <dataValidation type="list" allowBlank="1" showInputMessage="1" showErrorMessage="1" sqref="D47 D100 D139" xr:uid="{00000000-0002-0000-0900-000002000000}">
      <formula1>YES_NO</formula1>
    </dataValidation>
    <dataValidation type="list" allowBlank="1" showInputMessage="1" showErrorMessage="1" sqref="D25 D40" xr:uid="{00000000-0002-0000-0900-000000000000}">
      <formula1>Heating_Source</formula1>
    </dataValidation>
    <dataValidation type="list" allowBlank="1" showInputMessage="1" showErrorMessage="1" sqref="D67" xr:uid="{782FEF23-D156-44B9-9668-E4D3C8E1A790}">
      <formula1>IF($D65="Unconditioned Crawl Space",CrawlSpace_Duct_Attribute,Duct_Attribute)</formula1>
    </dataValidation>
    <dataValidation type="whole" allowBlank="1" showInputMessage="1" showErrorMessage="1" sqref="D151 J151 J163 D163 D175 D59 J59 D71" xr:uid="{CEF23974-7E62-435B-93BA-9308338C4D6E}">
      <formula1>0</formula1>
      <formula2>100</formula2>
    </dataValidation>
    <dataValidation type="list" allowBlank="1" showInputMessage="1" showErrorMessage="1" sqref="D61 J61 D73" xr:uid="{DA9F32C2-BE47-4EAF-A5C9-C797582BD5F6}">
      <formula1>Duct_HeatingCooling_System</formula1>
    </dataValidation>
    <dataValidation type="whole" operator="greaterThan" allowBlank="1" showInputMessage="1" showErrorMessage="1" errorTitle="Minimum R-Value" error="The minimum R-value installed is 11." sqref="D153 J153 D165 J165 D177" xr:uid="{5FAC7F37-0C58-4DE6-9789-442E233DAAC8}">
      <formula1>D151</formula1>
    </dataValidation>
  </dataValidations>
  <pageMargins left="0.7" right="0.7" top="0.75" bottom="0.75" header="0.3" footer="0.3"/>
  <pageSetup scale="49" fitToHeight="5"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186369" r:id="rId4" name="CommandButton2">
          <controlPr defaultSize="0" autoLine="0" autoPict="0" r:id="rId5">
            <anchor moveWithCells="1">
              <from>
                <xdr:col>10</xdr:col>
                <xdr:colOff>812800</xdr:colOff>
                <xdr:row>11</xdr:row>
                <xdr:rowOff>107950</xdr:rowOff>
              </from>
              <to>
                <xdr:col>13</xdr:col>
                <xdr:colOff>76200</xdr:colOff>
                <xdr:row>12</xdr:row>
                <xdr:rowOff>222250</xdr:rowOff>
              </to>
            </anchor>
          </controlPr>
        </control>
      </mc:Choice>
      <mc:Fallback>
        <control shapeId="186369" r:id="rId4" name="CommandButton2"/>
      </mc:Fallback>
    </mc:AlternateContent>
  </controls>
  <extLst>
    <ext xmlns:x14="http://schemas.microsoft.com/office/spreadsheetml/2009/9/main" uri="{CCE6A557-97BC-4b89-ADB6-D9C93CAAB3DF}">
      <x14:dataValidations xmlns:xm="http://schemas.microsoft.com/office/excel/2006/main" count="8">
        <x14:dataValidation type="list" allowBlank="1" showInputMessage="1" showErrorMessage="1" xr:uid="{0711AE9E-9E0A-4845-BFAB-A8BEB776E642}">
          <x14:formula1>
            <xm:f>IF($J53="Unconditioned Crawl Space",References!$BG$49:$BG$52,Duct_Attribute)</xm:f>
          </x14:formula1>
          <xm:sqref>J55</xm:sqref>
        </x14:dataValidation>
        <x14:dataValidation type="list" allowBlank="1" showInputMessage="1" showErrorMessage="1" xr:uid="{AB4040FE-0F5E-4694-8097-AD42BA6F1893}">
          <x14:formula1>
            <xm:f>References!$AY$5:$AY$7</xm:f>
          </x14:formula1>
          <xm:sqref>C13:D13</xm:sqref>
        </x14:dataValidation>
        <x14:dataValidation type="list" allowBlank="1" showInputMessage="1" showErrorMessage="1" xr:uid="{AF246B92-4086-4B16-9444-7CA9B1ED99BA}">
          <x14:formula1>
            <xm:f>OFFSET(References!$AZ$15,0,MATCH($D$169,References!$AZ$14:$BD$14,0)-1,3)</xm:f>
          </x14:formula1>
          <xm:sqref>D171</xm:sqref>
        </x14:dataValidation>
        <x14:dataValidation type="list" allowBlank="1" showInputMessage="1" showErrorMessage="1" xr:uid="{07049947-F9D5-4253-81CD-66C2619B1183}">
          <x14:formula1>
            <xm:f>OFFSET(References!$AZ$15,0,MATCH($D$157,References!$AZ$14:$BD$14,0)-1,3)</xm:f>
          </x14:formula1>
          <xm:sqref>D159</xm:sqref>
        </x14:dataValidation>
        <x14:dataValidation type="list" allowBlank="1" showInputMessage="1" showErrorMessage="1" xr:uid="{7D6B574E-A941-48FF-A05C-AC3EB350CCEA}">
          <x14:formula1>
            <xm:f>OFFSET(References!$AZ$15,0,MATCH($D$145,References!$AZ$14:$BD$14,0)-1,3)</xm:f>
          </x14:formula1>
          <xm:sqref>D147</xm:sqref>
        </x14:dataValidation>
        <x14:dataValidation type="list" allowBlank="1" showInputMessage="1" showErrorMessage="1" xr:uid="{CF96E23C-255D-4AD6-84E0-D04549AD0C83}">
          <x14:formula1>
            <xm:f>OFFSET(References!$AZ$15,0,MATCH($J$145,References!$AZ$14:$BD$14,0)-1,3)</xm:f>
          </x14:formula1>
          <xm:sqref>J147</xm:sqref>
        </x14:dataValidation>
        <x14:dataValidation type="list" allowBlank="1" showInputMessage="1" showErrorMessage="1" xr:uid="{F676F415-B24B-45AE-BD6E-FAE0B00966B0}">
          <x14:formula1>
            <xm:f>OFFSET(References!$AZ$15,0,MATCH($J$157,References!$AZ$14:$BD$14,0)-1,3)</xm:f>
          </x14:formula1>
          <xm:sqref>J159</xm:sqref>
        </x14:dataValidation>
        <x14:dataValidation type="list" allowBlank="1" showInputMessage="1" showErrorMessage="1" xr:uid="{227B5C86-2C7B-4132-AAFB-18B0FBD695BA}">
          <x14:formula1>
            <xm:f>IF($D53="Unconditioned Crawl Space",References!$BG$49:$BG$52,Duct_Attribute)</xm:f>
          </x14:formula1>
          <xm:sqref>D55</xm:sqref>
        </x14:dataValidation>
      </x14:dataValidations>
    </ext>
  </extLst>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0B13DE-405E-4DDB-8BD6-CC1ABABC7F95}">
  <sheetPr codeName="Sheet31">
    <tabColor rgb="FF00B050"/>
  </sheetPr>
  <dimension ref="A1:WVX100"/>
  <sheetViews>
    <sheetView showGridLines="0" zoomScale="110" zoomScaleNormal="110" workbookViewId="0"/>
  </sheetViews>
  <sheetFormatPr defaultColWidth="0" defaultRowHeight="0" customHeight="1" zeroHeight="1"/>
  <cols>
    <col min="1" max="1" width="3.81640625" style="438" customWidth="1"/>
    <col min="2" max="2" width="5.81640625" style="438" customWidth="1"/>
    <col min="3" max="3" width="12" style="438" customWidth="1"/>
    <col min="4" max="4" width="13" style="438" customWidth="1"/>
    <col min="5" max="5" width="12" style="438" customWidth="1"/>
    <col min="6" max="6" width="8.81640625" style="438" customWidth="1"/>
    <col min="7" max="7" width="7.81640625" style="438" customWidth="1"/>
    <col min="8" max="8" width="7.1796875" style="438" customWidth="1"/>
    <col min="9" max="9" width="5.81640625" style="438" customWidth="1"/>
    <col min="10" max="10" width="4.54296875" style="438" customWidth="1"/>
    <col min="11" max="11" width="7.1796875" style="438" customWidth="1"/>
    <col min="12" max="13" width="7.81640625" style="438" customWidth="1"/>
    <col min="14" max="14" width="5" style="438" customWidth="1"/>
    <col min="15" max="15" width="5.54296875" style="438" customWidth="1"/>
    <col min="16" max="16" width="4.1796875" style="438" hidden="1" customWidth="1"/>
    <col min="17" max="256" width="9.1796875" style="438" hidden="1"/>
    <col min="257" max="257" width="3.81640625" style="438" hidden="1" customWidth="1"/>
    <col min="258" max="258" width="5.81640625" style="438" hidden="1" customWidth="1"/>
    <col min="259" max="259" width="12" style="438" hidden="1" customWidth="1"/>
    <col min="260" max="260" width="13" style="438" hidden="1" customWidth="1"/>
    <col min="261" max="261" width="12" style="438" hidden="1" customWidth="1"/>
    <col min="262" max="262" width="8.81640625" style="438" hidden="1" customWidth="1"/>
    <col min="263" max="263" width="7.81640625" style="438" hidden="1" customWidth="1"/>
    <col min="264" max="264" width="7.1796875" style="438" hidden="1" customWidth="1"/>
    <col min="265" max="265" width="5.81640625" style="438" hidden="1" customWidth="1"/>
    <col min="266" max="266" width="4.54296875" style="438" hidden="1" customWidth="1"/>
    <col min="267" max="267" width="7.1796875" style="438" hidden="1" customWidth="1"/>
    <col min="268" max="269" width="7.81640625" style="438" hidden="1" customWidth="1"/>
    <col min="270" max="270" width="5" style="438" hidden="1" customWidth="1"/>
    <col min="271" max="271" width="5.54296875" style="438" hidden="1" customWidth="1"/>
    <col min="272" max="272" width="4.1796875" style="438" hidden="1" customWidth="1"/>
    <col min="273" max="512" width="9.1796875" style="438" hidden="1"/>
    <col min="513" max="513" width="3.81640625" style="438" hidden="1" customWidth="1"/>
    <col min="514" max="514" width="5.81640625" style="438" hidden="1" customWidth="1"/>
    <col min="515" max="515" width="12" style="438" hidden="1" customWidth="1"/>
    <col min="516" max="516" width="13" style="438" hidden="1" customWidth="1"/>
    <col min="517" max="517" width="12" style="438" hidden="1" customWidth="1"/>
    <col min="518" max="518" width="8.81640625" style="438" hidden="1" customWidth="1"/>
    <col min="519" max="519" width="7.81640625" style="438" hidden="1" customWidth="1"/>
    <col min="520" max="520" width="7.1796875" style="438" hidden="1" customWidth="1"/>
    <col min="521" max="521" width="5.81640625" style="438" hidden="1" customWidth="1"/>
    <col min="522" max="522" width="4.54296875" style="438" hidden="1" customWidth="1"/>
    <col min="523" max="523" width="7.1796875" style="438" hidden="1" customWidth="1"/>
    <col min="524" max="525" width="7.81640625" style="438" hidden="1" customWidth="1"/>
    <col min="526" max="526" width="5" style="438" hidden="1" customWidth="1"/>
    <col min="527" max="527" width="5.54296875" style="438" hidden="1" customWidth="1"/>
    <col min="528" max="528" width="4.1796875" style="438" hidden="1" customWidth="1"/>
    <col min="529" max="768" width="9.1796875" style="438" hidden="1"/>
    <col min="769" max="769" width="3.81640625" style="438" hidden="1" customWidth="1"/>
    <col min="770" max="770" width="5.81640625" style="438" hidden="1" customWidth="1"/>
    <col min="771" max="771" width="12" style="438" hidden="1" customWidth="1"/>
    <col min="772" max="772" width="13" style="438" hidden="1" customWidth="1"/>
    <col min="773" max="773" width="12" style="438" hidden="1" customWidth="1"/>
    <col min="774" max="774" width="8.81640625" style="438" hidden="1" customWidth="1"/>
    <col min="775" max="775" width="7.81640625" style="438" hidden="1" customWidth="1"/>
    <col min="776" max="776" width="7.1796875" style="438" hidden="1" customWidth="1"/>
    <col min="777" max="777" width="5.81640625" style="438" hidden="1" customWidth="1"/>
    <col min="778" max="778" width="4.54296875" style="438" hidden="1" customWidth="1"/>
    <col min="779" max="779" width="7.1796875" style="438" hidden="1" customWidth="1"/>
    <col min="780" max="781" width="7.81640625" style="438" hidden="1" customWidth="1"/>
    <col min="782" max="782" width="5" style="438" hidden="1" customWidth="1"/>
    <col min="783" max="783" width="5.54296875" style="438" hidden="1" customWidth="1"/>
    <col min="784" max="784" width="4.1796875" style="438" hidden="1" customWidth="1"/>
    <col min="785" max="1024" width="9.1796875" style="438" hidden="1"/>
    <col min="1025" max="1025" width="3.81640625" style="438" hidden="1" customWidth="1"/>
    <col min="1026" max="1026" width="5.81640625" style="438" hidden="1" customWidth="1"/>
    <col min="1027" max="1027" width="12" style="438" hidden="1" customWidth="1"/>
    <col min="1028" max="1028" width="13" style="438" hidden="1" customWidth="1"/>
    <col min="1029" max="1029" width="12" style="438" hidden="1" customWidth="1"/>
    <col min="1030" max="1030" width="8.81640625" style="438" hidden="1" customWidth="1"/>
    <col min="1031" max="1031" width="7.81640625" style="438" hidden="1" customWidth="1"/>
    <col min="1032" max="1032" width="7.1796875" style="438" hidden="1" customWidth="1"/>
    <col min="1033" max="1033" width="5.81640625" style="438" hidden="1" customWidth="1"/>
    <col min="1034" max="1034" width="4.54296875" style="438" hidden="1" customWidth="1"/>
    <col min="1035" max="1035" width="7.1796875" style="438" hidden="1" customWidth="1"/>
    <col min="1036" max="1037" width="7.81640625" style="438" hidden="1" customWidth="1"/>
    <col min="1038" max="1038" width="5" style="438" hidden="1" customWidth="1"/>
    <col min="1039" max="1039" width="5.54296875" style="438" hidden="1" customWidth="1"/>
    <col min="1040" max="1040" width="4.1796875" style="438" hidden="1" customWidth="1"/>
    <col min="1041" max="1280" width="9.1796875" style="438" hidden="1"/>
    <col min="1281" max="1281" width="3.81640625" style="438" hidden="1" customWidth="1"/>
    <col min="1282" max="1282" width="5.81640625" style="438" hidden="1" customWidth="1"/>
    <col min="1283" max="1283" width="12" style="438" hidden="1" customWidth="1"/>
    <col min="1284" max="1284" width="13" style="438" hidden="1" customWidth="1"/>
    <col min="1285" max="1285" width="12" style="438" hidden="1" customWidth="1"/>
    <col min="1286" max="1286" width="8.81640625" style="438" hidden="1" customWidth="1"/>
    <col min="1287" max="1287" width="7.81640625" style="438" hidden="1" customWidth="1"/>
    <col min="1288" max="1288" width="7.1796875" style="438" hidden="1" customWidth="1"/>
    <col min="1289" max="1289" width="5.81640625" style="438" hidden="1" customWidth="1"/>
    <col min="1290" max="1290" width="4.54296875" style="438" hidden="1" customWidth="1"/>
    <col min="1291" max="1291" width="7.1796875" style="438" hidden="1" customWidth="1"/>
    <col min="1292" max="1293" width="7.81640625" style="438" hidden="1" customWidth="1"/>
    <col min="1294" max="1294" width="5" style="438" hidden="1" customWidth="1"/>
    <col min="1295" max="1295" width="5.54296875" style="438" hidden="1" customWidth="1"/>
    <col min="1296" max="1296" width="4.1796875" style="438" hidden="1" customWidth="1"/>
    <col min="1297" max="1536" width="9.1796875" style="438" hidden="1"/>
    <col min="1537" max="1537" width="3.81640625" style="438" hidden="1" customWidth="1"/>
    <col min="1538" max="1538" width="5.81640625" style="438" hidden="1" customWidth="1"/>
    <col min="1539" max="1539" width="12" style="438" hidden="1" customWidth="1"/>
    <col min="1540" max="1540" width="13" style="438" hidden="1" customWidth="1"/>
    <col min="1541" max="1541" width="12" style="438" hidden="1" customWidth="1"/>
    <col min="1542" max="1542" width="8.81640625" style="438" hidden="1" customWidth="1"/>
    <col min="1543" max="1543" width="7.81640625" style="438" hidden="1" customWidth="1"/>
    <col min="1544" max="1544" width="7.1796875" style="438" hidden="1" customWidth="1"/>
    <col min="1545" max="1545" width="5.81640625" style="438" hidden="1" customWidth="1"/>
    <col min="1546" max="1546" width="4.54296875" style="438" hidden="1" customWidth="1"/>
    <col min="1547" max="1547" width="7.1796875" style="438" hidden="1" customWidth="1"/>
    <col min="1548" max="1549" width="7.81640625" style="438" hidden="1" customWidth="1"/>
    <col min="1550" max="1550" width="5" style="438" hidden="1" customWidth="1"/>
    <col min="1551" max="1551" width="5.54296875" style="438" hidden="1" customWidth="1"/>
    <col min="1552" max="1552" width="4.1796875" style="438" hidden="1" customWidth="1"/>
    <col min="1553" max="1792" width="9.1796875" style="438" hidden="1"/>
    <col min="1793" max="1793" width="3.81640625" style="438" hidden="1" customWidth="1"/>
    <col min="1794" max="1794" width="5.81640625" style="438" hidden="1" customWidth="1"/>
    <col min="1795" max="1795" width="12" style="438" hidden="1" customWidth="1"/>
    <col min="1796" max="1796" width="13" style="438" hidden="1" customWidth="1"/>
    <col min="1797" max="1797" width="12" style="438" hidden="1" customWidth="1"/>
    <col min="1798" max="1798" width="8.81640625" style="438" hidden="1" customWidth="1"/>
    <col min="1799" max="1799" width="7.81640625" style="438" hidden="1" customWidth="1"/>
    <col min="1800" max="1800" width="7.1796875" style="438" hidden="1" customWidth="1"/>
    <col min="1801" max="1801" width="5.81640625" style="438" hidden="1" customWidth="1"/>
    <col min="1802" max="1802" width="4.54296875" style="438" hidden="1" customWidth="1"/>
    <col min="1803" max="1803" width="7.1796875" style="438" hidden="1" customWidth="1"/>
    <col min="1804" max="1805" width="7.81640625" style="438" hidden="1" customWidth="1"/>
    <col min="1806" max="1806" width="5" style="438" hidden="1" customWidth="1"/>
    <col min="1807" max="1807" width="5.54296875" style="438" hidden="1" customWidth="1"/>
    <col min="1808" max="1808" width="4.1796875" style="438" hidden="1" customWidth="1"/>
    <col min="1809" max="2048" width="9.1796875" style="438" hidden="1"/>
    <col min="2049" max="2049" width="3.81640625" style="438" hidden="1" customWidth="1"/>
    <col min="2050" max="2050" width="5.81640625" style="438" hidden="1" customWidth="1"/>
    <col min="2051" max="2051" width="12" style="438" hidden="1" customWidth="1"/>
    <col min="2052" max="2052" width="13" style="438" hidden="1" customWidth="1"/>
    <col min="2053" max="2053" width="12" style="438" hidden="1" customWidth="1"/>
    <col min="2054" max="2054" width="8.81640625" style="438" hidden="1" customWidth="1"/>
    <col min="2055" max="2055" width="7.81640625" style="438" hidden="1" customWidth="1"/>
    <col min="2056" max="2056" width="7.1796875" style="438" hidden="1" customWidth="1"/>
    <col min="2057" max="2057" width="5.81640625" style="438" hidden="1" customWidth="1"/>
    <col min="2058" max="2058" width="4.54296875" style="438" hidden="1" customWidth="1"/>
    <col min="2059" max="2059" width="7.1796875" style="438" hidden="1" customWidth="1"/>
    <col min="2060" max="2061" width="7.81640625" style="438" hidden="1" customWidth="1"/>
    <col min="2062" max="2062" width="5" style="438" hidden="1" customWidth="1"/>
    <col min="2063" max="2063" width="5.54296875" style="438" hidden="1" customWidth="1"/>
    <col min="2064" max="2064" width="4.1796875" style="438" hidden="1" customWidth="1"/>
    <col min="2065" max="2304" width="9.1796875" style="438" hidden="1"/>
    <col min="2305" max="2305" width="3.81640625" style="438" hidden="1" customWidth="1"/>
    <col min="2306" max="2306" width="5.81640625" style="438" hidden="1" customWidth="1"/>
    <col min="2307" max="2307" width="12" style="438" hidden="1" customWidth="1"/>
    <col min="2308" max="2308" width="13" style="438" hidden="1" customWidth="1"/>
    <col min="2309" max="2309" width="12" style="438" hidden="1" customWidth="1"/>
    <col min="2310" max="2310" width="8.81640625" style="438" hidden="1" customWidth="1"/>
    <col min="2311" max="2311" width="7.81640625" style="438" hidden="1" customWidth="1"/>
    <col min="2312" max="2312" width="7.1796875" style="438" hidden="1" customWidth="1"/>
    <col min="2313" max="2313" width="5.81640625" style="438" hidden="1" customWidth="1"/>
    <col min="2314" max="2314" width="4.54296875" style="438" hidden="1" customWidth="1"/>
    <col min="2315" max="2315" width="7.1796875" style="438" hidden="1" customWidth="1"/>
    <col min="2316" max="2317" width="7.81640625" style="438" hidden="1" customWidth="1"/>
    <col min="2318" max="2318" width="5" style="438" hidden="1" customWidth="1"/>
    <col min="2319" max="2319" width="5.54296875" style="438" hidden="1" customWidth="1"/>
    <col min="2320" max="2320" width="4.1796875" style="438" hidden="1" customWidth="1"/>
    <col min="2321" max="2560" width="9.1796875" style="438" hidden="1"/>
    <col min="2561" max="2561" width="3.81640625" style="438" hidden="1" customWidth="1"/>
    <col min="2562" max="2562" width="5.81640625" style="438" hidden="1" customWidth="1"/>
    <col min="2563" max="2563" width="12" style="438" hidden="1" customWidth="1"/>
    <col min="2564" max="2564" width="13" style="438" hidden="1" customWidth="1"/>
    <col min="2565" max="2565" width="12" style="438" hidden="1" customWidth="1"/>
    <col min="2566" max="2566" width="8.81640625" style="438" hidden="1" customWidth="1"/>
    <col min="2567" max="2567" width="7.81640625" style="438" hidden="1" customWidth="1"/>
    <col min="2568" max="2568" width="7.1796875" style="438" hidden="1" customWidth="1"/>
    <col min="2569" max="2569" width="5.81640625" style="438" hidden="1" customWidth="1"/>
    <col min="2570" max="2570" width="4.54296875" style="438" hidden="1" customWidth="1"/>
    <col min="2571" max="2571" width="7.1796875" style="438" hidden="1" customWidth="1"/>
    <col min="2572" max="2573" width="7.81640625" style="438" hidden="1" customWidth="1"/>
    <col min="2574" max="2574" width="5" style="438" hidden="1" customWidth="1"/>
    <col min="2575" max="2575" width="5.54296875" style="438" hidden="1" customWidth="1"/>
    <col min="2576" max="2576" width="4.1796875" style="438" hidden="1" customWidth="1"/>
    <col min="2577" max="2816" width="9.1796875" style="438" hidden="1"/>
    <col min="2817" max="2817" width="3.81640625" style="438" hidden="1" customWidth="1"/>
    <col min="2818" max="2818" width="5.81640625" style="438" hidden="1" customWidth="1"/>
    <col min="2819" max="2819" width="12" style="438" hidden="1" customWidth="1"/>
    <col min="2820" max="2820" width="13" style="438" hidden="1" customWidth="1"/>
    <col min="2821" max="2821" width="12" style="438" hidden="1" customWidth="1"/>
    <col min="2822" max="2822" width="8.81640625" style="438" hidden="1" customWidth="1"/>
    <col min="2823" max="2823" width="7.81640625" style="438" hidden="1" customWidth="1"/>
    <col min="2824" max="2824" width="7.1796875" style="438" hidden="1" customWidth="1"/>
    <col min="2825" max="2825" width="5.81640625" style="438" hidden="1" customWidth="1"/>
    <col min="2826" max="2826" width="4.54296875" style="438" hidden="1" customWidth="1"/>
    <col min="2827" max="2827" width="7.1796875" style="438" hidden="1" customWidth="1"/>
    <col min="2828" max="2829" width="7.81640625" style="438" hidden="1" customWidth="1"/>
    <col min="2830" max="2830" width="5" style="438" hidden="1" customWidth="1"/>
    <col min="2831" max="2831" width="5.54296875" style="438" hidden="1" customWidth="1"/>
    <col min="2832" max="2832" width="4.1796875" style="438" hidden="1" customWidth="1"/>
    <col min="2833" max="3072" width="9.1796875" style="438" hidden="1"/>
    <col min="3073" max="3073" width="3.81640625" style="438" hidden="1" customWidth="1"/>
    <col min="3074" max="3074" width="5.81640625" style="438" hidden="1" customWidth="1"/>
    <col min="3075" max="3075" width="12" style="438" hidden="1" customWidth="1"/>
    <col min="3076" max="3076" width="13" style="438" hidden="1" customWidth="1"/>
    <col min="3077" max="3077" width="12" style="438" hidden="1" customWidth="1"/>
    <col min="3078" max="3078" width="8.81640625" style="438" hidden="1" customWidth="1"/>
    <col min="3079" max="3079" width="7.81640625" style="438" hidden="1" customWidth="1"/>
    <col min="3080" max="3080" width="7.1796875" style="438" hidden="1" customWidth="1"/>
    <col min="3081" max="3081" width="5.81640625" style="438" hidden="1" customWidth="1"/>
    <col min="3082" max="3082" width="4.54296875" style="438" hidden="1" customWidth="1"/>
    <col min="3083" max="3083" width="7.1796875" style="438" hidden="1" customWidth="1"/>
    <col min="3084" max="3085" width="7.81640625" style="438" hidden="1" customWidth="1"/>
    <col min="3086" max="3086" width="5" style="438" hidden="1" customWidth="1"/>
    <col min="3087" max="3087" width="5.54296875" style="438" hidden="1" customWidth="1"/>
    <col min="3088" max="3088" width="4.1796875" style="438" hidden="1" customWidth="1"/>
    <col min="3089" max="3328" width="9.1796875" style="438" hidden="1"/>
    <col min="3329" max="3329" width="3.81640625" style="438" hidden="1" customWidth="1"/>
    <col min="3330" max="3330" width="5.81640625" style="438" hidden="1" customWidth="1"/>
    <col min="3331" max="3331" width="12" style="438" hidden="1" customWidth="1"/>
    <col min="3332" max="3332" width="13" style="438" hidden="1" customWidth="1"/>
    <col min="3333" max="3333" width="12" style="438" hidden="1" customWidth="1"/>
    <col min="3334" max="3334" width="8.81640625" style="438" hidden="1" customWidth="1"/>
    <col min="3335" max="3335" width="7.81640625" style="438" hidden="1" customWidth="1"/>
    <col min="3336" max="3336" width="7.1796875" style="438" hidden="1" customWidth="1"/>
    <col min="3337" max="3337" width="5.81640625" style="438" hidden="1" customWidth="1"/>
    <col min="3338" max="3338" width="4.54296875" style="438" hidden="1" customWidth="1"/>
    <col min="3339" max="3339" width="7.1796875" style="438" hidden="1" customWidth="1"/>
    <col min="3340" max="3341" width="7.81640625" style="438" hidden="1" customWidth="1"/>
    <col min="3342" max="3342" width="5" style="438" hidden="1" customWidth="1"/>
    <col min="3343" max="3343" width="5.54296875" style="438" hidden="1" customWidth="1"/>
    <col min="3344" max="3344" width="4.1796875" style="438" hidden="1" customWidth="1"/>
    <col min="3345" max="3584" width="9.1796875" style="438" hidden="1"/>
    <col min="3585" max="3585" width="3.81640625" style="438" hidden="1" customWidth="1"/>
    <col min="3586" max="3586" width="5.81640625" style="438" hidden="1" customWidth="1"/>
    <col min="3587" max="3587" width="12" style="438" hidden="1" customWidth="1"/>
    <col min="3588" max="3588" width="13" style="438" hidden="1" customWidth="1"/>
    <col min="3589" max="3589" width="12" style="438" hidden="1" customWidth="1"/>
    <col min="3590" max="3590" width="8.81640625" style="438" hidden="1" customWidth="1"/>
    <col min="3591" max="3591" width="7.81640625" style="438" hidden="1" customWidth="1"/>
    <col min="3592" max="3592" width="7.1796875" style="438" hidden="1" customWidth="1"/>
    <col min="3593" max="3593" width="5.81640625" style="438" hidden="1" customWidth="1"/>
    <col min="3594" max="3594" width="4.54296875" style="438" hidden="1" customWidth="1"/>
    <col min="3595" max="3595" width="7.1796875" style="438" hidden="1" customWidth="1"/>
    <col min="3596" max="3597" width="7.81640625" style="438" hidden="1" customWidth="1"/>
    <col min="3598" max="3598" width="5" style="438" hidden="1" customWidth="1"/>
    <col min="3599" max="3599" width="5.54296875" style="438" hidden="1" customWidth="1"/>
    <col min="3600" max="3600" width="4.1796875" style="438" hidden="1" customWidth="1"/>
    <col min="3601" max="3840" width="9.1796875" style="438" hidden="1"/>
    <col min="3841" max="3841" width="3.81640625" style="438" hidden="1" customWidth="1"/>
    <col min="3842" max="3842" width="5.81640625" style="438" hidden="1" customWidth="1"/>
    <col min="3843" max="3843" width="12" style="438" hidden="1" customWidth="1"/>
    <col min="3844" max="3844" width="13" style="438" hidden="1" customWidth="1"/>
    <col min="3845" max="3845" width="12" style="438" hidden="1" customWidth="1"/>
    <col min="3846" max="3846" width="8.81640625" style="438" hidden="1" customWidth="1"/>
    <col min="3847" max="3847" width="7.81640625" style="438" hidden="1" customWidth="1"/>
    <col min="3848" max="3848" width="7.1796875" style="438" hidden="1" customWidth="1"/>
    <col min="3849" max="3849" width="5.81640625" style="438" hidden="1" customWidth="1"/>
    <col min="3850" max="3850" width="4.54296875" style="438" hidden="1" customWidth="1"/>
    <col min="3851" max="3851" width="7.1796875" style="438" hidden="1" customWidth="1"/>
    <col min="3852" max="3853" width="7.81640625" style="438" hidden="1" customWidth="1"/>
    <col min="3854" max="3854" width="5" style="438" hidden="1" customWidth="1"/>
    <col min="3855" max="3855" width="5.54296875" style="438" hidden="1" customWidth="1"/>
    <col min="3856" max="3856" width="4.1796875" style="438" hidden="1" customWidth="1"/>
    <col min="3857" max="4096" width="9.1796875" style="438" hidden="1"/>
    <col min="4097" max="4097" width="3.81640625" style="438" hidden="1" customWidth="1"/>
    <col min="4098" max="4098" width="5.81640625" style="438" hidden="1" customWidth="1"/>
    <col min="4099" max="4099" width="12" style="438" hidden="1" customWidth="1"/>
    <col min="4100" max="4100" width="13" style="438" hidden="1" customWidth="1"/>
    <col min="4101" max="4101" width="12" style="438" hidden="1" customWidth="1"/>
    <col min="4102" max="4102" width="8.81640625" style="438" hidden="1" customWidth="1"/>
    <col min="4103" max="4103" width="7.81640625" style="438" hidden="1" customWidth="1"/>
    <col min="4104" max="4104" width="7.1796875" style="438" hidden="1" customWidth="1"/>
    <col min="4105" max="4105" width="5.81640625" style="438" hidden="1" customWidth="1"/>
    <col min="4106" max="4106" width="4.54296875" style="438" hidden="1" customWidth="1"/>
    <col min="4107" max="4107" width="7.1796875" style="438" hidden="1" customWidth="1"/>
    <col min="4108" max="4109" width="7.81640625" style="438" hidden="1" customWidth="1"/>
    <col min="4110" max="4110" width="5" style="438" hidden="1" customWidth="1"/>
    <col min="4111" max="4111" width="5.54296875" style="438" hidden="1" customWidth="1"/>
    <col min="4112" max="4112" width="4.1796875" style="438" hidden="1" customWidth="1"/>
    <col min="4113" max="4352" width="9.1796875" style="438" hidden="1"/>
    <col min="4353" max="4353" width="3.81640625" style="438" hidden="1" customWidth="1"/>
    <col min="4354" max="4354" width="5.81640625" style="438" hidden="1" customWidth="1"/>
    <col min="4355" max="4355" width="12" style="438" hidden="1" customWidth="1"/>
    <col min="4356" max="4356" width="13" style="438" hidden="1" customWidth="1"/>
    <col min="4357" max="4357" width="12" style="438" hidden="1" customWidth="1"/>
    <col min="4358" max="4358" width="8.81640625" style="438" hidden="1" customWidth="1"/>
    <col min="4359" max="4359" width="7.81640625" style="438" hidden="1" customWidth="1"/>
    <col min="4360" max="4360" width="7.1796875" style="438" hidden="1" customWidth="1"/>
    <col min="4361" max="4361" width="5.81640625" style="438" hidden="1" customWidth="1"/>
    <col min="4362" max="4362" width="4.54296875" style="438" hidden="1" customWidth="1"/>
    <col min="4363" max="4363" width="7.1796875" style="438" hidden="1" customWidth="1"/>
    <col min="4364" max="4365" width="7.81640625" style="438" hidden="1" customWidth="1"/>
    <col min="4366" max="4366" width="5" style="438" hidden="1" customWidth="1"/>
    <col min="4367" max="4367" width="5.54296875" style="438" hidden="1" customWidth="1"/>
    <col min="4368" max="4368" width="4.1796875" style="438" hidden="1" customWidth="1"/>
    <col min="4369" max="4608" width="9.1796875" style="438" hidden="1"/>
    <col min="4609" max="4609" width="3.81640625" style="438" hidden="1" customWidth="1"/>
    <col min="4610" max="4610" width="5.81640625" style="438" hidden="1" customWidth="1"/>
    <col min="4611" max="4611" width="12" style="438" hidden="1" customWidth="1"/>
    <col min="4612" max="4612" width="13" style="438" hidden="1" customWidth="1"/>
    <col min="4613" max="4613" width="12" style="438" hidden="1" customWidth="1"/>
    <col min="4614" max="4614" width="8.81640625" style="438" hidden="1" customWidth="1"/>
    <col min="4615" max="4615" width="7.81640625" style="438" hidden="1" customWidth="1"/>
    <col min="4616" max="4616" width="7.1796875" style="438" hidden="1" customWidth="1"/>
    <col min="4617" max="4617" width="5.81640625" style="438" hidden="1" customWidth="1"/>
    <col min="4618" max="4618" width="4.54296875" style="438" hidden="1" customWidth="1"/>
    <col min="4619" max="4619" width="7.1796875" style="438" hidden="1" customWidth="1"/>
    <col min="4620" max="4621" width="7.81640625" style="438" hidden="1" customWidth="1"/>
    <col min="4622" max="4622" width="5" style="438" hidden="1" customWidth="1"/>
    <col min="4623" max="4623" width="5.54296875" style="438" hidden="1" customWidth="1"/>
    <col min="4624" max="4624" width="4.1796875" style="438" hidden="1" customWidth="1"/>
    <col min="4625" max="4864" width="9.1796875" style="438" hidden="1"/>
    <col min="4865" max="4865" width="3.81640625" style="438" hidden="1" customWidth="1"/>
    <col min="4866" max="4866" width="5.81640625" style="438" hidden="1" customWidth="1"/>
    <col min="4867" max="4867" width="12" style="438" hidden="1" customWidth="1"/>
    <col min="4868" max="4868" width="13" style="438" hidden="1" customWidth="1"/>
    <col min="4869" max="4869" width="12" style="438" hidden="1" customWidth="1"/>
    <col min="4870" max="4870" width="8.81640625" style="438" hidden="1" customWidth="1"/>
    <col min="4871" max="4871" width="7.81640625" style="438" hidden="1" customWidth="1"/>
    <col min="4872" max="4872" width="7.1796875" style="438" hidden="1" customWidth="1"/>
    <col min="4873" max="4873" width="5.81640625" style="438" hidden="1" customWidth="1"/>
    <col min="4874" max="4874" width="4.54296875" style="438" hidden="1" customWidth="1"/>
    <col min="4875" max="4875" width="7.1796875" style="438" hidden="1" customWidth="1"/>
    <col min="4876" max="4877" width="7.81640625" style="438" hidden="1" customWidth="1"/>
    <col min="4878" max="4878" width="5" style="438" hidden="1" customWidth="1"/>
    <col min="4879" max="4879" width="5.54296875" style="438" hidden="1" customWidth="1"/>
    <col min="4880" max="4880" width="4.1796875" style="438" hidden="1" customWidth="1"/>
    <col min="4881" max="5120" width="9.1796875" style="438" hidden="1"/>
    <col min="5121" max="5121" width="3.81640625" style="438" hidden="1" customWidth="1"/>
    <col min="5122" max="5122" width="5.81640625" style="438" hidden="1" customWidth="1"/>
    <col min="5123" max="5123" width="12" style="438" hidden="1" customWidth="1"/>
    <col min="5124" max="5124" width="13" style="438" hidden="1" customWidth="1"/>
    <col min="5125" max="5125" width="12" style="438" hidden="1" customWidth="1"/>
    <col min="5126" max="5126" width="8.81640625" style="438" hidden="1" customWidth="1"/>
    <col min="5127" max="5127" width="7.81640625" style="438" hidden="1" customWidth="1"/>
    <col min="5128" max="5128" width="7.1796875" style="438" hidden="1" customWidth="1"/>
    <col min="5129" max="5129" width="5.81640625" style="438" hidden="1" customWidth="1"/>
    <col min="5130" max="5130" width="4.54296875" style="438" hidden="1" customWidth="1"/>
    <col min="5131" max="5131" width="7.1796875" style="438" hidden="1" customWidth="1"/>
    <col min="5132" max="5133" width="7.81640625" style="438" hidden="1" customWidth="1"/>
    <col min="5134" max="5134" width="5" style="438" hidden="1" customWidth="1"/>
    <col min="5135" max="5135" width="5.54296875" style="438" hidden="1" customWidth="1"/>
    <col min="5136" max="5136" width="4.1796875" style="438" hidden="1" customWidth="1"/>
    <col min="5137" max="5376" width="9.1796875" style="438" hidden="1"/>
    <col min="5377" max="5377" width="3.81640625" style="438" hidden="1" customWidth="1"/>
    <col min="5378" max="5378" width="5.81640625" style="438" hidden="1" customWidth="1"/>
    <col min="5379" max="5379" width="12" style="438" hidden="1" customWidth="1"/>
    <col min="5380" max="5380" width="13" style="438" hidden="1" customWidth="1"/>
    <col min="5381" max="5381" width="12" style="438" hidden="1" customWidth="1"/>
    <col min="5382" max="5382" width="8.81640625" style="438" hidden="1" customWidth="1"/>
    <col min="5383" max="5383" width="7.81640625" style="438" hidden="1" customWidth="1"/>
    <col min="5384" max="5384" width="7.1796875" style="438" hidden="1" customWidth="1"/>
    <col min="5385" max="5385" width="5.81640625" style="438" hidden="1" customWidth="1"/>
    <col min="5386" max="5386" width="4.54296875" style="438" hidden="1" customWidth="1"/>
    <col min="5387" max="5387" width="7.1796875" style="438" hidden="1" customWidth="1"/>
    <col min="5388" max="5389" width="7.81640625" style="438" hidden="1" customWidth="1"/>
    <col min="5390" max="5390" width="5" style="438" hidden="1" customWidth="1"/>
    <col min="5391" max="5391" width="5.54296875" style="438" hidden="1" customWidth="1"/>
    <col min="5392" max="5392" width="4.1796875" style="438" hidden="1" customWidth="1"/>
    <col min="5393" max="5632" width="9.1796875" style="438" hidden="1"/>
    <col min="5633" max="5633" width="3.81640625" style="438" hidden="1" customWidth="1"/>
    <col min="5634" max="5634" width="5.81640625" style="438" hidden="1" customWidth="1"/>
    <col min="5635" max="5635" width="12" style="438" hidden="1" customWidth="1"/>
    <col min="5636" max="5636" width="13" style="438" hidden="1" customWidth="1"/>
    <col min="5637" max="5637" width="12" style="438" hidden="1" customWidth="1"/>
    <col min="5638" max="5638" width="8.81640625" style="438" hidden="1" customWidth="1"/>
    <col min="5639" max="5639" width="7.81640625" style="438" hidden="1" customWidth="1"/>
    <col min="5640" max="5640" width="7.1796875" style="438" hidden="1" customWidth="1"/>
    <col min="5641" max="5641" width="5.81640625" style="438" hidden="1" customWidth="1"/>
    <col min="5642" max="5642" width="4.54296875" style="438" hidden="1" customWidth="1"/>
    <col min="5643" max="5643" width="7.1796875" style="438" hidden="1" customWidth="1"/>
    <col min="5644" max="5645" width="7.81640625" style="438" hidden="1" customWidth="1"/>
    <col min="5646" max="5646" width="5" style="438" hidden="1" customWidth="1"/>
    <col min="5647" max="5647" width="5.54296875" style="438" hidden="1" customWidth="1"/>
    <col min="5648" max="5648" width="4.1796875" style="438" hidden="1" customWidth="1"/>
    <col min="5649" max="5888" width="9.1796875" style="438" hidden="1"/>
    <col min="5889" max="5889" width="3.81640625" style="438" hidden="1" customWidth="1"/>
    <col min="5890" max="5890" width="5.81640625" style="438" hidden="1" customWidth="1"/>
    <col min="5891" max="5891" width="12" style="438" hidden="1" customWidth="1"/>
    <col min="5892" max="5892" width="13" style="438" hidden="1" customWidth="1"/>
    <col min="5893" max="5893" width="12" style="438" hidden="1" customWidth="1"/>
    <col min="5894" max="5894" width="8.81640625" style="438" hidden="1" customWidth="1"/>
    <col min="5895" max="5895" width="7.81640625" style="438" hidden="1" customWidth="1"/>
    <col min="5896" max="5896" width="7.1796875" style="438" hidden="1" customWidth="1"/>
    <col min="5897" max="5897" width="5.81640625" style="438" hidden="1" customWidth="1"/>
    <col min="5898" max="5898" width="4.54296875" style="438" hidden="1" customWidth="1"/>
    <col min="5899" max="5899" width="7.1796875" style="438" hidden="1" customWidth="1"/>
    <col min="5900" max="5901" width="7.81640625" style="438" hidden="1" customWidth="1"/>
    <col min="5902" max="5902" width="5" style="438" hidden="1" customWidth="1"/>
    <col min="5903" max="5903" width="5.54296875" style="438" hidden="1" customWidth="1"/>
    <col min="5904" max="5904" width="4.1796875" style="438" hidden="1" customWidth="1"/>
    <col min="5905" max="6144" width="9.1796875" style="438" hidden="1"/>
    <col min="6145" max="6145" width="3.81640625" style="438" hidden="1" customWidth="1"/>
    <col min="6146" max="6146" width="5.81640625" style="438" hidden="1" customWidth="1"/>
    <col min="6147" max="6147" width="12" style="438" hidden="1" customWidth="1"/>
    <col min="6148" max="6148" width="13" style="438" hidden="1" customWidth="1"/>
    <col min="6149" max="6149" width="12" style="438" hidden="1" customWidth="1"/>
    <col min="6150" max="6150" width="8.81640625" style="438" hidden="1" customWidth="1"/>
    <col min="6151" max="6151" width="7.81640625" style="438" hidden="1" customWidth="1"/>
    <col min="6152" max="6152" width="7.1796875" style="438" hidden="1" customWidth="1"/>
    <col min="6153" max="6153" width="5.81640625" style="438" hidden="1" customWidth="1"/>
    <col min="6154" max="6154" width="4.54296875" style="438" hidden="1" customWidth="1"/>
    <col min="6155" max="6155" width="7.1796875" style="438" hidden="1" customWidth="1"/>
    <col min="6156" max="6157" width="7.81640625" style="438" hidden="1" customWidth="1"/>
    <col min="6158" max="6158" width="5" style="438" hidden="1" customWidth="1"/>
    <col min="6159" max="6159" width="5.54296875" style="438" hidden="1" customWidth="1"/>
    <col min="6160" max="6160" width="4.1796875" style="438" hidden="1" customWidth="1"/>
    <col min="6161" max="6400" width="9.1796875" style="438" hidden="1"/>
    <col min="6401" max="6401" width="3.81640625" style="438" hidden="1" customWidth="1"/>
    <col min="6402" max="6402" width="5.81640625" style="438" hidden="1" customWidth="1"/>
    <col min="6403" max="6403" width="12" style="438" hidden="1" customWidth="1"/>
    <col min="6404" max="6404" width="13" style="438" hidden="1" customWidth="1"/>
    <col min="6405" max="6405" width="12" style="438" hidden="1" customWidth="1"/>
    <col min="6406" max="6406" width="8.81640625" style="438" hidden="1" customWidth="1"/>
    <col min="6407" max="6407" width="7.81640625" style="438" hidden="1" customWidth="1"/>
    <col min="6408" max="6408" width="7.1796875" style="438" hidden="1" customWidth="1"/>
    <col min="6409" max="6409" width="5.81640625" style="438" hidden="1" customWidth="1"/>
    <col min="6410" max="6410" width="4.54296875" style="438" hidden="1" customWidth="1"/>
    <col min="6411" max="6411" width="7.1796875" style="438" hidden="1" customWidth="1"/>
    <col min="6412" max="6413" width="7.81640625" style="438" hidden="1" customWidth="1"/>
    <col min="6414" max="6414" width="5" style="438" hidden="1" customWidth="1"/>
    <col min="6415" max="6415" width="5.54296875" style="438" hidden="1" customWidth="1"/>
    <col min="6416" max="6416" width="4.1796875" style="438" hidden="1" customWidth="1"/>
    <col min="6417" max="6656" width="9.1796875" style="438" hidden="1"/>
    <col min="6657" max="6657" width="3.81640625" style="438" hidden="1" customWidth="1"/>
    <col min="6658" max="6658" width="5.81640625" style="438" hidden="1" customWidth="1"/>
    <col min="6659" max="6659" width="12" style="438" hidden="1" customWidth="1"/>
    <col min="6660" max="6660" width="13" style="438" hidden="1" customWidth="1"/>
    <col min="6661" max="6661" width="12" style="438" hidden="1" customWidth="1"/>
    <col min="6662" max="6662" width="8.81640625" style="438" hidden="1" customWidth="1"/>
    <col min="6663" max="6663" width="7.81640625" style="438" hidden="1" customWidth="1"/>
    <col min="6664" max="6664" width="7.1796875" style="438" hidden="1" customWidth="1"/>
    <col min="6665" max="6665" width="5.81640625" style="438" hidden="1" customWidth="1"/>
    <col min="6666" max="6666" width="4.54296875" style="438" hidden="1" customWidth="1"/>
    <col min="6667" max="6667" width="7.1796875" style="438" hidden="1" customWidth="1"/>
    <col min="6668" max="6669" width="7.81640625" style="438" hidden="1" customWidth="1"/>
    <col min="6670" max="6670" width="5" style="438" hidden="1" customWidth="1"/>
    <col min="6671" max="6671" width="5.54296875" style="438" hidden="1" customWidth="1"/>
    <col min="6672" max="6672" width="4.1796875" style="438" hidden="1" customWidth="1"/>
    <col min="6673" max="6912" width="9.1796875" style="438" hidden="1"/>
    <col min="6913" max="6913" width="3.81640625" style="438" hidden="1" customWidth="1"/>
    <col min="6914" max="6914" width="5.81640625" style="438" hidden="1" customWidth="1"/>
    <col min="6915" max="6915" width="12" style="438" hidden="1" customWidth="1"/>
    <col min="6916" max="6916" width="13" style="438" hidden="1" customWidth="1"/>
    <col min="6917" max="6917" width="12" style="438" hidden="1" customWidth="1"/>
    <col min="6918" max="6918" width="8.81640625" style="438" hidden="1" customWidth="1"/>
    <col min="6919" max="6919" width="7.81640625" style="438" hidden="1" customWidth="1"/>
    <col min="6920" max="6920" width="7.1796875" style="438" hidden="1" customWidth="1"/>
    <col min="6921" max="6921" width="5.81640625" style="438" hidden="1" customWidth="1"/>
    <col min="6922" max="6922" width="4.54296875" style="438" hidden="1" customWidth="1"/>
    <col min="6923" max="6923" width="7.1796875" style="438" hidden="1" customWidth="1"/>
    <col min="6924" max="6925" width="7.81640625" style="438" hidden="1" customWidth="1"/>
    <col min="6926" max="6926" width="5" style="438" hidden="1" customWidth="1"/>
    <col min="6927" max="6927" width="5.54296875" style="438" hidden="1" customWidth="1"/>
    <col min="6928" max="6928" width="4.1796875" style="438" hidden="1" customWidth="1"/>
    <col min="6929" max="7168" width="9.1796875" style="438" hidden="1"/>
    <col min="7169" max="7169" width="3.81640625" style="438" hidden="1" customWidth="1"/>
    <col min="7170" max="7170" width="5.81640625" style="438" hidden="1" customWidth="1"/>
    <col min="7171" max="7171" width="12" style="438" hidden="1" customWidth="1"/>
    <col min="7172" max="7172" width="13" style="438" hidden="1" customWidth="1"/>
    <col min="7173" max="7173" width="12" style="438" hidden="1" customWidth="1"/>
    <col min="7174" max="7174" width="8.81640625" style="438" hidden="1" customWidth="1"/>
    <col min="7175" max="7175" width="7.81640625" style="438" hidden="1" customWidth="1"/>
    <col min="7176" max="7176" width="7.1796875" style="438" hidden="1" customWidth="1"/>
    <col min="7177" max="7177" width="5.81640625" style="438" hidden="1" customWidth="1"/>
    <col min="7178" max="7178" width="4.54296875" style="438" hidden="1" customWidth="1"/>
    <col min="7179" max="7179" width="7.1796875" style="438" hidden="1" customWidth="1"/>
    <col min="7180" max="7181" width="7.81640625" style="438" hidden="1" customWidth="1"/>
    <col min="7182" max="7182" width="5" style="438" hidden="1" customWidth="1"/>
    <col min="7183" max="7183" width="5.54296875" style="438" hidden="1" customWidth="1"/>
    <col min="7184" max="7184" width="4.1796875" style="438" hidden="1" customWidth="1"/>
    <col min="7185" max="7424" width="9.1796875" style="438" hidden="1"/>
    <col min="7425" max="7425" width="3.81640625" style="438" hidden="1" customWidth="1"/>
    <col min="7426" max="7426" width="5.81640625" style="438" hidden="1" customWidth="1"/>
    <col min="7427" max="7427" width="12" style="438" hidden="1" customWidth="1"/>
    <col min="7428" max="7428" width="13" style="438" hidden="1" customWidth="1"/>
    <col min="7429" max="7429" width="12" style="438" hidden="1" customWidth="1"/>
    <col min="7430" max="7430" width="8.81640625" style="438" hidden="1" customWidth="1"/>
    <col min="7431" max="7431" width="7.81640625" style="438" hidden="1" customWidth="1"/>
    <col min="7432" max="7432" width="7.1796875" style="438" hidden="1" customWidth="1"/>
    <col min="7433" max="7433" width="5.81640625" style="438" hidden="1" customWidth="1"/>
    <col min="7434" max="7434" width="4.54296875" style="438" hidden="1" customWidth="1"/>
    <col min="7435" max="7435" width="7.1796875" style="438" hidden="1" customWidth="1"/>
    <col min="7436" max="7437" width="7.81640625" style="438" hidden="1" customWidth="1"/>
    <col min="7438" max="7438" width="5" style="438" hidden="1" customWidth="1"/>
    <col min="7439" max="7439" width="5.54296875" style="438" hidden="1" customWidth="1"/>
    <col min="7440" max="7440" width="4.1796875" style="438" hidden="1" customWidth="1"/>
    <col min="7441" max="7680" width="9.1796875" style="438" hidden="1"/>
    <col min="7681" max="7681" width="3.81640625" style="438" hidden="1" customWidth="1"/>
    <col min="7682" max="7682" width="5.81640625" style="438" hidden="1" customWidth="1"/>
    <col min="7683" max="7683" width="12" style="438" hidden="1" customWidth="1"/>
    <col min="7684" max="7684" width="13" style="438" hidden="1" customWidth="1"/>
    <col min="7685" max="7685" width="12" style="438" hidden="1" customWidth="1"/>
    <col min="7686" max="7686" width="8.81640625" style="438" hidden="1" customWidth="1"/>
    <col min="7687" max="7687" width="7.81640625" style="438" hidden="1" customWidth="1"/>
    <col min="7688" max="7688" width="7.1796875" style="438" hidden="1" customWidth="1"/>
    <col min="7689" max="7689" width="5.81640625" style="438" hidden="1" customWidth="1"/>
    <col min="7690" max="7690" width="4.54296875" style="438" hidden="1" customWidth="1"/>
    <col min="7691" max="7691" width="7.1796875" style="438" hidden="1" customWidth="1"/>
    <col min="7692" max="7693" width="7.81640625" style="438" hidden="1" customWidth="1"/>
    <col min="7694" max="7694" width="5" style="438" hidden="1" customWidth="1"/>
    <col min="7695" max="7695" width="5.54296875" style="438" hidden="1" customWidth="1"/>
    <col min="7696" max="7696" width="4.1796875" style="438" hidden="1" customWidth="1"/>
    <col min="7697" max="7936" width="9.1796875" style="438" hidden="1"/>
    <col min="7937" max="7937" width="3.81640625" style="438" hidden="1" customWidth="1"/>
    <col min="7938" max="7938" width="5.81640625" style="438" hidden="1" customWidth="1"/>
    <col min="7939" max="7939" width="12" style="438" hidden="1" customWidth="1"/>
    <col min="7940" max="7940" width="13" style="438" hidden="1" customWidth="1"/>
    <col min="7941" max="7941" width="12" style="438" hidden="1" customWidth="1"/>
    <col min="7942" max="7942" width="8.81640625" style="438" hidden="1" customWidth="1"/>
    <col min="7943" max="7943" width="7.81640625" style="438" hidden="1" customWidth="1"/>
    <col min="7944" max="7944" width="7.1796875" style="438" hidden="1" customWidth="1"/>
    <col min="7945" max="7945" width="5.81640625" style="438" hidden="1" customWidth="1"/>
    <col min="7946" max="7946" width="4.54296875" style="438" hidden="1" customWidth="1"/>
    <col min="7947" max="7947" width="7.1796875" style="438" hidden="1" customWidth="1"/>
    <col min="7948" max="7949" width="7.81640625" style="438" hidden="1" customWidth="1"/>
    <col min="7950" max="7950" width="5" style="438" hidden="1" customWidth="1"/>
    <col min="7951" max="7951" width="5.54296875" style="438" hidden="1" customWidth="1"/>
    <col min="7952" max="7952" width="4.1796875" style="438" hidden="1" customWidth="1"/>
    <col min="7953" max="8192" width="9.1796875" style="438" hidden="1"/>
    <col min="8193" max="8193" width="3.81640625" style="438" hidden="1" customWidth="1"/>
    <col min="8194" max="8194" width="5.81640625" style="438" hidden="1" customWidth="1"/>
    <col min="8195" max="8195" width="12" style="438" hidden="1" customWidth="1"/>
    <col min="8196" max="8196" width="13" style="438" hidden="1" customWidth="1"/>
    <col min="8197" max="8197" width="12" style="438" hidden="1" customWidth="1"/>
    <col min="8198" max="8198" width="8.81640625" style="438" hidden="1" customWidth="1"/>
    <col min="8199" max="8199" width="7.81640625" style="438" hidden="1" customWidth="1"/>
    <col min="8200" max="8200" width="7.1796875" style="438" hidden="1" customWidth="1"/>
    <col min="8201" max="8201" width="5.81640625" style="438" hidden="1" customWidth="1"/>
    <col min="8202" max="8202" width="4.54296875" style="438" hidden="1" customWidth="1"/>
    <col min="8203" max="8203" width="7.1796875" style="438" hidden="1" customWidth="1"/>
    <col min="8204" max="8205" width="7.81640625" style="438" hidden="1" customWidth="1"/>
    <col min="8206" max="8206" width="5" style="438" hidden="1" customWidth="1"/>
    <col min="8207" max="8207" width="5.54296875" style="438" hidden="1" customWidth="1"/>
    <col min="8208" max="8208" width="4.1796875" style="438" hidden="1" customWidth="1"/>
    <col min="8209" max="8448" width="9.1796875" style="438" hidden="1"/>
    <col min="8449" max="8449" width="3.81640625" style="438" hidden="1" customWidth="1"/>
    <col min="8450" max="8450" width="5.81640625" style="438" hidden="1" customWidth="1"/>
    <col min="8451" max="8451" width="12" style="438" hidden="1" customWidth="1"/>
    <col min="8452" max="8452" width="13" style="438" hidden="1" customWidth="1"/>
    <col min="8453" max="8453" width="12" style="438" hidden="1" customWidth="1"/>
    <col min="8454" max="8454" width="8.81640625" style="438" hidden="1" customWidth="1"/>
    <col min="8455" max="8455" width="7.81640625" style="438" hidden="1" customWidth="1"/>
    <col min="8456" max="8456" width="7.1796875" style="438" hidden="1" customWidth="1"/>
    <col min="8457" max="8457" width="5.81640625" style="438" hidden="1" customWidth="1"/>
    <col min="8458" max="8458" width="4.54296875" style="438" hidden="1" customWidth="1"/>
    <col min="8459" max="8459" width="7.1796875" style="438" hidden="1" customWidth="1"/>
    <col min="8460" max="8461" width="7.81640625" style="438" hidden="1" customWidth="1"/>
    <col min="8462" max="8462" width="5" style="438" hidden="1" customWidth="1"/>
    <col min="8463" max="8463" width="5.54296875" style="438" hidden="1" customWidth="1"/>
    <col min="8464" max="8464" width="4.1796875" style="438" hidden="1" customWidth="1"/>
    <col min="8465" max="8704" width="9.1796875" style="438" hidden="1"/>
    <col min="8705" max="8705" width="3.81640625" style="438" hidden="1" customWidth="1"/>
    <col min="8706" max="8706" width="5.81640625" style="438" hidden="1" customWidth="1"/>
    <col min="8707" max="8707" width="12" style="438" hidden="1" customWidth="1"/>
    <col min="8708" max="8708" width="13" style="438" hidden="1" customWidth="1"/>
    <col min="8709" max="8709" width="12" style="438" hidden="1" customWidth="1"/>
    <col min="8710" max="8710" width="8.81640625" style="438" hidden="1" customWidth="1"/>
    <col min="8711" max="8711" width="7.81640625" style="438" hidden="1" customWidth="1"/>
    <col min="8712" max="8712" width="7.1796875" style="438" hidden="1" customWidth="1"/>
    <col min="8713" max="8713" width="5.81640625" style="438" hidden="1" customWidth="1"/>
    <col min="8714" max="8714" width="4.54296875" style="438" hidden="1" customWidth="1"/>
    <col min="8715" max="8715" width="7.1796875" style="438" hidden="1" customWidth="1"/>
    <col min="8716" max="8717" width="7.81640625" style="438" hidden="1" customWidth="1"/>
    <col min="8718" max="8718" width="5" style="438" hidden="1" customWidth="1"/>
    <col min="8719" max="8719" width="5.54296875" style="438" hidden="1" customWidth="1"/>
    <col min="8720" max="8720" width="4.1796875" style="438" hidden="1" customWidth="1"/>
    <col min="8721" max="8960" width="9.1796875" style="438" hidden="1"/>
    <col min="8961" max="8961" width="3.81640625" style="438" hidden="1" customWidth="1"/>
    <col min="8962" max="8962" width="5.81640625" style="438" hidden="1" customWidth="1"/>
    <col min="8963" max="8963" width="12" style="438" hidden="1" customWidth="1"/>
    <col min="8964" max="8964" width="13" style="438" hidden="1" customWidth="1"/>
    <col min="8965" max="8965" width="12" style="438" hidden="1" customWidth="1"/>
    <col min="8966" max="8966" width="8.81640625" style="438" hidden="1" customWidth="1"/>
    <col min="8967" max="8967" width="7.81640625" style="438" hidden="1" customWidth="1"/>
    <col min="8968" max="8968" width="7.1796875" style="438" hidden="1" customWidth="1"/>
    <col min="8969" max="8969" width="5.81640625" style="438" hidden="1" customWidth="1"/>
    <col min="8970" max="8970" width="4.54296875" style="438" hidden="1" customWidth="1"/>
    <col min="8971" max="8971" width="7.1796875" style="438" hidden="1" customWidth="1"/>
    <col min="8972" max="8973" width="7.81640625" style="438" hidden="1" customWidth="1"/>
    <col min="8974" max="8974" width="5" style="438" hidden="1" customWidth="1"/>
    <col min="8975" max="8975" width="5.54296875" style="438" hidden="1" customWidth="1"/>
    <col min="8976" max="8976" width="4.1796875" style="438" hidden="1" customWidth="1"/>
    <col min="8977" max="9216" width="9.1796875" style="438" hidden="1"/>
    <col min="9217" max="9217" width="3.81640625" style="438" hidden="1" customWidth="1"/>
    <col min="9218" max="9218" width="5.81640625" style="438" hidden="1" customWidth="1"/>
    <col min="9219" max="9219" width="12" style="438" hidden="1" customWidth="1"/>
    <col min="9220" max="9220" width="13" style="438" hidden="1" customWidth="1"/>
    <col min="9221" max="9221" width="12" style="438" hidden="1" customWidth="1"/>
    <col min="9222" max="9222" width="8.81640625" style="438" hidden="1" customWidth="1"/>
    <col min="9223" max="9223" width="7.81640625" style="438" hidden="1" customWidth="1"/>
    <col min="9224" max="9224" width="7.1796875" style="438" hidden="1" customWidth="1"/>
    <col min="9225" max="9225" width="5.81640625" style="438" hidden="1" customWidth="1"/>
    <col min="9226" max="9226" width="4.54296875" style="438" hidden="1" customWidth="1"/>
    <col min="9227" max="9227" width="7.1796875" style="438" hidden="1" customWidth="1"/>
    <col min="9228" max="9229" width="7.81640625" style="438" hidden="1" customWidth="1"/>
    <col min="9230" max="9230" width="5" style="438" hidden="1" customWidth="1"/>
    <col min="9231" max="9231" width="5.54296875" style="438" hidden="1" customWidth="1"/>
    <col min="9232" max="9232" width="4.1796875" style="438" hidden="1" customWidth="1"/>
    <col min="9233" max="9472" width="9.1796875" style="438" hidden="1"/>
    <col min="9473" max="9473" width="3.81640625" style="438" hidden="1" customWidth="1"/>
    <col min="9474" max="9474" width="5.81640625" style="438" hidden="1" customWidth="1"/>
    <col min="9475" max="9475" width="12" style="438" hidden="1" customWidth="1"/>
    <col min="9476" max="9476" width="13" style="438" hidden="1" customWidth="1"/>
    <col min="9477" max="9477" width="12" style="438" hidden="1" customWidth="1"/>
    <col min="9478" max="9478" width="8.81640625" style="438" hidden="1" customWidth="1"/>
    <col min="9479" max="9479" width="7.81640625" style="438" hidden="1" customWidth="1"/>
    <col min="9480" max="9480" width="7.1796875" style="438" hidden="1" customWidth="1"/>
    <col min="9481" max="9481" width="5.81640625" style="438" hidden="1" customWidth="1"/>
    <col min="9482" max="9482" width="4.54296875" style="438" hidden="1" customWidth="1"/>
    <col min="9483" max="9483" width="7.1796875" style="438" hidden="1" customWidth="1"/>
    <col min="9484" max="9485" width="7.81640625" style="438" hidden="1" customWidth="1"/>
    <col min="9486" max="9486" width="5" style="438" hidden="1" customWidth="1"/>
    <col min="9487" max="9487" width="5.54296875" style="438" hidden="1" customWidth="1"/>
    <col min="9488" max="9488" width="4.1796875" style="438" hidden="1" customWidth="1"/>
    <col min="9489" max="9728" width="9.1796875" style="438" hidden="1"/>
    <col min="9729" max="9729" width="3.81640625" style="438" hidden="1" customWidth="1"/>
    <col min="9730" max="9730" width="5.81640625" style="438" hidden="1" customWidth="1"/>
    <col min="9731" max="9731" width="12" style="438" hidden="1" customWidth="1"/>
    <col min="9732" max="9732" width="13" style="438" hidden="1" customWidth="1"/>
    <col min="9733" max="9733" width="12" style="438" hidden="1" customWidth="1"/>
    <col min="9734" max="9734" width="8.81640625" style="438" hidden="1" customWidth="1"/>
    <col min="9735" max="9735" width="7.81640625" style="438" hidden="1" customWidth="1"/>
    <col min="9736" max="9736" width="7.1796875" style="438" hidden="1" customWidth="1"/>
    <col min="9737" max="9737" width="5.81640625" style="438" hidden="1" customWidth="1"/>
    <col min="9738" max="9738" width="4.54296875" style="438" hidden="1" customWidth="1"/>
    <col min="9739" max="9739" width="7.1796875" style="438" hidden="1" customWidth="1"/>
    <col min="9740" max="9741" width="7.81640625" style="438" hidden="1" customWidth="1"/>
    <col min="9742" max="9742" width="5" style="438" hidden="1" customWidth="1"/>
    <col min="9743" max="9743" width="5.54296875" style="438" hidden="1" customWidth="1"/>
    <col min="9744" max="9744" width="4.1796875" style="438" hidden="1" customWidth="1"/>
    <col min="9745" max="9984" width="9.1796875" style="438" hidden="1"/>
    <col min="9985" max="9985" width="3.81640625" style="438" hidden="1" customWidth="1"/>
    <col min="9986" max="9986" width="5.81640625" style="438" hidden="1" customWidth="1"/>
    <col min="9987" max="9987" width="12" style="438" hidden="1" customWidth="1"/>
    <col min="9988" max="9988" width="13" style="438" hidden="1" customWidth="1"/>
    <col min="9989" max="9989" width="12" style="438" hidden="1" customWidth="1"/>
    <col min="9990" max="9990" width="8.81640625" style="438" hidden="1" customWidth="1"/>
    <col min="9991" max="9991" width="7.81640625" style="438" hidden="1" customWidth="1"/>
    <col min="9992" max="9992" width="7.1796875" style="438" hidden="1" customWidth="1"/>
    <col min="9993" max="9993" width="5.81640625" style="438" hidden="1" customWidth="1"/>
    <col min="9994" max="9994" width="4.54296875" style="438" hidden="1" customWidth="1"/>
    <col min="9995" max="9995" width="7.1796875" style="438" hidden="1" customWidth="1"/>
    <col min="9996" max="9997" width="7.81640625" style="438" hidden="1" customWidth="1"/>
    <col min="9998" max="9998" width="5" style="438" hidden="1" customWidth="1"/>
    <col min="9999" max="9999" width="5.54296875" style="438" hidden="1" customWidth="1"/>
    <col min="10000" max="10000" width="4.1796875" style="438" hidden="1" customWidth="1"/>
    <col min="10001" max="10240" width="9.1796875" style="438" hidden="1"/>
    <col min="10241" max="10241" width="3.81640625" style="438" hidden="1" customWidth="1"/>
    <col min="10242" max="10242" width="5.81640625" style="438" hidden="1" customWidth="1"/>
    <col min="10243" max="10243" width="12" style="438" hidden="1" customWidth="1"/>
    <col min="10244" max="10244" width="13" style="438" hidden="1" customWidth="1"/>
    <col min="10245" max="10245" width="12" style="438" hidden="1" customWidth="1"/>
    <col min="10246" max="10246" width="8.81640625" style="438" hidden="1" customWidth="1"/>
    <col min="10247" max="10247" width="7.81640625" style="438" hidden="1" customWidth="1"/>
    <col min="10248" max="10248" width="7.1796875" style="438" hidden="1" customWidth="1"/>
    <col min="10249" max="10249" width="5.81640625" style="438" hidden="1" customWidth="1"/>
    <col min="10250" max="10250" width="4.54296875" style="438" hidden="1" customWidth="1"/>
    <col min="10251" max="10251" width="7.1796875" style="438" hidden="1" customWidth="1"/>
    <col min="10252" max="10253" width="7.81640625" style="438" hidden="1" customWidth="1"/>
    <col min="10254" max="10254" width="5" style="438" hidden="1" customWidth="1"/>
    <col min="10255" max="10255" width="5.54296875" style="438" hidden="1" customWidth="1"/>
    <col min="10256" max="10256" width="4.1796875" style="438" hidden="1" customWidth="1"/>
    <col min="10257" max="10496" width="9.1796875" style="438" hidden="1"/>
    <col min="10497" max="10497" width="3.81640625" style="438" hidden="1" customWidth="1"/>
    <col min="10498" max="10498" width="5.81640625" style="438" hidden="1" customWidth="1"/>
    <col min="10499" max="10499" width="12" style="438" hidden="1" customWidth="1"/>
    <col min="10500" max="10500" width="13" style="438" hidden="1" customWidth="1"/>
    <col min="10501" max="10501" width="12" style="438" hidden="1" customWidth="1"/>
    <col min="10502" max="10502" width="8.81640625" style="438" hidden="1" customWidth="1"/>
    <col min="10503" max="10503" width="7.81640625" style="438" hidden="1" customWidth="1"/>
    <col min="10504" max="10504" width="7.1796875" style="438" hidden="1" customWidth="1"/>
    <col min="10505" max="10505" width="5.81640625" style="438" hidden="1" customWidth="1"/>
    <col min="10506" max="10506" width="4.54296875" style="438" hidden="1" customWidth="1"/>
    <col min="10507" max="10507" width="7.1796875" style="438" hidden="1" customWidth="1"/>
    <col min="10508" max="10509" width="7.81640625" style="438" hidden="1" customWidth="1"/>
    <col min="10510" max="10510" width="5" style="438" hidden="1" customWidth="1"/>
    <col min="10511" max="10511" width="5.54296875" style="438" hidden="1" customWidth="1"/>
    <col min="10512" max="10512" width="4.1796875" style="438" hidden="1" customWidth="1"/>
    <col min="10513" max="10752" width="9.1796875" style="438" hidden="1"/>
    <col min="10753" max="10753" width="3.81640625" style="438" hidden="1" customWidth="1"/>
    <col min="10754" max="10754" width="5.81640625" style="438" hidden="1" customWidth="1"/>
    <col min="10755" max="10755" width="12" style="438" hidden="1" customWidth="1"/>
    <col min="10756" max="10756" width="13" style="438" hidden="1" customWidth="1"/>
    <col min="10757" max="10757" width="12" style="438" hidden="1" customWidth="1"/>
    <col min="10758" max="10758" width="8.81640625" style="438" hidden="1" customWidth="1"/>
    <col min="10759" max="10759" width="7.81640625" style="438" hidden="1" customWidth="1"/>
    <col min="10760" max="10760" width="7.1796875" style="438" hidden="1" customWidth="1"/>
    <col min="10761" max="10761" width="5.81640625" style="438" hidden="1" customWidth="1"/>
    <col min="10762" max="10762" width="4.54296875" style="438" hidden="1" customWidth="1"/>
    <col min="10763" max="10763" width="7.1796875" style="438" hidden="1" customWidth="1"/>
    <col min="10764" max="10765" width="7.81640625" style="438" hidden="1" customWidth="1"/>
    <col min="10766" max="10766" width="5" style="438" hidden="1" customWidth="1"/>
    <col min="10767" max="10767" width="5.54296875" style="438" hidden="1" customWidth="1"/>
    <col min="10768" max="10768" width="4.1796875" style="438" hidden="1" customWidth="1"/>
    <col min="10769" max="11008" width="9.1796875" style="438" hidden="1"/>
    <col min="11009" max="11009" width="3.81640625" style="438" hidden="1" customWidth="1"/>
    <col min="11010" max="11010" width="5.81640625" style="438" hidden="1" customWidth="1"/>
    <col min="11011" max="11011" width="12" style="438" hidden="1" customWidth="1"/>
    <col min="11012" max="11012" width="13" style="438" hidden="1" customWidth="1"/>
    <col min="11013" max="11013" width="12" style="438" hidden="1" customWidth="1"/>
    <col min="11014" max="11014" width="8.81640625" style="438" hidden="1" customWidth="1"/>
    <col min="11015" max="11015" width="7.81640625" style="438" hidden="1" customWidth="1"/>
    <col min="11016" max="11016" width="7.1796875" style="438" hidden="1" customWidth="1"/>
    <col min="11017" max="11017" width="5.81640625" style="438" hidden="1" customWidth="1"/>
    <col min="11018" max="11018" width="4.54296875" style="438" hidden="1" customWidth="1"/>
    <col min="11019" max="11019" width="7.1796875" style="438" hidden="1" customWidth="1"/>
    <col min="11020" max="11021" width="7.81640625" style="438" hidden="1" customWidth="1"/>
    <col min="11022" max="11022" width="5" style="438" hidden="1" customWidth="1"/>
    <col min="11023" max="11023" width="5.54296875" style="438" hidden="1" customWidth="1"/>
    <col min="11024" max="11024" width="4.1796875" style="438" hidden="1" customWidth="1"/>
    <col min="11025" max="11264" width="9.1796875" style="438" hidden="1"/>
    <col min="11265" max="11265" width="3.81640625" style="438" hidden="1" customWidth="1"/>
    <col min="11266" max="11266" width="5.81640625" style="438" hidden="1" customWidth="1"/>
    <col min="11267" max="11267" width="12" style="438" hidden="1" customWidth="1"/>
    <col min="11268" max="11268" width="13" style="438" hidden="1" customWidth="1"/>
    <col min="11269" max="11269" width="12" style="438" hidden="1" customWidth="1"/>
    <col min="11270" max="11270" width="8.81640625" style="438" hidden="1" customWidth="1"/>
    <col min="11271" max="11271" width="7.81640625" style="438" hidden="1" customWidth="1"/>
    <col min="11272" max="11272" width="7.1796875" style="438" hidden="1" customWidth="1"/>
    <col min="11273" max="11273" width="5.81640625" style="438" hidden="1" customWidth="1"/>
    <col min="11274" max="11274" width="4.54296875" style="438" hidden="1" customWidth="1"/>
    <col min="11275" max="11275" width="7.1796875" style="438" hidden="1" customWidth="1"/>
    <col min="11276" max="11277" width="7.81640625" style="438" hidden="1" customWidth="1"/>
    <col min="11278" max="11278" width="5" style="438" hidden="1" customWidth="1"/>
    <col min="11279" max="11279" width="5.54296875" style="438" hidden="1" customWidth="1"/>
    <col min="11280" max="11280" width="4.1796875" style="438" hidden="1" customWidth="1"/>
    <col min="11281" max="11520" width="9.1796875" style="438" hidden="1"/>
    <col min="11521" max="11521" width="3.81640625" style="438" hidden="1" customWidth="1"/>
    <col min="11522" max="11522" width="5.81640625" style="438" hidden="1" customWidth="1"/>
    <col min="11523" max="11523" width="12" style="438" hidden="1" customWidth="1"/>
    <col min="11524" max="11524" width="13" style="438" hidden="1" customWidth="1"/>
    <col min="11525" max="11525" width="12" style="438" hidden="1" customWidth="1"/>
    <col min="11526" max="11526" width="8.81640625" style="438" hidden="1" customWidth="1"/>
    <col min="11527" max="11527" width="7.81640625" style="438" hidden="1" customWidth="1"/>
    <col min="11528" max="11528" width="7.1796875" style="438" hidden="1" customWidth="1"/>
    <col min="11529" max="11529" width="5.81640625" style="438" hidden="1" customWidth="1"/>
    <col min="11530" max="11530" width="4.54296875" style="438" hidden="1" customWidth="1"/>
    <col min="11531" max="11531" width="7.1796875" style="438" hidden="1" customWidth="1"/>
    <col min="11532" max="11533" width="7.81640625" style="438" hidden="1" customWidth="1"/>
    <col min="11534" max="11534" width="5" style="438" hidden="1" customWidth="1"/>
    <col min="11535" max="11535" width="5.54296875" style="438" hidden="1" customWidth="1"/>
    <col min="11536" max="11536" width="4.1796875" style="438" hidden="1" customWidth="1"/>
    <col min="11537" max="11776" width="9.1796875" style="438" hidden="1"/>
    <col min="11777" max="11777" width="3.81640625" style="438" hidden="1" customWidth="1"/>
    <col min="11778" max="11778" width="5.81640625" style="438" hidden="1" customWidth="1"/>
    <col min="11779" max="11779" width="12" style="438" hidden="1" customWidth="1"/>
    <col min="11780" max="11780" width="13" style="438" hidden="1" customWidth="1"/>
    <col min="11781" max="11781" width="12" style="438" hidden="1" customWidth="1"/>
    <col min="11782" max="11782" width="8.81640625" style="438" hidden="1" customWidth="1"/>
    <col min="11783" max="11783" width="7.81640625" style="438" hidden="1" customWidth="1"/>
    <col min="11784" max="11784" width="7.1796875" style="438" hidden="1" customWidth="1"/>
    <col min="11785" max="11785" width="5.81640625" style="438" hidden="1" customWidth="1"/>
    <col min="11786" max="11786" width="4.54296875" style="438" hidden="1" customWidth="1"/>
    <col min="11787" max="11787" width="7.1796875" style="438" hidden="1" customWidth="1"/>
    <col min="11788" max="11789" width="7.81640625" style="438" hidden="1" customWidth="1"/>
    <col min="11790" max="11790" width="5" style="438" hidden="1" customWidth="1"/>
    <col min="11791" max="11791" width="5.54296875" style="438" hidden="1" customWidth="1"/>
    <col min="11792" max="11792" width="4.1796875" style="438" hidden="1" customWidth="1"/>
    <col min="11793" max="12032" width="9.1796875" style="438" hidden="1"/>
    <col min="12033" max="12033" width="3.81640625" style="438" hidden="1" customWidth="1"/>
    <col min="12034" max="12034" width="5.81640625" style="438" hidden="1" customWidth="1"/>
    <col min="12035" max="12035" width="12" style="438" hidden="1" customWidth="1"/>
    <col min="12036" max="12036" width="13" style="438" hidden="1" customWidth="1"/>
    <col min="12037" max="12037" width="12" style="438" hidden="1" customWidth="1"/>
    <col min="12038" max="12038" width="8.81640625" style="438" hidden="1" customWidth="1"/>
    <col min="12039" max="12039" width="7.81640625" style="438" hidden="1" customWidth="1"/>
    <col min="12040" max="12040" width="7.1796875" style="438" hidden="1" customWidth="1"/>
    <col min="12041" max="12041" width="5.81640625" style="438" hidden="1" customWidth="1"/>
    <col min="12042" max="12042" width="4.54296875" style="438" hidden="1" customWidth="1"/>
    <col min="12043" max="12043" width="7.1796875" style="438" hidden="1" customWidth="1"/>
    <col min="12044" max="12045" width="7.81640625" style="438" hidden="1" customWidth="1"/>
    <col min="12046" max="12046" width="5" style="438" hidden="1" customWidth="1"/>
    <col min="12047" max="12047" width="5.54296875" style="438" hidden="1" customWidth="1"/>
    <col min="12048" max="12048" width="4.1796875" style="438" hidden="1" customWidth="1"/>
    <col min="12049" max="12288" width="9.1796875" style="438" hidden="1"/>
    <col min="12289" max="12289" width="3.81640625" style="438" hidden="1" customWidth="1"/>
    <col min="12290" max="12290" width="5.81640625" style="438" hidden="1" customWidth="1"/>
    <col min="12291" max="12291" width="12" style="438" hidden="1" customWidth="1"/>
    <col min="12292" max="12292" width="13" style="438" hidden="1" customWidth="1"/>
    <col min="12293" max="12293" width="12" style="438" hidden="1" customWidth="1"/>
    <col min="12294" max="12294" width="8.81640625" style="438" hidden="1" customWidth="1"/>
    <col min="12295" max="12295" width="7.81640625" style="438" hidden="1" customWidth="1"/>
    <col min="12296" max="12296" width="7.1796875" style="438" hidden="1" customWidth="1"/>
    <col min="12297" max="12297" width="5.81640625" style="438" hidden="1" customWidth="1"/>
    <col min="12298" max="12298" width="4.54296875" style="438" hidden="1" customWidth="1"/>
    <col min="12299" max="12299" width="7.1796875" style="438" hidden="1" customWidth="1"/>
    <col min="12300" max="12301" width="7.81640625" style="438" hidden="1" customWidth="1"/>
    <col min="12302" max="12302" width="5" style="438" hidden="1" customWidth="1"/>
    <col min="12303" max="12303" width="5.54296875" style="438" hidden="1" customWidth="1"/>
    <col min="12304" max="12304" width="4.1796875" style="438" hidden="1" customWidth="1"/>
    <col min="12305" max="12544" width="9.1796875" style="438" hidden="1"/>
    <col min="12545" max="12545" width="3.81640625" style="438" hidden="1" customWidth="1"/>
    <col min="12546" max="12546" width="5.81640625" style="438" hidden="1" customWidth="1"/>
    <col min="12547" max="12547" width="12" style="438" hidden="1" customWidth="1"/>
    <col min="12548" max="12548" width="13" style="438" hidden="1" customWidth="1"/>
    <col min="12549" max="12549" width="12" style="438" hidden="1" customWidth="1"/>
    <col min="12550" max="12550" width="8.81640625" style="438" hidden="1" customWidth="1"/>
    <col min="12551" max="12551" width="7.81640625" style="438" hidden="1" customWidth="1"/>
    <col min="12552" max="12552" width="7.1796875" style="438" hidden="1" customWidth="1"/>
    <col min="12553" max="12553" width="5.81640625" style="438" hidden="1" customWidth="1"/>
    <col min="12554" max="12554" width="4.54296875" style="438" hidden="1" customWidth="1"/>
    <col min="12555" max="12555" width="7.1796875" style="438" hidden="1" customWidth="1"/>
    <col min="12556" max="12557" width="7.81640625" style="438" hidden="1" customWidth="1"/>
    <col min="12558" max="12558" width="5" style="438" hidden="1" customWidth="1"/>
    <col min="12559" max="12559" width="5.54296875" style="438" hidden="1" customWidth="1"/>
    <col min="12560" max="12560" width="4.1796875" style="438" hidden="1" customWidth="1"/>
    <col min="12561" max="12800" width="9.1796875" style="438" hidden="1"/>
    <col min="12801" max="12801" width="3.81640625" style="438" hidden="1" customWidth="1"/>
    <col min="12802" max="12802" width="5.81640625" style="438" hidden="1" customWidth="1"/>
    <col min="12803" max="12803" width="12" style="438" hidden="1" customWidth="1"/>
    <col min="12804" max="12804" width="13" style="438" hidden="1" customWidth="1"/>
    <col min="12805" max="12805" width="12" style="438" hidden="1" customWidth="1"/>
    <col min="12806" max="12806" width="8.81640625" style="438" hidden="1" customWidth="1"/>
    <col min="12807" max="12807" width="7.81640625" style="438" hidden="1" customWidth="1"/>
    <col min="12808" max="12808" width="7.1796875" style="438" hidden="1" customWidth="1"/>
    <col min="12809" max="12809" width="5.81640625" style="438" hidden="1" customWidth="1"/>
    <col min="12810" max="12810" width="4.54296875" style="438" hidden="1" customWidth="1"/>
    <col min="12811" max="12811" width="7.1796875" style="438" hidden="1" customWidth="1"/>
    <col min="12812" max="12813" width="7.81640625" style="438" hidden="1" customWidth="1"/>
    <col min="12814" max="12814" width="5" style="438" hidden="1" customWidth="1"/>
    <col min="12815" max="12815" width="5.54296875" style="438" hidden="1" customWidth="1"/>
    <col min="12816" max="12816" width="4.1796875" style="438" hidden="1" customWidth="1"/>
    <col min="12817" max="13056" width="9.1796875" style="438" hidden="1"/>
    <col min="13057" max="13057" width="3.81640625" style="438" hidden="1" customWidth="1"/>
    <col min="13058" max="13058" width="5.81640625" style="438" hidden="1" customWidth="1"/>
    <col min="13059" max="13059" width="12" style="438" hidden="1" customWidth="1"/>
    <col min="13060" max="13060" width="13" style="438" hidden="1" customWidth="1"/>
    <col min="13061" max="13061" width="12" style="438" hidden="1" customWidth="1"/>
    <col min="13062" max="13062" width="8.81640625" style="438" hidden="1" customWidth="1"/>
    <col min="13063" max="13063" width="7.81640625" style="438" hidden="1" customWidth="1"/>
    <col min="13064" max="13064" width="7.1796875" style="438" hidden="1" customWidth="1"/>
    <col min="13065" max="13065" width="5.81640625" style="438" hidden="1" customWidth="1"/>
    <col min="13066" max="13066" width="4.54296875" style="438" hidden="1" customWidth="1"/>
    <col min="13067" max="13067" width="7.1796875" style="438" hidden="1" customWidth="1"/>
    <col min="13068" max="13069" width="7.81640625" style="438" hidden="1" customWidth="1"/>
    <col min="13070" max="13070" width="5" style="438" hidden="1" customWidth="1"/>
    <col min="13071" max="13071" width="5.54296875" style="438" hidden="1" customWidth="1"/>
    <col min="13072" max="13072" width="4.1796875" style="438" hidden="1" customWidth="1"/>
    <col min="13073" max="13312" width="9.1796875" style="438" hidden="1"/>
    <col min="13313" max="13313" width="3.81640625" style="438" hidden="1" customWidth="1"/>
    <col min="13314" max="13314" width="5.81640625" style="438" hidden="1" customWidth="1"/>
    <col min="13315" max="13315" width="12" style="438" hidden="1" customWidth="1"/>
    <col min="13316" max="13316" width="13" style="438" hidden="1" customWidth="1"/>
    <col min="13317" max="13317" width="12" style="438" hidden="1" customWidth="1"/>
    <col min="13318" max="13318" width="8.81640625" style="438" hidden="1" customWidth="1"/>
    <col min="13319" max="13319" width="7.81640625" style="438" hidden="1" customWidth="1"/>
    <col min="13320" max="13320" width="7.1796875" style="438" hidden="1" customWidth="1"/>
    <col min="13321" max="13321" width="5.81640625" style="438" hidden="1" customWidth="1"/>
    <col min="13322" max="13322" width="4.54296875" style="438" hidden="1" customWidth="1"/>
    <col min="13323" max="13323" width="7.1796875" style="438" hidden="1" customWidth="1"/>
    <col min="13324" max="13325" width="7.81640625" style="438" hidden="1" customWidth="1"/>
    <col min="13326" max="13326" width="5" style="438" hidden="1" customWidth="1"/>
    <col min="13327" max="13327" width="5.54296875" style="438" hidden="1" customWidth="1"/>
    <col min="13328" max="13328" width="4.1796875" style="438" hidden="1" customWidth="1"/>
    <col min="13329" max="13568" width="9.1796875" style="438" hidden="1"/>
    <col min="13569" max="13569" width="3.81640625" style="438" hidden="1" customWidth="1"/>
    <col min="13570" max="13570" width="5.81640625" style="438" hidden="1" customWidth="1"/>
    <col min="13571" max="13571" width="12" style="438" hidden="1" customWidth="1"/>
    <col min="13572" max="13572" width="13" style="438" hidden="1" customWidth="1"/>
    <col min="13573" max="13573" width="12" style="438" hidden="1" customWidth="1"/>
    <col min="13574" max="13574" width="8.81640625" style="438" hidden="1" customWidth="1"/>
    <col min="13575" max="13575" width="7.81640625" style="438" hidden="1" customWidth="1"/>
    <col min="13576" max="13576" width="7.1796875" style="438" hidden="1" customWidth="1"/>
    <col min="13577" max="13577" width="5.81640625" style="438" hidden="1" customWidth="1"/>
    <col min="13578" max="13578" width="4.54296875" style="438" hidden="1" customWidth="1"/>
    <col min="13579" max="13579" width="7.1796875" style="438" hidden="1" customWidth="1"/>
    <col min="13580" max="13581" width="7.81640625" style="438" hidden="1" customWidth="1"/>
    <col min="13582" max="13582" width="5" style="438" hidden="1" customWidth="1"/>
    <col min="13583" max="13583" width="5.54296875" style="438" hidden="1" customWidth="1"/>
    <col min="13584" max="13584" width="4.1796875" style="438" hidden="1" customWidth="1"/>
    <col min="13585" max="13824" width="9.1796875" style="438" hidden="1"/>
    <col min="13825" max="13825" width="3.81640625" style="438" hidden="1" customWidth="1"/>
    <col min="13826" max="13826" width="5.81640625" style="438" hidden="1" customWidth="1"/>
    <col min="13827" max="13827" width="12" style="438" hidden="1" customWidth="1"/>
    <col min="13828" max="13828" width="13" style="438" hidden="1" customWidth="1"/>
    <col min="13829" max="13829" width="12" style="438" hidden="1" customWidth="1"/>
    <col min="13830" max="13830" width="8.81640625" style="438" hidden="1" customWidth="1"/>
    <col min="13831" max="13831" width="7.81640625" style="438" hidden="1" customWidth="1"/>
    <col min="13832" max="13832" width="7.1796875" style="438" hidden="1" customWidth="1"/>
    <col min="13833" max="13833" width="5.81640625" style="438" hidden="1" customWidth="1"/>
    <col min="13834" max="13834" width="4.54296875" style="438" hidden="1" customWidth="1"/>
    <col min="13835" max="13835" width="7.1796875" style="438" hidden="1" customWidth="1"/>
    <col min="13836" max="13837" width="7.81640625" style="438" hidden="1" customWidth="1"/>
    <col min="13838" max="13838" width="5" style="438" hidden="1" customWidth="1"/>
    <col min="13839" max="13839" width="5.54296875" style="438" hidden="1" customWidth="1"/>
    <col min="13840" max="13840" width="4.1796875" style="438" hidden="1" customWidth="1"/>
    <col min="13841" max="14080" width="9.1796875" style="438" hidden="1"/>
    <col min="14081" max="14081" width="3.81640625" style="438" hidden="1" customWidth="1"/>
    <col min="14082" max="14082" width="5.81640625" style="438" hidden="1" customWidth="1"/>
    <col min="14083" max="14083" width="12" style="438" hidden="1" customWidth="1"/>
    <col min="14084" max="14084" width="13" style="438" hidden="1" customWidth="1"/>
    <col min="14085" max="14085" width="12" style="438" hidden="1" customWidth="1"/>
    <col min="14086" max="14086" width="8.81640625" style="438" hidden="1" customWidth="1"/>
    <col min="14087" max="14087" width="7.81640625" style="438" hidden="1" customWidth="1"/>
    <col min="14088" max="14088" width="7.1796875" style="438" hidden="1" customWidth="1"/>
    <col min="14089" max="14089" width="5.81640625" style="438" hidden="1" customWidth="1"/>
    <col min="14090" max="14090" width="4.54296875" style="438" hidden="1" customWidth="1"/>
    <col min="14091" max="14091" width="7.1796875" style="438" hidden="1" customWidth="1"/>
    <col min="14092" max="14093" width="7.81640625" style="438" hidden="1" customWidth="1"/>
    <col min="14094" max="14094" width="5" style="438" hidden="1" customWidth="1"/>
    <col min="14095" max="14095" width="5.54296875" style="438" hidden="1" customWidth="1"/>
    <col min="14096" max="14096" width="4.1796875" style="438" hidden="1" customWidth="1"/>
    <col min="14097" max="14336" width="9.1796875" style="438" hidden="1"/>
    <col min="14337" max="14337" width="3.81640625" style="438" hidden="1" customWidth="1"/>
    <col min="14338" max="14338" width="5.81640625" style="438" hidden="1" customWidth="1"/>
    <col min="14339" max="14339" width="12" style="438" hidden="1" customWidth="1"/>
    <col min="14340" max="14340" width="13" style="438" hidden="1" customWidth="1"/>
    <col min="14341" max="14341" width="12" style="438" hidden="1" customWidth="1"/>
    <col min="14342" max="14342" width="8.81640625" style="438" hidden="1" customWidth="1"/>
    <col min="14343" max="14343" width="7.81640625" style="438" hidden="1" customWidth="1"/>
    <col min="14344" max="14344" width="7.1796875" style="438" hidden="1" customWidth="1"/>
    <col min="14345" max="14345" width="5.81640625" style="438" hidden="1" customWidth="1"/>
    <col min="14346" max="14346" width="4.54296875" style="438" hidden="1" customWidth="1"/>
    <col min="14347" max="14347" width="7.1796875" style="438" hidden="1" customWidth="1"/>
    <col min="14348" max="14349" width="7.81640625" style="438" hidden="1" customWidth="1"/>
    <col min="14350" max="14350" width="5" style="438" hidden="1" customWidth="1"/>
    <col min="14351" max="14351" width="5.54296875" style="438" hidden="1" customWidth="1"/>
    <col min="14352" max="14352" width="4.1796875" style="438" hidden="1" customWidth="1"/>
    <col min="14353" max="14592" width="9.1796875" style="438" hidden="1"/>
    <col min="14593" max="14593" width="3.81640625" style="438" hidden="1" customWidth="1"/>
    <col min="14594" max="14594" width="5.81640625" style="438" hidden="1" customWidth="1"/>
    <col min="14595" max="14595" width="12" style="438" hidden="1" customWidth="1"/>
    <col min="14596" max="14596" width="13" style="438" hidden="1" customWidth="1"/>
    <col min="14597" max="14597" width="12" style="438" hidden="1" customWidth="1"/>
    <col min="14598" max="14598" width="8.81640625" style="438" hidden="1" customWidth="1"/>
    <col min="14599" max="14599" width="7.81640625" style="438" hidden="1" customWidth="1"/>
    <col min="14600" max="14600" width="7.1796875" style="438" hidden="1" customWidth="1"/>
    <col min="14601" max="14601" width="5.81640625" style="438" hidden="1" customWidth="1"/>
    <col min="14602" max="14602" width="4.54296875" style="438" hidden="1" customWidth="1"/>
    <col min="14603" max="14603" width="7.1796875" style="438" hidden="1" customWidth="1"/>
    <col min="14604" max="14605" width="7.81640625" style="438" hidden="1" customWidth="1"/>
    <col min="14606" max="14606" width="5" style="438" hidden="1" customWidth="1"/>
    <col min="14607" max="14607" width="5.54296875" style="438" hidden="1" customWidth="1"/>
    <col min="14608" max="14608" width="4.1796875" style="438" hidden="1" customWidth="1"/>
    <col min="14609" max="14848" width="9.1796875" style="438" hidden="1"/>
    <col min="14849" max="14849" width="3.81640625" style="438" hidden="1" customWidth="1"/>
    <col min="14850" max="14850" width="5.81640625" style="438" hidden="1" customWidth="1"/>
    <col min="14851" max="14851" width="12" style="438" hidden="1" customWidth="1"/>
    <col min="14852" max="14852" width="13" style="438" hidden="1" customWidth="1"/>
    <col min="14853" max="14853" width="12" style="438" hidden="1" customWidth="1"/>
    <col min="14854" max="14854" width="8.81640625" style="438" hidden="1" customWidth="1"/>
    <col min="14855" max="14855" width="7.81640625" style="438" hidden="1" customWidth="1"/>
    <col min="14856" max="14856" width="7.1796875" style="438" hidden="1" customWidth="1"/>
    <col min="14857" max="14857" width="5.81640625" style="438" hidden="1" customWidth="1"/>
    <col min="14858" max="14858" width="4.54296875" style="438" hidden="1" customWidth="1"/>
    <col min="14859" max="14859" width="7.1796875" style="438" hidden="1" customWidth="1"/>
    <col min="14860" max="14861" width="7.81640625" style="438" hidden="1" customWidth="1"/>
    <col min="14862" max="14862" width="5" style="438" hidden="1" customWidth="1"/>
    <col min="14863" max="14863" width="5.54296875" style="438" hidden="1" customWidth="1"/>
    <col min="14864" max="14864" width="4.1796875" style="438" hidden="1" customWidth="1"/>
    <col min="14865" max="15104" width="9.1796875" style="438" hidden="1"/>
    <col min="15105" max="15105" width="3.81640625" style="438" hidden="1" customWidth="1"/>
    <col min="15106" max="15106" width="5.81640625" style="438" hidden="1" customWidth="1"/>
    <col min="15107" max="15107" width="12" style="438" hidden="1" customWidth="1"/>
    <col min="15108" max="15108" width="13" style="438" hidden="1" customWidth="1"/>
    <col min="15109" max="15109" width="12" style="438" hidden="1" customWidth="1"/>
    <col min="15110" max="15110" width="8.81640625" style="438" hidden="1" customWidth="1"/>
    <col min="15111" max="15111" width="7.81640625" style="438" hidden="1" customWidth="1"/>
    <col min="15112" max="15112" width="7.1796875" style="438" hidden="1" customWidth="1"/>
    <col min="15113" max="15113" width="5.81640625" style="438" hidden="1" customWidth="1"/>
    <col min="15114" max="15114" width="4.54296875" style="438" hidden="1" customWidth="1"/>
    <col min="15115" max="15115" width="7.1796875" style="438" hidden="1" customWidth="1"/>
    <col min="15116" max="15117" width="7.81640625" style="438" hidden="1" customWidth="1"/>
    <col min="15118" max="15118" width="5" style="438" hidden="1" customWidth="1"/>
    <col min="15119" max="15119" width="5.54296875" style="438" hidden="1" customWidth="1"/>
    <col min="15120" max="15120" width="4.1796875" style="438" hidden="1" customWidth="1"/>
    <col min="15121" max="15360" width="9.1796875" style="438" hidden="1"/>
    <col min="15361" max="15361" width="3.81640625" style="438" hidden="1" customWidth="1"/>
    <col min="15362" max="15362" width="5.81640625" style="438" hidden="1" customWidth="1"/>
    <col min="15363" max="15363" width="12" style="438" hidden="1" customWidth="1"/>
    <col min="15364" max="15364" width="13" style="438" hidden="1" customWidth="1"/>
    <col min="15365" max="15365" width="12" style="438" hidden="1" customWidth="1"/>
    <col min="15366" max="15366" width="8.81640625" style="438" hidden="1" customWidth="1"/>
    <col min="15367" max="15367" width="7.81640625" style="438" hidden="1" customWidth="1"/>
    <col min="15368" max="15368" width="7.1796875" style="438" hidden="1" customWidth="1"/>
    <col min="15369" max="15369" width="5.81640625" style="438" hidden="1" customWidth="1"/>
    <col min="15370" max="15370" width="4.54296875" style="438" hidden="1" customWidth="1"/>
    <col min="15371" max="15371" width="7.1796875" style="438" hidden="1" customWidth="1"/>
    <col min="15372" max="15373" width="7.81640625" style="438" hidden="1" customWidth="1"/>
    <col min="15374" max="15374" width="5" style="438" hidden="1" customWidth="1"/>
    <col min="15375" max="15375" width="5.54296875" style="438" hidden="1" customWidth="1"/>
    <col min="15376" max="15376" width="4.1796875" style="438" hidden="1" customWidth="1"/>
    <col min="15377" max="15616" width="9.1796875" style="438" hidden="1"/>
    <col min="15617" max="15617" width="3.81640625" style="438" hidden="1" customWidth="1"/>
    <col min="15618" max="15618" width="5.81640625" style="438" hidden="1" customWidth="1"/>
    <col min="15619" max="15619" width="12" style="438" hidden="1" customWidth="1"/>
    <col min="15620" max="15620" width="13" style="438" hidden="1" customWidth="1"/>
    <col min="15621" max="15621" width="12" style="438" hidden="1" customWidth="1"/>
    <col min="15622" max="15622" width="8.81640625" style="438" hidden="1" customWidth="1"/>
    <col min="15623" max="15623" width="7.81640625" style="438" hidden="1" customWidth="1"/>
    <col min="15624" max="15624" width="7.1796875" style="438" hidden="1" customWidth="1"/>
    <col min="15625" max="15625" width="5.81640625" style="438" hidden="1" customWidth="1"/>
    <col min="15626" max="15626" width="4.54296875" style="438" hidden="1" customWidth="1"/>
    <col min="15627" max="15627" width="7.1796875" style="438" hidden="1" customWidth="1"/>
    <col min="15628" max="15629" width="7.81640625" style="438" hidden="1" customWidth="1"/>
    <col min="15630" max="15630" width="5" style="438" hidden="1" customWidth="1"/>
    <col min="15631" max="15631" width="5.54296875" style="438" hidden="1" customWidth="1"/>
    <col min="15632" max="15632" width="4.1796875" style="438" hidden="1" customWidth="1"/>
    <col min="15633" max="15872" width="9.1796875" style="438" hidden="1"/>
    <col min="15873" max="15873" width="3.81640625" style="438" hidden="1" customWidth="1"/>
    <col min="15874" max="15874" width="5.81640625" style="438" hidden="1" customWidth="1"/>
    <col min="15875" max="15875" width="12" style="438" hidden="1" customWidth="1"/>
    <col min="15876" max="15876" width="13" style="438" hidden="1" customWidth="1"/>
    <col min="15877" max="15877" width="12" style="438" hidden="1" customWidth="1"/>
    <col min="15878" max="15878" width="8.81640625" style="438" hidden="1" customWidth="1"/>
    <col min="15879" max="15879" width="7.81640625" style="438" hidden="1" customWidth="1"/>
    <col min="15880" max="15880" width="7.1796875" style="438" hidden="1" customWidth="1"/>
    <col min="15881" max="15881" width="5.81640625" style="438" hidden="1" customWidth="1"/>
    <col min="15882" max="15882" width="4.54296875" style="438" hidden="1" customWidth="1"/>
    <col min="15883" max="15883" width="7.1796875" style="438" hidden="1" customWidth="1"/>
    <col min="15884" max="15885" width="7.81640625" style="438" hidden="1" customWidth="1"/>
    <col min="15886" max="15886" width="5" style="438" hidden="1" customWidth="1"/>
    <col min="15887" max="15887" width="5.54296875" style="438" hidden="1" customWidth="1"/>
    <col min="15888" max="15888" width="4.1796875" style="438" hidden="1" customWidth="1"/>
    <col min="15889" max="16128" width="9.1796875" style="438" hidden="1"/>
    <col min="16129" max="16129" width="3.81640625" style="438" hidden="1" customWidth="1"/>
    <col min="16130" max="16130" width="5.81640625" style="438" hidden="1" customWidth="1"/>
    <col min="16131" max="16131" width="12" style="438" hidden="1" customWidth="1"/>
    <col min="16132" max="16132" width="13" style="438" hidden="1" customWidth="1"/>
    <col min="16133" max="16133" width="12" style="438" hidden="1" customWidth="1"/>
    <col min="16134" max="16134" width="8.81640625" style="438" hidden="1" customWidth="1"/>
    <col min="16135" max="16135" width="7.81640625" style="438" hidden="1" customWidth="1"/>
    <col min="16136" max="16136" width="7.1796875" style="438" hidden="1" customWidth="1"/>
    <col min="16137" max="16137" width="5.81640625" style="438" hidden="1" customWidth="1"/>
    <col min="16138" max="16138" width="4.54296875" style="438" hidden="1" customWidth="1"/>
    <col min="16139" max="16139" width="7.1796875" style="438" hidden="1" customWidth="1"/>
    <col min="16140" max="16141" width="7.81640625" style="438" hidden="1" customWidth="1"/>
    <col min="16142" max="16142" width="5" style="438" hidden="1" customWidth="1"/>
    <col min="16143" max="16143" width="5.54296875" style="438" hidden="1" customWidth="1"/>
    <col min="16144" max="16144" width="4.1796875" style="438" hidden="1" customWidth="1"/>
    <col min="16145" max="16384" width="9.1796875" style="438" hidden="1"/>
  </cols>
  <sheetData>
    <row r="1" spans="2:15" ht="45.75" customHeight="1">
      <c r="B1" s="495" t="str">
        <f>Development!A3&amp;" Residential Efficiency Program"</f>
        <v>2024 Residential Efficiency Program</v>
      </c>
      <c r="C1" s="494"/>
      <c r="D1" s="494"/>
      <c r="E1" s="494"/>
      <c r="F1" s="494"/>
      <c r="G1" s="494"/>
      <c r="H1" s="494"/>
      <c r="I1" s="494"/>
      <c r="J1" s="494"/>
      <c r="K1" s="494"/>
      <c r="L1" s="494"/>
      <c r="M1" s="494"/>
      <c r="N1" s="494"/>
    </row>
    <row r="2" spans="2:15" ht="35.25" customHeight="1">
      <c r="B2" s="491"/>
      <c r="C2" s="493" t="s">
        <v>1286</v>
      </c>
      <c r="D2" s="492"/>
      <c r="E2" s="492"/>
      <c r="F2" s="492"/>
      <c r="G2" s="492"/>
      <c r="H2" s="492"/>
      <c r="I2" s="492"/>
      <c r="J2" s="492"/>
      <c r="K2" s="492"/>
      <c r="L2" s="492"/>
      <c r="M2" s="492"/>
      <c r="N2" s="492"/>
      <c r="O2" s="491"/>
    </row>
    <row r="3" spans="2:15" s="488" customFormat="1" ht="14.5">
      <c r="B3" s="489"/>
      <c r="O3" s="490"/>
    </row>
    <row r="4" spans="2:15" s="488" customFormat="1" ht="16.5" customHeight="1">
      <c r="B4" s="489"/>
    </row>
    <row r="5" spans="2:15" s="439" customFormat="1" ht="14">
      <c r="C5" s="487" t="s">
        <v>1285</v>
      </c>
      <c r="D5" s="486" t="s">
        <v>651</v>
      </c>
      <c r="F5" s="485"/>
      <c r="G5" s="485"/>
      <c r="H5" s="485"/>
      <c r="I5" s="485"/>
      <c r="J5" s="485"/>
      <c r="K5" s="485"/>
      <c r="L5" s="485"/>
      <c r="M5" s="485"/>
    </row>
    <row r="6" spans="2:15" s="447" customFormat="1" ht="14">
      <c r="B6" s="444"/>
      <c r="C6" s="484" t="s">
        <v>228</v>
      </c>
      <c r="D6" s="483" t="s">
        <v>651</v>
      </c>
      <c r="E6" s="482"/>
      <c r="F6" s="454"/>
      <c r="G6" s="454"/>
      <c r="H6" s="454"/>
      <c r="I6" s="454"/>
    </row>
    <row r="7" spans="2:15" s="447" customFormat="1" ht="14">
      <c r="B7" s="444"/>
    </row>
    <row r="8" spans="2:15" s="447" customFormat="1" ht="14">
      <c r="B8" s="444"/>
      <c r="C8" s="2644" t="s">
        <v>1284</v>
      </c>
      <c r="D8" s="2644"/>
      <c r="E8" s="2644"/>
      <c r="F8" s="2644"/>
      <c r="H8" s="460"/>
      <c r="I8" s="460"/>
      <c r="J8" s="481"/>
      <c r="K8" s="460"/>
      <c r="L8" s="460"/>
    </row>
    <row r="9" spans="2:15" s="444" customFormat="1" ht="14">
      <c r="C9" s="476"/>
      <c r="D9" s="475"/>
      <c r="E9" s="475"/>
      <c r="F9" s="475"/>
      <c r="G9" s="464"/>
      <c r="H9" s="475" t="s">
        <v>1259</v>
      </c>
      <c r="I9" s="475"/>
      <c r="K9" s="475" t="s">
        <v>1258</v>
      </c>
      <c r="L9" s="474"/>
    </row>
    <row r="10" spans="2:15" s="444" customFormat="1" ht="14">
      <c r="C10" s="451" t="s">
        <v>1283</v>
      </c>
      <c r="D10" s="447"/>
      <c r="E10" s="452"/>
      <c r="F10" s="452"/>
      <c r="G10" s="447"/>
      <c r="H10" s="473"/>
      <c r="I10" s="453" t="s">
        <v>1260</v>
      </c>
      <c r="K10" s="473"/>
      <c r="L10" s="480" t="s">
        <v>1260</v>
      </c>
    </row>
    <row r="11" spans="2:15" s="444" customFormat="1" ht="14">
      <c r="C11" s="451" t="s">
        <v>1279</v>
      </c>
      <c r="D11" s="447"/>
      <c r="E11" s="452"/>
      <c r="F11" s="452"/>
      <c r="G11" s="452"/>
      <c r="H11" s="473"/>
      <c r="I11" s="447" t="s">
        <v>1260</v>
      </c>
      <c r="K11" s="473"/>
      <c r="L11" s="480" t="s">
        <v>1260</v>
      </c>
    </row>
    <row r="12" spans="2:15" s="444" customFormat="1" ht="14">
      <c r="C12" s="451" t="s">
        <v>1282</v>
      </c>
      <c r="D12" s="447"/>
      <c r="E12" s="452"/>
      <c r="F12" s="452"/>
      <c r="G12" s="452"/>
      <c r="H12" s="472"/>
      <c r="I12" s="447" t="s">
        <v>1260</v>
      </c>
      <c r="K12" s="472"/>
      <c r="L12" s="480" t="s">
        <v>1260</v>
      </c>
    </row>
    <row r="13" spans="2:15" s="444" customFormat="1" ht="14">
      <c r="C13" s="479"/>
      <c r="D13" s="2647"/>
      <c r="E13" s="2647"/>
      <c r="F13" s="2647"/>
      <c r="G13" s="470"/>
      <c r="H13" s="469"/>
      <c r="I13" s="470"/>
      <c r="J13" s="470"/>
      <c r="K13" s="470"/>
      <c r="L13" s="467"/>
    </row>
    <row r="14" spans="2:15" s="444" customFormat="1" ht="14">
      <c r="C14" s="466" t="s">
        <v>241</v>
      </c>
      <c r="D14" s="2640"/>
      <c r="E14" s="2640"/>
      <c r="F14" s="2640"/>
      <c r="G14" s="2640"/>
      <c r="H14" s="2640"/>
      <c r="I14" s="2640"/>
      <c r="J14" s="2640"/>
      <c r="K14" s="2640"/>
      <c r="L14" s="2641"/>
    </row>
    <row r="15" spans="2:15" s="444" customFormat="1" ht="14">
      <c r="C15" s="478"/>
      <c r="D15" s="2642"/>
      <c r="E15" s="2642"/>
      <c r="F15" s="2642"/>
      <c r="G15" s="2642"/>
      <c r="H15" s="2642"/>
      <c r="I15" s="2642"/>
      <c r="J15" s="2642"/>
      <c r="K15" s="2642"/>
      <c r="L15" s="2643"/>
    </row>
    <row r="16" spans="2:15" s="444" customFormat="1" ht="14"/>
    <row r="17" spans="2:14" s="444" customFormat="1" ht="14">
      <c r="C17" s="2644" t="s">
        <v>1281</v>
      </c>
      <c r="D17" s="2644"/>
      <c r="E17" s="2644"/>
      <c r="F17" s="2644"/>
      <c r="G17" s="447"/>
      <c r="H17" s="447"/>
      <c r="I17" s="447"/>
      <c r="J17" s="470"/>
      <c r="K17" s="460"/>
      <c r="L17" s="477"/>
    </row>
    <row r="18" spans="2:14" s="444" customFormat="1" ht="14">
      <c r="C18" s="476"/>
      <c r="D18" s="475"/>
      <c r="E18" s="475"/>
      <c r="F18" s="475"/>
      <c r="G18" s="464"/>
      <c r="H18" s="475" t="s">
        <v>1259</v>
      </c>
      <c r="I18" s="475"/>
      <c r="K18" s="475" t="s">
        <v>1258</v>
      </c>
      <c r="L18" s="474"/>
    </row>
    <row r="19" spans="2:14" s="444" customFormat="1" ht="14">
      <c r="C19" s="2645" t="s">
        <v>1280</v>
      </c>
      <c r="D19" s="2646"/>
      <c r="E19" s="2637"/>
      <c r="F19" s="2637"/>
      <c r="G19" s="447"/>
      <c r="H19" s="473"/>
      <c r="I19" s="447" t="s">
        <v>1262</v>
      </c>
      <c r="K19" s="473"/>
      <c r="L19" s="449" t="s">
        <v>1262</v>
      </c>
    </row>
    <row r="20" spans="2:14" s="444" customFormat="1" ht="14">
      <c r="C20" s="2645" t="s">
        <v>1279</v>
      </c>
      <c r="D20" s="2646"/>
      <c r="E20" s="2637"/>
      <c r="F20" s="2637"/>
      <c r="G20" s="447"/>
      <c r="H20" s="472"/>
      <c r="I20" s="447" t="s">
        <v>1262</v>
      </c>
      <c r="K20" s="472"/>
      <c r="L20" s="449" t="s">
        <v>1262</v>
      </c>
    </row>
    <row r="21" spans="2:14" s="444" customFormat="1" ht="14">
      <c r="C21" s="451"/>
      <c r="D21" s="447"/>
      <c r="E21" s="454"/>
      <c r="F21" s="454"/>
      <c r="G21" s="452"/>
      <c r="I21" s="447"/>
      <c r="J21" s="452"/>
      <c r="K21" s="447"/>
      <c r="L21" s="449"/>
    </row>
    <row r="22" spans="2:14" s="444" customFormat="1" ht="14">
      <c r="C22" s="451" t="s">
        <v>1278</v>
      </c>
      <c r="D22" s="447"/>
      <c r="E22" s="447"/>
      <c r="F22" s="447"/>
      <c r="G22" s="447"/>
      <c r="I22" s="447"/>
      <c r="J22" s="447"/>
      <c r="K22" s="447"/>
      <c r="L22" s="449"/>
    </row>
    <row r="23" spans="2:14" s="444" customFormat="1" ht="14">
      <c r="C23" s="471"/>
      <c r="D23" s="470"/>
      <c r="E23" s="468"/>
      <c r="F23" s="468"/>
      <c r="G23" s="468"/>
      <c r="H23" s="469"/>
      <c r="I23" s="468"/>
      <c r="J23" s="468"/>
      <c r="K23" s="468"/>
      <c r="L23" s="467"/>
    </row>
    <row r="24" spans="2:14" s="444" customFormat="1" ht="14">
      <c r="C24" s="466" t="s">
        <v>241</v>
      </c>
      <c r="D24" s="2640"/>
      <c r="E24" s="2640"/>
      <c r="F24" s="2640"/>
      <c r="G24" s="2640"/>
      <c r="H24" s="2640"/>
      <c r="I24" s="2640"/>
      <c r="J24" s="2640"/>
      <c r="K24" s="2640"/>
      <c r="L24" s="2641"/>
    </row>
    <row r="25" spans="2:14" s="444" customFormat="1" ht="14">
      <c r="C25" s="446"/>
      <c r="D25" s="2642"/>
      <c r="E25" s="2642"/>
      <c r="F25" s="2642"/>
      <c r="G25" s="2642"/>
      <c r="H25" s="2642"/>
      <c r="I25" s="2642"/>
      <c r="J25" s="2642"/>
      <c r="K25" s="2642"/>
      <c r="L25" s="2643"/>
      <c r="M25" s="444" t="s">
        <v>1277</v>
      </c>
    </row>
    <row r="26" spans="2:14" s="444" customFormat="1" ht="14"/>
    <row r="27" spans="2:14" s="444" customFormat="1" ht="14">
      <c r="B27" s="447"/>
      <c r="C27" s="2644" t="s">
        <v>1276</v>
      </c>
      <c r="D27" s="2644"/>
      <c r="E27" s="2644"/>
      <c r="F27" s="2644"/>
      <c r="G27" s="2644"/>
      <c r="H27" s="2644"/>
      <c r="I27" s="2644"/>
      <c r="J27" s="2644"/>
      <c r="K27" s="2644"/>
      <c r="L27" s="2644"/>
      <c r="M27" s="2644"/>
      <c r="N27" s="2644"/>
    </row>
    <row r="28" spans="2:14" s="444" customFormat="1" ht="14">
      <c r="B28" s="447"/>
      <c r="C28" s="465" t="s">
        <v>1224</v>
      </c>
      <c r="D28" s="2638"/>
      <c r="E28" s="2638"/>
      <c r="F28" s="464"/>
      <c r="G28" s="464"/>
      <c r="H28" s="463"/>
      <c r="I28" s="462" t="s">
        <v>1273</v>
      </c>
      <c r="J28" s="2638"/>
      <c r="K28" s="2638"/>
      <c r="L28" s="2638"/>
      <c r="M28" s="2638"/>
      <c r="N28" s="461"/>
    </row>
    <row r="29" spans="2:14" s="444" customFormat="1" ht="14">
      <c r="B29" s="447"/>
      <c r="C29" s="451" t="s">
        <v>1272</v>
      </c>
      <c r="D29" s="2638"/>
      <c r="E29" s="2638"/>
      <c r="F29" s="447"/>
      <c r="G29" s="447"/>
      <c r="I29" s="452" t="s">
        <v>1271</v>
      </c>
      <c r="J29" s="2638"/>
      <c r="K29" s="2638"/>
      <c r="L29" s="2638"/>
      <c r="M29" s="2638"/>
      <c r="N29" s="449"/>
    </row>
    <row r="30" spans="2:14" s="444" customFormat="1" ht="14">
      <c r="B30" s="447"/>
      <c r="C30" s="451" t="s">
        <v>1270</v>
      </c>
      <c r="D30" s="2638"/>
      <c r="E30" s="2638"/>
      <c r="F30" s="447"/>
      <c r="G30" s="447"/>
      <c r="I30" s="452" t="s">
        <v>1269</v>
      </c>
      <c r="J30" s="2638"/>
      <c r="K30" s="2638"/>
      <c r="L30" s="2638"/>
      <c r="M30" s="2638"/>
      <c r="N30" s="449"/>
    </row>
    <row r="31" spans="2:14" s="444" customFormat="1" ht="14">
      <c r="B31" s="447"/>
      <c r="C31" s="451" t="s">
        <v>1268</v>
      </c>
      <c r="D31" s="2638"/>
      <c r="E31" s="2638"/>
      <c r="F31" s="447"/>
      <c r="G31" s="447"/>
      <c r="I31" s="452" t="s">
        <v>1267</v>
      </c>
      <c r="J31" s="2638"/>
      <c r="K31" s="2638"/>
      <c r="L31" s="2638"/>
      <c r="M31" s="2638"/>
      <c r="N31" s="449"/>
    </row>
    <row r="32" spans="2:14" s="444" customFormat="1" ht="14">
      <c r="B32" s="447"/>
      <c r="C32" s="455"/>
      <c r="D32" s="2639" t="s">
        <v>1259</v>
      </c>
      <c r="E32" s="2639"/>
      <c r="F32" s="2639"/>
      <c r="G32" s="2639"/>
      <c r="H32" s="453"/>
      <c r="I32" s="453"/>
      <c r="J32" s="453"/>
      <c r="K32" s="460" t="s">
        <v>1258</v>
      </c>
      <c r="L32" s="460"/>
      <c r="M32" s="460"/>
      <c r="N32" s="449"/>
    </row>
    <row r="33" spans="2:14" s="444" customFormat="1" ht="23.15" customHeight="1">
      <c r="B33" s="447"/>
      <c r="C33" s="455" t="s">
        <v>1264</v>
      </c>
      <c r="D33" s="458"/>
      <c r="E33" s="459" t="s">
        <v>1262</v>
      </c>
      <c r="F33" s="2629"/>
      <c r="G33" s="2631"/>
      <c r="H33" s="447"/>
      <c r="I33" s="2629"/>
      <c r="J33" s="2630"/>
      <c r="K33" s="459" t="s">
        <v>1262</v>
      </c>
      <c r="L33" s="2629"/>
      <c r="M33" s="2631"/>
      <c r="N33" s="449"/>
    </row>
    <row r="34" spans="2:14" s="444" customFormat="1" ht="23.15" customHeight="1">
      <c r="B34" s="447"/>
      <c r="C34" s="455" t="s">
        <v>1263</v>
      </c>
      <c r="D34" s="458"/>
      <c r="E34" s="453" t="s">
        <v>1262</v>
      </c>
      <c r="F34" s="2629"/>
      <c r="G34" s="2631"/>
      <c r="H34" s="447"/>
      <c r="I34" s="2629"/>
      <c r="J34" s="2630"/>
      <c r="K34" s="453" t="s">
        <v>1262</v>
      </c>
      <c r="L34" s="2629"/>
      <c r="M34" s="2631"/>
      <c r="N34" s="449"/>
    </row>
    <row r="35" spans="2:14" s="444" customFormat="1" ht="23.15" customHeight="1">
      <c r="B35" s="447"/>
      <c r="C35" s="455" t="s">
        <v>1261</v>
      </c>
      <c r="D35" s="458"/>
      <c r="E35" s="456" t="s">
        <v>1260</v>
      </c>
      <c r="F35" s="2629"/>
      <c r="G35" s="2631"/>
      <c r="H35" s="447"/>
      <c r="I35" s="2629"/>
      <c r="J35" s="2630"/>
      <c r="K35" s="456" t="s">
        <v>1260</v>
      </c>
      <c r="L35" s="2629"/>
      <c r="M35" s="2631"/>
      <c r="N35" s="449"/>
    </row>
    <row r="36" spans="2:14" s="444" customFormat="1" ht="8.25" customHeight="1">
      <c r="B36" s="447"/>
      <c r="C36" s="455"/>
      <c r="D36" s="452"/>
      <c r="E36" s="453"/>
      <c r="F36" s="447"/>
      <c r="G36" s="447"/>
      <c r="H36" s="447"/>
      <c r="I36" s="454"/>
      <c r="J36" s="454"/>
      <c r="K36" s="453"/>
      <c r="L36" s="447"/>
      <c r="M36" s="447"/>
      <c r="N36" s="449"/>
    </row>
    <row r="37" spans="2:14" s="444" customFormat="1" ht="14">
      <c r="B37" s="447"/>
      <c r="C37" s="451"/>
      <c r="D37" s="447"/>
      <c r="E37" s="2637" t="s">
        <v>1259</v>
      </c>
      <c r="F37" s="2637"/>
      <c r="G37" s="447"/>
      <c r="H37" s="2637"/>
      <c r="I37" s="2637"/>
      <c r="J37" s="2637"/>
      <c r="K37" s="2637" t="s">
        <v>1258</v>
      </c>
      <c r="L37" s="2637"/>
      <c r="M37" s="2637"/>
      <c r="N37" s="449"/>
    </row>
    <row r="38" spans="2:14" s="444" customFormat="1" ht="14">
      <c r="B38" s="447"/>
      <c r="C38" s="451"/>
      <c r="D38" s="452" t="s">
        <v>1257</v>
      </c>
      <c r="E38" s="2629"/>
      <c r="F38" s="2631"/>
      <c r="G38" s="447"/>
      <c r="H38" s="447"/>
      <c r="I38" s="447"/>
      <c r="J38" s="447"/>
      <c r="K38" s="2629"/>
      <c r="L38" s="2630"/>
      <c r="M38" s="2631"/>
      <c r="N38" s="449"/>
    </row>
    <row r="39" spans="2:14" s="444" customFormat="1" ht="14">
      <c r="B39" s="447"/>
      <c r="C39" s="451"/>
      <c r="D39" s="447"/>
      <c r="E39" s="450"/>
      <c r="F39" s="447"/>
      <c r="G39" s="447"/>
      <c r="H39" s="447"/>
      <c r="I39" s="447"/>
      <c r="J39" s="447"/>
      <c r="K39" s="447"/>
      <c r="L39" s="447"/>
      <c r="M39" s="447"/>
      <c r="N39" s="449"/>
    </row>
    <row r="40" spans="2:14" s="444" customFormat="1" ht="14">
      <c r="B40" s="447"/>
      <c r="C40" s="448" t="s">
        <v>241</v>
      </c>
      <c r="D40" s="2640"/>
      <c r="E40" s="2640"/>
      <c r="F40" s="2640"/>
      <c r="G40" s="2640"/>
      <c r="H40" s="2640"/>
      <c r="I40" s="2640"/>
      <c r="J40" s="2640"/>
      <c r="K40" s="2640"/>
      <c r="L40" s="2640"/>
      <c r="M40" s="2640"/>
      <c r="N40" s="2641"/>
    </row>
    <row r="41" spans="2:14" s="444" customFormat="1" ht="14">
      <c r="B41" s="447"/>
      <c r="C41" s="446"/>
      <c r="D41" s="2642"/>
      <c r="E41" s="2642"/>
      <c r="F41" s="2642"/>
      <c r="G41" s="2642"/>
      <c r="H41" s="2642"/>
      <c r="I41" s="2642"/>
      <c r="J41" s="2642"/>
      <c r="K41" s="2642"/>
      <c r="L41" s="2642"/>
      <c r="M41" s="2642"/>
      <c r="N41" s="2643"/>
    </row>
    <row r="42" spans="2:14" s="444" customFormat="1" ht="14">
      <c r="B42" s="447"/>
      <c r="C42" s="447"/>
      <c r="D42" s="447"/>
      <c r="E42" s="450"/>
      <c r="F42" s="447"/>
      <c r="G42" s="447"/>
      <c r="H42" s="447"/>
      <c r="I42" s="447"/>
      <c r="J42" s="447"/>
      <c r="K42" s="447"/>
      <c r="L42" s="447"/>
      <c r="M42" s="447"/>
      <c r="N42" s="447"/>
    </row>
    <row r="43" spans="2:14" s="444" customFormat="1" ht="14">
      <c r="B43" s="447"/>
      <c r="C43" s="2644" t="s">
        <v>1275</v>
      </c>
      <c r="D43" s="2644"/>
      <c r="E43" s="2644"/>
      <c r="F43" s="2644"/>
      <c r="G43" s="2644"/>
      <c r="H43" s="2644"/>
      <c r="I43" s="2644"/>
      <c r="J43" s="2644"/>
      <c r="K43" s="2644"/>
      <c r="L43" s="2644"/>
      <c r="M43" s="2644"/>
      <c r="N43" s="2644"/>
    </row>
    <row r="44" spans="2:14" s="444" customFormat="1" ht="14">
      <c r="B44" s="447"/>
      <c r="C44" s="465" t="s">
        <v>1224</v>
      </c>
      <c r="D44" s="2638"/>
      <c r="E44" s="2638"/>
      <c r="F44" s="464"/>
      <c r="G44" s="464"/>
      <c r="H44" s="463"/>
      <c r="I44" s="462" t="s">
        <v>1273</v>
      </c>
      <c r="J44" s="2638"/>
      <c r="K44" s="2638"/>
      <c r="L44" s="2638"/>
      <c r="M44" s="2638"/>
      <c r="N44" s="461"/>
    </row>
    <row r="45" spans="2:14" s="444" customFormat="1" ht="14">
      <c r="B45" s="447"/>
      <c r="C45" s="451" t="s">
        <v>1272</v>
      </c>
      <c r="D45" s="2638"/>
      <c r="E45" s="2638"/>
      <c r="F45" s="447"/>
      <c r="G45" s="447"/>
      <c r="I45" s="452" t="s">
        <v>1271</v>
      </c>
      <c r="J45" s="2638"/>
      <c r="K45" s="2638"/>
      <c r="L45" s="2638"/>
      <c r="M45" s="2638"/>
      <c r="N45" s="449"/>
    </row>
    <row r="46" spans="2:14" s="444" customFormat="1" ht="14">
      <c r="B46" s="447"/>
      <c r="C46" s="451" t="s">
        <v>1270</v>
      </c>
      <c r="D46" s="2638"/>
      <c r="E46" s="2638"/>
      <c r="F46" s="447"/>
      <c r="G46" s="447"/>
      <c r="I46" s="452" t="s">
        <v>1269</v>
      </c>
      <c r="J46" s="2638"/>
      <c r="K46" s="2638"/>
      <c r="L46" s="2638"/>
      <c r="M46" s="2638"/>
      <c r="N46" s="449"/>
    </row>
    <row r="47" spans="2:14" s="444" customFormat="1" ht="14">
      <c r="B47" s="447"/>
      <c r="C47" s="451" t="s">
        <v>1268</v>
      </c>
      <c r="D47" s="2638"/>
      <c r="E47" s="2638"/>
      <c r="F47" s="447"/>
      <c r="G47" s="447"/>
      <c r="I47" s="452" t="s">
        <v>1267</v>
      </c>
      <c r="J47" s="2638"/>
      <c r="K47" s="2638"/>
      <c r="L47" s="2638"/>
      <c r="M47" s="2638"/>
      <c r="N47" s="449"/>
    </row>
    <row r="48" spans="2:14" s="444" customFormat="1" ht="14">
      <c r="B48" s="447"/>
      <c r="C48" s="455"/>
      <c r="D48" s="2639" t="s">
        <v>1259</v>
      </c>
      <c r="E48" s="2639"/>
      <c r="F48" s="2639"/>
      <c r="G48" s="2639"/>
      <c r="H48" s="453"/>
      <c r="I48" s="453"/>
      <c r="J48" s="453"/>
      <c r="K48" s="460" t="s">
        <v>1258</v>
      </c>
      <c r="L48" s="460"/>
      <c r="M48" s="460"/>
      <c r="N48" s="449"/>
    </row>
    <row r="49" spans="2:14" s="444" customFormat="1" ht="23.15" customHeight="1">
      <c r="B49" s="447"/>
      <c r="C49" s="455" t="s">
        <v>1264</v>
      </c>
      <c r="D49" s="458"/>
      <c r="E49" s="459" t="s">
        <v>1262</v>
      </c>
      <c r="F49" s="2629"/>
      <c r="G49" s="2631"/>
      <c r="H49" s="447"/>
      <c r="I49" s="2629"/>
      <c r="J49" s="2630"/>
      <c r="K49" s="459" t="s">
        <v>1262</v>
      </c>
      <c r="L49" s="2629"/>
      <c r="M49" s="2631"/>
      <c r="N49" s="449"/>
    </row>
    <row r="50" spans="2:14" s="444" customFormat="1" ht="23.15" customHeight="1">
      <c r="B50" s="447"/>
      <c r="C50" s="455" t="s">
        <v>1263</v>
      </c>
      <c r="D50" s="458"/>
      <c r="E50" s="453" t="s">
        <v>1262</v>
      </c>
      <c r="F50" s="2629"/>
      <c r="G50" s="2631"/>
      <c r="H50" s="447"/>
      <c r="I50" s="2629"/>
      <c r="J50" s="2630"/>
      <c r="K50" s="453" t="s">
        <v>1262</v>
      </c>
      <c r="L50" s="2629"/>
      <c r="M50" s="2631"/>
      <c r="N50" s="449"/>
    </row>
    <row r="51" spans="2:14" s="444" customFormat="1" ht="23.15" customHeight="1">
      <c r="B51" s="447"/>
      <c r="C51" s="455" t="s">
        <v>1261</v>
      </c>
      <c r="D51" s="457"/>
      <c r="E51" s="456" t="s">
        <v>1260</v>
      </c>
      <c r="F51" s="2629"/>
      <c r="G51" s="2631"/>
      <c r="H51" s="447"/>
      <c r="I51" s="2629"/>
      <c r="J51" s="2630"/>
      <c r="K51" s="456" t="s">
        <v>1260</v>
      </c>
      <c r="L51" s="2629"/>
      <c r="M51" s="2631"/>
      <c r="N51" s="449"/>
    </row>
    <row r="52" spans="2:14" s="444" customFormat="1" ht="14">
      <c r="B52" s="447"/>
      <c r="C52" s="455"/>
      <c r="D52" s="452"/>
      <c r="E52" s="453"/>
      <c r="F52" s="447"/>
      <c r="G52" s="447"/>
      <c r="H52" s="447"/>
      <c r="I52" s="454"/>
      <c r="J52" s="454"/>
      <c r="K52" s="453"/>
      <c r="L52" s="447"/>
      <c r="M52" s="447"/>
      <c r="N52" s="449"/>
    </row>
    <row r="53" spans="2:14" s="444" customFormat="1" ht="14">
      <c r="B53" s="447"/>
      <c r="C53" s="451"/>
      <c r="D53" s="447"/>
      <c r="E53" s="2637" t="s">
        <v>1259</v>
      </c>
      <c r="F53" s="2637"/>
      <c r="G53" s="447"/>
      <c r="H53" s="2637"/>
      <c r="I53" s="2637"/>
      <c r="J53" s="2637"/>
      <c r="K53" s="2637" t="s">
        <v>1258</v>
      </c>
      <c r="L53" s="2637"/>
      <c r="M53" s="2637"/>
      <c r="N53" s="449"/>
    </row>
    <row r="54" spans="2:14" s="444" customFormat="1" ht="14">
      <c r="B54" s="447"/>
      <c r="C54" s="451"/>
      <c r="D54" s="452" t="s">
        <v>1257</v>
      </c>
      <c r="E54" s="2629"/>
      <c r="F54" s="2631"/>
      <c r="G54" s="447"/>
      <c r="H54" s="447"/>
      <c r="I54" s="447"/>
      <c r="J54" s="447"/>
      <c r="K54" s="2629"/>
      <c r="L54" s="2630"/>
      <c r="M54" s="2631"/>
      <c r="N54" s="449"/>
    </row>
    <row r="55" spans="2:14" s="444" customFormat="1" ht="14">
      <c r="B55" s="447"/>
      <c r="C55" s="451"/>
      <c r="D55" s="447"/>
      <c r="E55" s="450"/>
      <c r="F55" s="447"/>
      <c r="G55" s="447"/>
      <c r="H55" s="447"/>
      <c r="I55" s="447"/>
      <c r="J55" s="447"/>
      <c r="K55" s="447"/>
      <c r="L55" s="447"/>
      <c r="M55" s="447"/>
      <c r="N55" s="449"/>
    </row>
    <row r="56" spans="2:14" s="444" customFormat="1" ht="14">
      <c r="B56" s="447"/>
      <c r="C56" s="448" t="s">
        <v>241</v>
      </c>
      <c r="D56" s="2640"/>
      <c r="E56" s="2640"/>
      <c r="F56" s="2640"/>
      <c r="G56" s="2640"/>
      <c r="H56" s="2640"/>
      <c r="I56" s="2640"/>
      <c r="J56" s="2640"/>
      <c r="K56" s="2640"/>
      <c r="L56" s="2640"/>
      <c r="M56" s="2640"/>
      <c r="N56" s="2641"/>
    </row>
    <row r="57" spans="2:14" s="444" customFormat="1" ht="14">
      <c r="B57" s="447"/>
      <c r="C57" s="446"/>
      <c r="D57" s="2642"/>
      <c r="E57" s="2642"/>
      <c r="F57" s="2642"/>
      <c r="G57" s="2642"/>
      <c r="H57" s="2642"/>
      <c r="I57" s="2642"/>
      <c r="J57" s="2642"/>
      <c r="K57" s="2642"/>
      <c r="L57" s="2642"/>
      <c r="M57" s="2642"/>
      <c r="N57" s="2643"/>
    </row>
    <row r="58" spans="2:14" s="444" customFormat="1" ht="14">
      <c r="B58" s="447"/>
      <c r="C58" s="447"/>
      <c r="D58" s="447"/>
      <c r="E58" s="450"/>
      <c r="F58" s="447"/>
      <c r="G58" s="447"/>
      <c r="H58" s="447"/>
      <c r="I58" s="447"/>
      <c r="J58" s="447"/>
      <c r="K58" s="447"/>
      <c r="L58" s="447"/>
      <c r="M58" s="447"/>
      <c r="N58" s="447"/>
    </row>
    <row r="59" spans="2:14" s="444" customFormat="1" ht="14">
      <c r="B59" s="447"/>
      <c r="C59" s="2644" t="s">
        <v>1274</v>
      </c>
      <c r="D59" s="2644"/>
      <c r="E59" s="2644"/>
      <c r="F59" s="2644"/>
      <c r="G59" s="2644"/>
      <c r="H59" s="2644"/>
      <c r="I59" s="2644"/>
      <c r="J59" s="2644"/>
      <c r="K59" s="2644"/>
      <c r="L59" s="2644"/>
      <c r="M59" s="2644"/>
      <c r="N59" s="2644"/>
    </row>
    <row r="60" spans="2:14" s="444" customFormat="1" ht="14">
      <c r="B60" s="447"/>
      <c r="C60" s="465" t="s">
        <v>1224</v>
      </c>
      <c r="D60" s="2638"/>
      <c r="E60" s="2638"/>
      <c r="F60" s="464"/>
      <c r="G60" s="464"/>
      <c r="H60" s="463"/>
      <c r="I60" s="462" t="s">
        <v>1273</v>
      </c>
      <c r="J60" s="2638"/>
      <c r="K60" s="2638"/>
      <c r="L60" s="2638"/>
      <c r="M60" s="2638"/>
      <c r="N60" s="461"/>
    </row>
    <row r="61" spans="2:14" s="444" customFormat="1" ht="14">
      <c r="B61" s="447"/>
      <c r="C61" s="451" t="s">
        <v>1272</v>
      </c>
      <c r="D61" s="2638"/>
      <c r="E61" s="2638"/>
      <c r="F61" s="447"/>
      <c r="G61" s="447"/>
      <c r="I61" s="452" t="s">
        <v>1271</v>
      </c>
      <c r="J61" s="2638"/>
      <c r="K61" s="2638"/>
      <c r="L61" s="2638"/>
      <c r="M61" s="2638"/>
      <c r="N61" s="449"/>
    </row>
    <row r="62" spans="2:14" s="444" customFormat="1" ht="14">
      <c r="B62" s="447"/>
      <c r="C62" s="451" t="s">
        <v>1270</v>
      </c>
      <c r="D62" s="2638"/>
      <c r="E62" s="2638"/>
      <c r="F62" s="447"/>
      <c r="G62" s="447"/>
      <c r="I62" s="452" t="s">
        <v>1269</v>
      </c>
      <c r="J62" s="2638"/>
      <c r="K62" s="2638"/>
      <c r="L62" s="2638"/>
      <c r="M62" s="2638"/>
      <c r="N62" s="449"/>
    </row>
    <row r="63" spans="2:14" s="444" customFormat="1" ht="14">
      <c r="B63" s="447"/>
      <c r="C63" s="451" t="s">
        <v>1268</v>
      </c>
      <c r="D63" s="2638"/>
      <c r="E63" s="2638"/>
      <c r="F63" s="447"/>
      <c r="G63" s="447"/>
      <c r="I63" s="452" t="s">
        <v>1267</v>
      </c>
      <c r="J63" s="2638"/>
      <c r="K63" s="2638"/>
      <c r="L63" s="2638"/>
      <c r="M63" s="2638"/>
      <c r="N63" s="449"/>
    </row>
    <row r="64" spans="2:14" s="444" customFormat="1" ht="14">
      <c r="B64" s="447"/>
      <c r="C64" s="451" t="s">
        <v>1266</v>
      </c>
      <c r="D64" s="2638"/>
      <c r="E64" s="2638"/>
      <c r="F64" s="447"/>
      <c r="G64" s="447"/>
      <c r="I64" s="452" t="s">
        <v>1265</v>
      </c>
      <c r="J64" s="2638"/>
      <c r="K64" s="2638"/>
      <c r="L64" s="2638"/>
      <c r="M64" s="2638"/>
      <c r="N64" s="449"/>
    </row>
    <row r="65" spans="2:15" s="444" customFormat="1" ht="14">
      <c r="B65" s="447"/>
      <c r="C65" s="455"/>
      <c r="D65" s="2639" t="s">
        <v>1259</v>
      </c>
      <c r="E65" s="2639"/>
      <c r="F65" s="2639"/>
      <c r="G65" s="2639"/>
      <c r="H65" s="453"/>
      <c r="I65" s="453"/>
      <c r="J65" s="453"/>
      <c r="K65" s="460" t="s">
        <v>1258</v>
      </c>
      <c r="L65" s="460"/>
      <c r="M65" s="460"/>
      <c r="N65" s="449"/>
    </row>
    <row r="66" spans="2:15" s="444" customFormat="1" ht="23.15" customHeight="1">
      <c r="B66" s="447"/>
      <c r="C66" s="455" t="s">
        <v>1264</v>
      </c>
      <c r="D66" s="458"/>
      <c r="E66" s="459" t="s">
        <v>1262</v>
      </c>
      <c r="F66" s="2629"/>
      <c r="G66" s="2631"/>
      <c r="H66" s="447"/>
      <c r="I66" s="2629"/>
      <c r="J66" s="2630"/>
      <c r="K66" s="459" t="s">
        <v>1262</v>
      </c>
      <c r="L66" s="2629"/>
      <c r="M66" s="2631"/>
      <c r="N66" s="449"/>
    </row>
    <row r="67" spans="2:15" s="444" customFormat="1" ht="23.15" customHeight="1">
      <c r="B67" s="447"/>
      <c r="C67" s="455" t="s">
        <v>1263</v>
      </c>
      <c r="D67" s="458"/>
      <c r="E67" s="453" t="s">
        <v>1262</v>
      </c>
      <c r="F67" s="2629"/>
      <c r="G67" s="2631"/>
      <c r="H67" s="447"/>
      <c r="I67" s="2629"/>
      <c r="J67" s="2630"/>
      <c r="K67" s="453" t="s">
        <v>1262</v>
      </c>
      <c r="L67" s="2629"/>
      <c r="M67" s="2631"/>
      <c r="N67" s="449"/>
    </row>
    <row r="68" spans="2:15" s="444" customFormat="1" ht="23.15" customHeight="1">
      <c r="B68" s="447"/>
      <c r="C68" s="455" t="s">
        <v>1261</v>
      </c>
      <c r="D68" s="457"/>
      <c r="E68" s="456" t="s">
        <v>1260</v>
      </c>
      <c r="F68" s="2629"/>
      <c r="G68" s="2631"/>
      <c r="H68" s="447"/>
      <c r="I68" s="2629"/>
      <c r="J68" s="2630"/>
      <c r="K68" s="456" t="s">
        <v>1260</v>
      </c>
      <c r="L68" s="2629"/>
      <c r="M68" s="2631"/>
      <c r="N68" s="449"/>
    </row>
    <row r="69" spans="2:15" s="444" customFormat="1" ht="14">
      <c r="B69" s="447"/>
      <c r="C69" s="455"/>
      <c r="D69" s="452"/>
      <c r="E69" s="453"/>
      <c r="F69" s="447"/>
      <c r="G69" s="447"/>
      <c r="H69" s="447"/>
      <c r="I69" s="454"/>
      <c r="J69" s="454"/>
      <c r="K69" s="453"/>
      <c r="L69" s="447"/>
      <c r="M69" s="447"/>
      <c r="N69" s="449"/>
    </row>
    <row r="70" spans="2:15" s="444" customFormat="1" ht="14">
      <c r="B70" s="447"/>
      <c r="C70" s="451"/>
      <c r="D70" s="447"/>
      <c r="E70" s="452" t="s">
        <v>1259</v>
      </c>
      <c r="F70" s="447"/>
      <c r="G70" s="447"/>
      <c r="H70" s="2637"/>
      <c r="I70" s="2637"/>
      <c r="J70" s="2637"/>
      <c r="K70" s="2637" t="s">
        <v>1258</v>
      </c>
      <c r="L70" s="2637"/>
      <c r="M70" s="2637"/>
      <c r="N70" s="449"/>
    </row>
    <row r="71" spans="2:15" s="444" customFormat="1" ht="14">
      <c r="B71" s="447"/>
      <c r="C71" s="451"/>
      <c r="D71" s="452" t="s">
        <v>1257</v>
      </c>
      <c r="E71" s="2629"/>
      <c r="F71" s="2631"/>
      <c r="G71" s="447"/>
      <c r="H71" s="447"/>
      <c r="I71" s="447"/>
      <c r="J71" s="447"/>
      <c r="K71" s="2629"/>
      <c r="L71" s="2630"/>
      <c r="M71" s="2631"/>
      <c r="N71" s="449"/>
    </row>
    <row r="72" spans="2:15" s="444" customFormat="1" ht="14">
      <c r="B72" s="447"/>
      <c r="C72" s="451"/>
      <c r="D72" s="447"/>
      <c r="E72" s="450"/>
      <c r="F72" s="447"/>
      <c r="G72" s="447"/>
      <c r="H72" s="447"/>
      <c r="I72" s="447"/>
      <c r="J72" s="447"/>
      <c r="K72" s="447"/>
      <c r="L72" s="447"/>
      <c r="M72" s="447"/>
      <c r="N72" s="449"/>
    </row>
    <row r="73" spans="2:15" s="444" customFormat="1" ht="14">
      <c r="B73" s="447"/>
      <c r="C73" s="448" t="s">
        <v>241</v>
      </c>
      <c r="D73" s="2632"/>
      <c r="E73" s="2632"/>
      <c r="F73" s="2632"/>
      <c r="G73" s="2632"/>
      <c r="H73" s="2632"/>
      <c r="I73" s="2632"/>
      <c r="J73" s="2632"/>
      <c r="K73" s="2632"/>
      <c r="L73" s="2632"/>
      <c r="M73" s="2632"/>
      <c r="N73" s="2633"/>
    </row>
    <row r="74" spans="2:15" s="444" customFormat="1" ht="14">
      <c r="B74" s="447"/>
      <c r="C74" s="446"/>
      <c r="D74" s="2634"/>
      <c r="E74" s="2634"/>
      <c r="F74" s="2634"/>
      <c r="G74" s="2634"/>
      <c r="H74" s="2634"/>
      <c r="I74" s="2634"/>
      <c r="J74" s="2634"/>
      <c r="K74" s="2634"/>
      <c r="L74" s="2634"/>
      <c r="M74" s="2634"/>
      <c r="N74" s="2635"/>
    </row>
    <row r="75" spans="2:15" s="444" customFormat="1" ht="14">
      <c r="E75" s="445"/>
    </row>
    <row r="76" spans="2:15" s="444" customFormat="1" ht="14">
      <c r="E76" s="445"/>
      <c r="F76" s="2636"/>
      <c r="G76" s="2636"/>
      <c r="H76" s="2636"/>
      <c r="I76" s="2636"/>
      <c r="J76" s="2636"/>
      <c r="K76" s="2636"/>
      <c r="L76" s="2636"/>
      <c r="M76" s="2636"/>
      <c r="N76" s="2636"/>
    </row>
    <row r="77" spans="2:15" s="439" customFormat="1" ht="14">
      <c r="B77" s="443"/>
      <c r="C77" s="443"/>
      <c r="D77" s="443"/>
      <c r="E77" s="443"/>
      <c r="F77" s="443"/>
      <c r="G77" s="443"/>
      <c r="H77" s="443"/>
      <c r="I77" s="443"/>
      <c r="J77" s="443"/>
      <c r="K77" s="443"/>
      <c r="L77" s="443"/>
      <c r="M77" s="443"/>
      <c r="N77" s="443"/>
      <c r="O77" s="442"/>
    </row>
    <row r="78" spans="2:15" s="439" customFormat="1" ht="14">
      <c r="B78" s="441" t="s">
        <v>223</v>
      </c>
      <c r="D78" s="675" t="str">
        <f>Development!A2</f>
        <v>2.0</v>
      </c>
      <c r="M78" s="441" t="s">
        <v>225</v>
      </c>
      <c r="N78" s="440" t="str">
        <f>Development!A4</f>
        <v>4.01.2024</v>
      </c>
    </row>
    <row r="79" spans="2:15" s="439" customFormat="1" ht="14" hidden="1"/>
    <row r="80" spans="2:15" s="439" customFormat="1" ht="14" hidden="1"/>
    <row r="81" s="439" customFormat="1" ht="14"/>
    <row r="82" s="439" customFormat="1" ht="14" hidden="1"/>
    <row r="83" ht="14.5" hidden="1"/>
    <row r="84" ht="14.5" hidden="1"/>
    <row r="85" ht="14.5" hidden="1"/>
    <row r="86" ht="14.5" hidden="1"/>
    <row r="87" ht="14.5" hidden="1"/>
    <row r="88" ht="14.5" hidden="1"/>
    <row r="89" ht="14.5" hidden="1"/>
    <row r="90" ht="14.5" hidden="1"/>
    <row r="91" ht="14.5" hidden="1"/>
    <row r="92" ht="14.5" hidden="1"/>
    <row r="93" ht="14.5" hidden="1"/>
    <row r="94" ht="14.5" hidden="1"/>
    <row r="95" ht="14.5" hidden="1"/>
    <row r="96" ht="14.5" hidden="1"/>
    <row r="97" ht="14.5" hidden="1"/>
    <row r="98" ht="14.5" hidden="1"/>
    <row r="99" ht="14.5" hidden="1"/>
    <row r="100" ht="14.5"/>
  </sheetData>
  <sheetProtection algorithmName="SHA-512" hashValue="OfROsvxk/1S+S4O8gqWKzNwmbdhbo8zaieEhPlwNZAYbOPfhAHm29AjD422QXg99gYsE5APPJ0ydfY7m37M76w==" saltValue="0UOWSz8moNMEKaMmDg/IMw==" spinCount="100000" sheet="1" objects="1" scenarios="1"/>
  <mergeCells count="86">
    <mergeCell ref="C8:F8"/>
    <mergeCell ref="D13:F13"/>
    <mergeCell ref="D14:L15"/>
    <mergeCell ref="C17:F17"/>
    <mergeCell ref="C19:D19"/>
    <mergeCell ref="E19:F19"/>
    <mergeCell ref="C20:D20"/>
    <mergeCell ref="E20:F20"/>
    <mergeCell ref="D24:L25"/>
    <mergeCell ref="C27:N27"/>
    <mergeCell ref="D28:E28"/>
    <mergeCell ref="J28:M28"/>
    <mergeCell ref="D29:E29"/>
    <mergeCell ref="J29:M29"/>
    <mergeCell ref="D30:E30"/>
    <mergeCell ref="J30:M30"/>
    <mergeCell ref="D31:E31"/>
    <mergeCell ref="J31:M31"/>
    <mergeCell ref="D32:G32"/>
    <mergeCell ref="F33:G33"/>
    <mergeCell ref="I33:J33"/>
    <mergeCell ref="L33:M33"/>
    <mergeCell ref="F34:G34"/>
    <mergeCell ref="I34:J34"/>
    <mergeCell ref="L34:M34"/>
    <mergeCell ref="F35:G35"/>
    <mergeCell ref="I35:J35"/>
    <mergeCell ref="L35:M35"/>
    <mergeCell ref="E37:F37"/>
    <mergeCell ref="H37:J37"/>
    <mergeCell ref="K37:M37"/>
    <mergeCell ref="E38:F38"/>
    <mergeCell ref="K38:M38"/>
    <mergeCell ref="D40:N41"/>
    <mergeCell ref="C43:N43"/>
    <mergeCell ref="D44:E44"/>
    <mergeCell ref="J44:M44"/>
    <mergeCell ref="D45:E45"/>
    <mergeCell ref="J45:M45"/>
    <mergeCell ref="D46:E46"/>
    <mergeCell ref="J46:M46"/>
    <mergeCell ref="D47:E47"/>
    <mergeCell ref="J47:M47"/>
    <mergeCell ref="D48:G48"/>
    <mergeCell ref="F49:G49"/>
    <mergeCell ref="I49:J49"/>
    <mergeCell ref="L49:M49"/>
    <mergeCell ref="F50:G50"/>
    <mergeCell ref="I50:J50"/>
    <mergeCell ref="L50:M50"/>
    <mergeCell ref="F51:G51"/>
    <mergeCell ref="I51:J51"/>
    <mergeCell ref="L51:M51"/>
    <mergeCell ref="E53:F53"/>
    <mergeCell ref="H53:J53"/>
    <mergeCell ref="K53:M53"/>
    <mergeCell ref="E54:F54"/>
    <mergeCell ref="K54:M54"/>
    <mergeCell ref="D56:N57"/>
    <mergeCell ref="C59:N59"/>
    <mergeCell ref="D60:E60"/>
    <mergeCell ref="J60:M60"/>
    <mergeCell ref="D61:E61"/>
    <mergeCell ref="J61:M61"/>
    <mergeCell ref="D62:E62"/>
    <mergeCell ref="J62:M62"/>
    <mergeCell ref="D63:E63"/>
    <mergeCell ref="J63:M63"/>
    <mergeCell ref="D64:E64"/>
    <mergeCell ref="J64:M64"/>
    <mergeCell ref="D65:G65"/>
    <mergeCell ref="F66:G66"/>
    <mergeCell ref="I66:J66"/>
    <mergeCell ref="L66:M66"/>
    <mergeCell ref="K71:M71"/>
    <mergeCell ref="D73:N74"/>
    <mergeCell ref="F76:N76"/>
    <mergeCell ref="F67:G67"/>
    <mergeCell ref="I67:J67"/>
    <mergeCell ref="L67:M67"/>
    <mergeCell ref="F68:G68"/>
    <mergeCell ref="I68:J68"/>
    <mergeCell ref="L68:M68"/>
    <mergeCell ref="H70:J70"/>
    <mergeCell ref="K70:M70"/>
    <mergeCell ref="E71:F71"/>
  </mergeCells>
  <conditionalFormatting sqref="D5:D6">
    <cfRule type="expression" dxfId="32" priority="1" stopIfTrue="1">
      <formula>D5=""</formula>
    </cfRule>
  </conditionalFormatting>
  <dataValidations count="6">
    <dataValidation type="list" allowBlank="1" showInputMessage="1" showErrorMessage="1" sqref="H32 JD32 SZ32 ACV32 AMR32 AWN32 BGJ32 BQF32 CAB32 CJX32 CTT32 DDP32 DNL32 DXH32 EHD32 EQZ32 FAV32 FKR32 FUN32 GEJ32 GOF32 GYB32 HHX32 HRT32 IBP32 ILL32 IVH32 JFD32 JOZ32 JYV32 KIR32 KSN32 LCJ32 LMF32 LWB32 MFX32 MPT32 MZP32 NJL32 NTH32 ODD32 OMZ32 OWV32 PGR32 PQN32 QAJ32 QKF32 QUB32 RDX32 RNT32 RXP32 SHL32 SRH32 TBD32 TKZ32 TUV32 UER32 UON32 UYJ32 VIF32 VSB32 WBX32 WLT32 WVP32 H65568 JD65568 SZ65568 ACV65568 AMR65568 AWN65568 BGJ65568 BQF65568 CAB65568 CJX65568 CTT65568 DDP65568 DNL65568 DXH65568 EHD65568 EQZ65568 FAV65568 FKR65568 FUN65568 GEJ65568 GOF65568 GYB65568 HHX65568 HRT65568 IBP65568 ILL65568 IVH65568 JFD65568 JOZ65568 JYV65568 KIR65568 KSN65568 LCJ65568 LMF65568 LWB65568 MFX65568 MPT65568 MZP65568 NJL65568 NTH65568 ODD65568 OMZ65568 OWV65568 PGR65568 PQN65568 QAJ65568 QKF65568 QUB65568 RDX65568 RNT65568 RXP65568 SHL65568 SRH65568 TBD65568 TKZ65568 TUV65568 UER65568 UON65568 UYJ65568 VIF65568 VSB65568 WBX65568 WLT65568 WVP65568 H131104 JD131104 SZ131104 ACV131104 AMR131104 AWN131104 BGJ131104 BQF131104 CAB131104 CJX131104 CTT131104 DDP131104 DNL131104 DXH131104 EHD131104 EQZ131104 FAV131104 FKR131104 FUN131104 GEJ131104 GOF131104 GYB131104 HHX131104 HRT131104 IBP131104 ILL131104 IVH131104 JFD131104 JOZ131104 JYV131104 KIR131104 KSN131104 LCJ131104 LMF131104 LWB131104 MFX131104 MPT131104 MZP131104 NJL131104 NTH131104 ODD131104 OMZ131104 OWV131104 PGR131104 PQN131104 QAJ131104 QKF131104 QUB131104 RDX131104 RNT131104 RXP131104 SHL131104 SRH131104 TBD131104 TKZ131104 TUV131104 UER131104 UON131104 UYJ131104 VIF131104 VSB131104 WBX131104 WLT131104 WVP131104 H196640 JD196640 SZ196640 ACV196640 AMR196640 AWN196640 BGJ196640 BQF196640 CAB196640 CJX196640 CTT196640 DDP196640 DNL196640 DXH196640 EHD196640 EQZ196640 FAV196640 FKR196640 FUN196640 GEJ196640 GOF196640 GYB196640 HHX196640 HRT196640 IBP196640 ILL196640 IVH196640 JFD196640 JOZ196640 JYV196640 KIR196640 KSN196640 LCJ196640 LMF196640 LWB196640 MFX196640 MPT196640 MZP196640 NJL196640 NTH196640 ODD196640 OMZ196640 OWV196640 PGR196640 PQN196640 QAJ196640 QKF196640 QUB196640 RDX196640 RNT196640 RXP196640 SHL196640 SRH196640 TBD196640 TKZ196640 TUV196640 UER196640 UON196640 UYJ196640 VIF196640 VSB196640 WBX196640 WLT196640 WVP196640 H262176 JD262176 SZ262176 ACV262176 AMR262176 AWN262176 BGJ262176 BQF262176 CAB262176 CJX262176 CTT262176 DDP262176 DNL262176 DXH262176 EHD262176 EQZ262176 FAV262176 FKR262176 FUN262176 GEJ262176 GOF262176 GYB262176 HHX262176 HRT262176 IBP262176 ILL262176 IVH262176 JFD262176 JOZ262176 JYV262176 KIR262176 KSN262176 LCJ262176 LMF262176 LWB262176 MFX262176 MPT262176 MZP262176 NJL262176 NTH262176 ODD262176 OMZ262176 OWV262176 PGR262176 PQN262176 QAJ262176 QKF262176 QUB262176 RDX262176 RNT262176 RXP262176 SHL262176 SRH262176 TBD262176 TKZ262176 TUV262176 UER262176 UON262176 UYJ262176 VIF262176 VSB262176 WBX262176 WLT262176 WVP262176 H327712 JD327712 SZ327712 ACV327712 AMR327712 AWN327712 BGJ327712 BQF327712 CAB327712 CJX327712 CTT327712 DDP327712 DNL327712 DXH327712 EHD327712 EQZ327712 FAV327712 FKR327712 FUN327712 GEJ327712 GOF327712 GYB327712 HHX327712 HRT327712 IBP327712 ILL327712 IVH327712 JFD327712 JOZ327712 JYV327712 KIR327712 KSN327712 LCJ327712 LMF327712 LWB327712 MFX327712 MPT327712 MZP327712 NJL327712 NTH327712 ODD327712 OMZ327712 OWV327712 PGR327712 PQN327712 QAJ327712 QKF327712 QUB327712 RDX327712 RNT327712 RXP327712 SHL327712 SRH327712 TBD327712 TKZ327712 TUV327712 UER327712 UON327712 UYJ327712 VIF327712 VSB327712 WBX327712 WLT327712 WVP327712 H393248 JD393248 SZ393248 ACV393248 AMR393248 AWN393248 BGJ393248 BQF393248 CAB393248 CJX393248 CTT393248 DDP393248 DNL393248 DXH393248 EHD393248 EQZ393248 FAV393248 FKR393248 FUN393248 GEJ393248 GOF393248 GYB393248 HHX393248 HRT393248 IBP393248 ILL393248 IVH393248 JFD393248 JOZ393248 JYV393248 KIR393248 KSN393248 LCJ393248 LMF393248 LWB393248 MFX393248 MPT393248 MZP393248 NJL393248 NTH393248 ODD393248 OMZ393248 OWV393248 PGR393248 PQN393248 QAJ393248 QKF393248 QUB393248 RDX393248 RNT393248 RXP393248 SHL393248 SRH393248 TBD393248 TKZ393248 TUV393248 UER393248 UON393248 UYJ393248 VIF393248 VSB393248 WBX393248 WLT393248 WVP393248 H458784 JD458784 SZ458784 ACV458784 AMR458784 AWN458784 BGJ458784 BQF458784 CAB458784 CJX458784 CTT458784 DDP458784 DNL458784 DXH458784 EHD458784 EQZ458784 FAV458784 FKR458784 FUN458784 GEJ458784 GOF458784 GYB458784 HHX458784 HRT458784 IBP458784 ILL458784 IVH458784 JFD458784 JOZ458784 JYV458784 KIR458784 KSN458784 LCJ458784 LMF458784 LWB458784 MFX458784 MPT458784 MZP458784 NJL458784 NTH458784 ODD458784 OMZ458784 OWV458784 PGR458784 PQN458784 QAJ458784 QKF458784 QUB458784 RDX458784 RNT458784 RXP458784 SHL458784 SRH458784 TBD458784 TKZ458784 TUV458784 UER458784 UON458784 UYJ458784 VIF458784 VSB458784 WBX458784 WLT458784 WVP458784 H524320 JD524320 SZ524320 ACV524320 AMR524320 AWN524320 BGJ524320 BQF524320 CAB524320 CJX524320 CTT524320 DDP524320 DNL524320 DXH524320 EHD524320 EQZ524320 FAV524320 FKR524320 FUN524320 GEJ524320 GOF524320 GYB524320 HHX524320 HRT524320 IBP524320 ILL524320 IVH524320 JFD524320 JOZ524320 JYV524320 KIR524320 KSN524320 LCJ524320 LMF524320 LWB524320 MFX524320 MPT524320 MZP524320 NJL524320 NTH524320 ODD524320 OMZ524320 OWV524320 PGR524320 PQN524320 QAJ524320 QKF524320 QUB524320 RDX524320 RNT524320 RXP524320 SHL524320 SRH524320 TBD524320 TKZ524320 TUV524320 UER524320 UON524320 UYJ524320 VIF524320 VSB524320 WBX524320 WLT524320 WVP524320 H589856 JD589856 SZ589856 ACV589856 AMR589856 AWN589856 BGJ589856 BQF589856 CAB589856 CJX589856 CTT589856 DDP589856 DNL589856 DXH589856 EHD589856 EQZ589856 FAV589856 FKR589856 FUN589856 GEJ589856 GOF589856 GYB589856 HHX589856 HRT589856 IBP589856 ILL589856 IVH589856 JFD589856 JOZ589856 JYV589856 KIR589856 KSN589856 LCJ589856 LMF589856 LWB589856 MFX589856 MPT589856 MZP589856 NJL589856 NTH589856 ODD589856 OMZ589856 OWV589856 PGR589856 PQN589856 QAJ589856 QKF589856 QUB589856 RDX589856 RNT589856 RXP589856 SHL589856 SRH589856 TBD589856 TKZ589856 TUV589856 UER589856 UON589856 UYJ589856 VIF589856 VSB589856 WBX589856 WLT589856 WVP589856 H655392 JD655392 SZ655392 ACV655392 AMR655392 AWN655392 BGJ655392 BQF655392 CAB655392 CJX655392 CTT655392 DDP655392 DNL655392 DXH655392 EHD655392 EQZ655392 FAV655392 FKR655392 FUN655392 GEJ655392 GOF655392 GYB655392 HHX655392 HRT655392 IBP655392 ILL655392 IVH655392 JFD655392 JOZ655392 JYV655392 KIR655392 KSN655392 LCJ655392 LMF655392 LWB655392 MFX655392 MPT655392 MZP655392 NJL655392 NTH655392 ODD655392 OMZ655392 OWV655392 PGR655392 PQN655392 QAJ655392 QKF655392 QUB655392 RDX655392 RNT655392 RXP655392 SHL655392 SRH655392 TBD655392 TKZ655392 TUV655392 UER655392 UON655392 UYJ655392 VIF655392 VSB655392 WBX655392 WLT655392 WVP655392 H720928 JD720928 SZ720928 ACV720928 AMR720928 AWN720928 BGJ720928 BQF720928 CAB720928 CJX720928 CTT720928 DDP720928 DNL720928 DXH720928 EHD720928 EQZ720928 FAV720928 FKR720928 FUN720928 GEJ720928 GOF720928 GYB720928 HHX720928 HRT720928 IBP720928 ILL720928 IVH720928 JFD720928 JOZ720928 JYV720928 KIR720928 KSN720928 LCJ720928 LMF720928 LWB720928 MFX720928 MPT720928 MZP720928 NJL720928 NTH720928 ODD720928 OMZ720928 OWV720928 PGR720928 PQN720928 QAJ720928 QKF720928 QUB720928 RDX720928 RNT720928 RXP720928 SHL720928 SRH720928 TBD720928 TKZ720928 TUV720928 UER720928 UON720928 UYJ720928 VIF720928 VSB720928 WBX720928 WLT720928 WVP720928 H786464 JD786464 SZ786464 ACV786464 AMR786464 AWN786464 BGJ786464 BQF786464 CAB786464 CJX786464 CTT786464 DDP786464 DNL786464 DXH786464 EHD786464 EQZ786464 FAV786464 FKR786464 FUN786464 GEJ786464 GOF786464 GYB786464 HHX786464 HRT786464 IBP786464 ILL786464 IVH786464 JFD786464 JOZ786464 JYV786464 KIR786464 KSN786464 LCJ786464 LMF786464 LWB786464 MFX786464 MPT786464 MZP786464 NJL786464 NTH786464 ODD786464 OMZ786464 OWV786464 PGR786464 PQN786464 QAJ786464 QKF786464 QUB786464 RDX786464 RNT786464 RXP786464 SHL786464 SRH786464 TBD786464 TKZ786464 TUV786464 UER786464 UON786464 UYJ786464 VIF786464 VSB786464 WBX786464 WLT786464 WVP786464 H852000 JD852000 SZ852000 ACV852000 AMR852000 AWN852000 BGJ852000 BQF852000 CAB852000 CJX852000 CTT852000 DDP852000 DNL852000 DXH852000 EHD852000 EQZ852000 FAV852000 FKR852000 FUN852000 GEJ852000 GOF852000 GYB852000 HHX852000 HRT852000 IBP852000 ILL852000 IVH852000 JFD852000 JOZ852000 JYV852000 KIR852000 KSN852000 LCJ852000 LMF852000 LWB852000 MFX852000 MPT852000 MZP852000 NJL852000 NTH852000 ODD852000 OMZ852000 OWV852000 PGR852000 PQN852000 QAJ852000 QKF852000 QUB852000 RDX852000 RNT852000 RXP852000 SHL852000 SRH852000 TBD852000 TKZ852000 TUV852000 UER852000 UON852000 UYJ852000 VIF852000 VSB852000 WBX852000 WLT852000 WVP852000 H917536 JD917536 SZ917536 ACV917536 AMR917536 AWN917536 BGJ917536 BQF917536 CAB917536 CJX917536 CTT917536 DDP917536 DNL917536 DXH917536 EHD917536 EQZ917536 FAV917536 FKR917536 FUN917536 GEJ917536 GOF917536 GYB917536 HHX917536 HRT917536 IBP917536 ILL917536 IVH917536 JFD917536 JOZ917536 JYV917536 KIR917536 KSN917536 LCJ917536 LMF917536 LWB917536 MFX917536 MPT917536 MZP917536 NJL917536 NTH917536 ODD917536 OMZ917536 OWV917536 PGR917536 PQN917536 QAJ917536 QKF917536 QUB917536 RDX917536 RNT917536 RXP917536 SHL917536 SRH917536 TBD917536 TKZ917536 TUV917536 UER917536 UON917536 UYJ917536 VIF917536 VSB917536 WBX917536 WLT917536 WVP917536 H983072 JD983072 SZ983072 ACV983072 AMR983072 AWN983072 BGJ983072 BQF983072 CAB983072 CJX983072 CTT983072 DDP983072 DNL983072 DXH983072 EHD983072 EQZ983072 FAV983072 FKR983072 FUN983072 GEJ983072 GOF983072 GYB983072 HHX983072 HRT983072 IBP983072 ILL983072 IVH983072 JFD983072 JOZ983072 JYV983072 KIR983072 KSN983072 LCJ983072 LMF983072 LWB983072 MFX983072 MPT983072 MZP983072 NJL983072 NTH983072 ODD983072 OMZ983072 OWV983072 PGR983072 PQN983072 QAJ983072 QKF983072 QUB983072 RDX983072 RNT983072 RXP983072 SHL983072 SRH983072 TBD983072 TKZ983072 TUV983072 UER983072 UON983072 UYJ983072 VIF983072 VSB983072 WBX983072 WLT983072 WVP983072 H48 JD48 SZ48 ACV48 AMR48 AWN48 BGJ48 BQF48 CAB48 CJX48 CTT48 DDP48 DNL48 DXH48 EHD48 EQZ48 FAV48 FKR48 FUN48 GEJ48 GOF48 GYB48 HHX48 HRT48 IBP48 ILL48 IVH48 JFD48 JOZ48 JYV48 KIR48 KSN48 LCJ48 LMF48 LWB48 MFX48 MPT48 MZP48 NJL48 NTH48 ODD48 OMZ48 OWV48 PGR48 PQN48 QAJ48 QKF48 QUB48 RDX48 RNT48 RXP48 SHL48 SRH48 TBD48 TKZ48 TUV48 UER48 UON48 UYJ48 VIF48 VSB48 WBX48 WLT48 WVP48 H65584 JD65584 SZ65584 ACV65584 AMR65584 AWN65584 BGJ65584 BQF65584 CAB65584 CJX65584 CTT65584 DDP65584 DNL65584 DXH65584 EHD65584 EQZ65584 FAV65584 FKR65584 FUN65584 GEJ65584 GOF65584 GYB65584 HHX65584 HRT65584 IBP65584 ILL65584 IVH65584 JFD65584 JOZ65584 JYV65584 KIR65584 KSN65584 LCJ65584 LMF65584 LWB65584 MFX65584 MPT65584 MZP65584 NJL65584 NTH65584 ODD65584 OMZ65584 OWV65584 PGR65584 PQN65584 QAJ65584 QKF65584 QUB65584 RDX65584 RNT65584 RXP65584 SHL65584 SRH65584 TBD65584 TKZ65584 TUV65584 UER65584 UON65584 UYJ65584 VIF65584 VSB65584 WBX65584 WLT65584 WVP65584 H131120 JD131120 SZ131120 ACV131120 AMR131120 AWN131120 BGJ131120 BQF131120 CAB131120 CJX131120 CTT131120 DDP131120 DNL131120 DXH131120 EHD131120 EQZ131120 FAV131120 FKR131120 FUN131120 GEJ131120 GOF131120 GYB131120 HHX131120 HRT131120 IBP131120 ILL131120 IVH131120 JFD131120 JOZ131120 JYV131120 KIR131120 KSN131120 LCJ131120 LMF131120 LWB131120 MFX131120 MPT131120 MZP131120 NJL131120 NTH131120 ODD131120 OMZ131120 OWV131120 PGR131120 PQN131120 QAJ131120 QKF131120 QUB131120 RDX131120 RNT131120 RXP131120 SHL131120 SRH131120 TBD131120 TKZ131120 TUV131120 UER131120 UON131120 UYJ131120 VIF131120 VSB131120 WBX131120 WLT131120 WVP131120 H196656 JD196656 SZ196656 ACV196656 AMR196656 AWN196656 BGJ196656 BQF196656 CAB196656 CJX196656 CTT196656 DDP196656 DNL196656 DXH196656 EHD196656 EQZ196656 FAV196656 FKR196656 FUN196656 GEJ196656 GOF196656 GYB196656 HHX196656 HRT196656 IBP196656 ILL196656 IVH196656 JFD196656 JOZ196656 JYV196656 KIR196656 KSN196656 LCJ196656 LMF196656 LWB196656 MFX196656 MPT196656 MZP196656 NJL196656 NTH196656 ODD196656 OMZ196656 OWV196656 PGR196656 PQN196656 QAJ196656 QKF196656 QUB196656 RDX196656 RNT196656 RXP196656 SHL196656 SRH196656 TBD196656 TKZ196656 TUV196656 UER196656 UON196656 UYJ196656 VIF196656 VSB196656 WBX196656 WLT196656 WVP196656 H262192 JD262192 SZ262192 ACV262192 AMR262192 AWN262192 BGJ262192 BQF262192 CAB262192 CJX262192 CTT262192 DDP262192 DNL262192 DXH262192 EHD262192 EQZ262192 FAV262192 FKR262192 FUN262192 GEJ262192 GOF262192 GYB262192 HHX262192 HRT262192 IBP262192 ILL262192 IVH262192 JFD262192 JOZ262192 JYV262192 KIR262192 KSN262192 LCJ262192 LMF262192 LWB262192 MFX262192 MPT262192 MZP262192 NJL262192 NTH262192 ODD262192 OMZ262192 OWV262192 PGR262192 PQN262192 QAJ262192 QKF262192 QUB262192 RDX262192 RNT262192 RXP262192 SHL262192 SRH262192 TBD262192 TKZ262192 TUV262192 UER262192 UON262192 UYJ262192 VIF262192 VSB262192 WBX262192 WLT262192 WVP262192 H327728 JD327728 SZ327728 ACV327728 AMR327728 AWN327728 BGJ327728 BQF327728 CAB327728 CJX327728 CTT327728 DDP327728 DNL327728 DXH327728 EHD327728 EQZ327728 FAV327728 FKR327728 FUN327728 GEJ327728 GOF327728 GYB327728 HHX327728 HRT327728 IBP327728 ILL327728 IVH327728 JFD327728 JOZ327728 JYV327728 KIR327728 KSN327728 LCJ327728 LMF327728 LWB327728 MFX327728 MPT327728 MZP327728 NJL327728 NTH327728 ODD327728 OMZ327728 OWV327728 PGR327728 PQN327728 QAJ327728 QKF327728 QUB327728 RDX327728 RNT327728 RXP327728 SHL327728 SRH327728 TBD327728 TKZ327728 TUV327728 UER327728 UON327728 UYJ327728 VIF327728 VSB327728 WBX327728 WLT327728 WVP327728 H393264 JD393264 SZ393264 ACV393264 AMR393264 AWN393264 BGJ393264 BQF393264 CAB393264 CJX393264 CTT393264 DDP393264 DNL393264 DXH393264 EHD393264 EQZ393264 FAV393264 FKR393264 FUN393264 GEJ393264 GOF393264 GYB393264 HHX393264 HRT393264 IBP393264 ILL393264 IVH393264 JFD393264 JOZ393264 JYV393264 KIR393264 KSN393264 LCJ393264 LMF393264 LWB393264 MFX393264 MPT393264 MZP393264 NJL393264 NTH393264 ODD393264 OMZ393264 OWV393264 PGR393264 PQN393264 QAJ393264 QKF393264 QUB393264 RDX393264 RNT393264 RXP393264 SHL393264 SRH393264 TBD393264 TKZ393264 TUV393264 UER393264 UON393264 UYJ393264 VIF393264 VSB393264 WBX393264 WLT393264 WVP393264 H458800 JD458800 SZ458800 ACV458800 AMR458800 AWN458800 BGJ458800 BQF458800 CAB458800 CJX458800 CTT458800 DDP458800 DNL458800 DXH458800 EHD458800 EQZ458800 FAV458800 FKR458800 FUN458800 GEJ458800 GOF458800 GYB458800 HHX458800 HRT458800 IBP458800 ILL458800 IVH458800 JFD458800 JOZ458800 JYV458800 KIR458800 KSN458800 LCJ458800 LMF458800 LWB458800 MFX458800 MPT458800 MZP458800 NJL458800 NTH458800 ODD458800 OMZ458800 OWV458800 PGR458800 PQN458800 QAJ458800 QKF458800 QUB458800 RDX458800 RNT458800 RXP458800 SHL458800 SRH458800 TBD458800 TKZ458800 TUV458800 UER458800 UON458800 UYJ458800 VIF458800 VSB458800 WBX458800 WLT458800 WVP458800 H524336 JD524336 SZ524336 ACV524336 AMR524336 AWN524336 BGJ524336 BQF524336 CAB524336 CJX524336 CTT524336 DDP524336 DNL524336 DXH524336 EHD524336 EQZ524336 FAV524336 FKR524336 FUN524336 GEJ524336 GOF524336 GYB524336 HHX524336 HRT524336 IBP524336 ILL524336 IVH524336 JFD524336 JOZ524336 JYV524336 KIR524336 KSN524336 LCJ524336 LMF524336 LWB524336 MFX524336 MPT524336 MZP524336 NJL524336 NTH524336 ODD524336 OMZ524336 OWV524336 PGR524336 PQN524336 QAJ524336 QKF524336 QUB524336 RDX524336 RNT524336 RXP524336 SHL524336 SRH524336 TBD524336 TKZ524336 TUV524336 UER524336 UON524336 UYJ524336 VIF524336 VSB524336 WBX524336 WLT524336 WVP524336 H589872 JD589872 SZ589872 ACV589872 AMR589872 AWN589872 BGJ589872 BQF589872 CAB589872 CJX589872 CTT589872 DDP589872 DNL589872 DXH589872 EHD589872 EQZ589872 FAV589872 FKR589872 FUN589872 GEJ589872 GOF589872 GYB589872 HHX589872 HRT589872 IBP589872 ILL589872 IVH589872 JFD589872 JOZ589872 JYV589872 KIR589872 KSN589872 LCJ589872 LMF589872 LWB589872 MFX589872 MPT589872 MZP589872 NJL589872 NTH589872 ODD589872 OMZ589872 OWV589872 PGR589872 PQN589872 QAJ589872 QKF589872 QUB589872 RDX589872 RNT589872 RXP589872 SHL589872 SRH589872 TBD589872 TKZ589872 TUV589872 UER589872 UON589872 UYJ589872 VIF589872 VSB589872 WBX589872 WLT589872 WVP589872 H655408 JD655408 SZ655408 ACV655408 AMR655408 AWN655408 BGJ655408 BQF655408 CAB655408 CJX655408 CTT655408 DDP655408 DNL655408 DXH655408 EHD655408 EQZ655408 FAV655408 FKR655408 FUN655408 GEJ655408 GOF655408 GYB655408 HHX655408 HRT655408 IBP655408 ILL655408 IVH655408 JFD655408 JOZ655408 JYV655408 KIR655408 KSN655408 LCJ655408 LMF655408 LWB655408 MFX655408 MPT655408 MZP655408 NJL655408 NTH655408 ODD655408 OMZ655408 OWV655408 PGR655408 PQN655408 QAJ655408 QKF655408 QUB655408 RDX655408 RNT655408 RXP655408 SHL655408 SRH655408 TBD655408 TKZ655408 TUV655408 UER655408 UON655408 UYJ655408 VIF655408 VSB655408 WBX655408 WLT655408 WVP655408 H720944 JD720944 SZ720944 ACV720944 AMR720944 AWN720944 BGJ720944 BQF720944 CAB720944 CJX720944 CTT720944 DDP720944 DNL720944 DXH720944 EHD720944 EQZ720944 FAV720944 FKR720944 FUN720944 GEJ720944 GOF720944 GYB720944 HHX720944 HRT720944 IBP720944 ILL720944 IVH720944 JFD720944 JOZ720944 JYV720944 KIR720944 KSN720944 LCJ720944 LMF720944 LWB720944 MFX720944 MPT720944 MZP720944 NJL720944 NTH720944 ODD720944 OMZ720944 OWV720944 PGR720944 PQN720944 QAJ720944 QKF720944 QUB720944 RDX720944 RNT720944 RXP720944 SHL720944 SRH720944 TBD720944 TKZ720944 TUV720944 UER720944 UON720944 UYJ720944 VIF720944 VSB720944 WBX720944 WLT720944 WVP720944 H786480 JD786480 SZ786480 ACV786480 AMR786480 AWN786480 BGJ786480 BQF786480 CAB786480 CJX786480 CTT786480 DDP786480 DNL786480 DXH786480 EHD786480 EQZ786480 FAV786480 FKR786480 FUN786480 GEJ786480 GOF786480 GYB786480 HHX786480 HRT786480 IBP786480 ILL786480 IVH786480 JFD786480 JOZ786480 JYV786480 KIR786480 KSN786480 LCJ786480 LMF786480 LWB786480 MFX786480 MPT786480 MZP786480 NJL786480 NTH786480 ODD786480 OMZ786480 OWV786480 PGR786480 PQN786480 QAJ786480 QKF786480 QUB786480 RDX786480 RNT786480 RXP786480 SHL786480 SRH786480 TBD786480 TKZ786480 TUV786480 UER786480 UON786480 UYJ786480 VIF786480 VSB786480 WBX786480 WLT786480 WVP786480 H852016 JD852016 SZ852016 ACV852016 AMR852016 AWN852016 BGJ852016 BQF852016 CAB852016 CJX852016 CTT852016 DDP852016 DNL852016 DXH852016 EHD852016 EQZ852016 FAV852016 FKR852016 FUN852016 GEJ852016 GOF852016 GYB852016 HHX852016 HRT852016 IBP852016 ILL852016 IVH852016 JFD852016 JOZ852016 JYV852016 KIR852016 KSN852016 LCJ852016 LMF852016 LWB852016 MFX852016 MPT852016 MZP852016 NJL852016 NTH852016 ODD852016 OMZ852016 OWV852016 PGR852016 PQN852016 QAJ852016 QKF852016 QUB852016 RDX852016 RNT852016 RXP852016 SHL852016 SRH852016 TBD852016 TKZ852016 TUV852016 UER852016 UON852016 UYJ852016 VIF852016 VSB852016 WBX852016 WLT852016 WVP852016 H917552 JD917552 SZ917552 ACV917552 AMR917552 AWN917552 BGJ917552 BQF917552 CAB917552 CJX917552 CTT917552 DDP917552 DNL917552 DXH917552 EHD917552 EQZ917552 FAV917552 FKR917552 FUN917552 GEJ917552 GOF917552 GYB917552 HHX917552 HRT917552 IBP917552 ILL917552 IVH917552 JFD917552 JOZ917552 JYV917552 KIR917552 KSN917552 LCJ917552 LMF917552 LWB917552 MFX917552 MPT917552 MZP917552 NJL917552 NTH917552 ODD917552 OMZ917552 OWV917552 PGR917552 PQN917552 QAJ917552 QKF917552 QUB917552 RDX917552 RNT917552 RXP917552 SHL917552 SRH917552 TBD917552 TKZ917552 TUV917552 UER917552 UON917552 UYJ917552 VIF917552 VSB917552 WBX917552 WLT917552 WVP917552 H983088 JD983088 SZ983088 ACV983088 AMR983088 AWN983088 BGJ983088 BQF983088 CAB983088 CJX983088 CTT983088 DDP983088 DNL983088 DXH983088 EHD983088 EQZ983088 FAV983088 FKR983088 FUN983088 GEJ983088 GOF983088 GYB983088 HHX983088 HRT983088 IBP983088 ILL983088 IVH983088 JFD983088 JOZ983088 JYV983088 KIR983088 KSN983088 LCJ983088 LMF983088 LWB983088 MFX983088 MPT983088 MZP983088 NJL983088 NTH983088 ODD983088 OMZ983088 OWV983088 PGR983088 PQN983088 QAJ983088 QKF983088 QUB983088 RDX983088 RNT983088 RXP983088 SHL983088 SRH983088 TBD983088 TKZ983088 TUV983088 UER983088 UON983088 UYJ983088 VIF983088 VSB983088 WBX983088 WLT983088 WVP983088 H65 JD65 SZ65 ACV65 AMR65 AWN65 BGJ65 BQF65 CAB65 CJX65 CTT65 DDP65 DNL65 DXH65 EHD65 EQZ65 FAV65 FKR65 FUN65 GEJ65 GOF65 GYB65 HHX65 HRT65 IBP65 ILL65 IVH65 JFD65 JOZ65 JYV65 KIR65 KSN65 LCJ65 LMF65 LWB65 MFX65 MPT65 MZP65 NJL65 NTH65 ODD65 OMZ65 OWV65 PGR65 PQN65 QAJ65 QKF65 QUB65 RDX65 RNT65 RXP65 SHL65 SRH65 TBD65 TKZ65 TUV65 UER65 UON65 UYJ65 VIF65 VSB65 WBX65 WLT65 WVP65 H65601 JD65601 SZ65601 ACV65601 AMR65601 AWN65601 BGJ65601 BQF65601 CAB65601 CJX65601 CTT65601 DDP65601 DNL65601 DXH65601 EHD65601 EQZ65601 FAV65601 FKR65601 FUN65601 GEJ65601 GOF65601 GYB65601 HHX65601 HRT65601 IBP65601 ILL65601 IVH65601 JFD65601 JOZ65601 JYV65601 KIR65601 KSN65601 LCJ65601 LMF65601 LWB65601 MFX65601 MPT65601 MZP65601 NJL65601 NTH65601 ODD65601 OMZ65601 OWV65601 PGR65601 PQN65601 QAJ65601 QKF65601 QUB65601 RDX65601 RNT65601 RXP65601 SHL65601 SRH65601 TBD65601 TKZ65601 TUV65601 UER65601 UON65601 UYJ65601 VIF65601 VSB65601 WBX65601 WLT65601 WVP65601 H131137 JD131137 SZ131137 ACV131137 AMR131137 AWN131137 BGJ131137 BQF131137 CAB131137 CJX131137 CTT131137 DDP131137 DNL131137 DXH131137 EHD131137 EQZ131137 FAV131137 FKR131137 FUN131137 GEJ131137 GOF131137 GYB131137 HHX131137 HRT131137 IBP131137 ILL131137 IVH131137 JFD131137 JOZ131137 JYV131137 KIR131137 KSN131137 LCJ131137 LMF131137 LWB131137 MFX131137 MPT131137 MZP131137 NJL131137 NTH131137 ODD131137 OMZ131137 OWV131137 PGR131137 PQN131137 QAJ131137 QKF131137 QUB131137 RDX131137 RNT131137 RXP131137 SHL131137 SRH131137 TBD131137 TKZ131137 TUV131137 UER131137 UON131137 UYJ131137 VIF131137 VSB131137 WBX131137 WLT131137 WVP131137 H196673 JD196673 SZ196673 ACV196673 AMR196673 AWN196673 BGJ196673 BQF196673 CAB196673 CJX196673 CTT196673 DDP196673 DNL196673 DXH196673 EHD196673 EQZ196673 FAV196673 FKR196673 FUN196673 GEJ196673 GOF196673 GYB196673 HHX196673 HRT196673 IBP196673 ILL196673 IVH196673 JFD196673 JOZ196673 JYV196673 KIR196673 KSN196673 LCJ196673 LMF196673 LWB196673 MFX196673 MPT196673 MZP196673 NJL196673 NTH196673 ODD196673 OMZ196673 OWV196673 PGR196673 PQN196673 QAJ196673 QKF196673 QUB196673 RDX196673 RNT196673 RXP196673 SHL196673 SRH196673 TBD196673 TKZ196673 TUV196673 UER196673 UON196673 UYJ196673 VIF196673 VSB196673 WBX196673 WLT196673 WVP196673 H262209 JD262209 SZ262209 ACV262209 AMR262209 AWN262209 BGJ262209 BQF262209 CAB262209 CJX262209 CTT262209 DDP262209 DNL262209 DXH262209 EHD262209 EQZ262209 FAV262209 FKR262209 FUN262209 GEJ262209 GOF262209 GYB262209 HHX262209 HRT262209 IBP262209 ILL262209 IVH262209 JFD262209 JOZ262209 JYV262209 KIR262209 KSN262209 LCJ262209 LMF262209 LWB262209 MFX262209 MPT262209 MZP262209 NJL262209 NTH262209 ODD262209 OMZ262209 OWV262209 PGR262209 PQN262209 QAJ262209 QKF262209 QUB262209 RDX262209 RNT262209 RXP262209 SHL262209 SRH262209 TBD262209 TKZ262209 TUV262209 UER262209 UON262209 UYJ262209 VIF262209 VSB262209 WBX262209 WLT262209 WVP262209 H327745 JD327745 SZ327745 ACV327745 AMR327745 AWN327745 BGJ327745 BQF327745 CAB327745 CJX327745 CTT327745 DDP327745 DNL327745 DXH327745 EHD327745 EQZ327745 FAV327745 FKR327745 FUN327745 GEJ327745 GOF327745 GYB327745 HHX327745 HRT327745 IBP327745 ILL327745 IVH327745 JFD327745 JOZ327745 JYV327745 KIR327745 KSN327745 LCJ327745 LMF327745 LWB327745 MFX327745 MPT327745 MZP327745 NJL327745 NTH327745 ODD327745 OMZ327745 OWV327745 PGR327745 PQN327745 QAJ327745 QKF327745 QUB327745 RDX327745 RNT327745 RXP327745 SHL327745 SRH327745 TBD327745 TKZ327745 TUV327745 UER327745 UON327745 UYJ327745 VIF327745 VSB327745 WBX327745 WLT327745 WVP327745 H393281 JD393281 SZ393281 ACV393281 AMR393281 AWN393281 BGJ393281 BQF393281 CAB393281 CJX393281 CTT393281 DDP393281 DNL393281 DXH393281 EHD393281 EQZ393281 FAV393281 FKR393281 FUN393281 GEJ393281 GOF393281 GYB393281 HHX393281 HRT393281 IBP393281 ILL393281 IVH393281 JFD393281 JOZ393281 JYV393281 KIR393281 KSN393281 LCJ393281 LMF393281 LWB393281 MFX393281 MPT393281 MZP393281 NJL393281 NTH393281 ODD393281 OMZ393281 OWV393281 PGR393281 PQN393281 QAJ393281 QKF393281 QUB393281 RDX393281 RNT393281 RXP393281 SHL393281 SRH393281 TBD393281 TKZ393281 TUV393281 UER393281 UON393281 UYJ393281 VIF393281 VSB393281 WBX393281 WLT393281 WVP393281 H458817 JD458817 SZ458817 ACV458817 AMR458817 AWN458817 BGJ458817 BQF458817 CAB458817 CJX458817 CTT458817 DDP458817 DNL458817 DXH458817 EHD458817 EQZ458817 FAV458817 FKR458817 FUN458817 GEJ458817 GOF458817 GYB458817 HHX458817 HRT458817 IBP458817 ILL458817 IVH458817 JFD458817 JOZ458817 JYV458817 KIR458817 KSN458817 LCJ458817 LMF458817 LWB458817 MFX458817 MPT458817 MZP458817 NJL458817 NTH458817 ODD458817 OMZ458817 OWV458817 PGR458817 PQN458817 QAJ458817 QKF458817 QUB458817 RDX458817 RNT458817 RXP458817 SHL458817 SRH458817 TBD458817 TKZ458817 TUV458817 UER458817 UON458817 UYJ458817 VIF458817 VSB458817 WBX458817 WLT458817 WVP458817 H524353 JD524353 SZ524353 ACV524353 AMR524353 AWN524353 BGJ524353 BQF524353 CAB524353 CJX524353 CTT524353 DDP524353 DNL524353 DXH524353 EHD524353 EQZ524353 FAV524353 FKR524353 FUN524353 GEJ524353 GOF524353 GYB524353 HHX524353 HRT524353 IBP524353 ILL524353 IVH524353 JFD524353 JOZ524353 JYV524353 KIR524353 KSN524353 LCJ524353 LMF524353 LWB524353 MFX524353 MPT524353 MZP524353 NJL524353 NTH524353 ODD524353 OMZ524353 OWV524353 PGR524353 PQN524353 QAJ524353 QKF524353 QUB524353 RDX524353 RNT524353 RXP524353 SHL524353 SRH524353 TBD524353 TKZ524353 TUV524353 UER524353 UON524353 UYJ524353 VIF524353 VSB524353 WBX524353 WLT524353 WVP524353 H589889 JD589889 SZ589889 ACV589889 AMR589889 AWN589889 BGJ589889 BQF589889 CAB589889 CJX589889 CTT589889 DDP589889 DNL589889 DXH589889 EHD589889 EQZ589889 FAV589889 FKR589889 FUN589889 GEJ589889 GOF589889 GYB589889 HHX589889 HRT589889 IBP589889 ILL589889 IVH589889 JFD589889 JOZ589889 JYV589889 KIR589889 KSN589889 LCJ589889 LMF589889 LWB589889 MFX589889 MPT589889 MZP589889 NJL589889 NTH589889 ODD589889 OMZ589889 OWV589889 PGR589889 PQN589889 QAJ589889 QKF589889 QUB589889 RDX589889 RNT589889 RXP589889 SHL589889 SRH589889 TBD589889 TKZ589889 TUV589889 UER589889 UON589889 UYJ589889 VIF589889 VSB589889 WBX589889 WLT589889 WVP589889 H655425 JD655425 SZ655425 ACV655425 AMR655425 AWN655425 BGJ655425 BQF655425 CAB655425 CJX655425 CTT655425 DDP655425 DNL655425 DXH655425 EHD655425 EQZ655425 FAV655425 FKR655425 FUN655425 GEJ655425 GOF655425 GYB655425 HHX655425 HRT655425 IBP655425 ILL655425 IVH655425 JFD655425 JOZ655425 JYV655425 KIR655425 KSN655425 LCJ655425 LMF655425 LWB655425 MFX655425 MPT655425 MZP655425 NJL655425 NTH655425 ODD655425 OMZ655425 OWV655425 PGR655425 PQN655425 QAJ655425 QKF655425 QUB655425 RDX655425 RNT655425 RXP655425 SHL655425 SRH655425 TBD655425 TKZ655425 TUV655425 UER655425 UON655425 UYJ655425 VIF655425 VSB655425 WBX655425 WLT655425 WVP655425 H720961 JD720961 SZ720961 ACV720961 AMR720961 AWN720961 BGJ720961 BQF720961 CAB720961 CJX720961 CTT720961 DDP720961 DNL720961 DXH720961 EHD720961 EQZ720961 FAV720961 FKR720961 FUN720961 GEJ720961 GOF720961 GYB720961 HHX720961 HRT720961 IBP720961 ILL720961 IVH720961 JFD720961 JOZ720961 JYV720961 KIR720961 KSN720961 LCJ720961 LMF720961 LWB720961 MFX720961 MPT720961 MZP720961 NJL720961 NTH720961 ODD720961 OMZ720961 OWV720961 PGR720961 PQN720961 QAJ720961 QKF720961 QUB720961 RDX720961 RNT720961 RXP720961 SHL720961 SRH720961 TBD720961 TKZ720961 TUV720961 UER720961 UON720961 UYJ720961 VIF720961 VSB720961 WBX720961 WLT720961 WVP720961 H786497 JD786497 SZ786497 ACV786497 AMR786497 AWN786497 BGJ786497 BQF786497 CAB786497 CJX786497 CTT786497 DDP786497 DNL786497 DXH786497 EHD786497 EQZ786497 FAV786497 FKR786497 FUN786497 GEJ786497 GOF786497 GYB786497 HHX786497 HRT786497 IBP786497 ILL786497 IVH786497 JFD786497 JOZ786497 JYV786497 KIR786497 KSN786497 LCJ786497 LMF786497 LWB786497 MFX786497 MPT786497 MZP786497 NJL786497 NTH786497 ODD786497 OMZ786497 OWV786497 PGR786497 PQN786497 QAJ786497 QKF786497 QUB786497 RDX786497 RNT786497 RXP786497 SHL786497 SRH786497 TBD786497 TKZ786497 TUV786497 UER786497 UON786497 UYJ786497 VIF786497 VSB786497 WBX786497 WLT786497 WVP786497 H852033 JD852033 SZ852033 ACV852033 AMR852033 AWN852033 BGJ852033 BQF852033 CAB852033 CJX852033 CTT852033 DDP852033 DNL852033 DXH852033 EHD852033 EQZ852033 FAV852033 FKR852033 FUN852033 GEJ852033 GOF852033 GYB852033 HHX852033 HRT852033 IBP852033 ILL852033 IVH852033 JFD852033 JOZ852033 JYV852033 KIR852033 KSN852033 LCJ852033 LMF852033 LWB852033 MFX852033 MPT852033 MZP852033 NJL852033 NTH852033 ODD852033 OMZ852033 OWV852033 PGR852033 PQN852033 QAJ852033 QKF852033 QUB852033 RDX852033 RNT852033 RXP852033 SHL852033 SRH852033 TBD852033 TKZ852033 TUV852033 UER852033 UON852033 UYJ852033 VIF852033 VSB852033 WBX852033 WLT852033 WVP852033 H917569 JD917569 SZ917569 ACV917569 AMR917569 AWN917569 BGJ917569 BQF917569 CAB917569 CJX917569 CTT917569 DDP917569 DNL917569 DXH917569 EHD917569 EQZ917569 FAV917569 FKR917569 FUN917569 GEJ917569 GOF917569 GYB917569 HHX917569 HRT917569 IBP917569 ILL917569 IVH917569 JFD917569 JOZ917569 JYV917569 KIR917569 KSN917569 LCJ917569 LMF917569 LWB917569 MFX917569 MPT917569 MZP917569 NJL917569 NTH917569 ODD917569 OMZ917569 OWV917569 PGR917569 PQN917569 QAJ917569 QKF917569 QUB917569 RDX917569 RNT917569 RXP917569 SHL917569 SRH917569 TBD917569 TKZ917569 TUV917569 UER917569 UON917569 UYJ917569 VIF917569 VSB917569 WBX917569 WLT917569 WVP917569 H983105 JD983105 SZ983105 ACV983105 AMR983105 AWN983105 BGJ983105 BQF983105 CAB983105 CJX983105 CTT983105 DDP983105 DNL983105 DXH983105 EHD983105 EQZ983105 FAV983105 FKR983105 FUN983105 GEJ983105 GOF983105 GYB983105 HHX983105 HRT983105 IBP983105 ILL983105 IVH983105 JFD983105 JOZ983105 JYV983105 KIR983105 KSN983105 LCJ983105 LMF983105 LWB983105 MFX983105 MPT983105 MZP983105 NJL983105 NTH983105 ODD983105 OMZ983105 OWV983105 PGR983105 PQN983105 QAJ983105 QKF983105 QUB983105 RDX983105 RNT983105 RXP983105 SHL983105 SRH983105 TBD983105 TKZ983105 TUV983105 UER983105 UON983105 UYJ983105 VIF983105 VSB983105 WBX983105 WLT983105 WVP983105" xr:uid="{6CEBAAAA-0767-42FB-91D9-8449E2783F21}">
      <formula1>PASS_FAIL2</formula1>
    </dataValidation>
    <dataValidation type="list" allowBlank="1" showInputMessage="1" showErrorMessage="1" sqref="D29 IZ29 SV29 ACR29 AMN29 AWJ29 BGF29 BQB29 BZX29 CJT29 CTP29 DDL29 DNH29 DXD29 EGZ29 EQV29 FAR29 FKN29 FUJ29 GEF29 GOB29 GXX29 HHT29 HRP29 IBL29 ILH29 IVD29 JEZ29 JOV29 JYR29 KIN29 KSJ29 LCF29 LMB29 LVX29 MFT29 MPP29 MZL29 NJH29 NTD29 OCZ29 OMV29 OWR29 PGN29 PQJ29 QAF29 QKB29 QTX29 RDT29 RNP29 RXL29 SHH29 SRD29 TAZ29 TKV29 TUR29 UEN29 UOJ29 UYF29 VIB29 VRX29 WBT29 WLP29 WVL29 D65565 IZ65565 SV65565 ACR65565 AMN65565 AWJ65565 BGF65565 BQB65565 BZX65565 CJT65565 CTP65565 DDL65565 DNH65565 DXD65565 EGZ65565 EQV65565 FAR65565 FKN65565 FUJ65565 GEF65565 GOB65565 GXX65565 HHT65565 HRP65565 IBL65565 ILH65565 IVD65565 JEZ65565 JOV65565 JYR65565 KIN65565 KSJ65565 LCF65565 LMB65565 LVX65565 MFT65565 MPP65565 MZL65565 NJH65565 NTD65565 OCZ65565 OMV65565 OWR65565 PGN65565 PQJ65565 QAF65565 QKB65565 QTX65565 RDT65565 RNP65565 RXL65565 SHH65565 SRD65565 TAZ65565 TKV65565 TUR65565 UEN65565 UOJ65565 UYF65565 VIB65565 VRX65565 WBT65565 WLP65565 WVL65565 D131101 IZ131101 SV131101 ACR131101 AMN131101 AWJ131101 BGF131101 BQB131101 BZX131101 CJT131101 CTP131101 DDL131101 DNH131101 DXD131101 EGZ131101 EQV131101 FAR131101 FKN131101 FUJ131101 GEF131101 GOB131101 GXX131101 HHT131101 HRP131101 IBL131101 ILH131101 IVD131101 JEZ131101 JOV131101 JYR131101 KIN131101 KSJ131101 LCF131101 LMB131101 LVX131101 MFT131101 MPP131101 MZL131101 NJH131101 NTD131101 OCZ131101 OMV131101 OWR131101 PGN131101 PQJ131101 QAF131101 QKB131101 QTX131101 RDT131101 RNP131101 RXL131101 SHH131101 SRD131101 TAZ131101 TKV131101 TUR131101 UEN131101 UOJ131101 UYF131101 VIB131101 VRX131101 WBT131101 WLP131101 WVL131101 D196637 IZ196637 SV196637 ACR196637 AMN196637 AWJ196637 BGF196637 BQB196637 BZX196637 CJT196637 CTP196637 DDL196637 DNH196637 DXD196637 EGZ196637 EQV196637 FAR196637 FKN196637 FUJ196637 GEF196637 GOB196637 GXX196637 HHT196637 HRP196637 IBL196637 ILH196637 IVD196637 JEZ196637 JOV196637 JYR196637 KIN196637 KSJ196637 LCF196637 LMB196637 LVX196637 MFT196637 MPP196637 MZL196637 NJH196637 NTD196637 OCZ196637 OMV196637 OWR196637 PGN196637 PQJ196637 QAF196637 QKB196637 QTX196637 RDT196637 RNP196637 RXL196637 SHH196637 SRD196637 TAZ196637 TKV196637 TUR196637 UEN196637 UOJ196637 UYF196637 VIB196637 VRX196637 WBT196637 WLP196637 WVL196637 D262173 IZ262173 SV262173 ACR262173 AMN262173 AWJ262173 BGF262173 BQB262173 BZX262173 CJT262173 CTP262173 DDL262173 DNH262173 DXD262173 EGZ262173 EQV262173 FAR262173 FKN262173 FUJ262173 GEF262173 GOB262173 GXX262173 HHT262173 HRP262173 IBL262173 ILH262173 IVD262173 JEZ262173 JOV262173 JYR262173 KIN262173 KSJ262173 LCF262173 LMB262173 LVX262173 MFT262173 MPP262173 MZL262173 NJH262173 NTD262173 OCZ262173 OMV262173 OWR262173 PGN262173 PQJ262173 QAF262173 QKB262173 QTX262173 RDT262173 RNP262173 RXL262173 SHH262173 SRD262173 TAZ262173 TKV262173 TUR262173 UEN262173 UOJ262173 UYF262173 VIB262173 VRX262173 WBT262173 WLP262173 WVL262173 D327709 IZ327709 SV327709 ACR327709 AMN327709 AWJ327709 BGF327709 BQB327709 BZX327709 CJT327709 CTP327709 DDL327709 DNH327709 DXD327709 EGZ327709 EQV327709 FAR327709 FKN327709 FUJ327709 GEF327709 GOB327709 GXX327709 HHT327709 HRP327709 IBL327709 ILH327709 IVD327709 JEZ327709 JOV327709 JYR327709 KIN327709 KSJ327709 LCF327709 LMB327709 LVX327709 MFT327709 MPP327709 MZL327709 NJH327709 NTD327709 OCZ327709 OMV327709 OWR327709 PGN327709 PQJ327709 QAF327709 QKB327709 QTX327709 RDT327709 RNP327709 RXL327709 SHH327709 SRD327709 TAZ327709 TKV327709 TUR327709 UEN327709 UOJ327709 UYF327709 VIB327709 VRX327709 WBT327709 WLP327709 WVL327709 D393245 IZ393245 SV393245 ACR393245 AMN393245 AWJ393245 BGF393245 BQB393245 BZX393245 CJT393245 CTP393245 DDL393245 DNH393245 DXD393245 EGZ393245 EQV393245 FAR393245 FKN393245 FUJ393245 GEF393245 GOB393245 GXX393245 HHT393245 HRP393245 IBL393245 ILH393245 IVD393245 JEZ393245 JOV393245 JYR393245 KIN393245 KSJ393245 LCF393245 LMB393245 LVX393245 MFT393245 MPP393245 MZL393245 NJH393245 NTD393245 OCZ393245 OMV393245 OWR393245 PGN393245 PQJ393245 QAF393245 QKB393245 QTX393245 RDT393245 RNP393245 RXL393245 SHH393245 SRD393245 TAZ393245 TKV393245 TUR393245 UEN393245 UOJ393245 UYF393245 VIB393245 VRX393245 WBT393245 WLP393245 WVL393245 D458781 IZ458781 SV458781 ACR458781 AMN458781 AWJ458781 BGF458781 BQB458781 BZX458781 CJT458781 CTP458781 DDL458781 DNH458781 DXD458781 EGZ458781 EQV458781 FAR458781 FKN458781 FUJ458781 GEF458781 GOB458781 GXX458781 HHT458781 HRP458781 IBL458781 ILH458781 IVD458781 JEZ458781 JOV458781 JYR458781 KIN458781 KSJ458781 LCF458781 LMB458781 LVX458781 MFT458781 MPP458781 MZL458781 NJH458781 NTD458781 OCZ458781 OMV458781 OWR458781 PGN458781 PQJ458781 QAF458781 QKB458781 QTX458781 RDT458781 RNP458781 RXL458781 SHH458781 SRD458781 TAZ458781 TKV458781 TUR458781 UEN458781 UOJ458781 UYF458781 VIB458781 VRX458781 WBT458781 WLP458781 WVL458781 D524317 IZ524317 SV524317 ACR524317 AMN524317 AWJ524317 BGF524317 BQB524317 BZX524317 CJT524317 CTP524317 DDL524317 DNH524317 DXD524317 EGZ524317 EQV524317 FAR524317 FKN524317 FUJ524317 GEF524317 GOB524317 GXX524317 HHT524317 HRP524317 IBL524317 ILH524317 IVD524317 JEZ524317 JOV524317 JYR524317 KIN524317 KSJ524317 LCF524317 LMB524317 LVX524317 MFT524317 MPP524317 MZL524317 NJH524317 NTD524317 OCZ524317 OMV524317 OWR524317 PGN524317 PQJ524317 QAF524317 QKB524317 QTX524317 RDT524317 RNP524317 RXL524317 SHH524317 SRD524317 TAZ524317 TKV524317 TUR524317 UEN524317 UOJ524317 UYF524317 VIB524317 VRX524317 WBT524317 WLP524317 WVL524317 D589853 IZ589853 SV589853 ACR589853 AMN589853 AWJ589853 BGF589853 BQB589853 BZX589853 CJT589853 CTP589853 DDL589853 DNH589853 DXD589853 EGZ589853 EQV589853 FAR589853 FKN589853 FUJ589853 GEF589853 GOB589853 GXX589853 HHT589853 HRP589853 IBL589853 ILH589853 IVD589853 JEZ589853 JOV589853 JYR589853 KIN589853 KSJ589853 LCF589853 LMB589853 LVX589853 MFT589853 MPP589853 MZL589853 NJH589853 NTD589853 OCZ589853 OMV589853 OWR589853 PGN589853 PQJ589853 QAF589853 QKB589853 QTX589853 RDT589853 RNP589853 RXL589853 SHH589853 SRD589853 TAZ589853 TKV589853 TUR589853 UEN589853 UOJ589853 UYF589853 VIB589853 VRX589853 WBT589853 WLP589853 WVL589853 D655389 IZ655389 SV655389 ACR655389 AMN655389 AWJ655389 BGF655389 BQB655389 BZX655389 CJT655389 CTP655389 DDL655389 DNH655389 DXD655389 EGZ655389 EQV655389 FAR655389 FKN655389 FUJ655389 GEF655389 GOB655389 GXX655389 HHT655389 HRP655389 IBL655389 ILH655389 IVD655389 JEZ655389 JOV655389 JYR655389 KIN655389 KSJ655389 LCF655389 LMB655389 LVX655389 MFT655389 MPP655389 MZL655389 NJH655389 NTD655389 OCZ655389 OMV655389 OWR655389 PGN655389 PQJ655389 QAF655389 QKB655389 QTX655389 RDT655389 RNP655389 RXL655389 SHH655389 SRD655389 TAZ655389 TKV655389 TUR655389 UEN655389 UOJ655389 UYF655389 VIB655389 VRX655389 WBT655389 WLP655389 WVL655389 D720925 IZ720925 SV720925 ACR720925 AMN720925 AWJ720925 BGF720925 BQB720925 BZX720925 CJT720925 CTP720925 DDL720925 DNH720925 DXD720925 EGZ720925 EQV720925 FAR720925 FKN720925 FUJ720925 GEF720925 GOB720925 GXX720925 HHT720925 HRP720925 IBL720925 ILH720925 IVD720925 JEZ720925 JOV720925 JYR720925 KIN720925 KSJ720925 LCF720925 LMB720925 LVX720925 MFT720925 MPP720925 MZL720925 NJH720925 NTD720925 OCZ720925 OMV720925 OWR720925 PGN720925 PQJ720925 QAF720925 QKB720925 QTX720925 RDT720925 RNP720925 RXL720925 SHH720925 SRD720925 TAZ720925 TKV720925 TUR720925 UEN720925 UOJ720925 UYF720925 VIB720925 VRX720925 WBT720925 WLP720925 WVL720925 D786461 IZ786461 SV786461 ACR786461 AMN786461 AWJ786461 BGF786461 BQB786461 BZX786461 CJT786461 CTP786461 DDL786461 DNH786461 DXD786461 EGZ786461 EQV786461 FAR786461 FKN786461 FUJ786461 GEF786461 GOB786461 GXX786461 HHT786461 HRP786461 IBL786461 ILH786461 IVD786461 JEZ786461 JOV786461 JYR786461 KIN786461 KSJ786461 LCF786461 LMB786461 LVX786461 MFT786461 MPP786461 MZL786461 NJH786461 NTD786461 OCZ786461 OMV786461 OWR786461 PGN786461 PQJ786461 QAF786461 QKB786461 QTX786461 RDT786461 RNP786461 RXL786461 SHH786461 SRD786461 TAZ786461 TKV786461 TUR786461 UEN786461 UOJ786461 UYF786461 VIB786461 VRX786461 WBT786461 WLP786461 WVL786461 D851997 IZ851997 SV851997 ACR851997 AMN851997 AWJ851997 BGF851997 BQB851997 BZX851997 CJT851997 CTP851997 DDL851997 DNH851997 DXD851997 EGZ851997 EQV851997 FAR851997 FKN851997 FUJ851997 GEF851997 GOB851997 GXX851997 HHT851997 HRP851997 IBL851997 ILH851997 IVD851997 JEZ851997 JOV851997 JYR851997 KIN851997 KSJ851997 LCF851997 LMB851997 LVX851997 MFT851997 MPP851997 MZL851997 NJH851997 NTD851997 OCZ851997 OMV851997 OWR851997 PGN851997 PQJ851997 QAF851997 QKB851997 QTX851997 RDT851997 RNP851997 RXL851997 SHH851997 SRD851997 TAZ851997 TKV851997 TUR851997 UEN851997 UOJ851997 UYF851997 VIB851997 VRX851997 WBT851997 WLP851997 WVL851997 D917533 IZ917533 SV917533 ACR917533 AMN917533 AWJ917533 BGF917533 BQB917533 BZX917533 CJT917533 CTP917533 DDL917533 DNH917533 DXD917533 EGZ917533 EQV917533 FAR917533 FKN917533 FUJ917533 GEF917533 GOB917533 GXX917533 HHT917533 HRP917533 IBL917533 ILH917533 IVD917533 JEZ917533 JOV917533 JYR917533 KIN917533 KSJ917533 LCF917533 LMB917533 LVX917533 MFT917533 MPP917533 MZL917533 NJH917533 NTD917533 OCZ917533 OMV917533 OWR917533 PGN917533 PQJ917533 QAF917533 QKB917533 QTX917533 RDT917533 RNP917533 RXL917533 SHH917533 SRD917533 TAZ917533 TKV917533 TUR917533 UEN917533 UOJ917533 UYF917533 VIB917533 VRX917533 WBT917533 WLP917533 WVL917533 D983069 IZ983069 SV983069 ACR983069 AMN983069 AWJ983069 BGF983069 BQB983069 BZX983069 CJT983069 CTP983069 DDL983069 DNH983069 DXD983069 EGZ983069 EQV983069 FAR983069 FKN983069 FUJ983069 GEF983069 GOB983069 GXX983069 HHT983069 HRP983069 IBL983069 ILH983069 IVD983069 JEZ983069 JOV983069 JYR983069 KIN983069 KSJ983069 LCF983069 LMB983069 LVX983069 MFT983069 MPP983069 MZL983069 NJH983069 NTD983069 OCZ983069 OMV983069 OWR983069 PGN983069 PQJ983069 QAF983069 QKB983069 QTX983069 RDT983069 RNP983069 RXL983069 SHH983069 SRD983069 TAZ983069 TKV983069 TUR983069 UEN983069 UOJ983069 UYF983069 VIB983069 VRX983069 WBT983069 WLP983069 WVL983069 D45 IZ45 SV45 ACR45 AMN45 AWJ45 BGF45 BQB45 BZX45 CJT45 CTP45 DDL45 DNH45 DXD45 EGZ45 EQV45 FAR45 FKN45 FUJ45 GEF45 GOB45 GXX45 HHT45 HRP45 IBL45 ILH45 IVD45 JEZ45 JOV45 JYR45 KIN45 KSJ45 LCF45 LMB45 LVX45 MFT45 MPP45 MZL45 NJH45 NTD45 OCZ45 OMV45 OWR45 PGN45 PQJ45 QAF45 QKB45 QTX45 RDT45 RNP45 RXL45 SHH45 SRD45 TAZ45 TKV45 TUR45 UEN45 UOJ45 UYF45 VIB45 VRX45 WBT45 WLP45 WVL45 D65581 IZ65581 SV65581 ACR65581 AMN65581 AWJ65581 BGF65581 BQB65581 BZX65581 CJT65581 CTP65581 DDL65581 DNH65581 DXD65581 EGZ65581 EQV65581 FAR65581 FKN65581 FUJ65581 GEF65581 GOB65581 GXX65581 HHT65581 HRP65581 IBL65581 ILH65581 IVD65581 JEZ65581 JOV65581 JYR65581 KIN65581 KSJ65581 LCF65581 LMB65581 LVX65581 MFT65581 MPP65581 MZL65581 NJH65581 NTD65581 OCZ65581 OMV65581 OWR65581 PGN65581 PQJ65581 QAF65581 QKB65581 QTX65581 RDT65581 RNP65581 RXL65581 SHH65581 SRD65581 TAZ65581 TKV65581 TUR65581 UEN65581 UOJ65581 UYF65581 VIB65581 VRX65581 WBT65581 WLP65581 WVL65581 D131117 IZ131117 SV131117 ACR131117 AMN131117 AWJ131117 BGF131117 BQB131117 BZX131117 CJT131117 CTP131117 DDL131117 DNH131117 DXD131117 EGZ131117 EQV131117 FAR131117 FKN131117 FUJ131117 GEF131117 GOB131117 GXX131117 HHT131117 HRP131117 IBL131117 ILH131117 IVD131117 JEZ131117 JOV131117 JYR131117 KIN131117 KSJ131117 LCF131117 LMB131117 LVX131117 MFT131117 MPP131117 MZL131117 NJH131117 NTD131117 OCZ131117 OMV131117 OWR131117 PGN131117 PQJ131117 QAF131117 QKB131117 QTX131117 RDT131117 RNP131117 RXL131117 SHH131117 SRD131117 TAZ131117 TKV131117 TUR131117 UEN131117 UOJ131117 UYF131117 VIB131117 VRX131117 WBT131117 WLP131117 WVL131117 D196653 IZ196653 SV196653 ACR196653 AMN196653 AWJ196653 BGF196653 BQB196653 BZX196653 CJT196653 CTP196653 DDL196653 DNH196653 DXD196653 EGZ196653 EQV196653 FAR196653 FKN196653 FUJ196653 GEF196653 GOB196653 GXX196653 HHT196653 HRP196653 IBL196653 ILH196653 IVD196653 JEZ196653 JOV196653 JYR196653 KIN196653 KSJ196653 LCF196653 LMB196653 LVX196653 MFT196653 MPP196653 MZL196653 NJH196653 NTD196653 OCZ196653 OMV196653 OWR196653 PGN196653 PQJ196653 QAF196653 QKB196653 QTX196653 RDT196653 RNP196653 RXL196653 SHH196653 SRD196653 TAZ196653 TKV196653 TUR196653 UEN196653 UOJ196653 UYF196653 VIB196653 VRX196653 WBT196653 WLP196653 WVL196653 D262189 IZ262189 SV262189 ACR262189 AMN262189 AWJ262189 BGF262189 BQB262189 BZX262189 CJT262189 CTP262189 DDL262189 DNH262189 DXD262189 EGZ262189 EQV262189 FAR262189 FKN262189 FUJ262189 GEF262189 GOB262189 GXX262189 HHT262189 HRP262189 IBL262189 ILH262189 IVD262189 JEZ262189 JOV262189 JYR262189 KIN262189 KSJ262189 LCF262189 LMB262189 LVX262189 MFT262189 MPP262189 MZL262189 NJH262189 NTD262189 OCZ262189 OMV262189 OWR262189 PGN262189 PQJ262189 QAF262189 QKB262189 QTX262189 RDT262189 RNP262189 RXL262189 SHH262189 SRD262189 TAZ262189 TKV262189 TUR262189 UEN262189 UOJ262189 UYF262189 VIB262189 VRX262189 WBT262189 WLP262189 WVL262189 D327725 IZ327725 SV327725 ACR327725 AMN327725 AWJ327725 BGF327725 BQB327725 BZX327725 CJT327725 CTP327725 DDL327725 DNH327725 DXD327725 EGZ327725 EQV327725 FAR327725 FKN327725 FUJ327725 GEF327725 GOB327725 GXX327725 HHT327725 HRP327725 IBL327725 ILH327725 IVD327725 JEZ327725 JOV327725 JYR327725 KIN327725 KSJ327725 LCF327725 LMB327725 LVX327725 MFT327725 MPP327725 MZL327725 NJH327725 NTD327725 OCZ327725 OMV327725 OWR327725 PGN327725 PQJ327725 QAF327725 QKB327725 QTX327725 RDT327725 RNP327725 RXL327725 SHH327725 SRD327725 TAZ327725 TKV327725 TUR327725 UEN327725 UOJ327725 UYF327725 VIB327725 VRX327725 WBT327725 WLP327725 WVL327725 D393261 IZ393261 SV393261 ACR393261 AMN393261 AWJ393261 BGF393261 BQB393261 BZX393261 CJT393261 CTP393261 DDL393261 DNH393261 DXD393261 EGZ393261 EQV393261 FAR393261 FKN393261 FUJ393261 GEF393261 GOB393261 GXX393261 HHT393261 HRP393261 IBL393261 ILH393261 IVD393261 JEZ393261 JOV393261 JYR393261 KIN393261 KSJ393261 LCF393261 LMB393261 LVX393261 MFT393261 MPP393261 MZL393261 NJH393261 NTD393261 OCZ393261 OMV393261 OWR393261 PGN393261 PQJ393261 QAF393261 QKB393261 QTX393261 RDT393261 RNP393261 RXL393261 SHH393261 SRD393261 TAZ393261 TKV393261 TUR393261 UEN393261 UOJ393261 UYF393261 VIB393261 VRX393261 WBT393261 WLP393261 WVL393261 D458797 IZ458797 SV458797 ACR458797 AMN458797 AWJ458797 BGF458797 BQB458797 BZX458797 CJT458797 CTP458797 DDL458797 DNH458797 DXD458797 EGZ458797 EQV458797 FAR458797 FKN458797 FUJ458797 GEF458797 GOB458797 GXX458797 HHT458797 HRP458797 IBL458797 ILH458797 IVD458797 JEZ458797 JOV458797 JYR458797 KIN458797 KSJ458797 LCF458797 LMB458797 LVX458797 MFT458797 MPP458797 MZL458797 NJH458797 NTD458797 OCZ458797 OMV458797 OWR458797 PGN458797 PQJ458797 QAF458797 QKB458797 QTX458797 RDT458797 RNP458797 RXL458797 SHH458797 SRD458797 TAZ458797 TKV458797 TUR458797 UEN458797 UOJ458797 UYF458797 VIB458797 VRX458797 WBT458797 WLP458797 WVL458797 D524333 IZ524333 SV524333 ACR524333 AMN524333 AWJ524333 BGF524333 BQB524333 BZX524333 CJT524333 CTP524333 DDL524333 DNH524333 DXD524333 EGZ524333 EQV524333 FAR524333 FKN524333 FUJ524333 GEF524333 GOB524333 GXX524333 HHT524333 HRP524333 IBL524333 ILH524333 IVD524333 JEZ524333 JOV524333 JYR524333 KIN524333 KSJ524333 LCF524333 LMB524333 LVX524333 MFT524333 MPP524333 MZL524333 NJH524333 NTD524333 OCZ524333 OMV524333 OWR524333 PGN524333 PQJ524333 QAF524333 QKB524333 QTX524333 RDT524333 RNP524333 RXL524333 SHH524333 SRD524333 TAZ524333 TKV524333 TUR524333 UEN524333 UOJ524333 UYF524333 VIB524333 VRX524333 WBT524333 WLP524333 WVL524333 D589869 IZ589869 SV589869 ACR589869 AMN589869 AWJ589869 BGF589869 BQB589869 BZX589869 CJT589869 CTP589869 DDL589869 DNH589869 DXD589869 EGZ589869 EQV589869 FAR589869 FKN589869 FUJ589869 GEF589869 GOB589869 GXX589869 HHT589869 HRP589869 IBL589869 ILH589869 IVD589869 JEZ589869 JOV589869 JYR589869 KIN589869 KSJ589869 LCF589869 LMB589869 LVX589869 MFT589869 MPP589869 MZL589869 NJH589869 NTD589869 OCZ589869 OMV589869 OWR589869 PGN589869 PQJ589869 QAF589869 QKB589869 QTX589869 RDT589869 RNP589869 RXL589869 SHH589869 SRD589869 TAZ589869 TKV589869 TUR589869 UEN589869 UOJ589869 UYF589869 VIB589869 VRX589869 WBT589869 WLP589869 WVL589869 D655405 IZ655405 SV655405 ACR655405 AMN655405 AWJ655405 BGF655405 BQB655405 BZX655405 CJT655405 CTP655405 DDL655405 DNH655405 DXD655405 EGZ655405 EQV655405 FAR655405 FKN655405 FUJ655405 GEF655405 GOB655405 GXX655405 HHT655405 HRP655405 IBL655405 ILH655405 IVD655405 JEZ655405 JOV655405 JYR655405 KIN655405 KSJ655405 LCF655405 LMB655405 LVX655405 MFT655405 MPP655405 MZL655405 NJH655405 NTD655405 OCZ655405 OMV655405 OWR655405 PGN655405 PQJ655405 QAF655405 QKB655405 QTX655405 RDT655405 RNP655405 RXL655405 SHH655405 SRD655405 TAZ655405 TKV655405 TUR655405 UEN655405 UOJ655405 UYF655405 VIB655405 VRX655405 WBT655405 WLP655405 WVL655405 D720941 IZ720941 SV720941 ACR720941 AMN720941 AWJ720941 BGF720941 BQB720941 BZX720941 CJT720941 CTP720941 DDL720941 DNH720941 DXD720941 EGZ720941 EQV720941 FAR720941 FKN720941 FUJ720941 GEF720941 GOB720941 GXX720941 HHT720941 HRP720941 IBL720941 ILH720941 IVD720941 JEZ720941 JOV720941 JYR720941 KIN720941 KSJ720941 LCF720941 LMB720941 LVX720941 MFT720941 MPP720941 MZL720941 NJH720941 NTD720941 OCZ720941 OMV720941 OWR720941 PGN720941 PQJ720941 QAF720941 QKB720941 QTX720941 RDT720941 RNP720941 RXL720941 SHH720941 SRD720941 TAZ720941 TKV720941 TUR720941 UEN720941 UOJ720941 UYF720941 VIB720941 VRX720941 WBT720941 WLP720941 WVL720941 D786477 IZ786477 SV786477 ACR786477 AMN786477 AWJ786477 BGF786477 BQB786477 BZX786477 CJT786477 CTP786477 DDL786477 DNH786477 DXD786477 EGZ786477 EQV786477 FAR786477 FKN786477 FUJ786477 GEF786477 GOB786477 GXX786477 HHT786477 HRP786477 IBL786477 ILH786477 IVD786477 JEZ786477 JOV786477 JYR786477 KIN786477 KSJ786477 LCF786477 LMB786477 LVX786477 MFT786477 MPP786477 MZL786477 NJH786477 NTD786477 OCZ786477 OMV786477 OWR786477 PGN786477 PQJ786477 QAF786477 QKB786477 QTX786477 RDT786477 RNP786477 RXL786477 SHH786477 SRD786477 TAZ786477 TKV786477 TUR786477 UEN786477 UOJ786477 UYF786477 VIB786477 VRX786477 WBT786477 WLP786477 WVL786477 D852013 IZ852013 SV852013 ACR852013 AMN852013 AWJ852013 BGF852013 BQB852013 BZX852013 CJT852013 CTP852013 DDL852013 DNH852013 DXD852013 EGZ852013 EQV852013 FAR852013 FKN852013 FUJ852013 GEF852013 GOB852013 GXX852013 HHT852013 HRP852013 IBL852013 ILH852013 IVD852013 JEZ852013 JOV852013 JYR852013 KIN852013 KSJ852013 LCF852013 LMB852013 LVX852013 MFT852013 MPP852013 MZL852013 NJH852013 NTD852013 OCZ852013 OMV852013 OWR852013 PGN852013 PQJ852013 QAF852013 QKB852013 QTX852013 RDT852013 RNP852013 RXL852013 SHH852013 SRD852013 TAZ852013 TKV852013 TUR852013 UEN852013 UOJ852013 UYF852013 VIB852013 VRX852013 WBT852013 WLP852013 WVL852013 D917549 IZ917549 SV917549 ACR917549 AMN917549 AWJ917549 BGF917549 BQB917549 BZX917549 CJT917549 CTP917549 DDL917549 DNH917549 DXD917549 EGZ917549 EQV917549 FAR917549 FKN917549 FUJ917549 GEF917549 GOB917549 GXX917549 HHT917549 HRP917549 IBL917549 ILH917549 IVD917549 JEZ917549 JOV917549 JYR917549 KIN917549 KSJ917549 LCF917549 LMB917549 LVX917549 MFT917549 MPP917549 MZL917549 NJH917549 NTD917549 OCZ917549 OMV917549 OWR917549 PGN917549 PQJ917549 QAF917549 QKB917549 QTX917549 RDT917549 RNP917549 RXL917549 SHH917549 SRD917549 TAZ917549 TKV917549 TUR917549 UEN917549 UOJ917549 UYF917549 VIB917549 VRX917549 WBT917549 WLP917549 WVL917549 D983085 IZ983085 SV983085 ACR983085 AMN983085 AWJ983085 BGF983085 BQB983085 BZX983085 CJT983085 CTP983085 DDL983085 DNH983085 DXD983085 EGZ983085 EQV983085 FAR983085 FKN983085 FUJ983085 GEF983085 GOB983085 GXX983085 HHT983085 HRP983085 IBL983085 ILH983085 IVD983085 JEZ983085 JOV983085 JYR983085 KIN983085 KSJ983085 LCF983085 LMB983085 LVX983085 MFT983085 MPP983085 MZL983085 NJH983085 NTD983085 OCZ983085 OMV983085 OWR983085 PGN983085 PQJ983085 QAF983085 QKB983085 QTX983085 RDT983085 RNP983085 RXL983085 SHH983085 SRD983085 TAZ983085 TKV983085 TUR983085 UEN983085 UOJ983085 UYF983085 VIB983085 VRX983085 WBT983085 WLP983085 WVL983085" xr:uid="{B94CA75B-AB01-4847-85BC-9149C64B5C45}">
      <formula1>Combustion_Equip</formula1>
    </dataValidation>
    <dataValidation type="list" allowBlank="1" showInputMessage="1" showErrorMessage="1" sqref="D63 IZ63 SV63 ACR63 AMN63 AWJ63 BGF63 BQB63 BZX63 CJT63 CTP63 DDL63 DNH63 DXD63 EGZ63 EQV63 FAR63 FKN63 FUJ63 GEF63 GOB63 GXX63 HHT63 HRP63 IBL63 ILH63 IVD63 JEZ63 JOV63 JYR63 KIN63 KSJ63 LCF63 LMB63 LVX63 MFT63 MPP63 MZL63 NJH63 NTD63 OCZ63 OMV63 OWR63 PGN63 PQJ63 QAF63 QKB63 QTX63 RDT63 RNP63 RXL63 SHH63 SRD63 TAZ63 TKV63 TUR63 UEN63 UOJ63 UYF63 VIB63 VRX63 WBT63 WLP63 WVL63 D65599 IZ65599 SV65599 ACR65599 AMN65599 AWJ65599 BGF65599 BQB65599 BZX65599 CJT65599 CTP65599 DDL65599 DNH65599 DXD65599 EGZ65599 EQV65599 FAR65599 FKN65599 FUJ65599 GEF65599 GOB65599 GXX65599 HHT65599 HRP65599 IBL65599 ILH65599 IVD65599 JEZ65599 JOV65599 JYR65599 KIN65599 KSJ65599 LCF65599 LMB65599 LVX65599 MFT65599 MPP65599 MZL65599 NJH65599 NTD65599 OCZ65599 OMV65599 OWR65599 PGN65599 PQJ65599 QAF65599 QKB65599 QTX65599 RDT65599 RNP65599 RXL65599 SHH65599 SRD65599 TAZ65599 TKV65599 TUR65599 UEN65599 UOJ65599 UYF65599 VIB65599 VRX65599 WBT65599 WLP65599 WVL65599 D131135 IZ131135 SV131135 ACR131135 AMN131135 AWJ131135 BGF131135 BQB131135 BZX131135 CJT131135 CTP131135 DDL131135 DNH131135 DXD131135 EGZ131135 EQV131135 FAR131135 FKN131135 FUJ131135 GEF131135 GOB131135 GXX131135 HHT131135 HRP131135 IBL131135 ILH131135 IVD131135 JEZ131135 JOV131135 JYR131135 KIN131135 KSJ131135 LCF131135 LMB131135 LVX131135 MFT131135 MPP131135 MZL131135 NJH131135 NTD131135 OCZ131135 OMV131135 OWR131135 PGN131135 PQJ131135 QAF131135 QKB131135 QTX131135 RDT131135 RNP131135 RXL131135 SHH131135 SRD131135 TAZ131135 TKV131135 TUR131135 UEN131135 UOJ131135 UYF131135 VIB131135 VRX131135 WBT131135 WLP131135 WVL131135 D196671 IZ196671 SV196671 ACR196671 AMN196671 AWJ196671 BGF196671 BQB196671 BZX196671 CJT196671 CTP196671 DDL196671 DNH196671 DXD196671 EGZ196671 EQV196671 FAR196671 FKN196671 FUJ196671 GEF196671 GOB196671 GXX196671 HHT196671 HRP196671 IBL196671 ILH196671 IVD196671 JEZ196671 JOV196671 JYR196671 KIN196671 KSJ196671 LCF196671 LMB196671 LVX196671 MFT196671 MPP196671 MZL196671 NJH196671 NTD196671 OCZ196671 OMV196671 OWR196671 PGN196671 PQJ196671 QAF196671 QKB196671 QTX196671 RDT196671 RNP196671 RXL196671 SHH196671 SRD196671 TAZ196671 TKV196671 TUR196671 UEN196671 UOJ196671 UYF196671 VIB196671 VRX196671 WBT196671 WLP196671 WVL196671 D262207 IZ262207 SV262207 ACR262207 AMN262207 AWJ262207 BGF262207 BQB262207 BZX262207 CJT262207 CTP262207 DDL262207 DNH262207 DXD262207 EGZ262207 EQV262207 FAR262207 FKN262207 FUJ262207 GEF262207 GOB262207 GXX262207 HHT262207 HRP262207 IBL262207 ILH262207 IVD262207 JEZ262207 JOV262207 JYR262207 KIN262207 KSJ262207 LCF262207 LMB262207 LVX262207 MFT262207 MPP262207 MZL262207 NJH262207 NTD262207 OCZ262207 OMV262207 OWR262207 PGN262207 PQJ262207 QAF262207 QKB262207 QTX262207 RDT262207 RNP262207 RXL262207 SHH262207 SRD262207 TAZ262207 TKV262207 TUR262207 UEN262207 UOJ262207 UYF262207 VIB262207 VRX262207 WBT262207 WLP262207 WVL262207 D327743 IZ327743 SV327743 ACR327743 AMN327743 AWJ327743 BGF327743 BQB327743 BZX327743 CJT327743 CTP327743 DDL327743 DNH327743 DXD327743 EGZ327743 EQV327743 FAR327743 FKN327743 FUJ327743 GEF327743 GOB327743 GXX327743 HHT327743 HRP327743 IBL327743 ILH327743 IVD327743 JEZ327743 JOV327743 JYR327743 KIN327743 KSJ327743 LCF327743 LMB327743 LVX327743 MFT327743 MPP327743 MZL327743 NJH327743 NTD327743 OCZ327743 OMV327743 OWR327743 PGN327743 PQJ327743 QAF327743 QKB327743 QTX327743 RDT327743 RNP327743 RXL327743 SHH327743 SRD327743 TAZ327743 TKV327743 TUR327743 UEN327743 UOJ327743 UYF327743 VIB327743 VRX327743 WBT327743 WLP327743 WVL327743 D393279 IZ393279 SV393279 ACR393279 AMN393279 AWJ393279 BGF393279 BQB393279 BZX393279 CJT393279 CTP393279 DDL393279 DNH393279 DXD393279 EGZ393279 EQV393279 FAR393279 FKN393279 FUJ393279 GEF393279 GOB393279 GXX393279 HHT393279 HRP393279 IBL393279 ILH393279 IVD393279 JEZ393279 JOV393279 JYR393279 KIN393279 KSJ393279 LCF393279 LMB393279 LVX393279 MFT393279 MPP393279 MZL393279 NJH393279 NTD393279 OCZ393279 OMV393279 OWR393279 PGN393279 PQJ393279 QAF393279 QKB393279 QTX393279 RDT393279 RNP393279 RXL393279 SHH393279 SRD393279 TAZ393279 TKV393279 TUR393279 UEN393279 UOJ393279 UYF393279 VIB393279 VRX393279 WBT393279 WLP393279 WVL393279 D458815 IZ458815 SV458815 ACR458815 AMN458815 AWJ458815 BGF458815 BQB458815 BZX458815 CJT458815 CTP458815 DDL458815 DNH458815 DXD458815 EGZ458815 EQV458815 FAR458815 FKN458815 FUJ458815 GEF458815 GOB458815 GXX458815 HHT458815 HRP458815 IBL458815 ILH458815 IVD458815 JEZ458815 JOV458815 JYR458815 KIN458815 KSJ458815 LCF458815 LMB458815 LVX458815 MFT458815 MPP458815 MZL458815 NJH458815 NTD458815 OCZ458815 OMV458815 OWR458815 PGN458815 PQJ458815 QAF458815 QKB458815 QTX458815 RDT458815 RNP458815 RXL458815 SHH458815 SRD458815 TAZ458815 TKV458815 TUR458815 UEN458815 UOJ458815 UYF458815 VIB458815 VRX458815 WBT458815 WLP458815 WVL458815 D524351 IZ524351 SV524351 ACR524351 AMN524351 AWJ524351 BGF524351 BQB524351 BZX524351 CJT524351 CTP524351 DDL524351 DNH524351 DXD524351 EGZ524351 EQV524351 FAR524351 FKN524351 FUJ524351 GEF524351 GOB524351 GXX524351 HHT524351 HRP524351 IBL524351 ILH524351 IVD524351 JEZ524351 JOV524351 JYR524351 KIN524351 KSJ524351 LCF524351 LMB524351 LVX524351 MFT524351 MPP524351 MZL524351 NJH524351 NTD524351 OCZ524351 OMV524351 OWR524351 PGN524351 PQJ524351 QAF524351 QKB524351 QTX524351 RDT524351 RNP524351 RXL524351 SHH524351 SRD524351 TAZ524351 TKV524351 TUR524351 UEN524351 UOJ524351 UYF524351 VIB524351 VRX524351 WBT524351 WLP524351 WVL524351 D589887 IZ589887 SV589887 ACR589887 AMN589887 AWJ589887 BGF589887 BQB589887 BZX589887 CJT589887 CTP589887 DDL589887 DNH589887 DXD589887 EGZ589887 EQV589887 FAR589887 FKN589887 FUJ589887 GEF589887 GOB589887 GXX589887 HHT589887 HRP589887 IBL589887 ILH589887 IVD589887 JEZ589887 JOV589887 JYR589887 KIN589887 KSJ589887 LCF589887 LMB589887 LVX589887 MFT589887 MPP589887 MZL589887 NJH589887 NTD589887 OCZ589887 OMV589887 OWR589887 PGN589887 PQJ589887 QAF589887 QKB589887 QTX589887 RDT589887 RNP589887 RXL589887 SHH589887 SRD589887 TAZ589887 TKV589887 TUR589887 UEN589887 UOJ589887 UYF589887 VIB589887 VRX589887 WBT589887 WLP589887 WVL589887 D655423 IZ655423 SV655423 ACR655423 AMN655423 AWJ655423 BGF655423 BQB655423 BZX655423 CJT655423 CTP655423 DDL655423 DNH655423 DXD655423 EGZ655423 EQV655423 FAR655423 FKN655423 FUJ655423 GEF655423 GOB655423 GXX655423 HHT655423 HRP655423 IBL655423 ILH655423 IVD655423 JEZ655423 JOV655423 JYR655423 KIN655423 KSJ655423 LCF655423 LMB655423 LVX655423 MFT655423 MPP655423 MZL655423 NJH655423 NTD655423 OCZ655423 OMV655423 OWR655423 PGN655423 PQJ655423 QAF655423 QKB655423 QTX655423 RDT655423 RNP655423 RXL655423 SHH655423 SRD655423 TAZ655423 TKV655423 TUR655423 UEN655423 UOJ655423 UYF655423 VIB655423 VRX655423 WBT655423 WLP655423 WVL655423 D720959 IZ720959 SV720959 ACR720959 AMN720959 AWJ720959 BGF720959 BQB720959 BZX720959 CJT720959 CTP720959 DDL720959 DNH720959 DXD720959 EGZ720959 EQV720959 FAR720959 FKN720959 FUJ720959 GEF720959 GOB720959 GXX720959 HHT720959 HRP720959 IBL720959 ILH720959 IVD720959 JEZ720959 JOV720959 JYR720959 KIN720959 KSJ720959 LCF720959 LMB720959 LVX720959 MFT720959 MPP720959 MZL720959 NJH720959 NTD720959 OCZ720959 OMV720959 OWR720959 PGN720959 PQJ720959 QAF720959 QKB720959 QTX720959 RDT720959 RNP720959 RXL720959 SHH720959 SRD720959 TAZ720959 TKV720959 TUR720959 UEN720959 UOJ720959 UYF720959 VIB720959 VRX720959 WBT720959 WLP720959 WVL720959 D786495 IZ786495 SV786495 ACR786495 AMN786495 AWJ786495 BGF786495 BQB786495 BZX786495 CJT786495 CTP786495 DDL786495 DNH786495 DXD786495 EGZ786495 EQV786495 FAR786495 FKN786495 FUJ786495 GEF786495 GOB786495 GXX786495 HHT786495 HRP786495 IBL786495 ILH786495 IVD786495 JEZ786495 JOV786495 JYR786495 KIN786495 KSJ786495 LCF786495 LMB786495 LVX786495 MFT786495 MPP786495 MZL786495 NJH786495 NTD786495 OCZ786495 OMV786495 OWR786495 PGN786495 PQJ786495 QAF786495 QKB786495 QTX786495 RDT786495 RNP786495 RXL786495 SHH786495 SRD786495 TAZ786495 TKV786495 TUR786495 UEN786495 UOJ786495 UYF786495 VIB786495 VRX786495 WBT786495 WLP786495 WVL786495 D852031 IZ852031 SV852031 ACR852031 AMN852031 AWJ852031 BGF852031 BQB852031 BZX852031 CJT852031 CTP852031 DDL852031 DNH852031 DXD852031 EGZ852031 EQV852031 FAR852031 FKN852031 FUJ852031 GEF852031 GOB852031 GXX852031 HHT852031 HRP852031 IBL852031 ILH852031 IVD852031 JEZ852031 JOV852031 JYR852031 KIN852031 KSJ852031 LCF852031 LMB852031 LVX852031 MFT852031 MPP852031 MZL852031 NJH852031 NTD852031 OCZ852031 OMV852031 OWR852031 PGN852031 PQJ852031 QAF852031 QKB852031 QTX852031 RDT852031 RNP852031 RXL852031 SHH852031 SRD852031 TAZ852031 TKV852031 TUR852031 UEN852031 UOJ852031 UYF852031 VIB852031 VRX852031 WBT852031 WLP852031 WVL852031 D917567 IZ917567 SV917567 ACR917567 AMN917567 AWJ917567 BGF917567 BQB917567 BZX917567 CJT917567 CTP917567 DDL917567 DNH917567 DXD917567 EGZ917567 EQV917567 FAR917567 FKN917567 FUJ917567 GEF917567 GOB917567 GXX917567 HHT917567 HRP917567 IBL917567 ILH917567 IVD917567 JEZ917567 JOV917567 JYR917567 KIN917567 KSJ917567 LCF917567 LMB917567 LVX917567 MFT917567 MPP917567 MZL917567 NJH917567 NTD917567 OCZ917567 OMV917567 OWR917567 PGN917567 PQJ917567 QAF917567 QKB917567 QTX917567 RDT917567 RNP917567 RXL917567 SHH917567 SRD917567 TAZ917567 TKV917567 TUR917567 UEN917567 UOJ917567 UYF917567 VIB917567 VRX917567 WBT917567 WLP917567 WVL917567 D983103 IZ983103 SV983103 ACR983103 AMN983103 AWJ983103 BGF983103 BQB983103 BZX983103 CJT983103 CTP983103 DDL983103 DNH983103 DXD983103 EGZ983103 EQV983103 FAR983103 FKN983103 FUJ983103 GEF983103 GOB983103 GXX983103 HHT983103 HRP983103 IBL983103 ILH983103 IVD983103 JEZ983103 JOV983103 JYR983103 KIN983103 KSJ983103 LCF983103 LMB983103 LVX983103 MFT983103 MPP983103 MZL983103 NJH983103 NTD983103 OCZ983103 OMV983103 OWR983103 PGN983103 PQJ983103 QAF983103 QKB983103 QTX983103 RDT983103 RNP983103 RXL983103 SHH983103 SRD983103 TAZ983103 TKV983103 TUR983103 UEN983103 UOJ983103 UYF983103 VIB983103 VRX983103 WBT983103 WLP983103 WVL983103 D47 IZ47 SV47 ACR47 AMN47 AWJ47 BGF47 BQB47 BZX47 CJT47 CTP47 DDL47 DNH47 DXD47 EGZ47 EQV47 FAR47 FKN47 FUJ47 GEF47 GOB47 GXX47 HHT47 HRP47 IBL47 ILH47 IVD47 JEZ47 JOV47 JYR47 KIN47 KSJ47 LCF47 LMB47 LVX47 MFT47 MPP47 MZL47 NJH47 NTD47 OCZ47 OMV47 OWR47 PGN47 PQJ47 QAF47 QKB47 QTX47 RDT47 RNP47 RXL47 SHH47 SRD47 TAZ47 TKV47 TUR47 UEN47 UOJ47 UYF47 VIB47 VRX47 WBT47 WLP47 WVL47 D65583 IZ65583 SV65583 ACR65583 AMN65583 AWJ65583 BGF65583 BQB65583 BZX65583 CJT65583 CTP65583 DDL65583 DNH65583 DXD65583 EGZ65583 EQV65583 FAR65583 FKN65583 FUJ65583 GEF65583 GOB65583 GXX65583 HHT65583 HRP65583 IBL65583 ILH65583 IVD65583 JEZ65583 JOV65583 JYR65583 KIN65583 KSJ65583 LCF65583 LMB65583 LVX65583 MFT65583 MPP65583 MZL65583 NJH65583 NTD65583 OCZ65583 OMV65583 OWR65583 PGN65583 PQJ65583 QAF65583 QKB65583 QTX65583 RDT65583 RNP65583 RXL65583 SHH65583 SRD65583 TAZ65583 TKV65583 TUR65583 UEN65583 UOJ65583 UYF65583 VIB65583 VRX65583 WBT65583 WLP65583 WVL65583 D131119 IZ131119 SV131119 ACR131119 AMN131119 AWJ131119 BGF131119 BQB131119 BZX131119 CJT131119 CTP131119 DDL131119 DNH131119 DXD131119 EGZ131119 EQV131119 FAR131119 FKN131119 FUJ131119 GEF131119 GOB131119 GXX131119 HHT131119 HRP131119 IBL131119 ILH131119 IVD131119 JEZ131119 JOV131119 JYR131119 KIN131119 KSJ131119 LCF131119 LMB131119 LVX131119 MFT131119 MPP131119 MZL131119 NJH131119 NTD131119 OCZ131119 OMV131119 OWR131119 PGN131119 PQJ131119 QAF131119 QKB131119 QTX131119 RDT131119 RNP131119 RXL131119 SHH131119 SRD131119 TAZ131119 TKV131119 TUR131119 UEN131119 UOJ131119 UYF131119 VIB131119 VRX131119 WBT131119 WLP131119 WVL131119 D196655 IZ196655 SV196655 ACR196655 AMN196655 AWJ196655 BGF196655 BQB196655 BZX196655 CJT196655 CTP196655 DDL196655 DNH196655 DXD196655 EGZ196655 EQV196655 FAR196655 FKN196655 FUJ196655 GEF196655 GOB196655 GXX196655 HHT196655 HRP196655 IBL196655 ILH196655 IVD196655 JEZ196655 JOV196655 JYR196655 KIN196655 KSJ196655 LCF196655 LMB196655 LVX196655 MFT196655 MPP196655 MZL196655 NJH196655 NTD196655 OCZ196655 OMV196655 OWR196655 PGN196655 PQJ196655 QAF196655 QKB196655 QTX196655 RDT196655 RNP196655 RXL196655 SHH196655 SRD196655 TAZ196655 TKV196655 TUR196655 UEN196655 UOJ196655 UYF196655 VIB196655 VRX196655 WBT196655 WLP196655 WVL196655 D262191 IZ262191 SV262191 ACR262191 AMN262191 AWJ262191 BGF262191 BQB262191 BZX262191 CJT262191 CTP262191 DDL262191 DNH262191 DXD262191 EGZ262191 EQV262191 FAR262191 FKN262191 FUJ262191 GEF262191 GOB262191 GXX262191 HHT262191 HRP262191 IBL262191 ILH262191 IVD262191 JEZ262191 JOV262191 JYR262191 KIN262191 KSJ262191 LCF262191 LMB262191 LVX262191 MFT262191 MPP262191 MZL262191 NJH262191 NTD262191 OCZ262191 OMV262191 OWR262191 PGN262191 PQJ262191 QAF262191 QKB262191 QTX262191 RDT262191 RNP262191 RXL262191 SHH262191 SRD262191 TAZ262191 TKV262191 TUR262191 UEN262191 UOJ262191 UYF262191 VIB262191 VRX262191 WBT262191 WLP262191 WVL262191 D327727 IZ327727 SV327727 ACR327727 AMN327727 AWJ327727 BGF327727 BQB327727 BZX327727 CJT327727 CTP327727 DDL327727 DNH327727 DXD327727 EGZ327727 EQV327727 FAR327727 FKN327727 FUJ327727 GEF327727 GOB327727 GXX327727 HHT327727 HRP327727 IBL327727 ILH327727 IVD327727 JEZ327727 JOV327727 JYR327727 KIN327727 KSJ327727 LCF327727 LMB327727 LVX327727 MFT327727 MPP327727 MZL327727 NJH327727 NTD327727 OCZ327727 OMV327727 OWR327727 PGN327727 PQJ327727 QAF327727 QKB327727 QTX327727 RDT327727 RNP327727 RXL327727 SHH327727 SRD327727 TAZ327727 TKV327727 TUR327727 UEN327727 UOJ327727 UYF327727 VIB327727 VRX327727 WBT327727 WLP327727 WVL327727 D393263 IZ393263 SV393263 ACR393263 AMN393263 AWJ393263 BGF393263 BQB393263 BZX393263 CJT393263 CTP393263 DDL393263 DNH393263 DXD393263 EGZ393263 EQV393263 FAR393263 FKN393263 FUJ393263 GEF393263 GOB393263 GXX393263 HHT393263 HRP393263 IBL393263 ILH393263 IVD393263 JEZ393263 JOV393263 JYR393263 KIN393263 KSJ393263 LCF393263 LMB393263 LVX393263 MFT393263 MPP393263 MZL393263 NJH393263 NTD393263 OCZ393263 OMV393263 OWR393263 PGN393263 PQJ393263 QAF393263 QKB393263 QTX393263 RDT393263 RNP393263 RXL393263 SHH393263 SRD393263 TAZ393263 TKV393263 TUR393263 UEN393263 UOJ393263 UYF393263 VIB393263 VRX393263 WBT393263 WLP393263 WVL393263 D458799 IZ458799 SV458799 ACR458799 AMN458799 AWJ458799 BGF458799 BQB458799 BZX458799 CJT458799 CTP458799 DDL458799 DNH458799 DXD458799 EGZ458799 EQV458799 FAR458799 FKN458799 FUJ458799 GEF458799 GOB458799 GXX458799 HHT458799 HRP458799 IBL458799 ILH458799 IVD458799 JEZ458799 JOV458799 JYR458799 KIN458799 KSJ458799 LCF458799 LMB458799 LVX458799 MFT458799 MPP458799 MZL458799 NJH458799 NTD458799 OCZ458799 OMV458799 OWR458799 PGN458799 PQJ458799 QAF458799 QKB458799 QTX458799 RDT458799 RNP458799 RXL458799 SHH458799 SRD458799 TAZ458799 TKV458799 TUR458799 UEN458799 UOJ458799 UYF458799 VIB458799 VRX458799 WBT458799 WLP458799 WVL458799 D524335 IZ524335 SV524335 ACR524335 AMN524335 AWJ524335 BGF524335 BQB524335 BZX524335 CJT524335 CTP524335 DDL524335 DNH524335 DXD524335 EGZ524335 EQV524335 FAR524335 FKN524335 FUJ524335 GEF524335 GOB524335 GXX524335 HHT524335 HRP524335 IBL524335 ILH524335 IVD524335 JEZ524335 JOV524335 JYR524335 KIN524335 KSJ524335 LCF524335 LMB524335 LVX524335 MFT524335 MPP524335 MZL524335 NJH524335 NTD524335 OCZ524335 OMV524335 OWR524335 PGN524335 PQJ524335 QAF524335 QKB524335 QTX524335 RDT524335 RNP524335 RXL524335 SHH524335 SRD524335 TAZ524335 TKV524335 TUR524335 UEN524335 UOJ524335 UYF524335 VIB524335 VRX524335 WBT524335 WLP524335 WVL524335 D589871 IZ589871 SV589871 ACR589871 AMN589871 AWJ589871 BGF589871 BQB589871 BZX589871 CJT589871 CTP589871 DDL589871 DNH589871 DXD589871 EGZ589871 EQV589871 FAR589871 FKN589871 FUJ589871 GEF589871 GOB589871 GXX589871 HHT589871 HRP589871 IBL589871 ILH589871 IVD589871 JEZ589871 JOV589871 JYR589871 KIN589871 KSJ589871 LCF589871 LMB589871 LVX589871 MFT589871 MPP589871 MZL589871 NJH589871 NTD589871 OCZ589871 OMV589871 OWR589871 PGN589871 PQJ589871 QAF589871 QKB589871 QTX589871 RDT589871 RNP589871 RXL589871 SHH589871 SRD589871 TAZ589871 TKV589871 TUR589871 UEN589871 UOJ589871 UYF589871 VIB589871 VRX589871 WBT589871 WLP589871 WVL589871 D655407 IZ655407 SV655407 ACR655407 AMN655407 AWJ655407 BGF655407 BQB655407 BZX655407 CJT655407 CTP655407 DDL655407 DNH655407 DXD655407 EGZ655407 EQV655407 FAR655407 FKN655407 FUJ655407 GEF655407 GOB655407 GXX655407 HHT655407 HRP655407 IBL655407 ILH655407 IVD655407 JEZ655407 JOV655407 JYR655407 KIN655407 KSJ655407 LCF655407 LMB655407 LVX655407 MFT655407 MPP655407 MZL655407 NJH655407 NTD655407 OCZ655407 OMV655407 OWR655407 PGN655407 PQJ655407 QAF655407 QKB655407 QTX655407 RDT655407 RNP655407 RXL655407 SHH655407 SRD655407 TAZ655407 TKV655407 TUR655407 UEN655407 UOJ655407 UYF655407 VIB655407 VRX655407 WBT655407 WLP655407 WVL655407 D720943 IZ720943 SV720943 ACR720943 AMN720943 AWJ720943 BGF720943 BQB720943 BZX720943 CJT720943 CTP720943 DDL720943 DNH720943 DXD720943 EGZ720943 EQV720943 FAR720943 FKN720943 FUJ720943 GEF720943 GOB720943 GXX720943 HHT720943 HRP720943 IBL720943 ILH720943 IVD720943 JEZ720943 JOV720943 JYR720943 KIN720943 KSJ720943 LCF720943 LMB720943 LVX720943 MFT720943 MPP720943 MZL720943 NJH720943 NTD720943 OCZ720943 OMV720943 OWR720943 PGN720943 PQJ720943 QAF720943 QKB720943 QTX720943 RDT720943 RNP720943 RXL720943 SHH720943 SRD720943 TAZ720943 TKV720943 TUR720943 UEN720943 UOJ720943 UYF720943 VIB720943 VRX720943 WBT720943 WLP720943 WVL720943 D786479 IZ786479 SV786479 ACR786479 AMN786479 AWJ786479 BGF786479 BQB786479 BZX786479 CJT786479 CTP786479 DDL786479 DNH786479 DXD786479 EGZ786479 EQV786479 FAR786479 FKN786479 FUJ786479 GEF786479 GOB786479 GXX786479 HHT786479 HRP786479 IBL786479 ILH786479 IVD786479 JEZ786479 JOV786479 JYR786479 KIN786479 KSJ786479 LCF786479 LMB786479 LVX786479 MFT786479 MPP786479 MZL786479 NJH786479 NTD786479 OCZ786479 OMV786479 OWR786479 PGN786479 PQJ786479 QAF786479 QKB786479 QTX786479 RDT786479 RNP786479 RXL786479 SHH786479 SRD786479 TAZ786479 TKV786479 TUR786479 UEN786479 UOJ786479 UYF786479 VIB786479 VRX786479 WBT786479 WLP786479 WVL786479 D852015 IZ852015 SV852015 ACR852015 AMN852015 AWJ852015 BGF852015 BQB852015 BZX852015 CJT852015 CTP852015 DDL852015 DNH852015 DXD852015 EGZ852015 EQV852015 FAR852015 FKN852015 FUJ852015 GEF852015 GOB852015 GXX852015 HHT852015 HRP852015 IBL852015 ILH852015 IVD852015 JEZ852015 JOV852015 JYR852015 KIN852015 KSJ852015 LCF852015 LMB852015 LVX852015 MFT852015 MPP852015 MZL852015 NJH852015 NTD852015 OCZ852015 OMV852015 OWR852015 PGN852015 PQJ852015 QAF852015 QKB852015 QTX852015 RDT852015 RNP852015 RXL852015 SHH852015 SRD852015 TAZ852015 TKV852015 TUR852015 UEN852015 UOJ852015 UYF852015 VIB852015 VRX852015 WBT852015 WLP852015 WVL852015 D917551 IZ917551 SV917551 ACR917551 AMN917551 AWJ917551 BGF917551 BQB917551 BZX917551 CJT917551 CTP917551 DDL917551 DNH917551 DXD917551 EGZ917551 EQV917551 FAR917551 FKN917551 FUJ917551 GEF917551 GOB917551 GXX917551 HHT917551 HRP917551 IBL917551 ILH917551 IVD917551 JEZ917551 JOV917551 JYR917551 KIN917551 KSJ917551 LCF917551 LMB917551 LVX917551 MFT917551 MPP917551 MZL917551 NJH917551 NTD917551 OCZ917551 OMV917551 OWR917551 PGN917551 PQJ917551 QAF917551 QKB917551 QTX917551 RDT917551 RNP917551 RXL917551 SHH917551 SRD917551 TAZ917551 TKV917551 TUR917551 UEN917551 UOJ917551 UYF917551 VIB917551 VRX917551 WBT917551 WLP917551 WVL917551 D983087 IZ983087 SV983087 ACR983087 AMN983087 AWJ983087 BGF983087 BQB983087 BZX983087 CJT983087 CTP983087 DDL983087 DNH983087 DXD983087 EGZ983087 EQV983087 FAR983087 FKN983087 FUJ983087 GEF983087 GOB983087 GXX983087 HHT983087 HRP983087 IBL983087 ILH983087 IVD983087 JEZ983087 JOV983087 JYR983087 KIN983087 KSJ983087 LCF983087 LMB983087 LVX983087 MFT983087 MPP983087 MZL983087 NJH983087 NTD983087 OCZ983087 OMV983087 OWR983087 PGN983087 PQJ983087 QAF983087 QKB983087 QTX983087 RDT983087 RNP983087 RXL983087 SHH983087 SRD983087 TAZ983087 TKV983087 TUR983087 UEN983087 UOJ983087 UYF983087 VIB983087 VRX983087 WBT983087 WLP983087 WVL983087 D31:E31 IZ31:JA31 SV31:SW31 ACR31:ACS31 AMN31:AMO31 AWJ31:AWK31 BGF31:BGG31 BQB31:BQC31 BZX31:BZY31 CJT31:CJU31 CTP31:CTQ31 DDL31:DDM31 DNH31:DNI31 DXD31:DXE31 EGZ31:EHA31 EQV31:EQW31 FAR31:FAS31 FKN31:FKO31 FUJ31:FUK31 GEF31:GEG31 GOB31:GOC31 GXX31:GXY31 HHT31:HHU31 HRP31:HRQ31 IBL31:IBM31 ILH31:ILI31 IVD31:IVE31 JEZ31:JFA31 JOV31:JOW31 JYR31:JYS31 KIN31:KIO31 KSJ31:KSK31 LCF31:LCG31 LMB31:LMC31 LVX31:LVY31 MFT31:MFU31 MPP31:MPQ31 MZL31:MZM31 NJH31:NJI31 NTD31:NTE31 OCZ31:ODA31 OMV31:OMW31 OWR31:OWS31 PGN31:PGO31 PQJ31:PQK31 QAF31:QAG31 QKB31:QKC31 QTX31:QTY31 RDT31:RDU31 RNP31:RNQ31 RXL31:RXM31 SHH31:SHI31 SRD31:SRE31 TAZ31:TBA31 TKV31:TKW31 TUR31:TUS31 UEN31:UEO31 UOJ31:UOK31 UYF31:UYG31 VIB31:VIC31 VRX31:VRY31 WBT31:WBU31 WLP31:WLQ31 WVL31:WVM31 D65567:E65567 IZ65567:JA65567 SV65567:SW65567 ACR65567:ACS65567 AMN65567:AMO65567 AWJ65567:AWK65567 BGF65567:BGG65567 BQB65567:BQC65567 BZX65567:BZY65567 CJT65567:CJU65567 CTP65567:CTQ65567 DDL65567:DDM65567 DNH65567:DNI65567 DXD65567:DXE65567 EGZ65567:EHA65567 EQV65567:EQW65567 FAR65567:FAS65567 FKN65567:FKO65567 FUJ65567:FUK65567 GEF65567:GEG65567 GOB65567:GOC65567 GXX65567:GXY65567 HHT65567:HHU65567 HRP65567:HRQ65567 IBL65567:IBM65567 ILH65567:ILI65567 IVD65567:IVE65567 JEZ65567:JFA65567 JOV65567:JOW65567 JYR65567:JYS65567 KIN65567:KIO65567 KSJ65567:KSK65567 LCF65567:LCG65567 LMB65567:LMC65567 LVX65567:LVY65567 MFT65567:MFU65567 MPP65567:MPQ65567 MZL65567:MZM65567 NJH65567:NJI65567 NTD65567:NTE65567 OCZ65567:ODA65567 OMV65567:OMW65567 OWR65567:OWS65567 PGN65567:PGO65567 PQJ65567:PQK65567 QAF65567:QAG65567 QKB65567:QKC65567 QTX65567:QTY65567 RDT65567:RDU65567 RNP65567:RNQ65567 RXL65567:RXM65567 SHH65567:SHI65567 SRD65567:SRE65567 TAZ65567:TBA65567 TKV65567:TKW65567 TUR65567:TUS65567 UEN65567:UEO65567 UOJ65567:UOK65567 UYF65567:UYG65567 VIB65567:VIC65567 VRX65567:VRY65567 WBT65567:WBU65567 WLP65567:WLQ65567 WVL65567:WVM65567 D131103:E131103 IZ131103:JA131103 SV131103:SW131103 ACR131103:ACS131103 AMN131103:AMO131103 AWJ131103:AWK131103 BGF131103:BGG131103 BQB131103:BQC131103 BZX131103:BZY131103 CJT131103:CJU131103 CTP131103:CTQ131103 DDL131103:DDM131103 DNH131103:DNI131103 DXD131103:DXE131103 EGZ131103:EHA131103 EQV131103:EQW131103 FAR131103:FAS131103 FKN131103:FKO131103 FUJ131103:FUK131103 GEF131103:GEG131103 GOB131103:GOC131103 GXX131103:GXY131103 HHT131103:HHU131103 HRP131103:HRQ131103 IBL131103:IBM131103 ILH131103:ILI131103 IVD131103:IVE131103 JEZ131103:JFA131103 JOV131103:JOW131103 JYR131103:JYS131103 KIN131103:KIO131103 KSJ131103:KSK131103 LCF131103:LCG131103 LMB131103:LMC131103 LVX131103:LVY131103 MFT131103:MFU131103 MPP131103:MPQ131103 MZL131103:MZM131103 NJH131103:NJI131103 NTD131103:NTE131103 OCZ131103:ODA131103 OMV131103:OMW131103 OWR131103:OWS131103 PGN131103:PGO131103 PQJ131103:PQK131103 QAF131103:QAG131103 QKB131103:QKC131103 QTX131103:QTY131103 RDT131103:RDU131103 RNP131103:RNQ131103 RXL131103:RXM131103 SHH131103:SHI131103 SRD131103:SRE131103 TAZ131103:TBA131103 TKV131103:TKW131103 TUR131103:TUS131103 UEN131103:UEO131103 UOJ131103:UOK131103 UYF131103:UYG131103 VIB131103:VIC131103 VRX131103:VRY131103 WBT131103:WBU131103 WLP131103:WLQ131103 WVL131103:WVM131103 D196639:E196639 IZ196639:JA196639 SV196639:SW196639 ACR196639:ACS196639 AMN196639:AMO196639 AWJ196639:AWK196639 BGF196639:BGG196639 BQB196639:BQC196639 BZX196639:BZY196639 CJT196639:CJU196639 CTP196639:CTQ196639 DDL196639:DDM196639 DNH196639:DNI196639 DXD196639:DXE196639 EGZ196639:EHA196639 EQV196639:EQW196639 FAR196639:FAS196639 FKN196639:FKO196639 FUJ196639:FUK196639 GEF196639:GEG196639 GOB196639:GOC196639 GXX196639:GXY196639 HHT196639:HHU196639 HRP196639:HRQ196639 IBL196639:IBM196639 ILH196639:ILI196639 IVD196639:IVE196639 JEZ196639:JFA196639 JOV196639:JOW196639 JYR196639:JYS196639 KIN196639:KIO196639 KSJ196639:KSK196639 LCF196639:LCG196639 LMB196639:LMC196639 LVX196639:LVY196639 MFT196639:MFU196639 MPP196639:MPQ196639 MZL196639:MZM196639 NJH196639:NJI196639 NTD196639:NTE196639 OCZ196639:ODA196639 OMV196639:OMW196639 OWR196639:OWS196639 PGN196639:PGO196639 PQJ196639:PQK196639 QAF196639:QAG196639 QKB196639:QKC196639 QTX196639:QTY196639 RDT196639:RDU196639 RNP196639:RNQ196639 RXL196639:RXM196639 SHH196639:SHI196639 SRD196639:SRE196639 TAZ196639:TBA196639 TKV196639:TKW196639 TUR196639:TUS196639 UEN196639:UEO196639 UOJ196639:UOK196639 UYF196639:UYG196639 VIB196639:VIC196639 VRX196639:VRY196639 WBT196639:WBU196639 WLP196639:WLQ196639 WVL196639:WVM196639 D262175:E262175 IZ262175:JA262175 SV262175:SW262175 ACR262175:ACS262175 AMN262175:AMO262175 AWJ262175:AWK262175 BGF262175:BGG262175 BQB262175:BQC262175 BZX262175:BZY262175 CJT262175:CJU262175 CTP262175:CTQ262175 DDL262175:DDM262175 DNH262175:DNI262175 DXD262175:DXE262175 EGZ262175:EHA262175 EQV262175:EQW262175 FAR262175:FAS262175 FKN262175:FKO262175 FUJ262175:FUK262175 GEF262175:GEG262175 GOB262175:GOC262175 GXX262175:GXY262175 HHT262175:HHU262175 HRP262175:HRQ262175 IBL262175:IBM262175 ILH262175:ILI262175 IVD262175:IVE262175 JEZ262175:JFA262175 JOV262175:JOW262175 JYR262175:JYS262175 KIN262175:KIO262175 KSJ262175:KSK262175 LCF262175:LCG262175 LMB262175:LMC262175 LVX262175:LVY262175 MFT262175:MFU262175 MPP262175:MPQ262175 MZL262175:MZM262175 NJH262175:NJI262175 NTD262175:NTE262175 OCZ262175:ODA262175 OMV262175:OMW262175 OWR262175:OWS262175 PGN262175:PGO262175 PQJ262175:PQK262175 QAF262175:QAG262175 QKB262175:QKC262175 QTX262175:QTY262175 RDT262175:RDU262175 RNP262175:RNQ262175 RXL262175:RXM262175 SHH262175:SHI262175 SRD262175:SRE262175 TAZ262175:TBA262175 TKV262175:TKW262175 TUR262175:TUS262175 UEN262175:UEO262175 UOJ262175:UOK262175 UYF262175:UYG262175 VIB262175:VIC262175 VRX262175:VRY262175 WBT262175:WBU262175 WLP262175:WLQ262175 WVL262175:WVM262175 D327711:E327711 IZ327711:JA327711 SV327711:SW327711 ACR327711:ACS327711 AMN327711:AMO327711 AWJ327711:AWK327711 BGF327711:BGG327711 BQB327711:BQC327711 BZX327711:BZY327711 CJT327711:CJU327711 CTP327711:CTQ327711 DDL327711:DDM327711 DNH327711:DNI327711 DXD327711:DXE327711 EGZ327711:EHA327711 EQV327711:EQW327711 FAR327711:FAS327711 FKN327711:FKO327711 FUJ327711:FUK327711 GEF327711:GEG327711 GOB327711:GOC327711 GXX327711:GXY327711 HHT327711:HHU327711 HRP327711:HRQ327711 IBL327711:IBM327711 ILH327711:ILI327711 IVD327711:IVE327711 JEZ327711:JFA327711 JOV327711:JOW327711 JYR327711:JYS327711 KIN327711:KIO327711 KSJ327711:KSK327711 LCF327711:LCG327711 LMB327711:LMC327711 LVX327711:LVY327711 MFT327711:MFU327711 MPP327711:MPQ327711 MZL327711:MZM327711 NJH327711:NJI327711 NTD327711:NTE327711 OCZ327711:ODA327711 OMV327711:OMW327711 OWR327711:OWS327711 PGN327711:PGO327711 PQJ327711:PQK327711 QAF327711:QAG327711 QKB327711:QKC327711 QTX327711:QTY327711 RDT327711:RDU327711 RNP327711:RNQ327711 RXL327711:RXM327711 SHH327711:SHI327711 SRD327711:SRE327711 TAZ327711:TBA327711 TKV327711:TKW327711 TUR327711:TUS327711 UEN327711:UEO327711 UOJ327711:UOK327711 UYF327711:UYG327711 VIB327711:VIC327711 VRX327711:VRY327711 WBT327711:WBU327711 WLP327711:WLQ327711 WVL327711:WVM327711 D393247:E393247 IZ393247:JA393247 SV393247:SW393247 ACR393247:ACS393247 AMN393247:AMO393247 AWJ393247:AWK393247 BGF393247:BGG393247 BQB393247:BQC393247 BZX393247:BZY393247 CJT393247:CJU393247 CTP393247:CTQ393247 DDL393247:DDM393247 DNH393247:DNI393247 DXD393247:DXE393247 EGZ393247:EHA393247 EQV393247:EQW393247 FAR393247:FAS393247 FKN393247:FKO393247 FUJ393247:FUK393247 GEF393247:GEG393247 GOB393247:GOC393247 GXX393247:GXY393247 HHT393247:HHU393247 HRP393247:HRQ393247 IBL393247:IBM393247 ILH393247:ILI393247 IVD393247:IVE393247 JEZ393247:JFA393247 JOV393247:JOW393247 JYR393247:JYS393247 KIN393247:KIO393247 KSJ393247:KSK393247 LCF393247:LCG393247 LMB393247:LMC393247 LVX393247:LVY393247 MFT393247:MFU393247 MPP393247:MPQ393247 MZL393247:MZM393247 NJH393247:NJI393247 NTD393247:NTE393247 OCZ393247:ODA393247 OMV393247:OMW393247 OWR393247:OWS393247 PGN393247:PGO393247 PQJ393247:PQK393247 QAF393247:QAG393247 QKB393247:QKC393247 QTX393247:QTY393247 RDT393247:RDU393247 RNP393247:RNQ393247 RXL393247:RXM393247 SHH393247:SHI393247 SRD393247:SRE393247 TAZ393247:TBA393247 TKV393247:TKW393247 TUR393247:TUS393247 UEN393247:UEO393247 UOJ393247:UOK393247 UYF393247:UYG393247 VIB393247:VIC393247 VRX393247:VRY393247 WBT393247:WBU393247 WLP393247:WLQ393247 WVL393247:WVM393247 D458783:E458783 IZ458783:JA458783 SV458783:SW458783 ACR458783:ACS458783 AMN458783:AMO458783 AWJ458783:AWK458783 BGF458783:BGG458783 BQB458783:BQC458783 BZX458783:BZY458783 CJT458783:CJU458783 CTP458783:CTQ458783 DDL458783:DDM458783 DNH458783:DNI458783 DXD458783:DXE458783 EGZ458783:EHA458783 EQV458783:EQW458783 FAR458783:FAS458783 FKN458783:FKO458783 FUJ458783:FUK458783 GEF458783:GEG458783 GOB458783:GOC458783 GXX458783:GXY458783 HHT458783:HHU458783 HRP458783:HRQ458783 IBL458783:IBM458783 ILH458783:ILI458783 IVD458783:IVE458783 JEZ458783:JFA458783 JOV458783:JOW458783 JYR458783:JYS458783 KIN458783:KIO458783 KSJ458783:KSK458783 LCF458783:LCG458783 LMB458783:LMC458783 LVX458783:LVY458783 MFT458783:MFU458783 MPP458783:MPQ458783 MZL458783:MZM458783 NJH458783:NJI458783 NTD458783:NTE458783 OCZ458783:ODA458783 OMV458783:OMW458783 OWR458783:OWS458783 PGN458783:PGO458783 PQJ458783:PQK458783 QAF458783:QAG458783 QKB458783:QKC458783 QTX458783:QTY458783 RDT458783:RDU458783 RNP458783:RNQ458783 RXL458783:RXM458783 SHH458783:SHI458783 SRD458783:SRE458783 TAZ458783:TBA458783 TKV458783:TKW458783 TUR458783:TUS458783 UEN458783:UEO458783 UOJ458783:UOK458783 UYF458783:UYG458783 VIB458783:VIC458783 VRX458783:VRY458783 WBT458783:WBU458783 WLP458783:WLQ458783 WVL458783:WVM458783 D524319:E524319 IZ524319:JA524319 SV524319:SW524319 ACR524319:ACS524319 AMN524319:AMO524319 AWJ524319:AWK524319 BGF524319:BGG524319 BQB524319:BQC524319 BZX524319:BZY524319 CJT524319:CJU524319 CTP524319:CTQ524319 DDL524319:DDM524319 DNH524319:DNI524319 DXD524319:DXE524319 EGZ524319:EHA524319 EQV524319:EQW524319 FAR524319:FAS524319 FKN524319:FKO524319 FUJ524319:FUK524319 GEF524319:GEG524319 GOB524319:GOC524319 GXX524319:GXY524319 HHT524319:HHU524319 HRP524319:HRQ524319 IBL524319:IBM524319 ILH524319:ILI524319 IVD524319:IVE524319 JEZ524319:JFA524319 JOV524319:JOW524319 JYR524319:JYS524319 KIN524319:KIO524319 KSJ524319:KSK524319 LCF524319:LCG524319 LMB524319:LMC524319 LVX524319:LVY524319 MFT524319:MFU524319 MPP524319:MPQ524319 MZL524319:MZM524319 NJH524319:NJI524319 NTD524319:NTE524319 OCZ524319:ODA524319 OMV524319:OMW524319 OWR524319:OWS524319 PGN524319:PGO524319 PQJ524319:PQK524319 QAF524319:QAG524319 QKB524319:QKC524319 QTX524319:QTY524319 RDT524319:RDU524319 RNP524319:RNQ524319 RXL524319:RXM524319 SHH524319:SHI524319 SRD524319:SRE524319 TAZ524319:TBA524319 TKV524319:TKW524319 TUR524319:TUS524319 UEN524319:UEO524319 UOJ524319:UOK524319 UYF524319:UYG524319 VIB524319:VIC524319 VRX524319:VRY524319 WBT524319:WBU524319 WLP524319:WLQ524319 WVL524319:WVM524319 D589855:E589855 IZ589855:JA589855 SV589855:SW589855 ACR589855:ACS589855 AMN589855:AMO589855 AWJ589855:AWK589855 BGF589855:BGG589855 BQB589855:BQC589855 BZX589855:BZY589855 CJT589855:CJU589855 CTP589855:CTQ589855 DDL589855:DDM589855 DNH589855:DNI589855 DXD589855:DXE589855 EGZ589855:EHA589855 EQV589855:EQW589855 FAR589855:FAS589855 FKN589855:FKO589855 FUJ589855:FUK589855 GEF589855:GEG589855 GOB589855:GOC589855 GXX589855:GXY589855 HHT589855:HHU589855 HRP589855:HRQ589855 IBL589855:IBM589855 ILH589855:ILI589855 IVD589855:IVE589855 JEZ589855:JFA589855 JOV589855:JOW589855 JYR589855:JYS589855 KIN589855:KIO589855 KSJ589855:KSK589855 LCF589855:LCG589855 LMB589855:LMC589855 LVX589855:LVY589855 MFT589855:MFU589855 MPP589855:MPQ589855 MZL589855:MZM589855 NJH589855:NJI589855 NTD589855:NTE589855 OCZ589855:ODA589855 OMV589855:OMW589855 OWR589855:OWS589855 PGN589855:PGO589855 PQJ589855:PQK589855 QAF589855:QAG589855 QKB589855:QKC589855 QTX589855:QTY589855 RDT589855:RDU589855 RNP589855:RNQ589855 RXL589855:RXM589855 SHH589855:SHI589855 SRD589855:SRE589855 TAZ589855:TBA589855 TKV589855:TKW589855 TUR589855:TUS589855 UEN589855:UEO589855 UOJ589855:UOK589855 UYF589855:UYG589855 VIB589855:VIC589855 VRX589855:VRY589855 WBT589855:WBU589855 WLP589855:WLQ589855 WVL589855:WVM589855 D655391:E655391 IZ655391:JA655391 SV655391:SW655391 ACR655391:ACS655391 AMN655391:AMO655391 AWJ655391:AWK655391 BGF655391:BGG655391 BQB655391:BQC655391 BZX655391:BZY655391 CJT655391:CJU655391 CTP655391:CTQ655391 DDL655391:DDM655391 DNH655391:DNI655391 DXD655391:DXE655391 EGZ655391:EHA655391 EQV655391:EQW655391 FAR655391:FAS655391 FKN655391:FKO655391 FUJ655391:FUK655391 GEF655391:GEG655391 GOB655391:GOC655391 GXX655391:GXY655391 HHT655391:HHU655391 HRP655391:HRQ655391 IBL655391:IBM655391 ILH655391:ILI655391 IVD655391:IVE655391 JEZ655391:JFA655391 JOV655391:JOW655391 JYR655391:JYS655391 KIN655391:KIO655391 KSJ655391:KSK655391 LCF655391:LCG655391 LMB655391:LMC655391 LVX655391:LVY655391 MFT655391:MFU655391 MPP655391:MPQ655391 MZL655391:MZM655391 NJH655391:NJI655391 NTD655391:NTE655391 OCZ655391:ODA655391 OMV655391:OMW655391 OWR655391:OWS655391 PGN655391:PGO655391 PQJ655391:PQK655391 QAF655391:QAG655391 QKB655391:QKC655391 QTX655391:QTY655391 RDT655391:RDU655391 RNP655391:RNQ655391 RXL655391:RXM655391 SHH655391:SHI655391 SRD655391:SRE655391 TAZ655391:TBA655391 TKV655391:TKW655391 TUR655391:TUS655391 UEN655391:UEO655391 UOJ655391:UOK655391 UYF655391:UYG655391 VIB655391:VIC655391 VRX655391:VRY655391 WBT655391:WBU655391 WLP655391:WLQ655391 WVL655391:WVM655391 D720927:E720927 IZ720927:JA720927 SV720927:SW720927 ACR720927:ACS720927 AMN720927:AMO720927 AWJ720927:AWK720927 BGF720927:BGG720927 BQB720927:BQC720927 BZX720927:BZY720927 CJT720927:CJU720927 CTP720927:CTQ720927 DDL720927:DDM720927 DNH720927:DNI720927 DXD720927:DXE720927 EGZ720927:EHA720927 EQV720927:EQW720927 FAR720927:FAS720927 FKN720927:FKO720927 FUJ720927:FUK720927 GEF720927:GEG720927 GOB720927:GOC720927 GXX720927:GXY720927 HHT720927:HHU720927 HRP720927:HRQ720927 IBL720927:IBM720927 ILH720927:ILI720927 IVD720927:IVE720927 JEZ720927:JFA720927 JOV720927:JOW720927 JYR720927:JYS720927 KIN720927:KIO720927 KSJ720927:KSK720927 LCF720927:LCG720927 LMB720927:LMC720927 LVX720927:LVY720927 MFT720927:MFU720927 MPP720927:MPQ720927 MZL720927:MZM720927 NJH720927:NJI720927 NTD720927:NTE720927 OCZ720927:ODA720927 OMV720927:OMW720927 OWR720927:OWS720927 PGN720927:PGO720927 PQJ720927:PQK720927 QAF720927:QAG720927 QKB720927:QKC720927 QTX720927:QTY720927 RDT720927:RDU720927 RNP720927:RNQ720927 RXL720927:RXM720927 SHH720927:SHI720927 SRD720927:SRE720927 TAZ720927:TBA720927 TKV720927:TKW720927 TUR720927:TUS720927 UEN720927:UEO720927 UOJ720927:UOK720927 UYF720927:UYG720927 VIB720927:VIC720927 VRX720927:VRY720927 WBT720927:WBU720927 WLP720927:WLQ720927 WVL720927:WVM720927 D786463:E786463 IZ786463:JA786463 SV786463:SW786463 ACR786463:ACS786463 AMN786463:AMO786463 AWJ786463:AWK786463 BGF786463:BGG786463 BQB786463:BQC786463 BZX786463:BZY786463 CJT786463:CJU786463 CTP786463:CTQ786463 DDL786463:DDM786463 DNH786463:DNI786463 DXD786463:DXE786463 EGZ786463:EHA786463 EQV786463:EQW786463 FAR786463:FAS786463 FKN786463:FKO786463 FUJ786463:FUK786463 GEF786463:GEG786463 GOB786463:GOC786463 GXX786463:GXY786463 HHT786463:HHU786463 HRP786463:HRQ786463 IBL786463:IBM786463 ILH786463:ILI786463 IVD786463:IVE786463 JEZ786463:JFA786463 JOV786463:JOW786463 JYR786463:JYS786463 KIN786463:KIO786463 KSJ786463:KSK786463 LCF786463:LCG786463 LMB786463:LMC786463 LVX786463:LVY786463 MFT786463:MFU786463 MPP786463:MPQ786463 MZL786463:MZM786463 NJH786463:NJI786463 NTD786463:NTE786463 OCZ786463:ODA786463 OMV786463:OMW786463 OWR786463:OWS786463 PGN786463:PGO786463 PQJ786463:PQK786463 QAF786463:QAG786463 QKB786463:QKC786463 QTX786463:QTY786463 RDT786463:RDU786463 RNP786463:RNQ786463 RXL786463:RXM786463 SHH786463:SHI786463 SRD786463:SRE786463 TAZ786463:TBA786463 TKV786463:TKW786463 TUR786463:TUS786463 UEN786463:UEO786463 UOJ786463:UOK786463 UYF786463:UYG786463 VIB786463:VIC786463 VRX786463:VRY786463 WBT786463:WBU786463 WLP786463:WLQ786463 WVL786463:WVM786463 D851999:E851999 IZ851999:JA851999 SV851999:SW851999 ACR851999:ACS851999 AMN851999:AMO851999 AWJ851999:AWK851999 BGF851999:BGG851999 BQB851999:BQC851999 BZX851999:BZY851999 CJT851999:CJU851999 CTP851999:CTQ851999 DDL851999:DDM851999 DNH851999:DNI851999 DXD851999:DXE851999 EGZ851999:EHA851999 EQV851999:EQW851999 FAR851999:FAS851999 FKN851999:FKO851999 FUJ851999:FUK851999 GEF851999:GEG851999 GOB851999:GOC851999 GXX851999:GXY851999 HHT851999:HHU851999 HRP851999:HRQ851999 IBL851999:IBM851999 ILH851999:ILI851999 IVD851999:IVE851999 JEZ851999:JFA851999 JOV851999:JOW851999 JYR851999:JYS851999 KIN851999:KIO851999 KSJ851999:KSK851999 LCF851999:LCG851999 LMB851999:LMC851999 LVX851999:LVY851999 MFT851999:MFU851999 MPP851999:MPQ851999 MZL851999:MZM851999 NJH851999:NJI851999 NTD851999:NTE851999 OCZ851999:ODA851999 OMV851999:OMW851999 OWR851999:OWS851999 PGN851999:PGO851999 PQJ851999:PQK851999 QAF851999:QAG851999 QKB851999:QKC851999 QTX851999:QTY851999 RDT851999:RDU851999 RNP851999:RNQ851999 RXL851999:RXM851999 SHH851999:SHI851999 SRD851999:SRE851999 TAZ851999:TBA851999 TKV851999:TKW851999 TUR851999:TUS851999 UEN851999:UEO851999 UOJ851999:UOK851999 UYF851999:UYG851999 VIB851999:VIC851999 VRX851999:VRY851999 WBT851999:WBU851999 WLP851999:WLQ851999 WVL851999:WVM851999 D917535:E917535 IZ917535:JA917535 SV917535:SW917535 ACR917535:ACS917535 AMN917535:AMO917535 AWJ917535:AWK917535 BGF917535:BGG917535 BQB917535:BQC917535 BZX917535:BZY917535 CJT917535:CJU917535 CTP917535:CTQ917535 DDL917535:DDM917535 DNH917535:DNI917535 DXD917535:DXE917535 EGZ917535:EHA917535 EQV917535:EQW917535 FAR917535:FAS917535 FKN917535:FKO917535 FUJ917535:FUK917535 GEF917535:GEG917535 GOB917535:GOC917535 GXX917535:GXY917535 HHT917535:HHU917535 HRP917535:HRQ917535 IBL917535:IBM917535 ILH917535:ILI917535 IVD917535:IVE917535 JEZ917535:JFA917535 JOV917535:JOW917535 JYR917535:JYS917535 KIN917535:KIO917535 KSJ917535:KSK917535 LCF917535:LCG917535 LMB917535:LMC917535 LVX917535:LVY917535 MFT917535:MFU917535 MPP917535:MPQ917535 MZL917535:MZM917535 NJH917535:NJI917535 NTD917535:NTE917535 OCZ917535:ODA917535 OMV917535:OMW917535 OWR917535:OWS917535 PGN917535:PGO917535 PQJ917535:PQK917535 QAF917535:QAG917535 QKB917535:QKC917535 QTX917535:QTY917535 RDT917535:RDU917535 RNP917535:RNQ917535 RXL917535:RXM917535 SHH917535:SHI917535 SRD917535:SRE917535 TAZ917535:TBA917535 TKV917535:TKW917535 TUR917535:TUS917535 UEN917535:UEO917535 UOJ917535:UOK917535 UYF917535:UYG917535 VIB917535:VIC917535 VRX917535:VRY917535 WBT917535:WBU917535 WLP917535:WLQ917535 WVL917535:WVM917535 D983071:E983071 IZ983071:JA983071 SV983071:SW983071 ACR983071:ACS983071 AMN983071:AMO983071 AWJ983071:AWK983071 BGF983071:BGG983071 BQB983071:BQC983071 BZX983071:BZY983071 CJT983071:CJU983071 CTP983071:CTQ983071 DDL983071:DDM983071 DNH983071:DNI983071 DXD983071:DXE983071 EGZ983071:EHA983071 EQV983071:EQW983071 FAR983071:FAS983071 FKN983071:FKO983071 FUJ983071:FUK983071 GEF983071:GEG983071 GOB983071:GOC983071 GXX983071:GXY983071 HHT983071:HHU983071 HRP983071:HRQ983071 IBL983071:IBM983071 ILH983071:ILI983071 IVD983071:IVE983071 JEZ983071:JFA983071 JOV983071:JOW983071 JYR983071:JYS983071 KIN983071:KIO983071 KSJ983071:KSK983071 LCF983071:LCG983071 LMB983071:LMC983071 LVX983071:LVY983071 MFT983071:MFU983071 MPP983071:MPQ983071 MZL983071:MZM983071 NJH983071:NJI983071 NTD983071:NTE983071 OCZ983071:ODA983071 OMV983071:OMW983071 OWR983071:OWS983071 PGN983071:PGO983071 PQJ983071:PQK983071 QAF983071:QAG983071 QKB983071:QKC983071 QTX983071:QTY983071 RDT983071:RDU983071 RNP983071:RNQ983071 RXL983071:RXM983071 SHH983071:SHI983071 SRD983071:SRE983071 TAZ983071:TBA983071 TKV983071:TKW983071 TUR983071:TUS983071 UEN983071:UEO983071 UOJ983071:UOK983071 UYF983071:UYG983071 VIB983071:VIC983071 VRX983071:VRY983071 WBT983071:WBU983071 WLP983071:WLQ983071 WVL983071:WVM983071" xr:uid="{697AA48E-5C53-4195-B841-61AE36E9C497}">
      <formula1>Fuel_Type</formula1>
    </dataValidation>
    <dataValidation type="list" allowBlank="1" showInputMessage="1" showErrorMessage="1" sqref="J29 JF29 TB29 ACX29 AMT29 AWP29 BGL29 BQH29 CAD29 CJZ29 CTV29 DDR29 DNN29 DXJ29 EHF29 ERB29 FAX29 FKT29 FUP29 GEL29 GOH29 GYD29 HHZ29 HRV29 IBR29 ILN29 IVJ29 JFF29 JPB29 JYX29 KIT29 KSP29 LCL29 LMH29 LWD29 MFZ29 MPV29 MZR29 NJN29 NTJ29 ODF29 ONB29 OWX29 PGT29 PQP29 QAL29 QKH29 QUD29 RDZ29 RNV29 RXR29 SHN29 SRJ29 TBF29 TLB29 TUX29 UET29 UOP29 UYL29 VIH29 VSD29 WBZ29 WLV29 WVR29 J65565 JF65565 TB65565 ACX65565 AMT65565 AWP65565 BGL65565 BQH65565 CAD65565 CJZ65565 CTV65565 DDR65565 DNN65565 DXJ65565 EHF65565 ERB65565 FAX65565 FKT65565 FUP65565 GEL65565 GOH65565 GYD65565 HHZ65565 HRV65565 IBR65565 ILN65565 IVJ65565 JFF65565 JPB65565 JYX65565 KIT65565 KSP65565 LCL65565 LMH65565 LWD65565 MFZ65565 MPV65565 MZR65565 NJN65565 NTJ65565 ODF65565 ONB65565 OWX65565 PGT65565 PQP65565 QAL65565 QKH65565 QUD65565 RDZ65565 RNV65565 RXR65565 SHN65565 SRJ65565 TBF65565 TLB65565 TUX65565 UET65565 UOP65565 UYL65565 VIH65565 VSD65565 WBZ65565 WLV65565 WVR65565 J131101 JF131101 TB131101 ACX131101 AMT131101 AWP131101 BGL131101 BQH131101 CAD131101 CJZ131101 CTV131101 DDR131101 DNN131101 DXJ131101 EHF131101 ERB131101 FAX131101 FKT131101 FUP131101 GEL131101 GOH131101 GYD131101 HHZ131101 HRV131101 IBR131101 ILN131101 IVJ131101 JFF131101 JPB131101 JYX131101 KIT131101 KSP131101 LCL131101 LMH131101 LWD131101 MFZ131101 MPV131101 MZR131101 NJN131101 NTJ131101 ODF131101 ONB131101 OWX131101 PGT131101 PQP131101 QAL131101 QKH131101 QUD131101 RDZ131101 RNV131101 RXR131101 SHN131101 SRJ131101 TBF131101 TLB131101 TUX131101 UET131101 UOP131101 UYL131101 VIH131101 VSD131101 WBZ131101 WLV131101 WVR131101 J196637 JF196637 TB196637 ACX196637 AMT196637 AWP196637 BGL196637 BQH196637 CAD196637 CJZ196637 CTV196637 DDR196637 DNN196637 DXJ196637 EHF196637 ERB196637 FAX196637 FKT196637 FUP196637 GEL196637 GOH196637 GYD196637 HHZ196637 HRV196637 IBR196637 ILN196637 IVJ196637 JFF196637 JPB196637 JYX196637 KIT196637 KSP196637 LCL196637 LMH196637 LWD196637 MFZ196637 MPV196637 MZR196637 NJN196637 NTJ196637 ODF196637 ONB196637 OWX196637 PGT196637 PQP196637 QAL196637 QKH196637 QUD196637 RDZ196637 RNV196637 RXR196637 SHN196637 SRJ196637 TBF196637 TLB196637 TUX196637 UET196637 UOP196637 UYL196637 VIH196637 VSD196637 WBZ196637 WLV196637 WVR196637 J262173 JF262173 TB262173 ACX262173 AMT262173 AWP262173 BGL262173 BQH262173 CAD262173 CJZ262173 CTV262173 DDR262173 DNN262173 DXJ262173 EHF262173 ERB262173 FAX262173 FKT262173 FUP262173 GEL262173 GOH262173 GYD262173 HHZ262173 HRV262173 IBR262173 ILN262173 IVJ262173 JFF262173 JPB262173 JYX262173 KIT262173 KSP262173 LCL262173 LMH262173 LWD262173 MFZ262173 MPV262173 MZR262173 NJN262173 NTJ262173 ODF262173 ONB262173 OWX262173 PGT262173 PQP262173 QAL262173 QKH262173 QUD262173 RDZ262173 RNV262173 RXR262173 SHN262173 SRJ262173 TBF262173 TLB262173 TUX262173 UET262173 UOP262173 UYL262173 VIH262173 VSD262173 WBZ262173 WLV262173 WVR262173 J327709 JF327709 TB327709 ACX327709 AMT327709 AWP327709 BGL327709 BQH327709 CAD327709 CJZ327709 CTV327709 DDR327709 DNN327709 DXJ327709 EHF327709 ERB327709 FAX327709 FKT327709 FUP327709 GEL327709 GOH327709 GYD327709 HHZ327709 HRV327709 IBR327709 ILN327709 IVJ327709 JFF327709 JPB327709 JYX327709 KIT327709 KSP327709 LCL327709 LMH327709 LWD327709 MFZ327709 MPV327709 MZR327709 NJN327709 NTJ327709 ODF327709 ONB327709 OWX327709 PGT327709 PQP327709 QAL327709 QKH327709 QUD327709 RDZ327709 RNV327709 RXR327709 SHN327709 SRJ327709 TBF327709 TLB327709 TUX327709 UET327709 UOP327709 UYL327709 VIH327709 VSD327709 WBZ327709 WLV327709 WVR327709 J393245 JF393245 TB393245 ACX393245 AMT393245 AWP393245 BGL393245 BQH393245 CAD393245 CJZ393245 CTV393245 DDR393245 DNN393245 DXJ393245 EHF393245 ERB393245 FAX393245 FKT393245 FUP393245 GEL393245 GOH393245 GYD393245 HHZ393245 HRV393245 IBR393245 ILN393245 IVJ393245 JFF393245 JPB393245 JYX393245 KIT393245 KSP393245 LCL393245 LMH393245 LWD393245 MFZ393245 MPV393245 MZR393245 NJN393245 NTJ393245 ODF393245 ONB393245 OWX393245 PGT393245 PQP393245 QAL393245 QKH393245 QUD393245 RDZ393245 RNV393245 RXR393245 SHN393245 SRJ393245 TBF393245 TLB393245 TUX393245 UET393245 UOP393245 UYL393245 VIH393245 VSD393245 WBZ393245 WLV393245 WVR393245 J458781 JF458781 TB458781 ACX458781 AMT458781 AWP458781 BGL458781 BQH458781 CAD458781 CJZ458781 CTV458781 DDR458781 DNN458781 DXJ458781 EHF458781 ERB458781 FAX458781 FKT458781 FUP458781 GEL458781 GOH458781 GYD458781 HHZ458781 HRV458781 IBR458781 ILN458781 IVJ458781 JFF458781 JPB458781 JYX458781 KIT458781 KSP458781 LCL458781 LMH458781 LWD458781 MFZ458781 MPV458781 MZR458781 NJN458781 NTJ458781 ODF458781 ONB458781 OWX458781 PGT458781 PQP458781 QAL458781 QKH458781 QUD458781 RDZ458781 RNV458781 RXR458781 SHN458781 SRJ458781 TBF458781 TLB458781 TUX458781 UET458781 UOP458781 UYL458781 VIH458781 VSD458781 WBZ458781 WLV458781 WVR458781 J524317 JF524317 TB524317 ACX524317 AMT524317 AWP524317 BGL524317 BQH524317 CAD524317 CJZ524317 CTV524317 DDR524317 DNN524317 DXJ524317 EHF524317 ERB524317 FAX524317 FKT524317 FUP524317 GEL524317 GOH524317 GYD524317 HHZ524317 HRV524317 IBR524317 ILN524317 IVJ524317 JFF524317 JPB524317 JYX524317 KIT524317 KSP524317 LCL524317 LMH524317 LWD524317 MFZ524317 MPV524317 MZR524317 NJN524317 NTJ524317 ODF524317 ONB524317 OWX524317 PGT524317 PQP524317 QAL524317 QKH524317 QUD524317 RDZ524317 RNV524317 RXR524317 SHN524317 SRJ524317 TBF524317 TLB524317 TUX524317 UET524317 UOP524317 UYL524317 VIH524317 VSD524317 WBZ524317 WLV524317 WVR524317 J589853 JF589853 TB589853 ACX589853 AMT589853 AWP589853 BGL589853 BQH589853 CAD589853 CJZ589853 CTV589853 DDR589853 DNN589853 DXJ589853 EHF589853 ERB589853 FAX589853 FKT589853 FUP589853 GEL589853 GOH589853 GYD589853 HHZ589853 HRV589853 IBR589853 ILN589853 IVJ589853 JFF589853 JPB589853 JYX589853 KIT589853 KSP589853 LCL589853 LMH589853 LWD589853 MFZ589853 MPV589853 MZR589853 NJN589853 NTJ589853 ODF589853 ONB589853 OWX589853 PGT589853 PQP589853 QAL589853 QKH589853 QUD589853 RDZ589853 RNV589853 RXR589853 SHN589853 SRJ589853 TBF589853 TLB589853 TUX589853 UET589853 UOP589853 UYL589853 VIH589853 VSD589853 WBZ589853 WLV589853 WVR589853 J655389 JF655389 TB655389 ACX655389 AMT655389 AWP655389 BGL655389 BQH655389 CAD655389 CJZ655389 CTV655389 DDR655389 DNN655389 DXJ655389 EHF655389 ERB655389 FAX655389 FKT655389 FUP655389 GEL655389 GOH655389 GYD655389 HHZ655389 HRV655389 IBR655389 ILN655389 IVJ655389 JFF655389 JPB655389 JYX655389 KIT655389 KSP655389 LCL655389 LMH655389 LWD655389 MFZ655389 MPV655389 MZR655389 NJN655389 NTJ655389 ODF655389 ONB655389 OWX655389 PGT655389 PQP655389 QAL655389 QKH655389 QUD655389 RDZ655389 RNV655389 RXR655389 SHN655389 SRJ655389 TBF655389 TLB655389 TUX655389 UET655389 UOP655389 UYL655389 VIH655389 VSD655389 WBZ655389 WLV655389 WVR655389 J720925 JF720925 TB720925 ACX720925 AMT720925 AWP720925 BGL720925 BQH720925 CAD720925 CJZ720925 CTV720925 DDR720925 DNN720925 DXJ720925 EHF720925 ERB720925 FAX720925 FKT720925 FUP720925 GEL720925 GOH720925 GYD720925 HHZ720925 HRV720925 IBR720925 ILN720925 IVJ720925 JFF720925 JPB720925 JYX720925 KIT720925 KSP720925 LCL720925 LMH720925 LWD720925 MFZ720925 MPV720925 MZR720925 NJN720925 NTJ720925 ODF720925 ONB720925 OWX720925 PGT720925 PQP720925 QAL720925 QKH720925 QUD720925 RDZ720925 RNV720925 RXR720925 SHN720925 SRJ720925 TBF720925 TLB720925 TUX720925 UET720925 UOP720925 UYL720925 VIH720925 VSD720925 WBZ720925 WLV720925 WVR720925 J786461 JF786461 TB786461 ACX786461 AMT786461 AWP786461 BGL786461 BQH786461 CAD786461 CJZ786461 CTV786461 DDR786461 DNN786461 DXJ786461 EHF786461 ERB786461 FAX786461 FKT786461 FUP786461 GEL786461 GOH786461 GYD786461 HHZ786461 HRV786461 IBR786461 ILN786461 IVJ786461 JFF786461 JPB786461 JYX786461 KIT786461 KSP786461 LCL786461 LMH786461 LWD786461 MFZ786461 MPV786461 MZR786461 NJN786461 NTJ786461 ODF786461 ONB786461 OWX786461 PGT786461 PQP786461 QAL786461 QKH786461 QUD786461 RDZ786461 RNV786461 RXR786461 SHN786461 SRJ786461 TBF786461 TLB786461 TUX786461 UET786461 UOP786461 UYL786461 VIH786461 VSD786461 WBZ786461 WLV786461 WVR786461 J851997 JF851997 TB851997 ACX851997 AMT851997 AWP851997 BGL851997 BQH851997 CAD851997 CJZ851997 CTV851997 DDR851997 DNN851997 DXJ851997 EHF851997 ERB851997 FAX851997 FKT851997 FUP851997 GEL851997 GOH851997 GYD851997 HHZ851997 HRV851997 IBR851997 ILN851997 IVJ851997 JFF851997 JPB851997 JYX851997 KIT851997 KSP851997 LCL851997 LMH851997 LWD851997 MFZ851997 MPV851997 MZR851997 NJN851997 NTJ851997 ODF851997 ONB851997 OWX851997 PGT851997 PQP851997 QAL851997 QKH851997 QUD851997 RDZ851997 RNV851997 RXR851997 SHN851997 SRJ851997 TBF851997 TLB851997 TUX851997 UET851997 UOP851997 UYL851997 VIH851997 VSD851997 WBZ851997 WLV851997 WVR851997 J917533 JF917533 TB917533 ACX917533 AMT917533 AWP917533 BGL917533 BQH917533 CAD917533 CJZ917533 CTV917533 DDR917533 DNN917533 DXJ917533 EHF917533 ERB917533 FAX917533 FKT917533 FUP917533 GEL917533 GOH917533 GYD917533 HHZ917533 HRV917533 IBR917533 ILN917533 IVJ917533 JFF917533 JPB917533 JYX917533 KIT917533 KSP917533 LCL917533 LMH917533 LWD917533 MFZ917533 MPV917533 MZR917533 NJN917533 NTJ917533 ODF917533 ONB917533 OWX917533 PGT917533 PQP917533 QAL917533 QKH917533 QUD917533 RDZ917533 RNV917533 RXR917533 SHN917533 SRJ917533 TBF917533 TLB917533 TUX917533 UET917533 UOP917533 UYL917533 VIH917533 VSD917533 WBZ917533 WLV917533 WVR917533 J983069 JF983069 TB983069 ACX983069 AMT983069 AWP983069 BGL983069 BQH983069 CAD983069 CJZ983069 CTV983069 DDR983069 DNN983069 DXJ983069 EHF983069 ERB983069 FAX983069 FKT983069 FUP983069 GEL983069 GOH983069 GYD983069 HHZ983069 HRV983069 IBR983069 ILN983069 IVJ983069 JFF983069 JPB983069 JYX983069 KIT983069 KSP983069 LCL983069 LMH983069 LWD983069 MFZ983069 MPV983069 MZR983069 NJN983069 NTJ983069 ODF983069 ONB983069 OWX983069 PGT983069 PQP983069 QAL983069 QKH983069 QUD983069 RDZ983069 RNV983069 RXR983069 SHN983069 SRJ983069 TBF983069 TLB983069 TUX983069 UET983069 UOP983069 UYL983069 VIH983069 VSD983069 WBZ983069 WLV983069 WVR983069 J45 JF45 TB45 ACX45 AMT45 AWP45 BGL45 BQH45 CAD45 CJZ45 CTV45 DDR45 DNN45 DXJ45 EHF45 ERB45 FAX45 FKT45 FUP45 GEL45 GOH45 GYD45 HHZ45 HRV45 IBR45 ILN45 IVJ45 JFF45 JPB45 JYX45 KIT45 KSP45 LCL45 LMH45 LWD45 MFZ45 MPV45 MZR45 NJN45 NTJ45 ODF45 ONB45 OWX45 PGT45 PQP45 QAL45 QKH45 QUD45 RDZ45 RNV45 RXR45 SHN45 SRJ45 TBF45 TLB45 TUX45 UET45 UOP45 UYL45 VIH45 VSD45 WBZ45 WLV45 WVR45 J65581 JF65581 TB65581 ACX65581 AMT65581 AWP65581 BGL65581 BQH65581 CAD65581 CJZ65581 CTV65581 DDR65581 DNN65581 DXJ65581 EHF65581 ERB65581 FAX65581 FKT65581 FUP65581 GEL65581 GOH65581 GYD65581 HHZ65581 HRV65581 IBR65581 ILN65581 IVJ65581 JFF65581 JPB65581 JYX65581 KIT65581 KSP65581 LCL65581 LMH65581 LWD65581 MFZ65581 MPV65581 MZR65581 NJN65581 NTJ65581 ODF65581 ONB65581 OWX65581 PGT65581 PQP65581 QAL65581 QKH65581 QUD65581 RDZ65581 RNV65581 RXR65581 SHN65581 SRJ65581 TBF65581 TLB65581 TUX65581 UET65581 UOP65581 UYL65581 VIH65581 VSD65581 WBZ65581 WLV65581 WVR65581 J131117 JF131117 TB131117 ACX131117 AMT131117 AWP131117 BGL131117 BQH131117 CAD131117 CJZ131117 CTV131117 DDR131117 DNN131117 DXJ131117 EHF131117 ERB131117 FAX131117 FKT131117 FUP131117 GEL131117 GOH131117 GYD131117 HHZ131117 HRV131117 IBR131117 ILN131117 IVJ131117 JFF131117 JPB131117 JYX131117 KIT131117 KSP131117 LCL131117 LMH131117 LWD131117 MFZ131117 MPV131117 MZR131117 NJN131117 NTJ131117 ODF131117 ONB131117 OWX131117 PGT131117 PQP131117 QAL131117 QKH131117 QUD131117 RDZ131117 RNV131117 RXR131117 SHN131117 SRJ131117 TBF131117 TLB131117 TUX131117 UET131117 UOP131117 UYL131117 VIH131117 VSD131117 WBZ131117 WLV131117 WVR131117 J196653 JF196653 TB196653 ACX196653 AMT196653 AWP196653 BGL196653 BQH196653 CAD196653 CJZ196653 CTV196653 DDR196653 DNN196653 DXJ196653 EHF196653 ERB196653 FAX196653 FKT196653 FUP196653 GEL196653 GOH196653 GYD196653 HHZ196653 HRV196653 IBR196653 ILN196653 IVJ196653 JFF196653 JPB196653 JYX196653 KIT196653 KSP196653 LCL196653 LMH196653 LWD196653 MFZ196653 MPV196653 MZR196653 NJN196653 NTJ196653 ODF196653 ONB196653 OWX196653 PGT196653 PQP196653 QAL196653 QKH196653 QUD196653 RDZ196653 RNV196653 RXR196653 SHN196653 SRJ196653 TBF196653 TLB196653 TUX196653 UET196653 UOP196653 UYL196653 VIH196653 VSD196653 WBZ196653 WLV196653 WVR196653 J262189 JF262189 TB262189 ACX262189 AMT262189 AWP262189 BGL262189 BQH262189 CAD262189 CJZ262189 CTV262189 DDR262189 DNN262189 DXJ262189 EHF262189 ERB262189 FAX262189 FKT262189 FUP262189 GEL262189 GOH262189 GYD262189 HHZ262189 HRV262189 IBR262189 ILN262189 IVJ262189 JFF262189 JPB262189 JYX262189 KIT262189 KSP262189 LCL262189 LMH262189 LWD262189 MFZ262189 MPV262189 MZR262189 NJN262189 NTJ262189 ODF262189 ONB262189 OWX262189 PGT262189 PQP262189 QAL262189 QKH262189 QUD262189 RDZ262189 RNV262189 RXR262189 SHN262189 SRJ262189 TBF262189 TLB262189 TUX262189 UET262189 UOP262189 UYL262189 VIH262189 VSD262189 WBZ262189 WLV262189 WVR262189 J327725 JF327725 TB327725 ACX327725 AMT327725 AWP327725 BGL327725 BQH327725 CAD327725 CJZ327725 CTV327725 DDR327725 DNN327725 DXJ327725 EHF327725 ERB327725 FAX327725 FKT327725 FUP327725 GEL327725 GOH327725 GYD327725 HHZ327725 HRV327725 IBR327725 ILN327725 IVJ327725 JFF327725 JPB327725 JYX327725 KIT327725 KSP327725 LCL327725 LMH327725 LWD327725 MFZ327725 MPV327725 MZR327725 NJN327725 NTJ327725 ODF327725 ONB327725 OWX327725 PGT327725 PQP327725 QAL327725 QKH327725 QUD327725 RDZ327725 RNV327725 RXR327725 SHN327725 SRJ327725 TBF327725 TLB327725 TUX327725 UET327725 UOP327725 UYL327725 VIH327725 VSD327725 WBZ327725 WLV327725 WVR327725 J393261 JF393261 TB393261 ACX393261 AMT393261 AWP393261 BGL393261 BQH393261 CAD393261 CJZ393261 CTV393261 DDR393261 DNN393261 DXJ393261 EHF393261 ERB393261 FAX393261 FKT393261 FUP393261 GEL393261 GOH393261 GYD393261 HHZ393261 HRV393261 IBR393261 ILN393261 IVJ393261 JFF393261 JPB393261 JYX393261 KIT393261 KSP393261 LCL393261 LMH393261 LWD393261 MFZ393261 MPV393261 MZR393261 NJN393261 NTJ393261 ODF393261 ONB393261 OWX393261 PGT393261 PQP393261 QAL393261 QKH393261 QUD393261 RDZ393261 RNV393261 RXR393261 SHN393261 SRJ393261 TBF393261 TLB393261 TUX393261 UET393261 UOP393261 UYL393261 VIH393261 VSD393261 WBZ393261 WLV393261 WVR393261 J458797 JF458797 TB458797 ACX458797 AMT458797 AWP458797 BGL458797 BQH458797 CAD458797 CJZ458797 CTV458797 DDR458797 DNN458797 DXJ458797 EHF458797 ERB458797 FAX458797 FKT458797 FUP458797 GEL458797 GOH458797 GYD458797 HHZ458797 HRV458797 IBR458797 ILN458797 IVJ458797 JFF458797 JPB458797 JYX458797 KIT458797 KSP458797 LCL458797 LMH458797 LWD458797 MFZ458797 MPV458797 MZR458797 NJN458797 NTJ458797 ODF458797 ONB458797 OWX458797 PGT458797 PQP458797 QAL458797 QKH458797 QUD458797 RDZ458797 RNV458797 RXR458797 SHN458797 SRJ458797 TBF458797 TLB458797 TUX458797 UET458797 UOP458797 UYL458797 VIH458797 VSD458797 WBZ458797 WLV458797 WVR458797 J524333 JF524333 TB524333 ACX524333 AMT524333 AWP524333 BGL524333 BQH524333 CAD524333 CJZ524333 CTV524333 DDR524333 DNN524333 DXJ524333 EHF524333 ERB524333 FAX524333 FKT524333 FUP524333 GEL524333 GOH524333 GYD524333 HHZ524333 HRV524333 IBR524333 ILN524333 IVJ524333 JFF524333 JPB524333 JYX524333 KIT524333 KSP524333 LCL524333 LMH524333 LWD524333 MFZ524333 MPV524333 MZR524333 NJN524333 NTJ524333 ODF524333 ONB524333 OWX524333 PGT524333 PQP524333 QAL524333 QKH524333 QUD524333 RDZ524333 RNV524333 RXR524333 SHN524333 SRJ524333 TBF524333 TLB524333 TUX524333 UET524333 UOP524333 UYL524333 VIH524333 VSD524333 WBZ524333 WLV524333 WVR524333 J589869 JF589869 TB589869 ACX589869 AMT589869 AWP589869 BGL589869 BQH589869 CAD589869 CJZ589869 CTV589869 DDR589869 DNN589869 DXJ589869 EHF589869 ERB589869 FAX589869 FKT589869 FUP589869 GEL589869 GOH589869 GYD589869 HHZ589869 HRV589869 IBR589869 ILN589869 IVJ589869 JFF589869 JPB589869 JYX589869 KIT589869 KSP589869 LCL589869 LMH589869 LWD589869 MFZ589869 MPV589869 MZR589869 NJN589869 NTJ589869 ODF589869 ONB589869 OWX589869 PGT589869 PQP589869 QAL589869 QKH589869 QUD589869 RDZ589869 RNV589869 RXR589869 SHN589869 SRJ589869 TBF589869 TLB589869 TUX589869 UET589869 UOP589869 UYL589869 VIH589869 VSD589869 WBZ589869 WLV589869 WVR589869 J655405 JF655405 TB655405 ACX655405 AMT655405 AWP655405 BGL655405 BQH655405 CAD655405 CJZ655405 CTV655405 DDR655405 DNN655405 DXJ655405 EHF655405 ERB655405 FAX655405 FKT655405 FUP655405 GEL655405 GOH655405 GYD655405 HHZ655405 HRV655405 IBR655405 ILN655405 IVJ655405 JFF655405 JPB655405 JYX655405 KIT655405 KSP655405 LCL655405 LMH655405 LWD655405 MFZ655405 MPV655405 MZR655405 NJN655405 NTJ655405 ODF655405 ONB655405 OWX655405 PGT655405 PQP655405 QAL655405 QKH655405 QUD655405 RDZ655405 RNV655405 RXR655405 SHN655405 SRJ655405 TBF655405 TLB655405 TUX655405 UET655405 UOP655405 UYL655405 VIH655405 VSD655405 WBZ655405 WLV655405 WVR655405 J720941 JF720941 TB720941 ACX720941 AMT720941 AWP720941 BGL720941 BQH720941 CAD720941 CJZ720941 CTV720941 DDR720941 DNN720941 DXJ720941 EHF720941 ERB720941 FAX720941 FKT720941 FUP720941 GEL720941 GOH720941 GYD720941 HHZ720941 HRV720941 IBR720941 ILN720941 IVJ720941 JFF720941 JPB720941 JYX720941 KIT720941 KSP720941 LCL720941 LMH720941 LWD720941 MFZ720941 MPV720941 MZR720941 NJN720941 NTJ720941 ODF720941 ONB720941 OWX720941 PGT720941 PQP720941 QAL720941 QKH720941 QUD720941 RDZ720941 RNV720941 RXR720941 SHN720941 SRJ720941 TBF720941 TLB720941 TUX720941 UET720941 UOP720941 UYL720941 VIH720941 VSD720941 WBZ720941 WLV720941 WVR720941 J786477 JF786477 TB786477 ACX786477 AMT786477 AWP786477 BGL786477 BQH786477 CAD786477 CJZ786477 CTV786477 DDR786477 DNN786477 DXJ786477 EHF786477 ERB786477 FAX786477 FKT786477 FUP786477 GEL786477 GOH786477 GYD786477 HHZ786477 HRV786477 IBR786477 ILN786477 IVJ786477 JFF786477 JPB786477 JYX786477 KIT786477 KSP786477 LCL786477 LMH786477 LWD786477 MFZ786477 MPV786477 MZR786477 NJN786477 NTJ786477 ODF786477 ONB786477 OWX786477 PGT786477 PQP786477 QAL786477 QKH786477 QUD786477 RDZ786477 RNV786477 RXR786477 SHN786477 SRJ786477 TBF786477 TLB786477 TUX786477 UET786477 UOP786477 UYL786477 VIH786477 VSD786477 WBZ786477 WLV786477 WVR786477 J852013 JF852013 TB852013 ACX852013 AMT852013 AWP852013 BGL852013 BQH852013 CAD852013 CJZ852013 CTV852013 DDR852013 DNN852013 DXJ852013 EHF852013 ERB852013 FAX852013 FKT852013 FUP852013 GEL852013 GOH852013 GYD852013 HHZ852013 HRV852013 IBR852013 ILN852013 IVJ852013 JFF852013 JPB852013 JYX852013 KIT852013 KSP852013 LCL852013 LMH852013 LWD852013 MFZ852013 MPV852013 MZR852013 NJN852013 NTJ852013 ODF852013 ONB852013 OWX852013 PGT852013 PQP852013 QAL852013 QKH852013 QUD852013 RDZ852013 RNV852013 RXR852013 SHN852013 SRJ852013 TBF852013 TLB852013 TUX852013 UET852013 UOP852013 UYL852013 VIH852013 VSD852013 WBZ852013 WLV852013 WVR852013 J917549 JF917549 TB917549 ACX917549 AMT917549 AWP917549 BGL917549 BQH917549 CAD917549 CJZ917549 CTV917549 DDR917549 DNN917549 DXJ917549 EHF917549 ERB917549 FAX917549 FKT917549 FUP917549 GEL917549 GOH917549 GYD917549 HHZ917549 HRV917549 IBR917549 ILN917549 IVJ917549 JFF917549 JPB917549 JYX917549 KIT917549 KSP917549 LCL917549 LMH917549 LWD917549 MFZ917549 MPV917549 MZR917549 NJN917549 NTJ917549 ODF917549 ONB917549 OWX917549 PGT917549 PQP917549 QAL917549 QKH917549 QUD917549 RDZ917549 RNV917549 RXR917549 SHN917549 SRJ917549 TBF917549 TLB917549 TUX917549 UET917549 UOP917549 UYL917549 VIH917549 VSD917549 WBZ917549 WLV917549 WVR917549 J983085 JF983085 TB983085 ACX983085 AMT983085 AWP983085 BGL983085 BQH983085 CAD983085 CJZ983085 CTV983085 DDR983085 DNN983085 DXJ983085 EHF983085 ERB983085 FAX983085 FKT983085 FUP983085 GEL983085 GOH983085 GYD983085 HHZ983085 HRV983085 IBR983085 ILN983085 IVJ983085 JFF983085 JPB983085 JYX983085 KIT983085 KSP983085 LCL983085 LMH983085 LWD983085 MFZ983085 MPV983085 MZR983085 NJN983085 NTJ983085 ODF983085 ONB983085 OWX983085 PGT983085 PQP983085 QAL983085 QKH983085 QUD983085 RDZ983085 RNV983085 RXR983085 SHN983085 SRJ983085 TBF983085 TLB983085 TUX983085 UET983085 UOP983085 UYL983085 VIH983085 VSD983085 WBZ983085 WLV983085 WVR983085 J61 JF61 TB61 ACX61 AMT61 AWP61 BGL61 BQH61 CAD61 CJZ61 CTV61 DDR61 DNN61 DXJ61 EHF61 ERB61 FAX61 FKT61 FUP61 GEL61 GOH61 GYD61 HHZ61 HRV61 IBR61 ILN61 IVJ61 JFF61 JPB61 JYX61 KIT61 KSP61 LCL61 LMH61 LWD61 MFZ61 MPV61 MZR61 NJN61 NTJ61 ODF61 ONB61 OWX61 PGT61 PQP61 QAL61 QKH61 QUD61 RDZ61 RNV61 RXR61 SHN61 SRJ61 TBF61 TLB61 TUX61 UET61 UOP61 UYL61 VIH61 VSD61 WBZ61 WLV61 WVR61 J65597 JF65597 TB65597 ACX65597 AMT65597 AWP65597 BGL65597 BQH65597 CAD65597 CJZ65597 CTV65597 DDR65597 DNN65597 DXJ65597 EHF65597 ERB65597 FAX65597 FKT65597 FUP65597 GEL65597 GOH65597 GYD65597 HHZ65597 HRV65597 IBR65597 ILN65597 IVJ65597 JFF65597 JPB65597 JYX65597 KIT65597 KSP65597 LCL65597 LMH65597 LWD65597 MFZ65597 MPV65597 MZR65597 NJN65597 NTJ65597 ODF65597 ONB65597 OWX65597 PGT65597 PQP65597 QAL65597 QKH65597 QUD65597 RDZ65597 RNV65597 RXR65597 SHN65597 SRJ65597 TBF65597 TLB65597 TUX65597 UET65597 UOP65597 UYL65597 VIH65597 VSD65597 WBZ65597 WLV65597 WVR65597 J131133 JF131133 TB131133 ACX131133 AMT131133 AWP131133 BGL131133 BQH131133 CAD131133 CJZ131133 CTV131133 DDR131133 DNN131133 DXJ131133 EHF131133 ERB131133 FAX131133 FKT131133 FUP131133 GEL131133 GOH131133 GYD131133 HHZ131133 HRV131133 IBR131133 ILN131133 IVJ131133 JFF131133 JPB131133 JYX131133 KIT131133 KSP131133 LCL131133 LMH131133 LWD131133 MFZ131133 MPV131133 MZR131133 NJN131133 NTJ131133 ODF131133 ONB131133 OWX131133 PGT131133 PQP131133 QAL131133 QKH131133 QUD131133 RDZ131133 RNV131133 RXR131133 SHN131133 SRJ131133 TBF131133 TLB131133 TUX131133 UET131133 UOP131133 UYL131133 VIH131133 VSD131133 WBZ131133 WLV131133 WVR131133 J196669 JF196669 TB196669 ACX196669 AMT196669 AWP196669 BGL196669 BQH196669 CAD196669 CJZ196669 CTV196669 DDR196669 DNN196669 DXJ196669 EHF196669 ERB196669 FAX196669 FKT196669 FUP196669 GEL196669 GOH196669 GYD196669 HHZ196669 HRV196669 IBR196669 ILN196669 IVJ196669 JFF196669 JPB196669 JYX196669 KIT196669 KSP196669 LCL196669 LMH196669 LWD196669 MFZ196669 MPV196669 MZR196669 NJN196669 NTJ196669 ODF196669 ONB196669 OWX196669 PGT196669 PQP196669 QAL196669 QKH196669 QUD196669 RDZ196669 RNV196669 RXR196669 SHN196669 SRJ196669 TBF196669 TLB196669 TUX196669 UET196669 UOP196669 UYL196669 VIH196669 VSD196669 WBZ196669 WLV196669 WVR196669 J262205 JF262205 TB262205 ACX262205 AMT262205 AWP262205 BGL262205 BQH262205 CAD262205 CJZ262205 CTV262205 DDR262205 DNN262205 DXJ262205 EHF262205 ERB262205 FAX262205 FKT262205 FUP262205 GEL262205 GOH262205 GYD262205 HHZ262205 HRV262205 IBR262205 ILN262205 IVJ262205 JFF262205 JPB262205 JYX262205 KIT262205 KSP262205 LCL262205 LMH262205 LWD262205 MFZ262205 MPV262205 MZR262205 NJN262205 NTJ262205 ODF262205 ONB262205 OWX262205 PGT262205 PQP262205 QAL262205 QKH262205 QUD262205 RDZ262205 RNV262205 RXR262205 SHN262205 SRJ262205 TBF262205 TLB262205 TUX262205 UET262205 UOP262205 UYL262205 VIH262205 VSD262205 WBZ262205 WLV262205 WVR262205 J327741 JF327741 TB327741 ACX327741 AMT327741 AWP327741 BGL327741 BQH327741 CAD327741 CJZ327741 CTV327741 DDR327741 DNN327741 DXJ327741 EHF327741 ERB327741 FAX327741 FKT327741 FUP327741 GEL327741 GOH327741 GYD327741 HHZ327741 HRV327741 IBR327741 ILN327741 IVJ327741 JFF327741 JPB327741 JYX327741 KIT327741 KSP327741 LCL327741 LMH327741 LWD327741 MFZ327741 MPV327741 MZR327741 NJN327741 NTJ327741 ODF327741 ONB327741 OWX327741 PGT327741 PQP327741 QAL327741 QKH327741 QUD327741 RDZ327741 RNV327741 RXR327741 SHN327741 SRJ327741 TBF327741 TLB327741 TUX327741 UET327741 UOP327741 UYL327741 VIH327741 VSD327741 WBZ327741 WLV327741 WVR327741 J393277 JF393277 TB393277 ACX393277 AMT393277 AWP393277 BGL393277 BQH393277 CAD393277 CJZ393277 CTV393277 DDR393277 DNN393277 DXJ393277 EHF393277 ERB393277 FAX393277 FKT393277 FUP393277 GEL393277 GOH393277 GYD393277 HHZ393277 HRV393277 IBR393277 ILN393277 IVJ393277 JFF393277 JPB393277 JYX393277 KIT393277 KSP393277 LCL393277 LMH393277 LWD393277 MFZ393277 MPV393277 MZR393277 NJN393277 NTJ393277 ODF393277 ONB393277 OWX393277 PGT393277 PQP393277 QAL393277 QKH393277 QUD393277 RDZ393277 RNV393277 RXR393277 SHN393277 SRJ393277 TBF393277 TLB393277 TUX393277 UET393277 UOP393277 UYL393277 VIH393277 VSD393277 WBZ393277 WLV393277 WVR393277 J458813 JF458813 TB458813 ACX458813 AMT458813 AWP458813 BGL458813 BQH458813 CAD458813 CJZ458813 CTV458813 DDR458813 DNN458813 DXJ458813 EHF458813 ERB458813 FAX458813 FKT458813 FUP458813 GEL458813 GOH458813 GYD458813 HHZ458813 HRV458813 IBR458813 ILN458813 IVJ458813 JFF458813 JPB458813 JYX458813 KIT458813 KSP458813 LCL458813 LMH458813 LWD458813 MFZ458813 MPV458813 MZR458813 NJN458813 NTJ458813 ODF458813 ONB458813 OWX458813 PGT458813 PQP458813 QAL458813 QKH458813 QUD458813 RDZ458813 RNV458813 RXR458813 SHN458813 SRJ458813 TBF458813 TLB458813 TUX458813 UET458813 UOP458813 UYL458813 VIH458813 VSD458813 WBZ458813 WLV458813 WVR458813 J524349 JF524349 TB524349 ACX524349 AMT524349 AWP524349 BGL524349 BQH524349 CAD524349 CJZ524349 CTV524349 DDR524349 DNN524349 DXJ524349 EHF524349 ERB524349 FAX524349 FKT524349 FUP524349 GEL524349 GOH524349 GYD524349 HHZ524349 HRV524349 IBR524349 ILN524349 IVJ524349 JFF524349 JPB524349 JYX524349 KIT524349 KSP524349 LCL524349 LMH524349 LWD524349 MFZ524349 MPV524349 MZR524349 NJN524349 NTJ524349 ODF524349 ONB524349 OWX524349 PGT524349 PQP524349 QAL524349 QKH524349 QUD524349 RDZ524349 RNV524349 RXR524349 SHN524349 SRJ524349 TBF524349 TLB524349 TUX524349 UET524349 UOP524349 UYL524349 VIH524349 VSD524349 WBZ524349 WLV524349 WVR524349 J589885 JF589885 TB589885 ACX589885 AMT589885 AWP589885 BGL589885 BQH589885 CAD589885 CJZ589885 CTV589885 DDR589885 DNN589885 DXJ589885 EHF589885 ERB589885 FAX589885 FKT589885 FUP589885 GEL589885 GOH589885 GYD589885 HHZ589885 HRV589885 IBR589885 ILN589885 IVJ589885 JFF589885 JPB589885 JYX589885 KIT589885 KSP589885 LCL589885 LMH589885 LWD589885 MFZ589885 MPV589885 MZR589885 NJN589885 NTJ589885 ODF589885 ONB589885 OWX589885 PGT589885 PQP589885 QAL589885 QKH589885 QUD589885 RDZ589885 RNV589885 RXR589885 SHN589885 SRJ589885 TBF589885 TLB589885 TUX589885 UET589885 UOP589885 UYL589885 VIH589885 VSD589885 WBZ589885 WLV589885 WVR589885 J655421 JF655421 TB655421 ACX655421 AMT655421 AWP655421 BGL655421 BQH655421 CAD655421 CJZ655421 CTV655421 DDR655421 DNN655421 DXJ655421 EHF655421 ERB655421 FAX655421 FKT655421 FUP655421 GEL655421 GOH655421 GYD655421 HHZ655421 HRV655421 IBR655421 ILN655421 IVJ655421 JFF655421 JPB655421 JYX655421 KIT655421 KSP655421 LCL655421 LMH655421 LWD655421 MFZ655421 MPV655421 MZR655421 NJN655421 NTJ655421 ODF655421 ONB655421 OWX655421 PGT655421 PQP655421 QAL655421 QKH655421 QUD655421 RDZ655421 RNV655421 RXR655421 SHN655421 SRJ655421 TBF655421 TLB655421 TUX655421 UET655421 UOP655421 UYL655421 VIH655421 VSD655421 WBZ655421 WLV655421 WVR655421 J720957 JF720957 TB720957 ACX720957 AMT720957 AWP720957 BGL720957 BQH720957 CAD720957 CJZ720957 CTV720957 DDR720957 DNN720957 DXJ720957 EHF720957 ERB720957 FAX720957 FKT720957 FUP720957 GEL720957 GOH720957 GYD720957 HHZ720957 HRV720957 IBR720957 ILN720957 IVJ720957 JFF720957 JPB720957 JYX720957 KIT720957 KSP720957 LCL720957 LMH720957 LWD720957 MFZ720957 MPV720957 MZR720957 NJN720957 NTJ720957 ODF720957 ONB720957 OWX720957 PGT720957 PQP720957 QAL720957 QKH720957 QUD720957 RDZ720957 RNV720957 RXR720957 SHN720957 SRJ720957 TBF720957 TLB720957 TUX720957 UET720957 UOP720957 UYL720957 VIH720957 VSD720957 WBZ720957 WLV720957 WVR720957 J786493 JF786493 TB786493 ACX786493 AMT786493 AWP786493 BGL786493 BQH786493 CAD786493 CJZ786493 CTV786493 DDR786493 DNN786493 DXJ786493 EHF786493 ERB786493 FAX786493 FKT786493 FUP786493 GEL786493 GOH786493 GYD786493 HHZ786493 HRV786493 IBR786493 ILN786493 IVJ786493 JFF786493 JPB786493 JYX786493 KIT786493 KSP786493 LCL786493 LMH786493 LWD786493 MFZ786493 MPV786493 MZR786493 NJN786493 NTJ786493 ODF786493 ONB786493 OWX786493 PGT786493 PQP786493 QAL786493 QKH786493 QUD786493 RDZ786493 RNV786493 RXR786493 SHN786493 SRJ786493 TBF786493 TLB786493 TUX786493 UET786493 UOP786493 UYL786493 VIH786493 VSD786493 WBZ786493 WLV786493 WVR786493 J852029 JF852029 TB852029 ACX852029 AMT852029 AWP852029 BGL852029 BQH852029 CAD852029 CJZ852029 CTV852029 DDR852029 DNN852029 DXJ852029 EHF852029 ERB852029 FAX852029 FKT852029 FUP852029 GEL852029 GOH852029 GYD852029 HHZ852029 HRV852029 IBR852029 ILN852029 IVJ852029 JFF852029 JPB852029 JYX852029 KIT852029 KSP852029 LCL852029 LMH852029 LWD852029 MFZ852029 MPV852029 MZR852029 NJN852029 NTJ852029 ODF852029 ONB852029 OWX852029 PGT852029 PQP852029 QAL852029 QKH852029 QUD852029 RDZ852029 RNV852029 RXR852029 SHN852029 SRJ852029 TBF852029 TLB852029 TUX852029 UET852029 UOP852029 UYL852029 VIH852029 VSD852029 WBZ852029 WLV852029 WVR852029 J917565 JF917565 TB917565 ACX917565 AMT917565 AWP917565 BGL917565 BQH917565 CAD917565 CJZ917565 CTV917565 DDR917565 DNN917565 DXJ917565 EHF917565 ERB917565 FAX917565 FKT917565 FUP917565 GEL917565 GOH917565 GYD917565 HHZ917565 HRV917565 IBR917565 ILN917565 IVJ917565 JFF917565 JPB917565 JYX917565 KIT917565 KSP917565 LCL917565 LMH917565 LWD917565 MFZ917565 MPV917565 MZR917565 NJN917565 NTJ917565 ODF917565 ONB917565 OWX917565 PGT917565 PQP917565 QAL917565 QKH917565 QUD917565 RDZ917565 RNV917565 RXR917565 SHN917565 SRJ917565 TBF917565 TLB917565 TUX917565 UET917565 UOP917565 UYL917565 VIH917565 VSD917565 WBZ917565 WLV917565 WVR917565 J983101 JF983101 TB983101 ACX983101 AMT983101 AWP983101 BGL983101 BQH983101 CAD983101 CJZ983101 CTV983101 DDR983101 DNN983101 DXJ983101 EHF983101 ERB983101 FAX983101 FKT983101 FUP983101 GEL983101 GOH983101 GYD983101 HHZ983101 HRV983101 IBR983101 ILN983101 IVJ983101 JFF983101 JPB983101 JYX983101 KIT983101 KSP983101 LCL983101 LMH983101 LWD983101 MFZ983101 MPV983101 MZR983101 NJN983101 NTJ983101 ODF983101 ONB983101 OWX983101 PGT983101 PQP983101 QAL983101 QKH983101 QUD983101 RDZ983101 RNV983101 RXR983101 SHN983101 SRJ983101 TBF983101 TLB983101 TUX983101 UET983101 UOP983101 UYL983101 VIH983101 VSD983101 WBZ983101 WLV983101 WVR983101" xr:uid="{4E8DC219-282A-41C3-A0F1-F14F82EF577A}">
      <formula1>Venting</formula1>
    </dataValidation>
    <dataValidation type="list" allowBlank="1" showInputMessage="1" showErrorMessage="1" sqref="J30 JF30 TB30 ACX30 AMT30 AWP30 BGL30 BQH30 CAD30 CJZ30 CTV30 DDR30 DNN30 DXJ30 EHF30 ERB30 FAX30 FKT30 FUP30 GEL30 GOH30 GYD30 HHZ30 HRV30 IBR30 ILN30 IVJ30 JFF30 JPB30 JYX30 KIT30 KSP30 LCL30 LMH30 LWD30 MFZ30 MPV30 MZR30 NJN30 NTJ30 ODF30 ONB30 OWX30 PGT30 PQP30 QAL30 QKH30 QUD30 RDZ30 RNV30 RXR30 SHN30 SRJ30 TBF30 TLB30 TUX30 UET30 UOP30 UYL30 VIH30 VSD30 WBZ30 WLV30 WVR30 J65566 JF65566 TB65566 ACX65566 AMT65566 AWP65566 BGL65566 BQH65566 CAD65566 CJZ65566 CTV65566 DDR65566 DNN65566 DXJ65566 EHF65566 ERB65566 FAX65566 FKT65566 FUP65566 GEL65566 GOH65566 GYD65566 HHZ65566 HRV65566 IBR65566 ILN65566 IVJ65566 JFF65566 JPB65566 JYX65566 KIT65566 KSP65566 LCL65566 LMH65566 LWD65566 MFZ65566 MPV65566 MZR65566 NJN65566 NTJ65566 ODF65566 ONB65566 OWX65566 PGT65566 PQP65566 QAL65566 QKH65566 QUD65566 RDZ65566 RNV65566 RXR65566 SHN65566 SRJ65566 TBF65566 TLB65566 TUX65566 UET65566 UOP65566 UYL65566 VIH65566 VSD65566 WBZ65566 WLV65566 WVR65566 J131102 JF131102 TB131102 ACX131102 AMT131102 AWP131102 BGL131102 BQH131102 CAD131102 CJZ131102 CTV131102 DDR131102 DNN131102 DXJ131102 EHF131102 ERB131102 FAX131102 FKT131102 FUP131102 GEL131102 GOH131102 GYD131102 HHZ131102 HRV131102 IBR131102 ILN131102 IVJ131102 JFF131102 JPB131102 JYX131102 KIT131102 KSP131102 LCL131102 LMH131102 LWD131102 MFZ131102 MPV131102 MZR131102 NJN131102 NTJ131102 ODF131102 ONB131102 OWX131102 PGT131102 PQP131102 QAL131102 QKH131102 QUD131102 RDZ131102 RNV131102 RXR131102 SHN131102 SRJ131102 TBF131102 TLB131102 TUX131102 UET131102 UOP131102 UYL131102 VIH131102 VSD131102 WBZ131102 WLV131102 WVR131102 J196638 JF196638 TB196638 ACX196638 AMT196638 AWP196638 BGL196638 BQH196638 CAD196638 CJZ196638 CTV196638 DDR196638 DNN196638 DXJ196638 EHF196638 ERB196638 FAX196638 FKT196638 FUP196638 GEL196638 GOH196638 GYD196638 HHZ196638 HRV196638 IBR196638 ILN196638 IVJ196638 JFF196638 JPB196638 JYX196638 KIT196638 KSP196638 LCL196638 LMH196638 LWD196638 MFZ196638 MPV196638 MZR196638 NJN196638 NTJ196638 ODF196638 ONB196638 OWX196638 PGT196638 PQP196638 QAL196638 QKH196638 QUD196638 RDZ196638 RNV196638 RXR196638 SHN196638 SRJ196638 TBF196638 TLB196638 TUX196638 UET196638 UOP196638 UYL196638 VIH196638 VSD196638 WBZ196638 WLV196638 WVR196638 J262174 JF262174 TB262174 ACX262174 AMT262174 AWP262174 BGL262174 BQH262174 CAD262174 CJZ262174 CTV262174 DDR262174 DNN262174 DXJ262174 EHF262174 ERB262174 FAX262174 FKT262174 FUP262174 GEL262174 GOH262174 GYD262174 HHZ262174 HRV262174 IBR262174 ILN262174 IVJ262174 JFF262174 JPB262174 JYX262174 KIT262174 KSP262174 LCL262174 LMH262174 LWD262174 MFZ262174 MPV262174 MZR262174 NJN262174 NTJ262174 ODF262174 ONB262174 OWX262174 PGT262174 PQP262174 QAL262174 QKH262174 QUD262174 RDZ262174 RNV262174 RXR262174 SHN262174 SRJ262174 TBF262174 TLB262174 TUX262174 UET262174 UOP262174 UYL262174 VIH262174 VSD262174 WBZ262174 WLV262174 WVR262174 J327710 JF327710 TB327710 ACX327710 AMT327710 AWP327710 BGL327710 BQH327710 CAD327710 CJZ327710 CTV327710 DDR327710 DNN327710 DXJ327710 EHF327710 ERB327710 FAX327710 FKT327710 FUP327710 GEL327710 GOH327710 GYD327710 HHZ327710 HRV327710 IBR327710 ILN327710 IVJ327710 JFF327710 JPB327710 JYX327710 KIT327710 KSP327710 LCL327710 LMH327710 LWD327710 MFZ327710 MPV327710 MZR327710 NJN327710 NTJ327710 ODF327710 ONB327710 OWX327710 PGT327710 PQP327710 QAL327710 QKH327710 QUD327710 RDZ327710 RNV327710 RXR327710 SHN327710 SRJ327710 TBF327710 TLB327710 TUX327710 UET327710 UOP327710 UYL327710 VIH327710 VSD327710 WBZ327710 WLV327710 WVR327710 J393246 JF393246 TB393246 ACX393246 AMT393246 AWP393246 BGL393246 BQH393246 CAD393246 CJZ393246 CTV393246 DDR393246 DNN393246 DXJ393246 EHF393246 ERB393246 FAX393246 FKT393246 FUP393246 GEL393246 GOH393246 GYD393246 HHZ393246 HRV393246 IBR393246 ILN393246 IVJ393246 JFF393246 JPB393246 JYX393246 KIT393246 KSP393246 LCL393246 LMH393246 LWD393246 MFZ393246 MPV393246 MZR393246 NJN393246 NTJ393246 ODF393246 ONB393246 OWX393246 PGT393246 PQP393246 QAL393246 QKH393246 QUD393246 RDZ393246 RNV393246 RXR393246 SHN393246 SRJ393246 TBF393246 TLB393246 TUX393246 UET393246 UOP393246 UYL393246 VIH393246 VSD393246 WBZ393246 WLV393246 WVR393246 J458782 JF458782 TB458782 ACX458782 AMT458782 AWP458782 BGL458782 BQH458782 CAD458782 CJZ458782 CTV458782 DDR458782 DNN458782 DXJ458782 EHF458782 ERB458782 FAX458782 FKT458782 FUP458782 GEL458782 GOH458782 GYD458782 HHZ458782 HRV458782 IBR458782 ILN458782 IVJ458782 JFF458782 JPB458782 JYX458782 KIT458782 KSP458782 LCL458782 LMH458782 LWD458782 MFZ458782 MPV458782 MZR458782 NJN458782 NTJ458782 ODF458782 ONB458782 OWX458782 PGT458782 PQP458782 QAL458782 QKH458782 QUD458782 RDZ458782 RNV458782 RXR458782 SHN458782 SRJ458782 TBF458782 TLB458782 TUX458782 UET458782 UOP458782 UYL458782 VIH458782 VSD458782 WBZ458782 WLV458782 WVR458782 J524318 JF524318 TB524318 ACX524318 AMT524318 AWP524318 BGL524318 BQH524318 CAD524318 CJZ524318 CTV524318 DDR524318 DNN524318 DXJ524318 EHF524318 ERB524318 FAX524318 FKT524318 FUP524318 GEL524318 GOH524318 GYD524318 HHZ524318 HRV524318 IBR524318 ILN524318 IVJ524318 JFF524318 JPB524318 JYX524318 KIT524318 KSP524318 LCL524318 LMH524318 LWD524318 MFZ524318 MPV524318 MZR524318 NJN524318 NTJ524318 ODF524318 ONB524318 OWX524318 PGT524318 PQP524318 QAL524318 QKH524318 QUD524318 RDZ524318 RNV524318 RXR524318 SHN524318 SRJ524318 TBF524318 TLB524318 TUX524318 UET524318 UOP524318 UYL524318 VIH524318 VSD524318 WBZ524318 WLV524318 WVR524318 J589854 JF589854 TB589854 ACX589854 AMT589854 AWP589854 BGL589854 BQH589854 CAD589854 CJZ589854 CTV589854 DDR589854 DNN589854 DXJ589854 EHF589854 ERB589854 FAX589854 FKT589854 FUP589854 GEL589854 GOH589854 GYD589854 HHZ589854 HRV589854 IBR589854 ILN589854 IVJ589854 JFF589854 JPB589854 JYX589854 KIT589854 KSP589854 LCL589854 LMH589854 LWD589854 MFZ589854 MPV589854 MZR589854 NJN589854 NTJ589854 ODF589854 ONB589854 OWX589854 PGT589854 PQP589854 QAL589854 QKH589854 QUD589854 RDZ589854 RNV589854 RXR589854 SHN589854 SRJ589854 TBF589854 TLB589854 TUX589854 UET589854 UOP589854 UYL589854 VIH589854 VSD589854 WBZ589854 WLV589854 WVR589854 J655390 JF655390 TB655390 ACX655390 AMT655390 AWP655390 BGL655390 BQH655390 CAD655390 CJZ655390 CTV655390 DDR655390 DNN655390 DXJ655390 EHF655390 ERB655390 FAX655390 FKT655390 FUP655390 GEL655390 GOH655390 GYD655390 HHZ655390 HRV655390 IBR655390 ILN655390 IVJ655390 JFF655390 JPB655390 JYX655390 KIT655390 KSP655390 LCL655390 LMH655390 LWD655390 MFZ655390 MPV655390 MZR655390 NJN655390 NTJ655390 ODF655390 ONB655390 OWX655390 PGT655390 PQP655390 QAL655390 QKH655390 QUD655390 RDZ655390 RNV655390 RXR655390 SHN655390 SRJ655390 TBF655390 TLB655390 TUX655390 UET655390 UOP655390 UYL655390 VIH655390 VSD655390 WBZ655390 WLV655390 WVR655390 J720926 JF720926 TB720926 ACX720926 AMT720926 AWP720926 BGL720926 BQH720926 CAD720926 CJZ720926 CTV720926 DDR720926 DNN720926 DXJ720926 EHF720926 ERB720926 FAX720926 FKT720926 FUP720926 GEL720926 GOH720926 GYD720926 HHZ720926 HRV720926 IBR720926 ILN720926 IVJ720926 JFF720926 JPB720926 JYX720926 KIT720926 KSP720926 LCL720926 LMH720926 LWD720926 MFZ720926 MPV720926 MZR720926 NJN720926 NTJ720926 ODF720926 ONB720926 OWX720926 PGT720926 PQP720926 QAL720926 QKH720926 QUD720926 RDZ720926 RNV720926 RXR720926 SHN720926 SRJ720926 TBF720926 TLB720926 TUX720926 UET720926 UOP720926 UYL720926 VIH720926 VSD720926 WBZ720926 WLV720926 WVR720926 J786462 JF786462 TB786462 ACX786462 AMT786462 AWP786462 BGL786462 BQH786462 CAD786462 CJZ786462 CTV786462 DDR786462 DNN786462 DXJ786462 EHF786462 ERB786462 FAX786462 FKT786462 FUP786462 GEL786462 GOH786462 GYD786462 HHZ786462 HRV786462 IBR786462 ILN786462 IVJ786462 JFF786462 JPB786462 JYX786462 KIT786462 KSP786462 LCL786462 LMH786462 LWD786462 MFZ786462 MPV786462 MZR786462 NJN786462 NTJ786462 ODF786462 ONB786462 OWX786462 PGT786462 PQP786462 QAL786462 QKH786462 QUD786462 RDZ786462 RNV786462 RXR786462 SHN786462 SRJ786462 TBF786462 TLB786462 TUX786462 UET786462 UOP786462 UYL786462 VIH786462 VSD786462 WBZ786462 WLV786462 WVR786462 J851998 JF851998 TB851998 ACX851998 AMT851998 AWP851998 BGL851998 BQH851998 CAD851998 CJZ851998 CTV851998 DDR851998 DNN851998 DXJ851998 EHF851998 ERB851998 FAX851998 FKT851998 FUP851998 GEL851998 GOH851998 GYD851998 HHZ851998 HRV851998 IBR851998 ILN851998 IVJ851998 JFF851998 JPB851998 JYX851998 KIT851998 KSP851998 LCL851998 LMH851998 LWD851998 MFZ851998 MPV851998 MZR851998 NJN851998 NTJ851998 ODF851998 ONB851998 OWX851998 PGT851998 PQP851998 QAL851998 QKH851998 QUD851998 RDZ851998 RNV851998 RXR851998 SHN851998 SRJ851998 TBF851998 TLB851998 TUX851998 UET851998 UOP851998 UYL851998 VIH851998 VSD851998 WBZ851998 WLV851998 WVR851998 J917534 JF917534 TB917534 ACX917534 AMT917534 AWP917534 BGL917534 BQH917534 CAD917534 CJZ917534 CTV917534 DDR917534 DNN917534 DXJ917534 EHF917534 ERB917534 FAX917534 FKT917534 FUP917534 GEL917534 GOH917534 GYD917534 HHZ917534 HRV917534 IBR917534 ILN917534 IVJ917534 JFF917534 JPB917534 JYX917534 KIT917534 KSP917534 LCL917534 LMH917534 LWD917534 MFZ917534 MPV917534 MZR917534 NJN917534 NTJ917534 ODF917534 ONB917534 OWX917534 PGT917534 PQP917534 QAL917534 QKH917534 QUD917534 RDZ917534 RNV917534 RXR917534 SHN917534 SRJ917534 TBF917534 TLB917534 TUX917534 UET917534 UOP917534 UYL917534 VIH917534 VSD917534 WBZ917534 WLV917534 WVR917534 J983070 JF983070 TB983070 ACX983070 AMT983070 AWP983070 BGL983070 BQH983070 CAD983070 CJZ983070 CTV983070 DDR983070 DNN983070 DXJ983070 EHF983070 ERB983070 FAX983070 FKT983070 FUP983070 GEL983070 GOH983070 GYD983070 HHZ983070 HRV983070 IBR983070 ILN983070 IVJ983070 JFF983070 JPB983070 JYX983070 KIT983070 KSP983070 LCL983070 LMH983070 LWD983070 MFZ983070 MPV983070 MZR983070 NJN983070 NTJ983070 ODF983070 ONB983070 OWX983070 PGT983070 PQP983070 QAL983070 QKH983070 QUD983070 RDZ983070 RNV983070 RXR983070 SHN983070 SRJ983070 TBF983070 TLB983070 TUX983070 UET983070 UOP983070 UYL983070 VIH983070 VSD983070 WBZ983070 WLV983070 WVR983070 J46 JF46 TB46 ACX46 AMT46 AWP46 BGL46 BQH46 CAD46 CJZ46 CTV46 DDR46 DNN46 DXJ46 EHF46 ERB46 FAX46 FKT46 FUP46 GEL46 GOH46 GYD46 HHZ46 HRV46 IBR46 ILN46 IVJ46 JFF46 JPB46 JYX46 KIT46 KSP46 LCL46 LMH46 LWD46 MFZ46 MPV46 MZR46 NJN46 NTJ46 ODF46 ONB46 OWX46 PGT46 PQP46 QAL46 QKH46 QUD46 RDZ46 RNV46 RXR46 SHN46 SRJ46 TBF46 TLB46 TUX46 UET46 UOP46 UYL46 VIH46 VSD46 WBZ46 WLV46 WVR46 J65582 JF65582 TB65582 ACX65582 AMT65582 AWP65582 BGL65582 BQH65582 CAD65582 CJZ65582 CTV65582 DDR65582 DNN65582 DXJ65582 EHF65582 ERB65582 FAX65582 FKT65582 FUP65582 GEL65582 GOH65582 GYD65582 HHZ65582 HRV65582 IBR65582 ILN65582 IVJ65582 JFF65582 JPB65582 JYX65582 KIT65582 KSP65582 LCL65582 LMH65582 LWD65582 MFZ65582 MPV65582 MZR65582 NJN65582 NTJ65582 ODF65582 ONB65582 OWX65582 PGT65582 PQP65582 QAL65582 QKH65582 QUD65582 RDZ65582 RNV65582 RXR65582 SHN65582 SRJ65582 TBF65582 TLB65582 TUX65582 UET65582 UOP65582 UYL65582 VIH65582 VSD65582 WBZ65582 WLV65582 WVR65582 J131118 JF131118 TB131118 ACX131118 AMT131118 AWP131118 BGL131118 BQH131118 CAD131118 CJZ131118 CTV131118 DDR131118 DNN131118 DXJ131118 EHF131118 ERB131118 FAX131118 FKT131118 FUP131118 GEL131118 GOH131118 GYD131118 HHZ131118 HRV131118 IBR131118 ILN131118 IVJ131118 JFF131118 JPB131118 JYX131118 KIT131118 KSP131118 LCL131118 LMH131118 LWD131118 MFZ131118 MPV131118 MZR131118 NJN131118 NTJ131118 ODF131118 ONB131118 OWX131118 PGT131118 PQP131118 QAL131118 QKH131118 QUD131118 RDZ131118 RNV131118 RXR131118 SHN131118 SRJ131118 TBF131118 TLB131118 TUX131118 UET131118 UOP131118 UYL131118 VIH131118 VSD131118 WBZ131118 WLV131118 WVR131118 J196654 JF196654 TB196654 ACX196654 AMT196654 AWP196654 BGL196654 BQH196654 CAD196654 CJZ196654 CTV196654 DDR196654 DNN196654 DXJ196654 EHF196654 ERB196654 FAX196654 FKT196654 FUP196654 GEL196654 GOH196654 GYD196654 HHZ196654 HRV196654 IBR196654 ILN196654 IVJ196654 JFF196654 JPB196654 JYX196654 KIT196654 KSP196654 LCL196654 LMH196654 LWD196654 MFZ196654 MPV196654 MZR196654 NJN196654 NTJ196654 ODF196654 ONB196654 OWX196654 PGT196654 PQP196654 QAL196654 QKH196654 QUD196654 RDZ196654 RNV196654 RXR196654 SHN196654 SRJ196654 TBF196654 TLB196654 TUX196654 UET196654 UOP196654 UYL196654 VIH196654 VSD196654 WBZ196654 WLV196654 WVR196654 J262190 JF262190 TB262190 ACX262190 AMT262190 AWP262190 BGL262190 BQH262190 CAD262190 CJZ262190 CTV262190 DDR262190 DNN262190 DXJ262190 EHF262190 ERB262190 FAX262190 FKT262190 FUP262190 GEL262190 GOH262190 GYD262190 HHZ262190 HRV262190 IBR262190 ILN262190 IVJ262190 JFF262190 JPB262190 JYX262190 KIT262190 KSP262190 LCL262190 LMH262190 LWD262190 MFZ262190 MPV262190 MZR262190 NJN262190 NTJ262190 ODF262190 ONB262190 OWX262190 PGT262190 PQP262190 QAL262190 QKH262190 QUD262190 RDZ262190 RNV262190 RXR262190 SHN262190 SRJ262190 TBF262190 TLB262190 TUX262190 UET262190 UOP262190 UYL262190 VIH262190 VSD262190 WBZ262190 WLV262190 WVR262190 J327726 JF327726 TB327726 ACX327726 AMT327726 AWP327726 BGL327726 BQH327726 CAD327726 CJZ327726 CTV327726 DDR327726 DNN327726 DXJ327726 EHF327726 ERB327726 FAX327726 FKT327726 FUP327726 GEL327726 GOH327726 GYD327726 HHZ327726 HRV327726 IBR327726 ILN327726 IVJ327726 JFF327726 JPB327726 JYX327726 KIT327726 KSP327726 LCL327726 LMH327726 LWD327726 MFZ327726 MPV327726 MZR327726 NJN327726 NTJ327726 ODF327726 ONB327726 OWX327726 PGT327726 PQP327726 QAL327726 QKH327726 QUD327726 RDZ327726 RNV327726 RXR327726 SHN327726 SRJ327726 TBF327726 TLB327726 TUX327726 UET327726 UOP327726 UYL327726 VIH327726 VSD327726 WBZ327726 WLV327726 WVR327726 J393262 JF393262 TB393262 ACX393262 AMT393262 AWP393262 BGL393262 BQH393262 CAD393262 CJZ393262 CTV393262 DDR393262 DNN393262 DXJ393262 EHF393262 ERB393262 FAX393262 FKT393262 FUP393262 GEL393262 GOH393262 GYD393262 HHZ393262 HRV393262 IBR393262 ILN393262 IVJ393262 JFF393262 JPB393262 JYX393262 KIT393262 KSP393262 LCL393262 LMH393262 LWD393262 MFZ393262 MPV393262 MZR393262 NJN393262 NTJ393262 ODF393262 ONB393262 OWX393262 PGT393262 PQP393262 QAL393262 QKH393262 QUD393262 RDZ393262 RNV393262 RXR393262 SHN393262 SRJ393262 TBF393262 TLB393262 TUX393262 UET393262 UOP393262 UYL393262 VIH393262 VSD393262 WBZ393262 WLV393262 WVR393262 J458798 JF458798 TB458798 ACX458798 AMT458798 AWP458798 BGL458798 BQH458798 CAD458798 CJZ458798 CTV458798 DDR458798 DNN458798 DXJ458798 EHF458798 ERB458798 FAX458798 FKT458798 FUP458798 GEL458798 GOH458798 GYD458798 HHZ458798 HRV458798 IBR458798 ILN458798 IVJ458798 JFF458798 JPB458798 JYX458798 KIT458798 KSP458798 LCL458798 LMH458798 LWD458798 MFZ458798 MPV458798 MZR458798 NJN458798 NTJ458798 ODF458798 ONB458798 OWX458798 PGT458798 PQP458798 QAL458798 QKH458798 QUD458798 RDZ458798 RNV458798 RXR458798 SHN458798 SRJ458798 TBF458798 TLB458798 TUX458798 UET458798 UOP458798 UYL458798 VIH458798 VSD458798 WBZ458798 WLV458798 WVR458798 J524334 JF524334 TB524334 ACX524334 AMT524334 AWP524334 BGL524334 BQH524334 CAD524334 CJZ524334 CTV524334 DDR524334 DNN524334 DXJ524334 EHF524334 ERB524334 FAX524334 FKT524334 FUP524334 GEL524334 GOH524334 GYD524334 HHZ524334 HRV524334 IBR524334 ILN524334 IVJ524334 JFF524334 JPB524334 JYX524334 KIT524334 KSP524334 LCL524334 LMH524334 LWD524334 MFZ524334 MPV524334 MZR524334 NJN524334 NTJ524334 ODF524334 ONB524334 OWX524334 PGT524334 PQP524334 QAL524334 QKH524334 QUD524334 RDZ524334 RNV524334 RXR524334 SHN524334 SRJ524334 TBF524334 TLB524334 TUX524334 UET524334 UOP524334 UYL524334 VIH524334 VSD524334 WBZ524334 WLV524334 WVR524334 J589870 JF589870 TB589870 ACX589870 AMT589870 AWP589870 BGL589870 BQH589870 CAD589870 CJZ589870 CTV589870 DDR589870 DNN589870 DXJ589870 EHF589870 ERB589870 FAX589870 FKT589870 FUP589870 GEL589870 GOH589870 GYD589870 HHZ589870 HRV589870 IBR589870 ILN589870 IVJ589870 JFF589870 JPB589870 JYX589870 KIT589870 KSP589870 LCL589870 LMH589870 LWD589870 MFZ589870 MPV589870 MZR589870 NJN589870 NTJ589870 ODF589870 ONB589870 OWX589870 PGT589870 PQP589870 QAL589870 QKH589870 QUD589870 RDZ589870 RNV589870 RXR589870 SHN589870 SRJ589870 TBF589870 TLB589870 TUX589870 UET589870 UOP589870 UYL589870 VIH589870 VSD589870 WBZ589870 WLV589870 WVR589870 J655406 JF655406 TB655406 ACX655406 AMT655406 AWP655406 BGL655406 BQH655406 CAD655406 CJZ655406 CTV655406 DDR655406 DNN655406 DXJ655406 EHF655406 ERB655406 FAX655406 FKT655406 FUP655406 GEL655406 GOH655406 GYD655406 HHZ655406 HRV655406 IBR655406 ILN655406 IVJ655406 JFF655406 JPB655406 JYX655406 KIT655406 KSP655406 LCL655406 LMH655406 LWD655406 MFZ655406 MPV655406 MZR655406 NJN655406 NTJ655406 ODF655406 ONB655406 OWX655406 PGT655406 PQP655406 QAL655406 QKH655406 QUD655406 RDZ655406 RNV655406 RXR655406 SHN655406 SRJ655406 TBF655406 TLB655406 TUX655406 UET655406 UOP655406 UYL655406 VIH655406 VSD655406 WBZ655406 WLV655406 WVR655406 J720942 JF720942 TB720942 ACX720942 AMT720942 AWP720942 BGL720942 BQH720942 CAD720942 CJZ720942 CTV720942 DDR720942 DNN720942 DXJ720942 EHF720942 ERB720942 FAX720942 FKT720942 FUP720942 GEL720942 GOH720942 GYD720942 HHZ720942 HRV720942 IBR720942 ILN720942 IVJ720942 JFF720942 JPB720942 JYX720942 KIT720942 KSP720942 LCL720942 LMH720942 LWD720942 MFZ720942 MPV720942 MZR720942 NJN720942 NTJ720942 ODF720942 ONB720942 OWX720942 PGT720942 PQP720942 QAL720942 QKH720942 QUD720942 RDZ720942 RNV720942 RXR720942 SHN720942 SRJ720942 TBF720942 TLB720942 TUX720942 UET720942 UOP720942 UYL720942 VIH720942 VSD720942 WBZ720942 WLV720942 WVR720942 J786478 JF786478 TB786478 ACX786478 AMT786478 AWP786478 BGL786478 BQH786478 CAD786478 CJZ786478 CTV786478 DDR786478 DNN786478 DXJ786478 EHF786478 ERB786478 FAX786478 FKT786478 FUP786478 GEL786478 GOH786478 GYD786478 HHZ786478 HRV786478 IBR786478 ILN786478 IVJ786478 JFF786478 JPB786478 JYX786478 KIT786478 KSP786478 LCL786478 LMH786478 LWD786478 MFZ786478 MPV786478 MZR786478 NJN786478 NTJ786478 ODF786478 ONB786478 OWX786478 PGT786478 PQP786478 QAL786478 QKH786478 QUD786478 RDZ786478 RNV786478 RXR786478 SHN786478 SRJ786478 TBF786478 TLB786478 TUX786478 UET786478 UOP786478 UYL786478 VIH786478 VSD786478 WBZ786478 WLV786478 WVR786478 J852014 JF852014 TB852014 ACX852014 AMT852014 AWP852014 BGL852014 BQH852014 CAD852014 CJZ852014 CTV852014 DDR852014 DNN852014 DXJ852014 EHF852014 ERB852014 FAX852014 FKT852014 FUP852014 GEL852014 GOH852014 GYD852014 HHZ852014 HRV852014 IBR852014 ILN852014 IVJ852014 JFF852014 JPB852014 JYX852014 KIT852014 KSP852014 LCL852014 LMH852014 LWD852014 MFZ852014 MPV852014 MZR852014 NJN852014 NTJ852014 ODF852014 ONB852014 OWX852014 PGT852014 PQP852014 QAL852014 QKH852014 QUD852014 RDZ852014 RNV852014 RXR852014 SHN852014 SRJ852014 TBF852014 TLB852014 TUX852014 UET852014 UOP852014 UYL852014 VIH852014 VSD852014 WBZ852014 WLV852014 WVR852014 J917550 JF917550 TB917550 ACX917550 AMT917550 AWP917550 BGL917550 BQH917550 CAD917550 CJZ917550 CTV917550 DDR917550 DNN917550 DXJ917550 EHF917550 ERB917550 FAX917550 FKT917550 FUP917550 GEL917550 GOH917550 GYD917550 HHZ917550 HRV917550 IBR917550 ILN917550 IVJ917550 JFF917550 JPB917550 JYX917550 KIT917550 KSP917550 LCL917550 LMH917550 LWD917550 MFZ917550 MPV917550 MZR917550 NJN917550 NTJ917550 ODF917550 ONB917550 OWX917550 PGT917550 PQP917550 QAL917550 QKH917550 QUD917550 RDZ917550 RNV917550 RXR917550 SHN917550 SRJ917550 TBF917550 TLB917550 TUX917550 UET917550 UOP917550 UYL917550 VIH917550 VSD917550 WBZ917550 WLV917550 WVR917550 J983086 JF983086 TB983086 ACX983086 AMT983086 AWP983086 BGL983086 BQH983086 CAD983086 CJZ983086 CTV983086 DDR983086 DNN983086 DXJ983086 EHF983086 ERB983086 FAX983086 FKT983086 FUP983086 GEL983086 GOH983086 GYD983086 HHZ983086 HRV983086 IBR983086 ILN983086 IVJ983086 JFF983086 JPB983086 JYX983086 KIT983086 KSP983086 LCL983086 LMH983086 LWD983086 MFZ983086 MPV983086 MZR983086 NJN983086 NTJ983086 ODF983086 ONB983086 OWX983086 PGT983086 PQP983086 QAL983086 QKH983086 QUD983086 RDZ983086 RNV983086 RXR983086 SHN983086 SRJ983086 TBF983086 TLB983086 TUX983086 UET983086 UOP983086 UYL983086 VIH983086 VSD983086 WBZ983086 WLV983086 WVR983086 J62 JF62 TB62 ACX62 AMT62 AWP62 BGL62 BQH62 CAD62 CJZ62 CTV62 DDR62 DNN62 DXJ62 EHF62 ERB62 FAX62 FKT62 FUP62 GEL62 GOH62 GYD62 HHZ62 HRV62 IBR62 ILN62 IVJ62 JFF62 JPB62 JYX62 KIT62 KSP62 LCL62 LMH62 LWD62 MFZ62 MPV62 MZR62 NJN62 NTJ62 ODF62 ONB62 OWX62 PGT62 PQP62 QAL62 QKH62 QUD62 RDZ62 RNV62 RXR62 SHN62 SRJ62 TBF62 TLB62 TUX62 UET62 UOP62 UYL62 VIH62 VSD62 WBZ62 WLV62 WVR62 J65598 JF65598 TB65598 ACX65598 AMT65598 AWP65598 BGL65598 BQH65598 CAD65598 CJZ65598 CTV65598 DDR65598 DNN65598 DXJ65598 EHF65598 ERB65598 FAX65598 FKT65598 FUP65598 GEL65598 GOH65598 GYD65598 HHZ65598 HRV65598 IBR65598 ILN65598 IVJ65598 JFF65598 JPB65598 JYX65598 KIT65598 KSP65598 LCL65598 LMH65598 LWD65598 MFZ65598 MPV65598 MZR65598 NJN65598 NTJ65598 ODF65598 ONB65598 OWX65598 PGT65598 PQP65598 QAL65598 QKH65598 QUD65598 RDZ65598 RNV65598 RXR65598 SHN65598 SRJ65598 TBF65598 TLB65598 TUX65598 UET65598 UOP65598 UYL65598 VIH65598 VSD65598 WBZ65598 WLV65598 WVR65598 J131134 JF131134 TB131134 ACX131134 AMT131134 AWP131134 BGL131134 BQH131134 CAD131134 CJZ131134 CTV131134 DDR131134 DNN131134 DXJ131134 EHF131134 ERB131134 FAX131134 FKT131134 FUP131134 GEL131134 GOH131134 GYD131134 HHZ131134 HRV131134 IBR131134 ILN131134 IVJ131134 JFF131134 JPB131134 JYX131134 KIT131134 KSP131134 LCL131134 LMH131134 LWD131134 MFZ131134 MPV131134 MZR131134 NJN131134 NTJ131134 ODF131134 ONB131134 OWX131134 PGT131134 PQP131134 QAL131134 QKH131134 QUD131134 RDZ131134 RNV131134 RXR131134 SHN131134 SRJ131134 TBF131134 TLB131134 TUX131134 UET131134 UOP131134 UYL131134 VIH131134 VSD131134 WBZ131134 WLV131134 WVR131134 J196670 JF196670 TB196670 ACX196670 AMT196670 AWP196670 BGL196670 BQH196670 CAD196670 CJZ196670 CTV196670 DDR196670 DNN196670 DXJ196670 EHF196670 ERB196670 FAX196670 FKT196670 FUP196670 GEL196670 GOH196670 GYD196670 HHZ196670 HRV196670 IBR196670 ILN196670 IVJ196670 JFF196670 JPB196670 JYX196670 KIT196670 KSP196670 LCL196670 LMH196670 LWD196670 MFZ196670 MPV196670 MZR196670 NJN196670 NTJ196670 ODF196670 ONB196670 OWX196670 PGT196670 PQP196670 QAL196670 QKH196670 QUD196670 RDZ196670 RNV196670 RXR196670 SHN196670 SRJ196670 TBF196670 TLB196670 TUX196670 UET196670 UOP196670 UYL196670 VIH196670 VSD196670 WBZ196670 WLV196670 WVR196670 J262206 JF262206 TB262206 ACX262206 AMT262206 AWP262206 BGL262206 BQH262206 CAD262206 CJZ262206 CTV262206 DDR262206 DNN262206 DXJ262206 EHF262206 ERB262206 FAX262206 FKT262206 FUP262206 GEL262206 GOH262206 GYD262206 HHZ262206 HRV262206 IBR262206 ILN262206 IVJ262206 JFF262206 JPB262206 JYX262206 KIT262206 KSP262206 LCL262206 LMH262206 LWD262206 MFZ262206 MPV262206 MZR262206 NJN262206 NTJ262206 ODF262206 ONB262206 OWX262206 PGT262206 PQP262206 QAL262206 QKH262206 QUD262206 RDZ262206 RNV262206 RXR262206 SHN262206 SRJ262206 TBF262206 TLB262206 TUX262206 UET262206 UOP262206 UYL262206 VIH262206 VSD262206 WBZ262206 WLV262206 WVR262206 J327742 JF327742 TB327742 ACX327742 AMT327742 AWP327742 BGL327742 BQH327742 CAD327742 CJZ327742 CTV327742 DDR327742 DNN327742 DXJ327742 EHF327742 ERB327742 FAX327742 FKT327742 FUP327742 GEL327742 GOH327742 GYD327742 HHZ327742 HRV327742 IBR327742 ILN327742 IVJ327742 JFF327742 JPB327742 JYX327742 KIT327742 KSP327742 LCL327742 LMH327742 LWD327742 MFZ327742 MPV327742 MZR327742 NJN327742 NTJ327742 ODF327742 ONB327742 OWX327742 PGT327742 PQP327742 QAL327742 QKH327742 QUD327742 RDZ327742 RNV327742 RXR327742 SHN327742 SRJ327742 TBF327742 TLB327742 TUX327742 UET327742 UOP327742 UYL327742 VIH327742 VSD327742 WBZ327742 WLV327742 WVR327742 J393278 JF393278 TB393278 ACX393278 AMT393278 AWP393278 BGL393278 BQH393278 CAD393278 CJZ393278 CTV393278 DDR393278 DNN393278 DXJ393278 EHF393278 ERB393278 FAX393278 FKT393278 FUP393278 GEL393278 GOH393278 GYD393278 HHZ393278 HRV393278 IBR393278 ILN393278 IVJ393278 JFF393278 JPB393278 JYX393278 KIT393278 KSP393278 LCL393278 LMH393278 LWD393278 MFZ393278 MPV393278 MZR393278 NJN393278 NTJ393278 ODF393278 ONB393278 OWX393278 PGT393278 PQP393278 QAL393278 QKH393278 QUD393278 RDZ393278 RNV393278 RXR393278 SHN393278 SRJ393278 TBF393278 TLB393278 TUX393278 UET393278 UOP393278 UYL393278 VIH393278 VSD393278 WBZ393278 WLV393278 WVR393278 J458814 JF458814 TB458814 ACX458814 AMT458814 AWP458814 BGL458814 BQH458814 CAD458814 CJZ458814 CTV458814 DDR458814 DNN458814 DXJ458814 EHF458814 ERB458814 FAX458814 FKT458814 FUP458814 GEL458814 GOH458814 GYD458814 HHZ458814 HRV458814 IBR458814 ILN458814 IVJ458814 JFF458814 JPB458814 JYX458814 KIT458814 KSP458814 LCL458814 LMH458814 LWD458814 MFZ458814 MPV458814 MZR458814 NJN458814 NTJ458814 ODF458814 ONB458814 OWX458814 PGT458814 PQP458814 QAL458814 QKH458814 QUD458814 RDZ458814 RNV458814 RXR458814 SHN458814 SRJ458814 TBF458814 TLB458814 TUX458814 UET458814 UOP458814 UYL458814 VIH458814 VSD458814 WBZ458814 WLV458814 WVR458814 J524350 JF524350 TB524350 ACX524350 AMT524350 AWP524350 BGL524350 BQH524350 CAD524350 CJZ524350 CTV524350 DDR524350 DNN524350 DXJ524350 EHF524350 ERB524350 FAX524350 FKT524350 FUP524350 GEL524350 GOH524350 GYD524350 HHZ524350 HRV524350 IBR524350 ILN524350 IVJ524350 JFF524350 JPB524350 JYX524350 KIT524350 KSP524350 LCL524350 LMH524350 LWD524350 MFZ524350 MPV524350 MZR524350 NJN524350 NTJ524350 ODF524350 ONB524350 OWX524350 PGT524350 PQP524350 QAL524350 QKH524350 QUD524350 RDZ524350 RNV524350 RXR524350 SHN524350 SRJ524350 TBF524350 TLB524350 TUX524350 UET524350 UOP524350 UYL524350 VIH524350 VSD524350 WBZ524350 WLV524350 WVR524350 J589886 JF589886 TB589886 ACX589886 AMT589886 AWP589886 BGL589886 BQH589886 CAD589886 CJZ589886 CTV589886 DDR589886 DNN589886 DXJ589886 EHF589886 ERB589886 FAX589886 FKT589886 FUP589886 GEL589886 GOH589886 GYD589886 HHZ589886 HRV589886 IBR589886 ILN589886 IVJ589886 JFF589886 JPB589886 JYX589886 KIT589886 KSP589886 LCL589886 LMH589886 LWD589886 MFZ589886 MPV589886 MZR589886 NJN589886 NTJ589886 ODF589886 ONB589886 OWX589886 PGT589886 PQP589886 QAL589886 QKH589886 QUD589886 RDZ589886 RNV589886 RXR589886 SHN589886 SRJ589886 TBF589886 TLB589886 TUX589886 UET589886 UOP589886 UYL589886 VIH589886 VSD589886 WBZ589886 WLV589886 WVR589886 J655422 JF655422 TB655422 ACX655422 AMT655422 AWP655422 BGL655422 BQH655422 CAD655422 CJZ655422 CTV655422 DDR655422 DNN655422 DXJ655422 EHF655422 ERB655422 FAX655422 FKT655422 FUP655422 GEL655422 GOH655422 GYD655422 HHZ655422 HRV655422 IBR655422 ILN655422 IVJ655422 JFF655422 JPB655422 JYX655422 KIT655422 KSP655422 LCL655422 LMH655422 LWD655422 MFZ655422 MPV655422 MZR655422 NJN655422 NTJ655422 ODF655422 ONB655422 OWX655422 PGT655422 PQP655422 QAL655422 QKH655422 QUD655422 RDZ655422 RNV655422 RXR655422 SHN655422 SRJ655422 TBF655422 TLB655422 TUX655422 UET655422 UOP655422 UYL655422 VIH655422 VSD655422 WBZ655422 WLV655422 WVR655422 J720958 JF720958 TB720958 ACX720958 AMT720958 AWP720958 BGL720958 BQH720958 CAD720958 CJZ720958 CTV720958 DDR720958 DNN720958 DXJ720958 EHF720958 ERB720958 FAX720958 FKT720958 FUP720958 GEL720958 GOH720958 GYD720958 HHZ720958 HRV720958 IBR720958 ILN720958 IVJ720958 JFF720958 JPB720958 JYX720958 KIT720958 KSP720958 LCL720958 LMH720958 LWD720958 MFZ720958 MPV720958 MZR720958 NJN720958 NTJ720958 ODF720958 ONB720958 OWX720958 PGT720958 PQP720958 QAL720958 QKH720958 QUD720958 RDZ720958 RNV720958 RXR720958 SHN720958 SRJ720958 TBF720958 TLB720958 TUX720958 UET720958 UOP720958 UYL720958 VIH720958 VSD720958 WBZ720958 WLV720958 WVR720958 J786494 JF786494 TB786494 ACX786494 AMT786494 AWP786494 BGL786494 BQH786494 CAD786494 CJZ786494 CTV786494 DDR786494 DNN786494 DXJ786494 EHF786494 ERB786494 FAX786494 FKT786494 FUP786494 GEL786494 GOH786494 GYD786494 HHZ786494 HRV786494 IBR786494 ILN786494 IVJ786494 JFF786494 JPB786494 JYX786494 KIT786494 KSP786494 LCL786494 LMH786494 LWD786494 MFZ786494 MPV786494 MZR786494 NJN786494 NTJ786494 ODF786494 ONB786494 OWX786494 PGT786494 PQP786494 QAL786494 QKH786494 QUD786494 RDZ786494 RNV786494 RXR786494 SHN786494 SRJ786494 TBF786494 TLB786494 TUX786494 UET786494 UOP786494 UYL786494 VIH786494 VSD786494 WBZ786494 WLV786494 WVR786494 J852030 JF852030 TB852030 ACX852030 AMT852030 AWP852030 BGL852030 BQH852030 CAD852030 CJZ852030 CTV852030 DDR852030 DNN852030 DXJ852030 EHF852030 ERB852030 FAX852030 FKT852030 FUP852030 GEL852030 GOH852030 GYD852030 HHZ852030 HRV852030 IBR852030 ILN852030 IVJ852030 JFF852030 JPB852030 JYX852030 KIT852030 KSP852030 LCL852030 LMH852030 LWD852030 MFZ852030 MPV852030 MZR852030 NJN852030 NTJ852030 ODF852030 ONB852030 OWX852030 PGT852030 PQP852030 QAL852030 QKH852030 QUD852030 RDZ852030 RNV852030 RXR852030 SHN852030 SRJ852030 TBF852030 TLB852030 TUX852030 UET852030 UOP852030 UYL852030 VIH852030 VSD852030 WBZ852030 WLV852030 WVR852030 J917566 JF917566 TB917566 ACX917566 AMT917566 AWP917566 BGL917566 BQH917566 CAD917566 CJZ917566 CTV917566 DDR917566 DNN917566 DXJ917566 EHF917566 ERB917566 FAX917566 FKT917566 FUP917566 GEL917566 GOH917566 GYD917566 HHZ917566 HRV917566 IBR917566 ILN917566 IVJ917566 JFF917566 JPB917566 JYX917566 KIT917566 KSP917566 LCL917566 LMH917566 LWD917566 MFZ917566 MPV917566 MZR917566 NJN917566 NTJ917566 ODF917566 ONB917566 OWX917566 PGT917566 PQP917566 QAL917566 QKH917566 QUD917566 RDZ917566 RNV917566 RXR917566 SHN917566 SRJ917566 TBF917566 TLB917566 TUX917566 UET917566 UOP917566 UYL917566 VIH917566 VSD917566 WBZ917566 WLV917566 WVR917566 J983102 JF983102 TB983102 ACX983102 AMT983102 AWP983102 BGL983102 BQH983102 CAD983102 CJZ983102 CTV983102 DDR983102 DNN983102 DXJ983102 EHF983102 ERB983102 FAX983102 FKT983102 FUP983102 GEL983102 GOH983102 GYD983102 HHZ983102 HRV983102 IBR983102 ILN983102 IVJ983102 JFF983102 JPB983102 JYX983102 KIT983102 KSP983102 LCL983102 LMH983102 LWD983102 MFZ983102 MPV983102 MZR983102 NJN983102 NTJ983102 ODF983102 ONB983102 OWX983102 PGT983102 PQP983102 QAL983102 QKH983102 QUD983102 RDZ983102 RNV983102 RXR983102 SHN983102 SRJ983102 TBF983102 TLB983102 TUX983102 UET983102 UOP983102 UYL983102 VIH983102 VSD983102 WBZ983102 WLV983102 WVR983102" xr:uid="{C64405EE-170D-43E3-85D0-EC6268E68E60}">
      <formula1>Distribution</formula1>
    </dataValidation>
    <dataValidation type="list" allowBlank="1" showInputMessage="1" showErrorMessage="1" sqref="D61:E61 IZ61:JA61 SV61:SW61 ACR61:ACS61 AMN61:AMO61 AWJ61:AWK61 BGF61:BGG61 BQB61:BQC61 BZX61:BZY61 CJT61:CJU61 CTP61:CTQ61 DDL61:DDM61 DNH61:DNI61 DXD61:DXE61 EGZ61:EHA61 EQV61:EQW61 FAR61:FAS61 FKN61:FKO61 FUJ61:FUK61 GEF61:GEG61 GOB61:GOC61 GXX61:GXY61 HHT61:HHU61 HRP61:HRQ61 IBL61:IBM61 ILH61:ILI61 IVD61:IVE61 JEZ61:JFA61 JOV61:JOW61 JYR61:JYS61 KIN61:KIO61 KSJ61:KSK61 LCF61:LCG61 LMB61:LMC61 LVX61:LVY61 MFT61:MFU61 MPP61:MPQ61 MZL61:MZM61 NJH61:NJI61 NTD61:NTE61 OCZ61:ODA61 OMV61:OMW61 OWR61:OWS61 PGN61:PGO61 PQJ61:PQK61 QAF61:QAG61 QKB61:QKC61 QTX61:QTY61 RDT61:RDU61 RNP61:RNQ61 RXL61:RXM61 SHH61:SHI61 SRD61:SRE61 TAZ61:TBA61 TKV61:TKW61 TUR61:TUS61 UEN61:UEO61 UOJ61:UOK61 UYF61:UYG61 VIB61:VIC61 VRX61:VRY61 WBT61:WBU61 WLP61:WLQ61 WVL61:WVM61 D65597:E65597 IZ65597:JA65597 SV65597:SW65597 ACR65597:ACS65597 AMN65597:AMO65597 AWJ65597:AWK65597 BGF65597:BGG65597 BQB65597:BQC65597 BZX65597:BZY65597 CJT65597:CJU65597 CTP65597:CTQ65597 DDL65597:DDM65597 DNH65597:DNI65597 DXD65597:DXE65597 EGZ65597:EHA65597 EQV65597:EQW65597 FAR65597:FAS65597 FKN65597:FKO65597 FUJ65597:FUK65597 GEF65597:GEG65597 GOB65597:GOC65597 GXX65597:GXY65597 HHT65597:HHU65597 HRP65597:HRQ65597 IBL65597:IBM65597 ILH65597:ILI65597 IVD65597:IVE65597 JEZ65597:JFA65597 JOV65597:JOW65597 JYR65597:JYS65597 KIN65597:KIO65597 KSJ65597:KSK65597 LCF65597:LCG65597 LMB65597:LMC65597 LVX65597:LVY65597 MFT65597:MFU65597 MPP65597:MPQ65597 MZL65597:MZM65597 NJH65597:NJI65597 NTD65597:NTE65597 OCZ65597:ODA65597 OMV65597:OMW65597 OWR65597:OWS65597 PGN65597:PGO65597 PQJ65597:PQK65597 QAF65597:QAG65597 QKB65597:QKC65597 QTX65597:QTY65597 RDT65597:RDU65597 RNP65597:RNQ65597 RXL65597:RXM65597 SHH65597:SHI65597 SRD65597:SRE65597 TAZ65597:TBA65597 TKV65597:TKW65597 TUR65597:TUS65597 UEN65597:UEO65597 UOJ65597:UOK65597 UYF65597:UYG65597 VIB65597:VIC65597 VRX65597:VRY65597 WBT65597:WBU65597 WLP65597:WLQ65597 WVL65597:WVM65597 D131133:E131133 IZ131133:JA131133 SV131133:SW131133 ACR131133:ACS131133 AMN131133:AMO131133 AWJ131133:AWK131133 BGF131133:BGG131133 BQB131133:BQC131133 BZX131133:BZY131133 CJT131133:CJU131133 CTP131133:CTQ131133 DDL131133:DDM131133 DNH131133:DNI131133 DXD131133:DXE131133 EGZ131133:EHA131133 EQV131133:EQW131133 FAR131133:FAS131133 FKN131133:FKO131133 FUJ131133:FUK131133 GEF131133:GEG131133 GOB131133:GOC131133 GXX131133:GXY131133 HHT131133:HHU131133 HRP131133:HRQ131133 IBL131133:IBM131133 ILH131133:ILI131133 IVD131133:IVE131133 JEZ131133:JFA131133 JOV131133:JOW131133 JYR131133:JYS131133 KIN131133:KIO131133 KSJ131133:KSK131133 LCF131133:LCG131133 LMB131133:LMC131133 LVX131133:LVY131133 MFT131133:MFU131133 MPP131133:MPQ131133 MZL131133:MZM131133 NJH131133:NJI131133 NTD131133:NTE131133 OCZ131133:ODA131133 OMV131133:OMW131133 OWR131133:OWS131133 PGN131133:PGO131133 PQJ131133:PQK131133 QAF131133:QAG131133 QKB131133:QKC131133 QTX131133:QTY131133 RDT131133:RDU131133 RNP131133:RNQ131133 RXL131133:RXM131133 SHH131133:SHI131133 SRD131133:SRE131133 TAZ131133:TBA131133 TKV131133:TKW131133 TUR131133:TUS131133 UEN131133:UEO131133 UOJ131133:UOK131133 UYF131133:UYG131133 VIB131133:VIC131133 VRX131133:VRY131133 WBT131133:WBU131133 WLP131133:WLQ131133 WVL131133:WVM131133 D196669:E196669 IZ196669:JA196669 SV196669:SW196669 ACR196669:ACS196669 AMN196669:AMO196669 AWJ196669:AWK196669 BGF196669:BGG196669 BQB196669:BQC196669 BZX196669:BZY196669 CJT196669:CJU196669 CTP196669:CTQ196669 DDL196669:DDM196669 DNH196669:DNI196669 DXD196669:DXE196669 EGZ196669:EHA196669 EQV196669:EQW196669 FAR196669:FAS196669 FKN196669:FKO196669 FUJ196669:FUK196669 GEF196669:GEG196669 GOB196669:GOC196669 GXX196669:GXY196669 HHT196669:HHU196669 HRP196669:HRQ196669 IBL196669:IBM196669 ILH196669:ILI196669 IVD196669:IVE196669 JEZ196669:JFA196669 JOV196669:JOW196669 JYR196669:JYS196669 KIN196669:KIO196669 KSJ196669:KSK196669 LCF196669:LCG196669 LMB196669:LMC196669 LVX196669:LVY196669 MFT196669:MFU196669 MPP196669:MPQ196669 MZL196669:MZM196669 NJH196669:NJI196669 NTD196669:NTE196669 OCZ196669:ODA196669 OMV196669:OMW196669 OWR196669:OWS196669 PGN196669:PGO196669 PQJ196669:PQK196669 QAF196669:QAG196669 QKB196669:QKC196669 QTX196669:QTY196669 RDT196669:RDU196669 RNP196669:RNQ196669 RXL196669:RXM196669 SHH196669:SHI196669 SRD196669:SRE196669 TAZ196669:TBA196669 TKV196669:TKW196669 TUR196669:TUS196669 UEN196669:UEO196669 UOJ196669:UOK196669 UYF196669:UYG196669 VIB196669:VIC196669 VRX196669:VRY196669 WBT196669:WBU196669 WLP196669:WLQ196669 WVL196669:WVM196669 D262205:E262205 IZ262205:JA262205 SV262205:SW262205 ACR262205:ACS262205 AMN262205:AMO262205 AWJ262205:AWK262205 BGF262205:BGG262205 BQB262205:BQC262205 BZX262205:BZY262205 CJT262205:CJU262205 CTP262205:CTQ262205 DDL262205:DDM262205 DNH262205:DNI262205 DXD262205:DXE262205 EGZ262205:EHA262205 EQV262205:EQW262205 FAR262205:FAS262205 FKN262205:FKO262205 FUJ262205:FUK262205 GEF262205:GEG262205 GOB262205:GOC262205 GXX262205:GXY262205 HHT262205:HHU262205 HRP262205:HRQ262205 IBL262205:IBM262205 ILH262205:ILI262205 IVD262205:IVE262205 JEZ262205:JFA262205 JOV262205:JOW262205 JYR262205:JYS262205 KIN262205:KIO262205 KSJ262205:KSK262205 LCF262205:LCG262205 LMB262205:LMC262205 LVX262205:LVY262205 MFT262205:MFU262205 MPP262205:MPQ262205 MZL262205:MZM262205 NJH262205:NJI262205 NTD262205:NTE262205 OCZ262205:ODA262205 OMV262205:OMW262205 OWR262205:OWS262205 PGN262205:PGO262205 PQJ262205:PQK262205 QAF262205:QAG262205 QKB262205:QKC262205 QTX262205:QTY262205 RDT262205:RDU262205 RNP262205:RNQ262205 RXL262205:RXM262205 SHH262205:SHI262205 SRD262205:SRE262205 TAZ262205:TBA262205 TKV262205:TKW262205 TUR262205:TUS262205 UEN262205:UEO262205 UOJ262205:UOK262205 UYF262205:UYG262205 VIB262205:VIC262205 VRX262205:VRY262205 WBT262205:WBU262205 WLP262205:WLQ262205 WVL262205:WVM262205 D327741:E327741 IZ327741:JA327741 SV327741:SW327741 ACR327741:ACS327741 AMN327741:AMO327741 AWJ327741:AWK327741 BGF327741:BGG327741 BQB327741:BQC327741 BZX327741:BZY327741 CJT327741:CJU327741 CTP327741:CTQ327741 DDL327741:DDM327741 DNH327741:DNI327741 DXD327741:DXE327741 EGZ327741:EHA327741 EQV327741:EQW327741 FAR327741:FAS327741 FKN327741:FKO327741 FUJ327741:FUK327741 GEF327741:GEG327741 GOB327741:GOC327741 GXX327741:GXY327741 HHT327741:HHU327741 HRP327741:HRQ327741 IBL327741:IBM327741 ILH327741:ILI327741 IVD327741:IVE327741 JEZ327741:JFA327741 JOV327741:JOW327741 JYR327741:JYS327741 KIN327741:KIO327741 KSJ327741:KSK327741 LCF327741:LCG327741 LMB327741:LMC327741 LVX327741:LVY327741 MFT327741:MFU327741 MPP327741:MPQ327741 MZL327741:MZM327741 NJH327741:NJI327741 NTD327741:NTE327741 OCZ327741:ODA327741 OMV327741:OMW327741 OWR327741:OWS327741 PGN327741:PGO327741 PQJ327741:PQK327741 QAF327741:QAG327741 QKB327741:QKC327741 QTX327741:QTY327741 RDT327741:RDU327741 RNP327741:RNQ327741 RXL327741:RXM327741 SHH327741:SHI327741 SRD327741:SRE327741 TAZ327741:TBA327741 TKV327741:TKW327741 TUR327741:TUS327741 UEN327741:UEO327741 UOJ327741:UOK327741 UYF327741:UYG327741 VIB327741:VIC327741 VRX327741:VRY327741 WBT327741:WBU327741 WLP327741:WLQ327741 WVL327741:WVM327741 D393277:E393277 IZ393277:JA393277 SV393277:SW393277 ACR393277:ACS393277 AMN393277:AMO393277 AWJ393277:AWK393277 BGF393277:BGG393277 BQB393277:BQC393277 BZX393277:BZY393277 CJT393277:CJU393277 CTP393277:CTQ393277 DDL393277:DDM393277 DNH393277:DNI393277 DXD393277:DXE393277 EGZ393277:EHA393277 EQV393277:EQW393277 FAR393277:FAS393277 FKN393277:FKO393277 FUJ393277:FUK393277 GEF393277:GEG393277 GOB393277:GOC393277 GXX393277:GXY393277 HHT393277:HHU393277 HRP393277:HRQ393277 IBL393277:IBM393277 ILH393277:ILI393277 IVD393277:IVE393277 JEZ393277:JFA393277 JOV393277:JOW393277 JYR393277:JYS393277 KIN393277:KIO393277 KSJ393277:KSK393277 LCF393277:LCG393277 LMB393277:LMC393277 LVX393277:LVY393277 MFT393277:MFU393277 MPP393277:MPQ393277 MZL393277:MZM393277 NJH393277:NJI393277 NTD393277:NTE393277 OCZ393277:ODA393277 OMV393277:OMW393277 OWR393277:OWS393277 PGN393277:PGO393277 PQJ393277:PQK393277 QAF393277:QAG393277 QKB393277:QKC393277 QTX393277:QTY393277 RDT393277:RDU393277 RNP393277:RNQ393277 RXL393277:RXM393277 SHH393277:SHI393277 SRD393277:SRE393277 TAZ393277:TBA393277 TKV393277:TKW393277 TUR393277:TUS393277 UEN393277:UEO393277 UOJ393277:UOK393277 UYF393277:UYG393277 VIB393277:VIC393277 VRX393277:VRY393277 WBT393277:WBU393277 WLP393277:WLQ393277 WVL393277:WVM393277 D458813:E458813 IZ458813:JA458813 SV458813:SW458813 ACR458813:ACS458813 AMN458813:AMO458813 AWJ458813:AWK458813 BGF458813:BGG458813 BQB458813:BQC458813 BZX458813:BZY458813 CJT458813:CJU458813 CTP458813:CTQ458813 DDL458813:DDM458813 DNH458813:DNI458813 DXD458813:DXE458813 EGZ458813:EHA458813 EQV458813:EQW458813 FAR458813:FAS458813 FKN458813:FKO458813 FUJ458813:FUK458813 GEF458813:GEG458813 GOB458813:GOC458813 GXX458813:GXY458813 HHT458813:HHU458813 HRP458813:HRQ458813 IBL458813:IBM458813 ILH458813:ILI458813 IVD458813:IVE458813 JEZ458813:JFA458813 JOV458813:JOW458813 JYR458813:JYS458813 KIN458813:KIO458813 KSJ458813:KSK458813 LCF458813:LCG458813 LMB458813:LMC458813 LVX458813:LVY458813 MFT458813:MFU458813 MPP458813:MPQ458813 MZL458813:MZM458813 NJH458813:NJI458813 NTD458813:NTE458813 OCZ458813:ODA458813 OMV458813:OMW458813 OWR458813:OWS458813 PGN458813:PGO458813 PQJ458813:PQK458813 QAF458813:QAG458813 QKB458813:QKC458813 QTX458813:QTY458813 RDT458813:RDU458813 RNP458813:RNQ458813 RXL458813:RXM458813 SHH458813:SHI458813 SRD458813:SRE458813 TAZ458813:TBA458813 TKV458813:TKW458813 TUR458813:TUS458813 UEN458813:UEO458813 UOJ458813:UOK458813 UYF458813:UYG458813 VIB458813:VIC458813 VRX458813:VRY458813 WBT458813:WBU458813 WLP458813:WLQ458813 WVL458813:WVM458813 D524349:E524349 IZ524349:JA524349 SV524349:SW524349 ACR524349:ACS524349 AMN524349:AMO524349 AWJ524349:AWK524349 BGF524349:BGG524349 BQB524349:BQC524349 BZX524349:BZY524349 CJT524349:CJU524349 CTP524349:CTQ524349 DDL524349:DDM524349 DNH524349:DNI524349 DXD524349:DXE524349 EGZ524349:EHA524349 EQV524349:EQW524349 FAR524349:FAS524349 FKN524349:FKO524349 FUJ524349:FUK524349 GEF524349:GEG524349 GOB524349:GOC524349 GXX524349:GXY524349 HHT524349:HHU524349 HRP524349:HRQ524349 IBL524349:IBM524349 ILH524349:ILI524349 IVD524349:IVE524349 JEZ524349:JFA524349 JOV524349:JOW524349 JYR524349:JYS524349 KIN524349:KIO524349 KSJ524349:KSK524349 LCF524349:LCG524349 LMB524349:LMC524349 LVX524349:LVY524349 MFT524349:MFU524349 MPP524349:MPQ524349 MZL524349:MZM524349 NJH524349:NJI524349 NTD524349:NTE524349 OCZ524349:ODA524349 OMV524349:OMW524349 OWR524349:OWS524349 PGN524349:PGO524349 PQJ524349:PQK524349 QAF524349:QAG524349 QKB524349:QKC524349 QTX524349:QTY524349 RDT524349:RDU524349 RNP524349:RNQ524349 RXL524349:RXM524349 SHH524349:SHI524349 SRD524349:SRE524349 TAZ524349:TBA524349 TKV524349:TKW524349 TUR524349:TUS524349 UEN524349:UEO524349 UOJ524349:UOK524349 UYF524349:UYG524349 VIB524349:VIC524349 VRX524349:VRY524349 WBT524349:WBU524349 WLP524349:WLQ524349 WVL524349:WVM524349 D589885:E589885 IZ589885:JA589885 SV589885:SW589885 ACR589885:ACS589885 AMN589885:AMO589885 AWJ589885:AWK589885 BGF589885:BGG589885 BQB589885:BQC589885 BZX589885:BZY589885 CJT589885:CJU589885 CTP589885:CTQ589885 DDL589885:DDM589885 DNH589885:DNI589885 DXD589885:DXE589885 EGZ589885:EHA589885 EQV589885:EQW589885 FAR589885:FAS589885 FKN589885:FKO589885 FUJ589885:FUK589885 GEF589885:GEG589885 GOB589885:GOC589885 GXX589885:GXY589885 HHT589885:HHU589885 HRP589885:HRQ589885 IBL589885:IBM589885 ILH589885:ILI589885 IVD589885:IVE589885 JEZ589885:JFA589885 JOV589885:JOW589885 JYR589885:JYS589885 KIN589885:KIO589885 KSJ589885:KSK589885 LCF589885:LCG589885 LMB589885:LMC589885 LVX589885:LVY589885 MFT589885:MFU589885 MPP589885:MPQ589885 MZL589885:MZM589885 NJH589885:NJI589885 NTD589885:NTE589885 OCZ589885:ODA589885 OMV589885:OMW589885 OWR589885:OWS589885 PGN589885:PGO589885 PQJ589885:PQK589885 QAF589885:QAG589885 QKB589885:QKC589885 QTX589885:QTY589885 RDT589885:RDU589885 RNP589885:RNQ589885 RXL589885:RXM589885 SHH589885:SHI589885 SRD589885:SRE589885 TAZ589885:TBA589885 TKV589885:TKW589885 TUR589885:TUS589885 UEN589885:UEO589885 UOJ589885:UOK589885 UYF589885:UYG589885 VIB589885:VIC589885 VRX589885:VRY589885 WBT589885:WBU589885 WLP589885:WLQ589885 WVL589885:WVM589885 D655421:E655421 IZ655421:JA655421 SV655421:SW655421 ACR655421:ACS655421 AMN655421:AMO655421 AWJ655421:AWK655421 BGF655421:BGG655421 BQB655421:BQC655421 BZX655421:BZY655421 CJT655421:CJU655421 CTP655421:CTQ655421 DDL655421:DDM655421 DNH655421:DNI655421 DXD655421:DXE655421 EGZ655421:EHA655421 EQV655421:EQW655421 FAR655421:FAS655421 FKN655421:FKO655421 FUJ655421:FUK655421 GEF655421:GEG655421 GOB655421:GOC655421 GXX655421:GXY655421 HHT655421:HHU655421 HRP655421:HRQ655421 IBL655421:IBM655421 ILH655421:ILI655421 IVD655421:IVE655421 JEZ655421:JFA655421 JOV655421:JOW655421 JYR655421:JYS655421 KIN655421:KIO655421 KSJ655421:KSK655421 LCF655421:LCG655421 LMB655421:LMC655421 LVX655421:LVY655421 MFT655421:MFU655421 MPP655421:MPQ655421 MZL655421:MZM655421 NJH655421:NJI655421 NTD655421:NTE655421 OCZ655421:ODA655421 OMV655421:OMW655421 OWR655421:OWS655421 PGN655421:PGO655421 PQJ655421:PQK655421 QAF655421:QAG655421 QKB655421:QKC655421 QTX655421:QTY655421 RDT655421:RDU655421 RNP655421:RNQ655421 RXL655421:RXM655421 SHH655421:SHI655421 SRD655421:SRE655421 TAZ655421:TBA655421 TKV655421:TKW655421 TUR655421:TUS655421 UEN655421:UEO655421 UOJ655421:UOK655421 UYF655421:UYG655421 VIB655421:VIC655421 VRX655421:VRY655421 WBT655421:WBU655421 WLP655421:WLQ655421 WVL655421:WVM655421 D720957:E720957 IZ720957:JA720957 SV720957:SW720957 ACR720957:ACS720957 AMN720957:AMO720957 AWJ720957:AWK720957 BGF720957:BGG720957 BQB720957:BQC720957 BZX720957:BZY720957 CJT720957:CJU720957 CTP720957:CTQ720957 DDL720957:DDM720957 DNH720957:DNI720957 DXD720957:DXE720957 EGZ720957:EHA720957 EQV720957:EQW720957 FAR720957:FAS720957 FKN720957:FKO720957 FUJ720957:FUK720957 GEF720957:GEG720957 GOB720957:GOC720957 GXX720957:GXY720957 HHT720957:HHU720957 HRP720957:HRQ720957 IBL720957:IBM720957 ILH720957:ILI720957 IVD720957:IVE720957 JEZ720957:JFA720957 JOV720957:JOW720957 JYR720957:JYS720957 KIN720957:KIO720957 KSJ720957:KSK720957 LCF720957:LCG720957 LMB720957:LMC720957 LVX720957:LVY720957 MFT720957:MFU720957 MPP720957:MPQ720957 MZL720957:MZM720957 NJH720957:NJI720957 NTD720957:NTE720957 OCZ720957:ODA720957 OMV720957:OMW720957 OWR720957:OWS720957 PGN720957:PGO720957 PQJ720957:PQK720957 QAF720957:QAG720957 QKB720957:QKC720957 QTX720957:QTY720957 RDT720957:RDU720957 RNP720957:RNQ720957 RXL720957:RXM720957 SHH720957:SHI720957 SRD720957:SRE720957 TAZ720957:TBA720957 TKV720957:TKW720957 TUR720957:TUS720957 UEN720957:UEO720957 UOJ720957:UOK720957 UYF720957:UYG720957 VIB720957:VIC720957 VRX720957:VRY720957 WBT720957:WBU720957 WLP720957:WLQ720957 WVL720957:WVM720957 D786493:E786493 IZ786493:JA786493 SV786493:SW786493 ACR786493:ACS786493 AMN786493:AMO786493 AWJ786493:AWK786493 BGF786493:BGG786493 BQB786493:BQC786493 BZX786493:BZY786493 CJT786493:CJU786493 CTP786493:CTQ786493 DDL786493:DDM786493 DNH786493:DNI786493 DXD786493:DXE786493 EGZ786493:EHA786493 EQV786493:EQW786493 FAR786493:FAS786493 FKN786493:FKO786493 FUJ786493:FUK786493 GEF786493:GEG786493 GOB786493:GOC786493 GXX786493:GXY786493 HHT786493:HHU786493 HRP786493:HRQ786493 IBL786493:IBM786493 ILH786493:ILI786493 IVD786493:IVE786493 JEZ786493:JFA786493 JOV786493:JOW786493 JYR786493:JYS786493 KIN786493:KIO786493 KSJ786493:KSK786493 LCF786493:LCG786493 LMB786493:LMC786493 LVX786493:LVY786493 MFT786493:MFU786493 MPP786493:MPQ786493 MZL786493:MZM786493 NJH786493:NJI786493 NTD786493:NTE786493 OCZ786493:ODA786493 OMV786493:OMW786493 OWR786493:OWS786493 PGN786493:PGO786493 PQJ786493:PQK786493 QAF786493:QAG786493 QKB786493:QKC786493 QTX786493:QTY786493 RDT786493:RDU786493 RNP786493:RNQ786493 RXL786493:RXM786493 SHH786493:SHI786493 SRD786493:SRE786493 TAZ786493:TBA786493 TKV786493:TKW786493 TUR786493:TUS786493 UEN786493:UEO786493 UOJ786493:UOK786493 UYF786493:UYG786493 VIB786493:VIC786493 VRX786493:VRY786493 WBT786493:WBU786493 WLP786493:WLQ786493 WVL786493:WVM786493 D852029:E852029 IZ852029:JA852029 SV852029:SW852029 ACR852029:ACS852029 AMN852029:AMO852029 AWJ852029:AWK852029 BGF852029:BGG852029 BQB852029:BQC852029 BZX852029:BZY852029 CJT852029:CJU852029 CTP852029:CTQ852029 DDL852029:DDM852029 DNH852029:DNI852029 DXD852029:DXE852029 EGZ852029:EHA852029 EQV852029:EQW852029 FAR852029:FAS852029 FKN852029:FKO852029 FUJ852029:FUK852029 GEF852029:GEG852029 GOB852029:GOC852029 GXX852029:GXY852029 HHT852029:HHU852029 HRP852029:HRQ852029 IBL852029:IBM852029 ILH852029:ILI852029 IVD852029:IVE852029 JEZ852029:JFA852029 JOV852029:JOW852029 JYR852029:JYS852029 KIN852029:KIO852029 KSJ852029:KSK852029 LCF852029:LCG852029 LMB852029:LMC852029 LVX852029:LVY852029 MFT852029:MFU852029 MPP852029:MPQ852029 MZL852029:MZM852029 NJH852029:NJI852029 NTD852029:NTE852029 OCZ852029:ODA852029 OMV852029:OMW852029 OWR852029:OWS852029 PGN852029:PGO852029 PQJ852029:PQK852029 QAF852029:QAG852029 QKB852029:QKC852029 QTX852029:QTY852029 RDT852029:RDU852029 RNP852029:RNQ852029 RXL852029:RXM852029 SHH852029:SHI852029 SRD852029:SRE852029 TAZ852029:TBA852029 TKV852029:TKW852029 TUR852029:TUS852029 UEN852029:UEO852029 UOJ852029:UOK852029 UYF852029:UYG852029 VIB852029:VIC852029 VRX852029:VRY852029 WBT852029:WBU852029 WLP852029:WLQ852029 WVL852029:WVM852029 D917565:E917565 IZ917565:JA917565 SV917565:SW917565 ACR917565:ACS917565 AMN917565:AMO917565 AWJ917565:AWK917565 BGF917565:BGG917565 BQB917565:BQC917565 BZX917565:BZY917565 CJT917565:CJU917565 CTP917565:CTQ917565 DDL917565:DDM917565 DNH917565:DNI917565 DXD917565:DXE917565 EGZ917565:EHA917565 EQV917565:EQW917565 FAR917565:FAS917565 FKN917565:FKO917565 FUJ917565:FUK917565 GEF917565:GEG917565 GOB917565:GOC917565 GXX917565:GXY917565 HHT917565:HHU917565 HRP917565:HRQ917565 IBL917565:IBM917565 ILH917565:ILI917565 IVD917565:IVE917565 JEZ917565:JFA917565 JOV917565:JOW917565 JYR917565:JYS917565 KIN917565:KIO917565 KSJ917565:KSK917565 LCF917565:LCG917565 LMB917565:LMC917565 LVX917565:LVY917565 MFT917565:MFU917565 MPP917565:MPQ917565 MZL917565:MZM917565 NJH917565:NJI917565 NTD917565:NTE917565 OCZ917565:ODA917565 OMV917565:OMW917565 OWR917565:OWS917565 PGN917565:PGO917565 PQJ917565:PQK917565 QAF917565:QAG917565 QKB917565:QKC917565 QTX917565:QTY917565 RDT917565:RDU917565 RNP917565:RNQ917565 RXL917565:RXM917565 SHH917565:SHI917565 SRD917565:SRE917565 TAZ917565:TBA917565 TKV917565:TKW917565 TUR917565:TUS917565 UEN917565:UEO917565 UOJ917565:UOK917565 UYF917565:UYG917565 VIB917565:VIC917565 VRX917565:VRY917565 WBT917565:WBU917565 WLP917565:WLQ917565 WVL917565:WVM917565 D983101:E983101 IZ983101:JA983101 SV983101:SW983101 ACR983101:ACS983101 AMN983101:AMO983101 AWJ983101:AWK983101 BGF983101:BGG983101 BQB983101:BQC983101 BZX983101:BZY983101 CJT983101:CJU983101 CTP983101:CTQ983101 DDL983101:DDM983101 DNH983101:DNI983101 DXD983101:DXE983101 EGZ983101:EHA983101 EQV983101:EQW983101 FAR983101:FAS983101 FKN983101:FKO983101 FUJ983101:FUK983101 GEF983101:GEG983101 GOB983101:GOC983101 GXX983101:GXY983101 HHT983101:HHU983101 HRP983101:HRQ983101 IBL983101:IBM983101 ILH983101:ILI983101 IVD983101:IVE983101 JEZ983101:JFA983101 JOV983101:JOW983101 JYR983101:JYS983101 KIN983101:KIO983101 KSJ983101:KSK983101 LCF983101:LCG983101 LMB983101:LMC983101 LVX983101:LVY983101 MFT983101:MFU983101 MPP983101:MPQ983101 MZL983101:MZM983101 NJH983101:NJI983101 NTD983101:NTE983101 OCZ983101:ODA983101 OMV983101:OMW983101 OWR983101:OWS983101 PGN983101:PGO983101 PQJ983101:PQK983101 QAF983101:QAG983101 QKB983101:QKC983101 QTX983101:QTY983101 RDT983101:RDU983101 RNP983101:RNQ983101 RXL983101:RXM983101 SHH983101:SHI983101 SRD983101:SRE983101 TAZ983101:TBA983101 TKV983101:TKW983101 TUR983101:TUS983101 UEN983101:UEO983101 UOJ983101:UOK983101 UYF983101:UYG983101 VIB983101:VIC983101 VRX983101:VRY983101 WBT983101:WBU983101 WLP983101:WLQ983101 WVL983101:WVM983101" xr:uid="{A778859B-42D8-4B2A-BF1F-627AE7643473}">
      <formula1>DHW_Equipment</formula1>
    </dataValidation>
  </dataValidations>
  <pageMargins left="0.25" right="0.25" top="0.25" bottom="0.25" header="0.3" footer="0.3"/>
  <pageSetup scale="93" fitToHeight="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42" min="1" max="13" man="1"/>
  </rowBreaks>
  <drawing r:id="rId2"/>
  <legacyDrawing r:id="rId3"/>
  <mc:AlternateContent xmlns:mc="http://schemas.openxmlformats.org/markup-compatibility/2006">
    <mc:Choice Requires="x14">
      <controls>
        <mc:AlternateContent xmlns:mc="http://schemas.openxmlformats.org/markup-compatibility/2006">
          <mc:Choice Requires="x14">
            <control shapeId="187393" r:id="rId4" name="Option Button 1">
              <controlPr defaultSize="0" autoFill="0" autoLine="0" autoPict="0">
                <anchor moveWithCells="1">
                  <from>
                    <xdr:col>3</xdr:col>
                    <xdr:colOff>146050</xdr:colOff>
                    <xdr:row>21</xdr:row>
                    <xdr:rowOff>0</xdr:rowOff>
                  </from>
                  <to>
                    <xdr:col>3</xdr:col>
                    <xdr:colOff>774700</xdr:colOff>
                    <xdr:row>21</xdr:row>
                    <xdr:rowOff>209550</xdr:rowOff>
                  </to>
                </anchor>
              </controlPr>
            </control>
          </mc:Choice>
        </mc:AlternateContent>
        <mc:AlternateContent xmlns:mc="http://schemas.openxmlformats.org/markup-compatibility/2006">
          <mc:Choice Requires="x14">
            <control shapeId="187394" r:id="rId5" name="Option Button 2">
              <controlPr defaultSize="0" autoFill="0" autoLine="0" autoPict="0">
                <anchor moveWithCells="1">
                  <from>
                    <xdr:col>3</xdr:col>
                    <xdr:colOff>1098550</xdr:colOff>
                    <xdr:row>21</xdr:row>
                    <xdr:rowOff>0</xdr:rowOff>
                  </from>
                  <to>
                    <xdr:col>4</xdr:col>
                    <xdr:colOff>342900</xdr:colOff>
                    <xdr:row>21</xdr:row>
                    <xdr:rowOff>209550</xdr:rowOff>
                  </to>
                </anchor>
              </controlPr>
            </control>
          </mc:Choice>
        </mc:AlternateContent>
        <mc:AlternateContent xmlns:mc="http://schemas.openxmlformats.org/markup-compatibility/2006">
          <mc:Choice Requires="x14">
            <control shapeId="187395" r:id="rId6" name="Group Box 3">
              <controlPr defaultSize="0" autoFill="0" autoPict="0">
                <anchor moveWithCells="1">
                  <from>
                    <xdr:col>4</xdr:col>
                    <xdr:colOff>660400</xdr:colOff>
                    <xdr:row>32</xdr:row>
                    <xdr:rowOff>12700</xdr:rowOff>
                  </from>
                  <to>
                    <xdr:col>6</xdr:col>
                    <xdr:colOff>527050</xdr:colOff>
                    <xdr:row>33</xdr:row>
                    <xdr:rowOff>0</xdr:rowOff>
                  </to>
                </anchor>
              </controlPr>
            </control>
          </mc:Choice>
        </mc:AlternateContent>
        <mc:AlternateContent xmlns:mc="http://schemas.openxmlformats.org/markup-compatibility/2006">
          <mc:Choice Requires="x14">
            <control shapeId="187396" r:id="rId7" name="Group Box 4">
              <controlPr defaultSize="0" autoFill="0" autoPict="0">
                <anchor moveWithCells="1">
                  <from>
                    <xdr:col>4</xdr:col>
                    <xdr:colOff>660400</xdr:colOff>
                    <xdr:row>33</xdr:row>
                    <xdr:rowOff>57150</xdr:rowOff>
                  </from>
                  <to>
                    <xdr:col>6</xdr:col>
                    <xdr:colOff>527050</xdr:colOff>
                    <xdr:row>34</xdr:row>
                    <xdr:rowOff>12700</xdr:rowOff>
                  </to>
                </anchor>
              </controlPr>
            </control>
          </mc:Choice>
        </mc:AlternateContent>
        <mc:AlternateContent xmlns:mc="http://schemas.openxmlformats.org/markup-compatibility/2006">
          <mc:Choice Requires="x14">
            <control shapeId="187397" r:id="rId8" name="Group Box 5">
              <controlPr defaultSize="0" autoFill="0" autoPict="0">
                <anchor moveWithCells="1">
                  <from>
                    <xdr:col>4</xdr:col>
                    <xdr:colOff>660400</xdr:colOff>
                    <xdr:row>34</xdr:row>
                    <xdr:rowOff>88900</xdr:rowOff>
                  </from>
                  <to>
                    <xdr:col>6</xdr:col>
                    <xdr:colOff>527050</xdr:colOff>
                    <xdr:row>35</xdr:row>
                    <xdr:rowOff>12700</xdr:rowOff>
                  </to>
                </anchor>
              </controlPr>
            </control>
          </mc:Choice>
        </mc:AlternateContent>
        <mc:AlternateContent xmlns:mc="http://schemas.openxmlformats.org/markup-compatibility/2006">
          <mc:Choice Requires="x14">
            <control shapeId="187398" r:id="rId9" name="Group Box 6">
              <controlPr defaultSize="0" autoFill="0" autoPict="0">
                <anchor moveWithCells="1">
                  <from>
                    <xdr:col>10</xdr:col>
                    <xdr:colOff>374650</xdr:colOff>
                    <xdr:row>32</xdr:row>
                    <xdr:rowOff>12700</xdr:rowOff>
                  </from>
                  <to>
                    <xdr:col>13</xdr:col>
                    <xdr:colOff>12700</xdr:colOff>
                    <xdr:row>33</xdr:row>
                    <xdr:rowOff>12700</xdr:rowOff>
                  </to>
                </anchor>
              </controlPr>
            </control>
          </mc:Choice>
        </mc:AlternateContent>
        <mc:AlternateContent xmlns:mc="http://schemas.openxmlformats.org/markup-compatibility/2006">
          <mc:Choice Requires="x14">
            <control shapeId="187399" r:id="rId10" name="Group Box 7">
              <controlPr defaultSize="0" autoFill="0" autoPict="0">
                <anchor moveWithCells="1">
                  <from>
                    <xdr:col>10</xdr:col>
                    <xdr:colOff>374650</xdr:colOff>
                    <xdr:row>33</xdr:row>
                    <xdr:rowOff>88900</xdr:rowOff>
                  </from>
                  <to>
                    <xdr:col>13</xdr:col>
                    <xdr:colOff>12700</xdr:colOff>
                    <xdr:row>34</xdr:row>
                    <xdr:rowOff>31750</xdr:rowOff>
                  </to>
                </anchor>
              </controlPr>
            </control>
          </mc:Choice>
        </mc:AlternateContent>
        <mc:AlternateContent xmlns:mc="http://schemas.openxmlformats.org/markup-compatibility/2006">
          <mc:Choice Requires="x14">
            <control shapeId="187400" r:id="rId11" name="Group Box 8">
              <controlPr defaultSize="0" autoFill="0" autoPict="0">
                <anchor moveWithCells="1">
                  <from>
                    <xdr:col>10</xdr:col>
                    <xdr:colOff>374650</xdr:colOff>
                    <xdr:row>34</xdr:row>
                    <xdr:rowOff>88900</xdr:rowOff>
                  </from>
                  <to>
                    <xdr:col>13</xdr:col>
                    <xdr:colOff>38100</xdr:colOff>
                    <xdr:row>35</xdr:row>
                    <xdr:rowOff>57150</xdr:rowOff>
                  </to>
                </anchor>
              </controlPr>
            </control>
          </mc:Choice>
        </mc:AlternateContent>
        <mc:AlternateContent xmlns:mc="http://schemas.openxmlformats.org/markup-compatibility/2006">
          <mc:Choice Requires="x14">
            <control shapeId="187401" r:id="rId12" name="Group Box 9">
              <controlPr defaultSize="0" autoFill="0" autoPict="0">
                <anchor moveWithCells="1">
                  <from>
                    <xdr:col>4</xdr:col>
                    <xdr:colOff>660400</xdr:colOff>
                    <xdr:row>48</xdr:row>
                    <xdr:rowOff>12700</xdr:rowOff>
                  </from>
                  <to>
                    <xdr:col>6</xdr:col>
                    <xdr:colOff>527050</xdr:colOff>
                    <xdr:row>49</xdr:row>
                    <xdr:rowOff>0</xdr:rowOff>
                  </to>
                </anchor>
              </controlPr>
            </control>
          </mc:Choice>
        </mc:AlternateContent>
        <mc:AlternateContent xmlns:mc="http://schemas.openxmlformats.org/markup-compatibility/2006">
          <mc:Choice Requires="x14">
            <control shapeId="187402" r:id="rId13" name="Group Box 10">
              <controlPr defaultSize="0" autoFill="0" autoPict="0">
                <anchor moveWithCells="1">
                  <from>
                    <xdr:col>4</xdr:col>
                    <xdr:colOff>660400</xdr:colOff>
                    <xdr:row>49</xdr:row>
                    <xdr:rowOff>57150</xdr:rowOff>
                  </from>
                  <to>
                    <xdr:col>6</xdr:col>
                    <xdr:colOff>527050</xdr:colOff>
                    <xdr:row>50</xdr:row>
                    <xdr:rowOff>12700</xdr:rowOff>
                  </to>
                </anchor>
              </controlPr>
            </control>
          </mc:Choice>
        </mc:AlternateContent>
        <mc:AlternateContent xmlns:mc="http://schemas.openxmlformats.org/markup-compatibility/2006">
          <mc:Choice Requires="x14">
            <control shapeId="187403" r:id="rId14" name="Group Box 11">
              <controlPr defaultSize="0" autoFill="0" autoPict="0">
                <anchor moveWithCells="1">
                  <from>
                    <xdr:col>4</xdr:col>
                    <xdr:colOff>660400</xdr:colOff>
                    <xdr:row>50</xdr:row>
                    <xdr:rowOff>88900</xdr:rowOff>
                  </from>
                  <to>
                    <xdr:col>6</xdr:col>
                    <xdr:colOff>527050</xdr:colOff>
                    <xdr:row>51</xdr:row>
                    <xdr:rowOff>19050</xdr:rowOff>
                  </to>
                </anchor>
              </controlPr>
            </control>
          </mc:Choice>
        </mc:AlternateContent>
        <mc:AlternateContent xmlns:mc="http://schemas.openxmlformats.org/markup-compatibility/2006">
          <mc:Choice Requires="x14">
            <control shapeId="187404" r:id="rId15" name="Group Box 12">
              <controlPr defaultSize="0" autoFill="0" autoPict="0">
                <anchor moveWithCells="1">
                  <from>
                    <xdr:col>10</xdr:col>
                    <xdr:colOff>374650</xdr:colOff>
                    <xdr:row>48</xdr:row>
                    <xdr:rowOff>12700</xdr:rowOff>
                  </from>
                  <to>
                    <xdr:col>13</xdr:col>
                    <xdr:colOff>12700</xdr:colOff>
                    <xdr:row>49</xdr:row>
                    <xdr:rowOff>12700</xdr:rowOff>
                  </to>
                </anchor>
              </controlPr>
            </control>
          </mc:Choice>
        </mc:AlternateContent>
        <mc:AlternateContent xmlns:mc="http://schemas.openxmlformats.org/markup-compatibility/2006">
          <mc:Choice Requires="x14">
            <control shapeId="187405" r:id="rId16" name="Group Box 13">
              <controlPr defaultSize="0" autoFill="0" autoPict="0">
                <anchor moveWithCells="1">
                  <from>
                    <xdr:col>10</xdr:col>
                    <xdr:colOff>374650</xdr:colOff>
                    <xdr:row>49</xdr:row>
                    <xdr:rowOff>88900</xdr:rowOff>
                  </from>
                  <to>
                    <xdr:col>13</xdr:col>
                    <xdr:colOff>12700</xdr:colOff>
                    <xdr:row>50</xdr:row>
                    <xdr:rowOff>31750</xdr:rowOff>
                  </to>
                </anchor>
              </controlPr>
            </control>
          </mc:Choice>
        </mc:AlternateContent>
        <mc:AlternateContent xmlns:mc="http://schemas.openxmlformats.org/markup-compatibility/2006">
          <mc:Choice Requires="x14">
            <control shapeId="187406" r:id="rId17" name="Group Box 14">
              <controlPr defaultSize="0" autoFill="0" autoPict="0">
                <anchor moveWithCells="1">
                  <from>
                    <xdr:col>10</xdr:col>
                    <xdr:colOff>374650</xdr:colOff>
                    <xdr:row>50</xdr:row>
                    <xdr:rowOff>88900</xdr:rowOff>
                  </from>
                  <to>
                    <xdr:col>13</xdr:col>
                    <xdr:colOff>38100</xdr:colOff>
                    <xdr:row>51</xdr:row>
                    <xdr:rowOff>38100</xdr:rowOff>
                  </to>
                </anchor>
              </controlPr>
            </control>
          </mc:Choice>
        </mc:AlternateContent>
        <mc:AlternateContent xmlns:mc="http://schemas.openxmlformats.org/markup-compatibility/2006">
          <mc:Choice Requires="x14">
            <control shapeId="187407" r:id="rId18" name="Group Box 15">
              <controlPr defaultSize="0" autoFill="0" autoPict="0">
                <anchor moveWithCells="1">
                  <from>
                    <xdr:col>4</xdr:col>
                    <xdr:colOff>660400</xdr:colOff>
                    <xdr:row>65</xdr:row>
                    <xdr:rowOff>12700</xdr:rowOff>
                  </from>
                  <to>
                    <xdr:col>6</xdr:col>
                    <xdr:colOff>527050</xdr:colOff>
                    <xdr:row>66</xdr:row>
                    <xdr:rowOff>0</xdr:rowOff>
                  </to>
                </anchor>
              </controlPr>
            </control>
          </mc:Choice>
        </mc:AlternateContent>
        <mc:AlternateContent xmlns:mc="http://schemas.openxmlformats.org/markup-compatibility/2006">
          <mc:Choice Requires="x14">
            <control shapeId="187408" r:id="rId19" name="Group Box 16">
              <controlPr defaultSize="0" autoFill="0" autoPict="0">
                <anchor moveWithCells="1">
                  <from>
                    <xdr:col>4</xdr:col>
                    <xdr:colOff>660400</xdr:colOff>
                    <xdr:row>66</xdr:row>
                    <xdr:rowOff>57150</xdr:rowOff>
                  </from>
                  <to>
                    <xdr:col>6</xdr:col>
                    <xdr:colOff>527050</xdr:colOff>
                    <xdr:row>67</xdr:row>
                    <xdr:rowOff>12700</xdr:rowOff>
                  </to>
                </anchor>
              </controlPr>
            </control>
          </mc:Choice>
        </mc:AlternateContent>
        <mc:AlternateContent xmlns:mc="http://schemas.openxmlformats.org/markup-compatibility/2006">
          <mc:Choice Requires="x14">
            <control shapeId="187409" r:id="rId20" name="Group Box 17">
              <controlPr defaultSize="0" autoFill="0" autoPict="0">
                <anchor moveWithCells="1">
                  <from>
                    <xdr:col>4</xdr:col>
                    <xdr:colOff>660400</xdr:colOff>
                    <xdr:row>67</xdr:row>
                    <xdr:rowOff>88900</xdr:rowOff>
                  </from>
                  <to>
                    <xdr:col>6</xdr:col>
                    <xdr:colOff>527050</xdr:colOff>
                    <xdr:row>68</xdr:row>
                    <xdr:rowOff>19050</xdr:rowOff>
                  </to>
                </anchor>
              </controlPr>
            </control>
          </mc:Choice>
        </mc:AlternateContent>
        <mc:AlternateContent xmlns:mc="http://schemas.openxmlformats.org/markup-compatibility/2006">
          <mc:Choice Requires="x14">
            <control shapeId="187410" r:id="rId21" name="Group Box 18">
              <controlPr defaultSize="0" autoFill="0" autoPict="0">
                <anchor moveWithCells="1">
                  <from>
                    <xdr:col>10</xdr:col>
                    <xdr:colOff>374650</xdr:colOff>
                    <xdr:row>65</xdr:row>
                    <xdr:rowOff>12700</xdr:rowOff>
                  </from>
                  <to>
                    <xdr:col>13</xdr:col>
                    <xdr:colOff>12700</xdr:colOff>
                    <xdr:row>66</xdr:row>
                    <xdr:rowOff>12700</xdr:rowOff>
                  </to>
                </anchor>
              </controlPr>
            </control>
          </mc:Choice>
        </mc:AlternateContent>
        <mc:AlternateContent xmlns:mc="http://schemas.openxmlformats.org/markup-compatibility/2006">
          <mc:Choice Requires="x14">
            <control shapeId="187411" r:id="rId22" name="Group Box 19">
              <controlPr defaultSize="0" autoFill="0" autoPict="0">
                <anchor moveWithCells="1">
                  <from>
                    <xdr:col>10</xdr:col>
                    <xdr:colOff>374650</xdr:colOff>
                    <xdr:row>66</xdr:row>
                    <xdr:rowOff>88900</xdr:rowOff>
                  </from>
                  <to>
                    <xdr:col>13</xdr:col>
                    <xdr:colOff>12700</xdr:colOff>
                    <xdr:row>67</xdr:row>
                    <xdr:rowOff>31750</xdr:rowOff>
                  </to>
                </anchor>
              </controlPr>
            </control>
          </mc:Choice>
        </mc:AlternateContent>
        <mc:AlternateContent xmlns:mc="http://schemas.openxmlformats.org/markup-compatibility/2006">
          <mc:Choice Requires="x14">
            <control shapeId="187412" r:id="rId23" name="Group Box 20">
              <controlPr defaultSize="0" autoFill="0" autoPict="0">
                <anchor moveWithCells="1">
                  <from>
                    <xdr:col>10</xdr:col>
                    <xdr:colOff>374650</xdr:colOff>
                    <xdr:row>67</xdr:row>
                    <xdr:rowOff>88900</xdr:rowOff>
                  </from>
                  <to>
                    <xdr:col>13</xdr:col>
                    <xdr:colOff>38100</xdr:colOff>
                    <xdr:row>68</xdr:row>
                    <xdr:rowOff>38100</xdr:rowOff>
                  </to>
                </anchor>
              </controlPr>
            </control>
          </mc:Choice>
        </mc:AlternateContent>
        <mc:AlternateContent xmlns:mc="http://schemas.openxmlformats.org/markup-compatibility/2006">
          <mc:Choice Requires="x14">
            <control shapeId="187413" r:id="rId24" name="Group Box 21">
              <controlPr defaultSize="0" autoFill="0" autoPict="0">
                <anchor moveWithCells="1">
                  <from>
                    <xdr:col>2</xdr:col>
                    <xdr:colOff>1212850</xdr:colOff>
                    <xdr:row>19</xdr:row>
                    <xdr:rowOff>260350</xdr:rowOff>
                  </from>
                  <to>
                    <xdr:col>4</xdr:col>
                    <xdr:colOff>723900</xdr:colOff>
                    <xdr:row>23</xdr:row>
                    <xdr:rowOff>146050</xdr:rowOff>
                  </to>
                </anchor>
              </controlPr>
            </control>
          </mc:Choice>
        </mc:AlternateContent>
        <mc:AlternateContent xmlns:mc="http://schemas.openxmlformats.org/markup-compatibility/2006">
          <mc:Choice Requires="x14">
            <control shapeId="187414" r:id="rId25" name="Group Box 22">
              <controlPr defaultSize="0" autoFill="0" autoPict="0">
                <anchor moveWithCells="1">
                  <from>
                    <xdr:col>4</xdr:col>
                    <xdr:colOff>171450</xdr:colOff>
                    <xdr:row>35</xdr:row>
                    <xdr:rowOff>114300</xdr:rowOff>
                  </from>
                  <to>
                    <xdr:col>6</xdr:col>
                    <xdr:colOff>209550</xdr:colOff>
                    <xdr:row>39</xdr:row>
                    <xdr:rowOff>31750</xdr:rowOff>
                  </to>
                </anchor>
              </controlPr>
            </control>
          </mc:Choice>
        </mc:AlternateContent>
        <mc:AlternateContent xmlns:mc="http://schemas.openxmlformats.org/markup-compatibility/2006">
          <mc:Choice Requires="x14">
            <control shapeId="187415" r:id="rId26" name="Group Box 23">
              <controlPr defaultSize="0" autoFill="0" autoPict="0">
                <anchor moveWithCells="1">
                  <from>
                    <xdr:col>6</xdr:col>
                    <xdr:colOff>723900</xdr:colOff>
                    <xdr:row>35</xdr:row>
                    <xdr:rowOff>127000</xdr:rowOff>
                  </from>
                  <to>
                    <xdr:col>10</xdr:col>
                    <xdr:colOff>107950</xdr:colOff>
                    <xdr:row>39</xdr:row>
                    <xdr:rowOff>76200</xdr:rowOff>
                  </to>
                </anchor>
              </controlPr>
            </control>
          </mc:Choice>
        </mc:AlternateContent>
        <mc:AlternateContent xmlns:mc="http://schemas.openxmlformats.org/markup-compatibility/2006">
          <mc:Choice Requires="x14">
            <control shapeId="187416" r:id="rId27" name="Group Box 24">
              <controlPr defaultSize="0" autoFill="0" autoPict="0">
                <anchor moveWithCells="1">
                  <from>
                    <xdr:col>4</xdr:col>
                    <xdr:colOff>260350</xdr:colOff>
                    <xdr:row>51</xdr:row>
                    <xdr:rowOff>184150</xdr:rowOff>
                  </from>
                  <to>
                    <xdr:col>6</xdr:col>
                    <xdr:colOff>190500</xdr:colOff>
                    <xdr:row>55</xdr:row>
                    <xdr:rowOff>146050</xdr:rowOff>
                  </to>
                </anchor>
              </controlPr>
            </control>
          </mc:Choice>
        </mc:AlternateContent>
        <mc:AlternateContent xmlns:mc="http://schemas.openxmlformats.org/markup-compatibility/2006">
          <mc:Choice Requires="x14">
            <control shapeId="187417" r:id="rId28" name="Group Box 25">
              <controlPr defaultSize="0" autoFill="0" autoPict="0">
                <anchor moveWithCells="1">
                  <from>
                    <xdr:col>6</xdr:col>
                    <xdr:colOff>679450</xdr:colOff>
                    <xdr:row>51</xdr:row>
                    <xdr:rowOff>152400</xdr:rowOff>
                  </from>
                  <to>
                    <xdr:col>10</xdr:col>
                    <xdr:colOff>285750</xdr:colOff>
                    <xdr:row>55</xdr:row>
                    <xdr:rowOff>203200</xdr:rowOff>
                  </to>
                </anchor>
              </controlPr>
            </control>
          </mc:Choice>
        </mc:AlternateContent>
        <mc:AlternateContent xmlns:mc="http://schemas.openxmlformats.org/markup-compatibility/2006">
          <mc:Choice Requires="x14">
            <control shapeId="187418" r:id="rId29" name="Group Box 26">
              <controlPr defaultSize="0" autoFill="0" autoPict="0">
                <anchor moveWithCells="1">
                  <from>
                    <xdr:col>3</xdr:col>
                    <xdr:colOff>1346200</xdr:colOff>
                    <xdr:row>68</xdr:row>
                    <xdr:rowOff>184150</xdr:rowOff>
                  </from>
                  <to>
                    <xdr:col>6</xdr:col>
                    <xdr:colOff>342900</xdr:colOff>
                    <xdr:row>73</xdr:row>
                    <xdr:rowOff>50800</xdr:rowOff>
                  </to>
                </anchor>
              </controlPr>
            </control>
          </mc:Choice>
        </mc:AlternateContent>
        <mc:AlternateContent xmlns:mc="http://schemas.openxmlformats.org/markup-compatibility/2006">
          <mc:Choice Requires="x14">
            <control shapeId="187419" r:id="rId30" name="Group Box 27">
              <controlPr defaultSize="0" autoFill="0" autoPict="0">
                <anchor moveWithCells="1">
                  <from>
                    <xdr:col>6</xdr:col>
                    <xdr:colOff>781050</xdr:colOff>
                    <xdr:row>68</xdr:row>
                    <xdr:rowOff>209550</xdr:rowOff>
                  </from>
                  <to>
                    <xdr:col>10</xdr:col>
                    <xdr:colOff>342900</xdr:colOff>
                    <xdr:row>72</xdr:row>
                    <xdr:rowOff>203200</xdr:rowOff>
                  </to>
                </anchor>
              </controlPr>
            </control>
          </mc:Choice>
        </mc:AlternateContent>
        <mc:AlternateContent xmlns:mc="http://schemas.openxmlformats.org/markup-compatibility/2006">
          <mc:Choice Requires="x14">
            <control shapeId="187420" r:id="rId31" name="Group Box 28">
              <controlPr defaultSize="0" autoFill="0" autoPict="0">
                <anchor moveWithCells="1">
                  <from>
                    <xdr:col>4</xdr:col>
                    <xdr:colOff>660400</xdr:colOff>
                    <xdr:row>33</xdr:row>
                    <xdr:rowOff>12700</xdr:rowOff>
                  </from>
                  <to>
                    <xdr:col>6</xdr:col>
                    <xdr:colOff>527050</xdr:colOff>
                    <xdr:row>34</xdr:row>
                    <xdr:rowOff>0</xdr:rowOff>
                  </to>
                </anchor>
              </controlPr>
            </control>
          </mc:Choice>
        </mc:AlternateContent>
        <mc:AlternateContent xmlns:mc="http://schemas.openxmlformats.org/markup-compatibility/2006">
          <mc:Choice Requires="x14">
            <control shapeId="187421" r:id="rId32" name="Group Box 29">
              <controlPr defaultSize="0" autoFill="0" autoPict="0">
                <anchor moveWithCells="1">
                  <from>
                    <xdr:col>4</xdr:col>
                    <xdr:colOff>660400</xdr:colOff>
                    <xdr:row>34</xdr:row>
                    <xdr:rowOff>12700</xdr:rowOff>
                  </from>
                  <to>
                    <xdr:col>6</xdr:col>
                    <xdr:colOff>527050</xdr:colOff>
                    <xdr:row>35</xdr:row>
                    <xdr:rowOff>0</xdr:rowOff>
                  </to>
                </anchor>
              </controlPr>
            </control>
          </mc:Choice>
        </mc:AlternateContent>
        <mc:AlternateContent xmlns:mc="http://schemas.openxmlformats.org/markup-compatibility/2006">
          <mc:Choice Requires="x14">
            <control shapeId="187422" r:id="rId33" name="Group Box 30">
              <controlPr defaultSize="0" autoFill="0" autoPict="0">
                <anchor moveWithCells="1">
                  <from>
                    <xdr:col>4</xdr:col>
                    <xdr:colOff>660400</xdr:colOff>
                    <xdr:row>33</xdr:row>
                    <xdr:rowOff>12700</xdr:rowOff>
                  </from>
                  <to>
                    <xdr:col>6</xdr:col>
                    <xdr:colOff>527050</xdr:colOff>
                    <xdr:row>34</xdr:row>
                    <xdr:rowOff>0</xdr:rowOff>
                  </to>
                </anchor>
              </controlPr>
            </control>
          </mc:Choice>
        </mc:AlternateContent>
        <mc:AlternateContent xmlns:mc="http://schemas.openxmlformats.org/markup-compatibility/2006">
          <mc:Choice Requires="x14">
            <control shapeId="187423" r:id="rId34" name="Group Box 31">
              <controlPr defaultSize="0" autoFill="0" autoPict="0">
                <anchor moveWithCells="1">
                  <from>
                    <xdr:col>4</xdr:col>
                    <xdr:colOff>660400</xdr:colOff>
                    <xdr:row>34</xdr:row>
                    <xdr:rowOff>12700</xdr:rowOff>
                  </from>
                  <to>
                    <xdr:col>6</xdr:col>
                    <xdr:colOff>527050</xdr:colOff>
                    <xdr:row>35</xdr:row>
                    <xdr:rowOff>0</xdr:rowOff>
                  </to>
                </anchor>
              </controlPr>
            </control>
          </mc:Choice>
        </mc:AlternateContent>
        <mc:AlternateContent xmlns:mc="http://schemas.openxmlformats.org/markup-compatibility/2006">
          <mc:Choice Requires="x14">
            <control shapeId="187424" r:id="rId35" name="Group Box 32">
              <controlPr defaultSize="0" autoFill="0" autoPict="0">
                <anchor moveWithCells="1">
                  <from>
                    <xdr:col>10</xdr:col>
                    <xdr:colOff>374650</xdr:colOff>
                    <xdr:row>33</xdr:row>
                    <xdr:rowOff>12700</xdr:rowOff>
                  </from>
                  <to>
                    <xdr:col>13</xdr:col>
                    <xdr:colOff>12700</xdr:colOff>
                    <xdr:row>34</xdr:row>
                    <xdr:rowOff>12700</xdr:rowOff>
                  </to>
                </anchor>
              </controlPr>
            </control>
          </mc:Choice>
        </mc:AlternateContent>
        <mc:AlternateContent xmlns:mc="http://schemas.openxmlformats.org/markup-compatibility/2006">
          <mc:Choice Requires="x14">
            <control shapeId="187425" r:id="rId36" name="Group Box 33">
              <controlPr defaultSize="0" autoFill="0" autoPict="0">
                <anchor moveWithCells="1">
                  <from>
                    <xdr:col>10</xdr:col>
                    <xdr:colOff>374650</xdr:colOff>
                    <xdr:row>34</xdr:row>
                    <xdr:rowOff>12700</xdr:rowOff>
                  </from>
                  <to>
                    <xdr:col>13</xdr:col>
                    <xdr:colOff>12700</xdr:colOff>
                    <xdr:row>35</xdr:row>
                    <xdr:rowOff>12700</xdr:rowOff>
                  </to>
                </anchor>
              </controlPr>
            </control>
          </mc:Choice>
        </mc:AlternateContent>
        <mc:AlternateContent xmlns:mc="http://schemas.openxmlformats.org/markup-compatibility/2006">
          <mc:Choice Requires="x14">
            <control shapeId="187426" r:id="rId37" name="Group Box 34">
              <controlPr defaultSize="0" autoFill="0" autoPict="0">
                <anchor moveWithCells="1">
                  <from>
                    <xdr:col>4</xdr:col>
                    <xdr:colOff>660400</xdr:colOff>
                    <xdr:row>49</xdr:row>
                    <xdr:rowOff>12700</xdr:rowOff>
                  </from>
                  <to>
                    <xdr:col>6</xdr:col>
                    <xdr:colOff>527050</xdr:colOff>
                    <xdr:row>50</xdr:row>
                    <xdr:rowOff>0</xdr:rowOff>
                  </to>
                </anchor>
              </controlPr>
            </control>
          </mc:Choice>
        </mc:AlternateContent>
        <mc:AlternateContent xmlns:mc="http://schemas.openxmlformats.org/markup-compatibility/2006">
          <mc:Choice Requires="x14">
            <control shapeId="187427" r:id="rId38" name="Group Box 35">
              <controlPr defaultSize="0" autoFill="0" autoPict="0">
                <anchor moveWithCells="1">
                  <from>
                    <xdr:col>4</xdr:col>
                    <xdr:colOff>660400</xdr:colOff>
                    <xdr:row>50</xdr:row>
                    <xdr:rowOff>12700</xdr:rowOff>
                  </from>
                  <to>
                    <xdr:col>6</xdr:col>
                    <xdr:colOff>527050</xdr:colOff>
                    <xdr:row>51</xdr:row>
                    <xdr:rowOff>0</xdr:rowOff>
                  </to>
                </anchor>
              </controlPr>
            </control>
          </mc:Choice>
        </mc:AlternateContent>
        <mc:AlternateContent xmlns:mc="http://schemas.openxmlformats.org/markup-compatibility/2006">
          <mc:Choice Requires="x14">
            <control shapeId="187428" r:id="rId39" name="Group Box 36">
              <controlPr defaultSize="0" autoFill="0" autoPict="0">
                <anchor moveWithCells="1">
                  <from>
                    <xdr:col>10</xdr:col>
                    <xdr:colOff>374650</xdr:colOff>
                    <xdr:row>49</xdr:row>
                    <xdr:rowOff>12700</xdr:rowOff>
                  </from>
                  <to>
                    <xdr:col>13</xdr:col>
                    <xdr:colOff>12700</xdr:colOff>
                    <xdr:row>50</xdr:row>
                    <xdr:rowOff>12700</xdr:rowOff>
                  </to>
                </anchor>
              </controlPr>
            </control>
          </mc:Choice>
        </mc:AlternateContent>
        <mc:AlternateContent xmlns:mc="http://schemas.openxmlformats.org/markup-compatibility/2006">
          <mc:Choice Requires="x14">
            <control shapeId="187429" r:id="rId40" name="Group Box 37">
              <controlPr defaultSize="0" autoFill="0" autoPict="0">
                <anchor moveWithCells="1">
                  <from>
                    <xdr:col>10</xdr:col>
                    <xdr:colOff>374650</xdr:colOff>
                    <xdr:row>50</xdr:row>
                    <xdr:rowOff>12700</xdr:rowOff>
                  </from>
                  <to>
                    <xdr:col>13</xdr:col>
                    <xdr:colOff>12700</xdr:colOff>
                    <xdr:row>51</xdr:row>
                    <xdr:rowOff>12700</xdr:rowOff>
                  </to>
                </anchor>
              </controlPr>
            </control>
          </mc:Choice>
        </mc:AlternateContent>
        <mc:AlternateContent xmlns:mc="http://schemas.openxmlformats.org/markup-compatibility/2006">
          <mc:Choice Requires="x14">
            <control shapeId="187430" r:id="rId41" name="Group Box 38">
              <controlPr defaultSize="0" autoFill="0" autoPict="0">
                <anchor moveWithCells="1">
                  <from>
                    <xdr:col>4</xdr:col>
                    <xdr:colOff>660400</xdr:colOff>
                    <xdr:row>66</xdr:row>
                    <xdr:rowOff>12700</xdr:rowOff>
                  </from>
                  <to>
                    <xdr:col>6</xdr:col>
                    <xdr:colOff>527050</xdr:colOff>
                    <xdr:row>67</xdr:row>
                    <xdr:rowOff>0</xdr:rowOff>
                  </to>
                </anchor>
              </controlPr>
            </control>
          </mc:Choice>
        </mc:AlternateContent>
        <mc:AlternateContent xmlns:mc="http://schemas.openxmlformats.org/markup-compatibility/2006">
          <mc:Choice Requires="x14">
            <control shapeId="187431" r:id="rId42" name="Group Box 39">
              <controlPr defaultSize="0" autoFill="0" autoPict="0">
                <anchor moveWithCells="1">
                  <from>
                    <xdr:col>4</xdr:col>
                    <xdr:colOff>660400</xdr:colOff>
                    <xdr:row>67</xdr:row>
                    <xdr:rowOff>12700</xdr:rowOff>
                  </from>
                  <to>
                    <xdr:col>6</xdr:col>
                    <xdr:colOff>527050</xdr:colOff>
                    <xdr:row>68</xdr:row>
                    <xdr:rowOff>0</xdr:rowOff>
                  </to>
                </anchor>
              </controlPr>
            </control>
          </mc:Choice>
        </mc:AlternateContent>
        <mc:AlternateContent xmlns:mc="http://schemas.openxmlformats.org/markup-compatibility/2006">
          <mc:Choice Requires="x14">
            <control shapeId="187432" r:id="rId43" name="Group Box 40">
              <controlPr defaultSize="0" autoFill="0" autoPict="0">
                <anchor moveWithCells="1">
                  <from>
                    <xdr:col>10</xdr:col>
                    <xdr:colOff>374650</xdr:colOff>
                    <xdr:row>66</xdr:row>
                    <xdr:rowOff>12700</xdr:rowOff>
                  </from>
                  <to>
                    <xdr:col>13</xdr:col>
                    <xdr:colOff>12700</xdr:colOff>
                    <xdr:row>67</xdr:row>
                    <xdr:rowOff>12700</xdr:rowOff>
                  </to>
                </anchor>
              </controlPr>
            </control>
          </mc:Choice>
        </mc:AlternateContent>
        <mc:AlternateContent xmlns:mc="http://schemas.openxmlformats.org/markup-compatibility/2006">
          <mc:Choice Requires="x14">
            <control shapeId="187433" r:id="rId44" name="Group Box 41">
              <controlPr defaultSize="0" autoFill="0" autoPict="0">
                <anchor moveWithCells="1">
                  <from>
                    <xdr:col>10</xdr:col>
                    <xdr:colOff>374650</xdr:colOff>
                    <xdr:row>67</xdr:row>
                    <xdr:rowOff>12700</xdr:rowOff>
                  </from>
                  <to>
                    <xdr:col>13</xdr:col>
                    <xdr:colOff>12700</xdr:colOff>
                    <xdr:row>68</xdr:row>
                    <xdr:rowOff>12700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241C5F0B-E58F-403F-B8ED-A0462B9226C6}">
          <x14:formula1>
            <xm:f>"Pass, Fail"</xm:f>
          </x14:formula1>
          <xm:sqref>F33:G35 JB33:JC35 SX33:SY35 ACT33:ACU35 AMP33:AMQ35 AWL33:AWM35 BGH33:BGI35 BQD33:BQE35 BZZ33:CAA35 CJV33:CJW35 CTR33:CTS35 DDN33:DDO35 DNJ33:DNK35 DXF33:DXG35 EHB33:EHC35 EQX33:EQY35 FAT33:FAU35 FKP33:FKQ35 FUL33:FUM35 GEH33:GEI35 GOD33:GOE35 GXZ33:GYA35 HHV33:HHW35 HRR33:HRS35 IBN33:IBO35 ILJ33:ILK35 IVF33:IVG35 JFB33:JFC35 JOX33:JOY35 JYT33:JYU35 KIP33:KIQ35 KSL33:KSM35 LCH33:LCI35 LMD33:LME35 LVZ33:LWA35 MFV33:MFW35 MPR33:MPS35 MZN33:MZO35 NJJ33:NJK35 NTF33:NTG35 ODB33:ODC35 OMX33:OMY35 OWT33:OWU35 PGP33:PGQ35 PQL33:PQM35 QAH33:QAI35 QKD33:QKE35 QTZ33:QUA35 RDV33:RDW35 RNR33:RNS35 RXN33:RXO35 SHJ33:SHK35 SRF33:SRG35 TBB33:TBC35 TKX33:TKY35 TUT33:TUU35 UEP33:UEQ35 UOL33:UOM35 UYH33:UYI35 VID33:VIE35 VRZ33:VSA35 WBV33:WBW35 WLR33:WLS35 WVN33:WVO35 F65569:G65571 JB65569:JC65571 SX65569:SY65571 ACT65569:ACU65571 AMP65569:AMQ65571 AWL65569:AWM65571 BGH65569:BGI65571 BQD65569:BQE65571 BZZ65569:CAA65571 CJV65569:CJW65571 CTR65569:CTS65571 DDN65569:DDO65571 DNJ65569:DNK65571 DXF65569:DXG65571 EHB65569:EHC65571 EQX65569:EQY65571 FAT65569:FAU65571 FKP65569:FKQ65571 FUL65569:FUM65571 GEH65569:GEI65571 GOD65569:GOE65571 GXZ65569:GYA65571 HHV65569:HHW65571 HRR65569:HRS65571 IBN65569:IBO65571 ILJ65569:ILK65571 IVF65569:IVG65571 JFB65569:JFC65571 JOX65569:JOY65571 JYT65569:JYU65571 KIP65569:KIQ65571 KSL65569:KSM65571 LCH65569:LCI65571 LMD65569:LME65571 LVZ65569:LWA65571 MFV65569:MFW65571 MPR65569:MPS65571 MZN65569:MZO65571 NJJ65569:NJK65571 NTF65569:NTG65571 ODB65569:ODC65571 OMX65569:OMY65571 OWT65569:OWU65571 PGP65569:PGQ65571 PQL65569:PQM65571 QAH65569:QAI65571 QKD65569:QKE65571 QTZ65569:QUA65571 RDV65569:RDW65571 RNR65569:RNS65571 RXN65569:RXO65571 SHJ65569:SHK65571 SRF65569:SRG65571 TBB65569:TBC65571 TKX65569:TKY65571 TUT65569:TUU65571 UEP65569:UEQ65571 UOL65569:UOM65571 UYH65569:UYI65571 VID65569:VIE65571 VRZ65569:VSA65571 WBV65569:WBW65571 WLR65569:WLS65571 WVN65569:WVO65571 F131105:G131107 JB131105:JC131107 SX131105:SY131107 ACT131105:ACU131107 AMP131105:AMQ131107 AWL131105:AWM131107 BGH131105:BGI131107 BQD131105:BQE131107 BZZ131105:CAA131107 CJV131105:CJW131107 CTR131105:CTS131107 DDN131105:DDO131107 DNJ131105:DNK131107 DXF131105:DXG131107 EHB131105:EHC131107 EQX131105:EQY131107 FAT131105:FAU131107 FKP131105:FKQ131107 FUL131105:FUM131107 GEH131105:GEI131107 GOD131105:GOE131107 GXZ131105:GYA131107 HHV131105:HHW131107 HRR131105:HRS131107 IBN131105:IBO131107 ILJ131105:ILK131107 IVF131105:IVG131107 JFB131105:JFC131107 JOX131105:JOY131107 JYT131105:JYU131107 KIP131105:KIQ131107 KSL131105:KSM131107 LCH131105:LCI131107 LMD131105:LME131107 LVZ131105:LWA131107 MFV131105:MFW131107 MPR131105:MPS131107 MZN131105:MZO131107 NJJ131105:NJK131107 NTF131105:NTG131107 ODB131105:ODC131107 OMX131105:OMY131107 OWT131105:OWU131107 PGP131105:PGQ131107 PQL131105:PQM131107 QAH131105:QAI131107 QKD131105:QKE131107 QTZ131105:QUA131107 RDV131105:RDW131107 RNR131105:RNS131107 RXN131105:RXO131107 SHJ131105:SHK131107 SRF131105:SRG131107 TBB131105:TBC131107 TKX131105:TKY131107 TUT131105:TUU131107 UEP131105:UEQ131107 UOL131105:UOM131107 UYH131105:UYI131107 VID131105:VIE131107 VRZ131105:VSA131107 WBV131105:WBW131107 WLR131105:WLS131107 WVN131105:WVO131107 F196641:G196643 JB196641:JC196643 SX196641:SY196643 ACT196641:ACU196643 AMP196641:AMQ196643 AWL196641:AWM196643 BGH196641:BGI196643 BQD196641:BQE196643 BZZ196641:CAA196643 CJV196641:CJW196643 CTR196641:CTS196643 DDN196641:DDO196643 DNJ196641:DNK196643 DXF196641:DXG196643 EHB196641:EHC196643 EQX196641:EQY196643 FAT196641:FAU196643 FKP196641:FKQ196643 FUL196641:FUM196643 GEH196641:GEI196643 GOD196641:GOE196643 GXZ196641:GYA196643 HHV196641:HHW196643 HRR196641:HRS196643 IBN196641:IBO196643 ILJ196641:ILK196643 IVF196641:IVG196643 JFB196641:JFC196643 JOX196641:JOY196643 JYT196641:JYU196643 KIP196641:KIQ196643 KSL196641:KSM196643 LCH196641:LCI196643 LMD196641:LME196643 LVZ196641:LWA196643 MFV196641:MFW196643 MPR196641:MPS196643 MZN196641:MZO196643 NJJ196641:NJK196643 NTF196641:NTG196643 ODB196641:ODC196643 OMX196641:OMY196643 OWT196641:OWU196643 PGP196641:PGQ196643 PQL196641:PQM196643 QAH196641:QAI196643 QKD196641:QKE196643 QTZ196641:QUA196643 RDV196641:RDW196643 RNR196641:RNS196643 RXN196641:RXO196643 SHJ196641:SHK196643 SRF196641:SRG196643 TBB196641:TBC196643 TKX196641:TKY196643 TUT196641:TUU196643 UEP196641:UEQ196643 UOL196641:UOM196643 UYH196641:UYI196643 VID196641:VIE196643 VRZ196641:VSA196643 WBV196641:WBW196643 WLR196641:WLS196643 WVN196641:WVO196643 F262177:G262179 JB262177:JC262179 SX262177:SY262179 ACT262177:ACU262179 AMP262177:AMQ262179 AWL262177:AWM262179 BGH262177:BGI262179 BQD262177:BQE262179 BZZ262177:CAA262179 CJV262177:CJW262179 CTR262177:CTS262179 DDN262177:DDO262179 DNJ262177:DNK262179 DXF262177:DXG262179 EHB262177:EHC262179 EQX262177:EQY262179 FAT262177:FAU262179 FKP262177:FKQ262179 FUL262177:FUM262179 GEH262177:GEI262179 GOD262177:GOE262179 GXZ262177:GYA262179 HHV262177:HHW262179 HRR262177:HRS262179 IBN262177:IBO262179 ILJ262177:ILK262179 IVF262177:IVG262179 JFB262177:JFC262179 JOX262177:JOY262179 JYT262177:JYU262179 KIP262177:KIQ262179 KSL262177:KSM262179 LCH262177:LCI262179 LMD262177:LME262179 LVZ262177:LWA262179 MFV262177:MFW262179 MPR262177:MPS262179 MZN262177:MZO262179 NJJ262177:NJK262179 NTF262177:NTG262179 ODB262177:ODC262179 OMX262177:OMY262179 OWT262177:OWU262179 PGP262177:PGQ262179 PQL262177:PQM262179 QAH262177:QAI262179 QKD262177:QKE262179 QTZ262177:QUA262179 RDV262177:RDW262179 RNR262177:RNS262179 RXN262177:RXO262179 SHJ262177:SHK262179 SRF262177:SRG262179 TBB262177:TBC262179 TKX262177:TKY262179 TUT262177:TUU262179 UEP262177:UEQ262179 UOL262177:UOM262179 UYH262177:UYI262179 VID262177:VIE262179 VRZ262177:VSA262179 WBV262177:WBW262179 WLR262177:WLS262179 WVN262177:WVO262179 F327713:G327715 JB327713:JC327715 SX327713:SY327715 ACT327713:ACU327715 AMP327713:AMQ327715 AWL327713:AWM327715 BGH327713:BGI327715 BQD327713:BQE327715 BZZ327713:CAA327715 CJV327713:CJW327715 CTR327713:CTS327715 DDN327713:DDO327715 DNJ327713:DNK327715 DXF327713:DXG327715 EHB327713:EHC327715 EQX327713:EQY327715 FAT327713:FAU327715 FKP327713:FKQ327715 FUL327713:FUM327715 GEH327713:GEI327715 GOD327713:GOE327715 GXZ327713:GYA327715 HHV327713:HHW327715 HRR327713:HRS327715 IBN327713:IBO327715 ILJ327713:ILK327715 IVF327713:IVG327715 JFB327713:JFC327715 JOX327713:JOY327715 JYT327713:JYU327715 KIP327713:KIQ327715 KSL327713:KSM327715 LCH327713:LCI327715 LMD327713:LME327715 LVZ327713:LWA327715 MFV327713:MFW327715 MPR327713:MPS327715 MZN327713:MZO327715 NJJ327713:NJK327715 NTF327713:NTG327715 ODB327713:ODC327715 OMX327713:OMY327715 OWT327713:OWU327715 PGP327713:PGQ327715 PQL327713:PQM327715 QAH327713:QAI327715 QKD327713:QKE327715 QTZ327713:QUA327715 RDV327713:RDW327715 RNR327713:RNS327715 RXN327713:RXO327715 SHJ327713:SHK327715 SRF327713:SRG327715 TBB327713:TBC327715 TKX327713:TKY327715 TUT327713:TUU327715 UEP327713:UEQ327715 UOL327713:UOM327715 UYH327713:UYI327715 VID327713:VIE327715 VRZ327713:VSA327715 WBV327713:WBW327715 WLR327713:WLS327715 WVN327713:WVO327715 F393249:G393251 JB393249:JC393251 SX393249:SY393251 ACT393249:ACU393251 AMP393249:AMQ393251 AWL393249:AWM393251 BGH393249:BGI393251 BQD393249:BQE393251 BZZ393249:CAA393251 CJV393249:CJW393251 CTR393249:CTS393251 DDN393249:DDO393251 DNJ393249:DNK393251 DXF393249:DXG393251 EHB393249:EHC393251 EQX393249:EQY393251 FAT393249:FAU393251 FKP393249:FKQ393251 FUL393249:FUM393251 GEH393249:GEI393251 GOD393249:GOE393251 GXZ393249:GYA393251 HHV393249:HHW393251 HRR393249:HRS393251 IBN393249:IBO393251 ILJ393249:ILK393251 IVF393249:IVG393251 JFB393249:JFC393251 JOX393249:JOY393251 JYT393249:JYU393251 KIP393249:KIQ393251 KSL393249:KSM393251 LCH393249:LCI393251 LMD393249:LME393251 LVZ393249:LWA393251 MFV393249:MFW393251 MPR393249:MPS393251 MZN393249:MZO393251 NJJ393249:NJK393251 NTF393249:NTG393251 ODB393249:ODC393251 OMX393249:OMY393251 OWT393249:OWU393251 PGP393249:PGQ393251 PQL393249:PQM393251 QAH393249:QAI393251 QKD393249:QKE393251 QTZ393249:QUA393251 RDV393249:RDW393251 RNR393249:RNS393251 RXN393249:RXO393251 SHJ393249:SHK393251 SRF393249:SRG393251 TBB393249:TBC393251 TKX393249:TKY393251 TUT393249:TUU393251 UEP393249:UEQ393251 UOL393249:UOM393251 UYH393249:UYI393251 VID393249:VIE393251 VRZ393249:VSA393251 WBV393249:WBW393251 WLR393249:WLS393251 WVN393249:WVO393251 F458785:G458787 JB458785:JC458787 SX458785:SY458787 ACT458785:ACU458787 AMP458785:AMQ458787 AWL458785:AWM458787 BGH458785:BGI458787 BQD458785:BQE458787 BZZ458785:CAA458787 CJV458785:CJW458787 CTR458785:CTS458787 DDN458785:DDO458787 DNJ458785:DNK458787 DXF458785:DXG458787 EHB458785:EHC458787 EQX458785:EQY458787 FAT458785:FAU458787 FKP458785:FKQ458787 FUL458785:FUM458787 GEH458785:GEI458787 GOD458785:GOE458787 GXZ458785:GYA458787 HHV458785:HHW458787 HRR458785:HRS458787 IBN458785:IBO458787 ILJ458785:ILK458787 IVF458785:IVG458787 JFB458785:JFC458787 JOX458785:JOY458787 JYT458785:JYU458787 KIP458785:KIQ458787 KSL458785:KSM458787 LCH458785:LCI458787 LMD458785:LME458787 LVZ458785:LWA458787 MFV458785:MFW458787 MPR458785:MPS458787 MZN458785:MZO458787 NJJ458785:NJK458787 NTF458785:NTG458787 ODB458785:ODC458787 OMX458785:OMY458787 OWT458785:OWU458787 PGP458785:PGQ458787 PQL458785:PQM458787 QAH458785:QAI458787 QKD458785:QKE458787 QTZ458785:QUA458787 RDV458785:RDW458787 RNR458785:RNS458787 RXN458785:RXO458787 SHJ458785:SHK458787 SRF458785:SRG458787 TBB458785:TBC458787 TKX458785:TKY458787 TUT458785:TUU458787 UEP458785:UEQ458787 UOL458785:UOM458787 UYH458785:UYI458787 VID458785:VIE458787 VRZ458785:VSA458787 WBV458785:WBW458787 WLR458785:WLS458787 WVN458785:WVO458787 F524321:G524323 JB524321:JC524323 SX524321:SY524323 ACT524321:ACU524323 AMP524321:AMQ524323 AWL524321:AWM524323 BGH524321:BGI524323 BQD524321:BQE524323 BZZ524321:CAA524323 CJV524321:CJW524323 CTR524321:CTS524323 DDN524321:DDO524323 DNJ524321:DNK524323 DXF524321:DXG524323 EHB524321:EHC524323 EQX524321:EQY524323 FAT524321:FAU524323 FKP524321:FKQ524323 FUL524321:FUM524323 GEH524321:GEI524323 GOD524321:GOE524323 GXZ524321:GYA524323 HHV524321:HHW524323 HRR524321:HRS524323 IBN524321:IBO524323 ILJ524321:ILK524323 IVF524321:IVG524323 JFB524321:JFC524323 JOX524321:JOY524323 JYT524321:JYU524323 KIP524321:KIQ524323 KSL524321:KSM524323 LCH524321:LCI524323 LMD524321:LME524323 LVZ524321:LWA524323 MFV524321:MFW524323 MPR524321:MPS524323 MZN524321:MZO524323 NJJ524321:NJK524323 NTF524321:NTG524323 ODB524321:ODC524323 OMX524321:OMY524323 OWT524321:OWU524323 PGP524321:PGQ524323 PQL524321:PQM524323 QAH524321:QAI524323 QKD524321:QKE524323 QTZ524321:QUA524323 RDV524321:RDW524323 RNR524321:RNS524323 RXN524321:RXO524323 SHJ524321:SHK524323 SRF524321:SRG524323 TBB524321:TBC524323 TKX524321:TKY524323 TUT524321:TUU524323 UEP524321:UEQ524323 UOL524321:UOM524323 UYH524321:UYI524323 VID524321:VIE524323 VRZ524321:VSA524323 WBV524321:WBW524323 WLR524321:WLS524323 WVN524321:WVO524323 F589857:G589859 JB589857:JC589859 SX589857:SY589859 ACT589857:ACU589859 AMP589857:AMQ589859 AWL589857:AWM589859 BGH589857:BGI589859 BQD589857:BQE589859 BZZ589857:CAA589859 CJV589857:CJW589859 CTR589857:CTS589859 DDN589857:DDO589859 DNJ589857:DNK589859 DXF589857:DXG589859 EHB589857:EHC589859 EQX589857:EQY589859 FAT589857:FAU589859 FKP589857:FKQ589859 FUL589857:FUM589859 GEH589857:GEI589859 GOD589857:GOE589859 GXZ589857:GYA589859 HHV589857:HHW589859 HRR589857:HRS589859 IBN589857:IBO589859 ILJ589857:ILK589859 IVF589857:IVG589859 JFB589857:JFC589859 JOX589857:JOY589859 JYT589857:JYU589859 KIP589857:KIQ589859 KSL589857:KSM589859 LCH589857:LCI589859 LMD589857:LME589859 LVZ589857:LWA589859 MFV589857:MFW589859 MPR589857:MPS589859 MZN589857:MZO589859 NJJ589857:NJK589859 NTF589857:NTG589859 ODB589857:ODC589859 OMX589857:OMY589859 OWT589857:OWU589859 PGP589857:PGQ589859 PQL589857:PQM589859 QAH589857:QAI589859 QKD589857:QKE589859 QTZ589857:QUA589859 RDV589857:RDW589859 RNR589857:RNS589859 RXN589857:RXO589859 SHJ589857:SHK589859 SRF589857:SRG589859 TBB589857:TBC589859 TKX589857:TKY589859 TUT589857:TUU589859 UEP589857:UEQ589859 UOL589857:UOM589859 UYH589857:UYI589859 VID589857:VIE589859 VRZ589857:VSA589859 WBV589857:WBW589859 WLR589857:WLS589859 WVN589857:WVO589859 F655393:G655395 JB655393:JC655395 SX655393:SY655395 ACT655393:ACU655395 AMP655393:AMQ655395 AWL655393:AWM655395 BGH655393:BGI655395 BQD655393:BQE655395 BZZ655393:CAA655395 CJV655393:CJW655395 CTR655393:CTS655395 DDN655393:DDO655395 DNJ655393:DNK655395 DXF655393:DXG655395 EHB655393:EHC655395 EQX655393:EQY655395 FAT655393:FAU655395 FKP655393:FKQ655395 FUL655393:FUM655395 GEH655393:GEI655395 GOD655393:GOE655395 GXZ655393:GYA655395 HHV655393:HHW655395 HRR655393:HRS655395 IBN655393:IBO655395 ILJ655393:ILK655395 IVF655393:IVG655395 JFB655393:JFC655395 JOX655393:JOY655395 JYT655393:JYU655395 KIP655393:KIQ655395 KSL655393:KSM655395 LCH655393:LCI655395 LMD655393:LME655395 LVZ655393:LWA655395 MFV655393:MFW655395 MPR655393:MPS655395 MZN655393:MZO655395 NJJ655393:NJK655395 NTF655393:NTG655395 ODB655393:ODC655395 OMX655393:OMY655395 OWT655393:OWU655395 PGP655393:PGQ655395 PQL655393:PQM655395 QAH655393:QAI655395 QKD655393:QKE655395 QTZ655393:QUA655395 RDV655393:RDW655395 RNR655393:RNS655395 RXN655393:RXO655395 SHJ655393:SHK655395 SRF655393:SRG655395 TBB655393:TBC655395 TKX655393:TKY655395 TUT655393:TUU655395 UEP655393:UEQ655395 UOL655393:UOM655395 UYH655393:UYI655395 VID655393:VIE655395 VRZ655393:VSA655395 WBV655393:WBW655395 WLR655393:WLS655395 WVN655393:WVO655395 F720929:G720931 JB720929:JC720931 SX720929:SY720931 ACT720929:ACU720931 AMP720929:AMQ720931 AWL720929:AWM720931 BGH720929:BGI720931 BQD720929:BQE720931 BZZ720929:CAA720931 CJV720929:CJW720931 CTR720929:CTS720931 DDN720929:DDO720931 DNJ720929:DNK720931 DXF720929:DXG720931 EHB720929:EHC720931 EQX720929:EQY720931 FAT720929:FAU720931 FKP720929:FKQ720931 FUL720929:FUM720931 GEH720929:GEI720931 GOD720929:GOE720931 GXZ720929:GYA720931 HHV720929:HHW720931 HRR720929:HRS720931 IBN720929:IBO720931 ILJ720929:ILK720931 IVF720929:IVG720931 JFB720929:JFC720931 JOX720929:JOY720931 JYT720929:JYU720931 KIP720929:KIQ720931 KSL720929:KSM720931 LCH720929:LCI720931 LMD720929:LME720931 LVZ720929:LWA720931 MFV720929:MFW720931 MPR720929:MPS720931 MZN720929:MZO720931 NJJ720929:NJK720931 NTF720929:NTG720931 ODB720929:ODC720931 OMX720929:OMY720931 OWT720929:OWU720931 PGP720929:PGQ720931 PQL720929:PQM720931 QAH720929:QAI720931 QKD720929:QKE720931 QTZ720929:QUA720931 RDV720929:RDW720931 RNR720929:RNS720931 RXN720929:RXO720931 SHJ720929:SHK720931 SRF720929:SRG720931 TBB720929:TBC720931 TKX720929:TKY720931 TUT720929:TUU720931 UEP720929:UEQ720931 UOL720929:UOM720931 UYH720929:UYI720931 VID720929:VIE720931 VRZ720929:VSA720931 WBV720929:WBW720931 WLR720929:WLS720931 WVN720929:WVO720931 F786465:G786467 JB786465:JC786467 SX786465:SY786467 ACT786465:ACU786467 AMP786465:AMQ786467 AWL786465:AWM786467 BGH786465:BGI786467 BQD786465:BQE786467 BZZ786465:CAA786467 CJV786465:CJW786467 CTR786465:CTS786467 DDN786465:DDO786467 DNJ786465:DNK786467 DXF786465:DXG786467 EHB786465:EHC786467 EQX786465:EQY786467 FAT786465:FAU786467 FKP786465:FKQ786467 FUL786465:FUM786467 GEH786465:GEI786467 GOD786465:GOE786467 GXZ786465:GYA786467 HHV786465:HHW786467 HRR786465:HRS786467 IBN786465:IBO786467 ILJ786465:ILK786467 IVF786465:IVG786467 JFB786465:JFC786467 JOX786465:JOY786467 JYT786465:JYU786467 KIP786465:KIQ786467 KSL786465:KSM786467 LCH786465:LCI786467 LMD786465:LME786467 LVZ786465:LWA786467 MFV786465:MFW786467 MPR786465:MPS786467 MZN786465:MZO786467 NJJ786465:NJK786467 NTF786465:NTG786467 ODB786465:ODC786467 OMX786465:OMY786467 OWT786465:OWU786467 PGP786465:PGQ786467 PQL786465:PQM786467 QAH786465:QAI786467 QKD786465:QKE786467 QTZ786465:QUA786467 RDV786465:RDW786467 RNR786465:RNS786467 RXN786465:RXO786467 SHJ786465:SHK786467 SRF786465:SRG786467 TBB786465:TBC786467 TKX786465:TKY786467 TUT786465:TUU786467 UEP786465:UEQ786467 UOL786465:UOM786467 UYH786465:UYI786467 VID786465:VIE786467 VRZ786465:VSA786467 WBV786465:WBW786467 WLR786465:WLS786467 WVN786465:WVO786467 F852001:G852003 JB852001:JC852003 SX852001:SY852003 ACT852001:ACU852003 AMP852001:AMQ852003 AWL852001:AWM852003 BGH852001:BGI852003 BQD852001:BQE852003 BZZ852001:CAA852003 CJV852001:CJW852003 CTR852001:CTS852003 DDN852001:DDO852003 DNJ852001:DNK852003 DXF852001:DXG852003 EHB852001:EHC852003 EQX852001:EQY852003 FAT852001:FAU852003 FKP852001:FKQ852003 FUL852001:FUM852003 GEH852001:GEI852003 GOD852001:GOE852003 GXZ852001:GYA852003 HHV852001:HHW852003 HRR852001:HRS852003 IBN852001:IBO852003 ILJ852001:ILK852003 IVF852001:IVG852003 JFB852001:JFC852003 JOX852001:JOY852003 JYT852001:JYU852003 KIP852001:KIQ852003 KSL852001:KSM852003 LCH852001:LCI852003 LMD852001:LME852003 LVZ852001:LWA852003 MFV852001:MFW852003 MPR852001:MPS852003 MZN852001:MZO852003 NJJ852001:NJK852003 NTF852001:NTG852003 ODB852001:ODC852003 OMX852001:OMY852003 OWT852001:OWU852003 PGP852001:PGQ852003 PQL852001:PQM852003 QAH852001:QAI852003 QKD852001:QKE852003 QTZ852001:QUA852003 RDV852001:RDW852003 RNR852001:RNS852003 RXN852001:RXO852003 SHJ852001:SHK852003 SRF852001:SRG852003 TBB852001:TBC852003 TKX852001:TKY852003 TUT852001:TUU852003 UEP852001:UEQ852003 UOL852001:UOM852003 UYH852001:UYI852003 VID852001:VIE852003 VRZ852001:VSA852003 WBV852001:WBW852003 WLR852001:WLS852003 WVN852001:WVO852003 F917537:G917539 JB917537:JC917539 SX917537:SY917539 ACT917537:ACU917539 AMP917537:AMQ917539 AWL917537:AWM917539 BGH917537:BGI917539 BQD917537:BQE917539 BZZ917537:CAA917539 CJV917537:CJW917539 CTR917537:CTS917539 DDN917537:DDO917539 DNJ917537:DNK917539 DXF917537:DXG917539 EHB917537:EHC917539 EQX917537:EQY917539 FAT917537:FAU917539 FKP917537:FKQ917539 FUL917537:FUM917539 GEH917537:GEI917539 GOD917537:GOE917539 GXZ917537:GYA917539 HHV917537:HHW917539 HRR917537:HRS917539 IBN917537:IBO917539 ILJ917537:ILK917539 IVF917537:IVG917539 JFB917537:JFC917539 JOX917537:JOY917539 JYT917537:JYU917539 KIP917537:KIQ917539 KSL917537:KSM917539 LCH917537:LCI917539 LMD917537:LME917539 LVZ917537:LWA917539 MFV917537:MFW917539 MPR917537:MPS917539 MZN917537:MZO917539 NJJ917537:NJK917539 NTF917537:NTG917539 ODB917537:ODC917539 OMX917537:OMY917539 OWT917537:OWU917539 PGP917537:PGQ917539 PQL917537:PQM917539 QAH917537:QAI917539 QKD917537:QKE917539 QTZ917537:QUA917539 RDV917537:RDW917539 RNR917537:RNS917539 RXN917537:RXO917539 SHJ917537:SHK917539 SRF917537:SRG917539 TBB917537:TBC917539 TKX917537:TKY917539 TUT917537:TUU917539 UEP917537:UEQ917539 UOL917537:UOM917539 UYH917537:UYI917539 VID917537:VIE917539 VRZ917537:VSA917539 WBV917537:WBW917539 WLR917537:WLS917539 WVN917537:WVO917539 F983073:G983075 JB983073:JC983075 SX983073:SY983075 ACT983073:ACU983075 AMP983073:AMQ983075 AWL983073:AWM983075 BGH983073:BGI983075 BQD983073:BQE983075 BZZ983073:CAA983075 CJV983073:CJW983075 CTR983073:CTS983075 DDN983073:DDO983075 DNJ983073:DNK983075 DXF983073:DXG983075 EHB983073:EHC983075 EQX983073:EQY983075 FAT983073:FAU983075 FKP983073:FKQ983075 FUL983073:FUM983075 GEH983073:GEI983075 GOD983073:GOE983075 GXZ983073:GYA983075 HHV983073:HHW983075 HRR983073:HRS983075 IBN983073:IBO983075 ILJ983073:ILK983075 IVF983073:IVG983075 JFB983073:JFC983075 JOX983073:JOY983075 JYT983073:JYU983075 KIP983073:KIQ983075 KSL983073:KSM983075 LCH983073:LCI983075 LMD983073:LME983075 LVZ983073:LWA983075 MFV983073:MFW983075 MPR983073:MPS983075 MZN983073:MZO983075 NJJ983073:NJK983075 NTF983073:NTG983075 ODB983073:ODC983075 OMX983073:OMY983075 OWT983073:OWU983075 PGP983073:PGQ983075 PQL983073:PQM983075 QAH983073:QAI983075 QKD983073:QKE983075 QTZ983073:QUA983075 RDV983073:RDW983075 RNR983073:RNS983075 RXN983073:RXO983075 SHJ983073:SHK983075 SRF983073:SRG983075 TBB983073:TBC983075 TKX983073:TKY983075 TUT983073:TUU983075 UEP983073:UEQ983075 UOL983073:UOM983075 UYH983073:UYI983075 VID983073:VIE983075 VRZ983073:VSA983075 WBV983073:WBW983075 WLR983073:WLS983075 WVN983073:WVO983075 K38:M38 JG38:JI38 TC38:TE38 ACY38:ADA38 AMU38:AMW38 AWQ38:AWS38 BGM38:BGO38 BQI38:BQK38 CAE38:CAG38 CKA38:CKC38 CTW38:CTY38 DDS38:DDU38 DNO38:DNQ38 DXK38:DXM38 EHG38:EHI38 ERC38:ERE38 FAY38:FBA38 FKU38:FKW38 FUQ38:FUS38 GEM38:GEO38 GOI38:GOK38 GYE38:GYG38 HIA38:HIC38 HRW38:HRY38 IBS38:IBU38 ILO38:ILQ38 IVK38:IVM38 JFG38:JFI38 JPC38:JPE38 JYY38:JZA38 KIU38:KIW38 KSQ38:KSS38 LCM38:LCO38 LMI38:LMK38 LWE38:LWG38 MGA38:MGC38 MPW38:MPY38 MZS38:MZU38 NJO38:NJQ38 NTK38:NTM38 ODG38:ODI38 ONC38:ONE38 OWY38:OXA38 PGU38:PGW38 PQQ38:PQS38 QAM38:QAO38 QKI38:QKK38 QUE38:QUG38 REA38:REC38 RNW38:RNY38 RXS38:RXU38 SHO38:SHQ38 SRK38:SRM38 TBG38:TBI38 TLC38:TLE38 TUY38:TVA38 UEU38:UEW38 UOQ38:UOS38 UYM38:UYO38 VII38:VIK38 VSE38:VSG38 WCA38:WCC38 WLW38:WLY38 WVS38:WVU38 K65574:M65574 JG65574:JI65574 TC65574:TE65574 ACY65574:ADA65574 AMU65574:AMW65574 AWQ65574:AWS65574 BGM65574:BGO65574 BQI65574:BQK65574 CAE65574:CAG65574 CKA65574:CKC65574 CTW65574:CTY65574 DDS65574:DDU65574 DNO65574:DNQ65574 DXK65574:DXM65574 EHG65574:EHI65574 ERC65574:ERE65574 FAY65574:FBA65574 FKU65574:FKW65574 FUQ65574:FUS65574 GEM65574:GEO65574 GOI65574:GOK65574 GYE65574:GYG65574 HIA65574:HIC65574 HRW65574:HRY65574 IBS65574:IBU65574 ILO65574:ILQ65574 IVK65574:IVM65574 JFG65574:JFI65574 JPC65574:JPE65574 JYY65574:JZA65574 KIU65574:KIW65574 KSQ65574:KSS65574 LCM65574:LCO65574 LMI65574:LMK65574 LWE65574:LWG65574 MGA65574:MGC65574 MPW65574:MPY65574 MZS65574:MZU65574 NJO65574:NJQ65574 NTK65574:NTM65574 ODG65574:ODI65574 ONC65574:ONE65574 OWY65574:OXA65574 PGU65574:PGW65574 PQQ65574:PQS65574 QAM65574:QAO65574 QKI65574:QKK65574 QUE65574:QUG65574 REA65574:REC65574 RNW65574:RNY65574 RXS65574:RXU65574 SHO65574:SHQ65574 SRK65574:SRM65574 TBG65574:TBI65574 TLC65574:TLE65574 TUY65574:TVA65574 UEU65574:UEW65574 UOQ65574:UOS65574 UYM65574:UYO65574 VII65574:VIK65574 VSE65574:VSG65574 WCA65574:WCC65574 WLW65574:WLY65574 WVS65574:WVU65574 K131110:M131110 JG131110:JI131110 TC131110:TE131110 ACY131110:ADA131110 AMU131110:AMW131110 AWQ131110:AWS131110 BGM131110:BGO131110 BQI131110:BQK131110 CAE131110:CAG131110 CKA131110:CKC131110 CTW131110:CTY131110 DDS131110:DDU131110 DNO131110:DNQ131110 DXK131110:DXM131110 EHG131110:EHI131110 ERC131110:ERE131110 FAY131110:FBA131110 FKU131110:FKW131110 FUQ131110:FUS131110 GEM131110:GEO131110 GOI131110:GOK131110 GYE131110:GYG131110 HIA131110:HIC131110 HRW131110:HRY131110 IBS131110:IBU131110 ILO131110:ILQ131110 IVK131110:IVM131110 JFG131110:JFI131110 JPC131110:JPE131110 JYY131110:JZA131110 KIU131110:KIW131110 KSQ131110:KSS131110 LCM131110:LCO131110 LMI131110:LMK131110 LWE131110:LWG131110 MGA131110:MGC131110 MPW131110:MPY131110 MZS131110:MZU131110 NJO131110:NJQ131110 NTK131110:NTM131110 ODG131110:ODI131110 ONC131110:ONE131110 OWY131110:OXA131110 PGU131110:PGW131110 PQQ131110:PQS131110 QAM131110:QAO131110 QKI131110:QKK131110 QUE131110:QUG131110 REA131110:REC131110 RNW131110:RNY131110 RXS131110:RXU131110 SHO131110:SHQ131110 SRK131110:SRM131110 TBG131110:TBI131110 TLC131110:TLE131110 TUY131110:TVA131110 UEU131110:UEW131110 UOQ131110:UOS131110 UYM131110:UYO131110 VII131110:VIK131110 VSE131110:VSG131110 WCA131110:WCC131110 WLW131110:WLY131110 WVS131110:WVU131110 K196646:M196646 JG196646:JI196646 TC196646:TE196646 ACY196646:ADA196646 AMU196646:AMW196646 AWQ196646:AWS196646 BGM196646:BGO196646 BQI196646:BQK196646 CAE196646:CAG196646 CKA196646:CKC196646 CTW196646:CTY196646 DDS196646:DDU196646 DNO196646:DNQ196646 DXK196646:DXM196646 EHG196646:EHI196646 ERC196646:ERE196646 FAY196646:FBA196646 FKU196646:FKW196646 FUQ196646:FUS196646 GEM196646:GEO196646 GOI196646:GOK196646 GYE196646:GYG196646 HIA196646:HIC196646 HRW196646:HRY196646 IBS196646:IBU196646 ILO196646:ILQ196646 IVK196646:IVM196646 JFG196646:JFI196646 JPC196646:JPE196646 JYY196646:JZA196646 KIU196646:KIW196646 KSQ196646:KSS196646 LCM196646:LCO196646 LMI196646:LMK196646 LWE196646:LWG196646 MGA196646:MGC196646 MPW196646:MPY196646 MZS196646:MZU196646 NJO196646:NJQ196646 NTK196646:NTM196646 ODG196646:ODI196646 ONC196646:ONE196646 OWY196646:OXA196646 PGU196646:PGW196646 PQQ196646:PQS196646 QAM196646:QAO196646 QKI196646:QKK196646 QUE196646:QUG196646 REA196646:REC196646 RNW196646:RNY196646 RXS196646:RXU196646 SHO196646:SHQ196646 SRK196646:SRM196646 TBG196646:TBI196646 TLC196646:TLE196646 TUY196646:TVA196646 UEU196646:UEW196646 UOQ196646:UOS196646 UYM196646:UYO196646 VII196646:VIK196646 VSE196646:VSG196646 WCA196646:WCC196646 WLW196646:WLY196646 WVS196646:WVU196646 K262182:M262182 JG262182:JI262182 TC262182:TE262182 ACY262182:ADA262182 AMU262182:AMW262182 AWQ262182:AWS262182 BGM262182:BGO262182 BQI262182:BQK262182 CAE262182:CAG262182 CKA262182:CKC262182 CTW262182:CTY262182 DDS262182:DDU262182 DNO262182:DNQ262182 DXK262182:DXM262182 EHG262182:EHI262182 ERC262182:ERE262182 FAY262182:FBA262182 FKU262182:FKW262182 FUQ262182:FUS262182 GEM262182:GEO262182 GOI262182:GOK262182 GYE262182:GYG262182 HIA262182:HIC262182 HRW262182:HRY262182 IBS262182:IBU262182 ILO262182:ILQ262182 IVK262182:IVM262182 JFG262182:JFI262182 JPC262182:JPE262182 JYY262182:JZA262182 KIU262182:KIW262182 KSQ262182:KSS262182 LCM262182:LCO262182 LMI262182:LMK262182 LWE262182:LWG262182 MGA262182:MGC262182 MPW262182:MPY262182 MZS262182:MZU262182 NJO262182:NJQ262182 NTK262182:NTM262182 ODG262182:ODI262182 ONC262182:ONE262182 OWY262182:OXA262182 PGU262182:PGW262182 PQQ262182:PQS262182 QAM262182:QAO262182 QKI262182:QKK262182 QUE262182:QUG262182 REA262182:REC262182 RNW262182:RNY262182 RXS262182:RXU262182 SHO262182:SHQ262182 SRK262182:SRM262182 TBG262182:TBI262182 TLC262182:TLE262182 TUY262182:TVA262182 UEU262182:UEW262182 UOQ262182:UOS262182 UYM262182:UYO262182 VII262182:VIK262182 VSE262182:VSG262182 WCA262182:WCC262182 WLW262182:WLY262182 WVS262182:WVU262182 K327718:M327718 JG327718:JI327718 TC327718:TE327718 ACY327718:ADA327718 AMU327718:AMW327718 AWQ327718:AWS327718 BGM327718:BGO327718 BQI327718:BQK327718 CAE327718:CAG327718 CKA327718:CKC327718 CTW327718:CTY327718 DDS327718:DDU327718 DNO327718:DNQ327718 DXK327718:DXM327718 EHG327718:EHI327718 ERC327718:ERE327718 FAY327718:FBA327718 FKU327718:FKW327718 FUQ327718:FUS327718 GEM327718:GEO327718 GOI327718:GOK327718 GYE327718:GYG327718 HIA327718:HIC327718 HRW327718:HRY327718 IBS327718:IBU327718 ILO327718:ILQ327718 IVK327718:IVM327718 JFG327718:JFI327718 JPC327718:JPE327718 JYY327718:JZA327718 KIU327718:KIW327718 KSQ327718:KSS327718 LCM327718:LCO327718 LMI327718:LMK327718 LWE327718:LWG327718 MGA327718:MGC327718 MPW327718:MPY327718 MZS327718:MZU327718 NJO327718:NJQ327718 NTK327718:NTM327718 ODG327718:ODI327718 ONC327718:ONE327718 OWY327718:OXA327718 PGU327718:PGW327718 PQQ327718:PQS327718 QAM327718:QAO327718 QKI327718:QKK327718 QUE327718:QUG327718 REA327718:REC327718 RNW327718:RNY327718 RXS327718:RXU327718 SHO327718:SHQ327718 SRK327718:SRM327718 TBG327718:TBI327718 TLC327718:TLE327718 TUY327718:TVA327718 UEU327718:UEW327718 UOQ327718:UOS327718 UYM327718:UYO327718 VII327718:VIK327718 VSE327718:VSG327718 WCA327718:WCC327718 WLW327718:WLY327718 WVS327718:WVU327718 K393254:M393254 JG393254:JI393254 TC393254:TE393254 ACY393254:ADA393254 AMU393254:AMW393254 AWQ393254:AWS393254 BGM393254:BGO393254 BQI393254:BQK393254 CAE393254:CAG393254 CKA393254:CKC393254 CTW393254:CTY393254 DDS393254:DDU393254 DNO393254:DNQ393254 DXK393254:DXM393254 EHG393254:EHI393254 ERC393254:ERE393254 FAY393254:FBA393254 FKU393254:FKW393254 FUQ393254:FUS393254 GEM393254:GEO393254 GOI393254:GOK393254 GYE393254:GYG393254 HIA393254:HIC393254 HRW393254:HRY393254 IBS393254:IBU393254 ILO393254:ILQ393254 IVK393254:IVM393254 JFG393254:JFI393254 JPC393254:JPE393254 JYY393254:JZA393254 KIU393254:KIW393254 KSQ393254:KSS393254 LCM393254:LCO393254 LMI393254:LMK393254 LWE393254:LWG393254 MGA393254:MGC393254 MPW393254:MPY393254 MZS393254:MZU393254 NJO393254:NJQ393254 NTK393254:NTM393254 ODG393254:ODI393254 ONC393254:ONE393254 OWY393254:OXA393254 PGU393254:PGW393254 PQQ393254:PQS393254 QAM393254:QAO393254 QKI393254:QKK393254 QUE393254:QUG393254 REA393254:REC393254 RNW393254:RNY393254 RXS393254:RXU393254 SHO393254:SHQ393254 SRK393254:SRM393254 TBG393254:TBI393254 TLC393254:TLE393254 TUY393254:TVA393254 UEU393254:UEW393254 UOQ393254:UOS393254 UYM393254:UYO393254 VII393254:VIK393254 VSE393254:VSG393254 WCA393254:WCC393254 WLW393254:WLY393254 WVS393254:WVU393254 K458790:M458790 JG458790:JI458790 TC458790:TE458790 ACY458790:ADA458790 AMU458790:AMW458790 AWQ458790:AWS458790 BGM458790:BGO458790 BQI458790:BQK458790 CAE458790:CAG458790 CKA458790:CKC458790 CTW458790:CTY458790 DDS458790:DDU458790 DNO458790:DNQ458790 DXK458790:DXM458790 EHG458790:EHI458790 ERC458790:ERE458790 FAY458790:FBA458790 FKU458790:FKW458790 FUQ458790:FUS458790 GEM458790:GEO458790 GOI458790:GOK458790 GYE458790:GYG458790 HIA458790:HIC458790 HRW458790:HRY458790 IBS458790:IBU458790 ILO458790:ILQ458790 IVK458790:IVM458790 JFG458790:JFI458790 JPC458790:JPE458790 JYY458790:JZA458790 KIU458790:KIW458790 KSQ458790:KSS458790 LCM458790:LCO458790 LMI458790:LMK458790 LWE458790:LWG458790 MGA458790:MGC458790 MPW458790:MPY458790 MZS458790:MZU458790 NJO458790:NJQ458790 NTK458790:NTM458790 ODG458790:ODI458790 ONC458790:ONE458790 OWY458790:OXA458790 PGU458790:PGW458790 PQQ458790:PQS458790 QAM458790:QAO458790 QKI458790:QKK458790 QUE458790:QUG458790 REA458790:REC458790 RNW458790:RNY458790 RXS458790:RXU458790 SHO458790:SHQ458790 SRK458790:SRM458790 TBG458790:TBI458790 TLC458790:TLE458790 TUY458790:TVA458790 UEU458790:UEW458790 UOQ458790:UOS458790 UYM458790:UYO458790 VII458790:VIK458790 VSE458790:VSG458790 WCA458790:WCC458790 WLW458790:WLY458790 WVS458790:WVU458790 K524326:M524326 JG524326:JI524326 TC524326:TE524326 ACY524326:ADA524326 AMU524326:AMW524326 AWQ524326:AWS524326 BGM524326:BGO524326 BQI524326:BQK524326 CAE524326:CAG524326 CKA524326:CKC524326 CTW524326:CTY524326 DDS524326:DDU524326 DNO524326:DNQ524326 DXK524326:DXM524326 EHG524326:EHI524326 ERC524326:ERE524326 FAY524326:FBA524326 FKU524326:FKW524326 FUQ524326:FUS524326 GEM524326:GEO524326 GOI524326:GOK524326 GYE524326:GYG524326 HIA524326:HIC524326 HRW524326:HRY524326 IBS524326:IBU524326 ILO524326:ILQ524326 IVK524326:IVM524326 JFG524326:JFI524326 JPC524326:JPE524326 JYY524326:JZA524326 KIU524326:KIW524326 KSQ524326:KSS524326 LCM524326:LCO524326 LMI524326:LMK524326 LWE524326:LWG524326 MGA524326:MGC524326 MPW524326:MPY524326 MZS524326:MZU524326 NJO524326:NJQ524326 NTK524326:NTM524326 ODG524326:ODI524326 ONC524326:ONE524326 OWY524326:OXA524326 PGU524326:PGW524326 PQQ524326:PQS524326 QAM524326:QAO524326 QKI524326:QKK524326 QUE524326:QUG524326 REA524326:REC524326 RNW524326:RNY524326 RXS524326:RXU524326 SHO524326:SHQ524326 SRK524326:SRM524326 TBG524326:TBI524326 TLC524326:TLE524326 TUY524326:TVA524326 UEU524326:UEW524326 UOQ524326:UOS524326 UYM524326:UYO524326 VII524326:VIK524326 VSE524326:VSG524326 WCA524326:WCC524326 WLW524326:WLY524326 WVS524326:WVU524326 K589862:M589862 JG589862:JI589862 TC589862:TE589862 ACY589862:ADA589862 AMU589862:AMW589862 AWQ589862:AWS589862 BGM589862:BGO589862 BQI589862:BQK589862 CAE589862:CAG589862 CKA589862:CKC589862 CTW589862:CTY589862 DDS589862:DDU589862 DNO589862:DNQ589862 DXK589862:DXM589862 EHG589862:EHI589862 ERC589862:ERE589862 FAY589862:FBA589862 FKU589862:FKW589862 FUQ589862:FUS589862 GEM589862:GEO589862 GOI589862:GOK589862 GYE589862:GYG589862 HIA589862:HIC589862 HRW589862:HRY589862 IBS589862:IBU589862 ILO589862:ILQ589862 IVK589862:IVM589862 JFG589862:JFI589862 JPC589862:JPE589862 JYY589862:JZA589862 KIU589862:KIW589862 KSQ589862:KSS589862 LCM589862:LCO589862 LMI589862:LMK589862 LWE589862:LWG589862 MGA589862:MGC589862 MPW589862:MPY589862 MZS589862:MZU589862 NJO589862:NJQ589862 NTK589862:NTM589862 ODG589862:ODI589862 ONC589862:ONE589862 OWY589862:OXA589862 PGU589862:PGW589862 PQQ589862:PQS589862 QAM589862:QAO589862 QKI589862:QKK589862 QUE589862:QUG589862 REA589862:REC589862 RNW589862:RNY589862 RXS589862:RXU589862 SHO589862:SHQ589862 SRK589862:SRM589862 TBG589862:TBI589862 TLC589862:TLE589862 TUY589862:TVA589862 UEU589862:UEW589862 UOQ589862:UOS589862 UYM589862:UYO589862 VII589862:VIK589862 VSE589862:VSG589862 WCA589862:WCC589862 WLW589862:WLY589862 WVS589862:WVU589862 K655398:M655398 JG655398:JI655398 TC655398:TE655398 ACY655398:ADA655398 AMU655398:AMW655398 AWQ655398:AWS655398 BGM655398:BGO655398 BQI655398:BQK655398 CAE655398:CAG655398 CKA655398:CKC655398 CTW655398:CTY655398 DDS655398:DDU655398 DNO655398:DNQ655398 DXK655398:DXM655398 EHG655398:EHI655398 ERC655398:ERE655398 FAY655398:FBA655398 FKU655398:FKW655398 FUQ655398:FUS655398 GEM655398:GEO655398 GOI655398:GOK655398 GYE655398:GYG655398 HIA655398:HIC655398 HRW655398:HRY655398 IBS655398:IBU655398 ILO655398:ILQ655398 IVK655398:IVM655398 JFG655398:JFI655398 JPC655398:JPE655398 JYY655398:JZA655398 KIU655398:KIW655398 KSQ655398:KSS655398 LCM655398:LCO655398 LMI655398:LMK655398 LWE655398:LWG655398 MGA655398:MGC655398 MPW655398:MPY655398 MZS655398:MZU655398 NJO655398:NJQ655398 NTK655398:NTM655398 ODG655398:ODI655398 ONC655398:ONE655398 OWY655398:OXA655398 PGU655398:PGW655398 PQQ655398:PQS655398 QAM655398:QAO655398 QKI655398:QKK655398 QUE655398:QUG655398 REA655398:REC655398 RNW655398:RNY655398 RXS655398:RXU655398 SHO655398:SHQ655398 SRK655398:SRM655398 TBG655398:TBI655398 TLC655398:TLE655398 TUY655398:TVA655398 UEU655398:UEW655398 UOQ655398:UOS655398 UYM655398:UYO655398 VII655398:VIK655398 VSE655398:VSG655398 WCA655398:WCC655398 WLW655398:WLY655398 WVS655398:WVU655398 K720934:M720934 JG720934:JI720934 TC720934:TE720934 ACY720934:ADA720934 AMU720934:AMW720934 AWQ720934:AWS720934 BGM720934:BGO720934 BQI720934:BQK720934 CAE720934:CAG720934 CKA720934:CKC720934 CTW720934:CTY720934 DDS720934:DDU720934 DNO720934:DNQ720934 DXK720934:DXM720934 EHG720934:EHI720934 ERC720934:ERE720934 FAY720934:FBA720934 FKU720934:FKW720934 FUQ720934:FUS720934 GEM720934:GEO720934 GOI720934:GOK720934 GYE720934:GYG720934 HIA720934:HIC720934 HRW720934:HRY720934 IBS720934:IBU720934 ILO720934:ILQ720934 IVK720934:IVM720934 JFG720934:JFI720934 JPC720934:JPE720934 JYY720934:JZA720934 KIU720934:KIW720934 KSQ720934:KSS720934 LCM720934:LCO720934 LMI720934:LMK720934 LWE720934:LWG720934 MGA720934:MGC720934 MPW720934:MPY720934 MZS720934:MZU720934 NJO720934:NJQ720934 NTK720934:NTM720934 ODG720934:ODI720934 ONC720934:ONE720934 OWY720934:OXA720934 PGU720934:PGW720934 PQQ720934:PQS720934 QAM720934:QAO720934 QKI720934:QKK720934 QUE720934:QUG720934 REA720934:REC720934 RNW720934:RNY720934 RXS720934:RXU720934 SHO720934:SHQ720934 SRK720934:SRM720934 TBG720934:TBI720934 TLC720934:TLE720934 TUY720934:TVA720934 UEU720934:UEW720934 UOQ720934:UOS720934 UYM720934:UYO720934 VII720934:VIK720934 VSE720934:VSG720934 WCA720934:WCC720934 WLW720934:WLY720934 WVS720934:WVU720934 K786470:M786470 JG786470:JI786470 TC786470:TE786470 ACY786470:ADA786470 AMU786470:AMW786470 AWQ786470:AWS786470 BGM786470:BGO786470 BQI786470:BQK786470 CAE786470:CAG786470 CKA786470:CKC786470 CTW786470:CTY786470 DDS786470:DDU786470 DNO786470:DNQ786470 DXK786470:DXM786470 EHG786470:EHI786470 ERC786470:ERE786470 FAY786470:FBA786470 FKU786470:FKW786470 FUQ786470:FUS786470 GEM786470:GEO786470 GOI786470:GOK786470 GYE786470:GYG786470 HIA786470:HIC786470 HRW786470:HRY786470 IBS786470:IBU786470 ILO786470:ILQ786470 IVK786470:IVM786470 JFG786470:JFI786470 JPC786470:JPE786470 JYY786470:JZA786470 KIU786470:KIW786470 KSQ786470:KSS786470 LCM786470:LCO786470 LMI786470:LMK786470 LWE786470:LWG786470 MGA786470:MGC786470 MPW786470:MPY786470 MZS786470:MZU786470 NJO786470:NJQ786470 NTK786470:NTM786470 ODG786470:ODI786470 ONC786470:ONE786470 OWY786470:OXA786470 PGU786470:PGW786470 PQQ786470:PQS786470 QAM786470:QAO786470 QKI786470:QKK786470 QUE786470:QUG786470 REA786470:REC786470 RNW786470:RNY786470 RXS786470:RXU786470 SHO786470:SHQ786470 SRK786470:SRM786470 TBG786470:TBI786470 TLC786470:TLE786470 TUY786470:TVA786470 UEU786470:UEW786470 UOQ786470:UOS786470 UYM786470:UYO786470 VII786470:VIK786470 VSE786470:VSG786470 WCA786470:WCC786470 WLW786470:WLY786470 WVS786470:WVU786470 K852006:M852006 JG852006:JI852006 TC852006:TE852006 ACY852006:ADA852006 AMU852006:AMW852006 AWQ852006:AWS852006 BGM852006:BGO852006 BQI852006:BQK852006 CAE852006:CAG852006 CKA852006:CKC852006 CTW852006:CTY852006 DDS852006:DDU852006 DNO852006:DNQ852006 DXK852006:DXM852006 EHG852006:EHI852006 ERC852006:ERE852006 FAY852006:FBA852006 FKU852006:FKW852006 FUQ852006:FUS852006 GEM852006:GEO852006 GOI852006:GOK852006 GYE852006:GYG852006 HIA852006:HIC852006 HRW852006:HRY852006 IBS852006:IBU852006 ILO852006:ILQ852006 IVK852006:IVM852006 JFG852006:JFI852006 JPC852006:JPE852006 JYY852006:JZA852006 KIU852006:KIW852006 KSQ852006:KSS852006 LCM852006:LCO852006 LMI852006:LMK852006 LWE852006:LWG852006 MGA852006:MGC852006 MPW852006:MPY852006 MZS852006:MZU852006 NJO852006:NJQ852006 NTK852006:NTM852006 ODG852006:ODI852006 ONC852006:ONE852006 OWY852006:OXA852006 PGU852006:PGW852006 PQQ852006:PQS852006 QAM852006:QAO852006 QKI852006:QKK852006 QUE852006:QUG852006 REA852006:REC852006 RNW852006:RNY852006 RXS852006:RXU852006 SHO852006:SHQ852006 SRK852006:SRM852006 TBG852006:TBI852006 TLC852006:TLE852006 TUY852006:TVA852006 UEU852006:UEW852006 UOQ852006:UOS852006 UYM852006:UYO852006 VII852006:VIK852006 VSE852006:VSG852006 WCA852006:WCC852006 WLW852006:WLY852006 WVS852006:WVU852006 K917542:M917542 JG917542:JI917542 TC917542:TE917542 ACY917542:ADA917542 AMU917542:AMW917542 AWQ917542:AWS917542 BGM917542:BGO917542 BQI917542:BQK917542 CAE917542:CAG917542 CKA917542:CKC917542 CTW917542:CTY917542 DDS917542:DDU917542 DNO917542:DNQ917542 DXK917542:DXM917542 EHG917542:EHI917542 ERC917542:ERE917542 FAY917542:FBA917542 FKU917542:FKW917542 FUQ917542:FUS917542 GEM917542:GEO917542 GOI917542:GOK917542 GYE917542:GYG917542 HIA917542:HIC917542 HRW917542:HRY917542 IBS917542:IBU917542 ILO917542:ILQ917542 IVK917542:IVM917542 JFG917542:JFI917542 JPC917542:JPE917542 JYY917542:JZA917542 KIU917542:KIW917542 KSQ917542:KSS917542 LCM917542:LCO917542 LMI917542:LMK917542 LWE917542:LWG917542 MGA917542:MGC917542 MPW917542:MPY917542 MZS917542:MZU917542 NJO917542:NJQ917542 NTK917542:NTM917542 ODG917542:ODI917542 ONC917542:ONE917542 OWY917542:OXA917542 PGU917542:PGW917542 PQQ917542:PQS917542 QAM917542:QAO917542 QKI917542:QKK917542 QUE917542:QUG917542 REA917542:REC917542 RNW917542:RNY917542 RXS917542:RXU917542 SHO917542:SHQ917542 SRK917542:SRM917542 TBG917542:TBI917542 TLC917542:TLE917542 TUY917542:TVA917542 UEU917542:UEW917542 UOQ917542:UOS917542 UYM917542:UYO917542 VII917542:VIK917542 VSE917542:VSG917542 WCA917542:WCC917542 WLW917542:WLY917542 WVS917542:WVU917542 K983078:M983078 JG983078:JI983078 TC983078:TE983078 ACY983078:ADA983078 AMU983078:AMW983078 AWQ983078:AWS983078 BGM983078:BGO983078 BQI983078:BQK983078 CAE983078:CAG983078 CKA983078:CKC983078 CTW983078:CTY983078 DDS983078:DDU983078 DNO983078:DNQ983078 DXK983078:DXM983078 EHG983078:EHI983078 ERC983078:ERE983078 FAY983078:FBA983078 FKU983078:FKW983078 FUQ983078:FUS983078 GEM983078:GEO983078 GOI983078:GOK983078 GYE983078:GYG983078 HIA983078:HIC983078 HRW983078:HRY983078 IBS983078:IBU983078 ILO983078:ILQ983078 IVK983078:IVM983078 JFG983078:JFI983078 JPC983078:JPE983078 JYY983078:JZA983078 KIU983078:KIW983078 KSQ983078:KSS983078 LCM983078:LCO983078 LMI983078:LMK983078 LWE983078:LWG983078 MGA983078:MGC983078 MPW983078:MPY983078 MZS983078:MZU983078 NJO983078:NJQ983078 NTK983078:NTM983078 ODG983078:ODI983078 ONC983078:ONE983078 OWY983078:OXA983078 PGU983078:PGW983078 PQQ983078:PQS983078 QAM983078:QAO983078 QKI983078:QKK983078 QUE983078:QUG983078 REA983078:REC983078 RNW983078:RNY983078 RXS983078:RXU983078 SHO983078:SHQ983078 SRK983078:SRM983078 TBG983078:TBI983078 TLC983078:TLE983078 TUY983078:TVA983078 UEU983078:UEW983078 UOQ983078:UOS983078 UYM983078:UYO983078 VII983078:VIK983078 VSE983078:VSG983078 WCA983078:WCC983078 WLW983078:WLY983078 WVS983078:WVU983078 L33:M35 JH33:JI35 TD33:TE35 ACZ33:ADA35 AMV33:AMW35 AWR33:AWS35 BGN33:BGO35 BQJ33:BQK35 CAF33:CAG35 CKB33:CKC35 CTX33:CTY35 DDT33:DDU35 DNP33:DNQ35 DXL33:DXM35 EHH33:EHI35 ERD33:ERE35 FAZ33:FBA35 FKV33:FKW35 FUR33:FUS35 GEN33:GEO35 GOJ33:GOK35 GYF33:GYG35 HIB33:HIC35 HRX33:HRY35 IBT33:IBU35 ILP33:ILQ35 IVL33:IVM35 JFH33:JFI35 JPD33:JPE35 JYZ33:JZA35 KIV33:KIW35 KSR33:KSS35 LCN33:LCO35 LMJ33:LMK35 LWF33:LWG35 MGB33:MGC35 MPX33:MPY35 MZT33:MZU35 NJP33:NJQ35 NTL33:NTM35 ODH33:ODI35 OND33:ONE35 OWZ33:OXA35 PGV33:PGW35 PQR33:PQS35 QAN33:QAO35 QKJ33:QKK35 QUF33:QUG35 REB33:REC35 RNX33:RNY35 RXT33:RXU35 SHP33:SHQ35 SRL33:SRM35 TBH33:TBI35 TLD33:TLE35 TUZ33:TVA35 UEV33:UEW35 UOR33:UOS35 UYN33:UYO35 VIJ33:VIK35 VSF33:VSG35 WCB33:WCC35 WLX33:WLY35 WVT33:WVU35 L65569:M65571 JH65569:JI65571 TD65569:TE65571 ACZ65569:ADA65571 AMV65569:AMW65571 AWR65569:AWS65571 BGN65569:BGO65571 BQJ65569:BQK65571 CAF65569:CAG65571 CKB65569:CKC65571 CTX65569:CTY65571 DDT65569:DDU65571 DNP65569:DNQ65571 DXL65569:DXM65571 EHH65569:EHI65571 ERD65569:ERE65571 FAZ65569:FBA65571 FKV65569:FKW65571 FUR65569:FUS65571 GEN65569:GEO65571 GOJ65569:GOK65571 GYF65569:GYG65571 HIB65569:HIC65571 HRX65569:HRY65571 IBT65569:IBU65571 ILP65569:ILQ65571 IVL65569:IVM65571 JFH65569:JFI65571 JPD65569:JPE65571 JYZ65569:JZA65571 KIV65569:KIW65571 KSR65569:KSS65571 LCN65569:LCO65571 LMJ65569:LMK65571 LWF65569:LWG65571 MGB65569:MGC65571 MPX65569:MPY65571 MZT65569:MZU65571 NJP65569:NJQ65571 NTL65569:NTM65571 ODH65569:ODI65571 OND65569:ONE65571 OWZ65569:OXA65571 PGV65569:PGW65571 PQR65569:PQS65571 QAN65569:QAO65571 QKJ65569:QKK65571 QUF65569:QUG65571 REB65569:REC65571 RNX65569:RNY65571 RXT65569:RXU65571 SHP65569:SHQ65571 SRL65569:SRM65571 TBH65569:TBI65571 TLD65569:TLE65571 TUZ65569:TVA65571 UEV65569:UEW65571 UOR65569:UOS65571 UYN65569:UYO65571 VIJ65569:VIK65571 VSF65569:VSG65571 WCB65569:WCC65571 WLX65569:WLY65571 WVT65569:WVU65571 L131105:M131107 JH131105:JI131107 TD131105:TE131107 ACZ131105:ADA131107 AMV131105:AMW131107 AWR131105:AWS131107 BGN131105:BGO131107 BQJ131105:BQK131107 CAF131105:CAG131107 CKB131105:CKC131107 CTX131105:CTY131107 DDT131105:DDU131107 DNP131105:DNQ131107 DXL131105:DXM131107 EHH131105:EHI131107 ERD131105:ERE131107 FAZ131105:FBA131107 FKV131105:FKW131107 FUR131105:FUS131107 GEN131105:GEO131107 GOJ131105:GOK131107 GYF131105:GYG131107 HIB131105:HIC131107 HRX131105:HRY131107 IBT131105:IBU131107 ILP131105:ILQ131107 IVL131105:IVM131107 JFH131105:JFI131107 JPD131105:JPE131107 JYZ131105:JZA131107 KIV131105:KIW131107 KSR131105:KSS131107 LCN131105:LCO131107 LMJ131105:LMK131107 LWF131105:LWG131107 MGB131105:MGC131107 MPX131105:MPY131107 MZT131105:MZU131107 NJP131105:NJQ131107 NTL131105:NTM131107 ODH131105:ODI131107 OND131105:ONE131107 OWZ131105:OXA131107 PGV131105:PGW131107 PQR131105:PQS131107 QAN131105:QAO131107 QKJ131105:QKK131107 QUF131105:QUG131107 REB131105:REC131107 RNX131105:RNY131107 RXT131105:RXU131107 SHP131105:SHQ131107 SRL131105:SRM131107 TBH131105:TBI131107 TLD131105:TLE131107 TUZ131105:TVA131107 UEV131105:UEW131107 UOR131105:UOS131107 UYN131105:UYO131107 VIJ131105:VIK131107 VSF131105:VSG131107 WCB131105:WCC131107 WLX131105:WLY131107 WVT131105:WVU131107 L196641:M196643 JH196641:JI196643 TD196641:TE196643 ACZ196641:ADA196643 AMV196641:AMW196643 AWR196641:AWS196643 BGN196641:BGO196643 BQJ196641:BQK196643 CAF196641:CAG196643 CKB196641:CKC196643 CTX196641:CTY196643 DDT196641:DDU196643 DNP196641:DNQ196643 DXL196641:DXM196643 EHH196641:EHI196643 ERD196641:ERE196643 FAZ196641:FBA196643 FKV196641:FKW196643 FUR196641:FUS196643 GEN196641:GEO196643 GOJ196641:GOK196643 GYF196641:GYG196643 HIB196641:HIC196643 HRX196641:HRY196643 IBT196641:IBU196643 ILP196641:ILQ196643 IVL196641:IVM196643 JFH196641:JFI196643 JPD196641:JPE196643 JYZ196641:JZA196643 KIV196641:KIW196643 KSR196641:KSS196643 LCN196641:LCO196643 LMJ196641:LMK196643 LWF196641:LWG196643 MGB196641:MGC196643 MPX196641:MPY196643 MZT196641:MZU196643 NJP196641:NJQ196643 NTL196641:NTM196643 ODH196641:ODI196643 OND196641:ONE196643 OWZ196641:OXA196643 PGV196641:PGW196643 PQR196641:PQS196643 QAN196641:QAO196643 QKJ196641:QKK196643 QUF196641:QUG196643 REB196641:REC196643 RNX196641:RNY196643 RXT196641:RXU196643 SHP196641:SHQ196643 SRL196641:SRM196643 TBH196641:TBI196643 TLD196641:TLE196643 TUZ196641:TVA196643 UEV196641:UEW196643 UOR196641:UOS196643 UYN196641:UYO196643 VIJ196641:VIK196643 VSF196641:VSG196643 WCB196641:WCC196643 WLX196641:WLY196643 WVT196641:WVU196643 L262177:M262179 JH262177:JI262179 TD262177:TE262179 ACZ262177:ADA262179 AMV262177:AMW262179 AWR262177:AWS262179 BGN262177:BGO262179 BQJ262177:BQK262179 CAF262177:CAG262179 CKB262177:CKC262179 CTX262177:CTY262179 DDT262177:DDU262179 DNP262177:DNQ262179 DXL262177:DXM262179 EHH262177:EHI262179 ERD262177:ERE262179 FAZ262177:FBA262179 FKV262177:FKW262179 FUR262177:FUS262179 GEN262177:GEO262179 GOJ262177:GOK262179 GYF262177:GYG262179 HIB262177:HIC262179 HRX262177:HRY262179 IBT262177:IBU262179 ILP262177:ILQ262179 IVL262177:IVM262179 JFH262177:JFI262179 JPD262177:JPE262179 JYZ262177:JZA262179 KIV262177:KIW262179 KSR262177:KSS262179 LCN262177:LCO262179 LMJ262177:LMK262179 LWF262177:LWG262179 MGB262177:MGC262179 MPX262177:MPY262179 MZT262177:MZU262179 NJP262177:NJQ262179 NTL262177:NTM262179 ODH262177:ODI262179 OND262177:ONE262179 OWZ262177:OXA262179 PGV262177:PGW262179 PQR262177:PQS262179 QAN262177:QAO262179 QKJ262177:QKK262179 QUF262177:QUG262179 REB262177:REC262179 RNX262177:RNY262179 RXT262177:RXU262179 SHP262177:SHQ262179 SRL262177:SRM262179 TBH262177:TBI262179 TLD262177:TLE262179 TUZ262177:TVA262179 UEV262177:UEW262179 UOR262177:UOS262179 UYN262177:UYO262179 VIJ262177:VIK262179 VSF262177:VSG262179 WCB262177:WCC262179 WLX262177:WLY262179 WVT262177:WVU262179 L327713:M327715 JH327713:JI327715 TD327713:TE327715 ACZ327713:ADA327715 AMV327713:AMW327715 AWR327713:AWS327715 BGN327713:BGO327715 BQJ327713:BQK327715 CAF327713:CAG327715 CKB327713:CKC327715 CTX327713:CTY327715 DDT327713:DDU327715 DNP327713:DNQ327715 DXL327713:DXM327715 EHH327713:EHI327715 ERD327713:ERE327715 FAZ327713:FBA327715 FKV327713:FKW327715 FUR327713:FUS327715 GEN327713:GEO327715 GOJ327713:GOK327715 GYF327713:GYG327715 HIB327713:HIC327715 HRX327713:HRY327715 IBT327713:IBU327715 ILP327713:ILQ327715 IVL327713:IVM327715 JFH327713:JFI327715 JPD327713:JPE327715 JYZ327713:JZA327715 KIV327713:KIW327715 KSR327713:KSS327715 LCN327713:LCO327715 LMJ327713:LMK327715 LWF327713:LWG327715 MGB327713:MGC327715 MPX327713:MPY327715 MZT327713:MZU327715 NJP327713:NJQ327715 NTL327713:NTM327715 ODH327713:ODI327715 OND327713:ONE327715 OWZ327713:OXA327715 PGV327713:PGW327715 PQR327713:PQS327715 QAN327713:QAO327715 QKJ327713:QKK327715 QUF327713:QUG327715 REB327713:REC327715 RNX327713:RNY327715 RXT327713:RXU327715 SHP327713:SHQ327715 SRL327713:SRM327715 TBH327713:TBI327715 TLD327713:TLE327715 TUZ327713:TVA327715 UEV327713:UEW327715 UOR327713:UOS327715 UYN327713:UYO327715 VIJ327713:VIK327715 VSF327713:VSG327715 WCB327713:WCC327715 WLX327713:WLY327715 WVT327713:WVU327715 L393249:M393251 JH393249:JI393251 TD393249:TE393251 ACZ393249:ADA393251 AMV393249:AMW393251 AWR393249:AWS393251 BGN393249:BGO393251 BQJ393249:BQK393251 CAF393249:CAG393251 CKB393249:CKC393251 CTX393249:CTY393251 DDT393249:DDU393251 DNP393249:DNQ393251 DXL393249:DXM393251 EHH393249:EHI393251 ERD393249:ERE393251 FAZ393249:FBA393251 FKV393249:FKW393251 FUR393249:FUS393251 GEN393249:GEO393251 GOJ393249:GOK393251 GYF393249:GYG393251 HIB393249:HIC393251 HRX393249:HRY393251 IBT393249:IBU393251 ILP393249:ILQ393251 IVL393249:IVM393251 JFH393249:JFI393251 JPD393249:JPE393251 JYZ393249:JZA393251 KIV393249:KIW393251 KSR393249:KSS393251 LCN393249:LCO393251 LMJ393249:LMK393251 LWF393249:LWG393251 MGB393249:MGC393251 MPX393249:MPY393251 MZT393249:MZU393251 NJP393249:NJQ393251 NTL393249:NTM393251 ODH393249:ODI393251 OND393249:ONE393251 OWZ393249:OXA393251 PGV393249:PGW393251 PQR393249:PQS393251 QAN393249:QAO393251 QKJ393249:QKK393251 QUF393249:QUG393251 REB393249:REC393251 RNX393249:RNY393251 RXT393249:RXU393251 SHP393249:SHQ393251 SRL393249:SRM393251 TBH393249:TBI393251 TLD393249:TLE393251 TUZ393249:TVA393251 UEV393249:UEW393251 UOR393249:UOS393251 UYN393249:UYO393251 VIJ393249:VIK393251 VSF393249:VSG393251 WCB393249:WCC393251 WLX393249:WLY393251 WVT393249:WVU393251 L458785:M458787 JH458785:JI458787 TD458785:TE458787 ACZ458785:ADA458787 AMV458785:AMW458787 AWR458785:AWS458787 BGN458785:BGO458787 BQJ458785:BQK458787 CAF458785:CAG458787 CKB458785:CKC458787 CTX458785:CTY458787 DDT458785:DDU458787 DNP458785:DNQ458787 DXL458785:DXM458787 EHH458785:EHI458787 ERD458785:ERE458787 FAZ458785:FBA458787 FKV458785:FKW458787 FUR458785:FUS458787 GEN458785:GEO458787 GOJ458785:GOK458787 GYF458785:GYG458787 HIB458785:HIC458787 HRX458785:HRY458787 IBT458785:IBU458787 ILP458785:ILQ458787 IVL458785:IVM458787 JFH458785:JFI458787 JPD458785:JPE458787 JYZ458785:JZA458787 KIV458785:KIW458787 KSR458785:KSS458787 LCN458785:LCO458787 LMJ458785:LMK458787 LWF458785:LWG458787 MGB458785:MGC458787 MPX458785:MPY458787 MZT458785:MZU458787 NJP458785:NJQ458787 NTL458785:NTM458787 ODH458785:ODI458787 OND458785:ONE458787 OWZ458785:OXA458787 PGV458785:PGW458787 PQR458785:PQS458787 QAN458785:QAO458787 QKJ458785:QKK458787 QUF458785:QUG458787 REB458785:REC458787 RNX458785:RNY458787 RXT458785:RXU458787 SHP458785:SHQ458787 SRL458785:SRM458787 TBH458785:TBI458787 TLD458785:TLE458787 TUZ458785:TVA458787 UEV458785:UEW458787 UOR458785:UOS458787 UYN458785:UYO458787 VIJ458785:VIK458787 VSF458785:VSG458787 WCB458785:WCC458787 WLX458785:WLY458787 WVT458785:WVU458787 L524321:M524323 JH524321:JI524323 TD524321:TE524323 ACZ524321:ADA524323 AMV524321:AMW524323 AWR524321:AWS524323 BGN524321:BGO524323 BQJ524321:BQK524323 CAF524321:CAG524323 CKB524321:CKC524323 CTX524321:CTY524323 DDT524321:DDU524323 DNP524321:DNQ524323 DXL524321:DXM524323 EHH524321:EHI524323 ERD524321:ERE524323 FAZ524321:FBA524323 FKV524321:FKW524323 FUR524321:FUS524323 GEN524321:GEO524323 GOJ524321:GOK524323 GYF524321:GYG524323 HIB524321:HIC524323 HRX524321:HRY524323 IBT524321:IBU524323 ILP524321:ILQ524323 IVL524321:IVM524323 JFH524321:JFI524323 JPD524321:JPE524323 JYZ524321:JZA524323 KIV524321:KIW524323 KSR524321:KSS524323 LCN524321:LCO524323 LMJ524321:LMK524323 LWF524321:LWG524323 MGB524321:MGC524323 MPX524321:MPY524323 MZT524321:MZU524323 NJP524321:NJQ524323 NTL524321:NTM524323 ODH524321:ODI524323 OND524321:ONE524323 OWZ524321:OXA524323 PGV524321:PGW524323 PQR524321:PQS524323 QAN524321:QAO524323 QKJ524321:QKK524323 QUF524321:QUG524323 REB524321:REC524323 RNX524321:RNY524323 RXT524321:RXU524323 SHP524321:SHQ524323 SRL524321:SRM524323 TBH524321:TBI524323 TLD524321:TLE524323 TUZ524321:TVA524323 UEV524321:UEW524323 UOR524321:UOS524323 UYN524321:UYO524323 VIJ524321:VIK524323 VSF524321:VSG524323 WCB524321:WCC524323 WLX524321:WLY524323 WVT524321:WVU524323 L589857:M589859 JH589857:JI589859 TD589857:TE589859 ACZ589857:ADA589859 AMV589857:AMW589859 AWR589857:AWS589859 BGN589857:BGO589859 BQJ589857:BQK589859 CAF589857:CAG589859 CKB589857:CKC589859 CTX589857:CTY589859 DDT589857:DDU589859 DNP589857:DNQ589859 DXL589857:DXM589859 EHH589857:EHI589859 ERD589857:ERE589859 FAZ589857:FBA589859 FKV589857:FKW589859 FUR589857:FUS589859 GEN589857:GEO589859 GOJ589857:GOK589859 GYF589857:GYG589859 HIB589857:HIC589859 HRX589857:HRY589859 IBT589857:IBU589859 ILP589857:ILQ589859 IVL589857:IVM589859 JFH589857:JFI589859 JPD589857:JPE589859 JYZ589857:JZA589859 KIV589857:KIW589859 KSR589857:KSS589859 LCN589857:LCO589859 LMJ589857:LMK589859 LWF589857:LWG589859 MGB589857:MGC589859 MPX589857:MPY589859 MZT589857:MZU589859 NJP589857:NJQ589859 NTL589857:NTM589859 ODH589857:ODI589859 OND589857:ONE589859 OWZ589857:OXA589859 PGV589857:PGW589859 PQR589857:PQS589859 QAN589857:QAO589859 QKJ589857:QKK589859 QUF589857:QUG589859 REB589857:REC589859 RNX589857:RNY589859 RXT589857:RXU589859 SHP589857:SHQ589859 SRL589857:SRM589859 TBH589857:TBI589859 TLD589857:TLE589859 TUZ589857:TVA589859 UEV589857:UEW589859 UOR589857:UOS589859 UYN589857:UYO589859 VIJ589857:VIK589859 VSF589857:VSG589859 WCB589857:WCC589859 WLX589857:WLY589859 WVT589857:WVU589859 L655393:M655395 JH655393:JI655395 TD655393:TE655395 ACZ655393:ADA655395 AMV655393:AMW655395 AWR655393:AWS655395 BGN655393:BGO655395 BQJ655393:BQK655395 CAF655393:CAG655395 CKB655393:CKC655395 CTX655393:CTY655395 DDT655393:DDU655395 DNP655393:DNQ655395 DXL655393:DXM655395 EHH655393:EHI655395 ERD655393:ERE655395 FAZ655393:FBA655395 FKV655393:FKW655395 FUR655393:FUS655395 GEN655393:GEO655395 GOJ655393:GOK655395 GYF655393:GYG655395 HIB655393:HIC655395 HRX655393:HRY655395 IBT655393:IBU655395 ILP655393:ILQ655395 IVL655393:IVM655395 JFH655393:JFI655395 JPD655393:JPE655395 JYZ655393:JZA655395 KIV655393:KIW655395 KSR655393:KSS655395 LCN655393:LCO655395 LMJ655393:LMK655395 LWF655393:LWG655395 MGB655393:MGC655395 MPX655393:MPY655395 MZT655393:MZU655395 NJP655393:NJQ655395 NTL655393:NTM655395 ODH655393:ODI655395 OND655393:ONE655395 OWZ655393:OXA655395 PGV655393:PGW655395 PQR655393:PQS655395 QAN655393:QAO655395 QKJ655393:QKK655395 QUF655393:QUG655395 REB655393:REC655395 RNX655393:RNY655395 RXT655393:RXU655395 SHP655393:SHQ655395 SRL655393:SRM655395 TBH655393:TBI655395 TLD655393:TLE655395 TUZ655393:TVA655395 UEV655393:UEW655395 UOR655393:UOS655395 UYN655393:UYO655395 VIJ655393:VIK655395 VSF655393:VSG655395 WCB655393:WCC655395 WLX655393:WLY655395 WVT655393:WVU655395 L720929:M720931 JH720929:JI720931 TD720929:TE720931 ACZ720929:ADA720931 AMV720929:AMW720931 AWR720929:AWS720931 BGN720929:BGO720931 BQJ720929:BQK720931 CAF720929:CAG720931 CKB720929:CKC720931 CTX720929:CTY720931 DDT720929:DDU720931 DNP720929:DNQ720931 DXL720929:DXM720931 EHH720929:EHI720931 ERD720929:ERE720931 FAZ720929:FBA720931 FKV720929:FKW720931 FUR720929:FUS720931 GEN720929:GEO720931 GOJ720929:GOK720931 GYF720929:GYG720931 HIB720929:HIC720931 HRX720929:HRY720931 IBT720929:IBU720931 ILP720929:ILQ720931 IVL720929:IVM720931 JFH720929:JFI720931 JPD720929:JPE720931 JYZ720929:JZA720931 KIV720929:KIW720931 KSR720929:KSS720931 LCN720929:LCO720931 LMJ720929:LMK720931 LWF720929:LWG720931 MGB720929:MGC720931 MPX720929:MPY720931 MZT720929:MZU720931 NJP720929:NJQ720931 NTL720929:NTM720931 ODH720929:ODI720931 OND720929:ONE720931 OWZ720929:OXA720931 PGV720929:PGW720931 PQR720929:PQS720931 QAN720929:QAO720931 QKJ720929:QKK720931 QUF720929:QUG720931 REB720929:REC720931 RNX720929:RNY720931 RXT720929:RXU720931 SHP720929:SHQ720931 SRL720929:SRM720931 TBH720929:TBI720931 TLD720929:TLE720931 TUZ720929:TVA720931 UEV720929:UEW720931 UOR720929:UOS720931 UYN720929:UYO720931 VIJ720929:VIK720931 VSF720929:VSG720931 WCB720929:WCC720931 WLX720929:WLY720931 WVT720929:WVU720931 L786465:M786467 JH786465:JI786467 TD786465:TE786467 ACZ786465:ADA786467 AMV786465:AMW786467 AWR786465:AWS786467 BGN786465:BGO786467 BQJ786465:BQK786467 CAF786465:CAG786467 CKB786465:CKC786467 CTX786465:CTY786467 DDT786465:DDU786467 DNP786465:DNQ786467 DXL786465:DXM786467 EHH786465:EHI786467 ERD786465:ERE786467 FAZ786465:FBA786467 FKV786465:FKW786467 FUR786465:FUS786467 GEN786465:GEO786467 GOJ786465:GOK786467 GYF786465:GYG786467 HIB786465:HIC786467 HRX786465:HRY786467 IBT786465:IBU786467 ILP786465:ILQ786467 IVL786465:IVM786467 JFH786465:JFI786467 JPD786465:JPE786467 JYZ786465:JZA786467 KIV786465:KIW786467 KSR786465:KSS786467 LCN786465:LCO786467 LMJ786465:LMK786467 LWF786465:LWG786467 MGB786465:MGC786467 MPX786465:MPY786467 MZT786465:MZU786467 NJP786465:NJQ786467 NTL786465:NTM786467 ODH786465:ODI786467 OND786465:ONE786467 OWZ786465:OXA786467 PGV786465:PGW786467 PQR786465:PQS786467 QAN786465:QAO786467 QKJ786465:QKK786467 QUF786465:QUG786467 REB786465:REC786467 RNX786465:RNY786467 RXT786465:RXU786467 SHP786465:SHQ786467 SRL786465:SRM786467 TBH786465:TBI786467 TLD786465:TLE786467 TUZ786465:TVA786467 UEV786465:UEW786467 UOR786465:UOS786467 UYN786465:UYO786467 VIJ786465:VIK786467 VSF786465:VSG786467 WCB786465:WCC786467 WLX786465:WLY786467 WVT786465:WVU786467 L852001:M852003 JH852001:JI852003 TD852001:TE852003 ACZ852001:ADA852003 AMV852001:AMW852003 AWR852001:AWS852003 BGN852001:BGO852003 BQJ852001:BQK852003 CAF852001:CAG852003 CKB852001:CKC852003 CTX852001:CTY852003 DDT852001:DDU852003 DNP852001:DNQ852003 DXL852001:DXM852003 EHH852001:EHI852003 ERD852001:ERE852003 FAZ852001:FBA852003 FKV852001:FKW852003 FUR852001:FUS852003 GEN852001:GEO852003 GOJ852001:GOK852003 GYF852001:GYG852003 HIB852001:HIC852003 HRX852001:HRY852003 IBT852001:IBU852003 ILP852001:ILQ852003 IVL852001:IVM852003 JFH852001:JFI852003 JPD852001:JPE852003 JYZ852001:JZA852003 KIV852001:KIW852003 KSR852001:KSS852003 LCN852001:LCO852003 LMJ852001:LMK852003 LWF852001:LWG852003 MGB852001:MGC852003 MPX852001:MPY852003 MZT852001:MZU852003 NJP852001:NJQ852003 NTL852001:NTM852003 ODH852001:ODI852003 OND852001:ONE852003 OWZ852001:OXA852003 PGV852001:PGW852003 PQR852001:PQS852003 QAN852001:QAO852003 QKJ852001:QKK852003 QUF852001:QUG852003 REB852001:REC852003 RNX852001:RNY852003 RXT852001:RXU852003 SHP852001:SHQ852003 SRL852001:SRM852003 TBH852001:TBI852003 TLD852001:TLE852003 TUZ852001:TVA852003 UEV852001:UEW852003 UOR852001:UOS852003 UYN852001:UYO852003 VIJ852001:VIK852003 VSF852001:VSG852003 WCB852001:WCC852003 WLX852001:WLY852003 WVT852001:WVU852003 L917537:M917539 JH917537:JI917539 TD917537:TE917539 ACZ917537:ADA917539 AMV917537:AMW917539 AWR917537:AWS917539 BGN917537:BGO917539 BQJ917537:BQK917539 CAF917537:CAG917539 CKB917537:CKC917539 CTX917537:CTY917539 DDT917537:DDU917539 DNP917537:DNQ917539 DXL917537:DXM917539 EHH917537:EHI917539 ERD917537:ERE917539 FAZ917537:FBA917539 FKV917537:FKW917539 FUR917537:FUS917539 GEN917537:GEO917539 GOJ917537:GOK917539 GYF917537:GYG917539 HIB917537:HIC917539 HRX917537:HRY917539 IBT917537:IBU917539 ILP917537:ILQ917539 IVL917537:IVM917539 JFH917537:JFI917539 JPD917537:JPE917539 JYZ917537:JZA917539 KIV917537:KIW917539 KSR917537:KSS917539 LCN917537:LCO917539 LMJ917537:LMK917539 LWF917537:LWG917539 MGB917537:MGC917539 MPX917537:MPY917539 MZT917537:MZU917539 NJP917537:NJQ917539 NTL917537:NTM917539 ODH917537:ODI917539 OND917537:ONE917539 OWZ917537:OXA917539 PGV917537:PGW917539 PQR917537:PQS917539 QAN917537:QAO917539 QKJ917537:QKK917539 QUF917537:QUG917539 REB917537:REC917539 RNX917537:RNY917539 RXT917537:RXU917539 SHP917537:SHQ917539 SRL917537:SRM917539 TBH917537:TBI917539 TLD917537:TLE917539 TUZ917537:TVA917539 UEV917537:UEW917539 UOR917537:UOS917539 UYN917537:UYO917539 VIJ917537:VIK917539 VSF917537:VSG917539 WCB917537:WCC917539 WLX917537:WLY917539 WVT917537:WVU917539 L983073:M983075 JH983073:JI983075 TD983073:TE983075 ACZ983073:ADA983075 AMV983073:AMW983075 AWR983073:AWS983075 BGN983073:BGO983075 BQJ983073:BQK983075 CAF983073:CAG983075 CKB983073:CKC983075 CTX983073:CTY983075 DDT983073:DDU983075 DNP983073:DNQ983075 DXL983073:DXM983075 EHH983073:EHI983075 ERD983073:ERE983075 FAZ983073:FBA983075 FKV983073:FKW983075 FUR983073:FUS983075 GEN983073:GEO983075 GOJ983073:GOK983075 GYF983073:GYG983075 HIB983073:HIC983075 HRX983073:HRY983075 IBT983073:IBU983075 ILP983073:ILQ983075 IVL983073:IVM983075 JFH983073:JFI983075 JPD983073:JPE983075 JYZ983073:JZA983075 KIV983073:KIW983075 KSR983073:KSS983075 LCN983073:LCO983075 LMJ983073:LMK983075 LWF983073:LWG983075 MGB983073:MGC983075 MPX983073:MPY983075 MZT983073:MZU983075 NJP983073:NJQ983075 NTL983073:NTM983075 ODH983073:ODI983075 OND983073:ONE983075 OWZ983073:OXA983075 PGV983073:PGW983075 PQR983073:PQS983075 QAN983073:QAO983075 QKJ983073:QKK983075 QUF983073:QUG983075 REB983073:REC983075 RNX983073:RNY983075 RXT983073:RXU983075 SHP983073:SHQ983075 SRL983073:SRM983075 TBH983073:TBI983075 TLD983073:TLE983075 TUZ983073:TVA983075 UEV983073:UEW983075 UOR983073:UOS983075 UYN983073:UYO983075 VIJ983073:VIK983075 VSF983073:VSG983075 WCB983073:WCC983075 WLX983073:WLY983075 WVT983073:WVU983075 E38:F38 JA38:JB38 SW38:SX38 ACS38:ACT38 AMO38:AMP38 AWK38:AWL38 BGG38:BGH38 BQC38:BQD38 BZY38:BZZ38 CJU38:CJV38 CTQ38:CTR38 DDM38:DDN38 DNI38:DNJ38 DXE38:DXF38 EHA38:EHB38 EQW38:EQX38 FAS38:FAT38 FKO38:FKP38 FUK38:FUL38 GEG38:GEH38 GOC38:GOD38 GXY38:GXZ38 HHU38:HHV38 HRQ38:HRR38 IBM38:IBN38 ILI38:ILJ38 IVE38:IVF38 JFA38:JFB38 JOW38:JOX38 JYS38:JYT38 KIO38:KIP38 KSK38:KSL38 LCG38:LCH38 LMC38:LMD38 LVY38:LVZ38 MFU38:MFV38 MPQ38:MPR38 MZM38:MZN38 NJI38:NJJ38 NTE38:NTF38 ODA38:ODB38 OMW38:OMX38 OWS38:OWT38 PGO38:PGP38 PQK38:PQL38 QAG38:QAH38 QKC38:QKD38 QTY38:QTZ38 RDU38:RDV38 RNQ38:RNR38 RXM38:RXN38 SHI38:SHJ38 SRE38:SRF38 TBA38:TBB38 TKW38:TKX38 TUS38:TUT38 UEO38:UEP38 UOK38:UOL38 UYG38:UYH38 VIC38:VID38 VRY38:VRZ38 WBU38:WBV38 WLQ38:WLR38 WVM38:WVN38 E65574:F65574 JA65574:JB65574 SW65574:SX65574 ACS65574:ACT65574 AMO65574:AMP65574 AWK65574:AWL65574 BGG65574:BGH65574 BQC65574:BQD65574 BZY65574:BZZ65574 CJU65574:CJV65574 CTQ65574:CTR65574 DDM65574:DDN65574 DNI65574:DNJ65574 DXE65574:DXF65574 EHA65574:EHB65574 EQW65574:EQX65574 FAS65574:FAT65574 FKO65574:FKP65574 FUK65574:FUL65574 GEG65574:GEH65574 GOC65574:GOD65574 GXY65574:GXZ65574 HHU65574:HHV65574 HRQ65574:HRR65574 IBM65574:IBN65574 ILI65574:ILJ65574 IVE65574:IVF65574 JFA65574:JFB65574 JOW65574:JOX65574 JYS65574:JYT65574 KIO65574:KIP65574 KSK65574:KSL65574 LCG65574:LCH65574 LMC65574:LMD65574 LVY65574:LVZ65574 MFU65574:MFV65574 MPQ65574:MPR65574 MZM65574:MZN65574 NJI65574:NJJ65574 NTE65574:NTF65574 ODA65574:ODB65574 OMW65574:OMX65574 OWS65574:OWT65574 PGO65574:PGP65574 PQK65574:PQL65574 QAG65574:QAH65574 QKC65574:QKD65574 QTY65574:QTZ65574 RDU65574:RDV65574 RNQ65574:RNR65574 RXM65574:RXN65574 SHI65574:SHJ65574 SRE65574:SRF65574 TBA65574:TBB65574 TKW65574:TKX65574 TUS65574:TUT65574 UEO65574:UEP65574 UOK65574:UOL65574 UYG65574:UYH65574 VIC65574:VID65574 VRY65574:VRZ65574 WBU65574:WBV65574 WLQ65574:WLR65574 WVM65574:WVN65574 E131110:F131110 JA131110:JB131110 SW131110:SX131110 ACS131110:ACT131110 AMO131110:AMP131110 AWK131110:AWL131110 BGG131110:BGH131110 BQC131110:BQD131110 BZY131110:BZZ131110 CJU131110:CJV131110 CTQ131110:CTR131110 DDM131110:DDN131110 DNI131110:DNJ131110 DXE131110:DXF131110 EHA131110:EHB131110 EQW131110:EQX131110 FAS131110:FAT131110 FKO131110:FKP131110 FUK131110:FUL131110 GEG131110:GEH131110 GOC131110:GOD131110 GXY131110:GXZ131110 HHU131110:HHV131110 HRQ131110:HRR131110 IBM131110:IBN131110 ILI131110:ILJ131110 IVE131110:IVF131110 JFA131110:JFB131110 JOW131110:JOX131110 JYS131110:JYT131110 KIO131110:KIP131110 KSK131110:KSL131110 LCG131110:LCH131110 LMC131110:LMD131110 LVY131110:LVZ131110 MFU131110:MFV131110 MPQ131110:MPR131110 MZM131110:MZN131110 NJI131110:NJJ131110 NTE131110:NTF131110 ODA131110:ODB131110 OMW131110:OMX131110 OWS131110:OWT131110 PGO131110:PGP131110 PQK131110:PQL131110 QAG131110:QAH131110 QKC131110:QKD131110 QTY131110:QTZ131110 RDU131110:RDV131110 RNQ131110:RNR131110 RXM131110:RXN131110 SHI131110:SHJ131110 SRE131110:SRF131110 TBA131110:TBB131110 TKW131110:TKX131110 TUS131110:TUT131110 UEO131110:UEP131110 UOK131110:UOL131110 UYG131110:UYH131110 VIC131110:VID131110 VRY131110:VRZ131110 WBU131110:WBV131110 WLQ131110:WLR131110 WVM131110:WVN131110 E196646:F196646 JA196646:JB196646 SW196646:SX196646 ACS196646:ACT196646 AMO196646:AMP196646 AWK196646:AWL196646 BGG196646:BGH196646 BQC196646:BQD196646 BZY196646:BZZ196646 CJU196646:CJV196646 CTQ196646:CTR196646 DDM196646:DDN196646 DNI196646:DNJ196646 DXE196646:DXF196646 EHA196646:EHB196646 EQW196646:EQX196646 FAS196646:FAT196646 FKO196646:FKP196646 FUK196646:FUL196646 GEG196646:GEH196646 GOC196646:GOD196646 GXY196646:GXZ196646 HHU196646:HHV196646 HRQ196646:HRR196646 IBM196646:IBN196646 ILI196646:ILJ196646 IVE196646:IVF196646 JFA196646:JFB196646 JOW196646:JOX196646 JYS196646:JYT196646 KIO196646:KIP196646 KSK196646:KSL196646 LCG196646:LCH196646 LMC196646:LMD196646 LVY196646:LVZ196646 MFU196646:MFV196646 MPQ196646:MPR196646 MZM196646:MZN196646 NJI196646:NJJ196646 NTE196646:NTF196646 ODA196646:ODB196646 OMW196646:OMX196646 OWS196646:OWT196646 PGO196646:PGP196646 PQK196646:PQL196646 QAG196646:QAH196646 QKC196646:QKD196646 QTY196646:QTZ196646 RDU196646:RDV196646 RNQ196646:RNR196646 RXM196646:RXN196646 SHI196646:SHJ196646 SRE196646:SRF196646 TBA196646:TBB196646 TKW196646:TKX196646 TUS196646:TUT196646 UEO196646:UEP196646 UOK196646:UOL196646 UYG196646:UYH196646 VIC196646:VID196646 VRY196646:VRZ196646 WBU196646:WBV196646 WLQ196646:WLR196646 WVM196646:WVN196646 E262182:F262182 JA262182:JB262182 SW262182:SX262182 ACS262182:ACT262182 AMO262182:AMP262182 AWK262182:AWL262182 BGG262182:BGH262182 BQC262182:BQD262182 BZY262182:BZZ262182 CJU262182:CJV262182 CTQ262182:CTR262182 DDM262182:DDN262182 DNI262182:DNJ262182 DXE262182:DXF262182 EHA262182:EHB262182 EQW262182:EQX262182 FAS262182:FAT262182 FKO262182:FKP262182 FUK262182:FUL262182 GEG262182:GEH262182 GOC262182:GOD262182 GXY262182:GXZ262182 HHU262182:HHV262182 HRQ262182:HRR262182 IBM262182:IBN262182 ILI262182:ILJ262182 IVE262182:IVF262182 JFA262182:JFB262182 JOW262182:JOX262182 JYS262182:JYT262182 KIO262182:KIP262182 KSK262182:KSL262182 LCG262182:LCH262182 LMC262182:LMD262182 LVY262182:LVZ262182 MFU262182:MFV262182 MPQ262182:MPR262182 MZM262182:MZN262182 NJI262182:NJJ262182 NTE262182:NTF262182 ODA262182:ODB262182 OMW262182:OMX262182 OWS262182:OWT262182 PGO262182:PGP262182 PQK262182:PQL262182 QAG262182:QAH262182 QKC262182:QKD262182 QTY262182:QTZ262182 RDU262182:RDV262182 RNQ262182:RNR262182 RXM262182:RXN262182 SHI262182:SHJ262182 SRE262182:SRF262182 TBA262182:TBB262182 TKW262182:TKX262182 TUS262182:TUT262182 UEO262182:UEP262182 UOK262182:UOL262182 UYG262182:UYH262182 VIC262182:VID262182 VRY262182:VRZ262182 WBU262182:WBV262182 WLQ262182:WLR262182 WVM262182:WVN262182 E327718:F327718 JA327718:JB327718 SW327718:SX327718 ACS327718:ACT327718 AMO327718:AMP327718 AWK327718:AWL327718 BGG327718:BGH327718 BQC327718:BQD327718 BZY327718:BZZ327718 CJU327718:CJV327718 CTQ327718:CTR327718 DDM327718:DDN327718 DNI327718:DNJ327718 DXE327718:DXF327718 EHA327718:EHB327718 EQW327718:EQX327718 FAS327718:FAT327718 FKO327718:FKP327718 FUK327718:FUL327718 GEG327718:GEH327718 GOC327718:GOD327718 GXY327718:GXZ327718 HHU327718:HHV327718 HRQ327718:HRR327718 IBM327718:IBN327718 ILI327718:ILJ327718 IVE327718:IVF327718 JFA327718:JFB327718 JOW327718:JOX327718 JYS327718:JYT327718 KIO327718:KIP327718 KSK327718:KSL327718 LCG327718:LCH327718 LMC327718:LMD327718 LVY327718:LVZ327718 MFU327718:MFV327718 MPQ327718:MPR327718 MZM327718:MZN327718 NJI327718:NJJ327718 NTE327718:NTF327718 ODA327718:ODB327718 OMW327718:OMX327718 OWS327718:OWT327718 PGO327718:PGP327718 PQK327718:PQL327718 QAG327718:QAH327718 QKC327718:QKD327718 QTY327718:QTZ327718 RDU327718:RDV327718 RNQ327718:RNR327718 RXM327718:RXN327718 SHI327718:SHJ327718 SRE327718:SRF327718 TBA327718:TBB327718 TKW327718:TKX327718 TUS327718:TUT327718 UEO327718:UEP327718 UOK327718:UOL327718 UYG327718:UYH327718 VIC327718:VID327718 VRY327718:VRZ327718 WBU327718:WBV327718 WLQ327718:WLR327718 WVM327718:WVN327718 E393254:F393254 JA393254:JB393254 SW393254:SX393254 ACS393254:ACT393254 AMO393254:AMP393254 AWK393254:AWL393254 BGG393254:BGH393254 BQC393254:BQD393254 BZY393254:BZZ393254 CJU393254:CJV393254 CTQ393254:CTR393254 DDM393254:DDN393254 DNI393254:DNJ393254 DXE393254:DXF393254 EHA393254:EHB393254 EQW393254:EQX393254 FAS393254:FAT393254 FKO393254:FKP393254 FUK393254:FUL393254 GEG393254:GEH393254 GOC393254:GOD393254 GXY393254:GXZ393254 HHU393254:HHV393254 HRQ393254:HRR393254 IBM393254:IBN393254 ILI393254:ILJ393254 IVE393254:IVF393254 JFA393254:JFB393254 JOW393254:JOX393254 JYS393254:JYT393254 KIO393254:KIP393254 KSK393254:KSL393254 LCG393254:LCH393254 LMC393254:LMD393254 LVY393254:LVZ393254 MFU393254:MFV393254 MPQ393254:MPR393254 MZM393254:MZN393254 NJI393254:NJJ393254 NTE393254:NTF393254 ODA393254:ODB393254 OMW393254:OMX393254 OWS393254:OWT393254 PGO393254:PGP393254 PQK393254:PQL393254 QAG393254:QAH393254 QKC393254:QKD393254 QTY393254:QTZ393254 RDU393254:RDV393254 RNQ393254:RNR393254 RXM393254:RXN393254 SHI393254:SHJ393254 SRE393254:SRF393254 TBA393254:TBB393254 TKW393254:TKX393254 TUS393254:TUT393254 UEO393254:UEP393254 UOK393254:UOL393254 UYG393254:UYH393254 VIC393254:VID393254 VRY393254:VRZ393254 WBU393254:WBV393254 WLQ393254:WLR393254 WVM393254:WVN393254 E458790:F458790 JA458790:JB458790 SW458790:SX458790 ACS458790:ACT458790 AMO458790:AMP458790 AWK458790:AWL458790 BGG458790:BGH458790 BQC458790:BQD458790 BZY458790:BZZ458790 CJU458790:CJV458790 CTQ458790:CTR458790 DDM458790:DDN458790 DNI458790:DNJ458790 DXE458790:DXF458790 EHA458790:EHB458790 EQW458790:EQX458790 FAS458790:FAT458790 FKO458790:FKP458790 FUK458790:FUL458790 GEG458790:GEH458790 GOC458790:GOD458790 GXY458790:GXZ458790 HHU458790:HHV458790 HRQ458790:HRR458790 IBM458790:IBN458790 ILI458790:ILJ458790 IVE458790:IVF458790 JFA458790:JFB458790 JOW458790:JOX458790 JYS458790:JYT458790 KIO458790:KIP458790 KSK458790:KSL458790 LCG458790:LCH458790 LMC458790:LMD458790 LVY458790:LVZ458790 MFU458790:MFV458790 MPQ458790:MPR458790 MZM458790:MZN458790 NJI458790:NJJ458790 NTE458790:NTF458790 ODA458790:ODB458790 OMW458790:OMX458790 OWS458790:OWT458790 PGO458790:PGP458790 PQK458790:PQL458790 QAG458790:QAH458790 QKC458790:QKD458790 QTY458790:QTZ458790 RDU458790:RDV458790 RNQ458790:RNR458790 RXM458790:RXN458790 SHI458790:SHJ458790 SRE458790:SRF458790 TBA458790:TBB458790 TKW458790:TKX458790 TUS458790:TUT458790 UEO458790:UEP458790 UOK458790:UOL458790 UYG458790:UYH458790 VIC458790:VID458790 VRY458790:VRZ458790 WBU458790:WBV458790 WLQ458790:WLR458790 WVM458790:WVN458790 E524326:F524326 JA524326:JB524326 SW524326:SX524326 ACS524326:ACT524326 AMO524326:AMP524326 AWK524326:AWL524326 BGG524326:BGH524326 BQC524326:BQD524326 BZY524326:BZZ524326 CJU524326:CJV524326 CTQ524326:CTR524326 DDM524326:DDN524326 DNI524326:DNJ524326 DXE524326:DXF524326 EHA524326:EHB524326 EQW524326:EQX524326 FAS524326:FAT524326 FKO524326:FKP524326 FUK524326:FUL524326 GEG524326:GEH524326 GOC524326:GOD524326 GXY524326:GXZ524326 HHU524326:HHV524326 HRQ524326:HRR524326 IBM524326:IBN524326 ILI524326:ILJ524326 IVE524326:IVF524326 JFA524326:JFB524326 JOW524326:JOX524326 JYS524326:JYT524326 KIO524326:KIP524326 KSK524326:KSL524326 LCG524326:LCH524326 LMC524326:LMD524326 LVY524326:LVZ524326 MFU524326:MFV524326 MPQ524326:MPR524326 MZM524326:MZN524326 NJI524326:NJJ524326 NTE524326:NTF524326 ODA524326:ODB524326 OMW524326:OMX524326 OWS524326:OWT524326 PGO524326:PGP524326 PQK524326:PQL524326 QAG524326:QAH524326 QKC524326:QKD524326 QTY524326:QTZ524326 RDU524326:RDV524326 RNQ524326:RNR524326 RXM524326:RXN524326 SHI524326:SHJ524326 SRE524326:SRF524326 TBA524326:TBB524326 TKW524326:TKX524326 TUS524326:TUT524326 UEO524326:UEP524326 UOK524326:UOL524326 UYG524326:UYH524326 VIC524326:VID524326 VRY524326:VRZ524326 WBU524326:WBV524326 WLQ524326:WLR524326 WVM524326:WVN524326 E589862:F589862 JA589862:JB589862 SW589862:SX589862 ACS589862:ACT589862 AMO589862:AMP589862 AWK589862:AWL589862 BGG589862:BGH589862 BQC589862:BQD589862 BZY589862:BZZ589862 CJU589862:CJV589862 CTQ589862:CTR589862 DDM589862:DDN589862 DNI589862:DNJ589862 DXE589862:DXF589862 EHA589862:EHB589862 EQW589862:EQX589862 FAS589862:FAT589862 FKO589862:FKP589862 FUK589862:FUL589862 GEG589862:GEH589862 GOC589862:GOD589862 GXY589862:GXZ589862 HHU589862:HHV589862 HRQ589862:HRR589862 IBM589862:IBN589862 ILI589862:ILJ589862 IVE589862:IVF589862 JFA589862:JFB589862 JOW589862:JOX589862 JYS589862:JYT589862 KIO589862:KIP589862 KSK589862:KSL589862 LCG589862:LCH589862 LMC589862:LMD589862 LVY589862:LVZ589862 MFU589862:MFV589862 MPQ589862:MPR589862 MZM589862:MZN589862 NJI589862:NJJ589862 NTE589862:NTF589862 ODA589862:ODB589862 OMW589862:OMX589862 OWS589862:OWT589862 PGO589862:PGP589862 PQK589862:PQL589862 QAG589862:QAH589862 QKC589862:QKD589862 QTY589862:QTZ589862 RDU589862:RDV589862 RNQ589862:RNR589862 RXM589862:RXN589862 SHI589862:SHJ589862 SRE589862:SRF589862 TBA589862:TBB589862 TKW589862:TKX589862 TUS589862:TUT589862 UEO589862:UEP589862 UOK589862:UOL589862 UYG589862:UYH589862 VIC589862:VID589862 VRY589862:VRZ589862 WBU589862:WBV589862 WLQ589862:WLR589862 WVM589862:WVN589862 E655398:F655398 JA655398:JB655398 SW655398:SX655398 ACS655398:ACT655398 AMO655398:AMP655398 AWK655398:AWL655398 BGG655398:BGH655398 BQC655398:BQD655398 BZY655398:BZZ655398 CJU655398:CJV655398 CTQ655398:CTR655398 DDM655398:DDN655398 DNI655398:DNJ655398 DXE655398:DXF655398 EHA655398:EHB655398 EQW655398:EQX655398 FAS655398:FAT655398 FKO655398:FKP655398 FUK655398:FUL655398 GEG655398:GEH655398 GOC655398:GOD655398 GXY655398:GXZ655398 HHU655398:HHV655398 HRQ655398:HRR655398 IBM655398:IBN655398 ILI655398:ILJ655398 IVE655398:IVF655398 JFA655398:JFB655398 JOW655398:JOX655398 JYS655398:JYT655398 KIO655398:KIP655398 KSK655398:KSL655398 LCG655398:LCH655398 LMC655398:LMD655398 LVY655398:LVZ655398 MFU655398:MFV655398 MPQ655398:MPR655398 MZM655398:MZN655398 NJI655398:NJJ655398 NTE655398:NTF655398 ODA655398:ODB655398 OMW655398:OMX655398 OWS655398:OWT655398 PGO655398:PGP655398 PQK655398:PQL655398 QAG655398:QAH655398 QKC655398:QKD655398 QTY655398:QTZ655398 RDU655398:RDV655398 RNQ655398:RNR655398 RXM655398:RXN655398 SHI655398:SHJ655398 SRE655398:SRF655398 TBA655398:TBB655398 TKW655398:TKX655398 TUS655398:TUT655398 UEO655398:UEP655398 UOK655398:UOL655398 UYG655398:UYH655398 VIC655398:VID655398 VRY655398:VRZ655398 WBU655398:WBV655398 WLQ655398:WLR655398 WVM655398:WVN655398 E720934:F720934 JA720934:JB720934 SW720934:SX720934 ACS720934:ACT720934 AMO720934:AMP720934 AWK720934:AWL720934 BGG720934:BGH720934 BQC720934:BQD720934 BZY720934:BZZ720934 CJU720934:CJV720934 CTQ720934:CTR720934 DDM720934:DDN720934 DNI720934:DNJ720934 DXE720934:DXF720934 EHA720934:EHB720934 EQW720934:EQX720934 FAS720934:FAT720934 FKO720934:FKP720934 FUK720934:FUL720934 GEG720934:GEH720934 GOC720934:GOD720934 GXY720934:GXZ720934 HHU720934:HHV720934 HRQ720934:HRR720934 IBM720934:IBN720934 ILI720934:ILJ720934 IVE720934:IVF720934 JFA720934:JFB720934 JOW720934:JOX720934 JYS720934:JYT720934 KIO720934:KIP720934 KSK720934:KSL720934 LCG720934:LCH720934 LMC720934:LMD720934 LVY720934:LVZ720934 MFU720934:MFV720934 MPQ720934:MPR720934 MZM720934:MZN720934 NJI720934:NJJ720934 NTE720934:NTF720934 ODA720934:ODB720934 OMW720934:OMX720934 OWS720934:OWT720934 PGO720934:PGP720934 PQK720934:PQL720934 QAG720934:QAH720934 QKC720934:QKD720934 QTY720934:QTZ720934 RDU720934:RDV720934 RNQ720934:RNR720934 RXM720934:RXN720934 SHI720934:SHJ720934 SRE720934:SRF720934 TBA720934:TBB720934 TKW720934:TKX720934 TUS720934:TUT720934 UEO720934:UEP720934 UOK720934:UOL720934 UYG720934:UYH720934 VIC720934:VID720934 VRY720934:VRZ720934 WBU720934:WBV720934 WLQ720934:WLR720934 WVM720934:WVN720934 E786470:F786470 JA786470:JB786470 SW786470:SX786470 ACS786470:ACT786470 AMO786470:AMP786470 AWK786470:AWL786470 BGG786470:BGH786470 BQC786470:BQD786470 BZY786470:BZZ786470 CJU786470:CJV786470 CTQ786470:CTR786470 DDM786470:DDN786470 DNI786470:DNJ786470 DXE786470:DXF786470 EHA786470:EHB786470 EQW786470:EQX786470 FAS786470:FAT786470 FKO786470:FKP786470 FUK786470:FUL786470 GEG786470:GEH786470 GOC786470:GOD786470 GXY786470:GXZ786470 HHU786470:HHV786470 HRQ786470:HRR786470 IBM786470:IBN786470 ILI786470:ILJ786470 IVE786470:IVF786470 JFA786470:JFB786470 JOW786470:JOX786470 JYS786470:JYT786470 KIO786470:KIP786470 KSK786470:KSL786470 LCG786470:LCH786470 LMC786470:LMD786470 LVY786470:LVZ786470 MFU786470:MFV786470 MPQ786470:MPR786470 MZM786470:MZN786470 NJI786470:NJJ786470 NTE786470:NTF786470 ODA786470:ODB786470 OMW786470:OMX786470 OWS786470:OWT786470 PGO786470:PGP786470 PQK786470:PQL786470 QAG786470:QAH786470 QKC786470:QKD786470 QTY786470:QTZ786470 RDU786470:RDV786470 RNQ786470:RNR786470 RXM786470:RXN786470 SHI786470:SHJ786470 SRE786470:SRF786470 TBA786470:TBB786470 TKW786470:TKX786470 TUS786470:TUT786470 UEO786470:UEP786470 UOK786470:UOL786470 UYG786470:UYH786470 VIC786470:VID786470 VRY786470:VRZ786470 WBU786470:WBV786470 WLQ786470:WLR786470 WVM786470:WVN786470 E852006:F852006 JA852006:JB852006 SW852006:SX852006 ACS852006:ACT852006 AMO852006:AMP852006 AWK852006:AWL852006 BGG852006:BGH852006 BQC852006:BQD852006 BZY852006:BZZ852006 CJU852006:CJV852006 CTQ852006:CTR852006 DDM852006:DDN852006 DNI852006:DNJ852006 DXE852006:DXF852006 EHA852006:EHB852006 EQW852006:EQX852006 FAS852006:FAT852006 FKO852006:FKP852006 FUK852006:FUL852006 GEG852006:GEH852006 GOC852006:GOD852006 GXY852006:GXZ852006 HHU852006:HHV852006 HRQ852006:HRR852006 IBM852006:IBN852006 ILI852006:ILJ852006 IVE852006:IVF852006 JFA852006:JFB852006 JOW852006:JOX852006 JYS852006:JYT852006 KIO852006:KIP852006 KSK852006:KSL852006 LCG852006:LCH852006 LMC852006:LMD852006 LVY852006:LVZ852006 MFU852006:MFV852006 MPQ852006:MPR852006 MZM852006:MZN852006 NJI852006:NJJ852006 NTE852006:NTF852006 ODA852006:ODB852006 OMW852006:OMX852006 OWS852006:OWT852006 PGO852006:PGP852006 PQK852006:PQL852006 QAG852006:QAH852006 QKC852006:QKD852006 QTY852006:QTZ852006 RDU852006:RDV852006 RNQ852006:RNR852006 RXM852006:RXN852006 SHI852006:SHJ852006 SRE852006:SRF852006 TBA852006:TBB852006 TKW852006:TKX852006 TUS852006:TUT852006 UEO852006:UEP852006 UOK852006:UOL852006 UYG852006:UYH852006 VIC852006:VID852006 VRY852006:VRZ852006 WBU852006:WBV852006 WLQ852006:WLR852006 WVM852006:WVN852006 E917542:F917542 JA917542:JB917542 SW917542:SX917542 ACS917542:ACT917542 AMO917542:AMP917542 AWK917542:AWL917542 BGG917542:BGH917542 BQC917542:BQD917542 BZY917542:BZZ917542 CJU917542:CJV917542 CTQ917542:CTR917542 DDM917542:DDN917542 DNI917542:DNJ917542 DXE917542:DXF917542 EHA917542:EHB917542 EQW917542:EQX917542 FAS917542:FAT917542 FKO917542:FKP917542 FUK917542:FUL917542 GEG917542:GEH917542 GOC917542:GOD917542 GXY917542:GXZ917542 HHU917542:HHV917542 HRQ917542:HRR917542 IBM917542:IBN917542 ILI917542:ILJ917542 IVE917542:IVF917542 JFA917542:JFB917542 JOW917542:JOX917542 JYS917542:JYT917542 KIO917542:KIP917542 KSK917542:KSL917542 LCG917542:LCH917542 LMC917542:LMD917542 LVY917542:LVZ917542 MFU917542:MFV917542 MPQ917542:MPR917542 MZM917542:MZN917542 NJI917542:NJJ917542 NTE917542:NTF917542 ODA917542:ODB917542 OMW917542:OMX917542 OWS917542:OWT917542 PGO917542:PGP917542 PQK917542:PQL917542 QAG917542:QAH917542 QKC917542:QKD917542 QTY917542:QTZ917542 RDU917542:RDV917542 RNQ917542:RNR917542 RXM917542:RXN917542 SHI917542:SHJ917542 SRE917542:SRF917542 TBA917542:TBB917542 TKW917542:TKX917542 TUS917542:TUT917542 UEO917542:UEP917542 UOK917542:UOL917542 UYG917542:UYH917542 VIC917542:VID917542 VRY917542:VRZ917542 WBU917542:WBV917542 WLQ917542:WLR917542 WVM917542:WVN917542 E983078:F983078 JA983078:JB983078 SW983078:SX983078 ACS983078:ACT983078 AMO983078:AMP983078 AWK983078:AWL983078 BGG983078:BGH983078 BQC983078:BQD983078 BZY983078:BZZ983078 CJU983078:CJV983078 CTQ983078:CTR983078 DDM983078:DDN983078 DNI983078:DNJ983078 DXE983078:DXF983078 EHA983078:EHB983078 EQW983078:EQX983078 FAS983078:FAT983078 FKO983078:FKP983078 FUK983078:FUL983078 GEG983078:GEH983078 GOC983078:GOD983078 GXY983078:GXZ983078 HHU983078:HHV983078 HRQ983078:HRR983078 IBM983078:IBN983078 ILI983078:ILJ983078 IVE983078:IVF983078 JFA983078:JFB983078 JOW983078:JOX983078 JYS983078:JYT983078 KIO983078:KIP983078 KSK983078:KSL983078 LCG983078:LCH983078 LMC983078:LMD983078 LVY983078:LVZ983078 MFU983078:MFV983078 MPQ983078:MPR983078 MZM983078:MZN983078 NJI983078:NJJ983078 NTE983078:NTF983078 ODA983078:ODB983078 OMW983078:OMX983078 OWS983078:OWT983078 PGO983078:PGP983078 PQK983078:PQL983078 QAG983078:QAH983078 QKC983078:QKD983078 QTY983078:QTZ983078 RDU983078:RDV983078 RNQ983078:RNR983078 RXM983078:RXN983078 SHI983078:SHJ983078 SRE983078:SRF983078 TBA983078:TBB983078 TKW983078:TKX983078 TUS983078:TUT983078 UEO983078:UEP983078 UOK983078:UOL983078 UYG983078:UYH983078 VIC983078:VID983078 VRY983078:VRZ983078 WBU983078:WBV983078 WLQ983078:WLR983078 WVM983078:WVN983078 F49:G51 JB49:JC51 SX49:SY51 ACT49:ACU51 AMP49:AMQ51 AWL49:AWM51 BGH49:BGI51 BQD49:BQE51 BZZ49:CAA51 CJV49:CJW51 CTR49:CTS51 DDN49:DDO51 DNJ49:DNK51 DXF49:DXG51 EHB49:EHC51 EQX49:EQY51 FAT49:FAU51 FKP49:FKQ51 FUL49:FUM51 GEH49:GEI51 GOD49:GOE51 GXZ49:GYA51 HHV49:HHW51 HRR49:HRS51 IBN49:IBO51 ILJ49:ILK51 IVF49:IVG51 JFB49:JFC51 JOX49:JOY51 JYT49:JYU51 KIP49:KIQ51 KSL49:KSM51 LCH49:LCI51 LMD49:LME51 LVZ49:LWA51 MFV49:MFW51 MPR49:MPS51 MZN49:MZO51 NJJ49:NJK51 NTF49:NTG51 ODB49:ODC51 OMX49:OMY51 OWT49:OWU51 PGP49:PGQ51 PQL49:PQM51 QAH49:QAI51 QKD49:QKE51 QTZ49:QUA51 RDV49:RDW51 RNR49:RNS51 RXN49:RXO51 SHJ49:SHK51 SRF49:SRG51 TBB49:TBC51 TKX49:TKY51 TUT49:TUU51 UEP49:UEQ51 UOL49:UOM51 UYH49:UYI51 VID49:VIE51 VRZ49:VSA51 WBV49:WBW51 WLR49:WLS51 WVN49:WVO51 F65585:G65587 JB65585:JC65587 SX65585:SY65587 ACT65585:ACU65587 AMP65585:AMQ65587 AWL65585:AWM65587 BGH65585:BGI65587 BQD65585:BQE65587 BZZ65585:CAA65587 CJV65585:CJW65587 CTR65585:CTS65587 DDN65585:DDO65587 DNJ65585:DNK65587 DXF65585:DXG65587 EHB65585:EHC65587 EQX65585:EQY65587 FAT65585:FAU65587 FKP65585:FKQ65587 FUL65585:FUM65587 GEH65585:GEI65587 GOD65585:GOE65587 GXZ65585:GYA65587 HHV65585:HHW65587 HRR65585:HRS65587 IBN65585:IBO65587 ILJ65585:ILK65587 IVF65585:IVG65587 JFB65585:JFC65587 JOX65585:JOY65587 JYT65585:JYU65587 KIP65585:KIQ65587 KSL65585:KSM65587 LCH65585:LCI65587 LMD65585:LME65587 LVZ65585:LWA65587 MFV65585:MFW65587 MPR65585:MPS65587 MZN65585:MZO65587 NJJ65585:NJK65587 NTF65585:NTG65587 ODB65585:ODC65587 OMX65585:OMY65587 OWT65585:OWU65587 PGP65585:PGQ65587 PQL65585:PQM65587 QAH65585:QAI65587 QKD65585:QKE65587 QTZ65585:QUA65587 RDV65585:RDW65587 RNR65585:RNS65587 RXN65585:RXO65587 SHJ65585:SHK65587 SRF65585:SRG65587 TBB65585:TBC65587 TKX65585:TKY65587 TUT65585:TUU65587 UEP65585:UEQ65587 UOL65585:UOM65587 UYH65585:UYI65587 VID65585:VIE65587 VRZ65585:VSA65587 WBV65585:WBW65587 WLR65585:WLS65587 WVN65585:WVO65587 F131121:G131123 JB131121:JC131123 SX131121:SY131123 ACT131121:ACU131123 AMP131121:AMQ131123 AWL131121:AWM131123 BGH131121:BGI131123 BQD131121:BQE131123 BZZ131121:CAA131123 CJV131121:CJW131123 CTR131121:CTS131123 DDN131121:DDO131123 DNJ131121:DNK131123 DXF131121:DXG131123 EHB131121:EHC131123 EQX131121:EQY131123 FAT131121:FAU131123 FKP131121:FKQ131123 FUL131121:FUM131123 GEH131121:GEI131123 GOD131121:GOE131123 GXZ131121:GYA131123 HHV131121:HHW131123 HRR131121:HRS131123 IBN131121:IBO131123 ILJ131121:ILK131123 IVF131121:IVG131123 JFB131121:JFC131123 JOX131121:JOY131123 JYT131121:JYU131123 KIP131121:KIQ131123 KSL131121:KSM131123 LCH131121:LCI131123 LMD131121:LME131123 LVZ131121:LWA131123 MFV131121:MFW131123 MPR131121:MPS131123 MZN131121:MZO131123 NJJ131121:NJK131123 NTF131121:NTG131123 ODB131121:ODC131123 OMX131121:OMY131123 OWT131121:OWU131123 PGP131121:PGQ131123 PQL131121:PQM131123 QAH131121:QAI131123 QKD131121:QKE131123 QTZ131121:QUA131123 RDV131121:RDW131123 RNR131121:RNS131123 RXN131121:RXO131123 SHJ131121:SHK131123 SRF131121:SRG131123 TBB131121:TBC131123 TKX131121:TKY131123 TUT131121:TUU131123 UEP131121:UEQ131123 UOL131121:UOM131123 UYH131121:UYI131123 VID131121:VIE131123 VRZ131121:VSA131123 WBV131121:WBW131123 WLR131121:WLS131123 WVN131121:WVO131123 F196657:G196659 JB196657:JC196659 SX196657:SY196659 ACT196657:ACU196659 AMP196657:AMQ196659 AWL196657:AWM196659 BGH196657:BGI196659 BQD196657:BQE196659 BZZ196657:CAA196659 CJV196657:CJW196659 CTR196657:CTS196659 DDN196657:DDO196659 DNJ196657:DNK196659 DXF196657:DXG196659 EHB196657:EHC196659 EQX196657:EQY196659 FAT196657:FAU196659 FKP196657:FKQ196659 FUL196657:FUM196659 GEH196657:GEI196659 GOD196657:GOE196659 GXZ196657:GYA196659 HHV196657:HHW196659 HRR196657:HRS196659 IBN196657:IBO196659 ILJ196657:ILK196659 IVF196657:IVG196659 JFB196657:JFC196659 JOX196657:JOY196659 JYT196657:JYU196659 KIP196657:KIQ196659 KSL196657:KSM196659 LCH196657:LCI196659 LMD196657:LME196659 LVZ196657:LWA196659 MFV196657:MFW196659 MPR196657:MPS196659 MZN196657:MZO196659 NJJ196657:NJK196659 NTF196657:NTG196659 ODB196657:ODC196659 OMX196657:OMY196659 OWT196657:OWU196659 PGP196657:PGQ196659 PQL196657:PQM196659 QAH196657:QAI196659 QKD196657:QKE196659 QTZ196657:QUA196659 RDV196657:RDW196659 RNR196657:RNS196659 RXN196657:RXO196659 SHJ196657:SHK196659 SRF196657:SRG196659 TBB196657:TBC196659 TKX196657:TKY196659 TUT196657:TUU196659 UEP196657:UEQ196659 UOL196657:UOM196659 UYH196657:UYI196659 VID196657:VIE196659 VRZ196657:VSA196659 WBV196657:WBW196659 WLR196657:WLS196659 WVN196657:WVO196659 F262193:G262195 JB262193:JC262195 SX262193:SY262195 ACT262193:ACU262195 AMP262193:AMQ262195 AWL262193:AWM262195 BGH262193:BGI262195 BQD262193:BQE262195 BZZ262193:CAA262195 CJV262193:CJW262195 CTR262193:CTS262195 DDN262193:DDO262195 DNJ262193:DNK262195 DXF262193:DXG262195 EHB262193:EHC262195 EQX262193:EQY262195 FAT262193:FAU262195 FKP262193:FKQ262195 FUL262193:FUM262195 GEH262193:GEI262195 GOD262193:GOE262195 GXZ262193:GYA262195 HHV262193:HHW262195 HRR262193:HRS262195 IBN262193:IBO262195 ILJ262193:ILK262195 IVF262193:IVG262195 JFB262193:JFC262195 JOX262193:JOY262195 JYT262193:JYU262195 KIP262193:KIQ262195 KSL262193:KSM262195 LCH262193:LCI262195 LMD262193:LME262195 LVZ262193:LWA262195 MFV262193:MFW262195 MPR262193:MPS262195 MZN262193:MZO262195 NJJ262193:NJK262195 NTF262193:NTG262195 ODB262193:ODC262195 OMX262193:OMY262195 OWT262193:OWU262195 PGP262193:PGQ262195 PQL262193:PQM262195 QAH262193:QAI262195 QKD262193:QKE262195 QTZ262193:QUA262195 RDV262193:RDW262195 RNR262193:RNS262195 RXN262193:RXO262195 SHJ262193:SHK262195 SRF262193:SRG262195 TBB262193:TBC262195 TKX262193:TKY262195 TUT262193:TUU262195 UEP262193:UEQ262195 UOL262193:UOM262195 UYH262193:UYI262195 VID262193:VIE262195 VRZ262193:VSA262195 WBV262193:WBW262195 WLR262193:WLS262195 WVN262193:WVO262195 F327729:G327731 JB327729:JC327731 SX327729:SY327731 ACT327729:ACU327731 AMP327729:AMQ327731 AWL327729:AWM327731 BGH327729:BGI327731 BQD327729:BQE327731 BZZ327729:CAA327731 CJV327729:CJW327731 CTR327729:CTS327731 DDN327729:DDO327731 DNJ327729:DNK327731 DXF327729:DXG327731 EHB327729:EHC327731 EQX327729:EQY327731 FAT327729:FAU327731 FKP327729:FKQ327731 FUL327729:FUM327731 GEH327729:GEI327731 GOD327729:GOE327731 GXZ327729:GYA327731 HHV327729:HHW327731 HRR327729:HRS327731 IBN327729:IBO327731 ILJ327729:ILK327731 IVF327729:IVG327731 JFB327729:JFC327731 JOX327729:JOY327731 JYT327729:JYU327731 KIP327729:KIQ327731 KSL327729:KSM327731 LCH327729:LCI327731 LMD327729:LME327731 LVZ327729:LWA327731 MFV327729:MFW327731 MPR327729:MPS327731 MZN327729:MZO327731 NJJ327729:NJK327731 NTF327729:NTG327731 ODB327729:ODC327731 OMX327729:OMY327731 OWT327729:OWU327731 PGP327729:PGQ327731 PQL327729:PQM327731 QAH327729:QAI327731 QKD327729:QKE327731 QTZ327729:QUA327731 RDV327729:RDW327731 RNR327729:RNS327731 RXN327729:RXO327731 SHJ327729:SHK327731 SRF327729:SRG327731 TBB327729:TBC327731 TKX327729:TKY327731 TUT327729:TUU327731 UEP327729:UEQ327731 UOL327729:UOM327731 UYH327729:UYI327731 VID327729:VIE327731 VRZ327729:VSA327731 WBV327729:WBW327731 WLR327729:WLS327731 WVN327729:WVO327731 F393265:G393267 JB393265:JC393267 SX393265:SY393267 ACT393265:ACU393267 AMP393265:AMQ393267 AWL393265:AWM393267 BGH393265:BGI393267 BQD393265:BQE393267 BZZ393265:CAA393267 CJV393265:CJW393267 CTR393265:CTS393267 DDN393265:DDO393267 DNJ393265:DNK393267 DXF393265:DXG393267 EHB393265:EHC393267 EQX393265:EQY393267 FAT393265:FAU393267 FKP393265:FKQ393267 FUL393265:FUM393267 GEH393265:GEI393267 GOD393265:GOE393267 GXZ393265:GYA393267 HHV393265:HHW393267 HRR393265:HRS393267 IBN393265:IBO393267 ILJ393265:ILK393267 IVF393265:IVG393267 JFB393265:JFC393267 JOX393265:JOY393267 JYT393265:JYU393267 KIP393265:KIQ393267 KSL393265:KSM393267 LCH393265:LCI393267 LMD393265:LME393267 LVZ393265:LWA393267 MFV393265:MFW393267 MPR393265:MPS393267 MZN393265:MZO393267 NJJ393265:NJK393267 NTF393265:NTG393267 ODB393265:ODC393267 OMX393265:OMY393267 OWT393265:OWU393267 PGP393265:PGQ393267 PQL393265:PQM393267 QAH393265:QAI393267 QKD393265:QKE393267 QTZ393265:QUA393267 RDV393265:RDW393267 RNR393265:RNS393267 RXN393265:RXO393267 SHJ393265:SHK393267 SRF393265:SRG393267 TBB393265:TBC393267 TKX393265:TKY393267 TUT393265:TUU393267 UEP393265:UEQ393267 UOL393265:UOM393267 UYH393265:UYI393267 VID393265:VIE393267 VRZ393265:VSA393267 WBV393265:WBW393267 WLR393265:WLS393267 WVN393265:WVO393267 F458801:G458803 JB458801:JC458803 SX458801:SY458803 ACT458801:ACU458803 AMP458801:AMQ458803 AWL458801:AWM458803 BGH458801:BGI458803 BQD458801:BQE458803 BZZ458801:CAA458803 CJV458801:CJW458803 CTR458801:CTS458803 DDN458801:DDO458803 DNJ458801:DNK458803 DXF458801:DXG458803 EHB458801:EHC458803 EQX458801:EQY458803 FAT458801:FAU458803 FKP458801:FKQ458803 FUL458801:FUM458803 GEH458801:GEI458803 GOD458801:GOE458803 GXZ458801:GYA458803 HHV458801:HHW458803 HRR458801:HRS458803 IBN458801:IBO458803 ILJ458801:ILK458803 IVF458801:IVG458803 JFB458801:JFC458803 JOX458801:JOY458803 JYT458801:JYU458803 KIP458801:KIQ458803 KSL458801:KSM458803 LCH458801:LCI458803 LMD458801:LME458803 LVZ458801:LWA458803 MFV458801:MFW458803 MPR458801:MPS458803 MZN458801:MZO458803 NJJ458801:NJK458803 NTF458801:NTG458803 ODB458801:ODC458803 OMX458801:OMY458803 OWT458801:OWU458803 PGP458801:PGQ458803 PQL458801:PQM458803 QAH458801:QAI458803 QKD458801:QKE458803 QTZ458801:QUA458803 RDV458801:RDW458803 RNR458801:RNS458803 RXN458801:RXO458803 SHJ458801:SHK458803 SRF458801:SRG458803 TBB458801:TBC458803 TKX458801:TKY458803 TUT458801:TUU458803 UEP458801:UEQ458803 UOL458801:UOM458803 UYH458801:UYI458803 VID458801:VIE458803 VRZ458801:VSA458803 WBV458801:WBW458803 WLR458801:WLS458803 WVN458801:WVO458803 F524337:G524339 JB524337:JC524339 SX524337:SY524339 ACT524337:ACU524339 AMP524337:AMQ524339 AWL524337:AWM524339 BGH524337:BGI524339 BQD524337:BQE524339 BZZ524337:CAA524339 CJV524337:CJW524339 CTR524337:CTS524339 DDN524337:DDO524339 DNJ524337:DNK524339 DXF524337:DXG524339 EHB524337:EHC524339 EQX524337:EQY524339 FAT524337:FAU524339 FKP524337:FKQ524339 FUL524337:FUM524339 GEH524337:GEI524339 GOD524337:GOE524339 GXZ524337:GYA524339 HHV524337:HHW524339 HRR524337:HRS524339 IBN524337:IBO524339 ILJ524337:ILK524339 IVF524337:IVG524339 JFB524337:JFC524339 JOX524337:JOY524339 JYT524337:JYU524339 KIP524337:KIQ524339 KSL524337:KSM524339 LCH524337:LCI524339 LMD524337:LME524339 LVZ524337:LWA524339 MFV524337:MFW524339 MPR524337:MPS524339 MZN524337:MZO524339 NJJ524337:NJK524339 NTF524337:NTG524339 ODB524337:ODC524339 OMX524337:OMY524339 OWT524337:OWU524339 PGP524337:PGQ524339 PQL524337:PQM524339 QAH524337:QAI524339 QKD524337:QKE524339 QTZ524337:QUA524339 RDV524337:RDW524339 RNR524337:RNS524339 RXN524337:RXO524339 SHJ524337:SHK524339 SRF524337:SRG524339 TBB524337:TBC524339 TKX524337:TKY524339 TUT524337:TUU524339 UEP524337:UEQ524339 UOL524337:UOM524339 UYH524337:UYI524339 VID524337:VIE524339 VRZ524337:VSA524339 WBV524337:WBW524339 WLR524337:WLS524339 WVN524337:WVO524339 F589873:G589875 JB589873:JC589875 SX589873:SY589875 ACT589873:ACU589875 AMP589873:AMQ589875 AWL589873:AWM589875 BGH589873:BGI589875 BQD589873:BQE589875 BZZ589873:CAA589875 CJV589873:CJW589875 CTR589873:CTS589875 DDN589873:DDO589875 DNJ589873:DNK589875 DXF589873:DXG589875 EHB589873:EHC589875 EQX589873:EQY589875 FAT589873:FAU589875 FKP589873:FKQ589875 FUL589873:FUM589875 GEH589873:GEI589875 GOD589873:GOE589875 GXZ589873:GYA589875 HHV589873:HHW589875 HRR589873:HRS589875 IBN589873:IBO589875 ILJ589873:ILK589875 IVF589873:IVG589875 JFB589873:JFC589875 JOX589873:JOY589875 JYT589873:JYU589875 KIP589873:KIQ589875 KSL589873:KSM589875 LCH589873:LCI589875 LMD589873:LME589875 LVZ589873:LWA589875 MFV589873:MFW589875 MPR589873:MPS589875 MZN589873:MZO589875 NJJ589873:NJK589875 NTF589873:NTG589875 ODB589873:ODC589875 OMX589873:OMY589875 OWT589873:OWU589875 PGP589873:PGQ589875 PQL589873:PQM589875 QAH589873:QAI589875 QKD589873:QKE589875 QTZ589873:QUA589875 RDV589873:RDW589875 RNR589873:RNS589875 RXN589873:RXO589875 SHJ589873:SHK589875 SRF589873:SRG589875 TBB589873:TBC589875 TKX589873:TKY589875 TUT589873:TUU589875 UEP589873:UEQ589875 UOL589873:UOM589875 UYH589873:UYI589875 VID589873:VIE589875 VRZ589873:VSA589875 WBV589873:WBW589875 WLR589873:WLS589875 WVN589873:WVO589875 F655409:G655411 JB655409:JC655411 SX655409:SY655411 ACT655409:ACU655411 AMP655409:AMQ655411 AWL655409:AWM655411 BGH655409:BGI655411 BQD655409:BQE655411 BZZ655409:CAA655411 CJV655409:CJW655411 CTR655409:CTS655411 DDN655409:DDO655411 DNJ655409:DNK655411 DXF655409:DXG655411 EHB655409:EHC655411 EQX655409:EQY655411 FAT655409:FAU655411 FKP655409:FKQ655411 FUL655409:FUM655411 GEH655409:GEI655411 GOD655409:GOE655411 GXZ655409:GYA655411 HHV655409:HHW655411 HRR655409:HRS655411 IBN655409:IBO655411 ILJ655409:ILK655411 IVF655409:IVG655411 JFB655409:JFC655411 JOX655409:JOY655411 JYT655409:JYU655411 KIP655409:KIQ655411 KSL655409:KSM655411 LCH655409:LCI655411 LMD655409:LME655411 LVZ655409:LWA655411 MFV655409:MFW655411 MPR655409:MPS655411 MZN655409:MZO655411 NJJ655409:NJK655411 NTF655409:NTG655411 ODB655409:ODC655411 OMX655409:OMY655411 OWT655409:OWU655411 PGP655409:PGQ655411 PQL655409:PQM655411 QAH655409:QAI655411 QKD655409:QKE655411 QTZ655409:QUA655411 RDV655409:RDW655411 RNR655409:RNS655411 RXN655409:RXO655411 SHJ655409:SHK655411 SRF655409:SRG655411 TBB655409:TBC655411 TKX655409:TKY655411 TUT655409:TUU655411 UEP655409:UEQ655411 UOL655409:UOM655411 UYH655409:UYI655411 VID655409:VIE655411 VRZ655409:VSA655411 WBV655409:WBW655411 WLR655409:WLS655411 WVN655409:WVO655411 F720945:G720947 JB720945:JC720947 SX720945:SY720947 ACT720945:ACU720947 AMP720945:AMQ720947 AWL720945:AWM720947 BGH720945:BGI720947 BQD720945:BQE720947 BZZ720945:CAA720947 CJV720945:CJW720947 CTR720945:CTS720947 DDN720945:DDO720947 DNJ720945:DNK720947 DXF720945:DXG720947 EHB720945:EHC720947 EQX720945:EQY720947 FAT720945:FAU720947 FKP720945:FKQ720947 FUL720945:FUM720947 GEH720945:GEI720947 GOD720945:GOE720947 GXZ720945:GYA720947 HHV720945:HHW720947 HRR720945:HRS720947 IBN720945:IBO720947 ILJ720945:ILK720947 IVF720945:IVG720947 JFB720945:JFC720947 JOX720945:JOY720947 JYT720945:JYU720947 KIP720945:KIQ720947 KSL720945:KSM720947 LCH720945:LCI720947 LMD720945:LME720947 LVZ720945:LWA720947 MFV720945:MFW720947 MPR720945:MPS720947 MZN720945:MZO720947 NJJ720945:NJK720947 NTF720945:NTG720947 ODB720945:ODC720947 OMX720945:OMY720947 OWT720945:OWU720947 PGP720945:PGQ720947 PQL720945:PQM720947 QAH720945:QAI720947 QKD720945:QKE720947 QTZ720945:QUA720947 RDV720945:RDW720947 RNR720945:RNS720947 RXN720945:RXO720947 SHJ720945:SHK720947 SRF720945:SRG720947 TBB720945:TBC720947 TKX720945:TKY720947 TUT720945:TUU720947 UEP720945:UEQ720947 UOL720945:UOM720947 UYH720945:UYI720947 VID720945:VIE720947 VRZ720945:VSA720947 WBV720945:WBW720947 WLR720945:WLS720947 WVN720945:WVO720947 F786481:G786483 JB786481:JC786483 SX786481:SY786483 ACT786481:ACU786483 AMP786481:AMQ786483 AWL786481:AWM786483 BGH786481:BGI786483 BQD786481:BQE786483 BZZ786481:CAA786483 CJV786481:CJW786483 CTR786481:CTS786483 DDN786481:DDO786483 DNJ786481:DNK786483 DXF786481:DXG786483 EHB786481:EHC786483 EQX786481:EQY786483 FAT786481:FAU786483 FKP786481:FKQ786483 FUL786481:FUM786483 GEH786481:GEI786483 GOD786481:GOE786483 GXZ786481:GYA786483 HHV786481:HHW786483 HRR786481:HRS786483 IBN786481:IBO786483 ILJ786481:ILK786483 IVF786481:IVG786483 JFB786481:JFC786483 JOX786481:JOY786483 JYT786481:JYU786483 KIP786481:KIQ786483 KSL786481:KSM786483 LCH786481:LCI786483 LMD786481:LME786483 LVZ786481:LWA786483 MFV786481:MFW786483 MPR786481:MPS786483 MZN786481:MZO786483 NJJ786481:NJK786483 NTF786481:NTG786483 ODB786481:ODC786483 OMX786481:OMY786483 OWT786481:OWU786483 PGP786481:PGQ786483 PQL786481:PQM786483 QAH786481:QAI786483 QKD786481:QKE786483 QTZ786481:QUA786483 RDV786481:RDW786483 RNR786481:RNS786483 RXN786481:RXO786483 SHJ786481:SHK786483 SRF786481:SRG786483 TBB786481:TBC786483 TKX786481:TKY786483 TUT786481:TUU786483 UEP786481:UEQ786483 UOL786481:UOM786483 UYH786481:UYI786483 VID786481:VIE786483 VRZ786481:VSA786483 WBV786481:WBW786483 WLR786481:WLS786483 WVN786481:WVO786483 F852017:G852019 JB852017:JC852019 SX852017:SY852019 ACT852017:ACU852019 AMP852017:AMQ852019 AWL852017:AWM852019 BGH852017:BGI852019 BQD852017:BQE852019 BZZ852017:CAA852019 CJV852017:CJW852019 CTR852017:CTS852019 DDN852017:DDO852019 DNJ852017:DNK852019 DXF852017:DXG852019 EHB852017:EHC852019 EQX852017:EQY852019 FAT852017:FAU852019 FKP852017:FKQ852019 FUL852017:FUM852019 GEH852017:GEI852019 GOD852017:GOE852019 GXZ852017:GYA852019 HHV852017:HHW852019 HRR852017:HRS852019 IBN852017:IBO852019 ILJ852017:ILK852019 IVF852017:IVG852019 JFB852017:JFC852019 JOX852017:JOY852019 JYT852017:JYU852019 KIP852017:KIQ852019 KSL852017:KSM852019 LCH852017:LCI852019 LMD852017:LME852019 LVZ852017:LWA852019 MFV852017:MFW852019 MPR852017:MPS852019 MZN852017:MZO852019 NJJ852017:NJK852019 NTF852017:NTG852019 ODB852017:ODC852019 OMX852017:OMY852019 OWT852017:OWU852019 PGP852017:PGQ852019 PQL852017:PQM852019 QAH852017:QAI852019 QKD852017:QKE852019 QTZ852017:QUA852019 RDV852017:RDW852019 RNR852017:RNS852019 RXN852017:RXO852019 SHJ852017:SHK852019 SRF852017:SRG852019 TBB852017:TBC852019 TKX852017:TKY852019 TUT852017:TUU852019 UEP852017:UEQ852019 UOL852017:UOM852019 UYH852017:UYI852019 VID852017:VIE852019 VRZ852017:VSA852019 WBV852017:WBW852019 WLR852017:WLS852019 WVN852017:WVO852019 F917553:G917555 JB917553:JC917555 SX917553:SY917555 ACT917553:ACU917555 AMP917553:AMQ917555 AWL917553:AWM917555 BGH917553:BGI917555 BQD917553:BQE917555 BZZ917553:CAA917555 CJV917553:CJW917555 CTR917553:CTS917555 DDN917553:DDO917555 DNJ917553:DNK917555 DXF917553:DXG917555 EHB917553:EHC917555 EQX917553:EQY917555 FAT917553:FAU917555 FKP917553:FKQ917555 FUL917553:FUM917555 GEH917553:GEI917555 GOD917553:GOE917555 GXZ917553:GYA917555 HHV917553:HHW917555 HRR917553:HRS917555 IBN917553:IBO917555 ILJ917553:ILK917555 IVF917553:IVG917555 JFB917553:JFC917555 JOX917553:JOY917555 JYT917553:JYU917555 KIP917553:KIQ917555 KSL917553:KSM917555 LCH917553:LCI917555 LMD917553:LME917555 LVZ917553:LWA917555 MFV917553:MFW917555 MPR917553:MPS917555 MZN917553:MZO917555 NJJ917553:NJK917555 NTF917553:NTG917555 ODB917553:ODC917555 OMX917553:OMY917555 OWT917553:OWU917555 PGP917553:PGQ917555 PQL917553:PQM917555 QAH917553:QAI917555 QKD917553:QKE917555 QTZ917553:QUA917555 RDV917553:RDW917555 RNR917553:RNS917555 RXN917553:RXO917555 SHJ917553:SHK917555 SRF917553:SRG917555 TBB917553:TBC917555 TKX917553:TKY917555 TUT917553:TUU917555 UEP917553:UEQ917555 UOL917553:UOM917555 UYH917553:UYI917555 VID917553:VIE917555 VRZ917553:VSA917555 WBV917553:WBW917555 WLR917553:WLS917555 WVN917553:WVO917555 F983089:G983091 JB983089:JC983091 SX983089:SY983091 ACT983089:ACU983091 AMP983089:AMQ983091 AWL983089:AWM983091 BGH983089:BGI983091 BQD983089:BQE983091 BZZ983089:CAA983091 CJV983089:CJW983091 CTR983089:CTS983091 DDN983089:DDO983091 DNJ983089:DNK983091 DXF983089:DXG983091 EHB983089:EHC983091 EQX983089:EQY983091 FAT983089:FAU983091 FKP983089:FKQ983091 FUL983089:FUM983091 GEH983089:GEI983091 GOD983089:GOE983091 GXZ983089:GYA983091 HHV983089:HHW983091 HRR983089:HRS983091 IBN983089:IBO983091 ILJ983089:ILK983091 IVF983089:IVG983091 JFB983089:JFC983091 JOX983089:JOY983091 JYT983089:JYU983091 KIP983089:KIQ983091 KSL983089:KSM983091 LCH983089:LCI983091 LMD983089:LME983091 LVZ983089:LWA983091 MFV983089:MFW983091 MPR983089:MPS983091 MZN983089:MZO983091 NJJ983089:NJK983091 NTF983089:NTG983091 ODB983089:ODC983091 OMX983089:OMY983091 OWT983089:OWU983091 PGP983089:PGQ983091 PQL983089:PQM983091 QAH983089:QAI983091 QKD983089:QKE983091 QTZ983089:QUA983091 RDV983089:RDW983091 RNR983089:RNS983091 RXN983089:RXO983091 SHJ983089:SHK983091 SRF983089:SRG983091 TBB983089:TBC983091 TKX983089:TKY983091 TUT983089:TUU983091 UEP983089:UEQ983091 UOL983089:UOM983091 UYH983089:UYI983091 VID983089:VIE983091 VRZ983089:VSA983091 WBV983089:WBW983091 WLR983089:WLS983091 WVN983089:WVO983091 E54:F54 JA54:JB54 SW54:SX54 ACS54:ACT54 AMO54:AMP54 AWK54:AWL54 BGG54:BGH54 BQC54:BQD54 BZY54:BZZ54 CJU54:CJV54 CTQ54:CTR54 DDM54:DDN54 DNI54:DNJ54 DXE54:DXF54 EHA54:EHB54 EQW54:EQX54 FAS54:FAT54 FKO54:FKP54 FUK54:FUL54 GEG54:GEH54 GOC54:GOD54 GXY54:GXZ54 HHU54:HHV54 HRQ54:HRR54 IBM54:IBN54 ILI54:ILJ54 IVE54:IVF54 JFA54:JFB54 JOW54:JOX54 JYS54:JYT54 KIO54:KIP54 KSK54:KSL54 LCG54:LCH54 LMC54:LMD54 LVY54:LVZ54 MFU54:MFV54 MPQ54:MPR54 MZM54:MZN54 NJI54:NJJ54 NTE54:NTF54 ODA54:ODB54 OMW54:OMX54 OWS54:OWT54 PGO54:PGP54 PQK54:PQL54 QAG54:QAH54 QKC54:QKD54 QTY54:QTZ54 RDU54:RDV54 RNQ54:RNR54 RXM54:RXN54 SHI54:SHJ54 SRE54:SRF54 TBA54:TBB54 TKW54:TKX54 TUS54:TUT54 UEO54:UEP54 UOK54:UOL54 UYG54:UYH54 VIC54:VID54 VRY54:VRZ54 WBU54:WBV54 WLQ54:WLR54 WVM54:WVN54 E65590:F65590 JA65590:JB65590 SW65590:SX65590 ACS65590:ACT65590 AMO65590:AMP65590 AWK65590:AWL65590 BGG65590:BGH65590 BQC65590:BQD65590 BZY65590:BZZ65590 CJU65590:CJV65590 CTQ65590:CTR65590 DDM65590:DDN65590 DNI65590:DNJ65590 DXE65590:DXF65590 EHA65590:EHB65590 EQW65590:EQX65590 FAS65590:FAT65590 FKO65590:FKP65590 FUK65590:FUL65590 GEG65590:GEH65590 GOC65590:GOD65590 GXY65590:GXZ65590 HHU65590:HHV65590 HRQ65590:HRR65590 IBM65590:IBN65590 ILI65590:ILJ65590 IVE65590:IVF65590 JFA65590:JFB65590 JOW65590:JOX65590 JYS65590:JYT65590 KIO65590:KIP65590 KSK65590:KSL65590 LCG65590:LCH65590 LMC65590:LMD65590 LVY65590:LVZ65590 MFU65590:MFV65590 MPQ65590:MPR65590 MZM65590:MZN65590 NJI65590:NJJ65590 NTE65590:NTF65590 ODA65590:ODB65590 OMW65590:OMX65590 OWS65590:OWT65590 PGO65590:PGP65590 PQK65590:PQL65590 QAG65590:QAH65590 QKC65590:QKD65590 QTY65590:QTZ65590 RDU65590:RDV65590 RNQ65590:RNR65590 RXM65590:RXN65590 SHI65590:SHJ65590 SRE65590:SRF65590 TBA65590:TBB65590 TKW65590:TKX65590 TUS65590:TUT65590 UEO65590:UEP65590 UOK65590:UOL65590 UYG65590:UYH65590 VIC65590:VID65590 VRY65590:VRZ65590 WBU65590:WBV65590 WLQ65590:WLR65590 WVM65590:WVN65590 E131126:F131126 JA131126:JB131126 SW131126:SX131126 ACS131126:ACT131126 AMO131126:AMP131126 AWK131126:AWL131126 BGG131126:BGH131126 BQC131126:BQD131126 BZY131126:BZZ131126 CJU131126:CJV131126 CTQ131126:CTR131126 DDM131126:DDN131126 DNI131126:DNJ131126 DXE131126:DXF131126 EHA131126:EHB131126 EQW131126:EQX131126 FAS131126:FAT131126 FKO131126:FKP131126 FUK131126:FUL131126 GEG131126:GEH131126 GOC131126:GOD131126 GXY131126:GXZ131126 HHU131126:HHV131126 HRQ131126:HRR131126 IBM131126:IBN131126 ILI131126:ILJ131126 IVE131126:IVF131126 JFA131126:JFB131126 JOW131126:JOX131126 JYS131126:JYT131126 KIO131126:KIP131126 KSK131126:KSL131126 LCG131126:LCH131126 LMC131126:LMD131126 LVY131126:LVZ131126 MFU131126:MFV131126 MPQ131126:MPR131126 MZM131126:MZN131126 NJI131126:NJJ131126 NTE131126:NTF131126 ODA131126:ODB131126 OMW131126:OMX131126 OWS131126:OWT131126 PGO131126:PGP131126 PQK131126:PQL131126 QAG131126:QAH131126 QKC131126:QKD131126 QTY131126:QTZ131126 RDU131126:RDV131126 RNQ131126:RNR131126 RXM131126:RXN131126 SHI131126:SHJ131126 SRE131126:SRF131126 TBA131126:TBB131126 TKW131126:TKX131126 TUS131126:TUT131126 UEO131126:UEP131126 UOK131126:UOL131126 UYG131126:UYH131126 VIC131126:VID131126 VRY131126:VRZ131126 WBU131126:WBV131126 WLQ131126:WLR131126 WVM131126:WVN131126 E196662:F196662 JA196662:JB196662 SW196662:SX196662 ACS196662:ACT196662 AMO196662:AMP196662 AWK196662:AWL196662 BGG196662:BGH196662 BQC196662:BQD196662 BZY196662:BZZ196662 CJU196662:CJV196662 CTQ196662:CTR196662 DDM196662:DDN196662 DNI196662:DNJ196662 DXE196662:DXF196662 EHA196662:EHB196662 EQW196662:EQX196662 FAS196662:FAT196662 FKO196662:FKP196662 FUK196662:FUL196662 GEG196662:GEH196662 GOC196662:GOD196662 GXY196662:GXZ196662 HHU196662:HHV196662 HRQ196662:HRR196662 IBM196662:IBN196662 ILI196662:ILJ196662 IVE196662:IVF196662 JFA196662:JFB196662 JOW196662:JOX196662 JYS196662:JYT196662 KIO196662:KIP196662 KSK196662:KSL196662 LCG196662:LCH196662 LMC196662:LMD196662 LVY196662:LVZ196662 MFU196662:MFV196662 MPQ196662:MPR196662 MZM196662:MZN196662 NJI196662:NJJ196662 NTE196662:NTF196662 ODA196662:ODB196662 OMW196662:OMX196662 OWS196662:OWT196662 PGO196662:PGP196662 PQK196662:PQL196662 QAG196662:QAH196662 QKC196662:QKD196662 QTY196662:QTZ196662 RDU196662:RDV196662 RNQ196662:RNR196662 RXM196662:RXN196662 SHI196662:SHJ196662 SRE196662:SRF196662 TBA196662:TBB196662 TKW196662:TKX196662 TUS196662:TUT196662 UEO196662:UEP196662 UOK196662:UOL196662 UYG196662:UYH196662 VIC196662:VID196662 VRY196662:VRZ196662 WBU196662:WBV196662 WLQ196662:WLR196662 WVM196662:WVN196662 E262198:F262198 JA262198:JB262198 SW262198:SX262198 ACS262198:ACT262198 AMO262198:AMP262198 AWK262198:AWL262198 BGG262198:BGH262198 BQC262198:BQD262198 BZY262198:BZZ262198 CJU262198:CJV262198 CTQ262198:CTR262198 DDM262198:DDN262198 DNI262198:DNJ262198 DXE262198:DXF262198 EHA262198:EHB262198 EQW262198:EQX262198 FAS262198:FAT262198 FKO262198:FKP262198 FUK262198:FUL262198 GEG262198:GEH262198 GOC262198:GOD262198 GXY262198:GXZ262198 HHU262198:HHV262198 HRQ262198:HRR262198 IBM262198:IBN262198 ILI262198:ILJ262198 IVE262198:IVF262198 JFA262198:JFB262198 JOW262198:JOX262198 JYS262198:JYT262198 KIO262198:KIP262198 KSK262198:KSL262198 LCG262198:LCH262198 LMC262198:LMD262198 LVY262198:LVZ262198 MFU262198:MFV262198 MPQ262198:MPR262198 MZM262198:MZN262198 NJI262198:NJJ262198 NTE262198:NTF262198 ODA262198:ODB262198 OMW262198:OMX262198 OWS262198:OWT262198 PGO262198:PGP262198 PQK262198:PQL262198 QAG262198:QAH262198 QKC262198:QKD262198 QTY262198:QTZ262198 RDU262198:RDV262198 RNQ262198:RNR262198 RXM262198:RXN262198 SHI262198:SHJ262198 SRE262198:SRF262198 TBA262198:TBB262198 TKW262198:TKX262198 TUS262198:TUT262198 UEO262198:UEP262198 UOK262198:UOL262198 UYG262198:UYH262198 VIC262198:VID262198 VRY262198:VRZ262198 WBU262198:WBV262198 WLQ262198:WLR262198 WVM262198:WVN262198 E327734:F327734 JA327734:JB327734 SW327734:SX327734 ACS327734:ACT327734 AMO327734:AMP327734 AWK327734:AWL327734 BGG327734:BGH327734 BQC327734:BQD327734 BZY327734:BZZ327734 CJU327734:CJV327734 CTQ327734:CTR327734 DDM327734:DDN327734 DNI327734:DNJ327734 DXE327734:DXF327734 EHA327734:EHB327734 EQW327734:EQX327734 FAS327734:FAT327734 FKO327734:FKP327734 FUK327734:FUL327734 GEG327734:GEH327734 GOC327734:GOD327734 GXY327734:GXZ327734 HHU327734:HHV327734 HRQ327734:HRR327734 IBM327734:IBN327734 ILI327734:ILJ327734 IVE327734:IVF327734 JFA327734:JFB327734 JOW327734:JOX327734 JYS327734:JYT327734 KIO327734:KIP327734 KSK327734:KSL327734 LCG327734:LCH327734 LMC327734:LMD327734 LVY327734:LVZ327734 MFU327734:MFV327734 MPQ327734:MPR327734 MZM327734:MZN327734 NJI327734:NJJ327734 NTE327734:NTF327734 ODA327734:ODB327734 OMW327734:OMX327734 OWS327734:OWT327734 PGO327734:PGP327734 PQK327734:PQL327734 QAG327734:QAH327734 QKC327734:QKD327734 QTY327734:QTZ327734 RDU327734:RDV327734 RNQ327734:RNR327734 RXM327734:RXN327734 SHI327734:SHJ327734 SRE327734:SRF327734 TBA327734:TBB327734 TKW327734:TKX327734 TUS327734:TUT327734 UEO327734:UEP327734 UOK327734:UOL327734 UYG327734:UYH327734 VIC327734:VID327734 VRY327734:VRZ327734 WBU327734:WBV327734 WLQ327734:WLR327734 WVM327734:WVN327734 E393270:F393270 JA393270:JB393270 SW393270:SX393270 ACS393270:ACT393270 AMO393270:AMP393270 AWK393270:AWL393270 BGG393270:BGH393270 BQC393270:BQD393270 BZY393270:BZZ393270 CJU393270:CJV393270 CTQ393270:CTR393270 DDM393270:DDN393270 DNI393270:DNJ393270 DXE393270:DXF393270 EHA393270:EHB393270 EQW393270:EQX393270 FAS393270:FAT393270 FKO393270:FKP393270 FUK393270:FUL393270 GEG393270:GEH393270 GOC393270:GOD393270 GXY393270:GXZ393270 HHU393270:HHV393270 HRQ393270:HRR393270 IBM393270:IBN393270 ILI393270:ILJ393270 IVE393270:IVF393270 JFA393270:JFB393270 JOW393270:JOX393270 JYS393270:JYT393270 KIO393270:KIP393270 KSK393270:KSL393270 LCG393270:LCH393270 LMC393270:LMD393270 LVY393270:LVZ393270 MFU393270:MFV393270 MPQ393270:MPR393270 MZM393270:MZN393270 NJI393270:NJJ393270 NTE393270:NTF393270 ODA393270:ODB393270 OMW393270:OMX393270 OWS393270:OWT393270 PGO393270:PGP393270 PQK393270:PQL393270 QAG393270:QAH393270 QKC393270:QKD393270 QTY393270:QTZ393270 RDU393270:RDV393270 RNQ393270:RNR393270 RXM393270:RXN393270 SHI393270:SHJ393270 SRE393270:SRF393270 TBA393270:TBB393270 TKW393270:TKX393270 TUS393270:TUT393270 UEO393270:UEP393270 UOK393270:UOL393270 UYG393270:UYH393270 VIC393270:VID393270 VRY393270:VRZ393270 WBU393270:WBV393270 WLQ393270:WLR393270 WVM393270:WVN393270 E458806:F458806 JA458806:JB458806 SW458806:SX458806 ACS458806:ACT458806 AMO458806:AMP458806 AWK458806:AWL458806 BGG458806:BGH458806 BQC458806:BQD458806 BZY458806:BZZ458806 CJU458806:CJV458806 CTQ458806:CTR458806 DDM458806:DDN458806 DNI458806:DNJ458806 DXE458806:DXF458806 EHA458806:EHB458806 EQW458806:EQX458806 FAS458806:FAT458806 FKO458806:FKP458806 FUK458806:FUL458806 GEG458806:GEH458806 GOC458806:GOD458806 GXY458806:GXZ458806 HHU458806:HHV458806 HRQ458806:HRR458806 IBM458806:IBN458806 ILI458806:ILJ458806 IVE458806:IVF458806 JFA458806:JFB458806 JOW458806:JOX458806 JYS458806:JYT458806 KIO458806:KIP458806 KSK458806:KSL458806 LCG458806:LCH458806 LMC458806:LMD458806 LVY458806:LVZ458806 MFU458806:MFV458806 MPQ458806:MPR458806 MZM458806:MZN458806 NJI458806:NJJ458806 NTE458806:NTF458806 ODA458806:ODB458806 OMW458806:OMX458806 OWS458806:OWT458806 PGO458806:PGP458806 PQK458806:PQL458806 QAG458806:QAH458806 QKC458806:QKD458806 QTY458806:QTZ458806 RDU458806:RDV458806 RNQ458806:RNR458806 RXM458806:RXN458806 SHI458806:SHJ458806 SRE458806:SRF458806 TBA458806:TBB458806 TKW458806:TKX458806 TUS458806:TUT458806 UEO458806:UEP458806 UOK458806:UOL458806 UYG458806:UYH458806 VIC458806:VID458806 VRY458806:VRZ458806 WBU458806:WBV458806 WLQ458806:WLR458806 WVM458806:WVN458806 E524342:F524342 JA524342:JB524342 SW524342:SX524342 ACS524342:ACT524342 AMO524342:AMP524342 AWK524342:AWL524342 BGG524342:BGH524342 BQC524342:BQD524342 BZY524342:BZZ524342 CJU524342:CJV524342 CTQ524342:CTR524342 DDM524342:DDN524342 DNI524342:DNJ524342 DXE524342:DXF524342 EHA524342:EHB524342 EQW524342:EQX524342 FAS524342:FAT524342 FKO524342:FKP524342 FUK524342:FUL524342 GEG524342:GEH524342 GOC524342:GOD524342 GXY524342:GXZ524342 HHU524342:HHV524342 HRQ524342:HRR524342 IBM524342:IBN524342 ILI524342:ILJ524342 IVE524342:IVF524342 JFA524342:JFB524342 JOW524342:JOX524342 JYS524342:JYT524342 KIO524342:KIP524342 KSK524342:KSL524342 LCG524342:LCH524342 LMC524342:LMD524342 LVY524342:LVZ524342 MFU524342:MFV524342 MPQ524342:MPR524342 MZM524342:MZN524342 NJI524342:NJJ524342 NTE524342:NTF524342 ODA524342:ODB524342 OMW524342:OMX524342 OWS524342:OWT524342 PGO524342:PGP524342 PQK524342:PQL524342 QAG524342:QAH524342 QKC524342:QKD524342 QTY524342:QTZ524342 RDU524342:RDV524342 RNQ524342:RNR524342 RXM524342:RXN524342 SHI524342:SHJ524342 SRE524342:SRF524342 TBA524342:TBB524342 TKW524342:TKX524342 TUS524342:TUT524342 UEO524342:UEP524342 UOK524342:UOL524342 UYG524342:UYH524342 VIC524342:VID524342 VRY524342:VRZ524342 WBU524342:WBV524342 WLQ524342:WLR524342 WVM524342:WVN524342 E589878:F589878 JA589878:JB589878 SW589878:SX589878 ACS589878:ACT589878 AMO589878:AMP589878 AWK589878:AWL589878 BGG589878:BGH589878 BQC589878:BQD589878 BZY589878:BZZ589878 CJU589878:CJV589878 CTQ589878:CTR589878 DDM589878:DDN589878 DNI589878:DNJ589878 DXE589878:DXF589878 EHA589878:EHB589878 EQW589878:EQX589878 FAS589878:FAT589878 FKO589878:FKP589878 FUK589878:FUL589878 GEG589878:GEH589878 GOC589878:GOD589878 GXY589878:GXZ589878 HHU589878:HHV589878 HRQ589878:HRR589878 IBM589878:IBN589878 ILI589878:ILJ589878 IVE589878:IVF589878 JFA589878:JFB589878 JOW589878:JOX589878 JYS589878:JYT589878 KIO589878:KIP589878 KSK589878:KSL589878 LCG589878:LCH589878 LMC589878:LMD589878 LVY589878:LVZ589878 MFU589878:MFV589878 MPQ589878:MPR589878 MZM589878:MZN589878 NJI589878:NJJ589878 NTE589878:NTF589878 ODA589878:ODB589878 OMW589878:OMX589878 OWS589878:OWT589878 PGO589878:PGP589878 PQK589878:PQL589878 QAG589878:QAH589878 QKC589878:QKD589878 QTY589878:QTZ589878 RDU589878:RDV589878 RNQ589878:RNR589878 RXM589878:RXN589878 SHI589878:SHJ589878 SRE589878:SRF589878 TBA589878:TBB589878 TKW589878:TKX589878 TUS589878:TUT589878 UEO589878:UEP589878 UOK589878:UOL589878 UYG589878:UYH589878 VIC589878:VID589878 VRY589878:VRZ589878 WBU589878:WBV589878 WLQ589878:WLR589878 WVM589878:WVN589878 E655414:F655414 JA655414:JB655414 SW655414:SX655414 ACS655414:ACT655414 AMO655414:AMP655414 AWK655414:AWL655414 BGG655414:BGH655414 BQC655414:BQD655414 BZY655414:BZZ655414 CJU655414:CJV655414 CTQ655414:CTR655414 DDM655414:DDN655414 DNI655414:DNJ655414 DXE655414:DXF655414 EHA655414:EHB655414 EQW655414:EQX655414 FAS655414:FAT655414 FKO655414:FKP655414 FUK655414:FUL655414 GEG655414:GEH655414 GOC655414:GOD655414 GXY655414:GXZ655414 HHU655414:HHV655414 HRQ655414:HRR655414 IBM655414:IBN655414 ILI655414:ILJ655414 IVE655414:IVF655414 JFA655414:JFB655414 JOW655414:JOX655414 JYS655414:JYT655414 KIO655414:KIP655414 KSK655414:KSL655414 LCG655414:LCH655414 LMC655414:LMD655414 LVY655414:LVZ655414 MFU655414:MFV655414 MPQ655414:MPR655414 MZM655414:MZN655414 NJI655414:NJJ655414 NTE655414:NTF655414 ODA655414:ODB655414 OMW655414:OMX655414 OWS655414:OWT655414 PGO655414:PGP655414 PQK655414:PQL655414 QAG655414:QAH655414 QKC655414:QKD655414 QTY655414:QTZ655414 RDU655414:RDV655414 RNQ655414:RNR655414 RXM655414:RXN655414 SHI655414:SHJ655414 SRE655414:SRF655414 TBA655414:TBB655414 TKW655414:TKX655414 TUS655414:TUT655414 UEO655414:UEP655414 UOK655414:UOL655414 UYG655414:UYH655414 VIC655414:VID655414 VRY655414:VRZ655414 WBU655414:WBV655414 WLQ655414:WLR655414 WVM655414:WVN655414 E720950:F720950 JA720950:JB720950 SW720950:SX720950 ACS720950:ACT720950 AMO720950:AMP720950 AWK720950:AWL720950 BGG720950:BGH720950 BQC720950:BQD720950 BZY720950:BZZ720950 CJU720950:CJV720950 CTQ720950:CTR720950 DDM720950:DDN720950 DNI720950:DNJ720950 DXE720950:DXF720950 EHA720950:EHB720950 EQW720950:EQX720950 FAS720950:FAT720950 FKO720950:FKP720950 FUK720950:FUL720950 GEG720950:GEH720950 GOC720950:GOD720950 GXY720950:GXZ720950 HHU720950:HHV720950 HRQ720950:HRR720950 IBM720950:IBN720950 ILI720950:ILJ720950 IVE720950:IVF720950 JFA720950:JFB720950 JOW720950:JOX720950 JYS720950:JYT720950 KIO720950:KIP720950 KSK720950:KSL720950 LCG720950:LCH720950 LMC720950:LMD720950 LVY720950:LVZ720950 MFU720950:MFV720950 MPQ720950:MPR720950 MZM720950:MZN720950 NJI720950:NJJ720950 NTE720950:NTF720950 ODA720950:ODB720950 OMW720950:OMX720950 OWS720950:OWT720950 PGO720950:PGP720950 PQK720950:PQL720950 QAG720950:QAH720950 QKC720950:QKD720950 QTY720950:QTZ720950 RDU720950:RDV720950 RNQ720950:RNR720950 RXM720950:RXN720950 SHI720950:SHJ720950 SRE720950:SRF720950 TBA720950:TBB720950 TKW720950:TKX720950 TUS720950:TUT720950 UEO720950:UEP720950 UOK720950:UOL720950 UYG720950:UYH720950 VIC720950:VID720950 VRY720950:VRZ720950 WBU720950:WBV720950 WLQ720950:WLR720950 WVM720950:WVN720950 E786486:F786486 JA786486:JB786486 SW786486:SX786486 ACS786486:ACT786486 AMO786486:AMP786486 AWK786486:AWL786486 BGG786486:BGH786486 BQC786486:BQD786486 BZY786486:BZZ786486 CJU786486:CJV786486 CTQ786486:CTR786486 DDM786486:DDN786486 DNI786486:DNJ786486 DXE786486:DXF786486 EHA786486:EHB786486 EQW786486:EQX786486 FAS786486:FAT786486 FKO786486:FKP786486 FUK786486:FUL786486 GEG786486:GEH786486 GOC786486:GOD786486 GXY786486:GXZ786486 HHU786486:HHV786486 HRQ786486:HRR786486 IBM786486:IBN786486 ILI786486:ILJ786486 IVE786486:IVF786486 JFA786486:JFB786486 JOW786486:JOX786486 JYS786486:JYT786486 KIO786486:KIP786486 KSK786486:KSL786486 LCG786486:LCH786486 LMC786486:LMD786486 LVY786486:LVZ786486 MFU786486:MFV786486 MPQ786486:MPR786486 MZM786486:MZN786486 NJI786486:NJJ786486 NTE786486:NTF786486 ODA786486:ODB786486 OMW786486:OMX786486 OWS786486:OWT786486 PGO786486:PGP786486 PQK786486:PQL786486 QAG786486:QAH786486 QKC786486:QKD786486 QTY786486:QTZ786486 RDU786486:RDV786486 RNQ786486:RNR786486 RXM786486:RXN786486 SHI786486:SHJ786486 SRE786486:SRF786486 TBA786486:TBB786486 TKW786486:TKX786486 TUS786486:TUT786486 UEO786486:UEP786486 UOK786486:UOL786486 UYG786486:UYH786486 VIC786486:VID786486 VRY786486:VRZ786486 WBU786486:WBV786486 WLQ786486:WLR786486 WVM786486:WVN786486 E852022:F852022 JA852022:JB852022 SW852022:SX852022 ACS852022:ACT852022 AMO852022:AMP852022 AWK852022:AWL852022 BGG852022:BGH852022 BQC852022:BQD852022 BZY852022:BZZ852022 CJU852022:CJV852022 CTQ852022:CTR852022 DDM852022:DDN852022 DNI852022:DNJ852022 DXE852022:DXF852022 EHA852022:EHB852022 EQW852022:EQX852022 FAS852022:FAT852022 FKO852022:FKP852022 FUK852022:FUL852022 GEG852022:GEH852022 GOC852022:GOD852022 GXY852022:GXZ852022 HHU852022:HHV852022 HRQ852022:HRR852022 IBM852022:IBN852022 ILI852022:ILJ852022 IVE852022:IVF852022 JFA852022:JFB852022 JOW852022:JOX852022 JYS852022:JYT852022 KIO852022:KIP852022 KSK852022:KSL852022 LCG852022:LCH852022 LMC852022:LMD852022 LVY852022:LVZ852022 MFU852022:MFV852022 MPQ852022:MPR852022 MZM852022:MZN852022 NJI852022:NJJ852022 NTE852022:NTF852022 ODA852022:ODB852022 OMW852022:OMX852022 OWS852022:OWT852022 PGO852022:PGP852022 PQK852022:PQL852022 QAG852022:QAH852022 QKC852022:QKD852022 QTY852022:QTZ852022 RDU852022:RDV852022 RNQ852022:RNR852022 RXM852022:RXN852022 SHI852022:SHJ852022 SRE852022:SRF852022 TBA852022:TBB852022 TKW852022:TKX852022 TUS852022:TUT852022 UEO852022:UEP852022 UOK852022:UOL852022 UYG852022:UYH852022 VIC852022:VID852022 VRY852022:VRZ852022 WBU852022:WBV852022 WLQ852022:WLR852022 WVM852022:WVN852022 E917558:F917558 JA917558:JB917558 SW917558:SX917558 ACS917558:ACT917558 AMO917558:AMP917558 AWK917558:AWL917558 BGG917558:BGH917558 BQC917558:BQD917558 BZY917558:BZZ917558 CJU917558:CJV917558 CTQ917558:CTR917558 DDM917558:DDN917558 DNI917558:DNJ917558 DXE917558:DXF917558 EHA917558:EHB917558 EQW917558:EQX917558 FAS917558:FAT917558 FKO917558:FKP917558 FUK917558:FUL917558 GEG917558:GEH917558 GOC917558:GOD917558 GXY917558:GXZ917558 HHU917558:HHV917558 HRQ917558:HRR917558 IBM917558:IBN917558 ILI917558:ILJ917558 IVE917558:IVF917558 JFA917558:JFB917558 JOW917558:JOX917558 JYS917558:JYT917558 KIO917558:KIP917558 KSK917558:KSL917558 LCG917558:LCH917558 LMC917558:LMD917558 LVY917558:LVZ917558 MFU917558:MFV917558 MPQ917558:MPR917558 MZM917558:MZN917558 NJI917558:NJJ917558 NTE917558:NTF917558 ODA917558:ODB917558 OMW917558:OMX917558 OWS917558:OWT917558 PGO917558:PGP917558 PQK917558:PQL917558 QAG917558:QAH917558 QKC917558:QKD917558 QTY917558:QTZ917558 RDU917558:RDV917558 RNQ917558:RNR917558 RXM917558:RXN917558 SHI917558:SHJ917558 SRE917558:SRF917558 TBA917558:TBB917558 TKW917558:TKX917558 TUS917558:TUT917558 UEO917558:UEP917558 UOK917558:UOL917558 UYG917558:UYH917558 VIC917558:VID917558 VRY917558:VRZ917558 WBU917558:WBV917558 WLQ917558:WLR917558 WVM917558:WVN917558 E983094:F983094 JA983094:JB983094 SW983094:SX983094 ACS983094:ACT983094 AMO983094:AMP983094 AWK983094:AWL983094 BGG983094:BGH983094 BQC983094:BQD983094 BZY983094:BZZ983094 CJU983094:CJV983094 CTQ983094:CTR983094 DDM983094:DDN983094 DNI983094:DNJ983094 DXE983094:DXF983094 EHA983094:EHB983094 EQW983094:EQX983094 FAS983094:FAT983094 FKO983094:FKP983094 FUK983094:FUL983094 GEG983094:GEH983094 GOC983094:GOD983094 GXY983094:GXZ983094 HHU983094:HHV983094 HRQ983094:HRR983094 IBM983094:IBN983094 ILI983094:ILJ983094 IVE983094:IVF983094 JFA983094:JFB983094 JOW983094:JOX983094 JYS983094:JYT983094 KIO983094:KIP983094 KSK983094:KSL983094 LCG983094:LCH983094 LMC983094:LMD983094 LVY983094:LVZ983094 MFU983094:MFV983094 MPQ983094:MPR983094 MZM983094:MZN983094 NJI983094:NJJ983094 NTE983094:NTF983094 ODA983094:ODB983094 OMW983094:OMX983094 OWS983094:OWT983094 PGO983094:PGP983094 PQK983094:PQL983094 QAG983094:QAH983094 QKC983094:QKD983094 QTY983094:QTZ983094 RDU983094:RDV983094 RNQ983094:RNR983094 RXM983094:RXN983094 SHI983094:SHJ983094 SRE983094:SRF983094 TBA983094:TBB983094 TKW983094:TKX983094 TUS983094:TUT983094 UEO983094:UEP983094 UOK983094:UOL983094 UYG983094:UYH983094 VIC983094:VID983094 VRY983094:VRZ983094 WBU983094:WBV983094 WLQ983094:WLR983094 WVM983094:WVN983094 K54:M54 JG54:JI54 TC54:TE54 ACY54:ADA54 AMU54:AMW54 AWQ54:AWS54 BGM54:BGO54 BQI54:BQK54 CAE54:CAG54 CKA54:CKC54 CTW54:CTY54 DDS54:DDU54 DNO54:DNQ54 DXK54:DXM54 EHG54:EHI54 ERC54:ERE54 FAY54:FBA54 FKU54:FKW54 FUQ54:FUS54 GEM54:GEO54 GOI54:GOK54 GYE54:GYG54 HIA54:HIC54 HRW54:HRY54 IBS54:IBU54 ILO54:ILQ54 IVK54:IVM54 JFG54:JFI54 JPC54:JPE54 JYY54:JZA54 KIU54:KIW54 KSQ54:KSS54 LCM54:LCO54 LMI54:LMK54 LWE54:LWG54 MGA54:MGC54 MPW54:MPY54 MZS54:MZU54 NJO54:NJQ54 NTK54:NTM54 ODG54:ODI54 ONC54:ONE54 OWY54:OXA54 PGU54:PGW54 PQQ54:PQS54 QAM54:QAO54 QKI54:QKK54 QUE54:QUG54 REA54:REC54 RNW54:RNY54 RXS54:RXU54 SHO54:SHQ54 SRK54:SRM54 TBG54:TBI54 TLC54:TLE54 TUY54:TVA54 UEU54:UEW54 UOQ54:UOS54 UYM54:UYO54 VII54:VIK54 VSE54:VSG54 WCA54:WCC54 WLW54:WLY54 WVS54:WVU54 K65590:M65590 JG65590:JI65590 TC65590:TE65590 ACY65590:ADA65590 AMU65590:AMW65590 AWQ65590:AWS65590 BGM65590:BGO65590 BQI65590:BQK65590 CAE65590:CAG65590 CKA65590:CKC65590 CTW65590:CTY65590 DDS65590:DDU65590 DNO65590:DNQ65590 DXK65590:DXM65590 EHG65590:EHI65590 ERC65590:ERE65590 FAY65590:FBA65590 FKU65590:FKW65590 FUQ65590:FUS65590 GEM65590:GEO65590 GOI65590:GOK65590 GYE65590:GYG65590 HIA65590:HIC65590 HRW65590:HRY65590 IBS65590:IBU65590 ILO65590:ILQ65590 IVK65590:IVM65590 JFG65590:JFI65590 JPC65590:JPE65590 JYY65590:JZA65590 KIU65590:KIW65590 KSQ65590:KSS65590 LCM65590:LCO65590 LMI65590:LMK65590 LWE65590:LWG65590 MGA65590:MGC65590 MPW65590:MPY65590 MZS65590:MZU65590 NJO65590:NJQ65590 NTK65590:NTM65590 ODG65590:ODI65590 ONC65590:ONE65590 OWY65590:OXA65590 PGU65590:PGW65590 PQQ65590:PQS65590 QAM65590:QAO65590 QKI65590:QKK65590 QUE65590:QUG65590 REA65590:REC65590 RNW65590:RNY65590 RXS65590:RXU65590 SHO65590:SHQ65590 SRK65590:SRM65590 TBG65590:TBI65590 TLC65590:TLE65590 TUY65590:TVA65590 UEU65590:UEW65590 UOQ65590:UOS65590 UYM65590:UYO65590 VII65590:VIK65590 VSE65590:VSG65590 WCA65590:WCC65590 WLW65590:WLY65590 WVS65590:WVU65590 K131126:M131126 JG131126:JI131126 TC131126:TE131126 ACY131126:ADA131126 AMU131126:AMW131126 AWQ131126:AWS131126 BGM131126:BGO131126 BQI131126:BQK131126 CAE131126:CAG131126 CKA131126:CKC131126 CTW131126:CTY131126 DDS131126:DDU131126 DNO131126:DNQ131126 DXK131126:DXM131126 EHG131126:EHI131126 ERC131126:ERE131126 FAY131126:FBA131126 FKU131126:FKW131126 FUQ131126:FUS131126 GEM131126:GEO131126 GOI131126:GOK131126 GYE131126:GYG131126 HIA131126:HIC131126 HRW131126:HRY131126 IBS131126:IBU131126 ILO131126:ILQ131126 IVK131126:IVM131126 JFG131126:JFI131126 JPC131126:JPE131126 JYY131126:JZA131126 KIU131126:KIW131126 KSQ131126:KSS131126 LCM131126:LCO131126 LMI131126:LMK131126 LWE131126:LWG131126 MGA131126:MGC131126 MPW131126:MPY131126 MZS131126:MZU131126 NJO131126:NJQ131126 NTK131126:NTM131126 ODG131126:ODI131126 ONC131126:ONE131126 OWY131126:OXA131126 PGU131126:PGW131126 PQQ131126:PQS131126 QAM131126:QAO131126 QKI131126:QKK131126 QUE131126:QUG131126 REA131126:REC131126 RNW131126:RNY131126 RXS131126:RXU131126 SHO131126:SHQ131126 SRK131126:SRM131126 TBG131126:TBI131126 TLC131126:TLE131126 TUY131126:TVA131126 UEU131126:UEW131126 UOQ131126:UOS131126 UYM131126:UYO131126 VII131126:VIK131126 VSE131126:VSG131126 WCA131126:WCC131126 WLW131126:WLY131126 WVS131126:WVU131126 K196662:M196662 JG196662:JI196662 TC196662:TE196662 ACY196662:ADA196662 AMU196662:AMW196662 AWQ196662:AWS196662 BGM196662:BGO196662 BQI196662:BQK196662 CAE196662:CAG196662 CKA196662:CKC196662 CTW196662:CTY196662 DDS196662:DDU196662 DNO196662:DNQ196662 DXK196662:DXM196662 EHG196662:EHI196662 ERC196662:ERE196662 FAY196662:FBA196662 FKU196662:FKW196662 FUQ196662:FUS196662 GEM196662:GEO196662 GOI196662:GOK196662 GYE196662:GYG196662 HIA196662:HIC196662 HRW196662:HRY196662 IBS196662:IBU196662 ILO196662:ILQ196662 IVK196662:IVM196662 JFG196662:JFI196662 JPC196662:JPE196662 JYY196662:JZA196662 KIU196662:KIW196662 KSQ196662:KSS196662 LCM196662:LCO196662 LMI196662:LMK196662 LWE196662:LWG196662 MGA196662:MGC196662 MPW196662:MPY196662 MZS196662:MZU196662 NJO196662:NJQ196662 NTK196662:NTM196662 ODG196662:ODI196662 ONC196662:ONE196662 OWY196662:OXA196662 PGU196662:PGW196662 PQQ196662:PQS196662 QAM196662:QAO196662 QKI196662:QKK196662 QUE196662:QUG196662 REA196662:REC196662 RNW196662:RNY196662 RXS196662:RXU196662 SHO196662:SHQ196662 SRK196662:SRM196662 TBG196662:TBI196662 TLC196662:TLE196662 TUY196662:TVA196662 UEU196662:UEW196662 UOQ196662:UOS196662 UYM196662:UYO196662 VII196662:VIK196662 VSE196662:VSG196662 WCA196662:WCC196662 WLW196662:WLY196662 WVS196662:WVU196662 K262198:M262198 JG262198:JI262198 TC262198:TE262198 ACY262198:ADA262198 AMU262198:AMW262198 AWQ262198:AWS262198 BGM262198:BGO262198 BQI262198:BQK262198 CAE262198:CAG262198 CKA262198:CKC262198 CTW262198:CTY262198 DDS262198:DDU262198 DNO262198:DNQ262198 DXK262198:DXM262198 EHG262198:EHI262198 ERC262198:ERE262198 FAY262198:FBA262198 FKU262198:FKW262198 FUQ262198:FUS262198 GEM262198:GEO262198 GOI262198:GOK262198 GYE262198:GYG262198 HIA262198:HIC262198 HRW262198:HRY262198 IBS262198:IBU262198 ILO262198:ILQ262198 IVK262198:IVM262198 JFG262198:JFI262198 JPC262198:JPE262198 JYY262198:JZA262198 KIU262198:KIW262198 KSQ262198:KSS262198 LCM262198:LCO262198 LMI262198:LMK262198 LWE262198:LWG262198 MGA262198:MGC262198 MPW262198:MPY262198 MZS262198:MZU262198 NJO262198:NJQ262198 NTK262198:NTM262198 ODG262198:ODI262198 ONC262198:ONE262198 OWY262198:OXA262198 PGU262198:PGW262198 PQQ262198:PQS262198 QAM262198:QAO262198 QKI262198:QKK262198 QUE262198:QUG262198 REA262198:REC262198 RNW262198:RNY262198 RXS262198:RXU262198 SHO262198:SHQ262198 SRK262198:SRM262198 TBG262198:TBI262198 TLC262198:TLE262198 TUY262198:TVA262198 UEU262198:UEW262198 UOQ262198:UOS262198 UYM262198:UYO262198 VII262198:VIK262198 VSE262198:VSG262198 WCA262198:WCC262198 WLW262198:WLY262198 WVS262198:WVU262198 K327734:M327734 JG327734:JI327734 TC327734:TE327734 ACY327734:ADA327734 AMU327734:AMW327734 AWQ327734:AWS327734 BGM327734:BGO327734 BQI327734:BQK327734 CAE327734:CAG327734 CKA327734:CKC327734 CTW327734:CTY327734 DDS327734:DDU327734 DNO327734:DNQ327734 DXK327734:DXM327734 EHG327734:EHI327734 ERC327734:ERE327734 FAY327734:FBA327734 FKU327734:FKW327734 FUQ327734:FUS327734 GEM327734:GEO327734 GOI327734:GOK327734 GYE327734:GYG327734 HIA327734:HIC327734 HRW327734:HRY327734 IBS327734:IBU327734 ILO327734:ILQ327734 IVK327734:IVM327734 JFG327734:JFI327734 JPC327734:JPE327734 JYY327734:JZA327734 KIU327734:KIW327734 KSQ327734:KSS327734 LCM327734:LCO327734 LMI327734:LMK327734 LWE327734:LWG327734 MGA327734:MGC327734 MPW327734:MPY327734 MZS327734:MZU327734 NJO327734:NJQ327734 NTK327734:NTM327734 ODG327734:ODI327734 ONC327734:ONE327734 OWY327734:OXA327734 PGU327734:PGW327734 PQQ327734:PQS327734 QAM327734:QAO327734 QKI327734:QKK327734 QUE327734:QUG327734 REA327734:REC327734 RNW327734:RNY327734 RXS327734:RXU327734 SHO327734:SHQ327734 SRK327734:SRM327734 TBG327734:TBI327734 TLC327734:TLE327734 TUY327734:TVA327734 UEU327734:UEW327734 UOQ327734:UOS327734 UYM327734:UYO327734 VII327734:VIK327734 VSE327734:VSG327734 WCA327734:WCC327734 WLW327734:WLY327734 WVS327734:WVU327734 K393270:M393270 JG393270:JI393270 TC393270:TE393270 ACY393270:ADA393270 AMU393270:AMW393270 AWQ393270:AWS393270 BGM393270:BGO393270 BQI393270:BQK393270 CAE393270:CAG393270 CKA393270:CKC393270 CTW393270:CTY393270 DDS393270:DDU393270 DNO393270:DNQ393270 DXK393270:DXM393270 EHG393270:EHI393270 ERC393270:ERE393270 FAY393270:FBA393270 FKU393270:FKW393270 FUQ393270:FUS393270 GEM393270:GEO393270 GOI393270:GOK393270 GYE393270:GYG393270 HIA393270:HIC393270 HRW393270:HRY393270 IBS393270:IBU393270 ILO393270:ILQ393270 IVK393270:IVM393270 JFG393270:JFI393270 JPC393270:JPE393270 JYY393270:JZA393270 KIU393270:KIW393270 KSQ393270:KSS393270 LCM393270:LCO393270 LMI393270:LMK393270 LWE393270:LWG393270 MGA393270:MGC393270 MPW393270:MPY393270 MZS393270:MZU393270 NJO393270:NJQ393270 NTK393270:NTM393270 ODG393270:ODI393270 ONC393270:ONE393270 OWY393270:OXA393270 PGU393270:PGW393270 PQQ393270:PQS393270 QAM393270:QAO393270 QKI393270:QKK393270 QUE393270:QUG393270 REA393270:REC393270 RNW393270:RNY393270 RXS393270:RXU393270 SHO393270:SHQ393270 SRK393270:SRM393270 TBG393270:TBI393270 TLC393270:TLE393270 TUY393270:TVA393270 UEU393270:UEW393270 UOQ393270:UOS393270 UYM393270:UYO393270 VII393270:VIK393270 VSE393270:VSG393270 WCA393270:WCC393270 WLW393270:WLY393270 WVS393270:WVU393270 K458806:M458806 JG458806:JI458806 TC458806:TE458806 ACY458806:ADA458806 AMU458806:AMW458806 AWQ458806:AWS458806 BGM458806:BGO458806 BQI458806:BQK458806 CAE458806:CAG458806 CKA458806:CKC458806 CTW458806:CTY458806 DDS458806:DDU458806 DNO458806:DNQ458806 DXK458806:DXM458806 EHG458806:EHI458806 ERC458806:ERE458806 FAY458806:FBA458806 FKU458806:FKW458806 FUQ458806:FUS458806 GEM458806:GEO458806 GOI458806:GOK458806 GYE458806:GYG458806 HIA458806:HIC458806 HRW458806:HRY458806 IBS458806:IBU458806 ILO458806:ILQ458806 IVK458806:IVM458806 JFG458806:JFI458806 JPC458806:JPE458806 JYY458806:JZA458806 KIU458806:KIW458806 KSQ458806:KSS458806 LCM458806:LCO458806 LMI458806:LMK458806 LWE458806:LWG458806 MGA458806:MGC458806 MPW458806:MPY458806 MZS458806:MZU458806 NJO458806:NJQ458806 NTK458806:NTM458806 ODG458806:ODI458806 ONC458806:ONE458806 OWY458806:OXA458806 PGU458806:PGW458806 PQQ458806:PQS458806 QAM458806:QAO458806 QKI458806:QKK458806 QUE458806:QUG458806 REA458806:REC458806 RNW458806:RNY458806 RXS458806:RXU458806 SHO458806:SHQ458806 SRK458806:SRM458806 TBG458806:TBI458806 TLC458806:TLE458806 TUY458806:TVA458806 UEU458806:UEW458806 UOQ458806:UOS458806 UYM458806:UYO458806 VII458806:VIK458806 VSE458806:VSG458806 WCA458806:WCC458806 WLW458806:WLY458806 WVS458806:WVU458806 K524342:M524342 JG524342:JI524342 TC524342:TE524342 ACY524342:ADA524342 AMU524342:AMW524342 AWQ524342:AWS524342 BGM524342:BGO524342 BQI524342:BQK524342 CAE524342:CAG524342 CKA524342:CKC524342 CTW524342:CTY524342 DDS524342:DDU524342 DNO524342:DNQ524342 DXK524342:DXM524342 EHG524342:EHI524342 ERC524342:ERE524342 FAY524342:FBA524342 FKU524342:FKW524342 FUQ524342:FUS524342 GEM524342:GEO524342 GOI524342:GOK524342 GYE524342:GYG524342 HIA524342:HIC524342 HRW524342:HRY524342 IBS524342:IBU524342 ILO524342:ILQ524342 IVK524342:IVM524342 JFG524342:JFI524342 JPC524342:JPE524342 JYY524342:JZA524342 KIU524342:KIW524342 KSQ524342:KSS524342 LCM524342:LCO524342 LMI524342:LMK524342 LWE524342:LWG524342 MGA524342:MGC524342 MPW524342:MPY524342 MZS524342:MZU524342 NJO524342:NJQ524342 NTK524342:NTM524342 ODG524342:ODI524342 ONC524342:ONE524342 OWY524342:OXA524342 PGU524342:PGW524342 PQQ524342:PQS524342 QAM524342:QAO524342 QKI524342:QKK524342 QUE524342:QUG524342 REA524342:REC524342 RNW524342:RNY524342 RXS524342:RXU524342 SHO524342:SHQ524342 SRK524342:SRM524342 TBG524342:TBI524342 TLC524342:TLE524342 TUY524342:TVA524342 UEU524342:UEW524342 UOQ524342:UOS524342 UYM524342:UYO524342 VII524342:VIK524342 VSE524342:VSG524342 WCA524342:WCC524342 WLW524342:WLY524342 WVS524342:WVU524342 K589878:M589878 JG589878:JI589878 TC589878:TE589878 ACY589878:ADA589878 AMU589878:AMW589878 AWQ589878:AWS589878 BGM589878:BGO589878 BQI589878:BQK589878 CAE589878:CAG589878 CKA589878:CKC589878 CTW589878:CTY589878 DDS589878:DDU589878 DNO589878:DNQ589878 DXK589878:DXM589878 EHG589878:EHI589878 ERC589878:ERE589878 FAY589878:FBA589878 FKU589878:FKW589878 FUQ589878:FUS589878 GEM589878:GEO589878 GOI589878:GOK589878 GYE589878:GYG589878 HIA589878:HIC589878 HRW589878:HRY589878 IBS589878:IBU589878 ILO589878:ILQ589878 IVK589878:IVM589878 JFG589878:JFI589878 JPC589878:JPE589878 JYY589878:JZA589878 KIU589878:KIW589878 KSQ589878:KSS589878 LCM589878:LCO589878 LMI589878:LMK589878 LWE589878:LWG589878 MGA589878:MGC589878 MPW589878:MPY589878 MZS589878:MZU589878 NJO589878:NJQ589878 NTK589878:NTM589878 ODG589878:ODI589878 ONC589878:ONE589878 OWY589878:OXA589878 PGU589878:PGW589878 PQQ589878:PQS589878 QAM589878:QAO589878 QKI589878:QKK589878 QUE589878:QUG589878 REA589878:REC589878 RNW589878:RNY589878 RXS589878:RXU589878 SHO589878:SHQ589878 SRK589878:SRM589878 TBG589878:TBI589878 TLC589878:TLE589878 TUY589878:TVA589878 UEU589878:UEW589878 UOQ589878:UOS589878 UYM589878:UYO589878 VII589878:VIK589878 VSE589878:VSG589878 WCA589878:WCC589878 WLW589878:WLY589878 WVS589878:WVU589878 K655414:M655414 JG655414:JI655414 TC655414:TE655414 ACY655414:ADA655414 AMU655414:AMW655414 AWQ655414:AWS655414 BGM655414:BGO655414 BQI655414:BQK655414 CAE655414:CAG655414 CKA655414:CKC655414 CTW655414:CTY655414 DDS655414:DDU655414 DNO655414:DNQ655414 DXK655414:DXM655414 EHG655414:EHI655414 ERC655414:ERE655414 FAY655414:FBA655414 FKU655414:FKW655414 FUQ655414:FUS655414 GEM655414:GEO655414 GOI655414:GOK655414 GYE655414:GYG655414 HIA655414:HIC655414 HRW655414:HRY655414 IBS655414:IBU655414 ILO655414:ILQ655414 IVK655414:IVM655414 JFG655414:JFI655414 JPC655414:JPE655414 JYY655414:JZA655414 KIU655414:KIW655414 KSQ655414:KSS655414 LCM655414:LCO655414 LMI655414:LMK655414 LWE655414:LWG655414 MGA655414:MGC655414 MPW655414:MPY655414 MZS655414:MZU655414 NJO655414:NJQ655414 NTK655414:NTM655414 ODG655414:ODI655414 ONC655414:ONE655414 OWY655414:OXA655414 PGU655414:PGW655414 PQQ655414:PQS655414 QAM655414:QAO655414 QKI655414:QKK655414 QUE655414:QUG655414 REA655414:REC655414 RNW655414:RNY655414 RXS655414:RXU655414 SHO655414:SHQ655414 SRK655414:SRM655414 TBG655414:TBI655414 TLC655414:TLE655414 TUY655414:TVA655414 UEU655414:UEW655414 UOQ655414:UOS655414 UYM655414:UYO655414 VII655414:VIK655414 VSE655414:VSG655414 WCA655414:WCC655414 WLW655414:WLY655414 WVS655414:WVU655414 K720950:M720950 JG720950:JI720950 TC720950:TE720950 ACY720950:ADA720950 AMU720950:AMW720950 AWQ720950:AWS720950 BGM720950:BGO720950 BQI720950:BQK720950 CAE720950:CAG720950 CKA720950:CKC720950 CTW720950:CTY720950 DDS720950:DDU720950 DNO720950:DNQ720950 DXK720950:DXM720950 EHG720950:EHI720950 ERC720950:ERE720950 FAY720950:FBA720950 FKU720950:FKW720950 FUQ720950:FUS720950 GEM720950:GEO720950 GOI720950:GOK720950 GYE720950:GYG720950 HIA720950:HIC720950 HRW720950:HRY720950 IBS720950:IBU720950 ILO720950:ILQ720950 IVK720950:IVM720950 JFG720950:JFI720950 JPC720950:JPE720950 JYY720950:JZA720950 KIU720950:KIW720950 KSQ720950:KSS720950 LCM720950:LCO720950 LMI720950:LMK720950 LWE720950:LWG720950 MGA720950:MGC720950 MPW720950:MPY720950 MZS720950:MZU720950 NJO720950:NJQ720950 NTK720950:NTM720950 ODG720950:ODI720950 ONC720950:ONE720950 OWY720950:OXA720950 PGU720950:PGW720950 PQQ720950:PQS720950 QAM720950:QAO720950 QKI720950:QKK720950 QUE720950:QUG720950 REA720950:REC720950 RNW720950:RNY720950 RXS720950:RXU720950 SHO720950:SHQ720950 SRK720950:SRM720950 TBG720950:TBI720950 TLC720950:TLE720950 TUY720950:TVA720950 UEU720950:UEW720950 UOQ720950:UOS720950 UYM720950:UYO720950 VII720950:VIK720950 VSE720950:VSG720950 WCA720950:WCC720950 WLW720950:WLY720950 WVS720950:WVU720950 K786486:M786486 JG786486:JI786486 TC786486:TE786486 ACY786486:ADA786486 AMU786486:AMW786486 AWQ786486:AWS786486 BGM786486:BGO786486 BQI786486:BQK786486 CAE786486:CAG786486 CKA786486:CKC786486 CTW786486:CTY786486 DDS786486:DDU786486 DNO786486:DNQ786486 DXK786486:DXM786486 EHG786486:EHI786486 ERC786486:ERE786486 FAY786486:FBA786486 FKU786486:FKW786486 FUQ786486:FUS786486 GEM786486:GEO786486 GOI786486:GOK786486 GYE786486:GYG786486 HIA786486:HIC786486 HRW786486:HRY786486 IBS786486:IBU786486 ILO786486:ILQ786486 IVK786486:IVM786486 JFG786486:JFI786486 JPC786486:JPE786486 JYY786486:JZA786486 KIU786486:KIW786486 KSQ786486:KSS786486 LCM786486:LCO786486 LMI786486:LMK786486 LWE786486:LWG786486 MGA786486:MGC786486 MPW786486:MPY786486 MZS786486:MZU786486 NJO786486:NJQ786486 NTK786486:NTM786486 ODG786486:ODI786486 ONC786486:ONE786486 OWY786486:OXA786486 PGU786486:PGW786486 PQQ786486:PQS786486 QAM786486:QAO786486 QKI786486:QKK786486 QUE786486:QUG786486 REA786486:REC786486 RNW786486:RNY786486 RXS786486:RXU786486 SHO786486:SHQ786486 SRK786486:SRM786486 TBG786486:TBI786486 TLC786486:TLE786486 TUY786486:TVA786486 UEU786486:UEW786486 UOQ786486:UOS786486 UYM786486:UYO786486 VII786486:VIK786486 VSE786486:VSG786486 WCA786486:WCC786486 WLW786486:WLY786486 WVS786486:WVU786486 K852022:M852022 JG852022:JI852022 TC852022:TE852022 ACY852022:ADA852022 AMU852022:AMW852022 AWQ852022:AWS852022 BGM852022:BGO852022 BQI852022:BQK852022 CAE852022:CAG852022 CKA852022:CKC852022 CTW852022:CTY852022 DDS852022:DDU852022 DNO852022:DNQ852022 DXK852022:DXM852022 EHG852022:EHI852022 ERC852022:ERE852022 FAY852022:FBA852022 FKU852022:FKW852022 FUQ852022:FUS852022 GEM852022:GEO852022 GOI852022:GOK852022 GYE852022:GYG852022 HIA852022:HIC852022 HRW852022:HRY852022 IBS852022:IBU852022 ILO852022:ILQ852022 IVK852022:IVM852022 JFG852022:JFI852022 JPC852022:JPE852022 JYY852022:JZA852022 KIU852022:KIW852022 KSQ852022:KSS852022 LCM852022:LCO852022 LMI852022:LMK852022 LWE852022:LWG852022 MGA852022:MGC852022 MPW852022:MPY852022 MZS852022:MZU852022 NJO852022:NJQ852022 NTK852022:NTM852022 ODG852022:ODI852022 ONC852022:ONE852022 OWY852022:OXA852022 PGU852022:PGW852022 PQQ852022:PQS852022 QAM852022:QAO852022 QKI852022:QKK852022 QUE852022:QUG852022 REA852022:REC852022 RNW852022:RNY852022 RXS852022:RXU852022 SHO852022:SHQ852022 SRK852022:SRM852022 TBG852022:TBI852022 TLC852022:TLE852022 TUY852022:TVA852022 UEU852022:UEW852022 UOQ852022:UOS852022 UYM852022:UYO852022 VII852022:VIK852022 VSE852022:VSG852022 WCA852022:WCC852022 WLW852022:WLY852022 WVS852022:WVU852022 K917558:M917558 JG917558:JI917558 TC917558:TE917558 ACY917558:ADA917558 AMU917558:AMW917558 AWQ917558:AWS917558 BGM917558:BGO917558 BQI917558:BQK917558 CAE917558:CAG917558 CKA917558:CKC917558 CTW917558:CTY917558 DDS917558:DDU917558 DNO917558:DNQ917558 DXK917558:DXM917558 EHG917558:EHI917558 ERC917558:ERE917558 FAY917558:FBA917558 FKU917558:FKW917558 FUQ917558:FUS917558 GEM917558:GEO917558 GOI917558:GOK917558 GYE917558:GYG917558 HIA917558:HIC917558 HRW917558:HRY917558 IBS917558:IBU917558 ILO917558:ILQ917558 IVK917558:IVM917558 JFG917558:JFI917558 JPC917558:JPE917558 JYY917558:JZA917558 KIU917558:KIW917558 KSQ917558:KSS917558 LCM917558:LCO917558 LMI917558:LMK917558 LWE917558:LWG917558 MGA917558:MGC917558 MPW917558:MPY917558 MZS917558:MZU917558 NJO917558:NJQ917558 NTK917558:NTM917558 ODG917558:ODI917558 ONC917558:ONE917558 OWY917558:OXA917558 PGU917558:PGW917558 PQQ917558:PQS917558 QAM917558:QAO917558 QKI917558:QKK917558 QUE917558:QUG917558 REA917558:REC917558 RNW917558:RNY917558 RXS917558:RXU917558 SHO917558:SHQ917558 SRK917558:SRM917558 TBG917558:TBI917558 TLC917558:TLE917558 TUY917558:TVA917558 UEU917558:UEW917558 UOQ917558:UOS917558 UYM917558:UYO917558 VII917558:VIK917558 VSE917558:VSG917558 WCA917558:WCC917558 WLW917558:WLY917558 WVS917558:WVU917558 K983094:M983094 JG983094:JI983094 TC983094:TE983094 ACY983094:ADA983094 AMU983094:AMW983094 AWQ983094:AWS983094 BGM983094:BGO983094 BQI983094:BQK983094 CAE983094:CAG983094 CKA983094:CKC983094 CTW983094:CTY983094 DDS983094:DDU983094 DNO983094:DNQ983094 DXK983094:DXM983094 EHG983094:EHI983094 ERC983094:ERE983094 FAY983094:FBA983094 FKU983094:FKW983094 FUQ983094:FUS983094 GEM983094:GEO983094 GOI983094:GOK983094 GYE983094:GYG983094 HIA983094:HIC983094 HRW983094:HRY983094 IBS983094:IBU983094 ILO983094:ILQ983094 IVK983094:IVM983094 JFG983094:JFI983094 JPC983094:JPE983094 JYY983094:JZA983094 KIU983094:KIW983094 KSQ983094:KSS983094 LCM983094:LCO983094 LMI983094:LMK983094 LWE983094:LWG983094 MGA983094:MGC983094 MPW983094:MPY983094 MZS983094:MZU983094 NJO983094:NJQ983094 NTK983094:NTM983094 ODG983094:ODI983094 ONC983094:ONE983094 OWY983094:OXA983094 PGU983094:PGW983094 PQQ983094:PQS983094 QAM983094:QAO983094 QKI983094:QKK983094 QUE983094:QUG983094 REA983094:REC983094 RNW983094:RNY983094 RXS983094:RXU983094 SHO983094:SHQ983094 SRK983094:SRM983094 TBG983094:TBI983094 TLC983094:TLE983094 TUY983094:TVA983094 UEU983094:UEW983094 UOQ983094:UOS983094 UYM983094:UYO983094 VII983094:VIK983094 VSE983094:VSG983094 WCA983094:WCC983094 WLW983094:WLY983094 WVS983094:WVU983094 L49:M51 JH49:JI51 TD49:TE51 ACZ49:ADA51 AMV49:AMW51 AWR49:AWS51 BGN49:BGO51 BQJ49:BQK51 CAF49:CAG51 CKB49:CKC51 CTX49:CTY51 DDT49:DDU51 DNP49:DNQ51 DXL49:DXM51 EHH49:EHI51 ERD49:ERE51 FAZ49:FBA51 FKV49:FKW51 FUR49:FUS51 GEN49:GEO51 GOJ49:GOK51 GYF49:GYG51 HIB49:HIC51 HRX49:HRY51 IBT49:IBU51 ILP49:ILQ51 IVL49:IVM51 JFH49:JFI51 JPD49:JPE51 JYZ49:JZA51 KIV49:KIW51 KSR49:KSS51 LCN49:LCO51 LMJ49:LMK51 LWF49:LWG51 MGB49:MGC51 MPX49:MPY51 MZT49:MZU51 NJP49:NJQ51 NTL49:NTM51 ODH49:ODI51 OND49:ONE51 OWZ49:OXA51 PGV49:PGW51 PQR49:PQS51 QAN49:QAO51 QKJ49:QKK51 QUF49:QUG51 REB49:REC51 RNX49:RNY51 RXT49:RXU51 SHP49:SHQ51 SRL49:SRM51 TBH49:TBI51 TLD49:TLE51 TUZ49:TVA51 UEV49:UEW51 UOR49:UOS51 UYN49:UYO51 VIJ49:VIK51 VSF49:VSG51 WCB49:WCC51 WLX49:WLY51 WVT49:WVU51 L65585:M65587 JH65585:JI65587 TD65585:TE65587 ACZ65585:ADA65587 AMV65585:AMW65587 AWR65585:AWS65587 BGN65585:BGO65587 BQJ65585:BQK65587 CAF65585:CAG65587 CKB65585:CKC65587 CTX65585:CTY65587 DDT65585:DDU65587 DNP65585:DNQ65587 DXL65585:DXM65587 EHH65585:EHI65587 ERD65585:ERE65587 FAZ65585:FBA65587 FKV65585:FKW65587 FUR65585:FUS65587 GEN65585:GEO65587 GOJ65585:GOK65587 GYF65585:GYG65587 HIB65585:HIC65587 HRX65585:HRY65587 IBT65585:IBU65587 ILP65585:ILQ65587 IVL65585:IVM65587 JFH65585:JFI65587 JPD65585:JPE65587 JYZ65585:JZA65587 KIV65585:KIW65587 KSR65585:KSS65587 LCN65585:LCO65587 LMJ65585:LMK65587 LWF65585:LWG65587 MGB65585:MGC65587 MPX65585:MPY65587 MZT65585:MZU65587 NJP65585:NJQ65587 NTL65585:NTM65587 ODH65585:ODI65587 OND65585:ONE65587 OWZ65585:OXA65587 PGV65585:PGW65587 PQR65585:PQS65587 QAN65585:QAO65587 QKJ65585:QKK65587 QUF65585:QUG65587 REB65585:REC65587 RNX65585:RNY65587 RXT65585:RXU65587 SHP65585:SHQ65587 SRL65585:SRM65587 TBH65585:TBI65587 TLD65585:TLE65587 TUZ65585:TVA65587 UEV65585:UEW65587 UOR65585:UOS65587 UYN65585:UYO65587 VIJ65585:VIK65587 VSF65585:VSG65587 WCB65585:WCC65587 WLX65585:WLY65587 WVT65585:WVU65587 L131121:M131123 JH131121:JI131123 TD131121:TE131123 ACZ131121:ADA131123 AMV131121:AMW131123 AWR131121:AWS131123 BGN131121:BGO131123 BQJ131121:BQK131123 CAF131121:CAG131123 CKB131121:CKC131123 CTX131121:CTY131123 DDT131121:DDU131123 DNP131121:DNQ131123 DXL131121:DXM131123 EHH131121:EHI131123 ERD131121:ERE131123 FAZ131121:FBA131123 FKV131121:FKW131123 FUR131121:FUS131123 GEN131121:GEO131123 GOJ131121:GOK131123 GYF131121:GYG131123 HIB131121:HIC131123 HRX131121:HRY131123 IBT131121:IBU131123 ILP131121:ILQ131123 IVL131121:IVM131123 JFH131121:JFI131123 JPD131121:JPE131123 JYZ131121:JZA131123 KIV131121:KIW131123 KSR131121:KSS131123 LCN131121:LCO131123 LMJ131121:LMK131123 LWF131121:LWG131123 MGB131121:MGC131123 MPX131121:MPY131123 MZT131121:MZU131123 NJP131121:NJQ131123 NTL131121:NTM131123 ODH131121:ODI131123 OND131121:ONE131123 OWZ131121:OXA131123 PGV131121:PGW131123 PQR131121:PQS131123 QAN131121:QAO131123 QKJ131121:QKK131123 QUF131121:QUG131123 REB131121:REC131123 RNX131121:RNY131123 RXT131121:RXU131123 SHP131121:SHQ131123 SRL131121:SRM131123 TBH131121:TBI131123 TLD131121:TLE131123 TUZ131121:TVA131123 UEV131121:UEW131123 UOR131121:UOS131123 UYN131121:UYO131123 VIJ131121:VIK131123 VSF131121:VSG131123 WCB131121:WCC131123 WLX131121:WLY131123 WVT131121:WVU131123 L196657:M196659 JH196657:JI196659 TD196657:TE196659 ACZ196657:ADA196659 AMV196657:AMW196659 AWR196657:AWS196659 BGN196657:BGO196659 BQJ196657:BQK196659 CAF196657:CAG196659 CKB196657:CKC196659 CTX196657:CTY196659 DDT196657:DDU196659 DNP196657:DNQ196659 DXL196657:DXM196659 EHH196657:EHI196659 ERD196657:ERE196659 FAZ196657:FBA196659 FKV196657:FKW196659 FUR196657:FUS196659 GEN196657:GEO196659 GOJ196657:GOK196659 GYF196657:GYG196659 HIB196657:HIC196659 HRX196657:HRY196659 IBT196657:IBU196659 ILP196657:ILQ196659 IVL196657:IVM196659 JFH196657:JFI196659 JPD196657:JPE196659 JYZ196657:JZA196659 KIV196657:KIW196659 KSR196657:KSS196659 LCN196657:LCO196659 LMJ196657:LMK196659 LWF196657:LWG196659 MGB196657:MGC196659 MPX196657:MPY196659 MZT196657:MZU196659 NJP196657:NJQ196659 NTL196657:NTM196659 ODH196657:ODI196659 OND196657:ONE196659 OWZ196657:OXA196659 PGV196657:PGW196659 PQR196657:PQS196659 QAN196657:QAO196659 QKJ196657:QKK196659 QUF196657:QUG196659 REB196657:REC196659 RNX196657:RNY196659 RXT196657:RXU196659 SHP196657:SHQ196659 SRL196657:SRM196659 TBH196657:TBI196659 TLD196657:TLE196659 TUZ196657:TVA196659 UEV196657:UEW196659 UOR196657:UOS196659 UYN196657:UYO196659 VIJ196657:VIK196659 VSF196657:VSG196659 WCB196657:WCC196659 WLX196657:WLY196659 WVT196657:WVU196659 L262193:M262195 JH262193:JI262195 TD262193:TE262195 ACZ262193:ADA262195 AMV262193:AMW262195 AWR262193:AWS262195 BGN262193:BGO262195 BQJ262193:BQK262195 CAF262193:CAG262195 CKB262193:CKC262195 CTX262193:CTY262195 DDT262193:DDU262195 DNP262193:DNQ262195 DXL262193:DXM262195 EHH262193:EHI262195 ERD262193:ERE262195 FAZ262193:FBA262195 FKV262193:FKW262195 FUR262193:FUS262195 GEN262193:GEO262195 GOJ262193:GOK262195 GYF262193:GYG262195 HIB262193:HIC262195 HRX262193:HRY262195 IBT262193:IBU262195 ILP262193:ILQ262195 IVL262193:IVM262195 JFH262193:JFI262195 JPD262193:JPE262195 JYZ262193:JZA262195 KIV262193:KIW262195 KSR262193:KSS262195 LCN262193:LCO262195 LMJ262193:LMK262195 LWF262193:LWG262195 MGB262193:MGC262195 MPX262193:MPY262195 MZT262193:MZU262195 NJP262193:NJQ262195 NTL262193:NTM262195 ODH262193:ODI262195 OND262193:ONE262195 OWZ262193:OXA262195 PGV262193:PGW262195 PQR262193:PQS262195 QAN262193:QAO262195 QKJ262193:QKK262195 QUF262193:QUG262195 REB262193:REC262195 RNX262193:RNY262195 RXT262193:RXU262195 SHP262193:SHQ262195 SRL262193:SRM262195 TBH262193:TBI262195 TLD262193:TLE262195 TUZ262193:TVA262195 UEV262193:UEW262195 UOR262193:UOS262195 UYN262193:UYO262195 VIJ262193:VIK262195 VSF262193:VSG262195 WCB262193:WCC262195 WLX262193:WLY262195 WVT262193:WVU262195 L327729:M327731 JH327729:JI327731 TD327729:TE327731 ACZ327729:ADA327731 AMV327729:AMW327731 AWR327729:AWS327731 BGN327729:BGO327731 BQJ327729:BQK327731 CAF327729:CAG327731 CKB327729:CKC327731 CTX327729:CTY327731 DDT327729:DDU327731 DNP327729:DNQ327731 DXL327729:DXM327731 EHH327729:EHI327731 ERD327729:ERE327731 FAZ327729:FBA327731 FKV327729:FKW327731 FUR327729:FUS327731 GEN327729:GEO327731 GOJ327729:GOK327731 GYF327729:GYG327731 HIB327729:HIC327731 HRX327729:HRY327731 IBT327729:IBU327731 ILP327729:ILQ327731 IVL327729:IVM327731 JFH327729:JFI327731 JPD327729:JPE327731 JYZ327729:JZA327731 KIV327729:KIW327731 KSR327729:KSS327731 LCN327729:LCO327731 LMJ327729:LMK327731 LWF327729:LWG327731 MGB327729:MGC327731 MPX327729:MPY327731 MZT327729:MZU327731 NJP327729:NJQ327731 NTL327729:NTM327731 ODH327729:ODI327731 OND327729:ONE327731 OWZ327729:OXA327731 PGV327729:PGW327731 PQR327729:PQS327731 QAN327729:QAO327731 QKJ327729:QKK327731 QUF327729:QUG327731 REB327729:REC327731 RNX327729:RNY327731 RXT327729:RXU327731 SHP327729:SHQ327731 SRL327729:SRM327731 TBH327729:TBI327731 TLD327729:TLE327731 TUZ327729:TVA327731 UEV327729:UEW327731 UOR327729:UOS327731 UYN327729:UYO327731 VIJ327729:VIK327731 VSF327729:VSG327731 WCB327729:WCC327731 WLX327729:WLY327731 WVT327729:WVU327731 L393265:M393267 JH393265:JI393267 TD393265:TE393267 ACZ393265:ADA393267 AMV393265:AMW393267 AWR393265:AWS393267 BGN393265:BGO393267 BQJ393265:BQK393267 CAF393265:CAG393267 CKB393265:CKC393267 CTX393265:CTY393267 DDT393265:DDU393267 DNP393265:DNQ393267 DXL393265:DXM393267 EHH393265:EHI393267 ERD393265:ERE393267 FAZ393265:FBA393267 FKV393265:FKW393267 FUR393265:FUS393267 GEN393265:GEO393267 GOJ393265:GOK393267 GYF393265:GYG393267 HIB393265:HIC393267 HRX393265:HRY393267 IBT393265:IBU393267 ILP393265:ILQ393267 IVL393265:IVM393267 JFH393265:JFI393267 JPD393265:JPE393267 JYZ393265:JZA393267 KIV393265:KIW393267 KSR393265:KSS393267 LCN393265:LCO393267 LMJ393265:LMK393267 LWF393265:LWG393267 MGB393265:MGC393267 MPX393265:MPY393267 MZT393265:MZU393267 NJP393265:NJQ393267 NTL393265:NTM393267 ODH393265:ODI393267 OND393265:ONE393267 OWZ393265:OXA393267 PGV393265:PGW393267 PQR393265:PQS393267 QAN393265:QAO393267 QKJ393265:QKK393267 QUF393265:QUG393267 REB393265:REC393267 RNX393265:RNY393267 RXT393265:RXU393267 SHP393265:SHQ393267 SRL393265:SRM393267 TBH393265:TBI393267 TLD393265:TLE393267 TUZ393265:TVA393267 UEV393265:UEW393267 UOR393265:UOS393267 UYN393265:UYO393267 VIJ393265:VIK393267 VSF393265:VSG393267 WCB393265:WCC393267 WLX393265:WLY393267 WVT393265:WVU393267 L458801:M458803 JH458801:JI458803 TD458801:TE458803 ACZ458801:ADA458803 AMV458801:AMW458803 AWR458801:AWS458803 BGN458801:BGO458803 BQJ458801:BQK458803 CAF458801:CAG458803 CKB458801:CKC458803 CTX458801:CTY458803 DDT458801:DDU458803 DNP458801:DNQ458803 DXL458801:DXM458803 EHH458801:EHI458803 ERD458801:ERE458803 FAZ458801:FBA458803 FKV458801:FKW458803 FUR458801:FUS458803 GEN458801:GEO458803 GOJ458801:GOK458803 GYF458801:GYG458803 HIB458801:HIC458803 HRX458801:HRY458803 IBT458801:IBU458803 ILP458801:ILQ458803 IVL458801:IVM458803 JFH458801:JFI458803 JPD458801:JPE458803 JYZ458801:JZA458803 KIV458801:KIW458803 KSR458801:KSS458803 LCN458801:LCO458803 LMJ458801:LMK458803 LWF458801:LWG458803 MGB458801:MGC458803 MPX458801:MPY458803 MZT458801:MZU458803 NJP458801:NJQ458803 NTL458801:NTM458803 ODH458801:ODI458803 OND458801:ONE458803 OWZ458801:OXA458803 PGV458801:PGW458803 PQR458801:PQS458803 QAN458801:QAO458803 QKJ458801:QKK458803 QUF458801:QUG458803 REB458801:REC458803 RNX458801:RNY458803 RXT458801:RXU458803 SHP458801:SHQ458803 SRL458801:SRM458803 TBH458801:TBI458803 TLD458801:TLE458803 TUZ458801:TVA458803 UEV458801:UEW458803 UOR458801:UOS458803 UYN458801:UYO458803 VIJ458801:VIK458803 VSF458801:VSG458803 WCB458801:WCC458803 WLX458801:WLY458803 WVT458801:WVU458803 L524337:M524339 JH524337:JI524339 TD524337:TE524339 ACZ524337:ADA524339 AMV524337:AMW524339 AWR524337:AWS524339 BGN524337:BGO524339 BQJ524337:BQK524339 CAF524337:CAG524339 CKB524337:CKC524339 CTX524337:CTY524339 DDT524337:DDU524339 DNP524337:DNQ524339 DXL524337:DXM524339 EHH524337:EHI524339 ERD524337:ERE524339 FAZ524337:FBA524339 FKV524337:FKW524339 FUR524337:FUS524339 GEN524337:GEO524339 GOJ524337:GOK524339 GYF524337:GYG524339 HIB524337:HIC524339 HRX524337:HRY524339 IBT524337:IBU524339 ILP524337:ILQ524339 IVL524337:IVM524339 JFH524337:JFI524339 JPD524337:JPE524339 JYZ524337:JZA524339 KIV524337:KIW524339 KSR524337:KSS524339 LCN524337:LCO524339 LMJ524337:LMK524339 LWF524337:LWG524339 MGB524337:MGC524339 MPX524337:MPY524339 MZT524337:MZU524339 NJP524337:NJQ524339 NTL524337:NTM524339 ODH524337:ODI524339 OND524337:ONE524339 OWZ524337:OXA524339 PGV524337:PGW524339 PQR524337:PQS524339 QAN524337:QAO524339 QKJ524337:QKK524339 QUF524337:QUG524339 REB524337:REC524339 RNX524337:RNY524339 RXT524337:RXU524339 SHP524337:SHQ524339 SRL524337:SRM524339 TBH524337:TBI524339 TLD524337:TLE524339 TUZ524337:TVA524339 UEV524337:UEW524339 UOR524337:UOS524339 UYN524337:UYO524339 VIJ524337:VIK524339 VSF524337:VSG524339 WCB524337:WCC524339 WLX524337:WLY524339 WVT524337:WVU524339 L589873:M589875 JH589873:JI589875 TD589873:TE589875 ACZ589873:ADA589875 AMV589873:AMW589875 AWR589873:AWS589875 BGN589873:BGO589875 BQJ589873:BQK589875 CAF589873:CAG589875 CKB589873:CKC589875 CTX589873:CTY589875 DDT589873:DDU589875 DNP589873:DNQ589875 DXL589873:DXM589875 EHH589873:EHI589875 ERD589873:ERE589875 FAZ589873:FBA589875 FKV589873:FKW589875 FUR589873:FUS589875 GEN589873:GEO589875 GOJ589873:GOK589875 GYF589873:GYG589875 HIB589873:HIC589875 HRX589873:HRY589875 IBT589873:IBU589875 ILP589873:ILQ589875 IVL589873:IVM589875 JFH589873:JFI589875 JPD589873:JPE589875 JYZ589873:JZA589875 KIV589873:KIW589875 KSR589873:KSS589875 LCN589873:LCO589875 LMJ589873:LMK589875 LWF589873:LWG589875 MGB589873:MGC589875 MPX589873:MPY589875 MZT589873:MZU589875 NJP589873:NJQ589875 NTL589873:NTM589875 ODH589873:ODI589875 OND589873:ONE589875 OWZ589873:OXA589875 PGV589873:PGW589875 PQR589873:PQS589875 QAN589873:QAO589875 QKJ589873:QKK589875 QUF589873:QUG589875 REB589873:REC589875 RNX589873:RNY589875 RXT589873:RXU589875 SHP589873:SHQ589875 SRL589873:SRM589875 TBH589873:TBI589875 TLD589873:TLE589875 TUZ589873:TVA589875 UEV589873:UEW589875 UOR589873:UOS589875 UYN589873:UYO589875 VIJ589873:VIK589875 VSF589873:VSG589875 WCB589873:WCC589875 WLX589873:WLY589875 WVT589873:WVU589875 L655409:M655411 JH655409:JI655411 TD655409:TE655411 ACZ655409:ADA655411 AMV655409:AMW655411 AWR655409:AWS655411 BGN655409:BGO655411 BQJ655409:BQK655411 CAF655409:CAG655411 CKB655409:CKC655411 CTX655409:CTY655411 DDT655409:DDU655411 DNP655409:DNQ655411 DXL655409:DXM655411 EHH655409:EHI655411 ERD655409:ERE655411 FAZ655409:FBA655411 FKV655409:FKW655411 FUR655409:FUS655411 GEN655409:GEO655411 GOJ655409:GOK655411 GYF655409:GYG655411 HIB655409:HIC655411 HRX655409:HRY655411 IBT655409:IBU655411 ILP655409:ILQ655411 IVL655409:IVM655411 JFH655409:JFI655411 JPD655409:JPE655411 JYZ655409:JZA655411 KIV655409:KIW655411 KSR655409:KSS655411 LCN655409:LCO655411 LMJ655409:LMK655411 LWF655409:LWG655411 MGB655409:MGC655411 MPX655409:MPY655411 MZT655409:MZU655411 NJP655409:NJQ655411 NTL655409:NTM655411 ODH655409:ODI655411 OND655409:ONE655411 OWZ655409:OXA655411 PGV655409:PGW655411 PQR655409:PQS655411 QAN655409:QAO655411 QKJ655409:QKK655411 QUF655409:QUG655411 REB655409:REC655411 RNX655409:RNY655411 RXT655409:RXU655411 SHP655409:SHQ655411 SRL655409:SRM655411 TBH655409:TBI655411 TLD655409:TLE655411 TUZ655409:TVA655411 UEV655409:UEW655411 UOR655409:UOS655411 UYN655409:UYO655411 VIJ655409:VIK655411 VSF655409:VSG655411 WCB655409:WCC655411 WLX655409:WLY655411 WVT655409:WVU655411 L720945:M720947 JH720945:JI720947 TD720945:TE720947 ACZ720945:ADA720947 AMV720945:AMW720947 AWR720945:AWS720947 BGN720945:BGO720947 BQJ720945:BQK720947 CAF720945:CAG720947 CKB720945:CKC720947 CTX720945:CTY720947 DDT720945:DDU720947 DNP720945:DNQ720947 DXL720945:DXM720947 EHH720945:EHI720947 ERD720945:ERE720947 FAZ720945:FBA720947 FKV720945:FKW720947 FUR720945:FUS720947 GEN720945:GEO720947 GOJ720945:GOK720947 GYF720945:GYG720947 HIB720945:HIC720947 HRX720945:HRY720947 IBT720945:IBU720947 ILP720945:ILQ720947 IVL720945:IVM720947 JFH720945:JFI720947 JPD720945:JPE720947 JYZ720945:JZA720947 KIV720945:KIW720947 KSR720945:KSS720947 LCN720945:LCO720947 LMJ720945:LMK720947 LWF720945:LWG720947 MGB720945:MGC720947 MPX720945:MPY720947 MZT720945:MZU720947 NJP720945:NJQ720947 NTL720945:NTM720947 ODH720945:ODI720947 OND720945:ONE720947 OWZ720945:OXA720947 PGV720945:PGW720947 PQR720945:PQS720947 QAN720945:QAO720947 QKJ720945:QKK720947 QUF720945:QUG720947 REB720945:REC720947 RNX720945:RNY720947 RXT720945:RXU720947 SHP720945:SHQ720947 SRL720945:SRM720947 TBH720945:TBI720947 TLD720945:TLE720947 TUZ720945:TVA720947 UEV720945:UEW720947 UOR720945:UOS720947 UYN720945:UYO720947 VIJ720945:VIK720947 VSF720945:VSG720947 WCB720945:WCC720947 WLX720945:WLY720947 WVT720945:WVU720947 L786481:M786483 JH786481:JI786483 TD786481:TE786483 ACZ786481:ADA786483 AMV786481:AMW786483 AWR786481:AWS786483 BGN786481:BGO786483 BQJ786481:BQK786483 CAF786481:CAG786483 CKB786481:CKC786483 CTX786481:CTY786483 DDT786481:DDU786483 DNP786481:DNQ786483 DXL786481:DXM786483 EHH786481:EHI786483 ERD786481:ERE786483 FAZ786481:FBA786483 FKV786481:FKW786483 FUR786481:FUS786483 GEN786481:GEO786483 GOJ786481:GOK786483 GYF786481:GYG786483 HIB786481:HIC786483 HRX786481:HRY786483 IBT786481:IBU786483 ILP786481:ILQ786483 IVL786481:IVM786483 JFH786481:JFI786483 JPD786481:JPE786483 JYZ786481:JZA786483 KIV786481:KIW786483 KSR786481:KSS786483 LCN786481:LCO786483 LMJ786481:LMK786483 LWF786481:LWG786483 MGB786481:MGC786483 MPX786481:MPY786483 MZT786481:MZU786483 NJP786481:NJQ786483 NTL786481:NTM786483 ODH786481:ODI786483 OND786481:ONE786483 OWZ786481:OXA786483 PGV786481:PGW786483 PQR786481:PQS786483 QAN786481:QAO786483 QKJ786481:QKK786483 QUF786481:QUG786483 REB786481:REC786483 RNX786481:RNY786483 RXT786481:RXU786483 SHP786481:SHQ786483 SRL786481:SRM786483 TBH786481:TBI786483 TLD786481:TLE786483 TUZ786481:TVA786483 UEV786481:UEW786483 UOR786481:UOS786483 UYN786481:UYO786483 VIJ786481:VIK786483 VSF786481:VSG786483 WCB786481:WCC786483 WLX786481:WLY786483 WVT786481:WVU786483 L852017:M852019 JH852017:JI852019 TD852017:TE852019 ACZ852017:ADA852019 AMV852017:AMW852019 AWR852017:AWS852019 BGN852017:BGO852019 BQJ852017:BQK852019 CAF852017:CAG852019 CKB852017:CKC852019 CTX852017:CTY852019 DDT852017:DDU852019 DNP852017:DNQ852019 DXL852017:DXM852019 EHH852017:EHI852019 ERD852017:ERE852019 FAZ852017:FBA852019 FKV852017:FKW852019 FUR852017:FUS852019 GEN852017:GEO852019 GOJ852017:GOK852019 GYF852017:GYG852019 HIB852017:HIC852019 HRX852017:HRY852019 IBT852017:IBU852019 ILP852017:ILQ852019 IVL852017:IVM852019 JFH852017:JFI852019 JPD852017:JPE852019 JYZ852017:JZA852019 KIV852017:KIW852019 KSR852017:KSS852019 LCN852017:LCO852019 LMJ852017:LMK852019 LWF852017:LWG852019 MGB852017:MGC852019 MPX852017:MPY852019 MZT852017:MZU852019 NJP852017:NJQ852019 NTL852017:NTM852019 ODH852017:ODI852019 OND852017:ONE852019 OWZ852017:OXA852019 PGV852017:PGW852019 PQR852017:PQS852019 QAN852017:QAO852019 QKJ852017:QKK852019 QUF852017:QUG852019 REB852017:REC852019 RNX852017:RNY852019 RXT852017:RXU852019 SHP852017:SHQ852019 SRL852017:SRM852019 TBH852017:TBI852019 TLD852017:TLE852019 TUZ852017:TVA852019 UEV852017:UEW852019 UOR852017:UOS852019 UYN852017:UYO852019 VIJ852017:VIK852019 VSF852017:VSG852019 WCB852017:WCC852019 WLX852017:WLY852019 WVT852017:WVU852019 L917553:M917555 JH917553:JI917555 TD917553:TE917555 ACZ917553:ADA917555 AMV917553:AMW917555 AWR917553:AWS917555 BGN917553:BGO917555 BQJ917553:BQK917555 CAF917553:CAG917555 CKB917553:CKC917555 CTX917553:CTY917555 DDT917553:DDU917555 DNP917553:DNQ917555 DXL917553:DXM917555 EHH917553:EHI917555 ERD917553:ERE917555 FAZ917553:FBA917555 FKV917553:FKW917555 FUR917553:FUS917555 GEN917553:GEO917555 GOJ917553:GOK917555 GYF917553:GYG917555 HIB917553:HIC917555 HRX917553:HRY917555 IBT917553:IBU917555 ILP917553:ILQ917555 IVL917553:IVM917555 JFH917553:JFI917555 JPD917553:JPE917555 JYZ917553:JZA917555 KIV917553:KIW917555 KSR917553:KSS917555 LCN917553:LCO917555 LMJ917553:LMK917555 LWF917553:LWG917555 MGB917553:MGC917555 MPX917553:MPY917555 MZT917553:MZU917555 NJP917553:NJQ917555 NTL917553:NTM917555 ODH917553:ODI917555 OND917553:ONE917555 OWZ917553:OXA917555 PGV917553:PGW917555 PQR917553:PQS917555 QAN917553:QAO917555 QKJ917553:QKK917555 QUF917553:QUG917555 REB917553:REC917555 RNX917553:RNY917555 RXT917553:RXU917555 SHP917553:SHQ917555 SRL917553:SRM917555 TBH917553:TBI917555 TLD917553:TLE917555 TUZ917553:TVA917555 UEV917553:UEW917555 UOR917553:UOS917555 UYN917553:UYO917555 VIJ917553:VIK917555 VSF917553:VSG917555 WCB917553:WCC917555 WLX917553:WLY917555 WVT917553:WVU917555 L983089:M983091 JH983089:JI983091 TD983089:TE983091 ACZ983089:ADA983091 AMV983089:AMW983091 AWR983089:AWS983091 BGN983089:BGO983091 BQJ983089:BQK983091 CAF983089:CAG983091 CKB983089:CKC983091 CTX983089:CTY983091 DDT983089:DDU983091 DNP983089:DNQ983091 DXL983089:DXM983091 EHH983089:EHI983091 ERD983089:ERE983091 FAZ983089:FBA983091 FKV983089:FKW983091 FUR983089:FUS983091 GEN983089:GEO983091 GOJ983089:GOK983091 GYF983089:GYG983091 HIB983089:HIC983091 HRX983089:HRY983091 IBT983089:IBU983091 ILP983089:ILQ983091 IVL983089:IVM983091 JFH983089:JFI983091 JPD983089:JPE983091 JYZ983089:JZA983091 KIV983089:KIW983091 KSR983089:KSS983091 LCN983089:LCO983091 LMJ983089:LMK983091 LWF983089:LWG983091 MGB983089:MGC983091 MPX983089:MPY983091 MZT983089:MZU983091 NJP983089:NJQ983091 NTL983089:NTM983091 ODH983089:ODI983091 OND983089:ONE983091 OWZ983089:OXA983091 PGV983089:PGW983091 PQR983089:PQS983091 QAN983089:QAO983091 QKJ983089:QKK983091 QUF983089:QUG983091 REB983089:REC983091 RNX983089:RNY983091 RXT983089:RXU983091 SHP983089:SHQ983091 SRL983089:SRM983091 TBH983089:TBI983091 TLD983089:TLE983091 TUZ983089:TVA983091 UEV983089:UEW983091 UOR983089:UOS983091 UYN983089:UYO983091 VIJ983089:VIK983091 VSF983089:VSG983091 WCB983089:WCC983091 WLX983089:WLY983091 WVT983089:WVU983091 F66:G68 JB66:JC68 SX66:SY68 ACT66:ACU68 AMP66:AMQ68 AWL66:AWM68 BGH66:BGI68 BQD66:BQE68 BZZ66:CAA68 CJV66:CJW68 CTR66:CTS68 DDN66:DDO68 DNJ66:DNK68 DXF66:DXG68 EHB66:EHC68 EQX66:EQY68 FAT66:FAU68 FKP66:FKQ68 FUL66:FUM68 GEH66:GEI68 GOD66:GOE68 GXZ66:GYA68 HHV66:HHW68 HRR66:HRS68 IBN66:IBO68 ILJ66:ILK68 IVF66:IVG68 JFB66:JFC68 JOX66:JOY68 JYT66:JYU68 KIP66:KIQ68 KSL66:KSM68 LCH66:LCI68 LMD66:LME68 LVZ66:LWA68 MFV66:MFW68 MPR66:MPS68 MZN66:MZO68 NJJ66:NJK68 NTF66:NTG68 ODB66:ODC68 OMX66:OMY68 OWT66:OWU68 PGP66:PGQ68 PQL66:PQM68 QAH66:QAI68 QKD66:QKE68 QTZ66:QUA68 RDV66:RDW68 RNR66:RNS68 RXN66:RXO68 SHJ66:SHK68 SRF66:SRG68 TBB66:TBC68 TKX66:TKY68 TUT66:TUU68 UEP66:UEQ68 UOL66:UOM68 UYH66:UYI68 VID66:VIE68 VRZ66:VSA68 WBV66:WBW68 WLR66:WLS68 WVN66:WVO68 F65602:G65604 JB65602:JC65604 SX65602:SY65604 ACT65602:ACU65604 AMP65602:AMQ65604 AWL65602:AWM65604 BGH65602:BGI65604 BQD65602:BQE65604 BZZ65602:CAA65604 CJV65602:CJW65604 CTR65602:CTS65604 DDN65602:DDO65604 DNJ65602:DNK65604 DXF65602:DXG65604 EHB65602:EHC65604 EQX65602:EQY65604 FAT65602:FAU65604 FKP65602:FKQ65604 FUL65602:FUM65604 GEH65602:GEI65604 GOD65602:GOE65604 GXZ65602:GYA65604 HHV65602:HHW65604 HRR65602:HRS65604 IBN65602:IBO65604 ILJ65602:ILK65604 IVF65602:IVG65604 JFB65602:JFC65604 JOX65602:JOY65604 JYT65602:JYU65604 KIP65602:KIQ65604 KSL65602:KSM65604 LCH65602:LCI65604 LMD65602:LME65604 LVZ65602:LWA65604 MFV65602:MFW65604 MPR65602:MPS65604 MZN65602:MZO65604 NJJ65602:NJK65604 NTF65602:NTG65604 ODB65602:ODC65604 OMX65602:OMY65604 OWT65602:OWU65604 PGP65602:PGQ65604 PQL65602:PQM65604 QAH65602:QAI65604 QKD65602:QKE65604 QTZ65602:QUA65604 RDV65602:RDW65604 RNR65602:RNS65604 RXN65602:RXO65604 SHJ65602:SHK65604 SRF65602:SRG65604 TBB65602:TBC65604 TKX65602:TKY65604 TUT65602:TUU65604 UEP65602:UEQ65604 UOL65602:UOM65604 UYH65602:UYI65604 VID65602:VIE65604 VRZ65602:VSA65604 WBV65602:WBW65604 WLR65602:WLS65604 WVN65602:WVO65604 F131138:G131140 JB131138:JC131140 SX131138:SY131140 ACT131138:ACU131140 AMP131138:AMQ131140 AWL131138:AWM131140 BGH131138:BGI131140 BQD131138:BQE131140 BZZ131138:CAA131140 CJV131138:CJW131140 CTR131138:CTS131140 DDN131138:DDO131140 DNJ131138:DNK131140 DXF131138:DXG131140 EHB131138:EHC131140 EQX131138:EQY131140 FAT131138:FAU131140 FKP131138:FKQ131140 FUL131138:FUM131140 GEH131138:GEI131140 GOD131138:GOE131140 GXZ131138:GYA131140 HHV131138:HHW131140 HRR131138:HRS131140 IBN131138:IBO131140 ILJ131138:ILK131140 IVF131138:IVG131140 JFB131138:JFC131140 JOX131138:JOY131140 JYT131138:JYU131140 KIP131138:KIQ131140 KSL131138:KSM131140 LCH131138:LCI131140 LMD131138:LME131140 LVZ131138:LWA131140 MFV131138:MFW131140 MPR131138:MPS131140 MZN131138:MZO131140 NJJ131138:NJK131140 NTF131138:NTG131140 ODB131138:ODC131140 OMX131138:OMY131140 OWT131138:OWU131140 PGP131138:PGQ131140 PQL131138:PQM131140 QAH131138:QAI131140 QKD131138:QKE131140 QTZ131138:QUA131140 RDV131138:RDW131140 RNR131138:RNS131140 RXN131138:RXO131140 SHJ131138:SHK131140 SRF131138:SRG131140 TBB131138:TBC131140 TKX131138:TKY131140 TUT131138:TUU131140 UEP131138:UEQ131140 UOL131138:UOM131140 UYH131138:UYI131140 VID131138:VIE131140 VRZ131138:VSA131140 WBV131138:WBW131140 WLR131138:WLS131140 WVN131138:WVO131140 F196674:G196676 JB196674:JC196676 SX196674:SY196676 ACT196674:ACU196676 AMP196674:AMQ196676 AWL196674:AWM196676 BGH196674:BGI196676 BQD196674:BQE196676 BZZ196674:CAA196676 CJV196674:CJW196676 CTR196674:CTS196676 DDN196674:DDO196676 DNJ196674:DNK196676 DXF196674:DXG196676 EHB196674:EHC196676 EQX196674:EQY196676 FAT196674:FAU196676 FKP196674:FKQ196676 FUL196674:FUM196676 GEH196674:GEI196676 GOD196674:GOE196676 GXZ196674:GYA196676 HHV196674:HHW196676 HRR196674:HRS196676 IBN196674:IBO196676 ILJ196674:ILK196676 IVF196674:IVG196676 JFB196674:JFC196676 JOX196674:JOY196676 JYT196674:JYU196676 KIP196674:KIQ196676 KSL196674:KSM196676 LCH196674:LCI196676 LMD196674:LME196676 LVZ196674:LWA196676 MFV196674:MFW196676 MPR196674:MPS196676 MZN196674:MZO196676 NJJ196674:NJK196676 NTF196674:NTG196676 ODB196674:ODC196676 OMX196674:OMY196676 OWT196674:OWU196676 PGP196674:PGQ196676 PQL196674:PQM196676 QAH196674:QAI196676 QKD196674:QKE196676 QTZ196674:QUA196676 RDV196674:RDW196676 RNR196674:RNS196676 RXN196674:RXO196676 SHJ196674:SHK196676 SRF196674:SRG196676 TBB196674:TBC196676 TKX196674:TKY196676 TUT196674:TUU196676 UEP196674:UEQ196676 UOL196674:UOM196676 UYH196674:UYI196676 VID196674:VIE196676 VRZ196674:VSA196676 WBV196674:WBW196676 WLR196674:WLS196676 WVN196674:WVO196676 F262210:G262212 JB262210:JC262212 SX262210:SY262212 ACT262210:ACU262212 AMP262210:AMQ262212 AWL262210:AWM262212 BGH262210:BGI262212 BQD262210:BQE262212 BZZ262210:CAA262212 CJV262210:CJW262212 CTR262210:CTS262212 DDN262210:DDO262212 DNJ262210:DNK262212 DXF262210:DXG262212 EHB262210:EHC262212 EQX262210:EQY262212 FAT262210:FAU262212 FKP262210:FKQ262212 FUL262210:FUM262212 GEH262210:GEI262212 GOD262210:GOE262212 GXZ262210:GYA262212 HHV262210:HHW262212 HRR262210:HRS262212 IBN262210:IBO262212 ILJ262210:ILK262212 IVF262210:IVG262212 JFB262210:JFC262212 JOX262210:JOY262212 JYT262210:JYU262212 KIP262210:KIQ262212 KSL262210:KSM262212 LCH262210:LCI262212 LMD262210:LME262212 LVZ262210:LWA262212 MFV262210:MFW262212 MPR262210:MPS262212 MZN262210:MZO262212 NJJ262210:NJK262212 NTF262210:NTG262212 ODB262210:ODC262212 OMX262210:OMY262212 OWT262210:OWU262212 PGP262210:PGQ262212 PQL262210:PQM262212 QAH262210:QAI262212 QKD262210:QKE262212 QTZ262210:QUA262212 RDV262210:RDW262212 RNR262210:RNS262212 RXN262210:RXO262212 SHJ262210:SHK262212 SRF262210:SRG262212 TBB262210:TBC262212 TKX262210:TKY262212 TUT262210:TUU262212 UEP262210:UEQ262212 UOL262210:UOM262212 UYH262210:UYI262212 VID262210:VIE262212 VRZ262210:VSA262212 WBV262210:WBW262212 WLR262210:WLS262212 WVN262210:WVO262212 F327746:G327748 JB327746:JC327748 SX327746:SY327748 ACT327746:ACU327748 AMP327746:AMQ327748 AWL327746:AWM327748 BGH327746:BGI327748 BQD327746:BQE327748 BZZ327746:CAA327748 CJV327746:CJW327748 CTR327746:CTS327748 DDN327746:DDO327748 DNJ327746:DNK327748 DXF327746:DXG327748 EHB327746:EHC327748 EQX327746:EQY327748 FAT327746:FAU327748 FKP327746:FKQ327748 FUL327746:FUM327748 GEH327746:GEI327748 GOD327746:GOE327748 GXZ327746:GYA327748 HHV327746:HHW327748 HRR327746:HRS327748 IBN327746:IBO327748 ILJ327746:ILK327748 IVF327746:IVG327748 JFB327746:JFC327748 JOX327746:JOY327748 JYT327746:JYU327748 KIP327746:KIQ327748 KSL327746:KSM327748 LCH327746:LCI327748 LMD327746:LME327748 LVZ327746:LWA327748 MFV327746:MFW327748 MPR327746:MPS327748 MZN327746:MZO327748 NJJ327746:NJK327748 NTF327746:NTG327748 ODB327746:ODC327748 OMX327746:OMY327748 OWT327746:OWU327748 PGP327746:PGQ327748 PQL327746:PQM327748 QAH327746:QAI327748 QKD327746:QKE327748 QTZ327746:QUA327748 RDV327746:RDW327748 RNR327746:RNS327748 RXN327746:RXO327748 SHJ327746:SHK327748 SRF327746:SRG327748 TBB327746:TBC327748 TKX327746:TKY327748 TUT327746:TUU327748 UEP327746:UEQ327748 UOL327746:UOM327748 UYH327746:UYI327748 VID327746:VIE327748 VRZ327746:VSA327748 WBV327746:WBW327748 WLR327746:WLS327748 WVN327746:WVO327748 F393282:G393284 JB393282:JC393284 SX393282:SY393284 ACT393282:ACU393284 AMP393282:AMQ393284 AWL393282:AWM393284 BGH393282:BGI393284 BQD393282:BQE393284 BZZ393282:CAA393284 CJV393282:CJW393284 CTR393282:CTS393284 DDN393282:DDO393284 DNJ393282:DNK393284 DXF393282:DXG393284 EHB393282:EHC393284 EQX393282:EQY393284 FAT393282:FAU393284 FKP393282:FKQ393284 FUL393282:FUM393284 GEH393282:GEI393284 GOD393282:GOE393284 GXZ393282:GYA393284 HHV393282:HHW393284 HRR393282:HRS393284 IBN393282:IBO393284 ILJ393282:ILK393284 IVF393282:IVG393284 JFB393282:JFC393284 JOX393282:JOY393284 JYT393282:JYU393284 KIP393282:KIQ393284 KSL393282:KSM393284 LCH393282:LCI393284 LMD393282:LME393284 LVZ393282:LWA393284 MFV393282:MFW393284 MPR393282:MPS393284 MZN393282:MZO393284 NJJ393282:NJK393284 NTF393282:NTG393284 ODB393282:ODC393284 OMX393282:OMY393284 OWT393282:OWU393284 PGP393282:PGQ393284 PQL393282:PQM393284 QAH393282:QAI393284 QKD393282:QKE393284 QTZ393282:QUA393284 RDV393282:RDW393284 RNR393282:RNS393284 RXN393282:RXO393284 SHJ393282:SHK393284 SRF393282:SRG393284 TBB393282:TBC393284 TKX393282:TKY393284 TUT393282:TUU393284 UEP393282:UEQ393284 UOL393282:UOM393284 UYH393282:UYI393284 VID393282:VIE393284 VRZ393282:VSA393284 WBV393282:WBW393284 WLR393282:WLS393284 WVN393282:WVO393284 F458818:G458820 JB458818:JC458820 SX458818:SY458820 ACT458818:ACU458820 AMP458818:AMQ458820 AWL458818:AWM458820 BGH458818:BGI458820 BQD458818:BQE458820 BZZ458818:CAA458820 CJV458818:CJW458820 CTR458818:CTS458820 DDN458818:DDO458820 DNJ458818:DNK458820 DXF458818:DXG458820 EHB458818:EHC458820 EQX458818:EQY458820 FAT458818:FAU458820 FKP458818:FKQ458820 FUL458818:FUM458820 GEH458818:GEI458820 GOD458818:GOE458820 GXZ458818:GYA458820 HHV458818:HHW458820 HRR458818:HRS458820 IBN458818:IBO458820 ILJ458818:ILK458820 IVF458818:IVG458820 JFB458818:JFC458820 JOX458818:JOY458820 JYT458818:JYU458820 KIP458818:KIQ458820 KSL458818:KSM458820 LCH458818:LCI458820 LMD458818:LME458820 LVZ458818:LWA458820 MFV458818:MFW458820 MPR458818:MPS458820 MZN458818:MZO458820 NJJ458818:NJK458820 NTF458818:NTG458820 ODB458818:ODC458820 OMX458818:OMY458820 OWT458818:OWU458820 PGP458818:PGQ458820 PQL458818:PQM458820 QAH458818:QAI458820 QKD458818:QKE458820 QTZ458818:QUA458820 RDV458818:RDW458820 RNR458818:RNS458820 RXN458818:RXO458820 SHJ458818:SHK458820 SRF458818:SRG458820 TBB458818:TBC458820 TKX458818:TKY458820 TUT458818:TUU458820 UEP458818:UEQ458820 UOL458818:UOM458820 UYH458818:UYI458820 VID458818:VIE458820 VRZ458818:VSA458820 WBV458818:WBW458820 WLR458818:WLS458820 WVN458818:WVO458820 F524354:G524356 JB524354:JC524356 SX524354:SY524356 ACT524354:ACU524356 AMP524354:AMQ524356 AWL524354:AWM524356 BGH524354:BGI524356 BQD524354:BQE524356 BZZ524354:CAA524356 CJV524354:CJW524356 CTR524354:CTS524356 DDN524354:DDO524356 DNJ524354:DNK524356 DXF524354:DXG524356 EHB524354:EHC524356 EQX524354:EQY524356 FAT524354:FAU524356 FKP524354:FKQ524356 FUL524354:FUM524356 GEH524354:GEI524356 GOD524354:GOE524356 GXZ524354:GYA524356 HHV524354:HHW524356 HRR524354:HRS524356 IBN524354:IBO524356 ILJ524354:ILK524356 IVF524354:IVG524356 JFB524354:JFC524356 JOX524354:JOY524356 JYT524354:JYU524356 KIP524354:KIQ524356 KSL524354:KSM524356 LCH524354:LCI524356 LMD524354:LME524356 LVZ524354:LWA524356 MFV524354:MFW524356 MPR524354:MPS524356 MZN524354:MZO524356 NJJ524354:NJK524356 NTF524354:NTG524356 ODB524354:ODC524356 OMX524354:OMY524356 OWT524354:OWU524356 PGP524354:PGQ524356 PQL524354:PQM524356 QAH524354:QAI524356 QKD524354:QKE524356 QTZ524354:QUA524356 RDV524354:RDW524356 RNR524354:RNS524356 RXN524354:RXO524356 SHJ524354:SHK524356 SRF524354:SRG524356 TBB524354:TBC524356 TKX524354:TKY524356 TUT524354:TUU524356 UEP524354:UEQ524356 UOL524354:UOM524356 UYH524354:UYI524356 VID524354:VIE524356 VRZ524354:VSA524356 WBV524354:WBW524356 WLR524354:WLS524356 WVN524354:WVO524356 F589890:G589892 JB589890:JC589892 SX589890:SY589892 ACT589890:ACU589892 AMP589890:AMQ589892 AWL589890:AWM589892 BGH589890:BGI589892 BQD589890:BQE589892 BZZ589890:CAA589892 CJV589890:CJW589892 CTR589890:CTS589892 DDN589890:DDO589892 DNJ589890:DNK589892 DXF589890:DXG589892 EHB589890:EHC589892 EQX589890:EQY589892 FAT589890:FAU589892 FKP589890:FKQ589892 FUL589890:FUM589892 GEH589890:GEI589892 GOD589890:GOE589892 GXZ589890:GYA589892 HHV589890:HHW589892 HRR589890:HRS589892 IBN589890:IBO589892 ILJ589890:ILK589892 IVF589890:IVG589892 JFB589890:JFC589892 JOX589890:JOY589892 JYT589890:JYU589892 KIP589890:KIQ589892 KSL589890:KSM589892 LCH589890:LCI589892 LMD589890:LME589892 LVZ589890:LWA589892 MFV589890:MFW589892 MPR589890:MPS589892 MZN589890:MZO589892 NJJ589890:NJK589892 NTF589890:NTG589892 ODB589890:ODC589892 OMX589890:OMY589892 OWT589890:OWU589892 PGP589890:PGQ589892 PQL589890:PQM589892 QAH589890:QAI589892 QKD589890:QKE589892 QTZ589890:QUA589892 RDV589890:RDW589892 RNR589890:RNS589892 RXN589890:RXO589892 SHJ589890:SHK589892 SRF589890:SRG589892 TBB589890:TBC589892 TKX589890:TKY589892 TUT589890:TUU589892 UEP589890:UEQ589892 UOL589890:UOM589892 UYH589890:UYI589892 VID589890:VIE589892 VRZ589890:VSA589892 WBV589890:WBW589892 WLR589890:WLS589892 WVN589890:WVO589892 F655426:G655428 JB655426:JC655428 SX655426:SY655428 ACT655426:ACU655428 AMP655426:AMQ655428 AWL655426:AWM655428 BGH655426:BGI655428 BQD655426:BQE655428 BZZ655426:CAA655428 CJV655426:CJW655428 CTR655426:CTS655428 DDN655426:DDO655428 DNJ655426:DNK655428 DXF655426:DXG655428 EHB655426:EHC655428 EQX655426:EQY655428 FAT655426:FAU655428 FKP655426:FKQ655428 FUL655426:FUM655428 GEH655426:GEI655428 GOD655426:GOE655428 GXZ655426:GYA655428 HHV655426:HHW655428 HRR655426:HRS655428 IBN655426:IBO655428 ILJ655426:ILK655428 IVF655426:IVG655428 JFB655426:JFC655428 JOX655426:JOY655428 JYT655426:JYU655428 KIP655426:KIQ655428 KSL655426:KSM655428 LCH655426:LCI655428 LMD655426:LME655428 LVZ655426:LWA655428 MFV655426:MFW655428 MPR655426:MPS655428 MZN655426:MZO655428 NJJ655426:NJK655428 NTF655426:NTG655428 ODB655426:ODC655428 OMX655426:OMY655428 OWT655426:OWU655428 PGP655426:PGQ655428 PQL655426:PQM655428 QAH655426:QAI655428 QKD655426:QKE655428 QTZ655426:QUA655428 RDV655426:RDW655428 RNR655426:RNS655428 RXN655426:RXO655428 SHJ655426:SHK655428 SRF655426:SRG655428 TBB655426:TBC655428 TKX655426:TKY655428 TUT655426:TUU655428 UEP655426:UEQ655428 UOL655426:UOM655428 UYH655426:UYI655428 VID655426:VIE655428 VRZ655426:VSA655428 WBV655426:WBW655428 WLR655426:WLS655428 WVN655426:WVO655428 F720962:G720964 JB720962:JC720964 SX720962:SY720964 ACT720962:ACU720964 AMP720962:AMQ720964 AWL720962:AWM720964 BGH720962:BGI720964 BQD720962:BQE720964 BZZ720962:CAA720964 CJV720962:CJW720964 CTR720962:CTS720964 DDN720962:DDO720964 DNJ720962:DNK720964 DXF720962:DXG720964 EHB720962:EHC720964 EQX720962:EQY720964 FAT720962:FAU720964 FKP720962:FKQ720964 FUL720962:FUM720964 GEH720962:GEI720964 GOD720962:GOE720964 GXZ720962:GYA720964 HHV720962:HHW720964 HRR720962:HRS720964 IBN720962:IBO720964 ILJ720962:ILK720964 IVF720962:IVG720964 JFB720962:JFC720964 JOX720962:JOY720964 JYT720962:JYU720964 KIP720962:KIQ720964 KSL720962:KSM720964 LCH720962:LCI720964 LMD720962:LME720964 LVZ720962:LWA720964 MFV720962:MFW720964 MPR720962:MPS720964 MZN720962:MZO720964 NJJ720962:NJK720964 NTF720962:NTG720964 ODB720962:ODC720964 OMX720962:OMY720964 OWT720962:OWU720964 PGP720962:PGQ720964 PQL720962:PQM720964 QAH720962:QAI720964 QKD720962:QKE720964 QTZ720962:QUA720964 RDV720962:RDW720964 RNR720962:RNS720964 RXN720962:RXO720964 SHJ720962:SHK720964 SRF720962:SRG720964 TBB720962:TBC720964 TKX720962:TKY720964 TUT720962:TUU720964 UEP720962:UEQ720964 UOL720962:UOM720964 UYH720962:UYI720964 VID720962:VIE720964 VRZ720962:VSA720964 WBV720962:WBW720964 WLR720962:WLS720964 WVN720962:WVO720964 F786498:G786500 JB786498:JC786500 SX786498:SY786500 ACT786498:ACU786500 AMP786498:AMQ786500 AWL786498:AWM786500 BGH786498:BGI786500 BQD786498:BQE786500 BZZ786498:CAA786500 CJV786498:CJW786500 CTR786498:CTS786500 DDN786498:DDO786500 DNJ786498:DNK786500 DXF786498:DXG786500 EHB786498:EHC786500 EQX786498:EQY786500 FAT786498:FAU786500 FKP786498:FKQ786500 FUL786498:FUM786500 GEH786498:GEI786500 GOD786498:GOE786500 GXZ786498:GYA786500 HHV786498:HHW786500 HRR786498:HRS786500 IBN786498:IBO786500 ILJ786498:ILK786500 IVF786498:IVG786500 JFB786498:JFC786500 JOX786498:JOY786500 JYT786498:JYU786500 KIP786498:KIQ786500 KSL786498:KSM786500 LCH786498:LCI786500 LMD786498:LME786500 LVZ786498:LWA786500 MFV786498:MFW786500 MPR786498:MPS786500 MZN786498:MZO786500 NJJ786498:NJK786500 NTF786498:NTG786500 ODB786498:ODC786500 OMX786498:OMY786500 OWT786498:OWU786500 PGP786498:PGQ786500 PQL786498:PQM786500 QAH786498:QAI786500 QKD786498:QKE786500 QTZ786498:QUA786500 RDV786498:RDW786500 RNR786498:RNS786500 RXN786498:RXO786500 SHJ786498:SHK786500 SRF786498:SRG786500 TBB786498:TBC786500 TKX786498:TKY786500 TUT786498:TUU786500 UEP786498:UEQ786500 UOL786498:UOM786500 UYH786498:UYI786500 VID786498:VIE786500 VRZ786498:VSA786500 WBV786498:WBW786500 WLR786498:WLS786500 WVN786498:WVO786500 F852034:G852036 JB852034:JC852036 SX852034:SY852036 ACT852034:ACU852036 AMP852034:AMQ852036 AWL852034:AWM852036 BGH852034:BGI852036 BQD852034:BQE852036 BZZ852034:CAA852036 CJV852034:CJW852036 CTR852034:CTS852036 DDN852034:DDO852036 DNJ852034:DNK852036 DXF852034:DXG852036 EHB852034:EHC852036 EQX852034:EQY852036 FAT852034:FAU852036 FKP852034:FKQ852036 FUL852034:FUM852036 GEH852034:GEI852036 GOD852034:GOE852036 GXZ852034:GYA852036 HHV852034:HHW852036 HRR852034:HRS852036 IBN852034:IBO852036 ILJ852034:ILK852036 IVF852034:IVG852036 JFB852034:JFC852036 JOX852034:JOY852036 JYT852034:JYU852036 KIP852034:KIQ852036 KSL852034:KSM852036 LCH852034:LCI852036 LMD852034:LME852036 LVZ852034:LWA852036 MFV852034:MFW852036 MPR852034:MPS852036 MZN852034:MZO852036 NJJ852034:NJK852036 NTF852034:NTG852036 ODB852034:ODC852036 OMX852034:OMY852036 OWT852034:OWU852036 PGP852034:PGQ852036 PQL852034:PQM852036 QAH852034:QAI852036 QKD852034:QKE852036 QTZ852034:QUA852036 RDV852034:RDW852036 RNR852034:RNS852036 RXN852034:RXO852036 SHJ852034:SHK852036 SRF852034:SRG852036 TBB852034:TBC852036 TKX852034:TKY852036 TUT852034:TUU852036 UEP852034:UEQ852036 UOL852034:UOM852036 UYH852034:UYI852036 VID852034:VIE852036 VRZ852034:VSA852036 WBV852034:WBW852036 WLR852034:WLS852036 WVN852034:WVO852036 F917570:G917572 JB917570:JC917572 SX917570:SY917572 ACT917570:ACU917572 AMP917570:AMQ917572 AWL917570:AWM917572 BGH917570:BGI917572 BQD917570:BQE917572 BZZ917570:CAA917572 CJV917570:CJW917572 CTR917570:CTS917572 DDN917570:DDO917572 DNJ917570:DNK917572 DXF917570:DXG917572 EHB917570:EHC917572 EQX917570:EQY917572 FAT917570:FAU917572 FKP917570:FKQ917572 FUL917570:FUM917572 GEH917570:GEI917572 GOD917570:GOE917572 GXZ917570:GYA917572 HHV917570:HHW917572 HRR917570:HRS917572 IBN917570:IBO917572 ILJ917570:ILK917572 IVF917570:IVG917572 JFB917570:JFC917572 JOX917570:JOY917572 JYT917570:JYU917572 KIP917570:KIQ917572 KSL917570:KSM917572 LCH917570:LCI917572 LMD917570:LME917572 LVZ917570:LWA917572 MFV917570:MFW917572 MPR917570:MPS917572 MZN917570:MZO917572 NJJ917570:NJK917572 NTF917570:NTG917572 ODB917570:ODC917572 OMX917570:OMY917572 OWT917570:OWU917572 PGP917570:PGQ917572 PQL917570:PQM917572 QAH917570:QAI917572 QKD917570:QKE917572 QTZ917570:QUA917572 RDV917570:RDW917572 RNR917570:RNS917572 RXN917570:RXO917572 SHJ917570:SHK917572 SRF917570:SRG917572 TBB917570:TBC917572 TKX917570:TKY917572 TUT917570:TUU917572 UEP917570:UEQ917572 UOL917570:UOM917572 UYH917570:UYI917572 VID917570:VIE917572 VRZ917570:VSA917572 WBV917570:WBW917572 WLR917570:WLS917572 WVN917570:WVO917572 F983106:G983108 JB983106:JC983108 SX983106:SY983108 ACT983106:ACU983108 AMP983106:AMQ983108 AWL983106:AWM983108 BGH983106:BGI983108 BQD983106:BQE983108 BZZ983106:CAA983108 CJV983106:CJW983108 CTR983106:CTS983108 DDN983106:DDO983108 DNJ983106:DNK983108 DXF983106:DXG983108 EHB983106:EHC983108 EQX983106:EQY983108 FAT983106:FAU983108 FKP983106:FKQ983108 FUL983106:FUM983108 GEH983106:GEI983108 GOD983106:GOE983108 GXZ983106:GYA983108 HHV983106:HHW983108 HRR983106:HRS983108 IBN983106:IBO983108 ILJ983106:ILK983108 IVF983106:IVG983108 JFB983106:JFC983108 JOX983106:JOY983108 JYT983106:JYU983108 KIP983106:KIQ983108 KSL983106:KSM983108 LCH983106:LCI983108 LMD983106:LME983108 LVZ983106:LWA983108 MFV983106:MFW983108 MPR983106:MPS983108 MZN983106:MZO983108 NJJ983106:NJK983108 NTF983106:NTG983108 ODB983106:ODC983108 OMX983106:OMY983108 OWT983106:OWU983108 PGP983106:PGQ983108 PQL983106:PQM983108 QAH983106:QAI983108 QKD983106:QKE983108 QTZ983106:QUA983108 RDV983106:RDW983108 RNR983106:RNS983108 RXN983106:RXO983108 SHJ983106:SHK983108 SRF983106:SRG983108 TBB983106:TBC983108 TKX983106:TKY983108 TUT983106:TUU983108 UEP983106:UEQ983108 UOL983106:UOM983108 UYH983106:UYI983108 VID983106:VIE983108 VRZ983106:VSA983108 WBV983106:WBW983108 WLR983106:WLS983108 WVN983106:WVO983108 E71:F71 JA71:JB71 SW71:SX71 ACS71:ACT71 AMO71:AMP71 AWK71:AWL71 BGG71:BGH71 BQC71:BQD71 BZY71:BZZ71 CJU71:CJV71 CTQ71:CTR71 DDM71:DDN71 DNI71:DNJ71 DXE71:DXF71 EHA71:EHB71 EQW71:EQX71 FAS71:FAT71 FKO71:FKP71 FUK71:FUL71 GEG71:GEH71 GOC71:GOD71 GXY71:GXZ71 HHU71:HHV71 HRQ71:HRR71 IBM71:IBN71 ILI71:ILJ71 IVE71:IVF71 JFA71:JFB71 JOW71:JOX71 JYS71:JYT71 KIO71:KIP71 KSK71:KSL71 LCG71:LCH71 LMC71:LMD71 LVY71:LVZ71 MFU71:MFV71 MPQ71:MPR71 MZM71:MZN71 NJI71:NJJ71 NTE71:NTF71 ODA71:ODB71 OMW71:OMX71 OWS71:OWT71 PGO71:PGP71 PQK71:PQL71 QAG71:QAH71 QKC71:QKD71 QTY71:QTZ71 RDU71:RDV71 RNQ71:RNR71 RXM71:RXN71 SHI71:SHJ71 SRE71:SRF71 TBA71:TBB71 TKW71:TKX71 TUS71:TUT71 UEO71:UEP71 UOK71:UOL71 UYG71:UYH71 VIC71:VID71 VRY71:VRZ71 WBU71:WBV71 WLQ71:WLR71 WVM71:WVN71 E65607:F65607 JA65607:JB65607 SW65607:SX65607 ACS65607:ACT65607 AMO65607:AMP65607 AWK65607:AWL65607 BGG65607:BGH65607 BQC65607:BQD65607 BZY65607:BZZ65607 CJU65607:CJV65607 CTQ65607:CTR65607 DDM65607:DDN65607 DNI65607:DNJ65607 DXE65607:DXF65607 EHA65607:EHB65607 EQW65607:EQX65607 FAS65607:FAT65607 FKO65607:FKP65607 FUK65607:FUL65607 GEG65607:GEH65607 GOC65607:GOD65607 GXY65607:GXZ65607 HHU65607:HHV65607 HRQ65607:HRR65607 IBM65607:IBN65607 ILI65607:ILJ65607 IVE65607:IVF65607 JFA65607:JFB65607 JOW65607:JOX65607 JYS65607:JYT65607 KIO65607:KIP65607 KSK65607:KSL65607 LCG65607:LCH65607 LMC65607:LMD65607 LVY65607:LVZ65607 MFU65607:MFV65607 MPQ65607:MPR65607 MZM65607:MZN65607 NJI65607:NJJ65607 NTE65607:NTF65607 ODA65607:ODB65607 OMW65607:OMX65607 OWS65607:OWT65607 PGO65607:PGP65607 PQK65607:PQL65607 QAG65607:QAH65607 QKC65607:QKD65607 QTY65607:QTZ65607 RDU65607:RDV65607 RNQ65607:RNR65607 RXM65607:RXN65607 SHI65607:SHJ65607 SRE65607:SRF65607 TBA65607:TBB65607 TKW65607:TKX65607 TUS65607:TUT65607 UEO65607:UEP65607 UOK65607:UOL65607 UYG65607:UYH65607 VIC65607:VID65607 VRY65607:VRZ65607 WBU65607:WBV65607 WLQ65607:WLR65607 WVM65607:WVN65607 E131143:F131143 JA131143:JB131143 SW131143:SX131143 ACS131143:ACT131143 AMO131143:AMP131143 AWK131143:AWL131143 BGG131143:BGH131143 BQC131143:BQD131143 BZY131143:BZZ131143 CJU131143:CJV131143 CTQ131143:CTR131143 DDM131143:DDN131143 DNI131143:DNJ131143 DXE131143:DXF131143 EHA131143:EHB131143 EQW131143:EQX131143 FAS131143:FAT131143 FKO131143:FKP131143 FUK131143:FUL131143 GEG131143:GEH131143 GOC131143:GOD131143 GXY131143:GXZ131143 HHU131143:HHV131143 HRQ131143:HRR131143 IBM131143:IBN131143 ILI131143:ILJ131143 IVE131143:IVF131143 JFA131143:JFB131143 JOW131143:JOX131143 JYS131143:JYT131143 KIO131143:KIP131143 KSK131143:KSL131143 LCG131143:LCH131143 LMC131143:LMD131143 LVY131143:LVZ131143 MFU131143:MFV131143 MPQ131143:MPR131143 MZM131143:MZN131143 NJI131143:NJJ131143 NTE131143:NTF131143 ODA131143:ODB131143 OMW131143:OMX131143 OWS131143:OWT131143 PGO131143:PGP131143 PQK131143:PQL131143 QAG131143:QAH131143 QKC131143:QKD131143 QTY131143:QTZ131143 RDU131143:RDV131143 RNQ131143:RNR131143 RXM131143:RXN131143 SHI131143:SHJ131143 SRE131143:SRF131143 TBA131143:TBB131143 TKW131143:TKX131143 TUS131143:TUT131143 UEO131143:UEP131143 UOK131143:UOL131143 UYG131143:UYH131143 VIC131143:VID131143 VRY131143:VRZ131143 WBU131143:WBV131143 WLQ131143:WLR131143 WVM131143:WVN131143 E196679:F196679 JA196679:JB196679 SW196679:SX196679 ACS196679:ACT196679 AMO196679:AMP196679 AWK196679:AWL196679 BGG196679:BGH196679 BQC196679:BQD196679 BZY196679:BZZ196679 CJU196679:CJV196679 CTQ196679:CTR196679 DDM196679:DDN196679 DNI196679:DNJ196679 DXE196679:DXF196679 EHA196679:EHB196679 EQW196679:EQX196679 FAS196679:FAT196679 FKO196679:FKP196679 FUK196679:FUL196679 GEG196679:GEH196679 GOC196679:GOD196679 GXY196679:GXZ196679 HHU196679:HHV196679 HRQ196679:HRR196679 IBM196679:IBN196679 ILI196679:ILJ196679 IVE196679:IVF196679 JFA196679:JFB196679 JOW196679:JOX196679 JYS196679:JYT196679 KIO196679:KIP196679 KSK196679:KSL196679 LCG196679:LCH196679 LMC196679:LMD196679 LVY196679:LVZ196679 MFU196679:MFV196679 MPQ196679:MPR196679 MZM196679:MZN196679 NJI196679:NJJ196679 NTE196679:NTF196679 ODA196679:ODB196679 OMW196679:OMX196679 OWS196679:OWT196679 PGO196679:PGP196679 PQK196679:PQL196679 QAG196679:QAH196679 QKC196679:QKD196679 QTY196679:QTZ196679 RDU196679:RDV196679 RNQ196679:RNR196679 RXM196679:RXN196679 SHI196679:SHJ196679 SRE196679:SRF196679 TBA196679:TBB196679 TKW196679:TKX196679 TUS196679:TUT196679 UEO196679:UEP196679 UOK196679:UOL196679 UYG196679:UYH196679 VIC196679:VID196679 VRY196679:VRZ196679 WBU196679:WBV196679 WLQ196679:WLR196679 WVM196679:WVN196679 E262215:F262215 JA262215:JB262215 SW262215:SX262215 ACS262215:ACT262215 AMO262215:AMP262215 AWK262215:AWL262215 BGG262215:BGH262215 BQC262215:BQD262215 BZY262215:BZZ262215 CJU262215:CJV262215 CTQ262215:CTR262215 DDM262215:DDN262215 DNI262215:DNJ262215 DXE262215:DXF262215 EHA262215:EHB262215 EQW262215:EQX262215 FAS262215:FAT262215 FKO262215:FKP262215 FUK262215:FUL262215 GEG262215:GEH262215 GOC262215:GOD262215 GXY262215:GXZ262215 HHU262215:HHV262215 HRQ262215:HRR262215 IBM262215:IBN262215 ILI262215:ILJ262215 IVE262215:IVF262215 JFA262215:JFB262215 JOW262215:JOX262215 JYS262215:JYT262215 KIO262215:KIP262215 KSK262215:KSL262215 LCG262215:LCH262215 LMC262215:LMD262215 LVY262215:LVZ262215 MFU262215:MFV262215 MPQ262215:MPR262215 MZM262215:MZN262215 NJI262215:NJJ262215 NTE262215:NTF262215 ODA262215:ODB262215 OMW262215:OMX262215 OWS262215:OWT262215 PGO262215:PGP262215 PQK262215:PQL262215 QAG262215:QAH262215 QKC262215:QKD262215 QTY262215:QTZ262215 RDU262215:RDV262215 RNQ262215:RNR262215 RXM262215:RXN262215 SHI262215:SHJ262215 SRE262215:SRF262215 TBA262215:TBB262215 TKW262215:TKX262215 TUS262215:TUT262215 UEO262215:UEP262215 UOK262215:UOL262215 UYG262215:UYH262215 VIC262215:VID262215 VRY262215:VRZ262215 WBU262215:WBV262215 WLQ262215:WLR262215 WVM262215:WVN262215 E327751:F327751 JA327751:JB327751 SW327751:SX327751 ACS327751:ACT327751 AMO327751:AMP327751 AWK327751:AWL327751 BGG327751:BGH327751 BQC327751:BQD327751 BZY327751:BZZ327751 CJU327751:CJV327751 CTQ327751:CTR327751 DDM327751:DDN327751 DNI327751:DNJ327751 DXE327751:DXF327751 EHA327751:EHB327751 EQW327751:EQX327751 FAS327751:FAT327751 FKO327751:FKP327751 FUK327751:FUL327751 GEG327751:GEH327751 GOC327751:GOD327751 GXY327751:GXZ327751 HHU327751:HHV327751 HRQ327751:HRR327751 IBM327751:IBN327751 ILI327751:ILJ327751 IVE327751:IVF327751 JFA327751:JFB327751 JOW327751:JOX327751 JYS327751:JYT327751 KIO327751:KIP327751 KSK327751:KSL327751 LCG327751:LCH327751 LMC327751:LMD327751 LVY327751:LVZ327751 MFU327751:MFV327751 MPQ327751:MPR327751 MZM327751:MZN327751 NJI327751:NJJ327751 NTE327751:NTF327751 ODA327751:ODB327751 OMW327751:OMX327751 OWS327751:OWT327751 PGO327751:PGP327751 PQK327751:PQL327751 QAG327751:QAH327751 QKC327751:QKD327751 QTY327751:QTZ327751 RDU327751:RDV327751 RNQ327751:RNR327751 RXM327751:RXN327751 SHI327751:SHJ327751 SRE327751:SRF327751 TBA327751:TBB327751 TKW327751:TKX327751 TUS327751:TUT327751 UEO327751:UEP327751 UOK327751:UOL327751 UYG327751:UYH327751 VIC327751:VID327751 VRY327751:VRZ327751 WBU327751:WBV327751 WLQ327751:WLR327751 WVM327751:WVN327751 E393287:F393287 JA393287:JB393287 SW393287:SX393287 ACS393287:ACT393287 AMO393287:AMP393287 AWK393287:AWL393287 BGG393287:BGH393287 BQC393287:BQD393287 BZY393287:BZZ393287 CJU393287:CJV393287 CTQ393287:CTR393287 DDM393287:DDN393287 DNI393287:DNJ393287 DXE393287:DXF393287 EHA393287:EHB393287 EQW393287:EQX393287 FAS393287:FAT393287 FKO393287:FKP393287 FUK393287:FUL393287 GEG393287:GEH393287 GOC393287:GOD393287 GXY393287:GXZ393287 HHU393287:HHV393287 HRQ393287:HRR393287 IBM393287:IBN393287 ILI393287:ILJ393287 IVE393287:IVF393287 JFA393287:JFB393287 JOW393287:JOX393287 JYS393287:JYT393287 KIO393287:KIP393287 KSK393287:KSL393287 LCG393287:LCH393287 LMC393287:LMD393287 LVY393287:LVZ393287 MFU393287:MFV393287 MPQ393287:MPR393287 MZM393287:MZN393287 NJI393287:NJJ393287 NTE393287:NTF393287 ODA393287:ODB393287 OMW393287:OMX393287 OWS393287:OWT393287 PGO393287:PGP393287 PQK393287:PQL393287 QAG393287:QAH393287 QKC393287:QKD393287 QTY393287:QTZ393287 RDU393287:RDV393287 RNQ393287:RNR393287 RXM393287:RXN393287 SHI393287:SHJ393287 SRE393287:SRF393287 TBA393287:TBB393287 TKW393287:TKX393287 TUS393287:TUT393287 UEO393287:UEP393287 UOK393287:UOL393287 UYG393287:UYH393287 VIC393287:VID393287 VRY393287:VRZ393287 WBU393287:WBV393287 WLQ393287:WLR393287 WVM393287:WVN393287 E458823:F458823 JA458823:JB458823 SW458823:SX458823 ACS458823:ACT458823 AMO458823:AMP458823 AWK458823:AWL458823 BGG458823:BGH458823 BQC458823:BQD458823 BZY458823:BZZ458823 CJU458823:CJV458823 CTQ458823:CTR458823 DDM458823:DDN458823 DNI458823:DNJ458823 DXE458823:DXF458823 EHA458823:EHB458823 EQW458823:EQX458823 FAS458823:FAT458823 FKO458823:FKP458823 FUK458823:FUL458823 GEG458823:GEH458823 GOC458823:GOD458823 GXY458823:GXZ458823 HHU458823:HHV458823 HRQ458823:HRR458823 IBM458823:IBN458823 ILI458823:ILJ458823 IVE458823:IVF458823 JFA458823:JFB458823 JOW458823:JOX458823 JYS458823:JYT458823 KIO458823:KIP458823 KSK458823:KSL458823 LCG458823:LCH458823 LMC458823:LMD458823 LVY458823:LVZ458823 MFU458823:MFV458823 MPQ458823:MPR458823 MZM458823:MZN458823 NJI458823:NJJ458823 NTE458823:NTF458823 ODA458823:ODB458823 OMW458823:OMX458823 OWS458823:OWT458823 PGO458823:PGP458823 PQK458823:PQL458823 QAG458823:QAH458823 QKC458823:QKD458823 QTY458823:QTZ458823 RDU458823:RDV458823 RNQ458823:RNR458823 RXM458823:RXN458823 SHI458823:SHJ458823 SRE458823:SRF458823 TBA458823:TBB458823 TKW458823:TKX458823 TUS458823:TUT458823 UEO458823:UEP458823 UOK458823:UOL458823 UYG458823:UYH458823 VIC458823:VID458823 VRY458823:VRZ458823 WBU458823:WBV458823 WLQ458823:WLR458823 WVM458823:WVN458823 E524359:F524359 JA524359:JB524359 SW524359:SX524359 ACS524359:ACT524359 AMO524359:AMP524359 AWK524359:AWL524359 BGG524359:BGH524359 BQC524359:BQD524359 BZY524359:BZZ524359 CJU524359:CJV524359 CTQ524359:CTR524359 DDM524359:DDN524359 DNI524359:DNJ524359 DXE524359:DXF524359 EHA524359:EHB524359 EQW524359:EQX524359 FAS524359:FAT524359 FKO524359:FKP524359 FUK524359:FUL524359 GEG524359:GEH524359 GOC524359:GOD524359 GXY524359:GXZ524359 HHU524359:HHV524359 HRQ524359:HRR524359 IBM524359:IBN524359 ILI524359:ILJ524359 IVE524359:IVF524359 JFA524359:JFB524359 JOW524359:JOX524359 JYS524359:JYT524359 KIO524359:KIP524359 KSK524359:KSL524359 LCG524359:LCH524359 LMC524359:LMD524359 LVY524359:LVZ524359 MFU524359:MFV524359 MPQ524359:MPR524359 MZM524359:MZN524359 NJI524359:NJJ524359 NTE524359:NTF524359 ODA524359:ODB524359 OMW524359:OMX524359 OWS524359:OWT524359 PGO524359:PGP524359 PQK524359:PQL524359 QAG524359:QAH524359 QKC524359:QKD524359 QTY524359:QTZ524359 RDU524359:RDV524359 RNQ524359:RNR524359 RXM524359:RXN524359 SHI524359:SHJ524359 SRE524359:SRF524359 TBA524359:TBB524359 TKW524359:TKX524359 TUS524359:TUT524359 UEO524359:UEP524359 UOK524359:UOL524359 UYG524359:UYH524359 VIC524359:VID524359 VRY524359:VRZ524359 WBU524359:WBV524359 WLQ524359:WLR524359 WVM524359:WVN524359 E589895:F589895 JA589895:JB589895 SW589895:SX589895 ACS589895:ACT589895 AMO589895:AMP589895 AWK589895:AWL589895 BGG589895:BGH589895 BQC589895:BQD589895 BZY589895:BZZ589895 CJU589895:CJV589895 CTQ589895:CTR589895 DDM589895:DDN589895 DNI589895:DNJ589895 DXE589895:DXF589895 EHA589895:EHB589895 EQW589895:EQX589895 FAS589895:FAT589895 FKO589895:FKP589895 FUK589895:FUL589895 GEG589895:GEH589895 GOC589895:GOD589895 GXY589895:GXZ589895 HHU589895:HHV589895 HRQ589895:HRR589895 IBM589895:IBN589895 ILI589895:ILJ589895 IVE589895:IVF589895 JFA589895:JFB589895 JOW589895:JOX589895 JYS589895:JYT589895 KIO589895:KIP589895 KSK589895:KSL589895 LCG589895:LCH589895 LMC589895:LMD589895 LVY589895:LVZ589895 MFU589895:MFV589895 MPQ589895:MPR589895 MZM589895:MZN589895 NJI589895:NJJ589895 NTE589895:NTF589895 ODA589895:ODB589895 OMW589895:OMX589895 OWS589895:OWT589895 PGO589895:PGP589895 PQK589895:PQL589895 QAG589895:QAH589895 QKC589895:QKD589895 QTY589895:QTZ589895 RDU589895:RDV589895 RNQ589895:RNR589895 RXM589895:RXN589895 SHI589895:SHJ589895 SRE589895:SRF589895 TBA589895:TBB589895 TKW589895:TKX589895 TUS589895:TUT589895 UEO589895:UEP589895 UOK589895:UOL589895 UYG589895:UYH589895 VIC589895:VID589895 VRY589895:VRZ589895 WBU589895:WBV589895 WLQ589895:WLR589895 WVM589895:WVN589895 E655431:F655431 JA655431:JB655431 SW655431:SX655431 ACS655431:ACT655431 AMO655431:AMP655431 AWK655431:AWL655431 BGG655431:BGH655431 BQC655431:BQD655431 BZY655431:BZZ655431 CJU655431:CJV655431 CTQ655431:CTR655431 DDM655431:DDN655431 DNI655431:DNJ655431 DXE655431:DXF655431 EHA655431:EHB655431 EQW655431:EQX655431 FAS655431:FAT655431 FKO655431:FKP655431 FUK655431:FUL655431 GEG655431:GEH655431 GOC655431:GOD655431 GXY655431:GXZ655431 HHU655431:HHV655431 HRQ655431:HRR655431 IBM655431:IBN655431 ILI655431:ILJ655431 IVE655431:IVF655431 JFA655431:JFB655431 JOW655431:JOX655431 JYS655431:JYT655431 KIO655431:KIP655431 KSK655431:KSL655431 LCG655431:LCH655431 LMC655431:LMD655431 LVY655431:LVZ655431 MFU655431:MFV655431 MPQ655431:MPR655431 MZM655431:MZN655431 NJI655431:NJJ655431 NTE655431:NTF655431 ODA655431:ODB655431 OMW655431:OMX655431 OWS655431:OWT655431 PGO655431:PGP655431 PQK655431:PQL655431 QAG655431:QAH655431 QKC655431:QKD655431 QTY655431:QTZ655431 RDU655431:RDV655431 RNQ655431:RNR655431 RXM655431:RXN655431 SHI655431:SHJ655431 SRE655431:SRF655431 TBA655431:TBB655431 TKW655431:TKX655431 TUS655431:TUT655431 UEO655431:UEP655431 UOK655431:UOL655431 UYG655431:UYH655431 VIC655431:VID655431 VRY655431:VRZ655431 WBU655431:WBV655431 WLQ655431:WLR655431 WVM655431:WVN655431 E720967:F720967 JA720967:JB720967 SW720967:SX720967 ACS720967:ACT720967 AMO720967:AMP720967 AWK720967:AWL720967 BGG720967:BGH720967 BQC720967:BQD720967 BZY720967:BZZ720967 CJU720967:CJV720967 CTQ720967:CTR720967 DDM720967:DDN720967 DNI720967:DNJ720967 DXE720967:DXF720967 EHA720967:EHB720967 EQW720967:EQX720967 FAS720967:FAT720967 FKO720967:FKP720967 FUK720967:FUL720967 GEG720967:GEH720967 GOC720967:GOD720967 GXY720967:GXZ720967 HHU720967:HHV720967 HRQ720967:HRR720967 IBM720967:IBN720967 ILI720967:ILJ720967 IVE720967:IVF720967 JFA720967:JFB720967 JOW720967:JOX720967 JYS720967:JYT720967 KIO720967:KIP720967 KSK720967:KSL720967 LCG720967:LCH720967 LMC720967:LMD720967 LVY720967:LVZ720967 MFU720967:MFV720967 MPQ720967:MPR720967 MZM720967:MZN720967 NJI720967:NJJ720967 NTE720967:NTF720967 ODA720967:ODB720967 OMW720967:OMX720967 OWS720967:OWT720967 PGO720967:PGP720967 PQK720967:PQL720967 QAG720967:QAH720967 QKC720967:QKD720967 QTY720967:QTZ720967 RDU720967:RDV720967 RNQ720967:RNR720967 RXM720967:RXN720967 SHI720967:SHJ720967 SRE720967:SRF720967 TBA720967:TBB720967 TKW720967:TKX720967 TUS720967:TUT720967 UEO720967:UEP720967 UOK720967:UOL720967 UYG720967:UYH720967 VIC720967:VID720967 VRY720967:VRZ720967 WBU720967:WBV720967 WLQ720967:WLR720967 WVM720967:WVN720967 E786503:F786503 JA786503:JB786503 SW786503:SX786503 ACS786503:ACT786503 AMO786503:AMP786503 AWK786503:AWL786503 BGG786503:BGH786503 BQC786503:BQD786503 BZY786503:BZZ786503 CJU786503:CJV786503 CTQ786503:CTR786503 DDM786503:DDN786503 DNI786503:DNJ786503 DXE786503:DXF786503 EHA786503:EHB786503 EQW786503:EQX786503 FAS786503:FAT786503 FKO786503:FKP786503 FUK786503:FUL786503 GEG786503:GEH786503 GOC786503:GOD786503 GXY786503:GXZ786503 HHU786503:HHV786503 HRQ786503:HRR786503 IBM786503:IBN786503 ILI786503:ILJ786503 IVE786503:IVF786503 JFA786503:JFB786503 JOW786503:JOX786503 JYS786503:JYT786503 KIO786503:KIP786503 KSK786503:KSL786503 LCG786503:LCH786503 LMC786503:LMD786503 LVY786503:LVZ786503 MFU786503:MFV786503 MPQ786503:MPR786503 MZM786503:MZN786503 NJI786503:NJJ786503 NTE786503:NTF786503 ODA786503:ODB786503 OMW786503:OMX786503 OWS786503:OWT786503 PGO786503:PGP786503 PQK786503:PQL786503 QAG786503:QAH786503 QKC786503:QKD786503 QTY786503:QTZ786503 RDU786503:RDV786503 RNQ786503:RNR786503 RXM786503:RXN786503 SHI786503:SHJ786503 SRE786503:SRF786503 TBA786503:TBB786503 TKW786503:TKX786503 TUS786503:TUT786503 UEO786503:UEP786503 UOK786503:UOL786503 UYG786503:UYH786503 VIC786503:VID786503 VRY786503:VRZ786503 WBU786503:WBV786503 WLQ786503:WLR786503 WVM786503:WVN786503 E852039:F852039 JA852039:JB852039 SW852039:SX852039 ACS852039:ACT852039 AMO852039:AMP852039 AWK852039:AWL852039 BGG852039:BGH852039 BQC852039:BQD852039 BZY852039:BZZ852039 CJU852039:CJV852039 CTQ852039:CTR852039 DDM852039:DDN852039 DNI852039:DNJ852039 DXE852039:DXF852039 EHA852039:EHB852039 EQW852039:EQX852039 FAS852039:FAT852039 FKO852039:FKP852039 FUK852039:FUL852039 GEG852039:GEH852039 GOC852039:GOD852039 GXY852039:GXZ852039 HHU852039:HHV852039 HRQ852039:HRR852039 IBM852039:IBN852039 ILI852039:ILJ852039 IVE852039:IVF852039 JFA852039:JFB852039 JOW852039:JOX852039 JYS852039:JYT852039 KIO852039:KIP852039 KSK852039:KSL852039 LCG852039:LCH852039 LMC852039:LMD852039 LVY852039:LVZ852039 MFU852039:MFV852039 MPQ852039:MPR852039 MZM852039:MZN852039 NJI852039:NJJ852039 NTE852039:NTF852039 ODA852039:ODB852039 OMW852039:OMX852039 OWS852039:OWT852039 PGO852039:PGP852039 PQK852039:PQL852039 QAG852039:QAH852039 QKC852039:QKD852039 QTY852039:QTZ852039 RDU852039:RDV852039 RNQ852039:RNR852039 RXM852039:RXN852039 SHI852039:SHJ852039 SRE852039:SRF852039 TBA852039:TBB852039 TKW852039:TKX852039 TUS852039:TUT852039 UEO852039:UEP852039 UOK852039:UOL852039 UYG852039:UYH852039 VIC852039:VID852039 VRY852039:VRZ852039 WBU852039:WBV852039 WLQ852039:WLR852039 WVM852039:WVN852039 E917575:F917575 JA917575:JB917575 SW917575:SX917575 ACS917575:ACT917575 AMO917575:AMP917575 AWK917575:AWL917575 BGG917575:BGH917575 BQC917575:BQD917575 BZY917575:BZZ917575 CJU917575:CJV917575 CTQ917575:CTR917575 DDM917575:DDN917575 DNI917575:DNJ917575 DXE917575:DXF917575 EHA917575:EHB917575 EQW917575:EQX917575 FAS917575:FAT917575 FKO917575:FKP917575 FUK917575:FUL917575 GEG917575:GEH917575 GOC917575:GOD917575 GXY917575:GXZ917575 HHU917575:HHV917575 HRQ917575:HRR917575 IBM917575:IBN917575 ILI917575:ILJ917575 IVE917575:IVF917575 JFA917575:JFB917575 JOW917575:JOX917575 JYS917575:JYT917575 KIO917575:KIP917575 KSK917575:KSL917575 LCG917575:LCH917575 LMC917575:LMD917575 LVY917575:LVZ917575 MFU917575:MFV917575 MPQ917575:MPR917575 MZM917575:MZN917575 NJI917575:NJJ917575 NTE917575:NTF917575 ODA917575:ODB917575 OMW917575:OMX917575 OWS917575:OWT917575 PGO917575:PGP917575 PQK917575:PQL917575 QAG917575:QAH917575 QKC917575:QKD917575 QTY917575:QTZ917575 RDU917575:RDV917575 RNQ917575:RNR917575 RXM917575:RXN917575 SHI917575:SHJ917575 SRE917575:SRF917575 TBA917575:TBB917575 TKW917575:TKX917575 TUS917575:TUT917575 UEO917575:UEP917575 UOK917575:UOL917575 UYG917575:UYH917575 VIC917575:VID917575 VRY917575:VRZ917575 WBU917575:WBV917575 WLQ917575:WLR917575 WVM917575:WVN917575 E983111:F983111 JA983111:JB983111 SW983111:SX983111 ACS983111:ACT983111 AMO983111:AMP983111 AWK983111:AWL983111 BGG983111:BGH983111 BQC983111:BQD983111 BZY983111:BZZ983111 CJU983111:CJV983111 CTQ983111:CTR983111 DDM983111:DDN983111 DNI983111:DNJ983111 DXE983111:DXF983111 EHA983111:EHB983111 EQW983111:EQX983111 FAS983111:FAT983111 FKO983111:FKP983111 FUK983111:FUL983111 GEG983111:GEH983111 GOC983111:GOD983111 GXY983111:GXZ983111 HHU983111:HHV983111 HRQ983111:HRR983111 IBM983111:IBN983111 ILI983111:ILJ983111 IVE983111:IVF983111 JFA983111:JFB983111 JOW983111:JOX983111 JYS983111:JYT983111 KIO983111:KIP983111 KSK983111:KSL983111 LCG983111:LCH983111 LMC983111:LMD983111 LVY983111:LVZ983111 MFU983111:MFV983111 MPQ983111:MPR983111 MZM983111:MZN983111 NJI983111:NJJ983111 NTE983111:NTF983111 ODA983111:ODB983111 OMW983111:OMX983111 OWS983111:OWT983111 PGO983111:PGP983111 PQK983111:PQL983111 QAG983111:QAH983111 QKC983111:QKD983111 QTY983111:QTZ983111 RDU983111:RDV983111 RNQ983111:RNR983111 RXM983111:RXN983111 SHI983111:SHJ983111 SRE983111:SRF983111 TBA983111:TBB983111 TKW983111:TKX983111 TUS983111:TUT983111 UEO983111:UEP983111 UOK983111:UOL983111 UYG983111:UYH983111 VIC983111:VID983111 VRY983111:VRZ983111 WBU983111:WBV983111 WLQ983111:WLR983111 WVM983111:WVN983111 K71:M71 JG71:JI71 TC71:TE71 ACY71:ADA71 AMU71:AMW71 AWQ71:AWS71 BGM71:BGO71 BQI71:BQK71 CAE71:CAG71 CKA71:CKC71 CTW71:CTY71 DDS71:DDU71 DNO71:DNQ71 DXK71:DXM71 EHG71:EHI71 ERC71:ERE71 FAY71:FBA71 FKU71:FKW71 FUQ71:FUS71 GEM71:GEO71 GOI71:GOK71 GYE71:GYG71 HIA71:HIC71 HRW71:HRY71 IBS71:IBU71 ILO71:ILQ71 IVK71:IVM71 JFG71:JFI71 JPC71:JPE71 JYY71:JZA71 KIU71:KIW71 KSQ71:KSS71 LCM71:LCO71 LMI71:LMK71 LWE71:LWG71 MGA71:MGC71 MPW71:MPY71 MZS71:MZU71 NJO71:NJQ71 NTK71:NTM71 ODG71:ODI71 ONC71:ONE71 OWY71:OXA71 PGU71:PGW71 PQQ71:PQS71 QAM71:QAO71 QKI71:QKK71 QUE71:QUG71 REA71:REC71 RNW71:RNY71 RXS71:RXU71 SHO71:SHQ71 SRK71:SRM71 TBG71:TBI71 TLC71:TLE71 TUY71:TVA71 UEU71:UEW71 UOQ71:UOS71 UYM71:UYO71 VII71:VIK71 VSE71:VSG71 WCA71:WCC71 WLW71:WLY71 WVS71:WVU71 K65607:M65607 JG65607:JI65607 TC65607:TE65607 ACY65607:ADA65607 AMU65607:AMW65607 AWQ65607:AWS65607 BGM65607:BGO65607 BQI65607:BQK65607 CAE65607:CAG65607 CKA65607:CKC65607 CTW65607:CTY65607 DDS65607:DDU65607 DNO65607:DNQ65607 DXK65607:DXM65607 EHG65607:EHI65607 ERC65607:ERE65607 FAY65607:FBA65607 FKU65607:FKW65607 FUQ65607:FUS65607 GEM65607:GEO65607 GOI65607:GOK65607 GYE65607:GYG65607 HIA65607:HIC65607 HRW65607:HRY65607 IBS65607:IBU65607 ILO65607:ILQ65607 IVK65607:IVM65607 JFG65607:JFI65607 JPC65607:JPE65607 JYY65607:JZA65607 KIU65607:KIW65607 KSQ65607:KSS65607 LCM65607:LCO65607 LMI65607:LMK65607 LWE65607:LWG65607 MGA65607:MGC65607 MPW65607:MPY65607 MZS65607:MZU65607 NJO65607:NJQ65607 NTK65607:NTM65607 ODG65607:ODI65607 ONC65607:ONE65607 OWY65607:OXA65607 PGU65607:PGW65607 PQQ65607:PQS65607 QAM65607:QAO65607 QKI65607:QKK65607 QUE65607:QUG65607 REA65607:REC65607 RNW65607:RNY65607 RXS65607:RXU65607 SHO65607:SHQ65607 SRK65607:SRM65607 TBG65607:TBI65607 TLC65607:TLE65607 TUY65607:TVA65607 UEU65607:UEW65607 UOQ65607:UOS65607 UYM65607:UYO65607 VII65607:VIK65607 VSE65607:VSG65607 WCA65607:WCC65607 WLW65607:WLY65607 WVS65607:WVU65607 K131143:M131143 JG131143:JI131143 TC131143:TE131143 ACY131143:ADA131143 AMU131143:AMW131143 AWQ131143:AWS131143 BGM131143:BGO131143 BQI131143:BQK131143 CAE131143:CAG131143 CKA131143:CKC131143 CTW131143:CTY131143 DDS131143:DDU131143 DNO131143:DNQ131143 DXK131143:DXM131143 EHG131143:EHI131143 ERC131143:ERE131143 FAY131143:FBA131143 FKU131143:FKW131143 FUQ131143:FUS131143 GEM131143:GEO131143 GOI131143:GOK131143 GYE131143:GYG131143 HIA131143:HIC131143 HRW131143:HRY131143 IBS131143:IBU131143 ILO131143:ILQ131143 IVK131143:IVM131143 JFG131143:JFI131143 JPC131143:JPE131143 JYY131143:JZA131143 KIU131143:KIW131143 KSQ131143:KSS131143 LCM131143:LCO131143 LMI131143:LMK131143 LWE131143:LWG131143 MGA131143:MGC131143 MPW131143:MPY131143 MZS131143:MZU131143 NJO131143:NJQ131143 NTK131143:NTM131143 ODG131143:ODI131143 ONC131143:ONE131143 OWY131143:OXA131143 PGU131143:PGW131143 PQQ131143:PQS131143 QAM131143:QAO131143 QKI131143:QKK131143 QUE131143:QUG131143 REA131143:REC131143 RNW131143:RNY131143 RXS131143:RXU131143 SHO131143:SHQ131143 SRK131143:SRM131143 TBG131143:TBI131143 TLC131143:TLE131143 TUY131143:TVA131143 UEU131143:UEW131143 UOQ131143:UOS131143 UYM131143:UYO131143 VII131143:VIK131143 VSE131143:VSG131143 WCA131143:WCC131143 WLW131143:WLY131143 WVS131143:WVU131143 K196679:M196679 JG196679:JI196679 TC196679:TE196679 ACY196679:ADA196679 AMU196679:AMW196679 AWQ196679:AWS196679 BGM196679:BGO196679 BQI196679:BQK196679 CAE196679:CAG196679 CKA196679:CKC196679 CTW196679:CTY196679 DDS196679:DDU196679 DNO196679:DNQ196679 DXK196679:DXM196679 EHG196679:EHI196679 ERC196679:ERE196679 FAY196679:FBA196679 FKU196679:FKW196679 FUQ196679:FUS196679 GEM196679:GEO196679 GOI196679:GOK196679 GYE196679:GYG196679 HIA196679:HIC196679 HRW196679:HRY196679 IBS196679:IBU196679 ILO196679:ILQ196679 IVK196679:IVM196679 JFG196679:JFI196679 JPC196679:JPE196679 JYY196679:JZA196679 KIU196679:KIW196679 KSQ196679:KSS196679 LCM196679:LCO196679 LMI196679:LMK196679 LWE196679:LWG196679 MGA196679:MGC196679 MPW196679:MPY196679 MZS196679:MZU196679 NJO196679:NJQ196679 NTK196679:NTM196679 ODG196679:ODI196679 ONC196679:ONE196679 OWY196679:OXA196679 PGU196679:PGW196679 PQQ196679:PQS196679 QAM196679:QAO196679 QKI196679:QKK196679 QUE196679:QUG196679 REA196679:REC196679 RNW196679:RNY196679 RXS196679:RXU196679 SHO196679:SHQ196679 SRK196679:SRM196679 TBG196679:TBI196679 TLC196679:TLE196679 TUY196679:TVA196679 UEU196679:UEW196679 UOQ196679:UOS196679 UYM196679:UYO196679 VII196679:VIK196679 VSE196679:VSG196679 WCA196679:WCC196679 WLW196679:WLY196679 WVS196679:WVU196679 K262215:M262215 JG262215:JI262215 TC262215:TE262215 ACY262215:ADA262215 AMU262215:AMW262215 AWQ262215:AWS262215 BGM262215:BGO262215 BQI262215:BQK262215 CAE262215:CAG262215 CKA262215:CKC262215 CTW262215:CTY262215 DDS262215:DDU262215 DNO262215:DNQ262215 DXK262215:DXM262215 EHG262215:EHI262215 ERC262215:ERE262215 FAY262215:FBA262215 FKU262215:FKW262215 FUQ262215:FUS262215 GEM262215:GEO262215 GOI262215:GOK262215 GYE262215:GYG262215 HIA262215:HIC262215 HRW262215:HRY262215 IBS262215:IBU262215 ILO262215:ILQ262215 IVK262215:IVM262215 JFG262215:JFI262215 JPC262215:JPE262215 JYY262215:JZA262215 KIU262215:KIW262215 KSQ262215:KSS262215 LCM262215:LCO262215 LMI262215:LMK262215 LWE262215:LWG262215 MGA262215:MGC262215 MPW262215:MPY262215 MZS262215:MZU262215 NJO262215:NJQ262215 NTK262215:NTM262215 ODG262215:ODI262215 ONC262215:ONE262215 OWY262215:OXA262215 PGU262215:PGW262215 PQQ262215:PQS262215 QAM262215:QAO262215 QKI262215:QKK262215 QUE262215:QUG262215 REA262215:REC262215 RNW262215:RNY262215 RXS262215:RXU262215 SHO262215:SHQ262215 SRK262215:SRM262215 TBG262215:TBI262215 TLC262215:TLE262215 TUY262215:TVA262215 UEU262215:UEW262215 UOQ262215:UOS262215 UYM262215:UYO262215 VII262215:VIK262215 VSE262215:VSG262215 WCA262215:WCC262215 WLW262215:WLY262215 WVS262215:WVU262215 K327751:M327751 JG327751:JI327751 TC327751:TE327751 ACY327751:ADA327751 AMU327751:AMW327751 AWQ327751:AWS327751 BGM327751:BGO327751 BQI327751:BQK327751 CAE327751:CAG327751 CKA327751:CKC327751 CTW327751:CTY327751 DDS327751:DDU327751 DNO327751:DNQ327751 DXK327751:DXM327751 EHG327751:EHI327751 ERC327751:ERE327751 FAY327751:FBA327751 FKU327751:FKW327751 FUQ327751:FUS327751 GEM327751:GEO327751 GOI327751:GOK327751 GYE327751:GYG327751 HIA327751:HIC327751 HRW327751:HRY327751 IBS327751:IBU327751 ILO327751:ILQ327751 IVK327751:IVM327751 JFG327751:JFI327751 JPC327751:JPE327751 JYY327751:JZA327751 KIU327751:KIW327751 KSQ327751:KSS327751 LCM327751:LCO327751 LMI327751:LMK327751 LWE327751:LWG327751 MGA327751:MGC327751 MPW327751:MPY327751 MZS327751:MZU327751 NJO327751:NJQ327751 NTK327751:NTM327751 ODG327751:ODI327751 ONC327751:ONE327751 OWY327751:OXA327751 PGU327751:PGW327751 PQQ327751:PQS327751 QAM327751:QAO327751 QKI327751:QKK327751 QUE327751:QUG327751 REA327751:REC327751 RNW327751:RNY327751 RXS327751:RXU327751 SHO327751:SHQ327751 SRK327751:SRM327751 TBG327751:TBI327751 TLC327751:TLE327751 TUY327751:TVA327751 UEU327751:UEW327751 UOQ327751:UOS327751 UYM327751:UYO327751 VII327751:VIK327751 VSE327751:VSG327751 WCA327751:WCC327751 WLW327751:WLY327751 WVS327751:WVU327751 K393287:M393287 JG393287:JI393287 TC393287:TE393287 ACY393287:ADA393287 AMU393287:AMW393287 AWQ393287:AWS393287 BGM393287:BGO393287 BQI393287:BQK393287 CAE393287:CAG393287 CKA393287:CKC393287 CTW393287:CTY393287 DDS393287:DDU393287 DNO393287:DNQ393287 DXK393287:DXM393287 EHG393287:EHI393287 ERC393287:ERE393287 FAY393287:FBA393287 FKU393287:FKW393287 FUQ393287:FUS393287 GEM393287:GEO393287 GOI393287:GOK393287 GYE393287:GYG393287 HIA393287:HIC393287 HRW393287:HRY393287 IBS393287:IBU393287 ILO393287:ILQ393287 IVK393287:IVM393287 JFG393287:JFI393287 JPC393287:JPE393287 JYY393287:JZA393287 KIU393287:KIW393287 KSQ393287:KSS393287 LCM393287:LCO393287 LMI393287:LMK393287 LWE393287:LWG393287 MGA393287:MGC393287 MPW393287:MPY393287 MZS393287:MZU393287 NJO393287:NJQ393287 NTK393287:NTM393287 ODG393287:ODI393287 ONC393287:ONE393287 OWY393287:OXA393287 PGU393287:PGW393287 PQQ393287:PQS393287 QAM393287:QAO393287 QKI393287:QKK393287 QUE393287:QUG393287 REA393287:REC393287 RNW393287:RNY393287 RXS393287:RXU393287 SHO393287:SHQ393287 SRK393287:SRM393287 TBG393287:TBI393287 TLC393287:TLE393287 TUY393287:TVA393287 UEU393287:UEW393287 UOQ393287:UOS393287 UYM393287:UYO393287 VII393287:VIK393287 VSE393287:VSG393287 WCA393287:WCC393287 WLW393287:WLY393287 WVS393287:WVU393287 K458823:M458823 JG458823:JI458823 TC458823:TE458823 ACY458823:ADA458823 AMU458823:AMW458823 AWQ458823:AWS458823 BGM458823:BGO458823 BQI458823:BQK458823 CAE458823:CAG458823 CKA458823:CKC458823 CTW458823:CTY458823 DDS458823:DDU458823 DNO458823:DNQ458823 DXK458823:DXM458823 EHG458823:EHI458823 ERC458823:ERE458823 FAY458823:FBA458823 FKU458823:FKW458823 FUQ458823:FUS458823 GEM458823:GEO458823 GOI458823:GOK458823 GYE458823:GYG458823 HIA458823:HIC458823 HRW458823:HRY458823 IBS458823:IBU458823 ILO458823:ILQ458823 IVK458823:IVM458823 JFG458823:JFI458823 JPC458823:JPE458823 JYY458823:JZA458823 KIU458823:KIW458823 KSQ458823:KSS458823 LCM458823:LCO458823 LMI458823:LMK458823 LWE458823:LWG458823 MGA458823:MGC458823 MPW458823:MPY458823 MZS458823:MZU458823 NJO458823:NJQ458823 NTK458823:NTM458823 ODG458823:ODI458823 ONC458823:ONE458823 OWY458823:OXA458823 PGU458823:PGW458823 PQQ458823:PQS458823 QAM458823:QAO458823 QKI458823:QKK458823 QUE458823:QUG458823 REA458823:REC458823 RNW458823:RNY458823 RXS458823:RXU458823 SHO458823:SHQ458823 SRK458823:SRM458823 TBG458823:TBI458823 TLC458823:TLE458823 TUY458823:TVA458823 UEU458823:UEW458823 UOQ458823:UOS458823 UYM458823:UYO458823 VII458823:VIK458823 VSE458823:VSG458823 WCA458823:WCC458823 WLW458823:WLY458823 WVS458823:WVU458823 K524359:M524359 JG524359:JI524359 TC524359:TE524359 ACY524359:ADA524359 AMU524359:AMW524359 AWQ524359:AWS524359 BGM524359:BGO524359 BQI524359:BQK524359 CAE524359:CAG524359 CKA524359:CKC524359 CTW524359:CTY524359 DDS524359:DDU524359 DNO524359:DNQ524359 DXK524359:DXM524359 EHG524359:EHI524359 ERC524359:ERE524359 FAY524359:FBA524359 FKU524359:FKW524359 FUQ524359:FUS524359 GEM524359:GEO524359 GOI524359:GOK524359 GYE524359:GYG524359 HIA524359:HIC524359 HRW524359:HRY524359 IBS524359:IBU524359 ILO524359:ILQ524359 IVK524359:IVM524359 JFG524359:JFI524359 JPC524359:JPE524359 JYY524359:JZA524359 KIU524359:KIW524359 KSQ524359:KSS524359 LCM524359:LCO524359 LMI524359:LMK524359 LWE524359:LWG524359 MGA524359:MGC524359 MPW524359:MPY524359 MZS524359:MZU524359 NJO524359:NJQ524359 NTK524359:NTM524359 ODG524359:ODI524359 ONC524359:ONE524359 OWY524359:OXA524359 PGU524359:PGW524359 PQQ524359:PQS524359 QAM524359:QAO524359 QKI524359:QKK524359 QUE524359:QUG524359 REA524359:REC524359 RNW524359:RNY524359 RXS524359:RXU524359 SHO524359:SHQ524359 SRK524359:SRM524359 TBG524359:TBI524359 TLC524359:TLE524359 TUY524359:TVA524359 UEU524359:UEW524359 UOQ524359:UOS524359 UYM524359:UYO524359 VII524359:VIK524359 VSE524359:VSG524359 WCA524359:WCC524359 WLW524359:WLY524359 WVS524359:WVU524359 K589895:M589895 JG589895:JI589895 TC589895:TE589895 ACY589895:ADA589895 AMU589895:AMW589895 AWQ589895:AWS589895 BGM589895:BGO589895 BQI589895:BQK589895 CAE589895:CAG589895 CKA589895:CKC589895 CTW589895:CTY589895 DDS589895:DDU589895 DNO589895:DNQ589895 DXK589895:DXM589895 EHG589895:EHI589895 ERC589895:ERE589895 FAY589895:FBA589895 FKU589895:FKW589895 FUQ589895:FUS589895 GEM589895:GEO589895 GOI589895:GOK589895 GYE589895:GYG589895 HIA589895:HIC589895 HRW589895:HRY589895 IBS589895:IBU589895 ILO589895:ILQ589895 IVK589895:IVM589895 JFG589895:JFI589895 JPC589895:JPE589895 JYY589895:JZA589895 KIU589895:KIW589895 KSQ589895:KSS589895 LCM589895:LCO589895 LMI589895:LMK589895 LWE589895:LWG589895 MGA589895:MGC589895 MPW589895:MPY589895 MZS589895:MZU589895 NJO589895:NJQ589895 NTK589895:NTM589895 ODG589895:ODI589895 ONC589895:ONE589895 OWY589895:OXA589895 PGU589895:PGW589895 PQQ589895:PQS589895 QAM589895:QAO589895 QKI589895:QKK589895 QUE589895:QUG589895 REA589895:REC589895 RNW589895:RNY589895 RXS589895:RXU589895 SHO589895:SHQ589895 SRK589895:SRM589895 TBG589895:TBI589895 TLC589895:TLE589895 TUY589895:TVA589895 UEU589895:UEW589895 UOQ589895:UOS589895 UYM589895:UYO589895 VII589895:VIK589895 VSE589895:VSG589895 WCA589895:WCC589895 WLW589895:WLY589895 WVS589895:WVU589895 K655431:M655431 JG655431:JI655431 TC655431:TE655431 ACY655431:ADA655431 AMU655431:AMW655431 AWQ655431:AWS655431 BGM655431:BGO655431 BQI655431:BQK655431 CAE655431:CAG655431 CKA655431:CKC655431 CTW655431:CTY655431 DDS655431:DDU655431 DNO655431:DNQ655431 DXK655431:DXM655431 EHG655431:EHI655431 ERC655431:ERE655431 FAY655431:FBA655431 FKU655431:FKW655431 FUQ655431:FUS655431 GEM655431:GEO655431 GOI655431:GOK655431 GYE655431:GYG655431 HIA655431:HIC655431 HRW655431:HRY655431 IBS655431:IBU655431 ILO655431:ILQ655431 IVK655431:IVM655431 JFG655431:JFI655431 JPC655431:JPE655431 JYY655431:JZA655431 KIU655431:KIW655431 KSQ655431:KSS655431 LCM655431:LCO655431 LMI655431:LMK655431 LWE655431:LWG655431 MGA655431:MGC655431 MPW655431:MPY655431 MZS655431:MZU655431 NJO655431:NJQ655431 NTK655431:NTM655431 ODG655431:ODI655431 ONC655431:ONE655431 OWY655431:OXA655431 PGU655431:PGW655431 PQQ655431:PQS655431 QAM655431:QAO655431 QKI655431:QKK655431 QUE655431:QUG655431 REA655431:REC655431 RNW655431:RNY655431 RXS655431:RXU655431 SHO655431:SHQ655431 SRK655431:SRM655431 TBG655431:TBI655431 TLC655431:TLE655431 TUY655431:TVA655431 UEU655431:UEW655431 UOQ655431:UOS655431 UYM655431:UYO655431 VII655431:VIK655431 VSE655431:VSG655431 WCA655431:WCC655431 WLW655431:WLY655431 WVS655431:WVU655431 K720967:M720967 JG720967:JI720967 TC720967:TE720967 ACY720967:ADA720967 AMU720967:AMW720967 AWQ720967:AWS720967 BGM720967:BGO720967 BQI720967:BQK720967 CAE720967:CAG720967 CKA720967:CKC720967 CTW720967:CTY720967 DDS720967:DDU720967 DNO720967:DNQ720967 DXK720967:DXM720967 EHG720967:EHI720967 ERC720967:ERE720967 FAY720967:FBA720967 FKU720967:FKW720967 FUQ720967:FUS720967 GEM720967:GEO720967 GOI720967:GOK720967 GYE720967:GYG720967 HIA720967:HIC720967 HRW720967:HRY720967 IBS720967:IBU720967 ILO720967:ILQ720967 IVK720967:IVM720967 JFG720967:JFI720967 JPC720967:JPE720967 JYY720967:JZA720967 KIU720967:KIW720967 KSQ720967:KSS720967 LCM720967:LCO720967 LMI720967:LMK720967 LWE720967:LWG720967 MGA720967:MGC720967 MPW720967:MPY720967 MZS720967:MZU720967 NJO720967:NJQ720967 NTK720967:NTM720967 ODG720967:ODI720967 ONC720967:ONE720967 OWY720967:OXA720967 PGU720967:PGW720967 PQQ720967:PQS720967 QAM720967:QAO720967 QKI720967:QKK720967 QUE720967:QUG720967 REA720967:REC720967 RNW720967:RNY720967 RXS720967:RXU720967 SHO720967:SHQ720967 SRK720967:SRM720967 TBG720967:TBI720967 TLC720967:TLE720967 TUY720967:TVA720967 UEU720967:UEW720967 UOQ720967:UOS720967 UYM720967:UYO720967 VII720967:VIK720967 VSE720967:VSG720967 WCA720967:WCC720967 WLW720967:WLY720967 WVS720967:WVU720967 K786503:M786503 JG786503:JI786503 TC786503:TE786503 ACY786503:ADA786503 AMU786503:AMW786503 AWQ786503:AWS786503 BGM786503:BGO786503 BQI786503:BQK786503 CAE786503:CAG786503 CKA786503:CKC786503 CTW786503:CTY786503 DDS786503:DDU786503 DNO786503:DNQ786503 DXK786503:DXM786503 EHG786503:EHI786503 ERC786503:ERE786503 FAY786503:FBA786503 FKU786503:FKW786503 FUQ786503:FUS786503 GEM786503:GEO786503 GOI786503:GOK786503 GYE786503:GYG786503 HIA786503:HIC786503 HRW786503:HRY786503 IBS786503:IBU786503 ILO786503:ILQ786503 IVK786503:IVM786503 JFG786503:JFI786503 JPC786503:JPE786503 JYY786503:JZA786503 KIU786503:KIW786503 KSQ786503:KSS786503 LCM786503:LCO786503 LMI786503:LMK786503 LWE786503:LWG786503 MGA786503:MGC786503 MPW786503:MPY786503 MZS786503:MZU786503 NJO786503:NJQ786503 NTK786503:NTM786503 ODG786503:ODI786503 ONC786503:ONE786503 OWY786503:OXA786503 PGU786503:PGW786503 PQQ786503:PQS786503 QAM786503:QAO786503 QKI786503:QKK786503 QUE786503:QUG786503 REA786503:REC786503 RNW786503:RNY786503 RXS786503:RXU786503 SHO786503:SHQ786503 SRK786503:SRM786503 TBG786503:TBI786503 TLC786503:TLE786503 TUY786503:TVA786503 UEU786503:UEW786503 UOQ786503:UOS786503 UYM786503:UYO786503 VII786503:VIK786503 VSE786503:VSG786503 WCA786503:WCC786503 WLW786503:WLY786503 WVS786503:WVU786503 K852039:M852039 JG852039:JI852039 TC852039:TE852039 ACY852039:ADA852039 AMU852039:AMW852039 AWQ852039:AWS852039 BGM852039:BGO852039 BQI852039:BQK852039 CAE852039:CAG852039 CKA852039:CKC852039 CTW852039:CTY852039 DDS852039:DDU852039 DNO852039:DNQ852039 DXK852039:DXM852039 EHG852039:EHI852039 ERC852039:ERE852039 FAY852039:FBA852039 FKU852039:FKW852039 FUQ852039:FUS852039 GEM852039:GEO852039 GOI852039:GOK852039 GYE852039:GYG852039 HIA852039:HIC852039 HRW852039:HRY852039 IBS852039:IBU852039 ILO852039:ILQ852039 IVK852039:IVM852039 JFG852039:JFI852039 JPC852039:JPE852039 JYY852039:JZA852039 KIU852039:KIW852039 KSQ852039:KSS852039 LCM852039:LCO852039 LMI852039:LMK852039 LWE852039:LWG852039 MGA852039:MGC852039 MPW852039:MPY852039 MZS852039:MZU852039 NJO852039:NJQ852039 NTK852039:NTM852039 ODG852039:ODI852039 ONC852039:ONE852039 OWY852039:OXA852039 PGU852039:PGW852039 PQQ852039:PQS852039 QAM852039:QAO852039 QKI852039:QKK852039 QUE852039:QUG852039 REA852039:REC852039 RNW852039:RNY852039 RXS852039:RXU852039 SHO852039:SHQ852039 SRK852039:SRM852039 TBG852039:TBI852039 TLC852039:TLE852039 TUY852039:TVA852039 UEU852039:UEW852039 UOQ852039:UOS852039 UYM852039:UYO852039 VII852039:VIK852039 VSE852039:VSG852039 WCA852039:WCC852039 WLW852039:WLY852039 WVS852039:WVU852039 K917575:M917575 JG917575:JI917575 TC917575:TE917575 ACY917575:ADA917575 AMU917575:AMW917575 AWQ917575:AWS917575 BGM917575:BGO917575 BQI917575:BQK917575 CAE917575:CAG917575 CKA917575:CKC917575 CTW917575:CTY917575 DDS917575:DDU917575 DNO917575:DNQ917575 DXK917575:DXM917575 EHG917575:EHI917575 ERC917575:ERE917575 FAY917575:FBA917575 FKU917575:FKW917575 FUQ917575:FUS917575 GEM917575:GEO917575 GOI917575:GOK917575 GYE917575:GYG917575 HIA917575:HIC917575 HRW917575:HRY917575 IBS917575:IBU917575 ILO917575:ILQ917575 IVK917575:IVM917575 JFG917575:JFI917575 JPC917575:JPE917575 JYY917575:JZA917575 KIU917575:KIW917575 KSQ917575:KSS917575 LCM917575:LCO917575 LMI917575:LMK917575 LWE917575:LWG917575 MGA917575:MGC917575 MPW917575:MPY917575 MZS917575:MZU917575 NJO917575:NJQ917575 NTK917575:NTM917575 ODG917575:ODI917575 ONC917575:ONE917575 OWY917575:OXA917575 PGU917575:PGW917575 PQQ917575:PQS917575 QAM917575:QAO917575 QKI917575:QKK917575 QUE917575:QUG917575 REA917575:REC917575 RNW917575:RNY917575 RXS917575:RXU917575 SHO917575:SHQ917575 SRK917575:SRM917575 TBG917575:TBI917575 TLC917575:TLE917575 TUY917575:TVA917575 UEU917575:UEW917575 UOQ917575:UOS917575 UYM917575:UYO917575 VII917575:VIK917575 VSE917575:VSG917575 WCA917575:WCC917575 WLW917575:WLY917575 WVS917575:WVU917575 K983111:M983111 JG983111:JI983111 TC983111:TE983111 ACY983111:ADA983111 AMU983111:AMW983111 AWQ983111:AWS983111 BGM983111:BGO983111 BQI983111:BQK983111 CAE983111:CAG983111 CKA983111:CKC983111 CTW983111:CTY983111 DDS983111:DDU983111 DNO983111:DNQ983111 DXK983111:DXM983111 EHG983111:EHI983111 ERC983111:ERE983111 FAY983111:FBA983111 FKU983111:FKW983111 FUQ983111:FUS983111 GEM983111:GEO983111 GOI983111:GOK983111 GYE983111:GYG983111 HIA983111:HIC983111 HRW983111:HRY983111 IBS983111:IBU983111 ILO983111:ILQ983111 IVK983111:IVM983111 JFG983111:JFI983111 JPC983111:JPE983111 JYY983111:JZA983111 KIU983111:KIW983111 KSQ983111:KSS983111 LCM983111:LCO983111 LMI983111:LMK983111 LWE983111:LWG983111 MGA983111:MGC983111 MPW983111:MPY983111 MZS983111:MZU983111 NJO983111:NJQ983111 NTK983111:NTM983111 ODG983111:ODI983111 ONC983111:ONE983111 OWY983111:OXA983111 PGU983111:PGW983111 PQQ983111:PQS983111 QAM983111:QAO983111 QKI983111:QKK983111 QUE983111:QUG983111 REA983111:REC983111 RNW983111:RNY983111 RXS983111:RXU983111 SHO983111:SHQ983111 SRK983111:SRM983111 TBG983111:TBI983111 TLC983111:TLE983111 TUY983111:TVA983111 UEU983111:UEW983111 UOQ983111:UOS983111 UYM983111:UYO983111 VII983111:VIK983111 VSE983111:VSG983111 WCA983111:WCC983111 WLW983111:WLY983111 WVS983111:WVU983111 L66:M68 JH66:JI68 TD66:TE68 ACZ66:ADA68 AMV66:AMW68 AWR66:AWS68 BGN66:BGO68 BQJ66:BQK68 CAF66:CAG68 CKB66:CKC68 CTX66:CTY68 DDT66:DDU68 DNP66:DNQ68 DXL66:DXM68 EHH66:EHI68 ERD66:ERE68 FAZ66:FBA68 FKV66:FKW68 FUR66:FUS68 GEN66:GEO68 GOJ66:GOK68 GYF66:GYG68 HIB66:HIC68 HRX66:HRY68 IBT66:IBU68 ILP66:ILQ68 IVL66:IVM68 JFH66:JFI68 JPD66:JPE68 JYZ66:JZA68 KIV66:KIW68 KSR66:KSS68 LCN66:LCO68 LMJ66:LMK68 LWF66:LWG68 MGB66:MGC68 MPX66:MPY68 MZT66:MZU68 NJP66:NJQ68 NTL66:NTM68 ODH66:ODI68 OND66:ONE68 OWZ66:OXA68 PGV66:PGW68 PQR66:PQS68 QAN66:QAO68 QKJ66:QKK68 QUF66:QUG68 REB66:REC68 RNX66:RNY68 RXT66:RXU68 SHP66:SHQ68 SRL66:SRM68 TBH66:TBI68 TLD66:TLE68 TUZ66:TVA68 UEV66:UEW68 UOR66:UOS68 UYN66:UYO68 VIJ66:VIK68 VSF66:VSG68 WCB66:WCC68 WLX66:WLY68 WVT66:WVU68 L65602:M65604 JH65602:JI65604 TD65602:TE65604 ACZ65602:ADA65604 AMV65602:AMW65604 AWR65602:AWS65604 BGN65602:BGO65604 BQJ65602:BQK65604 CAF65602:CAG65604 CKB65602:CKC65604 CTX65602:CTY65604 DDT65602:DDU65604 DNP65602:DNQ65604 DXL65602:DXM65604 EHH65602:EHI65604 ERD65602:ERE65604 FAZ65602:FBA65604 FKV65602:FKW65604 FUR65602:FUS65604 GEN65602:GEO65604 GOJ65602:GOK65604 GYF65602:GYG65604 HIB65602:HIC65604 HRX65602:HRY65604 IBT65602:IBU65604 ILP65602:ILQ65604 IVL65602:IVM65604 JFH65602:JFI65604 JPD65602:JPE65604 JYZ65602:JZA65604 KIV65602:KIW65604 KSR65602:KSS65604 LCN65602:LCO65604 LMJ65602:LMK65604 LWF65602:LWG65604 MGB65602:MGC65604 MPX65602:MPY65604 MZT65602:MZU65604 NJP65602:NJQ65604 NTL65602:NTM65604 ODH65602:ODI65604 OND65602:ONE65604 OWZ65602:OXA65604 PGV65602:PGW65604 PQR65602:PQS65604 QAN65602:QAO65604 QKJ65602:QKK65604 QUF65602:QUG65604 REB65602:REC65604 RNX65602:RNY65604 RXT65602:RXU65604 SHP65602:SHQ65604 SRL65602:SRM65604 TBH65602:TBI65604 TLD65602:TLE65604 TUZ65602:TVA65604 UEV65602:UEW65604 UOR65602:UOS65604 UYN65602:UYO65604 VIJ65602:VIK65604 VSF65602:VSG65604 WCB65602:WCC65604 WLX65602:WLY65604 WVT65602:WVU65604 L131138:M131140 JH131138:JI131140 TD131138:TE131140 ACZ131138:ADA131140 AMV131138:AMW131140 AWR131138:AWS131140 BGN131138:BGO131140 BQJ131138:BQK131140 CAF131138:CAG131140 CKB131138:CKC131140 CTX131138:CTY131140 DDT131138:DDU131140 DNP131138:DNQ131140 DXL131138:DXM131140 EHH131138:EHI131140 ERD131138:ERE131140 FAZ131138:FBA131140 FKV131138:FKW131140 FUR131138:FUS131140 GEN131138:GEO131140 GOJ131138:GOK131140 GYF131138:GYG131140 HIB131138:HIC131140 HRX131138:HRY131140 IBT131138:IBU131140 ILP131138:ILQ131140 IVL131138:IVM131140 JFH131138:JFI131140 JPD131138:JPE131140 JYZ131138:JZA131140 KIV131138:KIW131140 KSR131138:KSS131140 LCN131138:LCO131140 LMJ131138:LMK131140 LWF131138:LWG131140 MGB131138:MGC131140 MPX131138:MPY131140 MZT131138:MZU131140 NJP131138:NJQ131140 NTL131138:NTM131140 ODH131138:ODI131140 OND131138:ONE131140 OWZ131138:OXA131140 PGV131138:PGW131140 PQR131138:PQS131140 QAN131138:QAO131140 QKJ131138:QKK131140 QUF131138:QUG131140 REB131138:REC131140 RNX131138:RNY131140 RXT131138:RXU131140 SHP131138:SHQ131140 SRL131138:SRM131140 TBH131138:TBI131140 TLD131138:TLE131140 TUZ131138:TVA131140 UEV131138:UEW131140 UOR131138:UOS131140 UYN131138:UYO131140 VIJ131138:VIK131140 VSF131138:VSG131140 WCB131138:WCC131140 WLX131138:WLY131140 WVT131138:WVU131140 L196674:M196676 JH196674:JI196676 TD196674:TE196676 ACZ196674:ADA196676 AMV196674:AMW196676 AWR196674:AWS196676 BGN196674:BGO196676 BQJ196674:BQK196676 CAF196674:CAG196676 CKB196674:CKC196676 CTX196674:CTY196676 DDT196674:DDU196676 DNP196674:DNQ196676 DXL196674:DXM196676 EHH196674:EHI196676 ERD196674:ERE196676 FAZ196674:FBA196676 FKV196674:FKW196676 FUR196674:FUS196676 GEN196674:GEO196676 GOJ196674:GOK196676 GYF196674:GYG196676 HIB196674:HIC196676 HRX196674:HRY196676 IBT196674:IBU196676 ILP196674:ILQ196676 IVL196674:IVM196676 JFH196674:JFI196676 JPD196674:JPE196676 JYZ196674:JZA196676 KIV196674:KIW196676 KSR196674:KSS196676 LCN196674:LCO196676 LMJ196674:LMK196676 LWF196674:LWG196676 MGB196674:MGC196676 MPX196674:MPY196676 MZT196674:MZU196676 NJP196674:NJQ196676 NTL196674:NTM196676 ODH196674:ODI196676 OND196674:ONE196676 OWZ196674:OXA196676 PGV196674:PGW196676 PQR196674:PQS196676 QAN196674:QAO196676 QKJ196674:QKK196676 QUF196674:QUG196676 REB196674:REC196676 RNX196674:RNY196676 RXT196674:RXU196676 SHP196674:SHQ196676 SRL196674:SRM196676 TBH196674:TBI196676 TLD196674:TLE196676 TUZ196674:TVA196676 UEV196674:UEW196676 UOR196674:UOS196676 UYN196674:UYO196676 VIJ196674:VIK196676 VSF196674:VSG196676 WCB196674:WCC196676 WLX196674:WLY196676 WVT196674:WVU196676 L262210:M262212 JH262210:JI262212 TD262210:TE262212 ACZ262210:ADA262212 AMV262210:AMW262212 AWR262210:AWS262212 BGN262210:BGO262212 BQJ262210:BQK262212 CAF262210:CAG262212 CKB262210:CKC262212 CTX262210:CTY262212 DDT262210:DDU262212 DNP262210:DNQ262212 DXL262210:DXM262212 EHH262210:EHI262212 ERD262210:ERE262212 FAZ262210:FBA262212 FKV262210:FKW262212 FUR262210:FUS262212 GEN262210:GEO262212 GOJ262210:GOK262212 GYF262210:GYG262212 HIB262210:HIC262212 HRX262210:HRY262212 IBT262210:IBU262212 ILP262210:ILQ262212 IVL262210:IVM262212 JFH262210:JFI262212 JPD262210:JPE262212 JYZ262210:JZA262212 KIV262210:KIW262212 KSR262210:KSS262212 LCN262210:LCO262212 LMJ262210:LMK262212 LWF262210:LWG262212 MGB262210:MGC262212 MPX262210:MPY262212 MZT262210:MZU262212 NJP262210:NJQ262212 NTL262210:NTM262212 ODH262210:ODI262212 OND262210:ONE262212 OWZ262210:OXA262212 PGV262210:PGW262212 PQR262210:PQS262212 QAN262210:QAO262212 QKJ262210:QKK262212 QUF262210:QUG262212 REB262210:REC262212 RNX262210:RNY262212 RXT262210:RXU262212 SHP262210:SHQ262212 SRL262210:SRM262212 TBH262210:TBI262212 TLD262210:TLE262212 TUZ262210:TVA262212 UEV262210:UEW262212 UOR262210:UOS262212 UYN262210:UYO262212 VIJ262210:VIK262212 VSF262210:VSG262212 WCB262210:WCC262212 WLX262210:WLY262212 WVT262210:WVU262212 L327746:M327748 JH327746:JI327748 TD327746:TE327748 ACZ327746:ADA327748 AMV327746:AMW327748 AWR327746:AWS327748 BGN327746:BGO327748 BQJ327746:BQK327748 CAF327746:CAG327748 CKB327746:CKC327748 CTX327746:CTY327748 DDT327746:DDU327748 DNP327746:DNQ327748 DXL327746:DXM327748 EHH327746:EHI327748 ERD327746:ERE327748 FAZ327746:FBA327748 FKV327746:FKW327748 FUR327746:FUS327748 GEN327746:GEO327748 GOJ327746:GOK327748 GYF327746:GYG327748 HIB327746:HIC327748 HRX327746:HRY327748 IBT327746:IBU327748 ILP327746:ILQ327748 IVL327746:IVM327748 JFH327746:JFI327748 JPD327746:JPE327748 JYZ327746:JZA327748 KIV327746:KIW327748 KSR327746:KSS327748 LCN327746:LCO327748 LMJ327746:LMK327748 LWF327746:LWG327748 MGB327746:MGC327748 MPX327746:MPY327748 MZT327746:MZU327748 NJP327746:NJQ327748 NTL327746:NTM327748 ODH327746:ODI327748 OND327746:ONE327748 OWZ327746:OXA327748 PGV327746:PGW327748 PQR327746:PQS327748 QAN327746:QAO327748 QKJ327746:QKK327748 QUF327746:QUG327748 REB327746:REC327748 RNX327746:RNY327748 RXT327746:RXU327748 SHP327746:SHQ327748 SRL327746:SRM327748 TBH327746:TBI327748 TLD327746:TLE327748 TUZ327746:TVA327748 UEV327746:UEW327748 UOR327746:UOS327748 UYN327746:UYO327748 VIJ327746:VIK327748 VSF327746:VSG327748 WCB327746:WCC327748 WLX327746:WLY327748 WVT327746:WVU327748 L393282:M393284 JH393282:JI393284 TD393282:TE393284 ACZ393282:ADA393284 AMV393282:AMW393284 AWR393282:AWS393284 BGN393282:BGO393284 BQJ393282:BQK393284 CAF393282:CAG393284 CKB393282:CKC393284 CTX393282:CTY393284 DDT393282:DDU393284 DNP393282:DNQ393284 DXL393282:DXM393284 EHH393282:EHI393284 ERD393282:ERE393284 FAZ393282:FBA393284 FKV393282:FKW393284 FUR393282:FUS393284 GEN393282:GEO393284 GOJ393282:GOK393284 GYF393282:GYG393284 HIB393282:HIC393284 HRX393282:HRY393284 IBT393282:IBU393284 ILP393282:ILQ393284 IVL393282:IVM393284 JFH393282:JFI393284 JPD393282:JPE393284 JYZ393282:JZA393284 KIV393282:KIW393284 KSR393282:KSS393284 LCN393282:LCO393284 LMJ393282:LMK393284 LWF393282:LWG393284 MGB393282:MGC393284 MPX393282:MPY393284 MZT393282:MZU393284 NJP393282:NJQ393284 NTL393282:NTM393284 ODH393282:ODI393284 OND393282:ONE393284 OWZ393282:OXA393284 PGV393282:PGW393284 PQR393282:PQS393284 QAN393282:QAO393284 QKJ393282:QKK393284 QUF393282:QUG393284 REB393282:REC393284 RNX393282:RNY393284 RXT393282:RXU393284 SHP393282:SHQ393284 SRL393282:SRM393284 TBH393282:TBI393284 TLD393282:TLE393284 TUZ393282:TVA393284 UEV393282:UEW393284 UOR393282:UOS393284 UYN393282:UYO393284 VIJ393282:VIK393284 VSF393282:VSG393284 WCB393282:WCC393284 WLX393282:WLY393284 WVT393282:WVU393284 L458818:M458820 JH458818:JI458820 TD458818:TE458820 ACZ458818:ADA458820 AMV458818:AMW458820 AWR458818:AWS458820 BGN458818:BGO458820 BQJ458818:BQK458820 CAF458818:CAG458820 CKB458818:CKC458820 CTX458818:CTY458820 DDT458818:DDU458820 DNP458818:DNQ458820 DXL458818:DXM458820 EHH458818:EHI458820 ERD458818:ERE458820 FAZ458818:FBA458820 FKV458818:FKW458820 FUR458818:FUS458820 GEN458818:GEO458820 GOJ458818:GOK458820 GYF458818:GYG458820 HIB458818:HIC458820 HRX458818:HRY458820 IBT458818:IBU458820 ILP458818:ILQ458820 IVL458818:IVM458820 JFH458818:JFI458820 JPD458818:JPE458820 JYZ458818:JZA458820 KIV458818:KIW458820 KSR458818:KSS458820 LCN458818:LCO458820 LMJ458818:LMK458820 LWF458818:LWG458820 MGB458818:MGC458820 MPX458818:MPY458820 MZT458818:MZU458820 NJP458818:NJQ458820 NTL458818:NTM458820 ODH458818:ODI458820 OND458818:ONE458820 OWZ458818:OXA458820 PGV458818:PGW458820 PQR458818:PQS458820 QAN458818:QAO458820 QKJ458818:QKK458820 QUF458818:QUG458820 REB458818:REC458820 RNX458818:RNY458820 RXT458818:RXU458820 SHP458818:SHQ458820 SRL458818:SRM458820 TBH458818:TBI458820 TLD458818:TLE458820 TUZ458818:TVA458820 UEV458818:UEW458820 UOR458818:UOS458820 UYN458818:UYO458820 VIJ458818:VIK458820 VSF458818:VSG458820 WCB458818:WCC458820 WLX458818:WLY458820 WVT458818:WVU458820 L524354:M524356 JH524354:JI524356 TD524354:TE524356 ACZ524354:ADA524356 AMV524354:AMW524356 AWR524354:AWS524356 BGN524354:BGO524356 BQJ524354:BQK524356 CAF524354:CAG524356 CKB524354:CKC524356 CTX524354:CTY524356 DDT524354:DDU524356 DNP524354:DNQ524356 DXL524354:DXM524356 EHH524354:EHI524356 ERD524354:ERE524356 FAZ524354:FBA524356 FKV524354:FKW524356 FUR524354:FUS524356 GEN524354:GEO524356 GOJ524354:GOK524356 GYF524354:GYG524356 HIB524354:HIC524356 HRX524354:HRY524356 IBT524354:IBU524356 ILP524354:ILQ524356 IVL524354:IVM524356 JFH524354:JFI524356 JPD524354:JPE524356 JYZ524354:JZA524356 KIV524354:KIW524356 KSR524354:KSS524356 LCN524354:LCO524356 LMJ524354:LMK524356 LWF524354:LWG524356 MGB524354:MGC524356 MPX524354:MPY524356 MZT524354:MZU524356 NJP524354:NJQ524356 NTL524354:NTM524356 ODH524354:ODI524356 OND524354:ONE524356 OWZ524354:OXA524356 PGV524354:PGW524356 PQR524354:PQS524356 QAN524354:QAO524356 QKJ524354:QKK524356 QUF524354:QUG524356 REB524354:REC524356 RNX524354:RNY524356 RXT524354:RXU524356 SHP524354:SHQ524356 SRL524354:SRM524356 TBH524354:TBI524356 TLD524354:TLE524356 TUZ524354:TVA524356 UEV524354:UEW524356 UOR524354:UOS524356 UYN524354:UYO524356 VIJ524354:VIK524356 VSF524354:VSG524356 WCB524354:WCC524356 WLX524354:WLY524356 WVT524354:WVU524356 L589890:M589892 JH589890:JI589892 TD589890:TE589892 ACZ589890:ADA589892 AMV589890:AMW589892 AWR589890:AWS589892 BGN589890:BGO589892 BQJ589890:BQK589892 CAF589890:CAG589892 CKB589890:CKC589892 CTX589890:CTY589892 DDT589890:DDU589892 DNP589890:DNQ589892 DXL589890:DXM589892 EHH589890:EHI589892 ERD589890:ERE589892 FAZ589890:FBA589892 FKV589890:FKW589892 FUR589890:FUS589892 GEN589890:GEO589892 GOJ589890:GOK589892 GYF589890:GYG589892 HIB589890:HIC589892 HRX589890:HRY589892 IBT589890:IBU589892 ILP589890:ILQ589892 IVL589890:IVM589892 JFH589890:JFI589892 JPD589890:JPE589892 JYZ589890:JZA589892 KIV589890:KIW589892 KSR589890:KSS589892 LCN589890:LCO589892 LMJ589890:LMK589892 LWF589890:LWG589892 MGB589890:MGC589892 MPX589890:MPY589892 MZT589890:MZU589892 NJP589890:NJQ589892 NTL589890:NTM589892 ODH589890:ODI589892 OND589890:ONE589892 OWZ589890:OXA589892 PGV589890:PGW589892 PQR589890:PQS589892 QAN589890:QAO589892 QKJ589890:QKK589892 QUF589890:QUG589892 REB589890:REC589892 RNX589890:RNY589892 RXT589890:RXU589892 SHP589890:SHQ589892 SRL589890:SRM589892 TBH589890:TBI589892 TLD589890:TLE589892 TUZ589890:TVA589892 UEV589890:UEW589892 UOR589890:UOS589892 UYN589890:UYO589892 VIJ589890:VIK589892 VSF589890:VSG589892 WCB589890:WCC589892 WLX589890:WLY589892 WVT589890:WVU589892 L655426:M655428 JH655426:JI655428 TD655426:TE655428 ACZ655426:ADA655428 AMV655426:AMW655428 AWR655426:AWS655428 BGN655426:BGO655428 BQJ655426:BQK655428 CAF655426:CAG655428 CKB655426:CKC655428 CTX655426:CTY655428 DDT655426:DDU655428 DNP655426:DNQ655428 DXL655426:DXM655428 EHH655426:EHI655428 ERD655426:ERE655428 FAZ655426:FBA655428 FKV655426:FKW655428 FUR655426:FUS655428 GEN655426:GEO655428 GOJ655426:GOK655428 GYF655426:GYG655428 HIB655426:HIC655428 HRX655426:HRY655428 IBT655426:IBU655428 ILP655426:ILQ655428 IVL655426:IVM655428 JFH655426:JFI655428 JPD655426:JPE655428 JYZ655426:JZA655428 KIV655426:KIW655428 KSR655426:KSS655428 LCN655426:LCO655428 LMJ655426:LMK655428 LWF655426:LWG655428 MGB655426:MGC655428 MPX655426:MPY655428 MZT655426:MZU655428 NJP655426:NJQ655428 NTL655426:NTM655428 ODH655426:ODI655428 OND655426:ONE655428 OWZ655426:OXA655428 PGV655426:PGW655428 PQR655426:PQS655428 QAN655426:QAO655428 QKJ655426:QKK655428 QUF655426:QUG655428 REB655426:REC655428 RNX655426:RNY655428 RXT655426:RXU655428 SHP655426:SHQ655428 SRL655426:SRM655428 TBH655426:TBI655428 TLD655426:TLE655428 TUZ655426:TVA655428 UEV655426:UEW655428 UOR655426:UOS655428 UYN655426:UYO655428 VIJ655426:VIK655428 VSF655426:VSG655428 WCB655426:WCC655428 WLX655426:WLY655428 WVT655426:WVU655428 L720962:M720964 JH720962:JI720964 TD720962:TE720964 ACZ720962:ADA720964 AMV720962:AMW720964 AWR720962:AWS720964 BGN720962:BGO720964 BQJ720962:BQK720964 CAF720962:CAG720964 CKB720962:CKC720964 CTX720962:CTY720964 DDT720962:DDU720964 DNP720962:DNQ720964 DXL720962:DXM720964 EHH720962:EHI720964 ERD720962:ERE720964 FAZ720962:FBA720964 FKV720962:FKW720964 FUR720962:FUS720964 GEN720962:GEO720964 GOJ720962:GOK720964 GYF720962:GYG720964 HIB720962:HIC720964 HRX720962:HRY720964 IBT720962:IBU720964 ILP720962:ILQ720964 IVL720962:IVM720964 JFH720962:JFI720964 JPD720962:JPE720964 JYZ720962:JZA720964 KIV720962:KIW720964 KSR720962:KSS720964 LCN720962:LCO720964 LMJ720962:LMK720964 LWF720962:LWG720964 MGB720962:MGC720964 MPX720962:MPY720964 MZT720962:MZU720964 NJP720962:NJQ720964 NTL720962:NTM720964 ODH720962:ODI720964 OND720962:ONE720964 OWZ720962:OXA720964 PGV720962:PGW720964 PQR720962:PQS720964 QAN720962:QAO720964 QKJ720962:QKK720964 QUF720962:QUG720964 REB720962:REC720964 RNX720962:RNY720964 RXT720962:RXU720964 SHP720962:SHQ720964 SRL720962:SRM720964 TBH720962:TBI720964 TLD720962:TLE720964 TUZ720962:TVA720964 UEV720962:UEW720964 UOR720962:UOS720964 UYN720962:UYO720964 VIJ720962:VIK720964 VSF720962:VSG720964 WCB720962:WCC720964 WLX720962:WLY720964 WVT720962:WVU720964 L786498:M786500 JH786498:JI786500 TD786498:TE786500 ACZ786498:ADA786500 AMV786498:AMW786500 AWR786498:AWS786500 BGN786498:BGO786500 BQJ786498:BQK786500 CAF786498:CAG786500 CKB786498:CKC786500 CTX786498:CTY786500 DDT786498:DDU786500 DNP786498:DNQ786500 DXL786498:DXM786500 EHH786498:EHI786500 ERD786498:ERE786500 FAZ786498:FBA786500 FKV786498:FKW786500 FUR786498:FUS786500 GEN786498:GEO786500 GOJ786498:GOK786500 GYF786498:GYG786500 HIB786498:HIC786500 HRX786498:HRY786500 IBT786498:IBU786500 ILP786498:ILQ786500 IVL786498:IVM786500 JFH786498:JFI786500 JPD786498:JPE786500 JYZ786498:JZA786500 KIV786498:KIW786500 KSR786498:KSS786500 LCN786498:LCO786500 LMJ786498:LMK786500 LWF786498:LWG786500 MGB786498:MGC786500 MPX786498:MPY786500 MZT786498:MZU786500 NJP786498:NJQ786500 NTL786498:NTM786500 ODH786498:ODI786500 OND786498:ONE786500 OWZ786498:OXA786500 PGV786498:PGW786500 PQR786498:PQS786500 QAN786498:QAO786500 QKJ786498:QKK786500 QUF786498:QUG786500 REB786498:REC786500 RNX786498:RNY786500 RXT786498:RXU786500 SHP786498:SHQ786500 SRL786498:SRM786500 TBH786498:TBI786500 TLD786498:TLE786500 TUZ786498:TVA786500 UEV786498:UEW786500 UOR786498:UOS786500 UYN786498:UYO786500 VIJ786498:VIK786500 VSF786498:VSG786500 WCB786498:WCC786500 WLX786498:WLY786500 WVT786498:WVU786500 L852034:M852036 JH852034:JI852036 TD852034:TE852036 ACZ852034:ADA852036 AMV852034:AMW852036 AWR852034:AWS852036 BGN852034:BGO852036 BQJ852034:BQK852036 CAF852034:CAG852036 CKB852034:CKC852036 CTX852034:CTY852036 DDT852034:DDU852036 DNP852034:DNQ852036 DXL852034:DXM852036 EHH852034:EHI852036 ERD852034:ERE852036 FAZ852034:FBA852036 FKV852034:FKW852036 FUR852034:FUS852036 GEN852034:GEO852036 GOJ852034:GOK852036 GYF852034:GYG852036 HIB852034:HIC852036 HRX852034:HRY852036 IBT852034:IBU852036 ILP852034:ILQ852036 IVL852034:IVM852036 JFH852034:JFI852036 JPD852034:JPE852036 JYZ852034:JZA852036 KIV852034:KIW852036 KSR852034:KSS852036 LCN852034:LCO852036 LMJ852034:LMK852036 LWF852034:LWG852036 MGB852034:MGC852036 MPX852034:MPY852036 MZT852034:MZU852036 NJP852034:NJQ852036 NTL852034:NTM852036 ODH852034:ODI852036 OND852034:ONE852036 OWZ852034:OXA852036 PGV852034:PGW852036 PQR852034:PQS852036 QAN852034:QAO852036 QKJ852034:QKK852036 QUF852034:QUG852036 REB852034:REC852036 RNX852034:RNY852036 RXT852034:RXU852036 SHP852034:SHQ852036 SRL852034:SRM852036 TBH852034:TBI852036 TLD852034:TLE852036 TUZ852034:TVA852036 UEV852034:UEW852036 UOR852034:UOS852036 UYN852034:UYO852036 VIJ852034:VIK852036 VSF852034:VSG852036 WCB852034:WCC852036 WLX852034:WLY852036 WVT852034:WVU852036 L917570:M917572 JH917570:JI917572 TD917570:TE917572 ACZ917570:ADA917572 AMV917570:AMW917572 AWR917570:AWS917572 BGN917570:BGO917572 BQJ917570:BQK917572 CAF917570:CAG917572 CKB917570:CKC917572 CTX917570:CTY917572 DDT917570:DDU917572 DNP917570:DNQ917572 DXL917570:DXM917572 EHH917570:EHI917572 ERD917570:ERE917572 FAZ917570:FBA917572 FKV917570:FKW917572 FUR917570:FUS917572 GEN917570:GEO917572 GOJ917570:GOK917572 GYF917570:GYG917572 HIB917570:HIC917572 HRX917570:HRY917572 IBT917570:IBU917572 ILP917570:ILQ917572 IVL917570:IVM917572 JFH917570:JFI917572 JPD917570:JPE917572 JYZ917570:JZA917572 KIV917570:KIW917572 KSR917570:KSS917572 LCN917570:LCO917572 LMJ917570:LMK917572 LWF917570:LWG917572 MGB917570:MGC917572 MPX917570:MPY917572 MZT917570:MZU917572 NJP917570:NJQ917572 NTL917570:NTM917572 ODH917570:ODI917572 OND917570:ONE917572 OWZ917570:OXA917572 PGV917570:PGW917572 PQR917570:PQS917572 QAN917570:QAO917572 QKJ917570:QKK917572 QUF917570:QUG917572 REB917570:REC917572 RNX917570:RNY917572 RXT917570:RXU917572 SHP917570:SHQ917572 SRL917570:SRM917572 TBH917570:TBI917572 TLD917570:TLE917572 TUZ917570:TVA917572 UEV917570:UEW917572 UOR917570:UOS917572 UYN917570:UYO917572 VIJ917570:VIK917572 VSF917570:VSG917572 WCB917570:WCC917572 WLX917570:WLY917572 WVT917570:WVU917572 L983106:M983108 JH983106:JI983108 TD983106:TE983108 ACZ983106:ADA983108 AMV983106:AMW983108 AWR983106:AWS983108 BGN983106:BGO983108 BQJ983106:BQK983108 CAF983106:CAG983108 CKB983106:CKC983108 CTX983106:CTY983108 DDT983106:DDU983108 DNP983106:DNQ983108 DXL983106:DXM983108 EHH983106:EHI983108 ERD983106:ERE983108 FAZ983106:FBA983108 FKV983106:FKW983108 FUR983106:FUS983108 GEN983106:GEO983108 GOJ983106:GOK983108 GYF983106:GYG983108 HIB983106:HIC983108 HRX983106:HRY983108 IBT983106:IBU983108 ILP983106:ILQ983108 IVL983106:IVM983108 JFH983106:JFI983108 JPD983106:JPE983108 JYZ983106:JZA983108 KIV983106:KIW983108 KSR983106:KSS983108 LCN983106:LCO983108 LMJ983106:LMK983108 LWF983106:LWG983108 MGB983106:MGC983108 MPX983106:MPY983108 MZT983106:MZU983108 NJP983106:NJQ983108 NTL983106:NTM983108 ODH983106:ODI983108 OND983106:ONE983108 OWZ983106:OXA983108 PGV983106:PGW983108 PQR983106:PQS983108 QAN983106:QAO983108 QKJ983106:QKK983108 QUF983106:QUG983108 REB983106:REC983108 RNX983106:RNY983108 RXT983106:RXU983108 SHP983106:SHQ983108 SRL983106:SRM983108 TBH983106:TBI983108 TLD983106:TLE983108 TUZ983106:TVA983108 UEV983106:UEW983108 UOR983106:UOS983108 UYN983106:UYO983108 VIJ983106:VIK983108 VSF983106:VSG983108 WCB983106:WCC983108 WLX983106:WLY983108 WVT983106:WVU983108</xm:sqref>
        </x14:dataValidation>
      </x14:dataValidations>
    </ext>
  </extLs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4F42-13D5-46AF-AC8C-F52267AC7213}">
  <sheetPr codeName="Sheet4">
    <tabColor rgb="FFFF0000"/>
  </sheetPr>
  <dimension ref="A1:AT33"/>
  <sheetViews>
    <sheetView workbookViewId="0">
      <selection activeCell="G23" sqref="G23"/>
    </sheetView>
  </sheetViews>
  <sheetFormatPr defaultRowHeight="14.5"/>
  <cols>
    <col min="1" max="1" width="28.1796875" bestFit="1" customWidth="1"/>
    <col min="2" max="2" width="8.7265625" bestFit="1" customWidth="1"/>
    <col min="3" max="3" width="12.81640625" bestFit="1" customWidth="1"/>
    <col min="5" max="5" width="28.1796875" bestFit="1" customWidth="1"/>
    <col min="6" max="6" width="8.7265625" bestFit="1" customWidth="1"/>
    <col min="7" max="7" width="12.81640625" bestFit="1" customWidth="1"/>
    <col min="9" max="9" width="28.1796875" bestFit="1" customWidth="1"/>
    <col min="10" max="10" width="8.7265625" bestFit="1" customWidth="1"/>
    <col min="11" max="11" width="12.81640625" bestFit="1" customWidth="1"/>
    <col min="14" max="14" width="28.1796875" bestFit="1" customWidth="1"/>
    <col min="15" max="15" width="8.7265625" bestFit="1" customWidth="1"/>
    <col min="16" max="16" width="12.81640625" bestFit="1" customWidth="1"/>
    <col min="19" max="19" width="28.1796875" bestFit="1" customWidth="1"/>
    <col min="20" max="20" width="8.7265625" bestFit="1" customWidth="1"/>
    <col min="21" max="21" width="12.81640625" bestFit="1" customWidth="1"/>
    <col min="24" max="24" width="28.1796875" bestFit="1" customWidth="1"/>
    <col min="25" max="25" width="8.7265625" bestFit="1" customWidth="1"/>
    <col min="26" max="26" width="12.81640625" bestFit="1" customWidth="1"/>
    <col min="29" max="29" width="28.1796875" bestFit="1" customWidth="1"/>
    <col min="30" max="30" width="8.7265625" bestFit="1" customWidth="1"/>
    <col min="31" max="31" width="12.81640625" bestFit="1" customWidth="1"/>
    <col min="34" max="34" width="28.1796875" bestFit="1" customWidth="1"/>
    <col min="35" max="35" width="8.7265625" bestFit="1" customWidth="1"/>
    <col min="36" max="36" width="12.81640625" bestFit="1" customWidth="1"/>
    <col min="39" max="39" width="28.1796875" bestFit="1" customWidth="1"/>
    <col min="40" max="40" width="8.7265625" bestFit="1" customWidth="1"/>
    <col min="41" max="41" width="12.81640625" bestFit="1" customWidth="1"/>
    <col min="44" max="44" width="28.1796875" bestFit="1" customWidth="1"/>
    <col min="45" max="45" width="8.7265625" bestFit="1" customWidth="1"/>
    <col min="46" max="46" width="12.81640625" bestFit="1" customWidth="1"/>
  </cols>
  <sheetData>
    <row r="1" spans="1:46">
      <c r="A1" s="247" t="s">
        <v>1289</v>
      </c>
      <c r="H1" s="30"/>
      <c r="I1" s="30"/>
      <c r="J1" s="30"/>
      <c r="K1" s="30"/>
      <c r="L1" s="30"/>
      <c r="M1" s="30"/>
      <c r="N1" s="30"/>
      <c r="O1" s="30"/>
      <c r="P1" s="30"/>
      <c r="S1" s="134"/>
    </row>
    <row r="2" spans="1:46">
      <c r="I2" s="2648"/>
      <c r="J2" s="2648"/>
      <c r="K2" s="2648"/>
      <c r="L2" s="2648"/>
      <c r="M2" s="2648"/>
      <c r="N2" s="2648"/>
      <c r="O2" s="2648"/>
      <c r="P2" s="2648"/>
      <c r="S2" s="134"/>
    </row>
    <row r="3" spans="1:46">
      <c r="A3" s="140" t="s">
        <v>512</v>
      </c>
      <c r="B3" s="140" t="s">
        <v>507</v>
      </c>
      <c r="C3" s="140" t="s">
        <v>535</v>
      </c>
      <c r="E3" s="140" t="s">
        <v>541</v>
      </c>
      <c r="F3" s="140" t="s">
        <v>507</v>
      </c>
      <c r="G3" s="140" t="s">
        <v>535</v>
      </c>
      <c r="I3" s="140" t="s">
        <v>542</v>
      </c>
      <c r="J3" s="140" t="s">
        <v>507</v>
      </c>
      <c r="K3" s="140" t="s">
        <v>535</v>
      </c>
      <c r="N3" s="140" t="s">
        <v>547</v>
      </c>
      <c r="O3" s="140" t="s">
        <v>507</v>
      </c>
      <c r="P3" s="140" t="s">
        <v>535</v>
      </c>
      <c r="S3" s="140" t="s">
        <v>548</v>
      </c>
      <c r="T3" s="140" t="s">
        <v>507</v>
      </c>
      <c r="U3" s="140" t="s">
        <v>535</v>
      </c>
      <c r="X3" s="140" t="s">
        <v>549</v>
      </c>
      <c r="Y3" s="140" t="s">
        <v>507</v>
      </c>
      <c r="Z3" s="140" t="s">
        <v>535</v>
      </c>
      <c r="AC3" s="140" t="s">
        <v>550</v>
      </c>
      <c r="AD3" s="140" t="s">
        <v>507</v>
      </c>
      <c r="AE3" s="140" t="s">
        <v>535</v>
      </c>
      <c r="AH3" s="140" t="s">
        <v>551</v>
      </c>
      <c r="AI3" s="140" t="s">
        <v>507</v>
      </c>
      <c r="AJ3" s="140" t="s">
        <v>535</v>
      </c>
      <c r="AM3" s="140" t="s">
        <v>552</v>
      </c>
      <c r="AN3" s="140" t="s">
        <v>507</v>
      </c>
      <c r="AO3" s="140" t="s">
        <v>535</v>
      </c>
      <c r="AR3" s="140" t="s">
        <v>553</v>
      </c>
      <c r="AS3" s="140" t="s">
        <v>507</v>
      </c>
      <c r="AT3" s="140" t="s">
        <v>535</v>
      </c>
    </row>
    <row r="4" spans="1:46">
      <c r="A4" s="104" t="s">
        <v>508</v>
      </c>
      <c r="B4" s="100" t="s">
        <v>538</v>
      </c>
      <c r="C4" s="104" t="str">
        <f>IF(AND('AIRFLOW FORM'!$E$16&gt;=0.5,'AIRFLOW FORM'!$E$16&lt;=11.3),"","FAIL")</f>
        <v>FAIL</v>
      </c>
      <c r="E4" s="2" t="s">
        <v>508</v>
      </c>
      <c r="F4" s="2" t="s">
        <v>538</v>
      </c>
      <c r="G4" s="2" t="str">
        <f>IF(AND('AIRFLOW FORM 2'!$E$15&gt;=0.5,'AIRFLOW FORM 2'!$E$15&lt;=11.3),"","FAIL")</f>
        <v>FAIL</v>
      </c>
      <c r="I4" s="2" t="s">
        <v>508</v>
      </c>
      <c r="J4" s="2" t="s">
        <v>538</v>
      </c>
      <c r="K4" s="2" t="str">
        <f>IF(AND('AIRFLOW FORM 3'!$E$15&gt;=0.5,'AIRFLOW FORM 3'!$E$15&lt;=11.3),"","FAIL")</f>
        <v>FAIL</v>
      </c>
      <c r="N4" s="2" t="s">
        <v>508</v>
      </c>
      <c r="O4" s="2" t="s">
        <v>538</v>
      </c>
      <c r="P4" s="2" t="str">
        <f>IF(AND('AIRFLOW FORM 4'!$E$15&gt;=0.5,'AIRFLOW FORM 4'!$E$15&lt;=11.3),"","FAIL")</f>
        <v>FAIL</v>
      </c>
      <c r="S4" s="2" t="s">
        <v>508</v>
      </c>
      <c r="T4" s="2" t="s">
        <v>538</v>
      </c>
      <c r="U4" s="2" t="str">
        <f>IF(AND('AIRFLOW FORM 5'!$E$15&gt;=0.5,'AIRFLOW FORM 5'!$E$15&lt;=11.3),"","FAIL")</f>
        <v>FAIL</v>
      </c>
      <c r="X4" s="2" t="s">
        <v>508</v>
      </c>
      <c r="Y4" s="2" t="s">
        <v>538</v>
      </c>
      <c r="Z4" s="2" t="str">
        <f>IF(AND('AIRFLOW FORM 6'!$E$15&gt;=0.5,'AIRFLOW FORM 6'!$E$15&lt;=11.3),"","FAIL")</f>
        <v>FAIL</v>
      </c>
      <c r="AC4" t="s">
        <v>508</v>
      </c>
      <c r="AD4" t="s">
        <v>538</v>
      </c>
      <c r="AE4" t="str">
        <f>IF(AND('AIRFLOW FORM 7'!$E$15&gt;=0.5,'AIRFLOW FORM 7'!$E$15&lt;=11.3),"","FAIL")</f>
        <v>FAIL</v>
      </c>
      <c r="AH4" s="2" t="s">
        <v>508</v>
      </c>
      <c r="AI4" s="2" t="s">
        <v>538</v>
      </c>
      <c r="AJ4" s="2" t="str">
        <f>IF(AND('AIRFLOW FORM 8'!$E$15&gt;=0.5,'AIRFLOW FORM 8'!$E$15&lt;=11.3),"","FAIL")</f>
        <v>FAIL</v>
      </c>
      <c r="AM4" s="2" t="s">
        <v>508</v>
      </c>
      <c r="AN4" s="2" t="s">
        <v>538</v>
      </c>
      <c r="AO4" s="2" t="str">
        <f>IF(AND('AIRFLOW FORM 9'!$E$15&gt;=0.5,'AIRFLOW FORM 9'!$E$15&lt;=11.3),"","FAIL")</f>
        <v>FAIL</v>
      </c>
      <c r="AR4" s="2" t="s">
        <v>508</v>
      </c>
      <c r="AS4" s="2" t="s">
        <v>538</v>
      </c>
      <c r="AT4" s="2" t="str">
        <f>IF(AND('AIRFLOW FORM 10'!$E$15&gt;=0.5,'AIRFLOW FORM 10'!$E$15&lt;=11.3),"","FAIL")</f>
        <v>FAIL</v>
      </c>
    </row>
    <row r="5" spans="1:46">
      <c r="A5" s="105" t="s">
        <v>388</v>
      </c>
      <c r="B5" s="100" t="s">
        <v>509</v>
      </c>
      <c r="C5" s="105" t="str">
        <f>IF(AND('AIRFLOW FORM'!$E$19&gt;=0.1,'AIRFLOW FORM'!$E$19&lt;=0.8),"","FAIL")</f>
        <v>FAIL</v>
      </c>
      <c r="E5" s="2" t="s">
        <v>388</v>
      </c>
      <c r="F5" s="2" t="s">
        <v>509</v>
      </c>
      <c r="G5" s="2" t="str">
        <f>IF(AND('AIRFLOW FORM 2'!$E$18&gt;=0.1,'AIRFLOW FORM 2'!$E$18&lt;=0.8),"","FAIL")</f>
        <v>FAIL</v>
      </c>
      <c r="I5" s="2" t="s">
        <v>388</v>
      </c>
      <c r="J5" s="2" t="s">
        <v>509</v>
      </c>
      <c r="K5" s="2" t="str">
        <f>IF(AND('AIRFLOW FORM 3'!$E$18&gt;=0.1,'AIRFLOW FORM 3'!$E$18&lt;=0.8),"","FAIL")</f>
        <v>FAIL</v>
      </c>
      <c r="N5" s="2" t="s">
        <v>388</v>
      </c>
      <c r="O5" s="2" t="s">
        <v>509</v>
      </c>
      <c r="P5" s="2" t="str">
        <f>IF(AND('AIRFLOW FORM 4'!$E$18&gt;=0.1,'AIRFLOW FORM 4'!$E$18&lt;=0.8),"","FAIL")</f>
        <v>FAIL</v>
      </c>
      <c r="S5" s="2" t="s">
        <v>388</v>
      </c>
      <c r="T5" s="2" t="s">
        <v>509</v>
      </c>
      <c r="U5" s="2" t="str">
        <f>IF(AND('AIRFLOW FORM 5'!$E$18&gt;=0.1,'AIRFLOW FORM 5'!$E$18&lt;=0.8),"","FAIL")</f>
        <v>FAIL</v>
      </c>
      <c r="X5" s="2" t="s">
        <v>388</v>
      </c>
      <c r="Y5" s="2" t="s">
        <v>509</v>
      </c>
      <c r="Z5" s="2" t="str">
        <f>IF(AND('AIRFLOW FORM 6'!$E$18&gt;=0.1,'AIRFLOW FORM 6'!$E$18&lt;=0.8),"","FAIL")</f>
        <v>FAIL</v>
      </c>
      <c r="AC5" t="s">
        <v>388</v>
      </c>
      <c r="AD5" t="s">
        <v>509</v>
      </c>
      <c r="AE5" t="str">
        <f>IF(AND('AIRFLOW FORM 7'!$E$18&gt;=0.1,'AIRFLOW FORM 7'!$E$18&lt;=0.8),"","FAIL")</f>
        <v>FAIL</v>
      </c>
      <c r="AH5" s="2" t="s">
        <v>388</v>
      </c>
      <c r="AI5" s="2" t="s">
        <v>509</v>
      </c>
      <c r="AJ5" s="2" t="str">
        <f>IF(AND('AIRFLOW FORM 8'!$E$18&gt;=0.1,'AIRFLOW FORM 8'!$E$18&lt;=0.8),"","FAIL")</f>
        <v>FAIL</v>
      </c>
      <c r="AM5" s="2" t="s">
        <v>388</v>
      </c>
      <c r="AN5" s="2" t="s">
        <v>509</v>
      </c>
      <c r="AO5" s="2" t="str">
        <f>IF(AND('AIRFLOW FORM 9'!$E$18&gt;=0.1,'AIRFLOW FORM 9'!$E$18&lt;=0.8),"","FAIL")</f>
        <v>FAIL</v>
      </c>
      <c r="AR5" s="2" t="s">
        <v>388</v>
      </c>
      <c r="AS5" s="2" t="s">
        <v>509</v>
      </c>
      <c r="AT5" s="2" t="str">
        <f>IF(AND('AIRFLOW FORM 10'!$E$18&gt;=0.1,'AIRFLOW FORM 10'!$E$18&lt;=0.8),"","FAIL")</f>
        <v>FAIL</v>
      </c>
    </row>
    <row r="6" spans="1:46">
      <c r="A6" s="105" t="s">
        <v>510</v>
      </c>
      <c r="B6" s="100" t="s">
        <v>511</v>
      </c>
      <c r="C6" s="105" t="str">
        <f>IF(AND('AIRFLOW FORM'!$M$16&gt;=325,'AIRFLOW FORM'!$M$16&lt;=450),"","FAIL")</f>
        <v>FAIL</v>
      </c>
      <c r="E6" s="2" t="s">
        <v>510</v>
      </c>
      <c r="F6" s="2" t="s">
        <v>511</v>
      </c>
      <c r="G6" s="2" t="str">
        <f>IF(AND('AIRFLOW FORM 2'!$M$15&gt;=325,'AIRFLOW FORM 2'!$M$15&lt;=450),"","FAIL")</f>
        <v>FAIL</v>
      </c>
      <c r="I6" s="2" t="s">
        <v>510</v>
      </c>
      <c r="J6" s="2" t="s">
        <v>511</v>
      </c>
      <c r="K6" s="2" t="str">
        <f>IF(AND('AIRFLOW FORM 3'!$M$15&gt;=325,'AIRFLOW FORM 3'!$M$15&lt;=450),"","FAIL")</f>
        <v>FAIL</v>
      </c>
      <c r="N6" s="2" t="s">
        <v>510</v>
      </c>
      <c r="O6" s="2" t="s">
        <v>511</v>
      </c>
      <c r="P6" s="2" t="str">
        <f>IF(AND('AIRFLOW FORM 4'!$M$15&gt;=325,'AIRFLOW FORM 4'!$M$15&lt;=450),"","FAIL")</f>
        <v>FAIL</v>
      </c>
      <c r="S6" s="2" t="s">
        <v>510</v>
      </c>
      <c r="T6" s="2" t="s">
        <v>511</v>
      </c>
      <c r="U6" s="2" t="str">
        <f>IF(AND('AIRFLOW FORM 5'!$M$15&gt;=325,'AIRFLOW FORM 5'!$M$15&lt;=450),"","FAIL")</f>
        <v>FAIL</v>
      </c>
      <c r="X6" s="2" t="s">
        <v>510</v>
      </c>
      <c r="Y6" s="2" t="s">
        <v>511</v>
      </c>
      <c r="Z6" s="2" t="str">
        <f>IF(AND('AIRFLOW FORM 6'!$M$15&gt;=325,'AIRFLOW FORM 6'!$M$15&lt;=450),"","FAIL")</f>
        <v>FAIL</v>
      </c>
      <c r="AC6" t="s">
        <v>510</v>
      </c>
      <c r="AD6" t="s">
        <v>511</v>
      </c>
      <c r="AE6" t="str">
        <f>IF(AND('AIRFLOW FORM 7'!$M$15&gt;=325,'AIRFLOW FORM 7'!$M$15&lt;=450),"","FAIL")</f>
        <v>FAIL</v>
      </c>
      <c r="AH6" s="2" t="s">
        <v>510</v>
      </c>
      <c r="AI6" s="2" t="s">
        <v>511</v>
      </c>
      <c r="AJ6" s="2" t="str">
        <f>IF(AND('AIRFLOW FORM 8'!$M$15&gt;=325,'AIRFLOW FORM 8'!$M$15&lt;=450),"","FAIL")</f>
        <v>FAIL</v>
      </c>
      <c r="AM6" s="2" t="s">
        <v>510</v>
      </c>
      <c r="AN6" s="2" t="s">
        <v>511</v>
      </c>
      <c r="AO6" s="2" t="str">
        <f>IF(AND('AIRFLOW FORM 9'!$M$15&gt;=325,'AIRFLOW FORM 9'!$M$15&lt;=450),"","FAIL")</f>
        <v>FAIL</v>
      </c>
      <c r="AR6" s="2" t="s">
        <v>510</v>
      </c>
      <c r="AS6" s="2" t="s">
        <v>511</v>
      </c>
      <c r="AT6" s="2" t="str">
        <f>IF(AND('AIRFLOW FORM 10'!$M$15&gt;=325,'AIRFLOW FORM 10'!$M$15&lt;=450),"","FAIL")</f>
        <v>FAIL</v>
      </c>
    </row>
    <row r="7" spans="1:46">
      <c r="A7" s="105" t="s">
        <v>389</v>
      </c>
      <c r="B7" s="100" t="s">
        <v>509</v>
      </c>
      <c r="C7" s="105" t="str">
        <f>IF(AND('AIRFLOW FORM'!$M$19&gt;=0.1,'AIRFLOW FORM'!$M$19&lt;=0.8),"","FAIL")</f>
        <v>FAIL</v>
      </c>
      <c r="E7" s="2" t="s">
        <v>389</v>
      </c>
      <c r="F7" s="2" t="s">
        <v>509</v>
      </c>
      <c r="G7" s="2" t="str">
        <f>IF(AND('AIRFLOW FORM 2'!$M$18&gt;=0.1,'AIRFLOW FORM 2'!$M$18&lt;=0.8),"","FAIL")</f>
        <v>FAIL</v>
      </c>
      <c r="I7" s="2" t="s">
        <v>389</v>
      </c>
      <c r="J7" s="2" t="s">
        <v>509</v>
      </c>
      <c r="K7" s="2" t="str">
        <f>IF(AND('AIRFLOW FORM 3'!$M$18&gt;=0.1,'AIRFLOW FORM 3'!$M$18&lt;=0.8),"","FAIL")</f>
        <v>FAIL</v>
      </c>
      <c r="N7" s="2" t="s">
        <v>389</v>
      </c>
      <c r="O7" s="2" t="s">
        <v>509</v>
      </c>
      <c r="P7" s="2" t="str">
        <f>IF(AND('AIRFLOW FORM 4'!$M$18&gt;=0.1,'AIRFLOW FORM 4'!$M$18&lt;=0.8),"","FAIL")</f>
        <v>FAIL</v>
      </c>
      <c r="S7" s="2" t="s">
        <v>389</v>
      </c>
      <c r="T7" s="2" t="s">
        <v>509</v>
      </c>
      <c r="U7" s="2" t="str">
        <f>IF(AND('AIRFLOW FORM 5'!$M$18&gt;=0.1,'AIRFLOW FORM 5'!$M$18&lt;=0.8),"","FAIL")</f>
        <v>FAIL</v>
      </c>
      <c r="X7" s="2" t="s">
        <v>389</v>
      </c>
      <c r="Y7" s="2" t="s">
        <v>509</v>
      </c>
      <c r="Z7" s="2" t="str">
        <f>IF(AND('AIRFLOW FORM 6'!$M$18&gt;=0.1,'AIRFLOW FORM 6'!$M$18&lt;=0.8),"","FAIL")</f>
        <v>FAIL</v>
      </c>
      <c r="AC7" t="s">
        <v>389</v>
      </c>
      <c r="AD7" t="s">
        <v>509</v>
      </c>
      <c r="AE7" t="str">
        <f>IF(AND('AIRFLOW FORM 7'!$M$18&gt;=0.1,'AIRFLOW FORM 7'!$M$18&lt;=0.8),"","FAIL")</f>
        <v>FAIL</v>
      </c>
      <c r="AH7" s="2" t="s">
        <v>389</v>
      </c>
      <c r="AI7" s="2" t="s">
        <v>509</v>
      </c>
      <c r="AJ7" s="2" t="str">
        <f>IF(AND('AIRFLOW FORM 8'!$M$18&gt;=0.1,'AIRFLOW FORM 8'!$M$18&lt;=0.8),"","FAIL")</f>
        <v>FAIL</v>
      </c>
      <c r="AM7" s="2" t="s">
        <v>389</v>
      </c>
      <c r="AN7" s="2" t="s">
        <v>509</v>
      </c>
      <c r="AO7" s="2" t="str">
        <f>IF(AND('AIRFLOW FORM 9'!$M$18&gt;=0.1,'AIRFLOW FORM 9'!$M$18&lt;=0.8),"","FAIL")</f>
        <v>FAIL</v>
      </c>
      <c r="AR7" s="2" t="s">
        <v>389</v>
      </c>
      <c r="AS7" s="2" t="s">
        <v>509</v>
      </c>
      <c r="AT7" s="2" t="str">
        <f>IF(AND('AIRFLOW FORM 10'!$M$18&gt;=0.1,'AIRFLOW FORM 10'!$M$18&lt;=0.8),"","FAIL")</f>
        <v>FAIL</v>
      </c>
    </row>
    <row r="8" spans="1:46">
      <c r="A8" s="105" t="s">
        <v>386</v>
      </c>
      <c r="B8" s="100" t="s">
        <v>539</v>
      </c>
      <c r="C8" s="105" t="str">
        <f>IF(AND('AIRFLOW FORM'!$E$26&gt;=600,'AIRFLOW FORM'!$E$26&lt;=5000),"","FAIL")</f>
        <v>FAIL</v>
      </c>
      <c r="E8" s="2" t="s">
        <v>386</v>
      </c>
      <c r="F8" s="2" t="s">
        <v>539</v>
      </c>
      <c r="G8" s="2" t="str">
        <f>IF(AND('AIRFLOW FORM 2'!$E$25&gt;=600,'AIRFLOW FORM 2'!$E$25&lt;=5000),"","FAIL")</f>
        <v>FAIL</v>
      </c>
      <c r="I8" s="2" t="s">
        <v>386</v>
      </c>
      <c r="J8" s="2" t="s">
        <v>539</v>
      </c>
      <c r="K8" s="2" t="str">
        <f>IF(AND('AIRFLOW FORM 3'!$E$25&gt;=600,'AIRFLOW FORM 3'!$E$25&lt;=5000),"","FAIL")</f>
        <v>FAIL</v>
      </c>
      <c r="N8" s="2" t="s">
        <v>386</v>
      </c>
      <c r="O8" s="2" t="s">
        <v>539</v>
      </c>
      <c r="P8" s="2" t="str">
        <f>IF(AND('AIRFLOW FORM 4'!$E$25&gt;=600,'AIRFLOW FORM 4'!$E$25&lt;=5000),"","FAIL")</f>
        <v>FAIL</v>
      </c>
      <c r="S8" s="2" t="s">
        <v>386</v>
      </c>
      <c r="T8" s="2" t="s">
        <v>539</v>
      </c>
      <c r="U8" s="2" t="str">
        <f>IF(AND('AIRFLOW FORM 5'!$E$25&gt;=600,'AIRFLOW FORM 5'!$E$25&lt;=5000),"","FAIL")</f>
        <v>FAIL</v>
      </c>
      <c r="X8" s="2" t="s">
        <v>386</v>
      </c>
      <c r="Y8" s="2" t="s">
        <v>539</v>
      </c>
      <c r="Z8" s="2" t="str">
        <f>IF(AND('AIRFLOW FORM 6'!$E$25&gt;=600,'AIRFLOW FORM 6'!$E$25&lt;=5000),"","FAIL")</f>
        <v>FAIL</v>
      </c>
      <c r="AC8" t="s">
        <v>386</v>
      </c>
      <c r="AD8" t="s">
        <v>539</v>
      </c>
      <c r="AE8" t="str">
        <f>IF(AND('AIRFLOW FORM 7'!$E$25&gt;=600,'AIRFLOW FORM 7'!$E$25&lt;=5000),"","FAIL")</f>
        <v>FAIL</v>
      </c>
      <c r="AH8" s="2" t="s">
        <v>386</v>
      </c>
      <c r="AI8" s="2" t="s">
        <v>539</v>
      </c>
      <c r="AJ8" s="2" t="str">
        <f>IF(AND('AIRFLOW FORM 8'!$E$25&gt;=600,'AIRFLOW FORM 8'!$E$25&lt;=5000),"","FAIL")</f>
        <v>FAIL</v>
      </c>
      <c r="AM8" s="2" t="s">
        <v>386</v>
      </c>
      <c r="AN8" s="2" t="s">
        <v>539</v>
      </c>
      <c r="AO8" s="2" t="str">
        <f>IF(AND('AIRFLOW FORM 9'!$E$25&gt;=600,'AIRFLOW FORM 9'!$E$25&lt;=5000),"","FAIL")</f>
        <v>FAIL</v>
      </c>
      <c r="AR8" s="2" t="s">
        <v>386</v>
      </c>
      <c r="AS8" s="2" t="s">
        <v>539</v>
      </c>
      <c r="AT8" s="2" t="str">
        <f>IF(AND('AIRFLOW FORM 10'!$E$25&gt;=600,'AIRFLOW FORM 10'!$E$25&lt;=5000),"","FAIL")</f>
        <v>FAIL</v>
      </c>
    </row>
    <row r="9" spans="1:46">
      <c r="A9" s="105" t="s">
        <v>387</v>
      </c>
      <c r="B9" s="100" t="s">
        <v>539</v>
      </c>
      <c r="C9" s="105" t="str">
        <f>IF(AND('AIRFLOW FORM'!$E$23&gt;=600,'AIRFLOW FORM'!$E$23&lt;=5000),"","FAIL")</f>
        <v>FAIL</v>
      </c>
      <c r="E9" s="2" t="s">
        <v>387</v>
      </c>
      <c r="F9" s="2" t="s">
        <v>539</v>
      </c>
      <c r="G9" s="2" t="str">
        <f>IF(AND('AIRFLOW FORM 2'!$E$22&gt;=600,'AIRFLOW FORM 2'!$E$22&lt;=5000),"","FAIL")</f>
        <v>FAIL</v>
      </c>
      <c r="I9" s="2" t="s">
        <v>387</v>
      </c>
      <c r="J9" s="2" t="s">
        <v>539</v>
      </c>
      <c r="K9" s="2" t="str">
        <f>IF(AND('AIRFLOW FORM 3'!$E$22&gt;=600,'AIRFLOW FORM 3'!$E$22&lt;=5000),"","FAIL")</f>
        <v>FAIL</v>
      </c>
      <c r="N9" s="2" t="s">
        <v>387</v>
      </c>
      <c r="O9" s="2" t="s">
        <v>539</v>
      </c>
      <c r="P9" s="2" t="str">
        <f>IF(AND('AIRFLOW FORM 4'!$E$22&gt;=600,'AIRFLOW FORM 4'!$E$22&lt;=5000),"","FAIL")</f>
        <v>FAIL</v>
      </c>
      <c r="S9" s="2" t="s">
        <v>387</v>
      </c>
      <c r="T9" s="2" t="s">
        <v>539</v>
      </c>
      <c r="U9" s="2" t="str">
        <f>IF(AND('AIRFLOW FORM 5'!$E$22&gt;=600,'AIRFLOW FORM 5'!$E$22&lt;=5000),"","FAIL")</f>
        <v>FAIL</v>
      </c>
      <c r="X9" s="2" t="s">
        <v>387</v>
      </c>
      <c r="Y9" s="2" t="s">
        <v>539</v>
      </c>
      <c r="Z9" s="2" t="str">
        <f>IF(AND('AIRFLOW FORM 6'!$E$22&gt;=600,'AIRFLOW FORM 6'!$E$22&lt;=5000),"","FAIL")</f>
        <v>FAIL</v>
      </c>
      <c r="AC9" t="s">
        <v>387</v>
      </c>
      <c r="AD9" t="s">
        <v>539</v>
      </c>
      <c r="AE9" t="str">
        <f>IF(AND('AIRFLOW FORM 7'!$E$22&gt;=600,'AIRFLOW FORM 7'!$E$22&lt;=5000),"","FAIL")</f>
        <v>FAIL</v>
      </c>
      <c r="AH9" s="2" t="s">
        <v>387</v>
      </c>
      <c r="AI9" s="2" t="s">
        <v>539</v>
      </c>
      <c r="AJ9" s="2" t="str">
        <f>IF(AND('AIRFLOW FORM 8'!$E$22&gt;=600,'AIRFLOW FORM 8'!$E$22&lt;=5000),"","FAIL")</f>
        <v>FAIL</v>
      </c>
      <c r="AM9" s="2" t="s">
        <v>387</v>
      </c>
      <c r="AN9" s="2" t="s">
        <v>539</v>
      </c>
      <c r="AO9" s="2" t="str">
        <f>IF(AND('AIRFLOW FORM 9'!$E$22&gt;=600,'AIRFLOW FORM 9'!$E$22&lt;=5000),"","FAIL")</f>
        <v>FAIL</v>
      </c>
      <c r="AR9" s="2" t="s">
        <v>387</v>
      </c>
      <c r="AS9" s="2" t="s">
        <v>539</v>
      </c>
      <c r="AT9" s="2" t="str">
        <f>IF(AND('AIRFLOW FORM 10'!$E$22&gt;=600,'AIRFLOW FORM 10'!$E$22&lt;=5000),"","FAIL")</f>
        <v>FAIL</v>
      </c>
    </row>
    <row r="10" spans="1:46">
      <c r="A10" s="105"/>
      <c r="B10" s="100"/>
      <c r="C10" s="105"/>
    </row>
    <row r="11" spans="1:46">
      <c r="A11" s="105"/>
      <c r="B11" s="100"/>
      <c r="C11" s="105"/>
    </row>
    <row r="12" spans="1:46">
      <c r="A12" s="106"/>
      <c r="B12" s="102"/>
      <c r="C12" s="106"/>
    </row>
    <row r="15" spans="1:46" ht="26">
      <c r="A15" s="160" t="s">
        <v>753</v>
      </c>
      <c r="B15" s="140" t="s">
        <v>507</v>
      </c>
      <c r="C15" s="140" t="s">
        <v>535</v>
      </c>
      <c r="E15" s="160" t="s">
        <v>754</v>
      </c>
      <c r="F15" s="140" t="s">
        <v>507</v>
      </c>
      <c r="G15" s="140" t="s">
        <v>535</v>
      </c>
      <c r="H15" s="168"/>
      <c r="I15" s="160" t="s">
        <v>757</v>
      </c>
      <c r="J15" s="140" t="s">
        <v>507</v>
      </c>
      <c r="K15" s="140" t="s">
        <v>535</v>
      </c>
      <c r="N15" s="160" t="s">
        <v>758</v>
      </c>
      <c r="O15" s="140" t="s">
        <v>507</v>
      </c>
      <c r="P15" s="140" t="s">
        <v>535</v>
      </c>
      <c r="S15" s="160" t="s">
        <v>759</v>
      </c>
      <c r="T15" s="140" t="s">
        <v>507</v>
      </c>
      <c r="U15" s="140" t="s">
        <v>535</v>
      </c>
      <c r="X15" s="160" t="s">
        <v>760</v>
      </c>
      <c r="Y15" s="140" t="s">
        <v>507</v>
      </c>
      <c r="Z15" s="140" t="s">
        <v>535</v>
      </c>
      <c r="AC15" s="160" t="s">
        <v>764</v>
      </c>
      <c r="AD15" s="140" t="s">
        <v>507</v>
      </c>
      <c r="AE15" s="140" t="s">
        <v>535</v>
      </c>
      <c r="AH15" s="160" t="s">
        <v>771</v>
      </c>
      <c r="AI15" s="140" t="s">
        <v>507</v>
      </c>
      <c r="AJ15" s="140" t="s">
        <v>535</v>
      </c>
      <c r="AM15" s="160" t="s">
        <v>766</v>
      </c>
      <c r="AN15" s="140" t="s">
        <v>507</v>
      </c>
      <c r="AO15" s="140" t="s">
        <v>535</v>
      </c>
      <c r="AR15" s="160" t="s">
        <v>768</v>
      </c>
      <c r="AS15" s="140" t="s">
        <v>507</v>
      </c>
      <c r="AT15" s="140" t="s">
        <v>535</v>
      </c>
    </row>
    <row r="16" spans="1:46">
      <c r="A16" s="104" t="s">
        <v>390</v>
      </c>
      <c r="B16" s="161" t="s">
        <v>513</v>
      </c>
      <c r="C16" s="104" t="str">
        <f>IF(AND('AIRFLOW FORM'!$E$50&gt;=6,'AIRFLOW FORM'!$E$50&lt;=14),"","FAIL")</f>
        <v>FAIL</v>
      </c>
      <c r="E16" s="2" t="s">
        <v>390</v>
      </c>
      <c r="F16" s="2" t="s">
        <v>513</v>
      </c>
      <c r="G16" s="2" t="str">
        <f>IF(AND('AIRFLOW FORM 2'!$E$49&gt;=6,'AIRFLOW FORM 2'!$E$49&lt;=14),"","FAIL")</f>
        <v>FAIL</v>
      </c>
      <c r="I16" s="2" t="s">
        <v>390</v>
      </c>
      <c r="J16" s="2" t="s">
        <v>513</v>
      </c>
      <c r="K16" s="2" t="str">
        <f>IF(AND('AIRFLOW FORM 3'!$E$49&gt;=6,'AIRFLOW FORM 3'!$E$49&lt;=14),"","FAIL")</f>
        <v>FAIL</v>
      </c>
      <c r="N16" s="2" t="s">
        <v>390</v>
      </c>
      <c r="O16" s="2" t="s">
        <v>513</v>
      </c>
      <c r="P16" s="2" t="str">
        <f>IF(AND('AIRFLOW FORM 4'!$E$49&gt;=6,'AIRFLOW FORM 4'!$E$49&lt;=14),"","FAIL")</f>
        <v>FAIL</v>
      </c>
      <c r="S16" s="2" t="s">
        <v>390</v>
      </c>
      <c r="T16" s="2" t="s">
        <v>513</v>
      </c>
      <c r="U16" s="2" t="str">
        <f>IF(AND('AIRFLOW FORM 5'!$E$49&gt;=6,'AIRFLOW FORM 5'!$E$49&lt;=14),"","FAIL")</f>
        <v>FAIL</v>
      </c>
      <c r="X16" s="2" t="s">
        <v>390</v>
      </c>
      <c r="Y16" s="2" t="s">
        <v>513</v>
      </c>
      <c r="Z16" s="2" t="str">
        <f>IF(AND('AIRFLOW FORM 6'!$E$49&gt;=6,'AIRFLOW FORM 6'!$E$49&lt;=14),"","FAIL")</f>
        <v>FAIL</v>
      </c>
      <c r="AC16" t="s">
        <v>390</v>
      </c>
      <c r="AD16" t="s">
        <v>513</v>
      </c>
      <c r="AE16" t="str">
        <f>IF(AND('AIRFLOW FORM 7'!$E$49&gt;=6,'AIRFLOW FORM 7'!$E$49&lt;=14),"","FAIL")</f>
        <v>FAIL</v>
      </c>
      <c r="AH16" s="2" t="s">
        <v>390</v>
      </c>
      <c r="AI16" s="2" t="s">
        <v>513</v>
      </c>
      <c r="AJ16" s="2" t="str">
        <f>IF(AND('AIRFLOW FORM 8'!$E$49&gt;=6,'AIRFLOW FORM 8'!$E$49&lt;=14),"","FAIL")</f>
        <v>FAIL</v>
      </c>
      <c r="AM16" s="2" t="s">
        <v>390</v>
      </c>
      <c r="AN16" s="2" t="s">
        <v>513</v>
      </c>
      <c r="AO16" s="2" t="str">
        <f>IF(AND('AIRFLOW FORM 9'!$E$49&gt;=6,'AIRFLOW FORM 9'!$E$49&lt;=14),"","FAIL")</f>
        <v>FAIL</v>
      </c>
      <c r="AR16" s="2" t="s">
        <v>390</v>
      </c>
      <c r="AS16" s="2" t="s">
        <v>513</v>
      </c>
      <c r="AT16" s="2" t="str">
        <f>IF(AND('AIRFLOW FORM 10'!$E$49&gt;=6,'AIRFLOW FORM 10'!$E$49&lt;=14),"","FAIL")</f>
        <v>FAIL</v>
      </c>
    </row>
    <row r="17" spans="1:46">
      <c r="A17" s="105" t="s">
        <v>391</v>
      </c>
      <c r="B17" s="100" t="s">
        <v>514</v>
      </c>
      <c r="C17" s="105" t="str">
        <f>IF(AND('AIRFLOW FORM'!$E$52&gt;=60,'AIRFLOW FORM'!$E$52&lt;=100),"","FAIL")</f>
        <v>FAIL</v>
      </c>
      <c r="E17" s="2" t="s">
        <v>391</v>
      </c>
      <c r="F17" s="2" t="s">
        <v>514</v>
      </c>
      <c r="G17" s="2" t="str">
        <f>IF(AND('AIRFLOW FORM 2'!$E$51&gt;=60,'AIRFLOW FORM 2'!$E$51&lt;=100),"","FAIL")</f>
        <v>FAIL</v>
      </c>
      <c r="I17" s="2" t="s">
        <v>391</v>
      </c>
      <c r="J17" s="2" t="s">
        <v>514</v>
      </c>
      <c r="K17" s="2" t="str">
        <f>IF(AND('AIRFLOW FORM 3'!$E$51&gt;=60,'AIRFLOW FORM 3'!$E$51&lt;=100),"","FAIL")</f>
        <v>FAIL</v>
      </c>
      <c r="N17" s="2" t="s">
        <v>391</v>
      </c>
      <c r="O17" s="2" t="s">
        <v>514</v>
      </c>
      <c r="P17" s="2" t="str">
        <f>IF(AND('AIRFLOW FORM 4'!$E$51&gt;=60,'AIRFLOW FORM 4'!$E$51&lt;=100),"","FAIL")</f>
        <v>FAIL</v>
      </c>
      <c r="S17" s="2" t="s">
        <v>391</v>
      </c>
      <c r="T17" s="2" t="s">
        <v>514</v>
      </c>
      <c r="U17" s="2" t="str">
        <f>IF(AND('AIRFLOW FORM 5'!$E$51&gt;=60,'AIRFLOW FORM 5'!$E$51&lt;=100),"","FAIL")</f>
        <v>FAIL</v>
      </c>
      <c r="X17" s="2" t="s">
        <v>391</v>
      </c>
      <c r="Y17" s="2" t="s">
        <v>514</v>
      </c>
      <c r="Z17" s="2" t="str">
        <f>IF(AND('AIRFLOW FORM 6'!$E$51&gt;=60,'AIRFLOW FORM 6'!$E$51&lt;=100),"","FAIL")</f>
        <v>FAIL</v>
      </c>
      <c r="AC17" t="s">
        <v>391</v>
      </c>
      <c r="AD17" t="s">
        <v>514</v>
      </c>
      <c r="AE17" t="str">
        <f>IF(AND('AIRFLOW FORM 7'!$E$51&gt;=60,'AIRFLOW FORM 7'!$E$51&lt;=100),"","FAIL")</f>
        <v>FAIL</v>
      </c>
      <c r="AH17" s="2" t="s">
        <v>391</v>
      </c>
      <c r="AI17" s="2" t="s">
        <v>514</v>
      </c>
      <c r="AJ17" s="2" t="str">
        <f>IF(AND('AIRFLOW FORM 8'!$E$51&gt;=60,'AIRFLOW FORM 8'!$E$51&lt;=100),"","FAIL")</f>
        <v>FAIL</v>
      </c>
      <c r="AM17" s="2" t="s">
        <v>391</v>
      </c>
      <c r="AN17" s="2" t="s">
        <v>514</v>
      </c>
      <c r="AO17" s="2" t="str">
        <f>IF(AND('AIRFLOW FORM 9'!$E$51&gt;=60,'AIRFLOW FORM 9'!$E$51&lt;=100),"","FAIL")</f>
        <v>FAIL</v>
      </c>
      <c r="AR17" s="2" t="s">
        <v>391</v>
      </c>
      <c r="AS17" s="2" t="s">
        <v>514</v>
      </c>
      <c r="AT17" s="2" t="str">
        <f>IF(AND('AIRFLOW FORM 10'!$E$51&gt;=60,'AIRFLOW FORM 10'!$E$51&lt;=100),"","FAIL")</f>
        <v>FAIL</v>
      </c>
    </row>
    <row r="18" spans="1:46">
      <c r="A18" s="105" t="s">
        <v>112</v>
      </c>
      <c r="B18" s="100" t="s">
        <v>515</v>
      </c>
      <c r="C18" s="105" t="str">
        <f>IF(AND('AIRFLOW FORM'!$E$56&gt;=195,'AIRFLOW FORM'!$E$56&lt;=475),"","FAIL")</f>
        <v>FAIL</v>
      </c>
      <c r="E18" s="2" t="s">
        <v>112</v>
      </c>
      <c r="F18" s="2" t="s">
        <v>515</v>
      </c>
      <c r="G18" s="2" t="str">
        <f>IF(AND('AIRFLOW FORM 2'!$E$55&gt;=195,'AIRFLOW FORM 2'!$E$55&lt;=475),"","FAIL")</f>
        <v>FAIL</v>
      </c>
      <c r="I18" s="2" t="s">
        <v>112</v>
      </c>
      <c r="J18" s="2" t="s">
        <v>515</v>
      </c>
      <c r="K18" s="2" t="str">
        <f>IF(AND('AIRFLOW FORM 3'!$E$55&gt;=195,'AIRFLOW FORM 3'!$E$55&lt;=475),"","FAIL")</f>
        <v>FAIL</v>
      </c>
      <c r="N18" s="2" t="s">
        <v>112</v>
      </c>
      <c r="O18" s="2" t="s">
        <v>515</v>
      </c>
      <c r="P18" s="2" t="str">
        <f>IF(AND('AIRFLOW FORM 4'!$E$55&gt;=195,'AIRFLOW FORM 4'!$E$55&lt;=475),"","FAIL")</f>
        <v>FAIL</v>
      </c>
      <c r="S18" s="2" t="s">
        <v>112</v>
      </c>
      <c r="T18" s="2" t="s">
        <v>515</v>
      </c>
      <c r="U18" s="2" t="str">
        <f>IF(AND('AIRFLOW FORM 5'!$E$55&gt;=195,'AIRFLOW FORM 5'!$E$55&lt;=475),"","FAIL")</f>
        <v>FAIL</v>
      </c>
      <c r="X18" s="2" t="s">
        <v>112</v>
      </c>
      <c r="Y18" s="2" t="s">
        <v>515</v>
      </c>
      <c r="Z18" s="2" t="str">
        <f>IF(AND('AIRFLOW FORM 6'!$E$55&gt;=195,'AIRFLOW FORM 6'!$E$55&lt;=475),"","FAIL")</f>
        <v>FAIL</v>
      </c>
      <c r="AC18" t="s">
        <v>112</v>
      </c>
      <c r="AD18" t="s">
        <v>515</v>
      </c>
      <c r="AE18" t="str">
        <f>IF(AND('AIRFLOW FORM 7'!$E$55&gt;=195,'AIRFLOW FORM 7'!$E$55&lt;=475),"","FAIL")</f>
        <v>FAIL</v>
      </c>
      <c r="AH18" s="2" t="s">
        <v>112</v>
      </c>
      <c r="AI18" s="2" t="s">
        <v>515</v>
      </c>
      <c r="AJ18" s="2" t="str">
        <f>IF(AND('AIRFLOW FORM 8'!$E$55&gt;=195,'AIRFLOW FORM 8'!$E$55&lt;=475),"","FAIL")</f>
        <v>FAIL</v>
      </c>
      <c r="AM18" s="2" t="s">
        <v>112</v>
      </c>
      <c r="AN18" s="2" t="s">
        <v>515</v>
      </c>
      <c r="AO18" s="2" t="str">
        <f>IF(AND('AIRFLOW FORM 9'!$E$55&gt;=195,'AIRFLOW FORM 9'!$E$55&lt;=475),"","FAIL")</f>
        <v>FAIL</v>
      </c>
      <c r="AR18" s="2" t="s">
        <v>112</v>
      </c>
      <c r="AS18" s="2" t="s">
        <v>515</v>
      </c>
      <c r="AT18" s="2" t="str">
        <f>IF(AND('AIRFLOW FORM 10'!$E$55&gt;=195,'AIRFLOW FORM 10'!$E$55&lt;=475),"","FAIL")</f>
        <v>FAIL</v>
      </c>
    </row>
    <row r="19" spans="1:46">
      <c r="A19" s="105" t="s">
        <v>392</v>
      </c>
      <c r="B19" s="161" t="s">
        <v>516</v>
      </c>
      <c r="C19" s="105" t="str">
        <f>IF(AND('AIRFLOW FORM'!$E$58&gt;=71,'AIRFLOW FORM'!$E$58&lt;=130),"","FAIL")</f>
        <v>FAIL</v>
      </c>
      <c r="E19" s="2" t="s">
        <v>392</v>
      </c>
      <c r="F19" s="2" t="s">
        <v>516</v>
      </c>
      <c r="G19" s="2" t="str">
        <f>IF(AND('AIRFLOW FORM 2'!$E$57&gt;=71,'AIRFLOW FORM 2'!$E$57&lt;=130),"","FAIL")</f>
        <v>FAIL</v>
      </c>
      <c r="I19" s="2" t="s">
        <v>392</v>
      </c>
      <c r="J19" s="2" t="s">
        <v>516</v>
      </c>
      <c r="K19" s="2" t="str">
        <f>IF(AND('AIRFLOW FORM 3'!$E$57&gt;=71,'AIRFLOW FORM 3'!$E$57&lt;=130),"","FAIL")</f>
        <v>FAIL</v>
      </c>
      <c r="N19" s="2" t="s">
        <v>392</v>
      </c>
      <c r="O19" s="2" t="s">
        <v>516</v>
      </c>
      <c r="P19" s="2" t="str">
        <f>IF(AND('AIRFLOW FORM 4'!$E$57&gt;=71,'AIRFLOW FORM 4'!$E$57&lt;=130),"","FAIL")</f>
        <v>FAIL</v>
      </c>
      <c r="S19" s="2" t="s">
        <v>392</v>
      </c>
      <c r="T19" s="2" t="s">
        <v>516</v>
      </c>
      <c r="U19" s="2" t="str">
        <f>IF(AND('AIRFLOW FORM 5'!$E$57&gt;=71,'AIRFLOW FORM 5'!$E$57&lt;=130),"","FAIL")</f>
        <v>FAIL</v>
      </c>
      <c r="X19" s="2" t="s">
        <v>392</v>
      </c>
      <c r="Y19" s="2" t="s">
        <v>516</v>
      </c>
      <c r="Z19" s="2" t="str">
        <f>IF(AND('AIRFLOW FORM 6'!$E$57&gt;=71,'AIRFLOW FORM 6'!$E$57&lt;=130),"","FAIL")</f>
        <v>FAIL</v>
      </c>
      <c r="AC19" t="s">
        <v>392</v>
      </c>
      <c r="AD19" t="s">
        <v>516</v>
      </c>
      <c r="AE19" t="str">
        <f>IF(AND('AIRFLOW FORM 7'!$E$57&gt;=71,'AIRFLOW FORM 7'!$E$57&lt;=130),"","FAIL")</f>
        <v>FAIL</v>
      </c>
      <c r="AH19" s="2" t="s">
        <v>392</v>
      </c>
      <c r="AI19" s="2" t="s">
        <v>516</v>
      </c>
      <c r="AJ19" s="2" t="str">
        <f>IF(AND('AIRFLOW FORM 8'!$E$57&gt;=71,'AIRFLOW FORM 8'!$E$57&lt;=130),"","FAIL")</f>
        <v>FAIL</v>
      </c>
      <c r="AM19" s="2" t="s">
        <v>392</v>
      </c>
      <c r="AN19" s="2" t="s">
        <v>516</v>
      </c>
      <c r="AO19" s="2" t="str">
        <f>IF(AND('AIRFLOW FORM 9'!$E$57&gt;=71,'AIRFLOW FORM 9'!$E$57&lt;=130),"","FAIL")</f>
        <v>FAIL</v>
      </c>
      <c r="AR19" s="2" t="s">
        <v>392</v>
      </c>
      <c r="AS19" s="2" t="s">
        <v>516</v>
      </c>
      <c r="AT19" s="2" t="str">
        <f>IF(AND('AIRFLOW FORM 10'!$E$57&gt;=71,'AIRFLOW FORM 10'!$E$57&lt;=130),"","FAIL")</f>
        <v>FAIL</v>
      </c>
    </row>
    <row r="20" spans="1:46">
      <c r="A20" s="105" t="s">
        <v>393</v>
      </c>
      <c r="B20" s="100" t="s">
        <v>517</v>
      </c>
      <c r="C20" s="105" t="str">
        <f>IF(AND('AIRFLOW FORM'!$E$60&gt;=57,'AIRFLOW FORM'!$E$60&lt;=116),"","FAIL")</f>
        <v>FAIL</v>
      </c>
      <c r="E20" s="2" t="s">
        <v>393</v>
      </c>
      <c r="F20" s="2" t="s">
        <v>517</v>
      </c>
      <c r="G20" s="2" t="str">
        <f>IF(AND('AIRFLOW FORM 2'!$E$59&gt;=57,'AIRFLOW FORM 2'!$E$59&lt;=116),"","FAIL")</f>
        <v>FAIL</v>
      </c>
      <c r="I20" s="2" t="s">
        <v>393</v>
      </c>
      <c r="J20" s="2" t="s">
        <v>517</v>
      </c>
      <c r="K20" s="2" t="str">
        <f>IF(AND('AIRFLOW FORM 3'!$E$59&gt;=57,'AIRFLOW FORM 3'!$E$59&lt;=116),"","FAIL")</f>
        <v>FAIL</v>
      </c>
      <c r="N20" s="2" t="s">
        <v>393</v>
      </c>
      <c r="O20" s="2" t="s">
        <v>517</v>
      </c>
      <c r="P20" s="2" t="str">
        <f>IF(AND('AIRFLOW FORM 4'!$E$59&gt;=57,'AIRFLOW FORM 4'!$E$59&lt;=116),"","FAIL")</f>
        <v>FAIL</v>
      </c>
      <c r="S20" s="2" t="s">
        <v>393</v>
      </c>
      <c r="T20" s="2" t="s">
        <v>517</v>
      </c>
      <c r="U20" s="2" t="str">
        <f>IF(AND('AIRFLOW FORM 5'!$E$59&gt;=57,'AIRFLOW FORM 5'!$E$59&lt;=116),"","FAIL")</f>
        <v>FAIL</v>
      </c>
      <c r="X20" s="2" t="s">
        <v>393</v>
      </c>
      <c r="Y20" s="2" t="s">
        <v>517</v>
      </c>
      <c r="Z20" s="2" t="str">
        <f>IF(AND('AIRFLOW FORM 6'!$E$59&gt;=57,'AIRFLOW FORM 6'!$E$59&lt;=116),"","FAIL")</f>
        <v>FAIL</v>
      </c>
      <c r="AC20" t="s">
        <v>393</v>
      </c>
      <c r="AD20" t="s">
        <v>517</v>
      </c>
      <c r="AE20" t="str">
        <f>IF(AND('AIRFLOW FORM 7'!$E$59&gt;=57,'AIRFLOW FORM 7'!$E$59&lt;=116),"","FAIL")</f>
        <v>FAIL</v>
      </c>
      <c r="AH20" s="2" t="s">
        <v>393</v>
      </c>
      <c r="AI20" s="2" t="s">
        <v>517</v>
      </c>
      <c r="AJ20" s="2" t="str">
        <f>IF(AND('AIRFLOW FORM 8'!$E$59&gt;=57,'AIRFLOW FORM 8'!$E$59&lt;=116),"","FAIL")</f>
        <v>FAIL</v>
      </c>
      <c r="AM20" s="2" t="s">
        <v>393</v>
      </c>
      <c r="AN20" s="2" t="s">
        <v>517</v>
      </c>
      <c r="AO20" s="2" t="str">
        <f>IF(AND('AIRFLOW FORM 9'!$E$59&gt;=57,'AIRFLOW FORM 9'!$E$59&lt;=116),"","FAIL")</f>
        <v>FAIL</v>
      </c>
      <c r="AR20" s="2" t="s">
        <v>393</v>
      </c>
      <c r="AS20" s="2" t="s">
        <v>517</v>
      </c>
      <c r="AT20" s="2" t="str">
        <f>IF(AND('AIRFLOW FORM 10'!$E$59&gt;=57,'AIRFLOW FORM 10'!$E$59&lt;=116),"","FAIL")</f>
        <v>FAIL</v>
      </c>
    </row>
    <row r="21" spans="1:46">
      <c r="A21" s="105" t="s">
        <v>394</v>
      </c>
      <c r="B21" s="161" t="s">
        <v>513</v>
      </c>
      <c r="C21" s="105"/>
      <c r="E21" s="2" t="s">
        <v>394</v>
      </c>
      <c r="F21" s="2" t="s">
        <v>513</v>
      </c>
      <c r="G21" s="2"/>
      <c r="I21" s="2" t="s">
        <v>394</v>
      </c>
      <c r="J21" s="2" t="s">
        <v>513</v>
      </c>
      <c r="K21" s="2"/>
      <c r="N21" s="2" t="s">
        <v>394</v>
      </c>
      <c r="O21" s="2" t="s">
        <v>513</v>
      </c>
      <c r="P21" s="2"/>
      <c r="S21" s="2" t="s">
        <v>394</v>
      </c>
      <c r="T21" s="2" t="s">
        <v>513</v>
      </c>
      <c r="U21" s="2"/>
      <c r="X21" s="2" t="s">
        <v>394</v>
      </c>
      <c r="Y21" s="2" t="s">
        <v>513</v>
      </c>
      <c r="Z21" s="2"/>
      <c r="AC21" t="s">
        <v>394</v>
      </c>
      <c r="AD21" t="s">
        <v>513</v>
      </c>
      <c r="AH21" s="2" t="s">
        <v>394</v>
      </c>
      <c r="AI21" s="2" t="s">
        <v>513</v>
      </c>
      <c r="AJ21" s="2"/>
      <c r="AM21" s="2" t="s">
        <v>394</v>
      </c>
      <c r="AN21" s="2" t="s">
        <v>513</v>
      </c>
      <c r="AO21" s="2"/>
      <c r="AR21" s="2" t="s">
        <v>394</v>
      </c>
      <c r="AS21" s="2" t="s">
        <v>513</v>
      </c>
      <c r="AT21" s="2"/>
    </row>
    <row r="22" spans="1:46">
      <c r="A22" s="105"/>
      <c r="B22" s="100"/>
      <c r="C22" s="105"/>
    </row>
    <row r="23" spans="1:46">
      <c r="A23" s="105"/>
      <c r="B23" s="100"/>
      <c r="C23" s="105"/>
    </row>
    <row r="24" spans="1:46">
      <c r="A24" s="106"/>
      <c r="B24" s="102"/>
      <c r="C24" s="106"/>
    </row>
    <row r="27" spans="1:46" ht="26">
      <c r="A27" s="160" t="s">
        <v>752</v>
      </c>
      <c r="B27" s="140" t="s">
        <v>507</v>
      </c>
      <c r="C27" s="140" t="s">
        <v>535</v>
      </c>
      <c r="E27" s="160" t="s">
        <v>755</v>
      </c>
      <c r="F27" s="140" t="s">
        <v>507</v>
      </c>
      <c r="G27" s="140" t="s">
        <v>535</v>
      </c>
      <c r="I27" s="160" t="s">
        <v>756</v>
      </c>
      <c r="J27" s="140" t="s">
        <v>507</v>
      </c>
      <c r="K27" s="140" t="s">
        <v>535</v>
      </c>
      <c r="N27" s="160" t="s">
        <v>761</v>
      </c>
      <c r="O27" s="140" t="s">
        <v>507</v>
      </c>
      <c r="P27" s="140" t="s">
        <v>535</v>
      </c>
      <c r="S27" s="160" t="s">
        <v>762</v>
      </c>
      <c r="T27" s="140" t="s">
        <v>507</v>
      </c>
      <c r="U27" s="140" t="s">
        <v>535</v>
      </c>
      <c r="X27" s="160" t="s">
        <v>763</v>
      </c>
      <c r="Y27" s="140" t="s">
        <v>507</v>
      </c>
      <c r="Z27" s="140" t="s">
        <v>535</v>
      </c>
      <c r="AC27" s="160" t="s">
        <v>765</v>
      </c>
      <c r="AD27" s="140" t="s">
        <v>507</v>
      </c>
      <c r="AE27" s="140" t="s">
        <v>535</v>
      </c>
      <c r="AH27" s="160" t="s">
        <v>770</v>
      </c>
      <c r="AI27" s="140" t="s">
        <v>507</v>
      </c>
      <c r="AJ27" s="140" t="s">
        <v>535</v>
      </c>
      <c r="AM27" s="160" t="s">
        <v>767</v>
      </c>
      <c r="AN27" s="140" t="s">
        <v>507</v>
      </c>
      <c r="AO27" s="140" t="s">
        <v>535</v>
      </c>
      <c r="AR27" s="160" t="s">
        <v>769</v>
      </c>
      <c r="AS27" s="140" t="s">
        <v>507</v>
      </c>
      <c r="AT27" s="140" t="s">
        <v>535</v>
      </c>
    </row>
    <row r="28" spans="1:46">
      <c r="A28" s="104" t="s">
        <v>518</v>
      </c>
      <c r="B28" s="304" t="s">
        <v>519</v>
      </c>
      <c r="C28" s="104" t="str">
        <f>IF(AND('AIRFLOW FORM'!$E$75&gt;=5,'AIRFLOW FORM'!$E$75&lt;=30),"","FAIL")</f>
        <v>FAIL</v>
      </c>
      <c r="E28" s="2" t="s">
        <v>518</v>
      </c>
      <c r="F28" s="2" t="s">
        <v>519</v>
      </c>
      <c r="G28" s="2" t="str">
        <f>IF(AND('AIRFLOW FORM 2'!$E$74&gt;=5,'AIRFLOW FORM 2'!$E$74&lt;=30),"","FAIL")</f>
        <v>FAIL</v>
      </c>
      <c r="I28" s="2" t="s">
        <v>518</v>
      </c>
      <c r="J28" s="2" t="s">
        <v>519</v>
      </c>
      <c r="K28" s="2" t="str">
        <f>IF(AND('AIRFLOW FORM 3'!$E$74&gt;=5,'AIRFLOW FORM 3'!$E$74&lt;=30),"","FAIL")</f>
        <v>FAIL</v>
      </c>
      <c r="N28" s="2" t="s">
        <v>518</v>
      </c>
      <c r="O28" s="2" t="s">
        <v>519</v>
      </c>
      <c r="P28" s="2" t="str">
        <f>IF(AND('AIRFLOW FORM 4'!$E$101&gt;=5,'AIRFLOW FORM 4'!$E$101&lt;=30),"","FAIL")</f>
        <v>FAIL</v>
      </c>
      <c r="S28" s="2" t="s">
        <v>518</v>
      </c>
      <c r="T28" s="2" t="s">
        <v>519</v>
      </c>
      <c r="U28" s="2" t="str">
        <f>IF(AND('AIRFLOW FORM 5'!$E$74&gt;=5,'AIRFLOW FORM 5'!$E$74&lt;=30),"","FAIL")</f>
        <v>FAIL</v>
      </c>
      <c r="X28" s="2" t="s">
        <v>518</v>
      </c>
      <c r="Y28" s="2" t="s">
        <v>519</v>
      </c>
      <c r="Z28" s="2" t="str">
        <f>IF(AND('AIRFLOW FORM 6'!$E$74&gt;=5,'AIRFLOW FORM 6'!$E$74&lt;=30),"","FAIL")</f>
        <v>FAIL</v>
      </c>
      <c r="AC28" s="2" t="s">
        <v>518</v>
      </c>
      <c r="AD28" s="2" t="s">
        <v>519</v>
      </c>
      <c r="AE28" s="2" t="str">
        <f>IF(AND('AIRFLOW FORM 7'!$E$74&gt;=5,'AIRFLOW FORM 7'!$E$74&lt;=30),"","FAIL")</f>
        <v>FAIL</v>
      </c>
      <c r="AH28" s="2" t="s">
        <v>518</v>
      </c>
      <c r="AI28" s="2" t="s">
        <v>519</v>
      </c>
      <c r="AJ28" s="2" t="str">
        <f>IF(AND('AIRFLOW FORM 8'!$E$74&gt;=5,'AIRFLOW FORM 8'!$E$74&lt;=30),"","FAIL")</f>
        <v>FAIL</v>
      </c>
      <c r="AM28" s="2" t="s">
        <v>518</v>
      </c>
      <c r="AN28" s="2" t="s">
        <v>519</v>
      </c>
      <c r="AO28" s="2" t="str">
        <f>IF(AND('AIRFLOW FORM 9'!$E$74&gt;=5,'AIRFLOW FORM 9'!$E$74&lt;=30),"","FAIL")</f>
        <v>FAIL</v>
      </c>
      <c r="AR28" s="2" t="s">
        <v>518</v>
      </c>
      <c r="AS28" s="2" t="s">
        <v>519</v>
      </c>
      <c r="AT28" s="2" t="str">
        <f>IF(AND('AIRFLOW FORM 10'!$E$74&gt;=5,'AIRFLOW FORM 10'!$E$74&lt;=30),"","FAIL")</f>
        <v>FAIL</v>
      </c>
    </row>
    <row r="29" spans="1:46">
      <c r="A29" s="105" t="s">
        <v>395</v>
      </c>
      <c r="B29" s="100" t="s">
        <v>520</v>
      </c>
      <c r="C29" s="105" t="str">
        <f>IF(AND('AIRFLOW FORM'!$E$78&gt;=50,'AIRFLOW FORM'!$E$78&lt;=80),"","FAIL")</f>
        <v>FAIL</v>
      </c>
      <c r="E29" s="2" t="s">
        <v>395</v>
      </c>
      <c r="F29" s="2" t="s">
        <v>520</v>
      </c>
      <c r="G29" s="2" t="str">
        <f>IF(AND('AIRFLOW FORM 2'!$E$77&gt;=50,'AIRFLOW FORM 2'!$E$77&lt;=80),"","FAIL")</f>
        <v>FAIL</v>
      </c>
      <c r="I29" s="2" t="s">
        <v>395</v>
      </c>
      <c r="J29" s="2" t="s">
        <v>520</v>
      </c>
      <c r="K29" s="2" t="str">
        <f>IF(AND('AIRFLOW FORM 3'!$E$77&gt;=50,'AIRFLOW FORM 3'!$E$77&lt;=80),"","FAIL")</f>
        <v>FAIL</v>
      </c>
      <c r="N29" s="2" t="s">
        <v>395</v>
      </c>
      <c r="O29" s="2" t="s">
        <v>520</v>
      </c>
      <c r="P29" s="2" t="str">
        <f>IF(AND('AIRFLOW FORM 4'!$E$104&gt;=50,'AIRFLOW FORM 4'!$E$104&lt;=80),"","FAIL")</f>
        <v>FAIL</v>
      </c>
      <c r="S29" s="2" t="s">
        <v>395</v>
      </c>
      <c r="T29" s="2" t="s">
        <v>520</v>
      </c>
      <c r="U29" s="2" t="str">
        <f>IF(AND('AIRFLOW FORM 5'!$E$77&gt;=50,'AIRFLOW FORM 5'!$E$77&lt;=80),"","FAIL")</f>
        <v>FAIL</v>
      </c>
      <c r="X29" s="2" t="s">
        <v>395</v>
      </c>
      <c r="Y29" s="2" t="s">
        <v>520</v>
      </c>
      <c r="Z29" s="2" t="str">
        <f>IF(AND('AIRFLOW FORM 6'!$E$77&gt;=50,'AIRFLOW FORM 6'!$E$77&lt;=80),"","FAIL")</f>
        <v>FAIL</v>
      </c>
      <c r="AC29" s="2" t="s">
        <v>395</v>
      </c>
      <c r="AD29" s="2" t="s">
        <v>520</v>
      </c>
      <c r="AE29" s="2" t="str">
        <f>IF(AND('AIRFLOW FORM 7'!$E$77&gt;=50,'AIRFLOW FORM 7'!$E$77&lt;=80),"","FAIL")</f>
        <v>FAIL</v>
      </c>
      <c r="AH29" s="2" t="s">
        <v>395</v>
      </c>
      <c r="AI29" s="2" t="s">
        <v>520</v>
      </c>
      <c r="AJ29" s="2" t="str">
        <f>IF(AND('AIRFLOW FORM 8'!$E$77&gt;=50,'AIRFLOW FORM 8'!$E$77&lt;=80),"","FAIL")</f>
        <v>FAIL</v>
      </c>
      <c r="AM29" s="2" t="s">
        <v>395</v>
      </c>
      <c r="AN29" s="2" t="s">
        <v>520</v>
      </c>
      <c r="AO29" s="2" t="str">
        <f>IF(AND('AIRFLOW FORM 9'!$E$77&gt;=50,'AIRFLOW FORM 9'!$E$77&lt;=80),"","FAIL")</f>
        <v>FAIL</v>
      </c>
      <c r="AR29" s="2" t="s">
        <v>395</v>
      </c>
      <c r="AS29" s="2" t="s">
        <v>520</v>
      </c>
      <c r="AT29" s="2" t="str">
        <f>IF(AND('AIRFLOW FORM 10'!$E$77&gt;=50,'AIRFLOW FORM 10'!$E$77&lt;=80),"","FAIL")</f>
        <v>FAIL</v>
      </c>
    </row>
    <row r="30" spans="1:46">
      <c r="A30" s="105" t="s">
        <v>391</v>
      </c>
      <c r="B30" s="100" t="s">
        <v>521</v>
      </c>
      <c r="C30" s="105" t="str">
        <f>IF(AND('AIRFLOW FORM'!$E$80&gt;=50,'AIRFLOW FORM'!$E$80&lt;=100),"","FAIL")</f>
        <v>FAIL</v>
      </c>
      <c r="E30" s="2" t="s">
        <v>391</v>
      </c>
      <c r="F30" s="2" t="s">
        <v>521</v>
      </c>
      <c r="G30" s="2" t="str">
        <f>IF(AND('AIRFLOW FORM 2'!$E$79&gt;=50,'AIRFLOW FORM 2'!$E$79&lt;=100),"","FAIL")</f>
        <v>FAIL</v>
      </c>
      <c r="I30" s="2" t="s">
        <v>391</v>
      </c>
      <c r="J30" s="2" t="s">
        <v>521</v>
      </c>
      <c r="K30" s="2" t="str">
        <f>IF(AND('AIRFLOW FORM 3'!$E$79&gt;=50,'AIRFLOW FORM 3'!$E$79&lt;=100),"","FAIL")</f>
        <v>FAIL</v>
      </c>
      <c r="N30" s="2" t="s">
        <v>391</v>
      </c>
      <c r="O30" s="2" t="s">
        <v>521</v>
      </c>
      <c r="P30" s="2" t="str">
        <f>IF(AND('AIRFLOW FORM 4'!$E$106&gt;=50,'AIRFLOW FORM 4'!$E$106&lt;=100),"","FAIL")</f>
        <v>FAIL</v>
      </c>
      <c r="S30" s="2" t="s">
        <v>391</v>
      </c>
      <c r="T30" s="2" t="s">
        <v>521</v>
      </c>
      <c r="U30" s="2" t="str">
        <f>IF(AND('AIRFLOW FORM 5'!$E$79&gt;=50,'AIRFLOW FORM 5'!$E$79&lt;=100),"","FAIL")</f>
        <v>FAIL</v>
      </c>
      <c r="X30" s="2" t="s">
        <v>391</v>
      </c>
      <c r="Y30" s="2" t="s">
        <v>521</v>
      </c>
      <c r="Z30" s="2" t="str">
        <f>IF(AND('AIRFLOW FORM 6'!$E$79&gt;=50,'AIRFLOW FORM 6'!$E$79&lt;=100),"","FAIL")</f>
        <v>FAIL</v>
      </c>
      <c r="AC30" s="2" t="s">
        <v>391</v>
      </c>
      <c r="AD30" s="2" t="s">
        <v>521</v>
      </c>
      <c r="AE30" s="2" t="str">
        <f>IF(AND('AIRFLOW FORM 7'!$E$79&gt;=50,'AIRFLOW FORM 7'!$E$79&lt;=100),"","FAIL")</f>
        <v>FAIL</v>
      </c>
      <c r="AH30" s="2" t="s">
        <v>391</v>
      </c>
      <c r="AI30" s="2" t="s">
        <v>521</v>
      </c>
      <c r="AJ30" s="2" t="str">
        <f>IF(AND('AIRFLOW FORM 8'!$E$79&gt;=50,'AIRFLOW FORM 8'!$E$79&lt;=100),"","FAIL")</f>
        <v>FAIL</v>
      </c>
      <c r="AM30" s="2" t="s">
        <v>391</v>
      </c>
      <c r="AN30" s="2" t="s">
        <v>521</v>
      </c>
      <c r="AO30" s="2" t="str">
        <f>IF(AND('AIRFLOW FORM 9'!$E$79&gt;=50,'AIRFLOW FORM 9'!$E$79&lt;=100),"","FAIL")</f>
        <v>FAIL</v>
      </c>
      <c r="AR30" s="2" t="s">
        <v>391</v>
      </c>
      <c r="AS30" s="2" t="s">
        <v>521</v>
      </c>
      <c r="AT30" s="2" t="str">
        <f>IF(AND('AIRFLOW FORM 10'!$E$79&gt;=50,'AIRFLOW FORM 10'!$E$79&lt;=100),"","FAIL")</f>
        <v>FAIL</v>
      </c>
    </row>
    <row r="31" spans="1:46">
      <c r="A31" s="105" t="s">
        <v>536</v>
      </c>
      <c r="B31" s="161" t="s">
        <v>522</v>
      </c>
      <c r="C31" s="105" t="str">
        <f>IF(AND('AIRFLOW FORM'!$E$85&gt;=110,'AIRFLOW FORM'!$E$85&lt;=160),"","FAIL")</f>
        <v>FAIL</v>
      </c>
      <c r="E31" s="2" t="s">
        <v>536</v>
      </c>
      <c r="F31" s="2" t="s">
        <v>522</v>
      </c>
      <c r="G31" s="2" t="str">
        <f>IF(AND('AIRFLOW FORM 2'!$E$84&gt;=110,'AIRFLOW FORM 2'!$E$84&lt;=160),"","FAIL")</f>
        <v>FAIL</v>
      </c>
      <c r="I31" s="2" t="s">
        <v>536</v>
      </c>
      <c r="J31" s="2" t="s">
        <v>522</v>
      </c>
      <c r="K31" s="2" t="str">
        <f>IF(AND('AIRFLOW FORM 3'!$E$84&gt;=110,'AIRFLOW FORM 3'!$E$84&lt;=160),"","FAIL")</f>
        <v>FAIL</v>
      </c>
      <c r="N31" s="2" t="s">
        <v>536</v>
      </c>
      <c r="O31" s="2" t="s">
        <v>522</v>
      </c>
      <c r="P31" s="2" t="str">
        <f>IF(AND('AIRFLOW FORM 4'!$E$111&gt;=110,'AIRFLOW FORM 4'!$E$111&lt;=160),"","FAIL")</f>
        <v>FAIL</v>
      </c>
      <c r="S31" s="2" t="s">
        <v>536</v>
      </c>
      <c r="T31" s="2" t="s">
        <v>522</v>
      </c>
      <c r="U31" s="2" t="str">
        <f>IF(AND('AIRFLOW FORM 5'!$E$84&gt;=110,'AIRFLOW FORM 5'!$E$84&lt;=160),"","FAIL")</f>
        <v>FAIL</v>
      </c>
      <c r="X31" s="2" t="s">
        <v>536</v>
      </c>
      <c r="Y31" s="2" t="s">
        <v>522</v>
      </c>
      <c r="Z31" s="2" t="str">
        <f>IF(AND('AIRFLOW FORM 6'!$E$84&gt;=110,'AIRFLOW FORM 6'!$E$84&lt;=160),"","FAIL")</f>
        <v>FAIL</v>
      </c>
      <c r="AC31" s="2" t="s">
        <v>536</v>
      </c>
      <c r="AD31" s="2" t="s">
        <v>522</v>
      </c>
      <c r="AE31" s="2" t="str">
        <f>IF(AND('AIRFLOW FORM 7'!$E$84&gt;=110,'AIRFLOW FORM 7'!$E$84&lt;=160),"","FAIL")</f>
        <v>FAIL</v>
      </c>
      <c r="AH31" s="2" t="s">
        <v>536</v>
      </c>
      <c r="AI31" s="2" t="s">
        <v>522</v>
      </c>
      <c r="AJ31" s="2" t="str">
        <f>IF(AND('AIRFLOW FORM 8'!$E$84&gt;=110,'AIRFLOW FORM 8'!$E$84&lt;=160),"","FAIL")</f>
        <v>FAIL</v>
      </c>
      <c r="AM31" s="2" t="s">
        <v>536</v>
      </c>
      <c r="AN31" s="2" t="s">
        <v>522</v>
      </c>
      <c r="AO31" s="2" t="str">
        <f>IF(AND('AIRFLOW FORM 9'!$E$84&gt;=110,'AIRFLOW FORM 9'!$E$84&lt;=160),"","FAIL")</f>
        <v>FAIL</v>
      </c>
      <c r="AR31" s="2" t="s">
        <v>536</v>
      </c>
      <c r="AS31" s="2" t="s">
        <v>522</v>
      </c>
      <c r="AT31" s="2" t="str">
        <f>IF(AND('AIRFLOW FORM 10'!$E$84&gt;=110,'AIRFLOW FORM 10'!$E$84&lt;=160),"","FAIL")</f>
        <v>FAIL</v>
      </c>
    </row>
    <row r="32" spans="1:46">
      <c r="A32" s="105" t="s">
        <v>392</v>
      </c>
      <c r="B32" s="100" t="s">
        <v>523</v>
      </c>
      <c r="C32" s="105" t="str">
        <f>IF(AND('AIRFLOW FORM'!$E$87&gt;=35,'AIRFLOW FORM'!$E$87&lt;=95),"","FAIL")</f>
        <v>FAIL</v>
      </c>
      <c r="E32" s="2" t="s">
        <v>392</v>
      </c>
      <c r="F32" s="2" t="s">
        <v>523</v>
      </c>
      <c r="G32" s="2" t="str">
        <f>IF(AND('AIRFLOW FORM 2'!$E$86&gt;=35,'AIRFLOW FORM 2'!$E$86&lt;=95),"","FAIL")</f>
        <v>FAIL</v>
      </c>
      <c r="I32" s="2" t="s">
        <v>392</v>
      </c>
      <c r="J32" s="2" t="s">
        <v>523</v>
      </c>
      <c r="K32" s="2" t="str">
        <f>IF(AND('AIRFLOW FORM 3'!$E$86&gt;=35,'AIRFLOW FORM 3'!$E$86&lt;=95),"","FAIL")</f>
        <v>FAIL</v>
      </c>
      <c r="N32" s="2" t="s">
        <v>392</v>
      </c>
      <c r="O32" s="2" t="s">
        <v>523</v>
      </c>
      <c r="P32" s="2" t="str">
        <f>IF(AND('AIRFLOW FORM 4'!$E$113&gt;=35,'AIRFLOW FORM 4'!$E$113&lt;=95),"","FAIL")</f>
        <v>FAIL</v>
      </c>
      <c r="S32" s="2" t="s">
        <v>392</v>
      </c>
      <c r="T32" s="2" t="s">
        <v>523</v>
      </c>
      <c r="U32" s="2" t="str">
        <f>IF(AND('AIRFLOW FORM 5'!$E$86&gt;=35,'AIRFLOW FORM 5'!$E$86&lt;=95),"","FAIL")</f>
        <v>FAIL</v>
      </c>
      <c r="X32" s="2" t="s">
        <v>392</v>
      </c>
      <c r="Y32" s="2" t="s">
        <v>523</v>
      </c>
      <c r="Z32" s="2" t="str">
        <f>IF(AND('AIRFLOW FORM 6'!$E$86&gt;=35,'AIRFLOW FORM 6'!$E$86&lt;=95),"","FAIL")</f>
        <v>FAIL</v>
      </c>
      <c r="AC32" s="2" t="s">
        <v>392</v>
      </c>
      <c r="AD32" s="2" t="s">
        <v>523</v>
      </c>
      <c r="AE32" s="2" t="str">
        <f>IF(AND('AIRFLOW FORM 7'!$E$86&gt;=35,'AIRFLOW FORM 7'!$E$86&lt;=95),"","FAIL")</f>
        <v>FAIL</v>
      </c>
      <c r="AH32" s="2" t="s">
        <v>392</v>
      </c>
      <c r="AI32" s="2" t="s">
        <v>523</v>
      </c>
      <c r="AJ32" s="2" t="str">
        <f>IF(AND('AIRFLOW FORM 8'!$E$86&gt;=35,'AIRFLOW FORM 8'!$E$86&lt;=95),"","FAIL")</f>
        <v>FAIL</v>
      </c>
      <c r="AM32" s="2" t="s">
        <v>392</v>
      </c>
      <c r="AN32" s="2" t="s">
        <v>523</v>
      </c>
      <c r="AO32" s="2" t="str">
        <f>IF(AND('AIRFLOW FORM 9'!$E$86&gt;=35,'AIRFLOW FORM 9'!$E$86&lt;=95),"","FAIL")</f>
        <v>FAIL</v>
      </c>
      <c r="AR32" s="2" t="s">
        <v>392</v>
      </c>
      <c r="AS32" s="2" t="s">
        <v>523</v>
      </c>
      <c r="AT32" s="2" t="str">
        <f>IF(AND('AIRFLOW FORM 10'!$E$86&gt;=35,'AIRFLOW FORM 10'!$E$86&lt;=95),"","FAIL")</f>
        <v>FAIL</v>
      </c>
    </row>
    <row r="33" spans="1:46">
      <c r="A33" s="106" t="s">
        <v>396</v>
      </c>
      <c r="B33" s="305" t="s">
        <v>524</v>
      </c>
      <c r="C33" s="106" t="str">
        <f>IF(AND('AIRFLOW FORM'!$E$89&gt;=40,'AIRFLOW FORM'!$E$89&lt;=90),"","FAIL")</f>
        <v>FAIL</v>
      </c>
      <c r="E33" s="2" t="s">
        <v>396</v>
      </c>
      <c r="F33" s="2" t="s">
        <v>524</v>
      </c>
      <c r="G33" s="2" t="str">
        <f>IF(AND('AIRFLOW FORM 2'!$E$88&gt;=40,'AIRFLOW FORM 2'!$E$88&lt;=90),"","FAIL")</f>
        <v>FAIL</v>
      </c>
      <c r="I33" s="2" t="s">
        <v>396</v>
      </c>
      <c r="J33" s="2" t="s">
        <v>524</v>
      </c>
      <c r="K33" s="2" t="str">
        <f>IF(AND('AIRFLOW FORM 3'!$E$88&gt;=40,'AIRFLOW FORM 3'!$E$88&lt;=90),"","FAIL")</f>
        <v>FAIL</v>
      </c>
      <c r="N33" s="2" t="s">
        <v>396</v>
      </c>
      <c r="O33" s="2" t="s">
        <v>524</v>
      </c>
      <c r="P33" s="2" t="str">
        <f>IF(AND('AIRFLOW FORM 4'!$E$115&gt;=40,'AIRFLOW FORM 4'!$E$115&lt;=90),"","FAIL")</f>
        <v>FAIL</v>
      </c>
      <c r="S33" s="2" t="s">
        <v>396</v>
      </c>
      <c r="T33" s="2" t="s">
        <v>524</v>
      </c>
      <c r="U33" s="2" t="str">
        <f>IF(AND('AIRFLOW FORM 5'!$E$88&gt;=40,'AIRFLOW FORM 5'!$E$88&lt;=90),"","FAIL")</f>
        <v>FAIL</v>
      </c>
      <c r="X33" s="2" t="s">
        <v>396</v>
      </c>
      <c r="Y33" s="2" t="s">
        <v>524</v>
      </c>
      <c r="Z33" s="2" t="str">
        <f>IF(AND('AIRFLOW FORM 6'!$E$88&gt;=40,'AIRFLOW FORM 6'!$E$88&lt;=90),"","FAIL")</f>
        <v>FAIL</v>
      </c>
      <c r="AC33" s="2" t="s">
        <v>396</v>
      </c>
      <c r="AD33" s="2" t="s">
        <v>524</v>
      </c>
      <c r="AE33" s="2" t="str">
        <f>IF(AND('AIRFLOW FORM 7'!$E$88&gt;=40,'AIRFLOW FORM 7'!$E$88&lt;=90),"","FAIL")</f>
        <v>FAIL</v>
      </c>
      <c r="AH33" s="2" t="s">
        <v>396</v>
      </c>
      <c r="AI33" s="2" t="s">
        <v>524</v>
      </c>
      <c r="AJ33" s="2" t="str">
        <f>IF(AND('AIRFLOW FORM 8'!$E$88&gt;=40,'AIRFLOW FORM 8'!$E$88&lt;=90),"","FAIL")</f>
        <v>FAIL</v>
      </c>
      <c r="AM33" s="2" t="s">
        <v>396</v>
      </c>
      <c r="AN33" s="2" t="s">
        <v>524</v>
      </c>
      <c r="AO33" s="2" t="str">
        <f>IF(AND('AIRFLOW FORM 9'!$E$88&gt;=40,'AIRFLOW FORM 9'!$E$88&lt;=90),"","FAIL")</f>
        <v>FAIL</v>
      </c>
      <c r="AR33" s="2" t="s">
        <v>396</v>
      </c>
      <c r="AS33" s="2" t="s">
        <v>524</v>
      </c>
      <c r="AT33" s="2" t="str">
        <f>IF(AND('AIRFLOW FORM 10'!$E$88&gt;=40,'AIRFLOW FORM 10'!$E$88&lt;=90),"","FAIL")</f>
        <v>FAIL</v>
      </c>
    </row>
  </sheetData>
  <mergeCells count="2">
    <mergeCell ref="M2:P2"/>
    <mergeCell ref="I2:L2"/>
  </mergeCell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E98BD-D932-4218-B375-5767D6456506}">
  <sheetPr codeName="Sheet7">
    <tabColor rgb="FFFF0000"/>
  </sheetPr>
  <dimension ref="B2:CP88"/>
  <sheetViews>
    <sheetView zoomScale="24" zoomScaleNormal="40" workbookViewId="0"/>
  </sheetViews>
  <sheetFormatPr defaultRowHeight="14.5"/>
  <cols>
    <col min="5" max="5" width="15.81640625" customWidth="1"/>
    <col min="10" max="11" width="14.1796875" customWidth="1"/>
    <col min="12" max="13" width="15.1796875" customWidth="1"/>
    <col min="15" max="18" width="11.453125" customWidth="1"/>
    <col min="23" max="23" width="15.54296875" customWidth="1"/>
    <col min="24" max="24" width="17.453125" customWidth="1"/>
    <col min="25" max="25" width="16.54296875" customWidth="1"/>
    <col min="26" max="26" width="21.7265625" customWidth="1"/>
    <col min="27" max="28" width="11.81640625" customWidth="1"/>
    <col min="29" max="30" width="16.26953125" customWidth="1"/>
    <col min="33" max="35" width="15.81640625" customWidth="1"/>
    <col min="36" max="36" width="11.81640625" customWidth="1"/>
    <col min="37" max="37" width="11.54296875" customWidth="1"/>
    <col min="39" max="39" width="15.26953125" customWidth="1"/>
    <col min="40" max="40" width="12.7265625" customWidth="1"/>
    <col min="41" max="41" width="14.54296875" customWidth="1"/>
    <col min="42" max="43" width="13.26953125" customWidth="1"/>
    <col min="44" max="45" width="15.81640625" customWidth="1"/>
    <col min="51" max="52" width="14" customWidth="1"/>
    <col min="57" max="57" width="21.453125" customWidth="1"/>
    <col min="58" max="58" width="19.453125" customWidth="1"/>
    <col min="59" max="59" width="21" customWidth="1"/>
    <col min="60" max="60" width="20.1796875" customWidth="1"/>
    <col min="61" max="62" width="12.81640625" customWidth="1"/>
    <col min="63" max="64" width="15.26953125" customWidth="1"/>
    <col min="68" max="70" width="11" customWidth="1"/>
    <col min="71" max="71" width="10.1796875" customWidth="1"/>
    <col min="72" max="72" width="14" customWidth="1"/>
    <col min="76" max="77" width="12.7265625" customWidth="1"/>
    <col min="78" max="79" width="15.453125" customWidth="1"/>
    <col min="83" max="83" width="32.453125" bestFit="1" customWidth="1"/>
    <col min="84" max="87" width="11.1796875" customWidth="1"/>
    <col min="89" max="89" width="16.81640625" customWidth="1"/>
    <col min="91" max="94" width="10.81640625" customWidth="1"/>
  </cols>
  <sheetData>
    <row r="2" spans="2:81" ht="15" thickBot="1"/>
    <row r="3" spans="2:81" ht="33.75" customHeight="1" thickBot="1">
      <c r="B3" s="2658" t="s">
        <v>1842</v>
      </c>
      <c r="C3" s="2659"/>
      <c r="D3" s="2659"/>
      <c r="E3" s="2659"/>
      <c r="F3" s="2659"/>
      <c r="G3" s="2659"/>
      <c r="H3" s="2659"/>
      <c r="I3" s="2659"/>
      <c r="J3" s="2659"/>
      <c r="K3" s="2659"/>
      <c r="L3" s="2659"/>
      <c r="M3" s="2660"/>
      <c r="N3" s="42"/>
      <c r="O3" s="2658" t="s">
        <v>1017</v>
      </c>
      <c r="P3" s="2659"/>
      <c r="Q3" s="2659"/>
      <c r="R3" s="2659"/>
      <c r="S3" s="2659"/>
      <c r="T3" s="2659"/>
      <c r="U3" s="2659"/>
      <c r="V3" s="2659"/>
      <c r="W3" s="2659"/>
      <c r="X3" s="2659"/>
      <c r="Y3" s="2659"/>
      <c r="Z3" s="2659"/>
      <c r="AA3" s="2659"/>
      <c r="AB3" s="2659"/>
      <c r="AC3" s="2659"/>
      <c r="AD3" s="2660"/>
      <c r="AG3" s="2658" t="s">
        <v>1908</v>
      </c>
      <c r="AH3" s="2659"/>
      <c r="AI3" s="2659"/>
      <c r="AJ3" s="2659"/>
      <c r="AK3" s="2659"/>
      <c r="AL3" s="2659"/>
      <c r="AM3" s="2659"/>
      <c r="AN3" s="2659"/>
      <c r="AO3" s="2659"/>
      <c r="AP3" s="2659"/>
      <c r="AQ3" s="2659"/>
      <c r="AR3" s="2659"/>
      <c r="AS3" s="2660"/>
      <c r="AT3" s="636"/>
      <c r="AU3" s="637"/>
      <c r="AV3" s="638"/>
      <c r="AW3" s="2658" t="s">
        <v>1841</v>
      </c>
      <c r="AX3" s="2659"/>
      <c r="AY3" s="2659"/>
      <c r="AZ3" s="2659"/>
      <c r="BA3" s="2659"/>
      <c r="BB3" s="2659"/>
      <c r="BC3" s="2659"/>
      <c r="BD3" s="2659"/>
      <c r="BE3" s="2659"/>
      <c r="BF3" s="2659"/>
      <c r="BG3" s="2659"/>
      <c r="BH3" s="2659"/>
      <c r="BI3" s="2659"/>
      <c r="BJ3" s="2659"/>
      <c r="BK3" s="2659"/>
      <c r="BL3" s="2660"/>
      <c r="BP3" s="2658" t="s">
        <v>1843</v>
      </c>
      <c r="BQ3" s="2659"/>
      <c r="BR3" s="2659"/>
      <c r="BS3" s="2659"/>
      <c r="BT3" s="2659"/>
      <c r="BU3" s="2659"/>
      <c r="BV3" s="2659"/>
      <c r="BW3" s="2659"/>
      <c r="BX3" s="2659"/>
      <c r="BY3" s="2659"/>
      <c r="BZ3" s="2659"/>
      <c r="CA3" s="2660"/>
      <c r="CB3" s="2528"/>
      <c r="CC3" s="2528"/>
    </row>
    <row r="4" spans="2:81" ht="16.5" customHeight="1">
      <c r="B4" s="2661" t="s">
        <v>21</v>
      </c>
      <c r="C4" s="2662"/>
      <c r="D4" s="2662"/>
      <c r="E4" s="2663"/>
      <c r="F4" s="2667" t="s">
        <v>20</v>
      </c>
      <c r="G4" s="2668"/>
      <c r="H4" s="2668"/>
      <c r="I4" s="2669"/>
      <c r="J4" s="2667" t="s">
        <v>232</v>
      </c>
      <c r="K4" s="2669"/>
      <c r="L4" s="2667" t="s">
        <v>590</v>
      </c>
      <c r="M4" s="2669"/>
      <c r="N4" s="42"/>
      <c r="O4" s="2676" t="s">
        <v>21</v>
      </c>
      <c r="P4" s="2677"/>
      <c r="Q4" s="2677"/>
      <c r="R4" s="2678"/>
      <c r="S4" s="2713" t="s">
        <v>20</v>
      </c>
      <c r="T4" s="2677"/>
      <c r="U4" s="2677"/>
      <c r="V4" s="2678"/>
      <c r="W4" s="2667" t="s">
        <v>232</v>
      </c>
      <c r="X4" s="2668"/>
      <c r="Y4" s="2668"/>
      <c r="Z4" s="2668"/>
      <c r="AA4" s="2668"/>
      <c r="AB4" s="2669"/>
      <c r="AC4" s="2667" t="s">
        <v>590</v>
      </c>
      <c r="AD4" s="2669"/>
      <c r="AG4" s="2661" t="s">
        <v>21</v>
      </c>
      <c r="AH4" s="2662"/>
      <c r="AI4" s="2662"/>
      <c r="AJ4" s="2663"/>
      <c r="AK4" s="2667" t="s">
        <v>20</v>
      </c>
      <c r="AL4" s="2668"/>
      <c r="AM4" s="2668"/>
      <c r="AN4" s="2668"/>
      <c r="AO4" s="2669"/>
      <c r="AP4" s="2667" t="s">
        <v>232</v>
      </c>
      <c r="AQ4" s="2669"/>
      <c r="AR4" s="2667" t="s">
        <v>590</v>
      </c>
      <c r="AS4" s="2669"/>
      <c r="AW4" s="2676" t="s">
        <v>21</v>
      </c>
      <c r="AX4" s="2677"/>
      <c r="AY4" s="2677"/>
      <c r="AZ4" s="2678"/>
      <c r="BA4" s="2713" t="s">
        <v>20</v>
      </c>
      <c r="BB4" s="2677"/>
      <c r="BC4" s="2677"/>
      <c r="BD4" s="2678"/>
      <c r="BE4" s="2667" t="s">
        <v>232</v>
      </c>
      <c r="BF4" s="2668"/>
      <c r="BG4" s="2668"/>
      <c r="BH4" s="2668"/>
      <c r="BI4" s="2668"/>
      <c r="BJ4" s="2669"/>
      <c r="BK4" s="2667" t="s">
        <v>590</v>
      </c>
      <c r="BL4" s="2669"/>
      <c r="BP4" s="2661" t="s">
        <v>21</v>
      </c>
      <c r="BQ4" s="2662"/>
      <c r="BR4" s="2662"/>
      <c r="BS4" s="2663"/>
      <c r="BT4" s="2667" t="s">
        <v>20</v>
      </c>
      <c r="BU4" s="2668"/>
      <c r="BV4" s="2668"/>
      <c r="BW4" s="2669"/>
      <c r="BX4" s="2667" t="s">
        <v>232</v>
      </c>
      <c r="BY4" s="2669"/>
      <c r="BZ4" s="2667" t="s">
        <v>590</v>
      </c>
      <c r="CA4" s="2669"/>
      <c r="CB4" s="639"/>
      <c r="CC4" s="639"/>
    </row>
    <row r="5" spans="2:81" ht="15" customHeight="1">
      <c r="B5" s="2692"/>
      <c r="C5" s="2693"/>
      <c r="D5" s="2693"/>
      <c r="E5" s="2694"/>
      <c r="F5" s="2695" t="s">
        <v>32</v>
      </c>
      <c r="G5" s="2697" t="s">
        <v>594</v>
      </c>
      <c r="H5" s="2697" t="s">
        <v>591</v>
      </c>
      <c r="I5" s="2699" t="s">
        <v>1021</v>
      </c>
      <c r="J5" s="2695" t="s">
        <v>33</v>
      </c>
      <c r="K5" s="2699" t="s">
        <v>34</v>
      </c>
      <c r="L5" s="2695" t="s">
        <v>33</v>
      </c>
      <c r="M5" s="2699" t="s">
        <v>178</v>
      </c>
      <c r="N5" s="42"/>
      <c r="O5" s="2679"/>
      <c r="P5" s="2680"/>
      <c r="Q5" s="2680"/>
      <c r="R5" s="2712"/>
      <c r="S5" s="2714" t="s">
        <v>32</v>
      </c>
      <c r="T5" s="2680" t="s">
        <v>594</v>
      </c>
      <c r="U5" s="2680" t="s">
        <v>591</v>
      </c>
      <c r="V5" s="2712" t="s">
        <v>1021</v>
      </c>
      <c r="W5" s="2718" t="s">
        <v>592</v>
      </c>
      <c r="X5" s="2699" t="s">
        <v>593</v>
      </c>
      <c r="Y5" s="2718" t="s">
        <v>1022</v>
      </c>
      <c r="Z5" s="2699" t="s">
        <v>1023</v>
      </c>
      <c r="AA5" s="2718" t="s">
        <v>1024</v>
      </c>
      <c r="AB5" s="2699" t="s">
        <v>1025</v>
      </c>
      <c r="AC5" s="2695" t="s">
        <v>33</v>
      </c>
      <c r="AD5" s="2699" t="s">
        <v>34</v>
      </c>
      <c r="AG5" s="2664"/>
      <c r="AH5" s="2665"/>
      <c r="AI5" s="2665"/>
      <c r="AJ5" s="2666"/>
      <c r="AK5" s="629" t="s">
        <v>32</v>
      </c>
      <c r="AL5" s="630" t="s">
        <v>1334</v>
      </c>
      <c r="AM5" s="630" t="s">
        <v>1335</v>
      </c>
      <c r="AN5" s="630" t="s">
        <v>1336</v>
      </c>
      <c r="AO5" s="630" t="s">
        <v>1337</v>
      </c>
      <c r="AP5" s="629" t="s">
        <v>33</v>
      </c>
      <c r="AQ5" s="631" t="s">
        <v>34</v>
      </c>
      <c r="AR5" s="629" t="s">
        <v>33</v>
      </c>
      <c r="AS5" s="631" t="s">
        <v>178</v>
      </c>
      <c r="AW5" s="2679"/>
      <c r="AX5" s="2680"/>
      <c r="AY5" s="2680"/>
      <c r="AZ5" s="2712"/>
      <c r="BA5" s="2714" t="s">
        <v>32</v>
      </c>
      <c r="BB5" s="2680" t="s">
        <v>594</v>
      </c>
      <c r="BC5" s="2680" t="s">
        <v>591</v>
      </c>
      <c r="BD5" s="2712" t="s">
        <v>1021</v>
      </c>
      <c r="BE5" s="2718" t="s">
        <v>592</v>
      </c>
      <c r="BF5" s="2699" t="s">
        <v>593</v>
      </c>
      <c r="BG5" s="2718" t="s">
        <v>1022</v>
      </c>
      <c r="BH5" s="2699" t="s">
        <v>1023</v>
      </c>
      <c r="BI5" s="2718" t="s">
        <v>1024</v>
      </c>
      <c r="BJ5" s="2699" t="s">
        <v>1025</v>
      </c>
      <c r="BK5" s="2695" t="s">
        <v>33</v>
      </c>
      <c r="BL5" s="2699" t="s">
        <v>34</v>
      </c>
      <c r="BP5" s="2692"/>
      <c r="BQ5" s="2693"/>
      <c r="BR5" s="2693"/>
      <c r="BS5" s="2694"/>
      <c r="BT5" s="2695" t="s">
        <v>32</v>
      </c>
      <c r="BU5" s="2697" t="s">
        <v>594</v>
      </c>
      <c r="BV5" s="2697" t="s">
        <v>591</v>
      </c>
      <c r="BW5" s="2699" t="s">
        <v>1021</v>
      </c>
      <c r="BX5" s="2695" t="s">
        <v>33</v>
      </c>
      <c r="BY5" s="2699" t="s">
        <v>34</v>
      </c>
      <c r="BZ5" s="2695" t="s">
        <v>33</v>
      </c>
      <c r="CA5" s="2699" t="s">
        <v>178</v>
      </c>
      <c r="CB5" s="640"/>
      <c r="CC5" s="640"/>
    </row>
    <row r="6" spans="2:81" ht="16.5" customHeight="1">
      <c r="B6" s="2664"/>
      <c r="C6" s="2665"/>
      <c r="D6" s="2665"/>
      <c r="E6" s="2666"/>
      <c r="F6" s="2696"/>
      <c r="G6" s="2698"/>
      <c r="H6" s="2698"/>
      <c r="I6" s="2700"/>
      <c r="J6" s="2696"/>
      <c r="K6" s="2700"/>
      <c r="L6" s="2696"/>
      <c r="M6" s="2700"/>
      <c r="N6" s="42"/>
      <c r="O6" s="2679"/>
      <c r="P6" s="2680"/>
      <c r="Q6" s="2680"/>
      <c r="R6" s="2712"/>
      <c r="S6" s="2714"/>
      <c r="T6" s="2680"/>
      <c r="U6" s="2680"/>
      <c r="V6" s="2712"/>
      <c r="W6" s="2664"/>
      <c r="X6" s="2700"/>
      <c r="Y6" s="2664"/>
      <c r="Z6" s="2700"/>
      <c r="AA6" s="2664"/>
      <c r="AB6" s="2700"/>
      <c r="AC6" s="2696"/>
      <c r="AD6" s="2700"/>
      <c r="AG6" s="2670" t="s">
        <v>1338</v>
      </c>
      <c r="AH6" s="2671"/>
      <c r="AI6" s="2671"/>
      <c r="AJ6" s="2672"/>
      <c r="AK6" s="502">
        <v>15</v>
      </c>
      <c r="AL6" s="211" t="s">
        <v>58</v>
      </c>
      <c r="AM6" s="211">
        <v>8.5</v>
      </c>
      <c r="AN6" s="211">
        <v>16</v>
      </c>
      <c r="AO6" s="211">
        <v>8.5</v>
      </c>
      <c r="AP6" s="212">
        <v>300</v>
      </c>
      <c r="AQ6" s="501">
        <v>325</v>
      </c>
      <c r="AR6" s="212">
        <v>200</v>
      </c>
      <c r="AS6" s="501">
        <v>200</v>
      </c>
      <c r="AW6" s="2679"/>
      <c r="AX6" s="2680"/>
      <c r="AY6" s="2680"/>
      <c r="AZ6" s="2712"/>
      <c r="BA6" s="2714"/>
      <c r="BB6" s="2680"/>
      <c r="BC6" s="2680"/>
      <c r="BD6" s="2712"/>
      <c r="BE6" s="2664"/>
      <c r="BF6" s="2700"/>
      <c r="BG6" s="2664"/>
      <c r="BH6" s="2700"/>
      <c r="BI6" s="2664"/>
      <c r="BJ6" s="2700"/>
      <c r="BK6" s="2696"/>
      <c r="BL6" s="2700"/>
      <c r="BP6" s="2664"/>
      <c r="BQ6" s="2665"/>
      <c r="BR6" s="2665"/>
      <c r="BS6" s="2666"/>
      <c r="BT6" s="2696"/>
      <c r="BU6" s="2698"/>
      <c r="BV6" s="2698"/>
      <c r="BW6" s="2700"/>
      <c r="BX6" s="2696"/>
      <c r="BY6" s="2700"/>
      <c r="BZ6" s="2696"/>
      <c r="CA6" s="2700"/>
      <c r="CB6" s="640"/>
      <c r="CC6" s="640"/>
    </row>
    <row r="7" spans="2:81" ht="15" customHeight="1">
      <c r="B7" s="2715" t="s">
        <v>878</v>
      </c>
      <c r="C7" s="2716"/>
      <c r="D7" s="2716"/>
      <c r="E7" s="2717"/>
      <c r="F7" s="211">
        <v>16</v>
      </c>
      <c r="G7" s="211">
        <v>8.5</v>
      </c>
      <c r="H7" s="211">
        <v>17</v>
      </c>
      <c r="I7" s="213">
        <v>10</v>
      </c>
      <c r="J7" s="238">
        <v>800</v>
      </c>
      <c r="K7" s="400">
        <v>1000</v>
      </c>
      <c r="L7" s="238">
        <v>500</v>
      </c>
      <c r="M7" s="400">
        <v>500</v>
      </c>
      <c r="N7" s="42"/>
      <c r="O7" s="2649" t="s">
        <v>826</v>
      </c>
      <c r="P7" s="2650"/>
      <c r="Q7" s="2650"/>
      <c r="R7" s="2707"/>
      <c r="S7" s="409" t="s">
        <v>58</v>
      </c>
      <c r="T7" s="211" t="s">
        <v>58</v>
      </c>
      <c r="U7" s="211">
        <v>17</v>
      </c>
      <c r="V7" s="213">
        <v>10</v>
      </c>
      <c r="W7" s="212" t="s">
        <v>58</v>
      </c>
      <c r="X7" s="399">
        <v>1000</v>
      </c>
      <c r="Y7" s="212" t="s">
        <v>58</v>
      </c>
      <c r="Z7" s="399">
        <v>800</v>
      </c>
      <c r="AA7" s="212" t="s">
        <v>58</v>
      </c>
      <c r="AB7" s="400">
        <v>600</v>
      </c>
      <c r="AC7" s="212" t="s">
        <v>58</v>
      </c>
      <c r="AD7" s="400">
        <v>500</v>
      </c>
      <c r="AG7" s="2670" t="s">
        <v>1339</v>
      </c>
      <c r="AH7" s="2671"/>
      <c r="AI7" s="2671"/>
      <c r="AJ7" s="2672"/>
      <c r="AK7" s="502">
        <v>17</v>
      </c>
      <c r="AL7" s="211" t="s">
        <v>58</v>
      </c>
      <c r="AM7" s="211">
        <v>10</v>
      </c>
      <c r="AN7" s="211" t="s">
        <v>58</v>
      </c>
      <c r="AO7" s="211" t="s">
        <v>58</v>
      </c>
      <c r="AP7" s="212">
        <v>350</v>
      </c>
      <c r="AQ7" s="501" t="s">
        <v>58</v>
      </c>
      <c r="AR7" s="212">
        <v>250</v>
      </c>
      <c r="AS7" s="501" t="s">
        <v>58</v>
      </c>
      <c r="AW7" s="2649" t="s">
        <v>826</v>
      </c>
      <c r="AX7" s="2650"/>
      <c r="AY7" s="2650"/>
      <c r="AZ7" s="2707"/>
      <c r="BA7" s="409" t="s">
        <v>58</v>
      </c>
      <c r="BB7" s="211" t="s">
        <v>58</v>
      </c>
      <c r="BC7" s="211">
        <v>17</v>
      </c>
      <c r="BD7" s="213">
        <v>10</v>
      </c>
      <c r="BE7" s="212" t="s">
        <v>58</v>
      </c>
      <c r="BF7" s="399">
        <v>1500</v>
      </c>
      <c r="BG7" s="212" t="s">
        <v>58</v>
      </c>
      <c r="BH7" s="399">
        <v>1200</v>
      </c>
      <c r="BI7" s="212" t="s">
        <v>58</v>
      </c>
      <c r="BJ7" s="400">
        <v>900</v>
      </c>
      <c r="BK7" s="212" t="s">
        <v>58</v>
      </c>
      <c r="BL7" s="400">
        <v>500</v>
      </c>
      <c r="BP7" s="2715" t="s">
        <v>878</v>
      </c>
      <c r="BQ7" s="2716"/>
      <c r="BR7" s="2716"/>
      <c r="BS7" s="2717"/>
      <c r="BT7" s="211">
        <v>16</v>
      </c>
      <c r="BU7" s="211">
        <v>8.5</v>
      </c>
      <c r="BV7" s="211">
        <v>17</v>
      </c>
      <c r="BW7" s="213">
        <v>10</v>
      </c>
      <c r="BX7" s="238">
        <v>1200</v>
      </c>
      <c r="BY7" s="400">
        <v>1500</v>
      </c>
      <c r="BZ7" s="238">
        <v>500</v>
      </c>
      <c r="CA7" s="400">
        <v>500</v>
      </c>
      <c r="CB7" s="640"/>
      <c r="CC7" s="640"/>
    </row>
    <row r="8" spans="2:81" ht="15.75" customHeight="1" thickBot="1">
      <c r="B8" s="2709" t="s">
        <v>879</v>
      </c>
      <c r="C8" s="2710"/>
      <c r="D8" s="2710"/>
      <c r="E8" s="2711"/>
      <c r="F8" s="338" t="s">
        <v>58</v>
      </c>
      <c r="G8" s="338" t="s">
        <v>58</v>
      </c>
      <c r="H8" s="338">
        <v>17</v>
      </c>
      <c r="I8" s="339">
        <v>10</v>
      </c>
      <c r="J8" s="340" t="s">
        <v>58</v>
      </c>
      <c r="K8" s="341">
        <v>1000</v>
      </c>
      <c r="L8" s="340" t="s">
        <v>58</v>
      </c>
      <c r="M8" s="341">
        <v>500</v>
      </c>
      <c r="N8" s="42"/>
      <c r="O8" s="2655" t="s">
        <v>827</v>
      </c>
      <c r="P8" s="2656"/>
      <c r="Q8" s="2656"/>
      <c r="R8" s="2708"/>
      <c r="S8" s="416" t="s">
        <v>58</v>
      </c>
      <c r="T8" s="417" t="s">
        <v>58</v>
      </c>
      <c r="U8" s="214">
        <v>18</v>
      </c>
      <c r="V8" s="396">
        <v>10</v>
      </c>
      <c r="W8" s="397" t="s">
        <v>58</v>
      </c>
      <c r="X8" s="398">
        <v>1000</v>
      </c>
      <c r="Y8" s="397" t="s">
        <v>58</v>
      </c>
      <c r="Z8" s="398">
        <v>800</v>
      </c>
      <c r="AA8" s="397" t="s">
        <v>58</v>
      </c>
      <c r="AB8" s="401">
        <v>600</v>
      </c>
      <c r="AC8" s="397" t="s">
        <v>58</v>
      </c>
      <c r="AD8" s="401">
        <v>500</v>
      </c>
      <c r="AG8" s="2670" t="s">
        <v>1340</v>
      </c>
      <c r="AH8" s="2671"/>
      <c r="AI8" s="2671"/>
      <c r="AJ8" s="2672"/>
      <c r="AK8" s="502">
        <v>18</v>
      </c>
      <c r="AL8" s="211" t="s">
        <v>58</v>
      </c>
      <c r="AM8" s="211">
        <v>8.5</v>
      </c>
      <c r="AN8" s="211" t="s">
        <v>58</v>
      </c>
      <c r="AO8" s="211" t="s">
        <v>58</v>
      </c>
      <c r="AP8" s="212">
        <v>300</v>
      </c>
      <c r="AQ8" s="501" t="s">
        <v>58</v>
      </c>
      <c r="AR8" s="212">
        <v>200</v>
      </c>
      <c r="AS8" s="501" t="s">
        <v>58</v>
      </c>
      <c r="AW8" s="2655" t="s">
        <v>827</v>
      </c>
      <c r="AX8" s="2656"/>
      <c r="AY8" s="2656"/>
      <c r="AZ8" s="2708"/>
      <c r="BA8" s="416" t="s">
        <v>58</v>
      </c>
      <c r="BB8" s="417" t="s">
        <v>58</v>
      </c>
      <c r="BC8" s="214">
        <v>18</v>
      </c>
      <c r="BD8" s="396">
        <v>10</v>
      </c>
      <c r="BE8" s="397" t="s">
        <v>58</v>
      </c>
      <c r="BF8" s="398">
        <v>1500</v>
      </c>
      <c r="BG8" s="397" t="s">
        <v>58</v>
      </c>
      <c r="BH8" s="398">
        <v>1200</v>
      </c>
      <c r="BI8" s="397" t="s">
        <v>58</v>
      </c>
      <c r="BJ8" s="401">
        <v>900</v>
      </c>
      <c r="BK8" s="397" t="s">
        <v>58</v>
      </c>
      <c r="BL8" s="401">
        <v>500</v>
      </c>
      <c r="BP8" s="2709" t="s">
        <v>879</v>
      </c>
      <c r="BQ8" s="2710"/>
      <c r="BR8" s="2710"/>
      <c r="BS8" s="2711"/>
      <c r="BT8" s="338" t="s">
        <v>58</v>
      </c>
      <c r="BU8" s="338" t="s">
        <v>58</v>
      </c>
      <c r="BV8" s="338">
        <v>17</v>
      </c>
      <c r="BW8" s="339">
        <v>10</v>
      </c>
      <c r="BX8" s="340" t="s">
        <v>58</v>
      </c>
      <c r="BY8" s="341">
        <v>1500</v>
      </c>
      <c r="BZ8" s="340" t="s">
        <v>58</v>
      </c>
      <c r="CA8" s="341">
        <v>500</v>
      </c>
      <c r="CB8" s="640"/>
      <c r="CC8" s="640"/>
    </row>
    <row r="9" spans="2:81" ht="15" customHeight="1">
      <c r="B9" s="2701" t="s">
        <v>880</v>
      </c>
      <c r="C9" s="2702"/>
      <c r="D9" s="2702"/>
      <c r="E9" s="2703"/>
      <c r="F9" s="338">
        <v>18</v>
      </c>
      <c r="G9" s="338">
        <v>8.5</v>
      </c>
      <c r="H9" s="338">
        <v>18</v>
      </c>
      <c r="I9" s="342">
        <v>10</v>
      </c>
      <c r="J9" s="343">
        <v>800</v>
      </c>
      <c r="K9" s="341">
        <v>1000</v>
      </c>
      <c r="L9" s="343">
        <v>500</v>
      </c>
      <c r="M9" s="341">
        <v>500</v>
      </c>
      <c r="N9" s="42"/>
      <c r="O9" s="2318"/>
      <c r="P9" s="2318"/>
      <c r="Q9" s="2318"/>
      <c r="R9" s="2318"/>
      <c r="S9" s="392"/>
      <c r="T9" s="392"/>
      <c r="U9" s="392"/>
      <c r="V9" s="392"/>
      <c r="W9" s="2719"/>
      <c r="X9" s="2719"/>
      <c r="Y9" s="2719"/>
      <c r="Z9" s="2719"/>
      <c r="AA9" s="2719"/>
      <c r="AB9" s="2719"/>
      <c r="AC9" s="393"/>
      <c r="AD9" s="393"/>
      <c r="AG9" s="2670" t="s">
        <v>1341</v>
      </c>
      <c r="AH9" s="2671"/>
      <c r="AI9" s="2671"/>
      <c r="AJ9" s="2672"/>
      <c r="AK9" s="502">
        <v>18</v>
      </c>
      <c r="AL9" s="211" t="s">
        <v>58</v>
      </c>
      <c r="AM9" s="211">
        <v>10</v>
      </c>
      <c r="AN9" s="211" t="s">
        <v>58</v>
      </c>
      <c r="AO9" s="211" t="s">
        <v>58</v>
      </c>
      <c r="AP9" s="212">
        <v>300</v>
      </c>
      <c r="AQ9" s="501" t="s">
        <v>58</v>
      </c>
      <c r="AR9" s="212">
        <v>250</v>
      </c>
      <c r="AS9" s="501" t="s">
        <v>58</v>
      </c>
      <c r="BP9" s="2701" t="s">
        <v>880</v>
      </c>
      <c r="BQ9" s="2702"/>
      <c r="BR9" s="2702"/>
      <c r="BS9" s="2703"/>
      <c r="BT9" s="338">
        <v>18</v>
      </c>
      <c r="BU9" s="338">
        <v>8.5</v>
      </c>
      <c r="BV9" s="338">
        <v>18</v>
      </c>
      <c r="BW9" s="342">
        <v>10</v>
      </c>
      <c r="BX9" s="343">
        <v>1200</v>
      </c>
      <c r="BY9" s="341">
        <v>1500</v>
      </c>
      <c r="BZ9" s="343">
        <v>500</v>
      </c>
      <c r="CA9" s="341">
        <v>500</v>
      </c>
      <c r="CB9" s="640"/>
      <c r="CC9" s="640"/>
    </row>
    <row r="10" spans="2:81" ht="15.75" customHeight="1" thickBot="1">
      <c r="B10" s="2704" t="s">
        <v>881</v>
      </c>
      <c r="C10" s="2705"/>
      <c r="D10" s="2705"/>
      <c r="E10" s="2706"/>
      <c r="F10" s="214" t="s">
        <v>58</v>
      </c>
      <c r="G10" s="214" t="s">
        <v>58</v>
      </c>
      <c r="H10" s="214">
        <v>18</v>
      </c>
      <c r="I10" s="214">
        <v>10</v>
      </c>
      <c r="J10" s="397" t="s">
        <v>58</v>
      </c>
      <c r="K10" s="401">
        <v>1000</v>
      </c>
      <c r="L10" s="397" t="s">
        <v>58</v>
      </c>
      <c r="M10" s="401">
        <v>500</v>
      </c>
      <c r="N10" s="42"/>
      <c r="AG10" s="2673" t="s">
        <v>1342</v>
      </c>
      <c r="AH10" s="2674"/>
      <c r="AI10" s="2674"/>
      <c r="AJ10" s="2675"/>
      <c r="AK10" s="632" t="s">
        <v>58</v>
      </c>
      <c r="AL10" s="214">
        <v>11.4</v>
      </c>
      <c r="AM10" s="214">
        <v>3.3</v>
      </c>
      <c r="AN10" s="214" t="s">
        <v>58</v>
      </c>
      <c r="AO10" s="214" t="s">
        <v>58</v>
      </c>
      <c r="AP10" s="633">
        <v>100</v>
      </c>
      <c r="AQ10" s="634" t="s">
        <v>58</v>
      </c>
      <c r="AR10" s="633">
        <v>200</v>
      </c>
      <c r="AS10" s="634" t="s">
        <v>58</v>
      </c>
      <c r="BP10" s="2704" t="s">
        <v>881</v>
      </c>
      <c r="BQ10" s="2705"/>
      <c r="BR10" s="2705"/>
      <c r="BS10" s="2706"/>
      <c r="BT10" s="214" t="s">
        <v>58</v>
      </c>
      <c r="BU10" s="214" t="s">
        <v>58</v>
      </c>
      <c r="BV10" s="214">
        <v>18</v>
      </c>
      <c r="BW10" s="214">
        <v>10</v>
      </c>
      <c r="BX10" s="397" t="s">
        <v>58</v>
      </c>
      <c r="BY10" s="401">
        <v>1500</v>
      </c>
      <c r="BZ10" s="397" t="s">
        <v>58</v>
      </c>
      <c r="CA10" s="401">
        <v>500</v>
      </c>
      <c r="CB10" s="640"/>
      <c r="CC10" s="640"/>
    </row>
    <row r="11" spans="2:81" ht="15" customHeight="1">
      <c r="B11" s="391"/>
      <c r="C11" s="357"/>
      <c r="D11" s="357"/>
      <c r="E11" s="357"/>
      <c r="F11" s="392"/>
      <c r="G11" s="392"/>
      <c r="H11" s="392"/>
      <c r="I11" s="392"/>
      <c r="J11" s="393"/>
      <c r="K11" s="393"/>
      <c r="L11" s="393"/>
      <c r="M11" s="394"/>
      <c r="N11" s="42"/>
      <c r="BQ11" s="357"/>
      <c r="BR11" s="357"/>
      <c r="BS11" s="357"/>
      <c r="BT11" s="357"/>
      <c r="BU11" s="392"/>
      <c r="BV11" s="392"/>
      <c r="BW11" s="392"/>
      <c r="BX11" s="392"/>
      <c r="BY11" s="392"/>
      <c r="BZ11" s="640"/>
      <c r="CA11" s="640"/>
      <c r="CB11" s="640"/>
      <c r="CC11" s="640"/>
    </row>
    <row r="12" spans="2:81" ht="15" customHeight="1">
      <c r="BQ12" s="357"/>
      <c r="BR12" s="357"/>
      <c r="BS12" s="357"/>
      <c r="BT12" s="357"/>
      <c r="BU12" s="392"/>
      <c r="BV12" s="392"/>
      <c r="BW12" s="392"/>
      <c r="BX12" s="392"/>
      <c r="BY12" s="392"/>
      <c r="BZ12" s="640"/>
      <c r="CA12" s="640"/>
      <c r="CB12" s="640"/>
      <c r="CC12" s="640"/>
    </row>
    <row r="13" spans="2:81" ht="15.75" customHeight="1">
      <c r="BQ13" s="357"/>
      <c r="BR13" s="357"/>
      <c r="BS13" s="357"/>
      <c r="BT13" s="357"/>
      <c r="BU13" s="392"/>
      <c r="BV13" s="392"/>
      <c r="BW13" s="392"/>
      <c r="BX13" s="392"/>
      <c r="BY13" s="392"/>
      <c r="BZ13" s="640"/>
      <c r="CA13" s="640"/>
      <c r="CB13" s="640"/>
      <c r="CC13" s="640"/>
    </row>
    <row r="15" spans="2:81" ht="16.5" customHeight="1"/>
    <row r="16" spans="2:81" ht="15" customHeight="1"/>
    <row r="17" spans="18:94" ht="15" customHeight="1"/>
    <row r="20" spans="18:94" ht="70">
      <c r="R20" s="2680" t="s">
        <v>590</v>
      </c>
      <c r="S20" s="2712"/>
      <c r="U20" s="403" t="s">
        <v>590</v>
      </c>
      <c r="V20" s="404"/>
    </row>
    <row r="21" spans="18:94" ht="17.25" customHeight="1">
      <c r="R21" s="2697" t="s">
        <v>33</v>
      </c>
      <c r="S21" s="2697" t="s">
        <v>178</v>
      </c>
      <c r="U21" s="405" t="s">
        <v>33</v>
      </c>
      <c r="V21" s="407" t="s">
        <v>178</v>
      </c>
    </row>
    <row r="22" spans="18:94" ht="16.5" customHeight="1">
      <c r="R22" s="2698"/>
      <c r="S22" s="2698"/>
      <c r="U22" s="406"/>
      <c r="V22" s="408"/>
    </row>
    <row r="23" spans="18:94" ht="31.5" customHeight="1">
      <c r="R23" s="395" t="s">
        <v>58</v>
      </c>
      <c r="S23" s="400">
        <v>500</v>
      </c>
      <c r="U23" s="395" t="s">
        <v>58</v>
      </c>
      <c r="V23" s="400">
        <v>500</v>
      </c>
      <c r="CE23" s="2723" t="s">
        <v>21</v>
      </c>
      <c r="CF23" s="2724" t="s">
        <v>4421</v>
      </c>
      <c r="CG23" s="2725"/>
      <c r="CH23" s="2725"/>
      <c r="CI23" s="2726"/>
      <c r="CK23" s="1389" t="s">
        <v>4732</v>
      </c>
      <c r="CM23" s="2580" t="s">
        <v>232</v>
      </c>
      <c r="CN23" s="2580"/>
      <c r="CO23" s="2580"/>
      <c r="CP23" s="2580"/>
    </row>
    <row r="24" spans="18:94" ht="15" customHeight="1">
      <c r="R24" s="399" t="s">
        <v>58</v>
      </c>
      <c r="S24" s="400">
        <v>500</v>
      </c>
      <c r="U24" s="399" t="s">
        <v>58</v>
      </c>
      <c r="V24" s="400">
        <v>500</v>
      </c>
      <c r="CE24" s="2723"/>
      <c r="CF24" s="2727" t="s">
        <v>1334</v>
      </c>
      <c r="CG24" s="2727" t="s">
        <v>4422</v>
      </c>
      <c r="CH24" s="2727" t="s">
        <v>4423</v>
      </c>
      <c r="CI24" s="2727" t="s">
        <v>4424</v>
      </c>
      <c r="CK24" s="2587" t="s">
        <v>4426</v>
      </c>
      <c r="CM24" s="2727" t="s">
        <v>4165</v>
      </c>
      <c r="CN24" s="2727" t="s">
        <v>4164</v>
      </c>
      <c r="CO24" s="2727" t="s">
        <v>4163</v>
      </c>
      <c r="CP24" s="2727" t="s">
        <v>4162</v>
      </c>
    </row>
    <row r="25" spans="18:94" ht="15" thickBot="1">
      <c r="R25" s="398" t="s">
        <v>58</v>
      </c>
      <c r="S25" s="401" t="s">
        <v>58</v>
      </c>
      <c r="U25" s="398" t="s">
        <v>58</v>
      </c>
      <c r="V25" s="401" t="s">
        <v>58</v>
      </c>
      <c r="CE25" s="2723"/>
      <c r="CF25" s="2727"/>
      <c r="CG25" s="2727"/>
      <c r="CH25" s="2727"/>
      <c r="CI25" s="2727"/>
      <c r="CK25" s="2588"/>
      <c r="CM25" s="2727"/>
      <c r="CN25" s="2727"/>
      <c r="CO25" s="2727"/>
      <c r="CP25" s="2727"/>
    </row>
    <row r="26" spans="18:94">
      <c r="CE26" s="2" t="s">
        <v>4209</v>
      </c>
      <c r="CF26" s="1388">
        <v>17.100000000000001</v>
      </c>
      <c r="CG26" s="1388">
        <v>3.6</v>
      </c>
      <c r="CH26" s="1388">
        <v>20</v>
      </c>
      <c r="CI26" s="1388">
        <v>3.8</v>
      </c>
      <c r="CK26" s="1168">
        <v>250</v>
      </c>
      <c r="CM26" s="1167">
        <v>1000</v>
      </c>
      <c r="CN26" s="1167">
        <v>2000</v>
      </c>
      <c r="CO26" s="1167">
        <v>500</v>
      </c>
      <c r="CP26" s="1167">
        <v>700</v>
      </c>
    </row>
    <row r="27" spans="18:94">
      <c r="CE27" s="2" t="s">
        <v>4206</v>
      </c>
      <c r="CF27" s="1388">
        <v>21.1</v>
      </c>
      <c r="CG27" s="1388">
        <v>4.0999999999999996</v>
      </c>
      <c r="CH27" s="1388">
        <v>25</v>
      </c>
      <c r="CI27" s="1388">
        <v>4.5</v>
      </c>
      <c r="CK27" s="1168">
        <v>250</v>
      </c>
      <c r="CM27" s="1167">
        <v>1000</v>
      </c>
      <c r="CN27" s="1167">
        <v>2000</v>
      </c>
      <c r="CO27" s="1167">
        <v>500</v>
      </c>
      <c r="CP27" s="1167">
        <v>700</v>
      </c>
    </row>
    <row r="28" spans="18:94">
      <c r="CE28" s="2" t="s">
        <v>4134</v>
      </c>
      <c r="CF28" s="1388">
        <v>16.100000000000001</v>
      </c>
      <c r="CG28" s="1388">
        <v>3.1</v>
      </c>
      <c r="CH28" s="1388">
        <v>17.5</v>
      </c>
      <c r="CI28" s="1388">
        <f>CG28</f>
        <v>3.1</v>
      </c>
      <c r="CK28" s="1168">
        <v>250</v>
      </c>
      <c r="CM28" s="1167">
        <v>1000</v>
      </c>
      <c r="CN28" s="1167">
        <v>2000</v>
      </c>
      <c r="CO28" s="1167">
        <v>500</v>
      </c>
      <c r="CP28" s="1167">
        <v>700</v>
      </c>
    </row>
    <row r="29" spans="18:94">
      <c r="CE29" s="2" t="s">
        <v>4131</v>
      </c>
      <c r="CF29" s="1388">
        <v>20.100000000000001</v>
      </c>
      <c r="CG29" s="1388">
        <v>3.5</v>
      </c>
      <c r="CH29" s="1388">
        <v>23</v>
      </c>
      <c r="CI29" s="1388">
        <v>3.7</v>
      </c>
      <c r="CK29" s="1168">
        <v>250</v>
      </c>
      <c r="CM29" s="1167">
        <v>1000</v>
      </c>
      <c r="CN29" s="1167">
        <v>2000</v>
      </c>
      <c r="CO29" s="1167">
        <v>500</v>
      </c>
      <c r="CP29" s="1167">
        <v>700</v>
      </c>
    </row>
    <row r="30" spans="18:94">
      <c r="CE30" s="2" t="s">
        <v>4199</v>
      </c>
      <c r="CF30" s="1388">
        <v>16</v>
      </c>
      <c r="CG30" s="1388">
        <v>3.6</v>
      </c>
      <c r="CH30" s="1388">
        <v>21</v>
      </c>
      <c r="CI30" s="1388">
        <v>4</v>
      </c>
      <c r="CK30" s="1168">
        <v>250</v>
      </c>
      <c r="CM30" s="1167">
        <v>1000</v>
      </c>
      <c r="CN30" s="1167">
        <v>2000</v>
      </c>
      <c r="CO30" s="1167">
        <v>500</v>
      </c>
      <c r="CP30" s="1167">
        <v>700</v>
      </c>
    </row>
    <row r="31" spans="18:94">
      <c r="CE31" s="2" t="s">
        <v>4713</v>
      </c>
      <c r="CF31" s="1388">
        <v>14.2</v>
      </c>
      <c r="CG31" s="1388">
        <v>3</v>
      </c>
      <c r="CH31" s="1456" t="s">
        <v>288</v>
      </c>
      <c r="CI31" s="1456" t="s">
        <v>288</v>
      </c>
      <c r="CK31" s="1168" t="s">
        <v>288</v>
      </c>
      <c r="CM31" s="1167">
        <v>1000</v>
      </c>
      <c r="CN31" s="1167" t="s">
        <v>288</v>
      </c>
      <c r="CO31" s="1167">
        <v>500</v>
      </c>
      <c r="CP31" s="1167" t="s">
        <v>288</v>
      </c>
    </row>
    <row r="32" spans="18:94">
      <c r="CE32" s="2" t="s">
        <v>4714</v>
      </c>
      <c r="CF32" s="1388">
        <v>13</v>
      </c>
      <c r="CG32" s="1388">
        <v>2.8</v>
      </c>
      <c r="CH32" s="1456" t="s">
        <v>288</v>
      </c>
      <c r="CI32" s="1456" t="s">
        <v>288</v>
      </c>
      <c r="CK32" s="1168" t="s">
        <v>288</v>
      </c>
      <c r="CM32" s="1167">
        <v>1000</v>
      </c>
      <c r="CN32" s="1167" t="s">
        <v>288</v>
      </c>
      <c r="CO32" s="1167">
        <v>500</v>
      </c>
      <c r="CP32" s="1167" t="s">
        <v>288</v>
      </c>
    </row>
    <row r="35" spans="15:43" ht="15" thickBot="1"/>
    <row r="36" spans="15:43" ht="26.5" thickBot="1">
      <c r="O36" s="2658" t="s">
        <v>1017</v>
      </c>
      <c r="P36" s="2659"/>
      <c r="Q36" s="2659"/>
      <c r="R36" s="2659"/>
      <c r="S36" s="2659"/>
      <c r="T36" s="2659"/>
      <c r="U36" s="2659"/>
      <c r="V36" s="2659"/>
      <c r="W36" s="2659"/>
      <c r="X36" s="2659"/>
      <c r="Y36" s="2659"/>
      <c r="Z36" s="2660"/>
      <c r="AA36" s="637"/>
      <c r="AB36" s="637"/>
      <c r="AC36" s="637"/>
      <c r="AD36" s="637"/>
    </row>
    <row r="37" spans="15:43" ht="14.5" customHeight="1">
      <c r="O37" s="2661" t="s">
        <v>21</v>
      </c>
      <c r="P37" s="2662"/>
      <c r="Q37" s="2662"/>
      <c r="R37" s="2663"/>
      <c r="S37" s="2667" t="s">
        <v>20</v>
      </c>
      <c r="T37" s="2668"/>
      <c r="U37" s="2668"/>
      <c r="V37" s="2669"/>
      <c r="W37" s="2667" t="s">
        <v>232</v>
      </c>
      <c r="X37" s="2669"/>
      <c r="Y37" s="2667" t="s">
        <v>590</v>
      </c>
      <c r="Z37" s="2669"/>
      <c r="AA37" s="1099"/>
      <c r="AB37" s="1099"/>
    </row>
    <row r="38" spans="15:43" ht="14.5" customHeight="1" thickBot="1">
      <c r="O38" s="2692"/>
      <c r="P38" s="2693"/>
      <c r="Q38" s="2693"/>
      <c r="R38" s="2694"/>
      <c r="S38" s="2695" t="s">
        <v>32</v>
      </c>
      <c r="T38" s="2697" t="s">
        <v>594</v>
      </c>
      <c r="U38" s="2697" t="s">
        <v>591</v>
      </c>
      <c r="V38" s="2699" t="s">
        <v>1021</v>
      </c>
      <c r="W38" s="2695" t="s">
        <v>592</v>
      </c>
      <c r="X38" s="2699" t="s">
        <v>593</v>
      </c>
      <c r="Y38" s="2695" t="s">
        <v>33</v>
      </c>
      <c r="Z38" s="2699" t="s">
        <v>34</v>
      </c>
      <c r="AA38" s="1099"/>
      <c r="AB38" s="1099"/>
    </row>
    <row r="39" spans="15:43" ht="26.5" thickBot="1">
      <c r="O39" s="2664"/>
      <c r="P39" s="2665"/>
      <c r="Q39" s="2665"/>
      <c r="R39" s="2666"/>
      <c r="S39" s="2696"/>
      <c r="T39" s="2698"/>
      <c r="U39" s="2698"/>
      <c r="V39" s="2700"/>
      <c r="W39" s="2696"/>
      <c r="X39" s="2700"/>
      <c r="Y39" s="2696"/>
      <c r="Z39" s="2700"/>
      <c r="AA39" s="1099"/>
      <c r="AB39" s="1099"/>
      <c r="AG39" s="2658" t="s">
        <v>1908</v>
      </c>
      <c r="AH39" s="2659"/>
      <c r="AI39" s="2659"/>
      <c r="AJ39" s="2659"/>
      <c r="AK39" s="2659"/>
      <c r="AL39" s="2659"/>
      <c r="AM39" s="2659"/>
      <c r="AN39" s="2659"/>
      <c r="AO39" s="2659"/>
      <c r="AP39" s="2659"/>
      <c r="AQ39" s="2660"/>
    </row>
    <row r="40" spans="15:43" ht="14.5" customHeight="1">
      <c r="O40" s="2649" t="s">
        <v>826</v>
      </c>
      <c r="P40" s="2650"/>
      <c r="Q40" s="2650"/>
      <c r="R40" s="2707"/>
      <c r="S40" s="409" t="s">
        <v>58</v>
      </c>
      <c r="T40" s="211" t="s">
        <v>58</v>
      </c>
      <c r="U40" s="211">
        <v>17</v>
      </c>
      <c r="V40" s="213">
        <v>10</v>
      </c>
      <c r="W40" s="212" t="s">
        <v>58</v>
      </c>
      <c r="X40" s="399">
        <v>1000</v>
      </c>
      <c r="Y40" s="212" t="s">
        <v>58</v>
      </c>
      <c r="Z40" s="400">
        <v>500</v>
      </c>
      <c r="AA40" s="640"/>
      <c r="AB40" s="1100"/>
      <c r="AG40" s="2661" t="s">
        <v>21</v>
      </c>
      <c r="AH40" s="2662"/>
      <c r="AI40" s="2662"/>
      <c r="AJ40" s="2663"/>
      <c r="AK40" s="2667" t="s">
        <v>20</v>
      </c>
      <c r="AL40" s="2668"/>
      <c r="AM40" s="2668"/>
      <c r="AN40" s="2668"/>
      <c r="AO40" s="2669"/>
      <c r="AP40" s="2667" t="s">
        <v>232</v>
      </c>
      <c r="AQ40" s="2669"/>
    </row>
    <row r="41" spans="15:43">
      <c r="O41" s="2720" t="s">
        <v>827</v>
      </c>
      <c r="P41" s="2721"/>
      <c r="Q41" s="2721"/>
      <c r="R41" s="2722"/>
      <c r="S41" s="1097" t="s">
        <v>58</v>
      </c>
      <c r="T41" s="1101" t="s">
        <v>58</v>
      </c>
      <c r="U41" s="338">
        <v>18</v>
      </c>
      <c r="V41" s="339">
        <v>10</v>
      </c>
      <c r="W41" s="343" t="s">
        <v>58</v>
      </c>
      <c r="X41" s="1102">
        <v>1000</v>
      </c>
      <c r="Y41" s="343" t="s">
        <v>58</v>
      </c>
      <c r="Z41" s="341">
        <v>500</v>
      </c>
      <c r="AA41" s="1100"/>
      <c r="AB41" s="1100"/>
      <c r="AG41" s="2664"/>
      <c r="AH41" s="2665"/>
      <c r="AI41" s="2665"/>
      <c r="AJ41" s="2666"/>
      <c r="AK41" s="629" t="s">
        <v>32</v>
      </c>
      <c r="AL41" s="630" t="s">
        <v>1334</v>
      </c>
      <c r="AM41" s="630" t="s">
        <v>1335</v>
      </c>
      <c r="AN41" s="630" t="s">
        <v>1336</v>
      </c>
      <c r="AO41" s="630" t="s">
        <v>1337</v>
      </c>
      <c r="AP41" s="629" t="s">
        <v>33</v>
      </c>
      <c r="AQ41" s="631" t="s">
        <v>34</v>
      </c>
    </row>
    <row r="42" spans="15:43" ht="15" customHeight="1" thickBot="1">
      <c r="O42" s="2655" t="s">
        <v>3864</v>
      </c>
      <c r="P42" s="2656"/>
      <c r="Q42" s="2656"/>
      <c r="R42" s="2708"/>
      <c r="S42" s="416" t="s">
        <v>58</v>
      </c>
      <c r="T42" s="417" t="s">
        <v>58</v>
      </c>
      <c r="U42" s="214">
        <v>18</v>
      </c>
      <c r="V42" s="396">
        <v>10</v>
      </c>
      <c r="W42" s="397" t="s">
        <v>58</v>
      </c>
      <c r="X42" s="398">
        <v>1000</v>
      </c>
      <c r="Y42" s="397" t="s">
        <v>58</v>
      </c>
      <c r="Z42" s="401">
        <v>500</v>
      </c>
      <c r="AG42" s="2670" t="s">
        <v>1338</v>
      </c>
      <c r="AH42" s="2671"/>
      <c r="AI42" s="2671"/>
      <c r="AJ42" s="2672"/>
      <c r="AK42" s="502">
        <v>15</v>
      </c>
      <c r="AL42" s="211" t="s">
        <v>58</v>
      </c>
      <c r="AM42" s="211">
        <v>8.5</v>
      </c>
      <c r="AN42" s="211">
        <v>16</v>
      </c>
      <c r="AO42" s="211">
        <v>8.5</v>
      </c>
      <c r="AP42" s="212">
        <v>300</v>
      </c>
      <c r="AQ42" s="501">
        <v>325</v>
      </c>
    </row>
    <row r="43" spans="15:43">
      <c r="AG43" s="2670" t="s">
        <v>1339</v>
      </c>
      <c r="AH43" s="2671"/>
      <c r="AI43" s="2671"/>
      <c r="AJ43" s="2672"/>
      <c r="AK43" s="502">
        <v>17</v>
      </c>
      <c r="AL43" s="211" t="s">
        <v>58</v>
      </c>
      <c r="AM43" s="211">
        <v>10</v>
      </c>
      <c r="AN43" s="211" t="s">
        <v>58</v>
      </c>
      <c r="AO43" s="211" t="s">
        <v>58</v>
      </c>
      <c r="AP43" s="212">
        <v>350</v>
      </c>
      <c r="AQ43" s="501" t="s">
        <v>58</v>
      </c>
    </row>
    <row r="44" spans="15:43">
      <c r="AG44" s="2670" t="s">
        <v>1340</v>
      </c>
      <c r="AH44" s="2671"/>
      <c r="AI44" s="2671"/>
      <c r="AJ44" s="2672"/>
      <c r="AK44" s="502">
        <v>18</v>
      </c>
      <c r="AL44" s="211" t="s">
        <v>58</v>
      </c>
      <c r="AM44" s="211">
        <v>8.5</v>
      </c>
      <c r="AN44" s="211" t="s">
        <v>58</v>
      </c>
      <c r="AO44" s="211" t="s">
        <v>58</v>
      </c>
      <c r="AP44" s="212">
        <v>300</v>
      </c>
      <c r="AQ44" s="501" t="s">
        <v>58</v>
      </c>
    </row>
    <row r="45" spans="15:43">
      <c r="AG45" s="2670" t="s">
        <v>1341</v>
      </c>
      <c r="AH45" s="2671"/>
      <c r="AI45" s="2671"/>
      <c r="AJ45" s="2672"/>
      <c r="AK45" s="502">
        <v>18</v>
      </c>
      <c r="AL45" s="211" t="s">
        <v>58</v>
      </c>
      <c r="AM45" s="211">
        <v>10</v>
      </c>
      <c r="AN45" s="211" t="s">
        <v>58</v>
      </c>
      <c r="AO45" s="211" t="s">
        <v>58</v>
      </c>
      <c r="AP45" s="212">
        <v>300</v>
      </c>
      <c r="AQ45" s="501" t="s">
        <v>58</v>
      </c>
    </row>
    <row r="46" spans="15:43" ht="15" customHeight="1">
      <c r="AG46" s="2670" t="s">
        <v>4018</v>
      </c>
      <c r="AH46" s="2671"/>
      <c r="AI46" s="2671"/>
      <c r="AJ46" s="2672"/>
      <c r="AK46" s="502">
        <v>18</v>
      </c>
      <c r="AL46" s="211" t="s">
        <v>58</v>
      </c>
      <c r="AM46" s="211">
        <v>10</v>
      </c>
      <c r="AN46" s="211" t="s">
        <v>58</v>
      </c>
      <c r="AO46" s="211" t="s">
        <v>58</v>
      </c>
      <c r="AP46" s="212">
        <v>300</v>
      </c>
      <c r="AQ46" s="501" t="s">
        <v>58</v>
      </c>
    </row>
    <row r="47" spans="15:43" ht="15" thickBot="1">
      <c r="AG47" s="2673" t="s">
        <v>1342</v>
      </c>
      <c r="AH47" s="2674"/>
      <c r="AI47" s="2674"/>
      <c r="AJ47" s="2675"/>
      <c r="AK47" s="632" t="s">
        <v>58</v>
      </c>
      <c r="AL47" s="214">
        <v>11.4</v>
      </c>
      <c r="AM47" s="214">
        <v>3.3</v>
      </c>
      <c r="AN47" s="214" t="s">
        <v>58</v>
      </c>
      <c r="AO47" s="214" t="s">
        <v>58</v>
      </c>
      <c r="AP47" s="633">
        <v>100</v>
      </c>
      <c r="AQ47" s="634" t="s">
        <v>58</v>
      </c>
    </row>
    <row r="56" spans="15:24" ht="15" thickBot="1"/>
    <row r="57" spans="15:24" ht="26.5" thickBot="1">
      <c r="O57" s="2658" t="s">
        <v>1017</v>
      </c>
      <c r="P57" s="2659"/>
      <c r="Q57" s="2659"/>
      <c r="R57" s="2659"/>
      <c r="S57" s="2659"/>
      <c r="T57" s="2659"/>
      <c r="U57" s="2659"/>
      <c r="V57" s="2659"/>
      <c r="W57" s="2659"/>
      <c r="X57" s="2660"/>
    </row>
    <row r="58" spans="15:24">
      <c r="O58" s="2661" t="s">
        <v>21</v>
      </c>
      <c r="P58" s="2662"/>
      <c r="Q58" s="2662"/>
      <c r="R58" s="2663"/>
      <c r="S58" s="2667" t="s">
        <v>20</v>
      </c>
      <c r="T58" s="2668"/>
      <c r="U58" s="2668"/>
      <c r="V58" s="2669"/>
      <c r="W58" s="2667" t="s">
        <v>232</v>
      </c>
      <c r="X58" s="2669"/>
    </row>
    <row r="59" spans="15:24">
      <c r="O59" s="2692"/>
      <c r="P59" s="2693"/>
      <c r="Q59" s="2693"/>
      <c r="R59" s="2694"/>
      <c r="S59" s="2695" t="s">
        <v>32</v>
      </c>
      <c r="T59" s="2697" t="s">
        <v>594</v>
      </c>
      <c r="U59" s="2697" t="s">
        <v>591</v>
      </c>
      <c r="V59" s="2699" t="s">
        <v>1021</v>
      </c>
      <c r="W59" s="2695" t="s">
        <v>592</v>
      </c>
      <c r="X59" s="2699" t="s">
        <v>593</v>
      </c>
    </row>
    <row r="60" spans="15:24">
      <c r="O60" s="2664"/>
      <c r="P60" s="2665"/>
      <c r="Q60" s="2665"/>
      <c r="R60" s="2666"/>
      <c r="S60" s="2696"/>
      <c r="T60" s="2698"/>
      <c r="U60" s="2698"/>
      <c r="V60" s="2700"/>
      <c r="W60" s="2696"/>
      <c r="X60" s="2700"/>
    </row>
    <row r="61" spans="15:24">
      <c r="O61" s="2649" t="s">
        <v>826</v>
      </c>
      <c r="P61" s="2650"/>
      <c r="Q61" s="2650"/>
      <c r="R61" s="2707"/>
      <c r="S61" s="409" t="s">
        <v>58</v>
      </c>
      <c r="T61" s="211" t="s">
        <v>58</v>
      </c>
      <c r="U61" s="211">
        <v>17</v>
      </c>
      <c r="V61" s="213">
        <v>10</v>
      </c>
      <c r="W61" s="212" t="s">
        <v>58</v>
      </c>
      <c r="X61" s="400">
        <v>1000</v>
      </c>
    </row>
    <row r="62" spans="15:24">
      <c r="O62" s="2720" t="s">
        <v>827</v>
      </c>
      <c r="P62" s="2721"/>
      <c r="Q62" s="2721"/>
      <c r="R62" s="2722"/>
      <c r="S62" s="1097" t="s">
        <v>58</v>
      </c>
      <c r="T62" s="1101" t="s">
        <v>58</v>
      </c>
      <c r="U62" s="338">
        <v>18</v>
      </c>
      <c r="V62" s="339">
        <v>10</v>
      </c>
      <c r="W62" s="343" t="s">
        <v>58</v>
      </c>
      <c r="X62" s="341">
        <v>1000</v>
      </c>
    </row>
    <row r="63" spans="15:24" ht="15" thickBot="1">
      <c r="O63" s="2655" t="s">
        <v>3864</v>
      </c>
      <c r="P63" s="2656"/>
      <c r="Q63" s="2656"/>
      <c r="R63" s="2708"/>
      <c r="S63" s="416" t="s">
        <v>58</v>
      </c>
      <c r="T63" s="417" t="s">
        <v>58</v>
      </c>
      <c r="U63" s="214">
        <v>18</v>
      </c>
      <c r="V63" s="396">
        <v>10</v>
      </c>
      <c r="W63" s="397" t="s">
        <v>58</v>
      </c>
      <c r="X63" s="401">
        <v>1000</v>
      </c>
    </row>
    <row r="65" spans="15:43" ht="15" thickBot="1"/>
    <row r="66" spans="15:43" ht="26.5" thickBot="1">
      <c r="AG66" s="2658" t="s">
        <v>1908</v>
      </c>
      <c r="AH66" s="2659"/>
      <c r="AI66" s="2659"/>
      <c r="AJ66" s="2659"/>
      <c r="AK66" s="2659"/>
      <c r="AL66" s="2659"/>
      <c r="AM66" s="2659"/>
      <c r="AN66" s="2659"/>
      <c r="AO66" s="2659"/>
      <c r="AP66" s="2659"/>
      <c r="AQ66" s="2660"/>
    </row>
    <row r="67" spans="15:43">
      <c r="AG67" s="2661" t="s">
        <v>21</v>
      </c>
      <c r="AH67" s="2662"/>
      <c r="AI67" s="2662"/>
      <c r="AJ67" s="2663"/>
      <c r="AK67" s="2667" t="s">
        <v>20</v>
      </c>
      <c r="AL67" s="2668"/>
      <c r="AM67" s="2668"/>
      <c r="AN67" s="2668"/>
      <c r="AO67" s="2669"/>
      <c r="AP67" s="2667" t="s">
        <v>232</v>
      </c>
      <c r="AQ67" s="2669"/>
    </row>
    <row r="68" spans="15:43">
      <c r="AG68" s="2664"/>
      <c r="AH68" s="2665"/>
      <c r="AI68" s="2665"/>
      <c r="AJ68" s="2666"/>
      <c r="AK68" s="629" t="s">
        <v>32</v>
      </c>
      <c r="AL68" s="630" t="s">
        <v>1334</v>
      </c>
      <c r="AM68" s="630" t="s">
        <v>1335</v>
      </c>
      <c r="AN68" s="630" t="s">
        <v>1336</v>
      </c>
      <c r="AO68" s="630" t="s">
        <v>1337</v>
      </c>
      <c r="AP68" s="629" t="s">
        <v>33</v>
      </c>
      <c r="AQ68" s="631" t="s">
        <v>34</v>
      </c>
    </row>
    <row r="69" spans="15:43">
      <c r="AG69" s="2670" t="s">
        <v>1338</v>
      </c>
      <c r="AH69" s="2671"/>
      <c r="AI69" s="2671"/>
      <c r="AJ69" s="2672"/>
      <c r="AK69" s="502">
        <v>15</v>
      </c>
      <c r="AL69" s="211" t="s">
        <v>58</v>
      </c>
      <c r="AM69" s="211">
        <v>8.5</v>
      </c>
      <c r="AN69" s="211">
        <v>16</v>
      </c>
      <c r="AO69" s="211">
        <v>8.5</v>
      </c>
      <c r="AP69" s="212">
        <v>300</v>
      </c>
      <c r="AQ69" s="501">
        <v>325</v>
      </c>
    </row>
    <row r="70" spans="15:43">
      <c r="AG70" s="2670" t="s">
        <v>1339</v>
      </c>
      <c r="AH70" s="2671"/>
      <c r="AI70" s="2671"/>
      <c r="AJ70" s="2672"/>
      <c r="AK70" s="502" t="s">
        <v>58</v>
      </c>
      <c r="AL70" s="211" t="s">
        <v>58</v>
      </c>
      <c r="AM70" s="211" t="s">
        <v>58</v>
      </c>
      <c r="AN70" s="211">
        <v>17</v>
      </c>
      <c r="AO70" s="211">
        <v>10</v>
      </c>
      <c r="AP70" s="212" t="s">
        <v>58</v>
      </c>
      <c r="AQ70" s="501">
        <v>375</v>
      </c>
    </row>
    <row r="71" spans="15:43">
      <c r="AG71" s="2670" t="s">
        <v>1340</v>
      </c>
      <c r="AH71" s="2671"/>
      <c r="AI71" s="2671"/>
      <c r="AJ71" s="2672"/>
      <c r="AK71" s="502">
        <v>18</v>
      </c>
      <c r="AL71" s="211" t="s">
        <v>58</v>
      </c>
      <c r="AM71" s="211">
        <v>8.5</v>
      </c>
      <c r="AN71" s="211" t="s">
        <v>58</v>
      </c>
      <c r="AO71" s="211" t="s">
        <v>58</v>
      </c>
      <c r="AP71" s="212">
        <v>275</v>
      </c>
      <c r="AQ71" s="501" t="s">
        <v>58</v>
      </c>
    </row>
    <row r="72" spans="15:43">
      <c r="AG72" s="2670" t="s">
        <v>1341</v>
      </c>
      <c r="AH72" s="2671"/>
      <c r="AI72" s="2671"/>
      <c r="AJ72" s="2672"/>
      <c r="AK72" s="502" t="s">
        <v>58</v>
      </c>
      <c r="AL72" s="211" t="s">
        <v>58</v>
      </c>
      <c r="AM72" s="211" t="s">
        <v>58</v>
      </c>
      <c r="AN72" s="211">
        <v>18</v>
      </c>
      <c r="AO72" s="211">
        <v>10</v>
      </c>
      <c r="AP72" s="212" t="s">
        <v>58</v>
      </c>
      <c r="AQ72" s="501">
        <v>350</v>
      </c>
    </row>
    <row r="73" spans="15:43">
      <c r="AG73" s="2670" t="s">
        <v>4018</v>
      </c>
      <c r="AH73" s="2671"/>
      <c r="AI73" s="2671"/>
      <c r="AJ73" s="2672"/>
      <c r="AK73" s="502" t="s">
        <v>58</v>
      </c>
      <c r="AL73" s="211" t="s">
        <v>58</v>
      </c>
      <c r="AM73" s="211" t="s">
        <v>58</v>
      </c>
      <c r="AN73" s="211">
        <v>18</v>
      </c>
      <c r="AO73" s="211">
        <v>10</v>
      </c>
      <c r="AP73" s="212" t="s">
        <v>58</v>
      </c>
      <c r="AQ73" s="501">
        <v>350</v>
      </c>
    </row>
    <row r="74" spans="15:43" ht="15" thickBot="1">
      <c r="AG74" s="2673" t="s">
        <v>1342</v>
      </c>
      <c r="AH74" s="2674"/>
      <c r="AI74" s="2674"/>
      <c r="AJ74" s="2675"/>
      <c r="AK74" s="632" t="s">
        <v>58</v>
      </c>
      <c r="AL74" s="214">
        <v>11.4</v>
      </c>
      <c r="AM74" s="214">
        <v>3.3</v>
      </c>
      <c r="AN74" s="214" t="s">
        <v>58</v>
      </c>
      <c r="AO74" s="214" t="s">
        <v>58</v>
      </c>
      <c r="AP74" s="633">
        <v>100</v>
      </c>
      <c r="AQ74" s="634" t="s">
        <v>58</v>
      </c>
    </row>
    <row r="78" spans="15:43" ht="15" thickBot="1"/>
    <row r="79" spans="15:43" ht="26.5" thickBot="1">
      <c r="O79" s="2658" t="s">
        <v>1017</v>
      </c>
      <c r="P79" s="2659"/>
      <c r="Q79" s="2659"/>
      <c r="R79" s="2659"/>
      <c r="S79" s="2659"/>
      <c r="T79" s="2659"/>
      <c r="U79" s="2659"/>
      <c r="V79" s="2659"/>
      <c r="W79" s="2659"/>
      <c r="X79" s="2659"/>
      <c r="Y79" s="2659"/>
      <c r="Z79" s="2659"/>
      <c r="AA79" s="2659"/>
      <c r="AB79" s="2660"/>
    </row>
    <row r="80" spans="15:43" ht="15" thickBot="1">
      <c r="O80" s="2676" t="s">
        <v>21</v>
      </c>
      <c r="P80" s="2677"/>
      <c r="Q80" s="2677"/>
      <c r="R80" s="2678"/>
      <c r="S80" s="2682" t="s">
        <v>20</v>
      </c>
      <c r="T80" s="2683"/>
      <c r="U80" s="2683"/>
      <c r="V80" s="2684"/>
      <c r="W80" s="2685" t="s">
        <v>232</v>
      </c>
      <c r="X80" s="2686"/>
      <c r="Y80" s="2686"/>
      <c r="Z80" s="2686"/>
      <c r="AA80" s="2686"/>
      <c r="AB80" s="2687"/>
    </row>
    <row r="81" spans="15:28">
      <c r="O81" s="2679"/>
      <c r="P81" s="2680"/>
      <c r="Q81" s="2680"/>
      <c r="R81" s="2681"/>
      <c r="S81" s="2688" t="s">
        <v>32</v>
      </c>
      <c r="T81" s="2688" t="s">
        <v>594</v>
      </c>
      <c r="U81" s="2688" t="s">
        <v>591</v>
      </c>
      <c r="V81" s="2688" t="s">
        <v>1021</v>
      </c>
      <c r="W81" s="2690" t="s">
        <v>592</v>
      </c>
      <c r="X81" s="2690" t="s">
        <v>593</v>
      </c>
      <c r="Y81" s="2690" t="s">
        <v>1022</v>
      </c>
      <c r="Z81" s="2690" t="s">
        <v>1023</v>
      </c>
      <c r="AA81" s="2690" t="s">
        <v>1024</v>
      </c>
      <c r="AB81" s="2690" t="s">
        <v>1025</v>
      </c>
    </row>
    <row r="82" spans="15:28" ht="28" customHeight="1">
      <c r="O82" s="2679"/>
      <c r="P82" s="2680"/>
      <c r="Q82" s="2680"/>
      <c r="R82" s="2681"/>
      <c r="S82" s="2689"/>
      <c r="T82" s="2689"/>
      <c r="U82" s="2689"/>
      <c r="V82" s="2689"/>
      <c r="W82" s="2691"/>
      <c r="X82" s="2691"/>
      <c r="Y82" s="2691"/>
      <c r="Z82" s="2691"/>
      <c r="AA82" s="2691"/>
      <c r="AB82" s="2691"/>
    </row>
    <row r="83" spans="15:28">
      <c r="O83" s="2649" t="s">
        <v>826</v>
      </c>
      <c r="P83" s="2650"/>
      <c r="Q83" s="2650"/>
      <c r="R83" s="2651"/>
      <c r="S83" s="1418" t="s">
        <v>58</v>
      </c>
      <c r="T83" s="1418" t="s">
        <v>58</v>
      </c>
      <c r="U83" s="1418">
        <v>17</v>
      </c>
      <c r="V83" s="1418">
        <v>10</v>
      </c>
      <c r="W83" s="1415" t="s">
        <v>58</v>
      </c>
      <c r="X83" s="1416">
        <v>1000</v>
      </c>
      <c r="Y83" s="1415" t="s">
        <v>58</v>
      </c>
      <c r="Z83" s="1416">
        <v>1000</v>
      </c>
      <c r="AA83" s="1415" t="s">
        <v>58</v>
      </c>
      <c r="AB83" s="1416">
        <v>800</v>
      </c>
    </row>
    <row r="84" spans="15:28">
      <c r="O84" s="2652" t="s">
        <v>827</v>
      </c>
      <c r="P84" s="2653"/>
      <c r="Q84" s="2653"/>
      <c r="R84" s="2654"/>
      <c r="S84" s="1420" t="s">
        <v>58</v>
      </c>
      <c r="T84" s="1420" t="s">
        <v>58</v>
      </c>
      <c r="U84" s="1418">
        <v>18</v>
      </c>
      <c r="V84" s="1418">
        <v>10</v>
      </c>
      <c r="W84" s="1416" t="s">
        <v>58</v>
      </c>
      <c r="X84" s="1416">
        <v>1000</v>
      </c>
      <c r="Y84" s="1416" t="s">
        <v>58</v>
      </c>
      <c r="Z84" s="1416">
        <v>1000</v>
      </c>
      <c r="AA84" s="1416" t="s">
        <v>58</v>
      </c>
      <c r="AB84" s="1416">
        <v>800</v>
      </c>
    </row>
    <row r="85" spans="15:28" ht="15" thickBot="1">
      <c r="O85" s="2655" t="s">
        <v>3864</v>
      </c>
      <c r="P85" s="2656"/>
      <c r="Q85" s="2656"/>
      <c r="R85" s="2657"/>
      <c r="S85" s="1421" t="s">
        <v>58</v>
      </c>
      <c r="T85" s="1421" t="s">
        <v>58</v>
      </c>
      <c r="U85" s="1419">
        <v>18</v>
      </c>
      <c r="V85" s="1419">
        <v>10</v>
      </c>
      <c r="W85" s="1417" t="s">
        <v>58</v>
      </c>
      <c r="X85" s="1417">
        <v>1000</v>
      </c>
      <c r="Y85" s="1417" t="s">
        <v>58</v>
      </c>
      <c r="Z85" s="1417">
        <v>1000</v>
      </c>
      <c r="AA85" s="1417" t="s">
        <v>58</v>
      </c>
      <c r="AB85" s="1417">
        <v>800</v>
      </c>
    </row>
    <row r="87" spans="15:28">
      <c r="O87" s="1422" t="s">
        <v>4506</v>
      </c>
      <c r="P87" s="1422"/>
      <c r="Q87" s="1422"/>
      <c r="R87" s="1422"/>
      <c r="S87" s="1422"/>
      <c r="T87" s="1422"/>
      <c r="U87" s="1422"/>
      <c r="V87" s="1422"/>
      <c r="W87" s="1422"/>
    </row>
    <row r="88" spans="15:28">
      <c r="O88" s="1422"/>
      <c r="P88" s="1422"/>
      <c r="Q88" s="1422"/>
      <c r="R88" s="1422"/>
      <c r="S88" s="1422"/>
      <c r="T88" s="1422"/>
      <c r="U88" s="1422"/>
      <c r="V88" s="1422"/>
      <c r="W88" s="1422"/>
    </row>
  </sheetData>
  <sheetProtection algorithmName="SHA-512" hashValue="USbGmPAttszBmsBLlAKzjKNthsF90yEV4G4Di9IlyqK57B+HHyrNHQMgd3DF1y3PFbnLqxfYQPZX82OsN33Hew==" saltValue="/SncnxfxW+xomlUctNvk8Q==" spinCount="100000" sheet="1" objects="1" scenarios="1"/>
  <mergeCells count="168">
    <mergeCell ref="CE23:CE25"/>
    <mergeCell ref="CF23:CI23"/>
    <mergeCell ref="CF24:CF25"/>
    <mergeCell ref="CG24:CG25"/>
    <mergeCell ref="CH24:CH25"/>
    <mergeCell ref="CI24:CI25"/>
    <mergeCell ref="CK24:CK25"/>
    <mergeCell ref="CM23:CP23"/>
    <mergeCell ref="CM24:CM25"/>
    <mergeCell ref="CN24:CN25"/>
    <mergeCell ref="CO24:CO25"/>
    <mergeCell ref="CP24:CP25"/>
    <mergeCell ref="O61:R61"/>
    <mergeCell ref="O62:R62"/>
    <mergeCell ref="O63:R63"/>
    <mergeCell ref="O57:X57"/>
    <mergeCell ref="O58:R60"/>
    <mergeCell ref="S58:V58"/>
    <mergeCell ref="W58:X58"/>
    <mergeCell ref="S59:S60"/>
    <mergeCell ref="T59:T60"/>
    <mergeCell ref="U59:U60"/>
    <mergeCell ref="V59:V60"/>
    <mergeCell ref="W59:W60"/>
    <mergeCell ref="X59:X60"/>
    <mergeCell ref="AG10:AJ10"/>
    <mergeCell ref="Z5:Z6"/>
    <mergeCell ref="AD5:AD6"/>
    <mergeCell ref="AG3:AS3"/>
    <mergeCell ref="AK4:AO4"/>
    <mergeCell ref="AP4:AQ4"/>
    <mergeCell ref="AR4:AS4"/>
    <mergeCell ref="O42:R42"/>
    <mergeCell ref="O40:R40"/>
    <mergeCell ref="O41:R41"/>
    <mergeCell ref="O36:Z36"/>
    <mergeCell ref="W37:X37"/>
    <mergeCell ref="Y37:Z37"/>
    <mergeCell ref="O37:R39"/>
    <mergeCell ref="S37:V37"/>
    <mergeCell ref="S38:S39"/>
    <mergeCell ref="T38:T39"/>
    <mergeCell ref="U38:U39"/>
    <mergeCell ref="V38:V39"/>
    <mergeCell ref="W38:W39"/>
    <mergeCell ref="X38:X39"/>
    <mergeCell ref="Y38:Y39"/>
    <mergeCell ref="Z38:Z39"/>
    <mergeCell ref="Y9:Z9"/>
    <mergeCell ref="R21:R22"/>
    <mergeCell ref="B10:E10"/>
    <mergeCell ref="O4:R6"/>
    <mergeCell ref="S4:V4"/>
    <mergeCell ref="R20:S20"/>
    <mergeCell ref="K5:K6"/>
    <mergeCell ref="L5:L6"/>
    <mergeCell ref="M5:M6"/>
    <mergeCell ref="B7:E7"/>
    <mergeCell ref="B8:E8"/>
    <mergeCell ref="B9:E9"/>
    <mergeCell ref="S21:S22"/>
    <mergeCell ref="S5:S6"/>
    <mergeCell ref="T5:T6"/>
    <mergeCell ref="U5:U6"/>
    <mergeCell ref="V5:V6"/>
    <mergeCell ref="O8:R8"/>
    <mergeCell ref="O9:R9"/>
    <mergeCell ref="B3:M3"/>
    <mergeCell ref="B4:E6"/>
    <mergeCell ref="F4:I4"/>
    <mergeCell ref="J4:K4"/>
    <mergeCell ref="L4:M4"/>
    <mergeCell ref="F5:F6"/>
    <mergeCell ref="G5:G6"/>
    <mergeCell ref="H5:H6"/>
    <mergeCell ref="I5:I6"/>
    <mergeCell ref="J5:J6"/>
    <mergeCell ref="AC4:AD4"/>
    <mergeCell ref="W5:W6"/>
    <mergeCell ref="X5:X6"/>
    <mergeCell ref="AG4:AJ5"/>
    <mergeCell ref="AG7:AJ7"/>
    <mergeCell ref="AG8:AJ8"/>
    <mergeCell ref="AG9:AJ9"/>
    <mergeCell ref="O3:AD3"/>
    <mergeCell ref="W4:AB4"/>
    <mergeCell ref="AA5:AA6"/>
    <mergeCell ref="AB5:AB6"/>
    <mergeCell ref="W9:X9"/>
    <mergeCell ref="AA9:AB9"/>
    <mergeCell ref="O7:R7"/>
    <mergeCell ref="Y5:Y6"/>
    <mergeCell ref="AG6:AJ6"/>
    <mergeCell ref="AC5:AC6"/>
    <mergeCell ref="BP9:BS9"/>
    <mergeCell ref="BP10:BS10"/>
    <mergeCell ref="CB3:CC3"/>
    <mergeCell ref="BK5:BK6"/>
    <mergeCell ref="BL5:BL6"/>
    <mergeCell ref="AW7:AZ7"/>
    <mergeCell ref="AW8:AZ8"/>
    <mergeCell ref="BP8:BS8"/>
    <mergeCell ref="AW3:BL3"/>
    <mergeCell ref="AW4:AZ6"/>
    <mergeCell ref="BA4:BD4"/>
    <mergeCell ref="BE4:BJ4"/>
    <mergeCell ref="BK4:BL4"/>
    <mergeCell ref="BA5:BA6"/>
    <mergeCell ref="BB5:BB6"/>
    <mergeCell ref="BP7:BS7"/>
    <mergeCell ref="BD5:BD6"/>
    <mergeCell ref="BE5:BE6"/>
    <mergeCell ref="BF5:BF6"/>
    <mergeCell ref="BG5:BG6"/>
    <mergeCell ref="BH5:BH6"/>
    <mergeCell ref="BC5:BC6"/>
    <mergeCell ref="BI5:BI6"/>
    <mergeCell ref="BJ5:BJ6"/>
    <mergeCell ref="BP3:CA3"/>
    <mergeCell ref="BP4:BS6"/>
    <mergeCell ref="BT4:BW4"/>
    <mergeCell ref="BX4:BY4"/>
    <mergeCell ref="BZ4:CA4"/>
    <mergeCell ref="BT5:BT6"/>
    <mergeCell ref="BU5:BU6"/>
    <mergeCell ref="BV5:BV6"/>
    <mergeCell ref="BW5:BW6"/>
    <mergeCell ref="BX5:BX6"/>
    <mergeCell ref="BY5:BY6"/>
    <mergeCell ref="BZ5:BZ6"/>
    <mergeCell ref="CA5:CA6"/>
    <mergeCell ref="Z81:Z82"/>
    <mergeCell ref="AA81:AA82"/>
    <mergeCell ref="AB81:AB82"/>
    <mergeCell ref="AG46:AJ46"/>
    <mergeCell ref="AG47:AJ47"/>
    <mergeCell ref="AG39:AQ39"/>
    <mergeCell ref="AG40:AJ41"/>
    <mergeCell ref="AK40:AO40"/>
    <mergeCell ref="AP40:AQ40"/>
    <mergeCell ref="AG42:AJ42"/>
    <mergeCell ref="AG43:AJ43"/>
    <mergeCell ref="AG44:AJ44"/>
    <mergeCell ref="AG45:AJ45"/>
    <mergeCell ref="O83:R83"/>
    <mergeCell ref="O84:R84"/>
    <mergeCell ref="O85:R85"/>
    <mergeCell ref="O79:AB79"/>
    <mergeCell ref="AG66:AQ66"/>
    <mergeCell ref="AG67:AJ68"/>
    <mergeCell ref="AK67:AO67"/>
    <mergeCell ref="AP67:AQ67"/>
    <mergeCell ref="AG69:AJ69"/>
    <mergeCell ref="AG70:AJ70"/>
    <mergeCell ref="AG71:AJ71"/>
    <mergeCell ref="AG72:AJ72"/>
    <mergeCell ref="AG73:AJ73"/>
    <mergeCell ref="AG74:AJ74"/>
    <mergeCell ref="O80:R82"/>
    <mergeCell ref="S80:V80"/>
    <mergeCell ref="W80:AB80"/>
    <mergeCell ref="S81:S82"/>
    <mergeCell ref="T81:T82"/>
    <mergeCell ref="U81:U82"/>
    <mergeCell ref="V81:V82"/>
    <mergeCell ref="W81:W82"/>
    <mergeCell ref="X81:X82"/>
    <mergeCell ref="Y81:Y82"/>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tabColor rgb="FFFF0000"/>
  </sheetPr>
  <dimension ref="A1:JD45"/>
  <sheetViews>
    <sheetView topLeftCell="F1" zoomScale="106" zoomScaleNormal="106" workbookViewId="0">
      <selection activeCell="F26" sqref="F26"/>
    </sheetView>
  </sheetViews>
  <sheetFormatPr defaultColWidth="8.81640625" defaultRowHeight="5.15" customHeight="1"/>
  <cols>
    <col min="1" max="1" width="12.453125" bestFit="1" customWidth="1"/>
    <col min="2" max="2" width="5.453125" customWidth="1"/>
    <col min="3" max="3" width="23.54296875" bestFit="1" customWidth="1"/>
    <col min="4" max="4" width="27.54296875" customWidth="1"/>
    <col min="5" max="5" width="35.453125" bestFit="1" customWidth="1"/>
    <col min="6" max="6" width="16.453125" bestFit="1" customWidth="1"/>
    <col min="7" max="7" width="16.453125" customWidth="1"/>
    <col min="8" max="8" width="37.1796875" customWidth="1"/>
    <col min="9" max="13" width="15.81640625" customWidth="1"/>
    <col min="14" max="15" width="13.81640625" customWidth="1"/>
    <col min="16" max="19" width="16" customWidth="1"/>
    <col min="20" max="20" width="17.453125" bestFit="1" customWidth="1"/>
    <col min="21" max="22" width="11.54296875" customWidth="1"/>
    <col min="23" max="23" width="29.453125" bestFit="1" customWidth="1"/>
    <col min="24" max="24" width="21" bestFit="1" customWidth="1"/>
    <col min="25" max="33" width="15.81640625" customWidth="1"/>
    <col min="34" max="34" width="18.26953125" bestFit="1" customWidth="1"/>
    <col min="35" max="36" width="15.81640625" customWidth="1"/>
    <col min="37" max="39" width="13.453125" customWidth="1"/>
    <col min="40" max="40" width="15.453125" bestFit="1" customWidth="1"/>
    <col min="41" max="41" width="13.1796875" customWidth="1"/>
    <col min="44" max="44" width="12.81640625" bestFit="1" customWidth="1"/>
    <col min="45" max="45" width="11.26953125" customWidth="1"/>
    <col min="46" max="46" width="12.81640625" customWidth="1"/>
    <col min="47" max="47" width="14.7265625" bestFit="1" customWidth="1"/>
    <col min="49" max="49" width="10.7265625" customWidth="1"/>
    <col min="50" max="50" width="16.81640625" customWidth="1"/>
    <col min="51" max="51" width="14.453125" customWidth="1"/>
    <col min="52" max="52" width="15.453125" customWidth="1"/>
    <col min="54" max="62" width="12.1796875" customWidth="1"/>
    <col min="65" max="65" width="12.1796875" bestFit="1" customWidth="1"/>
    <col min="66" max="66" width="13.453125" bestFit="1" customWidth="1"/>
    <col min="67" max="69" width="13.453125" customWidth="1"/>
    <col min="70" max="70" width="8" customWidth="1"/>
    <col min="71" max="73" width="9.1796875" customWidth="1"/>
    <col min="74" max="74" width="11" customWidth="1"/>
    <col min="75" max="75" width="11.453125" customWidth="1"/>
    <col min="76" max="77" width="8.1796875" customWidth="1"/>
    <col min="78" max="78" width="11.453125" customWidth="1"/>
    <col min="79" max="80" width="13.453125" customWidth="1"/>
    <col min="81" max="81" width="13.54296875" customWidth="1"/>
    <col min="82" max="82" width="10.54296875" customWidth="1"/>
    <col min="83" max="83" width="10.81640625" customWidth="1"/>
    <col min="84" max="84" width="13" customWidth="1"/>
    <col min="85" max="85" width="16.453125" customWidth="1"/>
    <col min="86" max="86" width="15.54296875" customWidth="1"/>
    <col min="87" max="88" width="11.453125" customWidth="1"/>
    <col min="89" max="89" width="16.54296875" customWidth="1"/>
    <col min="90" max="90" width="20.54296875" bestFit="1" customWidth="1"/>
    <col min="91" max="91" width="16" bestFit="1" customWidth="1"/>
    <col min="92" max="92" width="14" bestFit="1" customWidth="1"/>
    <col min="93" max="93" width="14.453125" bestFit="1" customWidth="1"/>
    <col min="94" max="94" width="9.54296875" bestFit="1" customWidth="1"/>
    <col min="95" max="95" width="11.54296875" bestFit="1" customWidth="1"/>
    <col min="96" max="97" width="19.54296875" customWidth="1"/>
    <col min="98" max="98" width="15.81640625" bestFit="1" customWidth="1"/>
    <col min="109" max="109" width="16.1796875" customWidth="1"/>
    <col min="110" max="110" width="16.7265625" bestFit="1" customWidth="1"/>
    <col min="111" max="111" width="10.7265625" bestFit="1" customWidth="1"/>
    <col min="112" max="112" width="10.81640625" bestFit="1" customWidth="1"/>
    <col min="113" max="113" width="37.7265625" customWidth="1"/>
  </cols>
  <sheetData>
    <row r="1" spans="1:264" s="109" customFormat="1" ht="43.5">
      <c r="A1" s="277" t="s">
        <v>192</v>
      </c>
      <c r="B1" s="277" t="s">
        <v>40</v>
      </c>
      <c r="C1" s="278" t="s">
        <v>38</v>
      </c>
      <c r="D1" s="278" t="s">
        <v>37</v>
      </c>
      <c r="E1" s="278" t="s">
        <v>39</v>
      </c>
      <c r="F1" s="278" t="s">
        <v>193</v>
      </c>
      <c r="G1" s="278" t="s">
        <v>137</v>
      </c>
      <c r="H1" s="279" t="s">
        <v>682</v>
      </c>
      <c r="I1" s="280" t="s">
        <v>929</v>
      </c>
      <c r="J1" s="280" t="s">
        <v>923</v>
      </c>
      <c r="K1" s="241" t="s">
        <v>828</v>
      </c>
      <c r="L1" s="241" t="s">
        <v>598</v>
      </c>
      <c r="M1" s="241" t="s">
        <v>832</v>
      </c>
      <c r="N1" s="280" t="s">
        <v>566</v>
      </c>
      <c r="O1" s="280" t="s">
        <v>943</v>
      </c>
      <c r="P1" s="280" t="s">
        <v>946</v>
      </c>
      <c r="Q1" s="241" t="s">
        <v>829</v>
      </c>
      <c r="R1" s="241" t="s">
        <v>599</v>
      </c>
      <c r="S1" s="241" t="s">
        <v>833</v>
      </c>
      <c r="T1" s="361" t="s">
        <v>194</v>
      </c>
      <c r="U1" s="361" t="s">
        <v>195</v>
      </c>
      <c r="V1" s="361" t="s">
        <v>196</v>
      </c>
      <c r="W1" s="361" t="s">
        <v>197</v>
      </c>
      <c r="X1" s="361" t="s">
        <v>198</v>
      </c>
      <c r="Y1" s="361" t="s">
        <v>944</v>
      </c>
      <c r="Z1" s="361" t="s">
        <v>924</v>
      </c>
      <c r="AA1" s="362" t="s">
        <v>830</v>
      </c>
      <c r="AB1" s="362" t="s">
        <v>600</v>
      </c>
      <c r="AC1" s="362" t="s">
        <v>834</v>
      </c>
      <c r="AD1" s="361" t="s">
        <v>945</v>
      </c>
      <c r="AE1" s="361" t="s">
        <v>925</v>
      </c>
      <c r="AF1" s="362" t="s">
        <v>831</v>
      </c>
      <c r="AG1" s="362" t="s">
        <v>601</v>
      </c>
      <c r="AH1" s="362" t="s">
        <v>835</v>
      </c>
      <c r="AI1" s="362" t="s">
        <v>821</v>
      </c>
      <c r="AJ1" s="362" t="s">
        <v>822</v>
      </c>
      <c r="AK1" s="361" t="s">
        <v>823</v>
      </c>
      <c r="AL1" s="281" t="s">
        <v>947</v>
      </c>
      <c r="AM1" s="242" t="s">
        <v>603</v>
      </c>
      <c r="AN1" s="242" t="s">
        <v>602</v>
      </c>
      <c r="AO1" s="279" t="s">
        <v>683</v>
      </c>
      <c r="AP1" s="283" t="s">
        <v>684</v>
      </c>
      <c r="AQ1" s="283" t="s">
        <v>310</v>
      </c>
      <c r="AR1" s="280" t="s">
        <v>54</v>
      </c>
      <c r="AS1" s="282" t="s">
        <v>685</v>
      </c>
      <c r="AT1" s="280" t="s">
        <v>235</v>
      </c>
      <c r="AU1" s="278" t="s">
        <v>146</v>
      </c>
      <c r="AV1" s="275" t="s">
        <v>686</v>
      </c>
      <c r="AW1" s="276" t="s">
        <v>687</v>
      </c>
      <c r="AX1" s="276" t="s">
        <v>688</v>
      </c>
      <c r="AY1" s="276" t="s">
        <v>689</v>
      </c>
      <c r="AZ1" s="276" t="s">
        <v>690</v>
      </c>
      <c r="BA1" s="276" t="s">
        <v>691</v>
      </c>
      <c r="BB1" s="284" t="s">
        <v>692</v>
      </c>
      <c r="BC1" s="284" t="s">
        <v>693</v>
      </c>
      <c r="BD1" s="284" t="s">
        <v>694</v>
      </c>
      <c r="BE1" s="284" t="s">
        <v>695</v>
      </c>
      <c r="BF1" s="284" t="s">
        <v>696</v>
      </c>
      <c r="BG1" s="284" t="s">
        <v>697</v>
      </c>
      <c r="BH1" s="284" t="s">
        <v>698</v>
      </c>
      <c r="BI1" s="284" t="s">
        <v>699</v>
      </c>
      <c r="BJ1" s="284" t="s">
        <v>700</v>
      </c>
      <c r="BK1" s="285" t="s">
        <v>80</v>
      </c>
      <c r="BL1" s="285" t="s">
        <v>655</v>
      </c>
      <c r="BM1" s="286" t="s">
        <v>52</v>
      </c>
      <c r="BN1" s="286" t="s">
        <v>53</v>
      </c>
      <c r="BO1" s="286" t="s">
        <v>56</v>
      </c>
      <c r="BP1" s="241" t="s">
        <v>652</v>
      </c>
      <c r="BQ1" s="286" t="s">
        <v>500</v>
      </c>
      <c r="BR1" s="286" t="s">
        <v>701</v>
      </c>
      <c r="BS1" s="286" t="s">
        <v>702</v>
      </c>
      <c r="BT1" s="286" t="s">
        <v>703</v>
      </c>
      <c r="BU1" s="286" t="s">
        <v>704</v>
      </c>
      <c r="BV1" s="286" t="s">
        <v>55</v>
      </c>
      <c r="BW1" s="286" t="s">
        <v>57</v>
      </c>
      <c r="BX1" s="286" t="s">
        <v>705</v>
      </c>
      <c r="BY1" s="286" t="s">
        <v>457</v>
      </c>
      <c r="BZ1" s="287" t="s">
        <v>284</v>
      </c>
      <c r="CA1" s="287" t="s">
        <v>596</v>
      </c>
      <c r="CB1" s="287" t="s">
        <v>597</v>
      </c>
      <c r="CC1" s="287" t="s">
        <v>154</v>
      </c>
      <c r="CD1" s="288" t="s">
        <v>155</v>
      </c>
      <c r="CE1" s="287" t="s">
        <v>156</v>
      </c>
      <c r="CF1" s="287" t="s">
        <v>157</v>
      </c>
      <c r="CG1" s="287" t="s">
        <v>158</v>
      </c>
      <c r="CH1" s="287" t="s">
        <v>159</v>
      </c>
      <c r="CI1" s="287" t="s">
        <v>706</v>
      </c>
      <c r="CJ1" s="287" t="s">
        <v>147</v>
      </c>
      <c r="CK1" s="287" t="s">
        <v>144</v>
      </c>
      <c r="CL1" s="287" t="s">
        <v>595</v>
      </c>
      <c r="CM1" s="287" t="s">
        <v>142</v>
      </c>
      <c r="CN1" s="287" t="s">
        <v>143</v>
      </c>
      <c r="CO1" s="287" t="s">
        <v>148</v>
      </c>
      <c r="CP1" s="287" t="s">
        <v>149</v>
      </c>
      <c r="CQ1" s="287" t="s">
        <v>150</v>
      </c>
      <c r="CR1" s="288" t="s">
        <v>290</v>
      </c>
      <c r="CS1" s="288" t="s">
        <v>297</v>
      </c>
      <c r="CT1" s="289" t="s">
        <v>141</v>
      </c>
      <c r="CU1" s="290" t="s">
        <v>707</v>
      </c>
      <c r="CV1" s="290" t="s">
        <v>708</v>
      </c>
      <c r="CW1" s="290" t="s">
        <v>709</v>
      </c>
      <c r="CX1" s="290" t="s">
        <v>710</v>
      </c>
      <c r="CY1" s="290" t="s">
        <v>711</v>
      </c>
      <c r="CZ1" s="290" t="s">
        <v>712</v>
      </c>
      <c r="DA1" s="290" t="s">
        <v>713</v>
      </c>
      <c r="DB1" s="290" t="s">
        <v>714</v>
      </c>
      <c r="DC1" s="290" t="s">
        <v>715</v>
      </c>
      <c r="DD1" s="290" t="s">
        <v>716</v>
      </c>
      <c r="DE1" s="291" t="s">
        <v>717</v>
      </c>
      <c r="DF1" s="290" t="s">
        <v>718</v>
      </c>
      <c r="DG1" s="290" t="s">
        <v>719</v>
      </c>
      <c r="DH1" s="325" t="s">
        <v>773</v>
      </c>
      <c r="DI1" s="326" t="s">
        <v>774</v>
      </c>
      <c r="DJ1" s="326" t="s">
        <v>775</v>
      </c>
      <c r="DK1" s="326" t="s">
        <v>776</v>
      </c>
      <c r="DL1" s="326" t="s">
        <v>777</v>
      </c>
      <c r="DM1" s="326" t="s">
        <v>778</v>
      </c>
      <c r="DN1" s="326" t="s">
        <v>779</v>
      </c>
      <c r="DO1" s="326" t="s">
        <v>780</v>
      </c>
      <c r="DP1" s="326" t="s">
        <v>781</v>
      </c>
      <c r="DQ1" s="326" t="s">
        <v>782</v>
      </c>
      <c r="DR1" s="326" t="s">
        <v>783</v>
      </c>
      <c r="DS1" s="327" t="s">
        <v>784</v>
      </c>
      <c r="DT1" s="327" t="s">
        <v>785</v>
      </c>
      <c r="DU1" s="327" t="s">
        <v>786</v>
      </c>
      <c r="DV1" s="328" t="s">
        <v>787</v>
      </c>
      <c r="DW1" s="329" t="s">
        <v>788</v>
      </c>
      <c r="DX1" s="330" t="s">
        <v>789</v>
      </c>
      <c r="DY1" s="330" t="s">
        <v>790</v>
      </c>
      <c r="DZ1" s="330" t="s">
        <v>791</v>
      </c>
      <c r="EA1" s="331" t="s">
        <v>792</v>
      </c>
      <c r="EB1" s="331" t="s">
        <v>793</v>
      </c>
      <c r="EC1" s="330" t="s">
        <v>794</v>
      </c>
      <c r="ED1" s="332" t="s">
        <v>795</v>
      </c>
      <c r="EE1" s="333" t="s">
        <v>796</v>
      </c>
      <c r="EF1" s="333" t="s">
        <v>797</v>
      </c>
      <c r="EG1" s="109" t="s">
        <v>239</v>
      </c>
    </row>
    <row r="2" spans="1:264" ht="14.15" customHeight="1">
      <c r="A2">
        <v>1</v>
      </c>
      <c r="C2" t="str">
        <f>IF(OR('In Unit HVAC Worksheet'!$Z61="",'In Unit HVAC Worksheet'!$Z61="DNQ",'In Unit HVAC Worksheet'!$Z61="Missing Info"),"",INDEX(References!AH$3:AH$34,MATCH(Qualifying_Index!$E27,References!$AE$3:$AE$34,0)))</f>
        <v>Cooling - HVAC Equipment</v>
      </c>
      <c r="D2" t="str">
        <f>IF(OR('In Unit HVAC Worksheet'!$Z61="",'In Unit HVAC Worksheet'!$Z61="DNQ",'In Unit HVAC Worksheet'!$X3="Missing Info"),"",INDEX(References!AG$3:AG$34,MATCH(Qualifying_Index!$E27,References!$AE$3:$AE$34,0)))</f>
        <v>Cool Homes Heat Pump</v>
      </c>
      <c r="E2" t="str">
        <f>IF(OR('In Unit HVAC Worksheet'!$Z61="",'In Unit HVAC Worksheet'!$Z61="DNQ",'In Unit HVAC Worksheet'!$Z61="Missing Info"),"",INDEX(References!AI$3:AI$34,MATCH(Qualifying_Index!$E27,References!$AE$3:$AE$34,0)))</f>
        <v>CH - WH S3 ccASHP New TIER 2</v>
      </c>
      <c r="F2" t="str">
        <f>IF(D2="","",INDEX(References!$AF$3:$AF$34,MATCH(Qualifying_Index!$E27,References!$AE$3:$AE$34,0)))</f>
        <v>CH221-WH-AO</v>
      </c>
      <c r="G2">
        <f>IF(D2="","",'Customer Information'!$L$43)</f>
        <v>0</v>
      </c>
      <c r="H2" t="str">
        <f>IF(C2="","","Whole House ASHP and ER v"&amp;Development!$A$2)</f>
        <v>Whole House ASHP and ER v2.0</v>
      </c>
      <c r="I2" s="178">
        <f>IF(E2="","",Qualifying_Index!CA27)</f>
        <v>5.8543152542372814E-2</v>
      </c>
      <c r="J2" s="179">
        <f>IF(E2="","",Qualifying_Index!CB27+Qualifying_Index!CF27)</f>
        <v>199.33563910715992</v>
      </c>
      <c r="K2" s="178">
        <f>IF(G2="","",IF(References!$I$37=TRUE,Qualifying_Index!CE27,Qualifying_Index!CG27))</f>
        <v>-1.3857142857142855</v>
      </c>
      <c r="L2" s="179">
        <f>IF(G2="","",Qualifying_Index!CH27)</f>
        <v>1614.1820009900644</v>
      </c>
      <c r="M2" s="179">
        <f>IF(D2="","",J2-L2)</f>
        <v>-1414.8463618829044</v>
      </c>
      <c r="N2" s="110">
        <f>IF(I2="","",1)</f>
        <v>1</v>
      </c>
      <c r="O2" s="178">
        <f>IF(I2="","",I2*N2*T2)</f>
        <v>4.0394775254237236E-2</v>
      </c>
      <c r="P2" s="179">
        <f>IF(J2="","",J2*N2)</f>
        <v>199.33563910715992</v>
      </c>
      <c r="Q2" s="178">
        <f>IF(K2="","",K2*N2)</f>
        <v>-1.3857142857142855</v>
      </c>
      <c r="R2" s="179">
        <f>IF(L2="","",L2*N2)</f>
        <v>1614.1820009900644</v>
      </c>
      <c r="S2" s="179">
        <f>IF(D2="","",P2-R2)</f>
        <v>-1414.8463618829044</v>
      </c>
      <c r="T2" s="110">
        <f>IF($D2="","",INDEX(References!$AM$3:$AM$34,MATCH(ProposedEquipment0!$F2,References!$AF$3:$AF$34,0)))</f>
        <v>0.69</v>
      </c>
      <c r="U2" s="110">
        <f>IF(D2="","",INDEX(References!$AQ$3:$AQ$34,MATCH(ProposedEquipment0!$F2,References!$AF$3:$AF$34,0)))</f>
        <v>0.1</v>
      </c>
      <c r="V2" s="110">
        <f>IF(D2="","",INDEX(References!$AR$3:$AR$34,MATCH(ProposedEquipment0!$F2,References!$AF$3:$AF$34,0)))</f>
        <v>0</v>
      </c>
      <c r="W2" s="110">
        <f>IF(D2="","",INDEX(References!$AS$3:$AS$34,MATCH(ProposedEquipment0!$F2,References!$AF$3:$AF$34,0)))</f>
        <v>7.1900000000000006E-2</v>
      </c>
      <c r="X2" s="110">
        <f>IF(D2="","",INDEX(References!$AT$3:$AT$34,MATCH(ProposedEquipment0!$F2,References!$AF$3:$AF$34,0)))</f>
        <v>5.67E-2</v>
      </c>
      <c r="Y2" s="177">
        <f>IF(D2="","",ROUND((I2*T2)/(1-W2)*(1-U2+V2),References!$B$4))</f>
        <v>3.9171699999999997E-2</v>
      </c>
      <c r="Z2" s="179">
        <f>IF(D2="","",ROUND(J2/(1-X2)*(1-U2+V2),References!$B$5))</f>
        <v>190.18559999999999</v>
      </c>
      <c r="AA2" s="385">
        <f>IF(D2="","",ROUND((K2)/(1-W2)*(1-U2+V2),References!$B$4))</f>
        <v>-1.3437591</v>
      </c>
      <c r="AB2" s="179">
        <f>IF(D2="","",ROUND(L2/(1-X2)*(1-U2+V2),References!$B$5))</f>
        <v>1540.08672</v>
      </c>
      <c r="AC2" s="179">
        <f>IF(D2="","",Z2-AB2)</f>
        <v>-1349.90112</v>
      </c>
      <c r="AD2" s="177">
        <f>IF(D2="","",Y2*AU2)</f>
        <v>3.9171699999999997E-2</v>
      </c>
      <c r="AE2" s="179">
        <f>IF(D2="","",Z2*AU2)</f>
        <v>190.18559999999999</v>
      </c>
      <c r="AF2" s="177">
        <f>IF(D2="","",AA2*AU2)</f>
        <v>-1.3437591</v>
      </c>
      <c r="AG2" s="179">
        <f>IF(D2="","",AB2*AU2)</f>
        <v>1540.08672</v>
      </c>
      <c r="AH2" s="179">
        <f>IF(D2="","",AE2-AG2)</f>
        <v>-1349.90112</v>
      </c>
      <c r="AI2" s="179">
        <f>IF(OR(References!$H$14="",AE2=""),"",IF(Qualifying_Index!CL27&gt;0,Qualifying_Index!CD27+Qualifying_Index!CL27,Qualifying_Index!CD27))</f>
        <v>123.96713914245186</v>
      </c>
      <c r="AJ2" s="179">
        <f>IF(OR(References!$H$14="",AE2=""),"",IF(References!$J$37=FALSE,0,Qualifying_Index!CN27))</f>
        <v>0</v>
      </c>
      <c r="AK2" s="156">
        <f>IF(OR(References!$H$14="",AE2=""),"",Qualifying_Index!CD27+Qualifying_Index!CN27)</f>
        <v>1515.8417803479838</v>
      </c>
      <c r="AL2" s="156">
        <f>IF(AE2="","",IF(Qualifying_Index!CI27&lt;0,Qualifying_Index!CC27,Qualifying_Index!CC27+Qualifying_Index!CI27))</f>
        <v>0.35897129657476512</v>
      </c>
      <c r="AM2" s="156">
        <f>IF('In Unit HVAC Worksheet'!I61="","",IF(Qualifying_Index!CI27&gt;0,Qualifying_Index!CJ27,Qualifying_Index!CJ27+Qualifying_Index!CI27))</f>
        <v>14.334652277875158</v>
      </c>
      <c r="AN2" s="107">
        <f>IF(D2="","",AL2+AM2)</f>
        <v>14.693623574449923</v>
      </c>
      <c r="AQ2">
        <f>IF(D2="","",Admin!AE4)</f>
        <v>0</v>
      </c>
      <c r="AR2">
        <f>IF(OR('In Unit HVAC Worksheet'!Z61="DNQ",'In Unit HVAC Worksheet'!Z61=""),"",ROUND(IF(AND(AQ2*0.7&lt;'In Unit HVAC Worksheet'!Z61,AQ2&gt;0),AQ2*0.7,'In Unit HVAC Worksheet'!Z61),0))</f>
        <v>1083</v>
      </c>
      <c r="AS2">
        <f>IF(OR('In Unit HVAC Worksheet'!Z61="DNQ",AU2=""),"",AR2*AU2)</f>
        <v>1083</v>
      </c>
      <c r="AT2">
        <f>IF('In Unit HVAC Worksheet'!AB61="DNQ","",'In Unit HVAC Worksheet'!AB61)</f>
        <v>0</v>
      </c>
      <c r="AU2">
        <f>IF(E2="","",1)</f>
        <v>1</v>
      </c>
      <c r="BM2">
        <f>IF(E2="","",Qualifying_Index!I27)</f>
        <v>11.8</v>
      </c>
      <c r="BN2">
        <f>IF(F2="","",Qualifying_Index!J27)</f>
        <v>14</v>
      </c>
      <c r="BO2">
        <f>IF(G2="","",Qualifying_Index!K27)</f>
        <v>0</v>
      </c>
      <c r="BP2" s="155">
        <f>IF(E2="","",IF(References!H14&lt;&gt;"Electric",References!$M$37,""))</f>
        <v>0</v>
      </c>
      <c r="BQ2" t="str">
        <f>IF(D2="","",IF(Qualifying_Index!BU27="PTHP",Qualifying_Index!K27,""))</f>
        <v/>
      </c>
      <c r="BR2">
        <f>IF(D2="","",Qualifying_Index!W27)</f>
        <v>12.5</v>
      </c>
      <c r="BS2">
        <f>IF(D2="","",Qualifying_Index!V27)</f>
        <v>17.100000000000001</v>
      </c>
      <c r="BT2" s="154">
        <f>IF(D2="","",IF(Qualifying_Index!BU27="PTHP",BU2*3.413,Qualifying_Index!X27))</f>
        <v>9.1</v>
      </c>
      <c r="BU2" t="str">
        <f>IF(D2="","",IF(Qualifying_Index!BU27="PTHP",Qualifying_Index!X27,""))</f>
        <v/>
      </c>
      <c r="BV2">
        <f>IF(E2="","",Qualifying_Index!BX27)</f>
        <v>675</v>
      </c>
      <c r="BW2">
        <f>IF(E2="","",Qualifying_Index!BY27)</f>
        <v>1265</v>
      </c>
      <c r="BX2">
        <f>IF(D2="","",'In Unit HVAC Worksheet'!G61)</f>
        <v>12000</v>
      </c>
      <c r="BY2">
        <f>IF(D2="","",'In Unit HVAC Worksheet'!I61)</f>
        <v>13000</v>
      </c>
      <c r="BZ2" s="147" t="str">
        <f>IF(D2="","",References!$H$14)</f>
        <v>Oil</v>
      </c>
      <c r="CA2">
        <f>IF(E2="","",'In Unit HVAC Worksheet'!Y82)</f>
        <v>12000</v>
      </c>
      <c r="CB2">
        <f>IF(AU2="","",'In Unit HVAC Worksheet'!AA82)</f>
        <v>13000</v>
      </c>
      <c r="CC2" t="str">
        <f>IF($E2="","",'In Unit HVAC Worksheet'!C82)</f>
        <v>x</v>
      </c>
      <c r="CD2" t="str">
        <f>IF($E2="","",'In Unit HVAC Worksheet'!E82)</f>
        <v>c</v>
      </c>
      <c r="CE2" t="str">
        <f>IF($E2="","",'In Unit HVAC Worksheet'!F82)</f>
        <v>v</v>
      </c>
      <c r="CF2" t="str">
        <f>IF(E2="","",'In Unit HVAC Worksheet'!I82)</f>
        <v>x</v>
      </c>
      <c r="CG2" t="str">
        <f>IF(E2="","",'In Unit HVAC Worksheet'!K82)</f>
        <v>c</v>
      </c>
      <c r="CH2" t="str">
        <f>IF(E2="","",'In Unit HVAC Worksheet'!M82)</f>
        <v>v</v>
      </c>
      <c r="CI2" t="e">
        <f>IF(D2="","",'In Unit HVAC Worksheet'!T61/12000)</f>
        <v>#VALUE!</v>
      </c>
      <c r="CJ2" t="str">
        <f>IF($D2="","",'In Unit HVAC Worksheet'!T82)</f>
        <v>x</v>
      </c>
      <c r="CK2" t="str">
        <f>IF($D2="","",'In Unit HVAC Worksheet'!W82)</f>
        <v>x</v>
      </c>
      <c r="CL2" s="155">
        <f>IF(E2="","",IF(D2="Cool Homes Ductless",0,kW_CA))</f>
        <v>1.5939999999999999E-3</v>
      </c>
      <c r="CN2" s="155">
        <f>IF(E2="","",IF(D2="Cool Homes Ductless",0,QI_kWh))</f>
        <v>0.05</v>
      </c>
      <c r="CO2" s="151">
        <f>IF($E2="","",IF(References!$A$15=FALSE,0,IF(NOT(ISERROR(SEARCH("Ductless Mini Split",'In Unit HVAC Worksheet'!C61,1))),0,Unit1_QI_CA)))</f>
        <v>0</v>
      </c>
      <c r="CP2" s="110"/>
      <c r="CQ2" s="156">
        <f>IF($E2="","",IF(References!$A$15=FALSE,0,IF(NOT(ISERROR(SEARCH("Ductless Mini Split",'In Unit HVAC Worksheet'!C61,1))),0,Unit1_QI_kWh)))</f>
        <v>0</v>
      </c>
      <c r="CT2" t="str">
        <f>IF(NOT(LEFT('In Unit HVAC Worksheet'!C61,3)="Geo"),"",INDEX(References!$M$49:$M$51,MATCH('In Unit HVAC Worksheet'!C61,References!$L$49:$L$51,0)))</f>
        <v/>
      </c>
      <c r="DW2">
        <f>IF(C2="","",'Customer Information'!$K$11)</f>
        <v>0</v>
      </c>
    </row>
    <row r="3" spans="1:264" ht="14.15" customHeight="1">
      <c r="A3">
        <f>A2+1</f>
        <v>2</v>
      </c>
      <c r="C3" t="str">
        <f>IF(OR('In Unit HVAC Worksheet'!$Z62="",'In Unit HVAC Worksheet'!$Z62="DNQ",'In Unit HVAC Worksheet'!$Z62="Missing Info"),"",INDEX(References!AH$3:AH$34,MATCH(Qualifying_Index!$E28,References!$AE$3:$AE$34,0)))</f>
        <v>Cooling - HVAC Equipment</v>
      </c>
      <c r="D3" t="str">
        <f>IF(OR('In Unit HVAC Worksheet'!$Z62="",'In Unit HVAC Worksheet'!$Z62="DNQ",'In Unit HVAC Worksheet'!$X4="Missing Info"),"",INDEX(References!AG$3:AG$34,MATCH(Qualifying_Index!$E28,References!$AE$3:$AE$34,0)))</f>
        <v>Cool Homes Heat Pump</v>
      </c>
      <c r="E3" t="str">
        <f>IF(OR('In Unit HVAC Worksheet'!$Z62="",'In Unit HVAC Worksheet'!$Z62="DNQ",'In Unit HVAC Worksheet'!$Z62="Missing Info"),"",INDEX(References!AI$3:AI$34,MATCH(Qualifying_Index!$E28,References!$AE$3:$AE$34,0)))</f>
        <v>CH - WH S3 ccASHP New TIER 2</v>
      </c>
      <c r="F3" t="str">
        <f>IF(D3="","",INDEX(References!$AF$3:$AF$34,MATCH(Qualifying_Index!$E28,References!$AE$3:$AE$34,0)))</f>
        <v>CH221-WH-AO</v>
      </c>
      <c r="G3">
        <f>IF(D3="","",'Customer Information'!$L$43)</f>
        <v>0</v>
      </c>
      <c r="H3" t="str">
        <f>IF(C3="","","Whole House ASHP and ER v"&amp;Development!$A$2)</f>
        <v>Whole House ASHP and ER v2.0</v>
      </c>
      <c r="I3" s="178">
        <f>IF(E3="","",Qualifying_Index!CA28)</f>
        <v>0.3530072340635898</v>
      </c>
      <c r="J3" s="179">
        <f>IF(E3="","",Qualifying_Index!CB28+Qualifying_Index!CF28)</f>
        <v>293.25841821383273</v>
      </c>
      <c r="K3" s="178">
        <f>IF(G3="","",IF(References!$I$37=TRUE,Qualifying_Index!CE28,Qualifying_Index!CG28))</f>
        <v>-1.2330508474576267</v>
      </c>
      <c r="L3" s="179">
        <f>IF(G3="","",Qualifying_Index!CH28)</f>
        <v>1536.361836407212</v>
      </c>
      <c r="M3" s="179">
        <f t="shared" ref="M3:M11" si="0">IF(D3="","",J3-L3)</f>
        <v>-1243.1034181933792</v>
      </c>
      <c r="N3" s="110">
        <f t="shared" ref="N3:N11" si="1">IF(I3="","",1)</f>
        <v>1</v>
      </c>
      <c r="O3" s="178">
        <f t="shared" ref="O3:O11" si="2">IF(I3="","",I3*N3*T3)</f>
        <v>0.24357499150387696</v>
      </c>
      <c r="P3" s="179">
        <f t="shared" ref="P3:P11" si="3">IF(J3="","",J3*N3)</f>
        <v>293.25841821383273</v>
      </c>
      <c r="Q3" s="178">
        <f t="shared" ref="Q3:Q12" si="4">IF(K3="","",K3*N3)</f>
        <v>-1.2330508474576267</v>
      </c>
      <c r="R3" s="179">
        <f t="shared" ref="R3:R11" si="5">IF(L3="","",L3*N3)</f>
        <v>1536.361836407212</v>
      </c>
      <c r="S3" s="179">
        <f t="shared" ref="S3:S11" si="6">IF(D3="","",P3-R3)</f>
        <v>-1243.1034181933792</v>
      </c>
      <c r="T3" s="110">
        <f>IF($D3="","",INDEX(References!$AM$3:$AM$34,MATCH(ProposedEquipment0!$F3,References!$AF$3:$AF$34,0)))</f>
        <v>0.69</v>
      </c>
      <c r="U3" s="110">
        <f>IF(D3="","",INDEX(References!$AQ$3:$AQ$34,MATCH(ProposedEquipment0!$F3,References!$AF$3:$AF$34,0)))</f>
        <v>0.1</v>
      </c>
      <c r="V3" s="110">
        <f>IF(D3="","",INDEX(References!$AR$3:$AR$34,MATCH(ProposedEquipment0!$F3,References!$AF$3:$AF$34,0)))</f>
        <v>0</v>
      </c>
      <c r="W3" s="110">
        <f>IF(D3="","",INDEX(References!$AS$3:$AS$34,MATCH(ProposedEquipment0!$F3,References!$AF$3:$AF$34,0)))</f>
        <v>7.1900000000000006E-2</v>
      </c>
      <c r="X3" s="110">
        <f>IF(D3="","",INDEX(References!$AT$3:$AT$34,MATCH(ProposedEquipment0!$F3,References!$AF$3:$AF$34,0)))</f>
        <v>5.67E-2</v>
      </c>
      <c r="Y3" s="177">
        <f>IF(D3="","",ROUND((I3*T3)/(1-W3)*(1-U3+V3),References!$B$4))</f>
        <v>0.2362003</v>
      </c>
      <c r="Z3" s="179">
        <f>IF(D3="","",ROUND(J3/(1-X3)*(1-U3+V3),References!$B$5))</f>
        <v>279.79707000000002</v>
      </c>
      <c r="AA3" s="385">
        <f>IF(D3="","",ROUND((K3)/(1-W3)*(1-U3+V3),References!$B$4))</f>
        <v>-1.1957179</v>
      </c>
      <c r="AB3" s="179">
        <f>IF(D3="","",ROUND(L3/(1-X3)*(1-U3+V3),References!$B$5))</f>
        <v>1465.83871</v>
      </c>
      <c r="AC3" s="179">
        <f t="shared" ref="AC3:AC11" si="7">IF(D3="","",Z3-AB3)</f>
        <v>-1186.0416399999999</v>
      </c>
      <c r="AD3" s="177">
        <f t="shared" ref="AD3:AD11" si="8">IF(D3="","",Y3*AU3)</f>
        <v>0.2362003</v>
      </c>
      <c r="AE3" s="179">
        <f t="shared" ref="AE3:AE11" si="9">IF(D3="","",Z3*AU3)</f>
        <v>279.79707000000002</v>
      </c>
      <c r="AF3" s="177">
        <f t="shared" ref="AF3:AF11" si="10">IF(D3="","",AA3*AU3)</f>
        <v>-1.1957179</v>
      </c>
      <c r="AG3" s="179">
        <f t="shared" ref="AG3:AG11" si="11">IF(D3="","",AB3*AU3)</f>
        <v>1465.83871</v>
      </c>
      <c r="AH3" s="179">
        <f t="shared" ref="AH3:AH11" si="12">IF(D3="","",AE3-AG3)</f>
        <v>-1186.0416399999999</v>
      </c>
      <c r="AI3" s="179">
        <f>IF(OR(References!$H$14="",AE3=""),"",IF(Qualifying_Index!CL28&gt;0,Qualifying_Index!CD28+Qualifying_Index!CL28,Qualifying_Index!CD28))</f>
        <v>228.25682518588411</v>
      </c>
      <c r="AJ3" s="179">
        <f>IF(OR(References!$H$14="",AE3=""),"",IF(References!$J$37=FALSE,0,Qualifying_Index!CN28))</f>
        <v>0</v>
      </c>
      <c r="AK3" s="156">
        <f>IF(OR(References!$H$14="",AE3=""),"",Qualifying_Index!CD28+Qualifying_Index!CN28)</f>
        <v>2207.8919137519056</v>
      </c>
      <c r="AL3" s="156">
        <f>IF(AE3="","",IF(Qualifying_Index!CI28&lt;0,Qualifying_Index!CC28,Qualifying_Index!CC28+Qualifying_Index!CI28))</f>
        <v>0.66096264748725841</v>
      </c>
      <c r="AM3" s="156">
        <f>IF('In Unit HVAC Worksheet'!I62="","",IF(Qualifying_Index!CI28&gt;0,Qualifying_Index!CJ28,Qualifying_Index!CJ28+Qualifying_Index!CI28))</f>
        <v>17.621890829476612</v>
      </c>
      <c r="AN3" s="107">
        <f t="shared" ref="AN3:AN11" si="13">IF(D3="","",AL3+AM3)</f>
        <v>18.282853476963872</v>
      </c>
      <c r="AQ3">
        <f>IF(D3="","",Admin!AE5)</f>
        <v>0</v>
      </c>
      <c r="AR3">
        <f>IF(OR('In Unit HVAC Worksheet'!Z62="DNQ",'In Unit HVAC Worksheet'!Z62=""),"",ROUND(IF(AND(AQ3*0.7&lt;'In Unit HVAC Worksheet'!Z62,AQ3&gt;0),AQ3*0.7,'In Unit HVAC Worksheet'!Z62),0))</f>
        <v>1250</v>
      </c>
      <c r="AS3">
        <f>IF(OR('In Unit HVAC Worksheet'!Z62="DNQ",AU3=""),"",AR3*AU3)</f>
        <v>1250</v>
      </c>
      <c r="AT3">
        <f>IF('In Unit HVAC Worksheet'!AB62="DNQ","",'In Unit HVAC Worksheet'!AB62)</f>
        <v>0</v>
      </c>
      <c r="AU3">
        <f t="shared" ref="AU3:AU11" si="14">IF(E3="","",1)</f>
        <v>1</v>
      </c>
      <c r="BM3">
        <f>IF(E3="","",Qualifying_Index!I28)</f>
        <v>12.3</v>
      </c>
      <c r="BN3">
        <f>IF(F3="","",Qualifying_Index!J28)</f>
        <v>15</v>
      </c>
      <c r="BO3">
        <f>IF(G3="","",Qualifying_Index!K28)</f>
        <v>0</v>
      </c>
      <c r="BP3" s="155">
        <f>IF(E3="","",IF(References!H15&lt;&gt;"Electric",References!$M$37,""))</f>
        <v>0</v>
      </c>
      <c r="BQ3" t="str">
        <f>IF(D3="","",IF(Qualifying_Index!BU28="PTHP",Qualifying_Index!K28,""))</f>
        <v/>
      </c>
      <c r="BR3">
        <f>IF(D3="","",Qualifying_Index!W28)</f>
        <v>17.8</v>
      </c>
      <c r="BS3">
        <f>IF(D3="","",Qualifying_Index!V28)</f>
        <v>22.1</v>
      </c>
      <c r="BT3" s="154">
        <f>IF(D3="","",IF(Qualifying_Index!BU28="PTHP",BU3*3.413,Qualifying_Index!X28))</f>
        <v>11.8</v>
      </c>
      <c r="BU3" t="str">
        <f>IF(D3="","",IF(Qualifying_Index!BU28="PTHP",Qualifying_Index!X28,""))</f>
        <v/>
      </c>
      <c r="BV3">
        <f>IF(E3="","",Qualifying_Index!BX28)</f>
        <v>675</v>
      </c>
      <c r="BW3">
        <f>IF(E3="","",Qualifying_Index!BY28)</f>
        <v>1265</v>
      </c>
      <c r="BX3">
        <f>IF(D3="","",'In Unit HVAC Worksheet'!G62)</f>
        <v>14000</v>
      </c>
      <c r="BY3">
        <f>IF(D3="","",'In Unit HVAC Worksheet'!I62)</f>
        <v>15000</v>
      </c>
      <c r="BZ3" s="147" t="str">
        <f>IF(D3="","",References!$H$14)</f>
        <v>Oil</v>
      </c>
      <c r="CA3">
        <f>IF(E3="","",'In Unit HVAC Worksheet'!Y83)</f>
        <v>14000</v>
      </c>
      <c r="CB3">
        <f>IF(AU3="","",'In Unit HVAC Worksheet'!AA83)</f>
        <v>15000</v>
      </c>
      <c r="CC3" t="str">
        <f>IF($E3="","",'In Unit HVAC Worksheet'!C83)</f>
        <v>z</v>
      </c>
      <c r="CD3" t="str">
        <f>IF($E3="","",'In Unit HVAC Worksheet'!E83)</f>
        <v>z</v>
      </c>
      <c r="CE3" t="str">
        <f>IF($E3="","",'In Unit HVAC Worksheet'!F83)</f>
        <v>z</v>
      </c>
      <c r="CF3" t="str">
        <f>IF(E3="","",'In Unit HVAC Worksheet'!I83)</f>
        <v>z</v>
      </c>
      <c r="CG3" t="str">
        <f>IF(E3="","",'In Unit HVAC Worksheet'!K83)</f>
        <v>z</v>
      </c>
      <c r="CH3" t="str">
        <f>IF(E3="","",'In Unit HVAC Worksheet'!M83)</f>
        <v>z</v>
      </c>
      <c r="CI3" t="e">
        <f>IF(D3="","",'In Unit HVAC Worksheet'!T62/12000)</f>
        <v>#VALUE!</v>
      </c>
      <c r="CJ3" t="str">
        <f>IF($D3="","",'In Unit HVAC Worksheet'!T83)</f>
        <v>a</v>
      </c>
      <c r="CK3" t="str">
        <f>IF($D3="","",'In Unit HVAC Worksheet'!W83)</f>
        <v>d</v>
      </c>
      <c r="CL3" s="155">
        <f t="shared" ref="CL3:CL11" si="15">IF(E3="","",IF(D3="Cool Homes Ductless",0,kW_CA))</f>
        <v>1.5939999999999999E-3</v>
      </c>
      <c r="CN3" s="155">
        <f t="shared" ref="CN3:CN11" si="16">IF(E3="","",IF(D3="Cool Homes Ductless",0,QI_kWh))</f>
        <v>0.05</v>
      </c>
      <c r="CO3" s="151">
        <f>IF($E3="","",IF(References!$A$15=FALSE,0,IF(NOT(ISERROR(SEARCH("Ductless Mini Split",'In Unit HVAC Worksheet'!C62,1))),0,Unit1_QI_CA)))</f>
        <v>0</v>
      </c>
      <c r="CP3" s="110"/>
      <c r="CQ3" s="156">
        <f>IF($E3="","",IF(References!$A$15=FALSE,0,IF(NOT(ISERROR(SEARCH("Ductless Mini Split",'In Unit HVAC Worksheet'!C62,1))),0,Unit1_QI_kWh)))</f>
        <v>0</v>
      </c>
      <c r="CT3" t="str">
        <f>IF(NOT(LEFT('In Unit HVAC Worksheet'!C62,3)="Geo"),"",INDEX(References!$M$49:$M$51,MATCH('In Unit HVAC Worksheet'!C62,References!$L$49:$L$51,0)))</f>
        <v/>
      </c>
      <c r="DW3">
        <f>IF(C3="","",'Customer Information'!$K$11)</f>
        <v>0</v>
      </c>
    </row>
    <row r="4" spans="1:264" ht="14.15" customHeight="1">
      <c r="A4">
        <f t="shared" ref="A4:A23" si="17">A3+1</f>
        <v>3</v>
      </c>
      <c r="C4" t="str">
        <f>IF(OR('In Unit HVAC Worksheet'!$Z63="",'In Unit HVAC Worksheet'!$Z63="DNQ",'In Unit HVAC Worksheet'!$Z63="Missing Info"),"",INDEX(References!AH$3:AH$34,MATCH(Qualifying_Index!$E29,References!$AE$3:$AE$34,0)))</f>
        <v/>
      </c>
      <c r="D4" t="str">
        <f>IF(OR('In Unit HVAC Worksheet'!$Z63="",'In Unit HVAC Worksheet'!$Z63="DNQ",'In Unit HVAC Worksheet'!$X5="Missing Info"),"",INDEX(References!AG$3:AG$34,MATCH(Qualifying_Index!$E29,References!$AE$3:$AE$34,0)))</f>
        <v/>
      </c>
      <c r="E4" t="str">
        <f>IF(OR('In Unit HVAC Worksheet'!$Z63="",'In Unit HVAC Worksheet'!$Z63="DNQ",'In Unit HVAC Worksheet'!$Z63="Missing Info"),"",INDEX(References!AI$3:AI$34,MATCH(Qualifying_Index!$E29,References!$AE$3:$AE$34,0)))</f>
        <v/>
      </c>
      <c r="F4" t="str">
        <f>IF(D4="","",INDEX(References!$AF$3:$AF$34,MATCH(Qualifying_Index!$E29,References!$AE$3:$AE$34,0)))</f>
        <v/>
      </c>
      <c r="G4" t="str">
        <f>IF(D4="","",'Customer Information'!$L$43)</f>
        <v/>
      </c>
      <c r="H4" t="str">
        <f>IF(C4="","","Whole House ASHP and ER v"&amp;Development!$A$2)</f>
        <v/>
      </c>
      <c r="I4" s="178" t="str">
        <f>IF(E4="","",Qualifying_Index!CA29)</f>
        <v/>
      </c>
      <c r="J4" s="179" t="str">
        <f>IF(E4="","",Qualifying_Index!CB29+Qualifying_Index!CF29)</f>
        <v/>
      </c>
      <c r="K4" s="178" t="str">
        <f>IF(G4="","",IF(References!$I$37=TRUE,Qualifying_Index!CE29,Qualifying_Index!CG29))</f>
        <v/>
      </c>
      <c r="L4" s="179" t="str">
        <f>IF(G4="","",Qualifying_Index!CH29)</f>
        <v/>
      </c>
      <c r="M4" s="179" t="str">
        <f t="shared" si="0"/>
        <v/>
      </c>
      <c r="N4" s="110" t="str">
        <f t="shared" si="1"/>
        <v/>
      </c>
      <c r="O4" s="178" t="str">
        <f t="shared" si="2"/>
        <v/>
      </c>
      <c r="P4" s="179" t="str">
        <f t="shared" si="3"/>
        <v/>
      </c>
      <c r="Q4" s="178" t="str">
        <f t="shared" si="4"/>
        <v/>
      </c>
      <c r="R4" s="179" t="str">
        <f t="shared" si="5"/>
        <v/>
      </c>
      <c r="S4" s="179" t="str">
        <f t="shared" si="6"/>
        <v/>
      </c>
      <c r="T4" s="110" t="str">
        <f>IF($D4="","",INDEX(References!$AM$3:$AM$34,MATCH(ProposedEquipment0!$F4,References!$AF$3:$AF$34,0)))</f>
        <v/>
      </c>
      <c r="U4" s="110" t="str">
        <f>IF(D4="","",INDEX(References!$AQ$3:$AQ$34,MATCH(ProposedEquipment0!$F4,References!$AF$3:$AF$34,0)))</f>
        <v/>
      </c>
      <c r="V4" s="110" t="str">
        <f>IF(D4="","",INDEX(References!$AR$3:$AR$34,MATCH(ProposedEquipment0!$F4,References!$AF$3:$AF$34,0)))</f>
        <v/>
      </c>
      <c r="W4" s="110" t="str">
        <f>IF(D4="","",INDEX(References!$AS$3:$AS$34,MATCH(ProposedEquipment0!$F4,References!$AF$3:$AF$34,0)))</f>
        <v/>
      </c>
      <c r="X4" s="110" t="str">
        <f>IF(D4="","",INDEX(References!$AT$3:$AT$34,MATCH(ProposedEquipment0!$F4,References!$AF$3:$AF$34,0)))</f>
        <v/>
      </c>
      <c r="Y4" s="177" t="str">
        <f>IF(D4="","",ROUND((I4*T4)/(1-W4)*(1-U4+V4),References!$B$4))</f>
        <v/>
      </c>
      <c r="Z4" s="179" t="str">
        <f>IF(D4="","",ROUND(J4/(1-X4)*(1-U4+V4),References!$B$5))</f>
        <v/>
      </c>
      <c r="AA4" s="385" t="str">
        <f>IF(D4="","",ROUND((K4)/(1-W4)*(1-U4+V4),References!$B$4))</f>
        <v/>
      </c>
      <c r="AB4" s="179" t="str">
        <f>IF(D4="","",ROUND(L4/(1-X4)*(1-U4+V4),References!$B$5))</f>
        <v/>
      </c>
      <c r="AC4" s="179" t="str">
        <f t="shared" si="7"/>
        <v/>
      </c>
      <c r="AD4" s="177" t="str">
        <f t="shared" si="8"/>
        <v/>
      </c>
      <c r="AE4" s="179" t="str">
        <f t="shared" si="9"/>
        <v/>
      </c>
      <c r="AF4" s="177" t="str">
        <f t="shared" si="10"/>
        <v/>
      </c>
      <c r="AG4" s="179" t="str">
        <f t="shared" si="11"/>
        <v/>
      </c>
      <c r="AH4" s="179" t="str">
        <f t="shared" si="12"/>
        <v/>
      </c>
      <c r="AI4" s="179" t="str">
        <f>IF(OR(References!$H$14="",AE4=""),"",IF(Qualifying_Index!CL29&gt;0,Qualifying_Index!CD29+Qualifying_Index!CL29,Qualifying_Index!CD29))</f>
        <v/>
      </c>
      <c r="AJ4" s="179" t="str">
        <f>IF(OR(References!$H$14="",AE4=""),"",IF(References!$J$37=FALSE,0,Qualifying_Index!CN29))</f>
        <v/>
      </c>
      <c r="AK4" s="156" t="str">
        <f>IF(OR(References!$H$14="",AE4=""),"",Qualifying_Index!CD29+Qualifying_Index!CN29)</f>
        <v/>
      </c>
      <c r="AL4" s="156" t="str">
        <f>IF(AE4="","",IF(Qualifying_Index!CI29&lt;0,Qualifying_Index!CC29,Qualifying_Index!CC29+Qualifying_Index!CI29))</f>
        <v/>
      </c>
      <c r="AM4" s="156" t="str">
        <f>IF('In Unit HVAC Worksheet'!I63="","",IF(Qualifying_Index!CI29&gt;0,Qualifying_Index!CJ29,Qualifying_Index!CJ29+Qualifying_Index!CI29))</f>
        <v/>
      </c>
      <c r="AN4" s="107" t="str">
        <f t="shared" si="13"/>
        <v/>
      </c>
      <c r="AQ4" t="str">
        <f>IF(D4="","",Admin!AE6)</f>
        <v/>
      </c>
      <c r="AR4" t="str">
        <f>IF(OR('In Unit HVAC Worksheet'!Z63="DNQ",'In Unit HVAC Worksheet'!Z63=""),"",ROUND(IF(AND(AQ4*0.7&lt;'In Unit HVAC Worksheet'!Z63,AQ4&gt;0),AQ4*0.7,'In Unit HVAC Worksheet'!Z63),0))</f>
        <v/>
      </c>
      <c r="AS4" t="str">
        <f>IF(OR('In Unit HVAC Worksheet'!Z63="DNQ",AU4=""),"",AR4*AU4)</f>
        <v/>
      </c>
      <c r="AT4">
        <f>IF('In Unit HVAC Worksheet'!AB63="DNQ","",'In Unit HVAC Worksheet'!AB63)</f>
        <v>0</v>
      </c>
      <c r="AU4" t="str">
        <f t="shared" si="14"/>
        <v/>
      </c>
      <c r="BM4" t="str">
        <f>IF(E4="","",Qualifying_Index!I29)</f>
        <v/>
      </c>
      <c r="BN4" t="str">
        <f>IF(F4="","",Qualifying_Index!J29)</f>
        <v/>
      </c>
      <c r="BO4" t="str">
        <f>IF(G4="","",Qualifying_Index!K29)</f>
        <v/>
      </c>
      <c r="BP4" s="155" t="str">
        <f>IF(E4="","",IF(References!H16&lt;&gt;"Electric",References!$M$37,""))</f>
        <v/>
      </c>
      <c r="BQ4" t="str">
        <f>IF(D4="","",IF(Qualifying_Index!BU29="PTHP",Qualifying_Index!K29,""))</f>
        <v/>
      </c>
      <c r="BR4" t="str">
        <f>IF(D4="","",Qualifying_Index!W29)</f>
        <v/>
      </c>
      <c r="BS4" t="str">
        <f>IF(D4="","",Qualifying_Index!V29)</f>
        <v/>
      </c>
      <c r="BT4" s="154" t="str">
        <f>IF(D4="","",IF(Qualifying_Index!BU29="PTHP",BU4*3.413,Qualifying_Index!X29))</f>
        <v/>
      </c>
      <c r="BU4" t="str">
        <f>IF(D4="","",IF(Qualifying_Index!BU29="PTHP",Qualifying_Index!X29,""))</f>
        <v/>
      </c>
      <c r="BV4" t="str">
        <f>IF(E4="","",Qualifying_Index!BX29)</f>
        <v/>
      </c>
      <c r="BW4" t="str">
        <f>IF(E4="","",Qualifying_Index!BY29)</f>
        <v/>
      </c>
      <c r="BX4" t="str">
        <f>IF(D4="","",'In Unit HVAC Worksheet'!G63)</f>
        <v/>
      </c>
      <c r="BY4" t="str">
        <f>IF(D4="","",'In Unit HVAC Worksheet'!I63)</f>
        <v/>
      </c>
      <c r="BZ4" s="147" t="str">
        <f>IF(D4="","",References!$H$14)</f>
        <v/>
      </c>
      <c r="CA4" t="str">
        <f>IF(E4="","",'In Unit HVAC Worksheet'!Y84)</f>
        <v/>
      </c>
      <c r="CB4" t="str">
        <f>IF(AU4="","",'In Unit HVAC Worksheet'!AA84)</f>
        <v/>
      </c>
      <c r="CC4" t="str">
        <f>IF($E4="","",'In Unit HVAC Worksheet'!C84)</f>
        <v/>
      </c>
      <c r="CD4" t="str">
        <f>IF($E4="","",'In Unit HVAC Worksheet'!E84)</f>
        <v/>
      </c>
      <c r="CE4" t="str">
        <f>IF($E4="","",'In Unit HVAC Worksheet'!G84)</f>
        <v/>
      </c>
      <c r="CF4" t="str">
        <f>IF(E4="","",'In Unit HVAC Worksheet'!I84)</f>
        <v/>
      </c>
      <c r="CG4" t="str">
        <f>IF(E4="","",'In Unit HVAC Worksheet'!K84)</f>
        <v/>
      </c>
      <c r="CH4" t="str">
        <f>IF(E4="","",'In Unit HVAC Worksheet'!M84)</f>
        <v/>
      </c>
      <c r="CI4" t="str">
        <f>IF(D4="","",'In Unit HVAC Worksheet'!T63/12000)</f>
        <v/>
      </c>
      <c r="CJ4" t="str">
        <f>IF($D4="","",'In Unit HVAC Worksheet'!T84)</f>
        <v/>
      </c>
      <c r="CK4" t="str">
        <f>IF($D4="","",'In Unit HVAC Worksheet'!W84)</f>
        <v/>
      </c>
      <c r="CL4" s="155" t="str">
        <f t="shared" si="15"/>
        <v/>
      </c>
      <c r="CN4" s="155" t="str">
        <f t="shared" si="16"/>
        <v/>
      </c>
      <c r="CO4" s="151" t="str">
        <f>IF($E4="","",IF(References!$A$15=FALSE,0,IF(NOT(ISERROR(SEARCH("Ductless Mini Split",'In Unit HVAC Worksheet'!C63,1))),0,Unit1_QI_CA)))</f>
        <v/>
      </c>
      <c r="CP4" s="110"/>
      <c r="CQ4" s="156" t="str">
        <f>IF($E4="","",IF(References!$A$15=FALSE,0,IF(NOT(ISERROR(SEARCH("Ductless Mini Split",'In Unit HVAC Worksheet'!C63,1))),0,Unit1_QI_kWh)))</f>
        <v/>
      </c>
      <c r="CT4" t="str">
        <f>IF(NOT(LEFT('In Unit HVAC Worksheet'!C63,3)="Geo"),"",INDEX(References!$M$49:$M$51,MATCH('In Unit HVAC Worksheet'!C63,References!$L$49:$L$51,0)))</f>
        <v/>
      </c>
      <c r="DW4" t="str">
        <f>IF(C4="","",'Customer Information'!$K$11)</f>
        <v/>
      </c>
    </row>
    <row r="5" spans="1:264" ht="14.15" customHeight="1">
      <c r="A5">
        <f t="shared" si="17"/>
        <v>4</v>
      </c>
      <c r="C5" t="str">
        <f>IF(OR('In Unit HVAC Worksheet'!$Z64="",'In Unit HVAC Worksheet'!$Z64="DNQ",'In Unit HVAC Worksheet'!$Z64="Missing Info"),"",INDEX(References!AH$3:AH$34,MATCH(Qualifying_Index!$E30,References!$AE$3:$AE$34,0)))</f>
        <v/>
      </c>
      <c r="D5" t="str">
        <f>IF(OR('In Unit HVAC Worksheet'!$Z64="",'In Unit HVAC Worksheet'!$Z64="DNQ",'In Unit HVAC Worksheet'!$X6="Missing Info"),"",INDEX(References!AG$3:AG$34,MATCH(Qualifying_Index!$E30,References!$AE$3:$AE$34,0)))</f>
        <v/>
      </c>
      <c r="E5" t="str">
        <f>IF(OR('In Unit HVAC Worksheet'!$Z64="",'In Unit HVAC Worksheet'!$Z64="DNQ",'In Unit HVAC Worksheet'!$Z64="Missing Info"),"",INDEX(References!AI$3:AI$34,MATCH(Qualifying_Index!$E30,References!$AE$3:$AE$34,0)))</f>
        <v/>
      </c>
      <c r="F5" t="str">
        <f>IF(D5="","",INDEX(References!$AF$3:$AF$34,MATCH(Qualifying_Index!$E30,References!$AE$3:$AE$34,0)))</f>
        <v/>
      </c>
      <c r="G5" t="str">
        <f>IF(D5="","",'Customer Information'!$L$43)</f>
        <v/>
      </c>
      <c r="H5" t="str">
        <f>IF(C5="","","Whole House ASHP and ER v"&amp;Development!$A$2)</f>
        <v/>
      </c>
      <c r="I5" s="178" t="str">
        <f>IF(E5="","",Qualifying_Index!CA30)</f>
        <v/>
      </c>
      <c r="J5" s="179" t="str">
        <f>IF(E5="","",Qualifying_Index!CB30+Qualifying_Index!CF30)</f>
        <v/>
      </c>
      <c r="K5" s="178" t="str">
        <f>IF(G5="","",IF(References!$I$37=TRUE,Qualifying_Index!CE30,Qualifying_Index!CG30))</f>
        <v/>
      </c>
      <c r="L5" s="179" t="str">
        <f>IF(G5="","",Qualifying_Index!CH30)</f>
        <v/>
      </c>
      <c r="M5" s="179" t="str">
        <f t="shared" si="0"/>
        <v/>
      </c>
      <c r="N5" s="110" t="str">
        <f t="shared" si="1"/>
        <v/>
      </c>
      <c r="O5" s="178" t="str">
        <f t="shared" si="2"/>
        <v/>
      </c>
      <c r="P5" s="179" t="str">
        <f t="shared" si="3"/>
        <v/>
      </c>
      <c r="Q5" s="178" t="str">
        <f t="shared" si="4"/>
        <v/>
      </c>
      <c r="R5" s="179" t="str">
        <f t="shared" si="5"/>
        <v/>
      </c>
      <c r="S5" s="179" t="str">
        <f t="shared" si="6"/>
        <v/>
      </c>
      <c r="T5" s="110" t="str">
        <f>IF($D5="","",INDEX(References!$AM$3:$AM$34,MATCH(ProposedEquipment0!$F5,References!$AF$3:$AF$34,0)))</f>
        <v/>
      </c>
      <c r="U5" s="110" t="str">
        <f>IF(D5="","",INDEX(References!$AQ$3:$AQ$34,MATCH(ProposedEquipment0!$F5,References!$AF$3:$AF$34,0)))</f>
        <v/>
      </c>
      <c r="V5" s="110" t="str">
        <f>IF(D5="","",INDEX(References!$AR$3:$AR$34,MATCH(ProposedEquipment0!$F5,References!$AF$3:$AF$34,0)))</f>
        <v/>
      </c>
      <c r="W5" s="110" t="str">
        <f>IF(D5="","",INDEX(References!$AS$3:$AS$34,MATCH(ProposedEquipment0!$F5,References!$AF$3:$AF$34,0)))</f>
        <v/>
      </c>
      <c r="X5" s="110" t="str">
        <f>IF(D5="","",INDEX(References!$AT$3:$AT$34,MATCH(ProposedEquipment0!$F5,References!$AF$3:$AF$34,0)))</f>
        <v/>
      </c>
      <c r="Y5" s="177" t="str">
        <f>IF(D5="","",ROUND((I5*T5)/(1-W5)*(1-U5+V5),References!$B$4))</f>
        <v/>
      </c>
      <c r="Z5" s="179" t="str">
        <f>IF(D5="","",ROUND(J5/(1-X5)*(1-U5+V5),References!$B$5))</f>
        <v/>
      </c>
      <c r="AA5" s="385" t="str">
        <f>IF(D5="","",ROUND((K5)/(1-W5)*(1-U5+V5),References!$B$4))</f>
        <v/>
      </c>
      <c r="AB5" s="179" t="str">
        <f>IF(D5="","",ROUND(L5/(1-X5)*(1-U5+V5),References!$B$5))</f>
        <v/>
      </c>
      <c r="AC5" s="179" t="str">
        <f t="shared" si="7"/>
        <v/>
      </c>
      <c r="AD5" s="177" t="str">
        <f t="shared" si="8"/>
        <v/>
      </c>
      <c r="AE5" s="179" t="str">
        <f t="shared" si="9"/>
        <v/>
      </c>
      <c r="AF5" s="177" t="str">
        <f t="shared" si="10"/>
        <v/>
      </c>
      <c r="AG5" s="179" t="str">
        <f t="shared" si="11"/>
        <v/>
      </c>
      <c r="AH5" s="179" t="str">
        <f t="shared" si="12"/>
        <v/>
      </c>
      <c r="AI5" s="179" t="str">
        <f>IF(OR(References!$H$14="",AE5=""),"",IF(Qualifying_Index!CL30&gt;0,Qualifying_Index!CD30+Qualifying_Index!CL30,Qualifying_Index!CD30))</f>
        <v/>
      </c>
      <c r="AJ5" s="179" t="str">
        <f>IF(OR(References!$H$14="",AE5=""),"",IF(References!$J$37=FALSE,0,Qualifying_Index!CN30))</f>
        <v/>
      </c>
      <c r="AK5" s="156" t="str">
        <f>IF(OR(References!$H$14="",AE5=""),"",Qualifying_Index!CD30+Qualifying_Index!CN30)</f>
        <v/>
      </c>
      <c r="AL5" s="156" t="str">
        <f>IF(AE5="","",IF(Qualifying_Index!CI30&lt;0,Qualifying_Index!CC30,Qualifying_Index!CC30+Qualifying_Index!CI30))</f>
        <v/>
      </c>
      <c r="AM5" s="156" t="str">
        <f>IF('In Unit HVAC Worksheet'!I64="","",IF(Qualifying_Index!CI30&gt;0,Qualifying_Index!CJ30,Qualifying_Index!CJ30+Qualifying_Index!CI30))</f>
        <v/>
      </c>
      <c r="AN5" s="107" t="str">
        <f t="shared" si="13"/>
        <v/>
      </c>
      <c r="AQ5" t="str">
        <f>IF(D5="","",Admin!AE7)</f>
        <v/>
      </c>
      <c r="AR5" t="str">
        <f>IF(OR('In Unit HVAC Worksheet'!Z64="DNQ",'In Unit HVAC Worksheet'!Z64=""),"",ROUND(IF(AND(AQ5*0.7&lt;'In Unit HVAC Worksheet'!Z64,AQ5&gt;0),AQ5*0.7,'In Unit HVAC Worksheet'!Z64),0))</f>
        <v/>
      </c>
      <c r="AS5" t="str">
        <f>IF(OR('In Unit HVAC Worksheet'!Z64="DNQ",AU5=""),"",AR5*AU5)</f>
        <v/>
      </c>
      <c r="AT5">
        <f>IF('In Unit HVAC Worksheet'!AB64="DNQ","",'In Unit HVAC Worksheet'!AB64)</f>
        <v>0</v>
      </c>
      <c r="AU5" t="str">
        <f t="shared" si="14"/>
        <v/>
      </c>
      <c r="BM5" t="str">
        <f>IF(E5="","",Qualifying_Index!I30)</f>
        <v/>
      </c>
      <c r="BN5" t="str">
        <f>IF(F5="","",Qualifying_Index!J30)</f>
        <v/>
      </c>
      <c r="BO5" t="str">
        <f>IF(G5="","",Qualifying_Index!K30)</f>
        <v/>
      </c>
      <c r="BP5" s="155" t="str">
        <f>IF(E5="","",IF(References!H17&lt;&gt;"Electric",References!$M$37,""))</f>
        <v/>
      </c>
      <c r="BQ5" t="str">
        <f>IF(D5="","",IF(Qualifying_Index!BU30="PTHP",Qualifying_Index!K30,""))</f>
        <v/>
      </c>
      <c r="BR5" t="str">
        <f>IF(D5="","",Qualifying_Index!W30)</f>
        <v/>
      </c>
      <c r="BS5" t="str">
        <f>IF(D5="","",Qualifying_Index!V30)</f>
        <v/>
      </c>
      <c r="BT5" s="154" t="str">
        <f>IF(D5="","",IF(Qualifying_Index!BU30="PTHP",BU5*3.413,Qualifying_Index!X30))</f>
        <v/>
      </c>
      <c r="BU5" t="str">
        <f>IF(D5="","",IF(Qualifying_Index!BU30="PTHP",Qualifying_Index!X30,""))</f>
        <v/>
      </c>
      <c r="BV5" t="str">
        <f>IF(E5="","",Qualifying_Index!BX30)</f>
        <v/>
      </c>
      <c r="BW5" t="str">
        <f>IF(E5="","",Qualifying_Index!BY30)</f>
        <v/>
      </c>
      <c r="BX5" t="str">
        <f>IF(D5="","",'In Unit HVAC Worksheet'!G64)</f>
        <v/>
      </c>
      <c r="BY5" t="str">
        <f>IF(D5="","",'In Unit HVAC Worksheet'!I64)</f>
        <v/>
      </c>
      <c r="BZ5" s="147" t="str">
        <f>IF(D5="","",References!$H$14)</f>
        <v/>
      </c>
      <c r="CA5" t="str">
        <f>IF(E5="","",'In Unit HVAC Worksheet'!Y85)</f>
        <v/>
      </c>
      <c r="CB5" t="str">
        <f>IF(AU5="","",'In Unit HVAC Worksheet'!AA85)</f>
        <v/>
      </c>
      <c r="CC5" t="str">
        <f>IF($E5="","",'In Unit HVAC Worksheet'!C85)</f>
        <v/>
      </c>
      <c r="CD5" t="str">
        <f>IF($E5="","",'In Unit HVAC Worksheet'!E85)</f>
        <v/>
      </c>
      <c r="CE5" t="str">
        <f>IF($E5="","",'In Unit HVAC Worksheet'!G85)</f>
        <v/>
      </c>
      <c r="CF5" t="str">
        <f>IF(E5="","",'In Unit HVAC Worksheet'!I85)</f>
        <v/>
      </c>
      <c r="CG5" t="str">
        <f>IF(E5="","",'In Unit HVAC Worksheet'!K85)</f>
        <v/>
      </c>
      <c r="CH5" t="str">
        <f>IF(E5="","",'In Unit HVAC Worksheet'!M85)</f>
        <v/>
      </c>
      <c r="CI5" t="str">
        <f>IF(D5="","",'In Unit HVAC Worksheet'!T64/12000)</f>
        <v/>
      </c>
      <c r="CJ5" t="str">
        <f>IF($D5="","",'In Unit HVAC Worksheet'!T85)</f>
        <v/>
      </c>
      <c r="CK5" t="str">
        <f>IF($D5="","",'In Unit HVAC Worksheet'!W85)</f>
        <v/>
      </c>
      <c r="CL5" s="155" t="str">
        <f t="shared" si="15"/>
        <v/>
      </c>
      <c r="CN5" s="155" t="str">
        <f t="shared" si="16"/>
        <v/>
      </c>
      <c r="CO5" s="151" t="str">
        <f>IF($E5="","",IF(References!$A$15=FALSE,0,IF(NOT(ISERROR(SEARCH("Ductless Mini Split",'In Unit HVAC Worksheet'!C64,1))),0,Unit1_QI_CA)))</f>
        <v/>
      </c>
      <c r="CP5" s="110"/>
      <c r="CQ5" s="156" t="str">
        <f>IF($E5="","",IF(References!$A$15=FALSE,0,IF(NOT(ISERROR(SEARCH("Ductless Mini Split",'In Unit HVAC Worksheet'!C64,1))),0,Unit1_QI_kWh)))</f>
        <v/>
      </c>
      <c r="CT5" t="str">
        <f>IF(NOT(LEFT('In Unit HVAC Worksheet'!C64,3)="Geo"),"",INDEX(References!$M$49:$M$51,MATCH('In Unit HVAC Worksheet'!C64,References!$L$49:$L$51,0)))</f>
        <v/>
      </c>
      <c r="DW5" t="str">
        <f>IF(C5="","",'Customer Information'!$K$11)</f>
        <v/>
      </c>
    </row>
    <row r="6" spans="1:264" ht="14.15" customHeight="1">
      <c r="A6">
        <f t="shared" si="17"/>
        <v>5</v>
      </c>
      <c r="C6" t="str">
        <f>IF(OR('In Unit HVAC Worksheet'!$Z65="",'In Unit HVAC Worksheet'!$Z65="DNQ",'In Unit HVAC Worksheet'!$Z65="Missing Info"),"",INDEX(References!AH$3:AH$34,MATCH(Qualifying_Index!$E31,References!$AE$3:$AE$34,0)))</f>
        <v/>
      </c>
      <c r="D6" t="str">
        <f>IF(OR('In Unit HVAC Worksheet'!$Z65="",'In Unit HVAC Worksheet'!$Z65="DNQ",'In Unit HVAC Worksheet'!$X7="Missing Info"),"",INDEX(References!AG$3:AG$34,MATCH(Qualifying_Index!$E31,References!$AE$3:$AE$34,0)))</f>
        <v/>
      </c>
      <c r="E6" t="str">
        <f>IF(OR('In Unit HVAC Worksheet'!$Z65="",'In Unit HVAC Worksheet'!$Z65="DNQ",'In Unit HVAC Worksheet'!$Z65="Missing Info"),"",INDEX(References!AI$3:AI$34,MATCH(Qualifying_Index!$E31,References!$AE$3:$AE$34,0)))</f>
        <v/>
      </c>
      <c r="F6" t="str">
        <f>IF(D6="","",INDEX(References!$AF$3:$AF$34,MATCH(Qualifying_Index!$E31,References!$AE$3:$AE$34,0)))</f>
        <v/>
      </c>
      <c r="G6" t="str">
        <f>IF(D6="","",'Customer Information'!$L$43)</f>
        <v/>
      </c>
      <c r="H6" t="str">
        <f>IF(C6="","","Whole House ASHP and ER v"&amp;Development!$A$2)</f>
        <v/>
      </c>
      <c r="I6" s="178" t="str">
        <f>IF(E6="","",Qualifying_Index!CA31)</f>
        <v/>
      </c>
      <c r="J6" s="179" t="str">
        <f>IF(E6="","",Qualifying_Index!CB31+Qualifying_Index!CF31)</f>
        <v/>
      </c>
      <c r="K6" s="178" t="str">
        <f>IF(G6="","",IF(References!$I$37=TRUE,Qualifying_Index!CE31,Qualifying_Index!CG31))</f>
        <v/>
      </c>
      <c r="L6" s="179" t="str">
        <f>IF(G6="","",Qualifying_Index!CH31)</f>
        <v/>
      </c>
      <c r="M6" s="179" t="str">
        <f t="shared" si="0"/>
        <v/>
      </c>
      <c r="N6" s="110" t="str">
        <f t="shared" si="1"/>
        <v/>
      </c>
      <c r="O6" s="178" t="str">
        <f t="shared" si="2"/>
        <v/>
      </c>
      <c r="P6" s="179" t="str">
        <f t="shared" si="3"/>
        <v/>
      </c>
      <c r="Q6" s="178" t="str">
        <f t="shared" si="4"/>
        <v/>
      </c>
      <c r="R6" s="179" t="str">
        <f t="shared" si="5"/>
        <v/>
      </c>
      <c r="S6" s="179" t="str">
        <f t="shared" si="6"/>
        <v/>
      </c>
      <c r="T6" s="110" t="str">
        <f>IF($D6="","",INDEX(References!$AM$3:$AM$34,MATCH(ProposedEquipment0!$F6,References!$AF$3:$AF$34,0)))</f>
        <v/>
      </c>
      <c r="U6" s="110" t="str">
        <f>IF(D6="","",INDEX(References!$AQ$3:$AQ$34,MATCH(ProposedEquipment0!$F6,References!$AF$3:$AF$34,0)))</f>
        <v/>
      </c>
      <c r="V6" s="110" t="str">
        <f>IF(D6="","",INDEX(References!$AR$3:$AR$34,MATCH(ProposedEquipment0!$F6,References!$AF$3:$AF$34,0)))</f>
        <v/>
      </c>
      <c r="W6" s="110" t="str">
        <f>IF(D6="","",INDEX(References!$AS$3:$AS$34,MATCH(ProposedEquipment0!$F6,References!$AF$3:$AF$34,0)))</f>
        <v/>
      </c>
      <c r="X6" s="110" t="str">
        <f>IF(D6="","",INDEX(References!$AT$3:$AT$34,MATCH(ProposedEquipment0!$F6,References!$AF$3:$AF$34,0)))</f>
        <v/>
      </c>
      <c r="Y6" s="177" t="str">
        <f>IF(D6="","",ROUND((I6*T6)/(1-W6)*(1-U6+V6),References!$B$4))</f>
        <v/>
      </c>
      <c r="Z6" s="179" t="str">
        <f>IF(D6="","",ROUND(J6/(1-X6)*(1-U6+V6),References!$B$5))</f>
        <v/>
      </c>
      <c r="AA6" s="385" t="str">
        <f>IF(D6="","",ROUND((K6)/(1-W6)*(1-U6+V6),References!$B$4))</f>
        <v/>
      </c>
      <c r="AB6" s="179" t="str">
        <f>IF(D6="","",ROUND(L6/(1-X6)*(1-U6+V6),References!$B$5))</f>
        <v/>
      </c>
      <c r="AC6" s="179" t="str">
        <f t="shared" si="7"/>
        <v/>
      </c>
      <c r="AD6" s="177" t="str">
        <f t="shared" si="8"/>
        <v/>
      </c>
      <c r="AE6" s="179" t="str">
        <f t="shared" si="9"/>
        <v/>
      </c>
      <c r="AF6" s="177" t="str">
        <f t="shared" si="10"/>
        <v/>
      </c>
      <c r="AG6" s="179" t="str">
        <f t="shared" si="11"/>
        <v/>
      </c>
      <c r="AH6" s="179" t="str">
        <f t="shared" si="12"/>
        <v/>
      </c>
      <c r="AI6" s="179" t="str">
        <f>IF(OR(References!$H$14="",AE6=""),"",IF(Qualifying_Index!CL31&gt;0,Qualifying_Index!CD31+Qualifying_Index!CL31,Qualifying_Index!CD31))</f>
        <v/>
      </c>
      <c r="AJ6" s="179" t="str">
        <f>IF(OR(References!$H$14="",AE6=""),"",IF(References!$J$37=FALSE,0,Qualifying_Index!CN31))</f>
        <v/>
      </c>
      <c r="AK6" s="156" t="str">
        <f>IF(OR(References!$H$14="",AE6=""),"",Qualifying_Index!CD31+Qualifying_Index!CN31)</f>
        <v/>
      </c>
      <c r="AL6" s="156" t="str">
        <f>IF(AE6="","",IF(Qualifying_Index!CI31&lt;0,Qualifying_Index!CC31,Qualifying_Index!CC31+Qualifying_Index!CI31))</f>
        <v/>
      </c>
      <c r="AM6" s="156" t="str">
        <f>IF('In Unit HVAC Worksheet'!I65="","",IF(Qualifying_Index!CI31&gt;0,Qualifying_Index!CJ31,Qualifying_Index!CJ31+Qualifying_Index!CI31))</f>
        <v/>
      </c>
      <c r="AN6" s="107" t="str">
        <f t="shared" si="13"/>
        <v/>
      </c>
      <c r="AQ6" t="str">
        <f>IF(D6="","",Admin!AE8)</f>
        <v/>
      </c>
      <c r="AR6" t="str">
        <f>IF(OR('In Unit HVAC Worksheet'!Z65="DNQ",'In Unit HVAC Worksheet'!Z65=""),"",ROUND(IF(AND(AQ6*0.7&lt;'In Unit HVAC Worksheet'!Z65,AQ6&gt;0),AQ6*0.7,'In Unit HVAC Worksheet'!Z65),0))</f>
        <v/>
      </c>
      <c r="AS6" t="str">
        <f>IF(OR('In Unit HVAC Worksheet'!Z65="DNQ",AU6=""),"",AR6*AU6)</f>
        <v/>
      </c>
      <c r="AT6">
        <f>IF('In Unit HVAC Worksheet'!AB65="DNQ","",'In Unit HVAC Worksheet'!AB65)</f>
        <v>0</v>
      </c>
      <c r="AU6" t="str">
        <f t="shared" si="14"/>
        <v/>
      </c>
      <c r="BM6" t="str">
        <f>IF(E6="","",Qualifying_Index!I31)</f>
        <v/>
      </c>
      <c r="BN6" t="str">
        <f>IF(F6="","",Qualifying_Index!J31)</f>
        <v/>
      </c>
      <c r="BO6" t="str">
        <f>IF(G6="","",Qualifying_Index!K31)</f>
        <v/>
      </c>
      <c r="BP6" s="155" t="str">
        <f>IF(E6="","",IF(References!H18&lt;&gt;"Electric",References!$M$37,""))</f>
        <v/>
      </c>
      <c r="BQ6" t="str">
        <f>IF(D6="","",IF(Qualifying_Index!BU31="PTHP",Qualifying_Index!K31,""))</f>
        <v/>
      </c>
      <c r="BR6" t="str">
        <f>IF(D6="","",Qualifying_Index!W31)</f>
        <v/>
      </c>
      <c r="BS6" t="str">
        <f>IF(D6="","",Qualifying_Index!V31)</f>
        <v/>
      </c>
      <c r="BT6" s="154" t="str">
        <f>IF(D6="","",IF(Qualifying_Index!BU31="PTHP",BU6*3.413,Qualifying_Index!X31))</f>
        <v/>
      </c>
      <c r="BU6" t="str">
        <f>IF(D6="","",IF(Qualifying_Index!BU31="PTHP",Qualifying_Index!X31,""))</f>
        <v/>
      </c>
      <c r="BV6" t="str">
        <f>IF(E6="","",Qualifying_Index!BX31)</f>
        <v/>
      </c>
      <c r="BW6" t="str">
        <f>IF(E6="","",Qualifying_Index!BY31)</f>
        <v/>
      </c>
      <c r="BX6" t="str">
        <f>IF(D6="","",'In Unit HVAC Worksheet'!G65)</f>
        <v/>
      </c>
      <c r="BY6" t="str">
        <f>IF(D6="","",'In Unit HVAC Worksheet'!I65)</f>
        <v/>
      </c>
      <c r="BZ6" s="147" t="str">
        <f>IF(D6="","",References!$H$14)</f>
        <v/>
      </c>
      <c r="CA6" t="str">
        <f>IF(E6="","",'In Unit HVAC Worksheet'!Y86)</f>
        <v/>
      </c>
      <c r="CB6" t="str">
        <f>IF(AU6="","",'In Unit HVAC Worksheet'!AA86)</f>
        <v/>
      </c>
      <c r="CC6" t="str">
        <f>IF($E6="","",'In Unit HVAC Worksheet'!C86)</f>
        <v/>
      </c>
      <c r="CD6" t="str">
        <f>IF($E6="","",'In Unit HVAC Worksheet'!E86)</f>
        <v/>
      </c>
      <c r="CE6" t="str">
        <f>IF($E6="","",'In Unit HVAC Worksheet'!G86)</f>
        <v/>
      </c>
      <c r="CF6" t="str">
        <f>IF(E6="","",'In Unit HVAC Worksheet'!I86)</f>
        <v/>
      </c>
      <c r="CG6" t="str">
        <f>IF(E6="","",'In Unit HVAC Worksheet'!K86)</f>
        <v/>
      </c>
      <c r="CH6" t="str">
        <f>IF(E6="","",'In Unit HVAC Worksheet'!M86)</f>
        <v/>
      </c>
      <c r="CI6" t="str">
        <f>IF(D6="","",'In Unit HVAC Worksheet'!T65/12000)</f>
        <v/>
      </c>
      <c r="CJ6" t="str">
        <f>IF($D6="","",'In Unit HVAC Worksheet'!T86)</f>
        <v/>
      </c>
      <c r="CK6" t="str">
        <f>IF($D6="","",'In Unit HVAC Worksheet'!W86)</f>
        <v/>
      </c>
      <c r="CL6" s="155" t="str">
        <f t="shared" si="15"/>
        <v/>
      </c>
      <c r="CN6" s="155" t="str">
        <f t="shared" si="16"/>
        <v/>
      </c>
      <c r="CO6" s="151" t="str">
        <f>IF($E6="","",IF(References!$A$15=FALSE,0,IF(NOT(ISERROR(SEARCH("Ductless Mini Split",'In Unit HVAC Worksheet'!C65,1))),0,Unit1_QI_CA)))</f>
        <v/>
      </c>
      <c r="CP6" s="110"/>
      <c r="CQ6" s="156" t="str">
        <f>IF($E6="","",IF(References!$A$15=FALSE,0,IF(NOT(ISERROR(SEARCH("Ductless Mini Split",'In Unit HVAC Worksheet'!C65,1))),0,Unit1_QI_kWh)))</f>
        <v/>
      </c>
      <c r="CT6" t="str">
        <f>IF(NOT(LEFT('In Unit HVAC Worksheet'!C65,3)="Geo"),"",INDEX(References!$M$49:$M$51,MATCH('In Unit HVAC Worksheet'!C65,References!$L$49:$L$51,0)))</f>
        <v/>
      </c>
      <c r="DW6" t="str">
        <f>IF(C6="","",'Customer Information'!$K$11)</f>
        <v/>
      </c>
    </row>
    <row r="7" spans="1:264" ht="14.15" customHeight="1">
      <c r="A7">
        <f t="shared" si="17"/>
        <v>6</v>
      </c>
      <c r="C7" t="str">
        <f>IF(OR('In Unit HVAC Worksheet'!$Z66="",'In Unit HVAC Worksheet'!$Z66="DNQ",'In Unit HVAC Worksheet'!$Z66="Missing Info"),"",INDEX(References!AH$3:AH$34,MATCH(Qualifying_Index!$E32,References!$AE$3:$AE$34,0)))</f>
        <v/>
      </c>
      <c r="D7" t="str">
        <f>IF(OR('In Unit HVAC Worksheet'!$Z66="",'In Unit HVAC Worksheet'!$Z66="DNQ",'In Unit HVAC Worksheet'!$X8="Missing Info"),"",INDEX(References!AG$3:AG$34,MATCH(Qualifying_Index!$E32,References!$AE$3:$AE$34,0)))</f>
        <v/>
      </c>
      <c r="E7" t="str">
        <f>IF(OR('In Unit HVAC Worksheet'!$Z66="",'In Unit HVAC Worksheet'!$Z66="DNQ",'In Unit HVAC Worksheet'!$Z66="Missing Info"),"",INDEX(References!AI$3:AI$34,MATCH(Qualifying_Index!$E32,References!$AE$3:$AE$34,0)))</f>
        <v/>
      </c>
      <c r="F7" t="str">
        <f>IF(D7="","",INDEX(References!$AF$3:$AF$34,MATCH(Qualifying_Index!$E32,References!$AE$3:$AE$34,0)))</f>
        <v/>
      </c>
      <c r="G7" t="str">
        <f>IF(D7="","",'Customer Information'!$L$43)</f>
        <v/>
      </c>
      <c r="H7" t="str">
        <f>IF(C7="","","Whole House ASHP and ER v"&amp;Development!$A$2)</f>
        <v/>
      </c>
      <c r="I7" s="178" t="str">
        <f>IF(E7="","",Qualifying_Index!CA32)</f>
        <v/>
      </c>
      <c r="J7" s="179" t="str">
        <f>IF(E7="","",Qualifying_Index!CB32+Qualifying_Index!CF32)</f>
        <v/>
      </c>
      <c r="K7" s="178" t="str">
        <f>IF(G7="","",IF(References!$I$37=TRUE,Qualifying_Index!CE32,Qualifying_Index!CG32))</f>
        <v/>
      </c>
      <c r="L7" s="179" t="str">
        <f>IF(G7="","",Qualifying_Index!CH32)</f>
        <v/>
      </c>
      <c r="M7" s="179" t="str">
        <f t="shared" si="0"/>
        <v/>
      </c>
      <c r="N7" s="110" t="str">
        <f t="shared" si="1"/>
        <v/>
      </c>
      <c r="O7" s="178" t="str">
        <f t="shared" si="2"/>
        <v/>
      </c>
      <c r="P7" s="179" t="str">
        <f t="shared" si="3"/>
        <v/>
      </c>
      <c r="Q7" s="178" t="str">
        <f t="shared" si="4"/>
        <v/>
      </c>
      <c r="R7" s="179" t="str">
        <f t="shared" si="5"/>
        <v/>
      </c>
      <c r="S7" s="179" t="str">
        <f t="shared" si="6"/>
        <v/>
      </c>
      <c r="T7" s="110" t="str">
        <f>IF($D7="","",INDEX(References!$AM$3:$AM$34,MATCH(ProposedEquipment0!$F7,References!$AF$3:$AF$34,0)))</f>
        <v/>
      </c>
      <c r="U7" s="110" t="str">
        <f>IF(D7="","",INDEX(References!$AQ$3:$AQ$34,MATCH(ProposedEquipment0!$F7,References!$AF$3:$AF$34,0)))</f>
        <v/>
      </c>
      <c r="V7" s="110" t="str">
        <f>IF(D7="","",INDEX(References!$AR$3:$AR$34,MATCH(ProposedEquipment0!$F7,References!$AF$3:$AF$34,0)))</f>
        <v/>
      </c>
      <c r="W7" s="110" t="str">
        <f>IF(D7="","",INDEX(References!$AS$3:$AS$34,MATCH(ProposedEquipment0!$F7,References!$AF$3:$AF$34,0)))</f>
        <v/>
      </c>
      <c r="X7" s="110" t="str">
        <f>IF(D7="","",INDEX(References!$AT$3:$AT$34,MATCH(ProposedEquipment0!$F7,References!$AF$3:$AF$34,0)))</f>
        <v/>
      </c>
      <c r="Y7" s="177" t="str">
        <f>IF(D7="","",ROUND((I7*T7)/(1-W7)*(1-U7+V7),References!$B$4))</f>
        <v/>
      </c>
      <c r="Z7" s="179" t="str">
        <f>IF(D7="","",ROUND(J7/(1-X7)*(1-U7+V7),References!$B$5))</f>
        <v/>
      </c>
      <c r="AA7" s="385" t="str">
        <f>IF(D7="","",ROUND((K7)/(1-W7)*(1-U7+V7),References!$B$4))</f>
        <v/>
      </c>
      <c r="AB7" s="179" t="str">
        <f>IF(D7="","",ROUND(L7/(1-X7)*(1-U7+V7),References!$B$5))</f>
        <v/>
      </c>
      <c r="AC7" s="179" t="str">
        <f t="shared" si="7"/>
        <v/>
      </c>
      <c r="AD7" s="177" t="str">
        <f t="shared" si="8"/>
        <v/>
      </c>
      <c r="AE7" s="179" t="str">
        <f t="shared" si="9"/>
        <v/>
      </c>
      <c r="AF7" s="177" t="str">
        <f t="shared" si="10"/>
        <v/>
      </c>
      <c r="AG7" s="179" t="str">
        <f t="shared" si="11"/>
        <v/>
      </c>
      <c r="AH7" s="179" t="str">
        <f t="shared" si="12"/>
        <v/>
      </c>
      <c r="AI7" s="179" t="str">
        <f>IF(OR(References!$H$14="",AE7=""),"",IF(Qualifying_Index!CL32&gt;0,Qualifying_Index!CD32+Qualifying_Index!CL32,Qualifying_Index!CD32))</f>
        <v/>
      </c>
      <c r="AJ7" s="179" t="str">
        <f>IF(OR(References!$H$14="",AE7=""),"",IF(References!$J$37=FALSE,0,Qualifying_Index!CN32))</f>
        <v/>
      </c>
      <c r="AK7" s="156" t="str">
        <f>IF(OR(References!$H$14="",AE7=""),"",Qualifying_Index!CD32+Qualifying_Index!CN32)</f>
        <v/>
      </c>
      <c r="AL7" s="156" t="str">
        <f>IF(AE7="","",IF(Qualifying_Index!CI32&lt;0,Qualifying_Index!CC32,Qualifying_Index!CC32+Qualifying_Index!CI32))</f>
        <v/>
      </c>
      <c r="AM7" s="156" t="str">
        <f>IF('In Unit HVAC Worksheet'!I66="","",IF(Qualifying_Index!CI32&gt;0,Qualifying_Index!CJ32,Qualifying_Index!CJ32+Qualifying_Index!CI32))</f>
        <v/>
      </c>
      <c r="AN7" s="107" t="str">
        <f t="shared" si="13"/>
        <v/>
      </c>
      <c r="AQ7" t="str">
        <f>IF(D7="","",Admin!AE9)</f>
        <v/>
      </c>
      <c r="AR7" t="str">
        <f>IF(OR('In Unit HVAC Worksheet'!Z66="DNQ",'In Unit HVAC Worksheet'!Z66=""),"",ROUND(IF(AND(AQ7*0.7&lt;'In Unit HVAC Worksheet'!Z66,AQ7&gt;0),AQ7*0.7,'In Unit HVAC Worksheet'!Z66),0))</f>
        <v/>
      </c>
      <c r="AS7" t="str">
        <f>IF(OR('In Unit HVAC Worksheet'!Z66="DNQ",AU7=""),"",AR7*AU7)</f>
        <v/>
      </c>
      <c r="AT7">
        <f>IF('In Unit HVAC Worksheet'!AB66="DNQ","",'In Unit HVAC Worksheet'!AB66)</f>
        <v>0</v>
      </c>
      <c r="AU7" t="str">
        <f t="shared" si="14"/>
        <v/>
      </c>
      <c r="BM7" t="str">
        <f>IF(E7="","",Qualifying_Index!I32)</f>
        <v/>
      </c>
      <c r="BN7" t="str">
        <f>IF(F7="","",Qualifying_Index!J32)</f>
        <v/>
      </c>
      <c r="BO7" t="str">
        <f>IF(G7="","",Qualifying_Index!K32)</f>
        <v/>
      </c>
      <c r="BP7" s="155" t="str">
        <f>IF(E7="","",IF(References!H19&lt;&gt;"Electric",References!$M$37,""))</f>
        <v/>
      </c>
      <c r="BQ7" t="str">
        <f>IF(D7="","",IF(Qualifying_Index!BU32="PTHP",Qualifying_Index!K32,""))</f>
        <v/>
      </c>
      <c r="BR7" t="str">
        <f>IF(D7="","",Qualifying_Index!W32)</f>
        <v/>
      </c>
      <c r="BS7" t="str">
        <f>IF(D7="","",Qualifying_Index!V32)</f>
        <v/>
      </c>
      <c r="BT7" s="154" t="str">
        <f>IF(D7="","",IF(Qualifying_Index!BU32="PTHP",BU7*3.413,Qualifying_Index!X32))</f>
        <v/>
      </c>
      <c r="BU7" t="str">
        <f>IF(D7="","",IF(Qualifying_Index!BU32="PTHP",Qualifying_Index!X32,""))</f>
        <v/>
      </c>
      <c r="BV7" t="str">
        <f>IF(E7="","",Qualifying_Index!BX32)</f>
        <v/>
      </c>
      <c r="BW7" t="str">
        <f>IF(E7="","",Qualifying_Index!BY32)</f>
        <v/>
      </c>
      <c r="BX7" t="str">
        <f>IF(D7="","",'In Unit HVAC Worksheet'!G66)</f>
        <v/>
      </c>
      <c r="BY7" t="str">
        <f>IF(D7="","",'In Unit HVAC Worksheet'!I66)</f>
        <v/>
      </c>
      <c r="BZ7" s="147" t="str">
        <f>IF(D7="","",References!$H$14)</f>
        <v/>
      </c>
      <c r="CA7" t="str">
        <f>IF(E7="","",'In Unit HVAC Worksheet'!Y87)</f>
        <v/>
      </c>
      <c r="CB7" t="str">
        <f>IF(AU7="","",'In Unit HVAC Worksheet'!AA87)</f>
        <v/>
      </c>
      <c r="CC7" t="str">
        <f>IF($E7="","",'In Unit HVAC Worksheet'!C87)</f>
        <v/>
      </c>
      <c r="CD7" t="str">
        <f>IF($E7="","",'In Unit HVAC Worksheet'!E87)</f>
        <v/>
      </c>
      <c r="CE7" t="str">
        <f>IF($E7="","",'In Unit HVAC Worksheet'!G87)</f>
        <v/>
      </c>
      <c r="CF7" t="str">
        <f>IF(E7="","",'In Unit HVAC Worksheet'!I87)</f>
        <v/>
      </c>
      <c r="CG7" t="str">
        <f>IF(E7="","",'In Unit HVAC Worksheet'!K87)</f>
        <v/>
      </c>
      <c r="CH7" t="str">
        <f>IF(E7="","",'In Unit HVAC Worksheet'!M87)</f>
        <v/>
      </c>
      <c r="CI7" t="str">
        <f>IF(D7="","",'In Unit HVAC Worksheet'!T66/12000)</f>
        <v/>
      </c>
      <c r="CJ7" t="str">
        <f>IF($D7="","",'In Unit HVAC Worksheet'!T87)</f>
        <v/>
      </c>
      <c r="CK7" t="str">
        <f>IF($D7="","",'In Unit HVAC Worksheet'!W87)</f>
        <v/>
      </c>
      <c r="CL7" s="155" t="str">
        <f t="shared" si="15"/>
        <v/>
      </c>
      <c r="CN7" s="155" t="str">
        <f t="shared" si="16"/>
        <v/>
      </c>
      <c r="CO7" s="151" t="str">
        <f>IF($E7="","",IF(References!$A$15=FALSE,0,IF(NOT(ISERROR(SEARCH("Ductless Mini Split",'In Unit HVAC Worksheet'!C66,1))),0,Unit1_QI_CA)))</f>
        <v/>
      </c>
      <c r="CP7" s="110"/>
      <c r="CQ7" s="156" t="str">
        <f>IF($E7="","",IF(References!$A$15=FALSE,0,IF(NOT(ISERROR(SEARCH("Ductless Mini Split",'In Unit HVAC Worksheet'!C66,1))),0,Unit1_QI_kWh)))</f>
        <v/>
      </c>
      <c r="CT7" t="str">
        <f>IF(NOT(LEFT('In Unit HVAC Worksheet'!C66,3)="Geo"),"",INDEX(References!$M$49:$M$51,MATCH('In Unit HVAC Worksheet'!C66,References!$L$49:$L$51,0)))</f>
        <v/>
      </c>
      <c r="DW7" t="str">
        <f>IF(C7="","",'Customer Information'!$K$11)</f>
        <v/>
      </c>
      <c r="FB7" s="110"/>
      <c r="FC7" s="110"/>
      <c r="FD7" s="110"/>
      <c r="FE7" s="110"/>
      <c r="FF7" s="110"/>
      <c r="GJ7" s="110"/>
      <c r="GK7" s="110"/>
      <c r="GL7" s="110"/>
      <c r="GM7" s="110"/>
      <c r="GN7" s="110"/>
      <c r="HR7" s="110"/>
      <c r="HS7" s="110"/>
      <c r="HT7" s="110"/>
      <c r="HU7" s="110"/>
      <c r="HV7" s="110"/>
      <c r="IZ7" s="110"/>
      <c r="JA7" s="110"/>
      <c r="JB7" s="110"/>
      <c r="JC7" s="110"/>
      <c r="JD7" s="110"/>
    </row>
    <row r="8" spans="1:264" ht="14.15" customHeight="1">
      <c r="A8">
        <f t="shared" si="17"/>
        <v>7</v>
      </c>
      <c r="C8" t="str">
        <f>IF(OR('In Unit HVAC Worksheet'!$Z67="",'In Unit HVAC Worksheet'!$Z67="DNQ",'In Unit HVAC Worksheet'!$Z67="Missing Info"),"",INDEX(References!AH$3:AH$34,MATCH(Qualifying_Index!$E33,References!$AE$3:$AE$34,0)))</f>
        <v/>
      </c>
      <c r="D8" t="str">
        <f>IF(OR('In Unit HVAC Worksheet'!$Z67="",'In Unit HVAC Worksheet'!$Z67="DNQ",'In Unit HVAC Worksheet'!$X10="Missing Info"),"",INDEX(References!AG$3:AG$34,MATCH(Qualifying_Index!$E33,References!$AE$3:$AE$34,0)))</f>
        <v/>
      </c>
      <c r="E8" t="str">
        <f>IF(OR('In Unit HVAC Worksheet'!$Z67="",'In Unit HVAC Worksheet'!$Z67="DNQ",'In Unit HVAC Worksheet'!$Z67="Missing Info"),"",INDEX(References!AI$3:AI$34,MATCH(Qualifying_Index!$E33,References!$AE$3:$AE$34,0)))</f>
        <v/>
      </c>
      <c r="F8" t="str">
        <f>IF(D8="","",INDEX(References!$AF$3:$AF$34,MATCH(Qualifying_Index!$E33,References!$AE$3:$AE$34,0)))</f>
        <v/>
      </c>
      <c r="G8" t="str">
        <f>IF(D8="","",'Customer Information'!$L$43)</f>
        <v/>
      </c>
      <c r="H8" t="str">
        <f>IF(C8="","","Whole House ASHP and ER v"&amp;Development!$A$2)</f>
        <v/>
      </c>
      <c r="I8" s="178" t="str">
        <f>IF(E8="","",Qualifying_Index!CA33)</f>
        <v/>
      </c>
      <c r="J8" s="179" t="str">
        <f>IF(E8="","",Qualifying_Index!CB33+Qualifying_Index!CF33)</f>
        <v/>
      </c>
      <c r="K8" s="178" t="str">
        <f>IF(G8="","",IF(References!$I$37=TRUE,Qualifying_Index!CE33,Qualifying_Index!CG33))</f>
        <v/>
      </c>
      <c r="L8" s="179" t="str">
        <f>IF(G8="","",Qualifying_Index!CH33)</f>
        <v/>
      </c>
      <c r="M8" s="179" t="str">
        <f t="shared" si="0"/>
        <v/>
      </c>
      <c r="N8" s="110" t="str">
        <f t="shared" si="1"/>
        <v/>
      </c>
      <c r="O8" s="178" t="str">
        <f t="shared" si="2"/>
        <v/>
      </c>
      <c r="P8" s="179" t="str">
        <f t="shared" si="3"/>
        <v/>
      </c>
      <c r="Q8" s="178" t="str">
        <f t="shared" si="4"/>
        <v/>
      </c>
      <c r="R8" s="179" t="str">
        <f t="shared" si="5"/>
        <v/>
      </c>
      <c r="S8" s="179" t="str">
        <f t="shared" si="6"/>
        <v/>
      </c>
      <c r="T8" s="110" t="str">
        <f>IF($D8="","",INDEX(References!$AM$3:$AM$34,MATCH(ProposedEquipment0!$F8,References!$AF$3:$AF$34,0)))</f>
        <v/>
      </c>
      <c r="U8" s="110" t="str">
        <f>IF(D8="","",INDEX(References!$AQ$3:$AQ$34,MATCH(ProposedEquipment0!$F8,References!$AF$3:$AF$34,0)))</f>
        <v/>
      </c>
      <c r="V8" s="110" t="str">
        <f>IF(D8="","",INDEX(References!$AR$3:$AR$34,MATCH(ProposedEquipment0!$F8,References!$AF$3:$AF$34,0)))</f>
        <v/>
      </c>
      <c r="W8" s="110" t="str">
        <f>IF(D8="","",INDEX(References!$AS$3:$AS$34,MATCH(ProposedEquipment0!$F8,References!$AF$3:$AF$34,0)))</f>
        <v/>
      </c>
      <c r="X8" s="110" t="str">
        <f>IF(D8="","",INDEX(References!$AT$3:$AT$34,MATCH(ProposedEquipment0!$F8,References!$AF$3:$AF$34,0)))</f>
        <v/>
      </c>
      <c r="Y8" s="177" t="str">
        <f>IF(D8="","",ROUND((I8*T8)/(1-W8)*(1-U8+V8),References!$B$4))</f>
        <v/>
      </c>
      <c r="Z8" s="179" t="str">
        <f>IF(D8="","",ROUND(J8/(1-X8)*(1-U8+V8),References!$B$5))</f>
        <v/>
      </c>
      <c r="AA8" s="385" t="str">
        <f>IF(D8="","",ROUND((K8)/(1-W8)*(1-U8+V8),References!$B$4))</f>
        <v/>
      </c>
      <c r="AB8" s="179" t="str">
        <f>IF(D8="","",ROUND(L8/(1-X8)*(1-U8+V8),References!$B$5))</f>
        <v/>
      </c>
      <c r="AC8" s="179" t="str">
        <f t="shared" si="7"/>
        <v/>
      </c>
      <c r="AD8" s="177" t="str">
        <f t="shared" si="8"/>
        <v/>
      </c>
      <c r="AE8" s="179" t="str">
        <f t="shared" si="9"/>
        <v/>
      </c>
      <c r="AF8" s="177" t="str">
        <f t="shared" si="10"/>
        <v/>
      </c>
      <c r="AG8" s="179" t="str">
        <f t="shared" si="11"/>
        <v/>
      </c>
      <c r="AH8" s="179" t="str">
        <f t="shared" si="12"/>
        <v/>
      </c>
      <c r="AI8" s="179" t="str">
        <f>IF(OR(References!$H$14="",AE8=""),"",IF(Qualifying_Index!CL33&gt;0,Qualifying_Index!CD33+Qualifying_Index!CL33,Qualifying_Index!CD33))</f>
        <v/>
      </c>
      <c r="AJ8" s="179" t="str">
        <f>IF(OR(References!$H$14="",AE8=""),"",IF(References!$J$37=FALSE,0,Qualifying_Index!CN33))</f>
        <v/>
      </c>
      <c r="AK8" s="156" t="str">
        <f>IF(OR(References!$H$14="",AE8=""),"",Qualifying_Index!CD33+Qualifying_Index!CN33)</f>
        <v/>
      </c>
      <c r="AL8" s="156" t="str">
        <f>IF(AE8="","",IF(Qualifying_Index!CI33&lt;0,Qualifying_Index!CC33,Qualifying_Index!CC33+Qualifying_Index!CI33))</f>
        <v/>
      </c>
      <c r="AM8" s="156" t="str">
        <f>IF('In Unit HVAC Worksheet'!I67="","",IF(Qualifying_Index!CI33&gt;0,Qualifying_Index!CJ33,Qualifying_Index!CJ33+Qualifying_Index!CI33))</f>
        <v/>
      </c>
      <c r="AN8" s="107" t="str">
        <f t="shared" si="13"/>
        <v/>
      </c>
      <c r="AQ8" t="str">
        <f>IF(D8="","",Admin!AE10)</f>
        <v/>
      </c>
      <c r="AR8" t="str">
        <f>IF(OR('In Unit HVAC Worksheet'!Z67="DNQ",'In Unit HVAC Worksheet'!Z67=""),"",ROUND(IF(AND(AQ8*0.7&lt;'In Unit HVAC Worksheet'!Z67,AQ8&gt;0),AQ8*0.7,'In Unit HVAC Worksheet'!Z67),0))</f>
        <v/>
      </c>
      <c r="AS8" t="str">
        <f>IF(OR('In Unit HVAC Worksheet'!Z67="DNQ",AU8=""),"",AR8*AU8)</f>
        <v/>
      </c>
      <c r="AT8">
        <f>IF('In Unit HVAC Worksheet'!AB67="DNQ","",'In Unit HVAC Worksheet'!AB67)</f>
        <v>0</v>
      </c>
      <c r="AU8" t="str">
        <f t="shared" si="14"/>
        <v/>
      </c>
      <c r="BM8" t="str">
        <f>IF(E8="","",Qualifying_Index!I33)</f>
        <v/>
      </c>
      <c r="BN8" t="str">
        <f>IF(F8="","",Qualifying_Index!J33)</f>
        <v/>
      </c>
      <c r="BO8" t="str">
        <f>IF(G8="","",Qualifying_Index!K33)</f>
        <v/>
      </c>
      <c r="BP8" s="155" t="str">
        <f>IF(E8="","",IF(References!H20&lt;&gt;"Electric",References!$M$37,""))</f>
        <v/>
      </c>
      <c r="BQ8" t="str">
        <f>IF(D8="","",IF(Qualifying_Index!BU33="PTHP",Qualifying_Index!K33,""))</f>
        <v/>
      </c>
      <c r="BR8" t="str">
        <f>IF(D8="","",Qualifying_Index!W33)</f>
        <v/>
      </c>
      <c r="BS8" t="str">
        <f>IF(D8="","",Qualifying_Index!V33)</f>
        <v/>
      </c>
      <c r="BT8" s="154" t="str">
        <f>IF(D8="","",IF(Qualifying_Index!BU33="PTHP",BU8*3.413,Qualifying_Index!X33))</f>
        <v/>
      </c>
      <c r="BU8" t="str">
        <f>IF(D8="","",IF(Qualifying_Index!BU33="PTHP",Qualifying_Index!X33,""))</f>
        <v/>
      </c>
      <c r="BV8" t="str">
        <f>IF(E8="","",Qualifying_Index!BX33)</f>
        <v/>
      </c>
      <c r="BW8" t="str">
        <f>IF(E8="","",Qualifying_Index!BY33)</f>
        <v/>
      </c>
      <c r="BX8" t="str">
        <f>IF(D8="","",'In Unit HVAC Worksheet'!G67)</f>
        <v/>
      </c>
      <c r="BY8" t="str">
        <f>IF(D8="","",'In Unit HVAC Worksheet'!I67)</f>
        <v/>
      </c>
      <c r="BZ8" s="147" t="str">
        <f>IF(D8="","",References!$H$14)</f>
        <v/>
      </c>
      <c r="CA8" t="str">
        <f>IF(E8="","",'In Unit HVAC Worksheet'!Y88)</f>
        <v/>
      </c>
      <c r="CB8" t="str">
        <f>IF(AU8="","",'In Unit HVAC Worksheet'!AA88)</f>
        <v/>
      </c>
      <c r="CC8" t="str">
        <f>IF($E8="","",'In Unit HVAC Worksheet'!C88)</f>
        <v/>
      </c>
      <c r="CD8" t="str">
        <f>IF($E8="","",'In Unit HVAC Worksheet'!E88)</f>
        <v/>
      </c>
      <c r="CE8" t="str">
        <f>IF($E8="","",'In Unit HVAC Worksheet'!G88)</f>
        <v/>
      </c>
      <c r="CF8" t="str">
        <f>IF(E8="","",'In Unit HVAC Worksheet'!I88)</f>
        <v/>
      </c>
      <c r="CG8" t="str">
        <f>IF(E8="","",'In Unit HVAC Worksheet'!K88)</f>
        <v/>
      </c>
      <c r="CH8" t="str">
        <f>IF(E8="","",'In Unit HVAC Worksheet'!M88)</f>
        <v/>
      </c>
      <c r="CI8" t="str">
        <f>IF(D8="","",'In Unit HVAC Worksheet'!T67/12000)</f>
        <v/>
      </c>
      <c r="CJ8" t="str">
        <f>IF($D8="","",'In Unit HVAC Worksheet'!T88)</f>
        <v/>
      </c>
      <c r="CK8" t="str">
        <f>IF($D8="","",'In Unit HVAC Worksheet'!W88)</f>
        <v/>
      </c>
      <c r="CL8" s="155" t="str">
        <f t="shared" si="15"/>
        <v/>
      </c>
      <c r="CN8" s="155" t="str">
        <f t="shared" si="16"/>
        <v/>
      </c>
      <c r="CO8" s="151" t="str">
        <f>IF($E8="","",IF(References!$A$15=FALSE,0,IF(NOT(ISERROR(SEARCH("Ductless Mini Split",'In Unit HVAC Worksheet'!C67,1))),0,Unit1_QI_CA)))</f>
        <v/>
      </c>
      <c r="CP8" s="110"/>
      <c r="CQ8" s="156" t="str">
        <f>IF($E8="","",IF(References!$A$15=FALSE,0,IF(NOT(ISERROR(SEARCH("Ductless Mini Split",'In Unit HVAC Worksheet'!C67,1))),0,Unit1_QI_kWh)))</f>
        <v/>
      </c>
      <c r="CT8" t="str">
        <f>IF(NOT(LEFT('In Unit HVAC Worksheet'!C67,3)="Geo"),"",INDEX(References!$M$49:$M$51,MATCH('In Unit HVAC Worksheet'!C67,References!$L$49:$L$51,0)))</f>
        <v/>
      </c>
      <c r="DW8" t="str">
        <f>IF(C8="","",'Customer Information'!$K$11)</f>
        <v/>
      </c>
    </row>
    <row r="9" spans="1:264" ht="14.15" customHeight="1">
      <c r="A9">
        <f t="shared" si="17"/>
        <v>8</v>
      </c>
      <c r="C9" t="str">
        <f>IF(OR('In Unit HVAC Worksheet'!$Z68="",'In Unit HVAC Worksheet'!$Z68="DNQ",'In Unit HVAC Worksheet'!$Z68="Missing Info"),"",INDEX(References!AH$3:AH$34,MATCH(Qualifying_Index!$E34,References!$AE$3:$AE$34,0)))</f>
        <v/>
      </c>
      <c r="D9" t="str">
        <f>IF(OR('In Unit HVAC Worksheet'!$Z68="",'In Unit HVAC Worksheet'!$Z68="DNQ",'In Unit HVAC Worksheet'!$I12="Missing Info"),"",INDEX(References!AG$3:AG$34,MATCH(Qualifying_Index!$E34,References!$AE$3:$AE$34,0)))</f>
        <v/>
      </c>
      <c r="E9" t="str">
        <f>IF(OR('In Unit HVAC Worksheet'!$Z68="",'In Unit HVAC Worksheet'!$Z68="DNQ",'In Unit HVAC Worksheet'!$Z68="Missing Info"),"",INDEX(References!AI$3:AI$34,MATCH(Qualifying_Index!$E34,References!$AE$3:$AE$34,0)))</f>
        <v/>
      </c>
      <c r="F9" t="str">
        <f>IF(D9="","",INDEX(References!$AF$3:$AF$34,MATCH(Qualifying_Index!$E34,References!$AE$3:$AE$34,0)))</f>
        <v/>
      </c>
      <c r="G9" t="str">
        <f>IF(D9="","",'Customer Information'!$L$43)</f>
        <v/>
      </c>
      <c r="H9" t="str">
        <f>IF(C9="","","Whole House ASHP and ER v"&amp;Development!$A$2)</f>
        <v/>
      </c>
      <c r="I9" s="178" t="str">
        <f>IF(E9="","",Qualifying_Index!CA34)</f>
        <v/>
      </c>
      <c r="J9" s="179" t="str">
        <f>IF(E9="","",Qualifying_Index!CB34+Qualifying_Index!CF34)</f>
        <v/>
      </c>
      <c r="K9" s="178" t="str">
        <f>IF(G9="","",IF(References!$I$37=TRUE,Qualifying_Index!CE34,Qualifying_Index!CG34))</f>
        <v/>
      </c>
      <c r="L9" s="179" t="str">
        <f>IF(G9="","",Qualifying_Index!CH34)</f>
        <v/>
      </c>
      <c r="M9" s="179" t="str">
        <f t="shared" si="0"/>
        <v/>
      </c>
      <c r="N9" s="110" t="str">
        <f t="shared" si="1"/>
        <v/>
      </c>
      <c r="O9" s="178" t="str">
        <f t="shared" si="2"/>
        <v/>
      </c>
      <c r="P9" s="179" t="str">
        <f t="shared" si="3"/>
        <v/>
      </c>
      <c r="Q9" s="178" t="str">
        <f t="shared" si="4"/>
        <v/>
      </c>
      <c r="R9" s="179" t="str">
        <f t="shared" si="5"/>
        <v/>
      </c>
      <c r="S9" s="179" t="str">
        <f t="shared" si="6"/>
        <v/>
      </c>
      <c r="T9" s="110" t="str">
        <f>IF($D9="","",INDEX(References!$AM$3:$AM$34,MATCH(ProposedEquipment0!$F9,References!$AF$3:$AF$34,0)))</f>
        <v/>
      </c>
      <c r="U9" s="110" t="str">
        <f>IF(D9="","",INDEX(References!$AQ$3:$AQ$34,MATCH(ProposedEquipment0!$F9,References!$AF$3:$AF$34,0)))</f>
        <v/>
      </c>
      <c r="V9" s="110" t="str">
        <f>IF(D9="","",INDEX(References!$AR$3:$AR$34,MATCH(ProposedEquipment0!$F9,References!$AF$3:$AF$34,0)))</f>
        <v/>
      </c>
      <c r="W9" s="110" t="str">
        <f>IF(D9="","",INDEX(References!$AS$3:$AS$34,MATCH(ProposedEquipment0!$F9,References!$AF$3:$AF$34,0)))</f>
        <v/>
      </c>
      <c r="X9" s="110" t="str">
        <f>IF(D9="","",INDEX(References!$AT$3:$AT$34,MATCH(ProposedEquipment0!$F9,References!$AF$3:$AF$34,0)))</f>
        <v/>
      </c>
      <c r="Y9" s="177" t="str">
        <f>IF(D9="","",ROUND((I9*T9)/(1-W9)*(1-U9+V9),References!$B$4))</f>
        <v/>
      </c>
      <c r="Z9" s="179" t="str">
        <f>IF(D9="","",ROUND(J9/(1-X9)*(1-U9+V9),References!$B$5))</f>
        <v/>
      </c>
      <c r="AA9" s="385" t="str">
        <f>IF(D9="","",ROUND((K9)/(1-W9)*(1-U9+V9),References!$B$4))</f>
        <v/>
      </c>
      <c r="AB9" s="179" t="str">
        <f>IF(D9="","",ROUND(L9/(1-X9)*(1-U9+V9),References!$B$5))</f>
        <v/>
      </c>
      <c r="AC9" s="179" t="str">
        <f t="shared" si="7"/>
        <v/>
      </c>
      <c r="AD9" s="177" t="str">
        <f t="shared" si="8"/>
        <v/>
      </c>
      <c r="AE9" s="179" t="str">
        <f t="shared" si="9"/>
        <v/>
      </c>
      <c r="AF9" s="177" t="str">
        <f t="shared" si="10"/>
        <v/>
      </c>
      <c r="AG9" s="179" t="str">
        <f t="shared" si="11"/>
        <v/>
      </c>
      <c r="AH9" s="179" t="str">
        <f t="shared" si="12"/>
        <v/>
      </c>
      <c r="AI9" s="179" t="str">
        <f>IF(OR(References!$H$14="",AE9=""),"",IF(Qualifying_Index!CL34&gt;0,Qualifying_Index!CD34+Qualifying_Index!CL34,Qualifying_Index!CD34))</f>
        <v/>
      </c>
      <c r="AJ9" s="179" t="str">
        <f>IF(OR(References!$H$14="",AE9=""),"",IF(References!$J$37=FALSE,0,Qualifying_Index!CN34))</f>
        <v/>
      </c>
      <c r="AK9" s="156" t="str">
        <f>IF(OR(References!$H$14="",AE9=""),"",Qualifying_Index!CD34+Qualifying_Index!CN34)</f>
        <v/>
      </c>
      <c r="AL9" s="156" t="str">
        <f>IF(AE9="","",IF(Qualifying_Index!CI34&lt;0,Qualifying_Index!CC34,Qualifying_Index!CC34+Qualifying_Index!CI34))</f>
        <v/>
      </c>
      <c r="AM9" s="156" t="str">
        <f>IF('In Unit HVAC Worksheet'!I68="","",IF(Qualifying_Index!CI34&gt;0,Qualifying_Index!CJ34,Qualifying_Index!CJ34+Qualifying_Index!CI34))</f>
        <v/>
      </c>
      <c r="AN9" s="107" t="str">
        <f t="shared" si="13"/>
        <v/>
      </c>
      <c r="AQ9" t="str">
        <f>IF(D9="","",Admin!AE11)</f>
        <v/>
      </c>
      <c r="AR9" t="str">
        <f>IF(OR('In Unit HVAC Worksheet'!Z68="DNQ",'In Unit HVAC Worksheet'!Z68=""),"",ROUND(IF(AND(AQ9*0.7&lt;'In Unit HVAC Worksheet'!Z68,AQ9&gt;0),AQ9*0.7,'In Unit HVAC Worksheet'!Z68),0))</f>
        <v/>
      </c>
      <c r="AS9" t="str">
        <f>IF(OR('In Unit HVAC Worksheet'!Z68="DNQ",AU9=""),"",AR9*AU9)</f>
        <v/>
      </c>
      <c r="AT9">
        <f>IF('In Unit HVAC Worksheet'!AB68="DNQ","",'In Unit HVAC Worksheet'!AB68)</f>
        <v>0</v>
      </c>
      <c r="AU9" t="str">
        <f t="shared" si="14"/>
        <v/>
      </c>
      <c r="BM9" t="str">
        <f>IF(E9="","",Qualifying_Index!I34)</f>
        <v/>
      </c>
      <c r="BN9" t="str">
        <f>IF(F9="","",Qualifying_Index!J34)</f>
        <v/>
      </c>
      <c r="BO9" t="str">
        <f>IF(G9="","",Qualifying_Index!K34)</f>
        <v/>
      </c>
      <c r="BP9" s="155" t="str">
        <f>IF(E9="","",IF(References!H21&lt;&gt;"Electric",References!$M$37,""))</f>
        <v/>
      </c>
      <c r="BQ9" t="str">
        <f>IF(D9="","",IF(Qualifying_Index!BU34="PTHP",Qualifying_Index!K34,""))</f>
        <v/>
      </c>
      <c r="BR9" t="str">
        <f>IF(D9="","",Qualifying_Index!W34)</f>
        <v/>
      </c>
      <c r="BS9" t="str">
        <f>IF(D9="","",Qualifying_Index!V34)</f>
        <v/>
      </c>
      <c r="BT9" s="154" t="str">
        <f>IF(D9="","",IF(Qualifying_Index!BU34="PTHP",BU9*3.413,Qualifying_Index!X34))</f>
        <v/>
      </c>
      <c r="BU9" t="str">
        <f>IF(D9="","",IF(Qualifying_Index!BU34="PTHP",Qualifying_Index!X34,""))</f>
        <v/>
      </c>
      <c r="BV9" t="str">
        <f>IF(E9="","",Qualifying_Index!BX34)</f>
        <v/>
      </c>
      <c r="BW9" t="str">
        <f>IF(E9="","",Qualifying_Index!BY34)</f>
        <v/>
      </c>
      <c r="BX9" t="str">
        <f>IF(D9="","",'In Unit HVAC Worksheet'!G68)</f>
        <v/>
      </c>
      <c r="BY9" t="str">
        <f>IF(D9="","",'In Unit HVAC Worksheet'!I68)</f>
        <v/>
      </c>
      <c r="BZ9" s="147" t="str">
        <f>IF(D9="","",References!$H$14)</f>
        <v/>
      </c>
      <c r="CA9" t="str">
        <f>IF(E9="","",'In Unit HVAC Worksheet'!Y89)</f>
        <v/>
      </c>
      <c r="CB9" t="str">
        <f>IF(AU9="","",'In Unit HVAC Worksheet'!AA89)</f>
        <v/>
      </c>
      <c r="CC9" t="str">
        <f>IF($E9="","",'In Unit HVAC Worksheet'!C89)</f>
        <v/>
      </c>
      <c r="CD9" t="str">
        <f>IF($E9="","",'In Unit HVAC Worksheet'!E89)</f>
        <v/>
      </c>
      <c r="CE9" t="str">
        <f>IF($E9="","",'In Unit HVAC Worksheet'!G89)</f>
        <v/>
      </c>
      <c r="CF9" t="str">
        <f>IF(E9="","",'In Unit HVAC Worksheet'!I89)</f>
        <v/>
      </c>
      <c r="CG9" t="str">
        <f>IF(E9="","",'In Unit HVAC Worksheet'!K89)</f>
        <v/>
      </c>
      <c r="CH9" t="str">
        <f>IF(E9="","",'In Unit HVAC Worksheet'!M89)</f>
        <v/>
      </c>
      <c r="CI9" t="str">
        <f>IF(D9="","",'In Unit HVAC Worksheet'!T68/12000)</f>
        <v/>
      </c>
      <c r="CJ9" t="str">
        <f>IF($D9="","",'In Unit HVAC Worksheet'!T89)</f>
        <v/>
      </c>
      <c r="CK9" t="str">
        <f>IF($D9="","",'In Unit HVAC Worksheet'!W89)</f>
        <v/>
      </c>
      <c r="CL9" s="155" t="str">
        <f t="shared" si="15"/>
        <v/>
      </c>
      <c r="CN9" s="155" t="str">
        <f t="shared" si="16"/>
        <v/>
      </c>
      <c r="CO9" s="151" t="str">
        <f>IF($E9="","",IF(References!$A$15=FALSE,0,IF(NOT(ISERROR(SEARCH("Ductless Mini Split",'In Unit HVAC Worksheet'!C68,1))),0,Unit1_QI_CA)))</f>
        <v/>
      </c>
      <c r="CP9" s="110"/>
      <c r="CQ9" s="156" t="str">
        <f>IF($E9="","",IF(References!$A$15=FALSE,0,IF(NOT(ISERROR(SEARCH("Ductless Mini Split",'In Unit HVAC Worksheet'!C68,1))),0,Unit1_QI_kWh)))</f>
        <v/>
      </c>
      <c r="CT9" t="str">
        <f>IF(NOT(LEFT('In Unit HVAC Worksheet'!C68,3)="Geo"),"",INDEX(References!$M$49:$M$51,MATCH('In Unit HVAC Worksheet'!C68,References!$L$49:$L$51,0)))</f>
        <v/>
      </c>
      <c r="DW9" t="str">
        <f>IF(C9="","",'Customer Information'!$K$11)</f>
        <v/>
      </c>
    </row>
    <row r="10" spans="1:264" ht="14.15" customHeight="1">
      <c r="A10">
        <f t="shared" si="17"/>
        <v>9</v>
      </c>
      <c r="C10" t="str">
        <f>IF(OR('In Unit HVAC Worksheet'!$Z69="",'In Unit HVAC Worksheet'!$Z69="DNQ",'In Unit HVAC Worksheet'!$Z69="Missing Info"),"",INDEX(References!AH$3:AH$34,MATCH(Qualifying_Index!$E35,References!$AE$3:$AE$34,0)))</f>
        <v/>
      </c>
      <c r="D10" t="str">
        <f>IF(OR('In Unit HVAC Worksheet'!$Z69="",'In Unit HVAC Worksheet'!$Z69="DNQ",'In Unit HVAC Worksheet'!$I13="Missing Info"),"",INDEX(References!AG$3:AG$34,MATCH(Qualifying_Index!$E35,References!$AE$3:$AE$34,0)))</f>
        <v/>
      </c>
      <c r="E10" t="str">
        <f>IF(OR('In Unit HVAC Worksheet'!$Z69="",'In Unit HVAC Worksheet'!$Z69="DNQ",'In Unit HVAC Worksheet'!$Z69="Missing Info"),"",INDEX(References!AI$3:AI$34,MATCH(Qualifying_Index!$E35,References!$AE$3:$AE$34,0)))</f>
        <v/>
      </c>
      <c r="F10" t="str">
        <f>IF(D10="","",INDEX(References!$AF$3:$AF$34,MATCH(Qualifying_Index!$E35,References!$AE$3:$AE$34,0)))</f>
        <v/>
      </c>
      <c r="G10" t="str">
        <f>IF(D10="","",'Customer Information'!$L$43)</f>
        <v/>
      </c>
      <c r="H10" t="str">
        <f>IF(C10="","","Whole House ASHP and ER v"&amp;Development!$A$2)</f>
        <v/>
      </c>
      <c r="I10" s="178" t="str">
        <f>IF(E10="","",Qualifying_Index!CA35)</f>
        <v/>
      </c>
      <c r="J10" s="179" t="str">
        <f>IF(E10="","",Qualifying_Index!CB35+Qualifying_Index!CF35)</f>
        <v/>
      </c>
      <c r="K10" s="178" t="str">
        <f>IF(G10="","",IF(References!$I$37=TRUE,Qualifying_Index!CE35,Qualifying_Index!CG35))</f>
        <v/>
      </c>
      <c r="L10" s="179" t="str">
        <f>IF(G10="","",Qualifying_Index!CH35)</f>
        <v/>
      </c>
      <c r="M10" s="179" t="str">
        <f t="shared" si="0"/>
        <v/>
      </c>
      <c r="N10" s="110" t="str">
        <f t="shared" si="1"/>
        <v/>
      </c>
      <c r="O10" s="178" t="str">
        <f t="shared" si="2"/>
        <v/>
      </c>
      <c r="P10" s="179" t="str">
        <f t="shared" si="3"/>
        <v/>
      </c>
      <c r="Q10" s="178" t="str">
        <f t="shared" si="4"/>
        <v/>
      </c>
      <c r="R10" s="179" t="str">
        <f t="shared" si="5"/>
        <v/>
      </c>
      <c r="S10" s="179" t="str">
        <f t="shared" si="6"/>
        <v/>
      </c>
      <c r="T10" s="110" t="str">
        <f>IF($D10="","",INDEX(References!$AM$3:$AM$34,MATCH(ProposedEquipment0!$F10,References!$AF$3:$AF$34,0)))</f>
        <v/>
      </c>
      <c r="U10" s="110" t="str">
        <f>IF(D10="","",INDEX(References!$AQ$3:$AQ$34,MATCH(ProposedEquipment0!$F10,References!$AF$3:$AF$34,0)))</f>
        <v/>
      </c>
      <c r="V10" s="110" t="str">
        <f>IF(D10="","",INDEX(References!$AR$3:$AR$34,MATCH(ProposedEquipment0!$F10,References!$AF$3:$AF$34,0)))</f>
        <v/>
      </c>
      <c r="W10" s="110" t="str">
        <f>IF(D10="","",INDEX(References!$AS$3:$AS$34,MATCH(ProposedEquipment0!$F10,References!$AF$3:$AF$34,0)))</f>
        <v/>
      </c>
      <c r="X10" s="110" t="str">
        <f>IF(D10="","",INDEX(References!$AT$3:$AT$34,MATCH(ProposedEquipment0!$F10,References!$AF$3:$AF$34,0)))</f>
        <v/>
      </c>
      <c r="Y10" s="177" t="str">
        <f>IF(D10="","",ROUND((I10*T10)/(1-W10)*(1-U10+V10),References!$B$4))</f>
        <v/>
      </c>
      <c r="Z10" s="179" t="str">
        <f>IF(D10="","",ROUND(J10/(1-X10)*(1-U10+V10),References!$B$5))</f>
        <v/>
      </c>
      <c r="AA10" s="385" t="str">
        <f>IF(D10="","",ROUND((K10)/(1-W10)*(1-U10+V10),References!$B$4))</f>
        <v/>
      </c>
      <c r="AB10" s="179" t="str">
        <f>IF(D10="","",ROUND(L10/(1-X10)*(1-U10+V10),References!$B$5))</f>
        <v/>
      </c>
      <c r="AC10" s="179" t="str">
        <f t="shared" si="7"/>
        <v/>
      </c>
      <c r="AD10" s="177" t="str">
        <f t="shared" si="8"/>
        <v/>
      </c>
      <c r="AE10" s="179" t="str">
        <f t="shared" si="9"/>
        <v/>
      </c>
      <c r="AF10" s="177" t="str">
        <f t="shared" si="10"/>
        <v/>
      </c>
      <c r="AG10" s="179" t="str">
        <f t="shared" si="11"/>
        <v/>
      </c>
      <c r="AH10" s="179" t="str">
        <f t="shared" si="12"/>
        <v/>
      </c>
      <c r="AI10" s="179" t="str">
        <f>IF(OR(References!$H$14="",AE10=""),"",IF(Qualifying_Index!CL35&gt;0,Qualifying_Index!CD35+Qualifying_Index!CL35,Qualifying_Index!CD35))</f>
        <v/>
      </c>
      <c r="AJ10" s="179" t="str">
        <f>IF(OR(References!$H$14="",AE10=""),"",IF(References!$J$37=FALSE,0,Qualifying_Index!CN35))</f>
        <v/>
      </c>
      <c r="AK10" s="156" t="str">
        <f>IF(OR(References!$H$14="",AE10=""),"",Qualifying_Index!CD35+Qualifying_Index!CN35)</f>
        <v/>
      </c>
      <c r="AL10" s="156" t="str">
        <f>IF(AE10="","",IF(Qualifying_Index!CI35&lt;0,Qualifying_Index!CC35,Qualifying_Index!CC35+Qualifying_Index!CI35))</f>
        <v/>
      </c>
      <c r="AM10" s="156" t="str">
        <f>IF('In Unit HVAC Worksheet'!I69="","",IF(Qualifying_Index!CI35&gt;0,Qualifying_Index!CJ35,Qualifying_Index!CJ35+Qualifying_Index!CI35))</f>
        <v/>
      </c>
      <c r="AN10" s="107" t="str">
        <f t="shared" si="13"/>
        <v/>
      </c>
      <c r="AQ10" t="str">
        <f>IF(D10="","",Admin!AE12)</f>
        <v/>
      </c>
      <c r="AR10" t="str">
        <f>IF(OR('In Unit HVAC Worksheet'!Z69="DNQ",'In Unit HVAC Worksheet'!Z69=""),"",ROUND(IF(AND(AQ10*0.7&lt;'In Unit HVAC Worksheet'!Z69,AQ10&gt;0),AQ10*0.7,'In Unit HVAC Worksheet'!Z69),0))</f>
        <v/>
      </c>
      <c r="AS10" t="str">
        <f>IF(OR('In Unit HVAC Worksheet'!Z69="DNQ",AU10=""),"",AR10*AU10)</f>
        <v/>
      </c>
      <c r="AT10">
        <f>IF('In Unit HVAC Worksheet'!AB69="DNQ","",'In Unit HVAC Worksheet'!AB69)</f>
        <v>0</v>
      </c>
      <c r="AU10" t="str">
        <f t="shared" si="14"/>
        <v/>
      </c>
      <c r="BM10" t="str">
        <f>IF(E10="","",Qualifying_Index!I35)</f>
        <v/>
      </c>
      <c r="BN10" t="str">
        <f>IF(F10="","",Qualifying_Index!J35)</f>
        <v/>
      </c>
      <c r="BO10" t="str">
        <f>IF(G10="","",Qualifying_Index!K35)</f>
        <v/>
      </c>
      <c r="BP10" s="155" t="str">
        <f>IF(E10="","",IF(References!H22&lt;&gt;"Electric",References!$M$37,""))</f>
        <v/>
      </c>
      <c r="BQ10" t="str">
        <f>IF(D10="","",IF(Qualifying_Index!BU35="PTHP",Qualifying_Index!K35,""))</f>
        <v/>
      </c>
      <c r="BR10" t="str">
        <f>IF(D10="","",Qualifying_Index!W35)</f>
        <v/>
      </c>
      <c r="BS10" t="str">
        <f>IF(D10="","",Qualifying_Index!V35)</f>
        <v/>
      </c>
      <c r="BT10" s="154" t="str">
        <f>IF(D10="","",IF(Qualifying_Index!BU35="PTHP",BU10*3.413,Qualifying_Index!X35))</f>
        <v/>
      </c>
      <c r="BU10" t="str">
        <f>IF(D10="","",IF(Qualifying_Index!BU35="PTHP",Qualifying_Index!X35,""))</f>
        <v/>
      </c>
      <c r="BV10" t="str">
        <f>IF(E10="","",Qualifying_Index!BX35)</f>
        <v/>
      </c>
      <c r="BW10" t="str">
        <f>IF(E10="","",Qualifying_Index!BY35)</f>
        <v/>
      </c>
      <c r="BX10" t="str">
        <f>IF(D10="","",'In Unit HVAC Worksheet'!G69)</f>
        <v/>
      </c>
      <c r="BY10" t="str">
        <f>IF(D10="","",'In Unit HVAC Worksheet'!I69)</f>
        <v/>
      </c>
      <c r="BZ10" s="147" t="str">
        <f>IF(D10="","",References!$H$14)</f>
        <v/>
      </c>
      <c r="CA10" t="str">
        <f>IF(E10="","",'In Unit HVAC Worksheet'!Y90)</f>
        <v/>
      </c>
      <c r="CB10" t="str">
        <f>IF(AU10="","",'In Unit HVAC Worksheet'!AA90)</f>
        <v/>
      </c>
      <c r="CC10" t="str">
        <f>IF($E10="","",'In Unit HVAC Worksheet'!C90)</f>
        <v/>
      </c>
      <c r="CD10" t="str">
        <f>IF($E10="","",'In Unit HVAC Worksheet'!E90)</f>
        <v/>
      </c>
      <c r="CE10" t="str">
        <f>IF($E10="","",'In Unit HVAC Worksheet'!G90)</f>
        <v/>
      </c>
      <c r="CF10" t="str">
        <f>IF(E10="","",'In Unit HVAC Worksheet'!I90)</f>
        <v/>
      </c>
      <c r="CG10" t="str">
        <f>IF(E10="","",'In Unit HVAC Worksheet'!K90)</f>
        <v/>
      </c>
      <c r="CH10" t="str">
        <f>IF(E10="","",'In Unit HVAC Worksheet'!M90)</f>
        <v/>
      </c>
      <c r="CI10" t="str">
        <f>IF(D10="","",'In Unit HVAC Worksheet'!T69/12000)</f>
        <v/>
      </c>
      <c r="CJ10" t="str">
        <f>IF($D10="","",'In Unit HVAC Worksheet'!T90)</f>
        <v/>
      </c>
      <c r="CK10" t="str">
        <f>IF($D10="","",'In Unit HVAC Worksheet'!W90)</f>
        <v/>
      </c>
      <c r="CL10" s="155" t="str">
        <f t="shared" si="15"/>
        <v/>
      </c>
      <c r="CN10" s="155" t="str">
        <f t="shared" si="16"/>
        <v/>
      </c>
      <c r="CO10" s="151" t="str">
        <f>IF($E10="","",IF(References!$A$15=FALSE,0,IF(NOT(ISERROR(SEARCH("Ductless Mini Split",'In Unit HVAC Worksheet'!C69,1))),0,Unit1_QI_CA)))</f>
        <v/>
      </c>
      <c r="CP10" s="110"/>
      <c r="CQ10" s="156" t="str">
        <f>IF($E10="","",IF(References!$A$15=FALSE,0,IF(NOT(ISERROR(SEARCH("Ductless Mini Split",'In Unit HVAC Worksheet'!C69,1))),0,Unit1_QI_kWh)))</f>
        <v/>
      </c>
      <c r="CT10" t="str">
        <f>IF(NOT(LEFT('In Unit HVAC Worksheet'!C69,3)="Geo"),"",INDEX(References!$M$49:$M$51,MATCH('In Unit HVAC Worksheet'!C69,References!$L$49:$L$51,0)))</f>
        <v/>
      </c>
      <c r="DW10" t="str">
        <f>IF(C10="","",'Customer Information'!$K$11)</f>
        <v/>
      </c>
    </row>
    <row r="11" spans="1:264" ht="14.15" customHeight="1">
      <c r="A11">
        <f t="shared" si="17"/>
        <v>10</v>
      </c>
      <c r="C11" t="str">
        <f>IF(OR('In Unit HVAC Worksheet'!$Z70="",'In Unit HVAC Worksheet'!$Z70="DNQ",'In Unit HVAC Worksheet'!$Z70="Missing Info"),"",INDEX(References!AH$3:AH$34,MATCH(Qualifying_Index!$E36,References!$AE$3:$AE$34,0)))</f>
        <v/>
      </c>
      <c r="D11" t="str">
        <f>IF(OR('In Unit HVAC Worksheet'!$Z70="",'In Unit HVAC Worksheet'!$Z70="DNQ",'In Unit HVAC Worksheet'!$I14="Missing Info"),"",INDEX(References!AG$3:AG$34,MATCH(Qualifying_Index!$E36,References!$AE$3:$AE$34,0)))</f>
        <v/>
      </c>
      <c r="E11" t="str">
        <f>IF(OR('In Unit HVAC Worksheet'!$Z70="",'In Unit HVAC Worksheet'!$Z70="DNQ",'In Unit HVAC Worksheet'!$Z70="Missing Info"),"",INDEX(References!AI$3:AI$34,MATCH(Qualifying_Index!$E36,References!$AE$3:$AE$34,0)))</f>
        <v/>
      </c>
      <c r="F11" t="str">
        <f>IF(D11="","",INDEX(References!$AF$3:$AF$34,MATCH(Qualifying_Index!$E36,References!$AE$3:$AE$34,0)))</f>
        <v/>
      </c>
      <c r="G11" t="str">
        <f>IF(D11="","",'Customer Information'!$L$43)</f>
        <v/>
      </c>
      <c r="H11" t="str">
        <f>IF(C11="","","Whole House ASHP and ER v"&amp;Development!$A$2)</f>
        <v/>
      </c>
      <c r="I11" s="178" t="str">
        <f>IF(E11="","",Qualifying_Index!CA36)</f>
        <v/>
      </c>
      <c r="J11" s="179" t="str">
        <f>IF(E11="","",Qualifying_Index!CB36+Qualifying_Index!CF36)</f>
        <v/>
      </c>
      <c r="K11" s="178" t="str">
        <f>IF(G11="","",IF(References!$I$37=TRUE,Qualifying_Index!CE36,Qualifying_Index!CG36))</f>
        <v/>
      </c>
      <c r="L11" s="179" t="str">
        <f>IF(G11="","",Qualifying_Index!CH36)</f>
        <v/>
      </c>
      <c r="M11" s="179" t="str">
        <f t="shared" si="0"/>
        <v/>
      </c>
      <c r="N11" s="110" t="str">
        <f t="shared" si="1"/>
        <v/>
      </c>
      <c r="O11" s="178" t="str">
        <f t="shared" si="2"/>
        <v/>
      </c>
      <c r="P11" s="179" t="str">
        <f t="shared" si="3"/>
        <v/>
      </c>
      <c r="Q11" s="178" t="str">
        <f t="shared" si="4"/>
        <v/>
      </c>
      <c r="R11" s="179" t="str">
        <f t="shared" si="5"/>
        <v/>
      </c>
      <c r="S11" s="179" t="str">
        <f t="shared" si="6"/>
        <v/>
      </c>
      <c r="T11" s="110" t="str">
        <f>IF($D11="","",INDEX(References!$AM$3:$AM$34,MATCH(ProposedEquipment0!$F11,References!$AF$3:$AF$34,0)))</f>
        <v/>
      </c>
      <c r="U11" s="110" t="str">
        <f>IF(D11="","",INDEX(References!$AQ$3:$AQ$34,MATCH(ProposedEquipment0!$F11,References!$AF$3:$AF$34,0)))</f>
        <v/>
      </c>
      <c r="V11" s="110" t="str">
        <f>IF(D11="","",INDEX(References!$AR$3:$AR$34,MATCH(ProposedEquipment0!$F11,References!$AF$3:$AF$34,0)))</f>
        <v/>
      </c>
      <c r="W11" s="110" t="str">
        <f>IF(D11="","",INDEX(References!$AS$3:$AS$34,MATCH(ProposedEquipment0!$F11,References!$AF$3:$AF$34,0)))</f>
        <v/>
      </c>
      <c r="X11" s="110" t="str">
        <f>IF(D11="","",INDEX(References!$AT$3:$AT$34,MATCH(ProposedEquipment0!$F11,References!$AF$3:$AF$34,0)))</f>
        <v/>
      </c>
      <c r="Y11" s="177" t="str">
        <f>IF(D11="","",ROUND((I11*T11)/(1-W11)*(1-U11+V11),References!$B$4))</f>
        <v/>
      </c>
      <c r="Z11" s="179" t="str">
        <f>IF(D11="","",ROUND(J11/(1-X11)*(1-U11+V11),References!$B$5))</f>
        <v/>
      </c>
      <c r="AA11" s="385" t="str">
        <f>IF(D11="","",ROUND((K11)/(1-W11)*(1-U11+V11),References!$B$4))</f>
        <v/>
      </c>
      <c r="AB11" s="179" t="str">
        <f>IF(D11="","",ROUND(L11/(1-X11)*(1-U11+V11),References!$B$5))</f>
        <v/>
      </c>
      <c r="AC11" s="179" t="str">
        <f t="shared" si="7"/>
        <v/>
      </c>
      <c r="AD11" s="177" t="str">
        <f t="shared" si="8"/>
        <v/>
      </c>
      <c r="AE11" s="179" t="str">
        <f t="shared" si="9"/>
        <v/>
      </c>
      <c r="AF11" s="177" t="str">
        <f t="shared" si="10"/>
        <v/>
      </c>
      <c r="AG11" s="179" t="str">
        <f t="shared" si="11"/>
        <v/>
      </c>
      <c r="AH11" s="179" t="str">
        <f t="shared" si="12"/>
        <v/>
      </c>
      <c r="AI11" s="179" t="str">
        <f>IF(OR(References!$H$14="",AE11=""),"",IF(Qualifying_Index!CL36&gt;0,Qualifying_Index!CD36+Qualifying_Index!CL36,Qualifying_Index!CD36))</f>
        <v/>
      </c>
      <c r="AJ11" s="179" t="str">
        <f>IF(OR(References!$H$14="",AE11=""),"",IF(References!$J$37=FALSE,0,Qualifying_Index!CN36))</f>
        <v/>
      </c>
      <c r="AK11" s="156" t="str">
        <f>IF(OR(References!$H$14="",AE11=""),"",Qualifying_Index!CD36+Qualifying_Index!CN36)</f>
        <v/>
      </c>
      <c r="AL11" s="156" t="str">
        <f>IF(AE11="","",IF(Qualifying_Index!CI36&lt;0,Qualifying_Index!CC36,Qualifying_Index!CC36+Qualifying_Index!CI36))</f>
        <v/>
      </c>
      <c r="AM11" s="156" t="str">
        <f>IF('In Unit HVAC Worksheet'!I70="","",IF(Qualifying_Index!CI36&gt;0,Qualifying_Index!CJ36,Qualifying_Index!CJ36+Qualifying_Index!CI36))</f>
        <v/>
      </c>
      <c r="AN11" s="107" t="str">
        <f t="shared" si="13"/>
        <v/>
      </c>
      <c r="AQ11" t="str">
        <f>IF(D11="","",Admin!AE13)</f>
        <v/>
      </c>
      <c r="AR11" t="str">
        <f>IF(OR('In Unit HVAC Worksheet'!Z70="DNQ",'In Unit HVAC Worksheet'!Z70=""),"",ROUND(IF(AND(AQ11*0.7&lt;'In Unit HVAC Worksheet'!Z70,AQ11&gt;0),AQ11*0.7,'In Unit HVAC Worksheet'!Z70),0))</f>
        <v/>
      </c>
      <c r="AS11" t="str">
        <f>IF(OR('In Unit HVAC Worksheet'!Z70="DNQ",AU11=""),"",AR11*AU11)</f>
        <v/>
      </c>
      <c r="AT11">
        <f>IF('In Unit HVAC Worksheet'!AB70="DNQ","",'In Unit HVAC Worksheet'!AB70)</f>
        <v>0</v>
      </c>
      <c r="AU11" t="str">
        <f t="shared" si="14"/>
        <v/>
      </c>
      <c r="BM11" t="str">
        <f>IF(E11="","",Qualifying_Index!I36)</f>
        <v/>
      </c>
      <c r="BN11" t="str">
        <f>IF(F11="","",Qualifying_Index!J36)</f>
        <v/>
      </c>
      <c r="BO11" t="str">
        <f>IF(G11="","",Qualifying_Index!K36)</f>
        <v/>
      </c>
      <c r="BP11" s="155" t="str">
        <f>IF(E11="","",IF(References!H23&lt;&gt;"Electric",References!$M$37,""))</f>
        <v/>
      </c>
      <c r="BQ11" t="str">
        <f>IF(D11="","",IF(Qualifying_Index!BU36="PTHP",Qualifying_Index!K36,""))</f>
        <v/>
      </c>
      <c r="BR11" t="str">
        <f>IF(D11="","",Qualifying_Index!W36)</f>
        <v/>
      </c>
      <c r="BS11" t="str">
        <f>IF(D11="","",Qualifying_Index!V36)</f>
        <v/>
      </c>
      <c r="BT11" s="154" t="str">
        <f>IF(D11="","",IF(Qualifying_Index!BU36="PTHP",BU11*3.413,Qualifying_Index!X36))</f>
        <v/>
      </c>
      <c r="BU11" t="str">
        <f>IF(D11="","",IF(Qualifying_Index!BU36="PTHP",Qualifying_Index!X36,""))</f>
        <v/>
      </c>
      <c r="BV11" t="str">
        <f>IF(E11="","",Qualifying_Index!BX36)</f>
        <v/>
      </c>
      <c r="BW11" t="str">
        <f>IF(E11="","",Qualifying_Index!BY36)</f>
        <v/>
      </c>
      <c r="BX11" t="str">
        <f>IF(D11="","",'In Unit HVAC Worksheet'!G70)</f>
        <v/>
      </c>
      <c r="BY11" t="str">
        <f>IF(D11="","",'In Unit HVAC Worksheet'!I70)</f>
        <v/>
      </c>
      <c r="BZ11" s="147" t="str">
        <f>IF(D11="","",References!$H$14)</f>
        <v/>
      </c>
      <c r="CA11" t="str">
        <f>IF(E11="","",'In Unit HVAC Worksheet'!Y91)</f>
        <v/>
      </c>
      <c r="CB11" t="str">
        <f>IF(AU11="","",'In Unit HVAC Worksheet'!AA91)</f>
        <v/>
      </c>
      <c r="CC11" t="str">
        <f>IF($E11="","",'In Unit HVAC Worksheet'!C91)</f>
        <v/>
      </c>
      <c r="CD11" t="str">
        <f>IF($E11="","",'In Unit HVAC Worksheet'!E91)</f>
        <v/>
      </c>
      <c r="CE11" t="str">
        <f>IF($E11="","",'In Unit HVAC Worksheet'!G91)</f>
        <v/>
      </c>
      <c r="CF11" t="str">
        <f>IF(E11="","",'In Unit HVAC Worksheet'!I91)</f>
        <v/>
      </c>
      <c r="CG11" t="str">
        <f>IF(E11="","",'In Unit HVAC Worksheet'!K91)</f>
        <v/>
      </c>
      <c r="CH11" t="str">
        <f>IF(E11="","",'In Unit HVAC Worksheet'!M91)</f>
        <v/>
      </c>
      <c r="CI11" t="str">
        <f>IF(D11="","",'In Unit HVAC Worksheet'!T70/12000)</f>
        <v/>
      </c>
      <c r="CJ11" t="str">
        <f>IF($D11="","",'In Unit HVAC Worksheet'!T91)</f>
        <v/>
      </c>
      <c r="CK11" t="str">
        <f>IF($D11="","",'In Unit HVAC Worksheet'!W91)</f>
        <v/>
      </c>
      <c r="CL11" s="155" t="str">
        <f t="shared" si="15"/>
        <v/>
      </c>
      <c r="CN11" s="155" t="str">
        <f t="shared" si="16"/>
        <v/>
      </c>
      <c r="CO11" s="151" t="str">
        <f>IF($E11="","",IF(References!$A$15=FALSE,0,IF(NOT(ISERROR(SEARCH("Ductless Mini Split",'In Unit HVAC Worksheet'!C70,1))),0,Unit1_QI_CA)))</f>
        <v/>
      </c>
      <c r="CP11" s="110"/>
      <c r="CQ11" s="156" t="str">
        <f>IF($E11="","",IF(References!$A$15=FALSE,0,IF(NOT(ISERROR(SEARCH("Ductless Mini Split",'In Unit HVAC Worksheet'!C70,1))),0,Unit1_QI_kWh)))</f>
        <v/>
      </c>
      <c r="CT11" t="str">
        <f>IF(NOT(LEFT('In Unit HVAC Worksheet'!C70,3)="Geo"),"",INDEX(References!$M$49:$M$51,MATCH('In Unit HVAC Worksheet'!C70,References!$L$49:$L$51,0)))</f>
        <v/>
      </c>
      <c r="DW11" t="str">
        <f>IF(C11="","",'Customer Information'!$K$11)</f>
        <v/>
      </c>
    </row>
    <row r="12" spans="1:264" ht="3" customHeight="1">
      <c r="I12" s="178"/>
      <c r="J12" s="179"/>
      <c r="K12" s="179"/>
      <c r="L12" s="179"/>
      <c r="M12" s="179"/>
      <c r="N12" s="110"/>
      <c r="O12" s="178"/>
      <c r="P12" s="179"/>
      <c r="Q12" s="178" t="str">
        <f t="shared" si="4"/>
        <v/>
      </c>
      <c r="R12" s="179"/>
      <c r="S12" s="179"/>
      <c r="T12" s="110"/>
      <c r="U12" s="110"/>
      <c r="V12" s="110"/>
      <c r="W12" s="110"/>
      <c r="X12" s="110"/>
      <c r="Y12" s="177"/>
      <c r="Z12" s="179"/>
      <c r="AA12" s="179"/>
      <c r="AB12" s="179"/>
      <c r="AC12" s="179"/>
      <c r="AD12" s="177"/>
      <c r="AE12" s="179"/>
      <c r="AF12" s="179"/>
      <c r="AG12" s="179"/>
      <c r="AH12" s="179"/>
      <c r="AI12" s="179"/>
      <c r="AJ12" s="179"/>
      <c r="AK12" s="156"/>
      <c r="AL12" s="156"/>
      <c r="AM12" s="156"/>
      <c r="AN12" s="107"/>
      <c r="BZ12" s="147"/>
      <c r="CL12" s="155"/>
      <c r="CN12" s="155"/>
      <c r="CO12" s="151"/>
      <c r="CP12" s="110"/>
      <c r="CQ12" s="156"/>
      <c r="DT12" s="110"/>
      <c r="DU12" s="110"/>
      <c r="DV12" s="110"/>
      <c r="DX12" s="110"/>
      <c r="FB12" s="110"/>
      <c r="FC12" s="110"/>
      <c r="FD12" s="110"/>
      <c r="FE12" s="110"/>
      <c r="FF12" s="110"/>
      <c r="GJ12" s="110"/>
      <c r="GK12" s="110"/>
      <c r="GL12" s="110"/>
      <c r="GM12" s="110"/>
      <c r="GN12" s="110"/>
      <c r="HR12" s="110"/>
      <c r="HS12" s="110"/>
      <c r="HT12" s="110"/>
      <c r="HU12" s="110"/>
      <c r="HV12" s="110"/>
      <c r="IZ12" s="110"/>
      <c r="JA12" s="110"/>
      <c r="JB12" s="110"/>
      <c r="JC12" s="110"/>
      <c r="JD12" s="110"/>
    </row>
    <row r="13" spans="1:264" ht="13.4" customHeight="1">
      <c r="A13">
        <f t="shared" si="17"/>
        <v>1</v>
      </c>
      <c r="C13" t="str">
        <f t="shared" ref="C13:C23" si="18">IF(D13="","","Cooling - HVAC Equipment")</f>
        <v>Cooling - HVAC Equipment</v>
      </c>
      <c r="D13" t="str">
        <f>IF('Smart T-Stats'!L21="","","Residential HVAC Other")</f>
        <v>Residential HVAC Other</v>
      </c>
      <c r="E13" t="str">
        <f>IF(D13="","",INDEX(References!$AI$33:$AI$40,MATCH(Qualifying_Index!S42,References!$AE$33:$AE$40,0)))</f>
        <v>CH - Smart Thermostat - Learning for Cooling</v>
      </c>
      <c r="F13" t="str">
        <f>IF(D13="","",INDEX(References!$AF$33:$AF$40,MATCH(Qualifying_Index!S42,References!$AE$33:$AE$40,0)))</f>
        <v>CH415</v>
      </c>
      <c r="G13">
        <f>IF(D13="","",'Customer Information'!$L$43)</f>
        <v>0</v>
      </c>
      <c r="H13" t="str">
        <f>IF(C13="","","Whole House ASHP and ER v"&amp;Development!$A$2)</f>
        <v>Whole House ASHP and ER v2.0</v>
      </c>
      <c r="I13" s="180">
        <f t="shared" ref="I13:I23" si="19">IF($D13="","",0)</f>
        <v>0</v>
      </c>
      <c r="J13" s="179">
        <f>IF($D13="","",Qualifying_Index!O42)</f>
        <v>139.53</v>
      </c>
      <c r="K13" s="179"/>
      <c r="L13" s="179"/>
      <c r="M13" s="179"/>
      <c r="N13" s="110">
        <f t="shared" ref="N13:N23" si="20">IF(I13="","",1)</f>
        <v>1</v>
      </c>
      <c r="O13" s="178">
        <f t="shared" ref="O13:O23" si="21">IF(I13="","",I13*N13*T13)</f>
        <v>0</v>
      </c>
      <c r="P13" s="179">
        <f t="shared" ref="P13:P23" si="22">IF(J13="","",J13*N13)</f>
        <v>139.53</v>
      </c>
      <c r="Q13" s="179"/>
      <c r="R13" s="179"/>
      <c r="S13" s="179"/>
      <c r="T13" s="110">
        <f>IF($D13="","",INDEX(References!$AM$19:$AM$40,MATCH(ProposedEquipment0!$F13,References!$AF$19:$AF$40,0)))</f>
        <v>0.69</v>
      </c>
      <c r="U13" s="110">
        <f>IF($D13="","",INDEX(References!$AQ$19:$AQ$40,MATCH(ProposedEquipment0!$F13,References!$AF$19:$AF$40,0)))</f>
        <v>0.1</v>
      </c>
      <c r="V13" s="110">
        <f>IF($D13="","",INDEX(References!$AR$19:$AR$40,MATCH(ProposedEquipment0!$F13,References!$AF$19:$AF$40,0)))</f>
        <v>0</v>
      </c>
      <c r="W13" s="110">
        <f>IF($D13="","",INDEX(References!$AS$19:$AS$40,MATCH(ProposedEquipment0!$F13,References!$AF$19:$AF$40,0)))</f>
        <v>7.1900000000000006E-2</v>
      </c>
      <c r="X13" s="110">
        <f>IF($D13="","",INDEX(References!$AT$19:$AT$40,MATCH(ProposedEquipment0!$F13,References!$AF$19:$AF$40,0)))</f>
        <v>5.67E-2</v>
      </c>
      <c r="Y13" s="177">
        <f>IF(D13="","",ROUND((I13*T13)/(1-W13)*(1-U13+V13),References!$B$4))</f>
        <v>0</v>
      </c>
      <c r="Z13" s="179">
        <f>IF(D13="","",ROUND(J13/(1-X13)*(1-U13+V13),References!$B$5))</f>
        <v>133.12520000000001</v>
      </c>
      <c r="AA13" s="179">
        <f>IF(D13="","",ROUND((K13*T13)/(1-W13)*(1-U13+V13),References!$B$4))</f>
        <v>0</v>
      </c>
      <c r="AB13" s="179">
        <f>IF(D13="","",ROUND(L13/(1-X13)*(1-U13+V13),References!$B$5))</f>
        <v>0</v>
      </c>
      <c r="AC13" s="179">
        <f t="shared" ref="AC13:AC23" si="23">IF(D13="","",Z13-AB13)</f>
        <v>133.12520000000001</v>
      </c>
      <c r="AD13" s="177">
        <f t="shared" ref="AD13:AD23" si="24">IF(D13="","",Y13*AU13)</f>
        <v>0</v>
      </c>
      <c r="AE13" s="179">
        <f t="shared" ref="AE13:AE23" si="25">IF(D13="","",Z13*AU13)</f>
        <v>133.12520000000001</v>
      </c>
      <c r="AF13" s="179">
        <f t="shared" ref="AF13:AF23" si="26">IF(D13="","",AA13*AU13)</f>
        <v>0</v>
      </c>
      <c r="AG13" s="179">
        <f t="shared" ref="AG13:AG23" si="27">IF(D13="","",AB13*AU13)</f>
        <v>0</v>
      </c>
      <c r="AH13" s="179">
        <f t="shared" ref="AH13:AH23" si="28">IF(D13="","",AE13-AG13)</f>
        <v>133.12520000000001</v>
      </c>
      <c r="AI13" s="179">
        <f>IF(OR(References!$H$14="",AE13=""),"",Qualifying_Index!Q42)</f>
        <v>164.408199</v>
      </c>
      <c r="AJ13" s="179">
        <f>IF(OR(References!$H$14="",AE13=""),"",IF(References!$J$37=FALSE,0,Qualifying_Index!BM38))</f>
        <v>0</v>
      </c>
      <c r="AK13" s="156">
        <f>IF(OR(References!$H$14="",AE13=""),"",Qualifying_Index!Q42)</f>
        <v>164.408199</v>
      </c>
      <c r="AL13" s="156">
        <f>IF(D13="","",Qualifying_Index!P42)</f>
        <v>0.47607635999999998</v>
      </c>
      <c r="AM13" s="156">
        <f>IF(D13="","",0)</f>
        <v>0</v>
      </c>
      <c r="AN13" s="107">
        <f>IF(D13="","",AL13+AM13)</f>
        <v>0.47607635999999998</v>
      </c>
      <c r="AQ13">
        <f>IF(D13="","",Admin!AE14)</f>
        <v>0</v>
      </c>
      <c r="AR13">
        <f>IF(AU13="","",AU13*Qualifying_Index!V42)</f>
        <v>130</v>
      </c>
      <c r="AS13">
        <f>IF(OR('In Unit HVAC Worksheet'!Y72="DNQ",AU13=""),"",AR13*AU13)</f>
        <v>130</v>
      </c>
      <c r="AU13">
        <f t="shared" ref="AU13:AU25" si="29">IF(D13="","",1)</f>
        <v>1</v>
      </c>
      <c r="BV13">
        <f>IF(E13="","",Qualifying_Index!K42)</f>
        <v>675</v>
      </c>
      <c r="BW13">
        <f>IF(E13="","",Qualifying_Index!L42)</f>
        <v>1265</v>
      </c>
      <c r="BZ13" s="147" t="str">
        <f>IF(D13="","",References!$H$14)</f>
        <v>Oil</v>
      </c>
      <c r="CE13">
        <f>IF($E13="","",'Smart T-Stats'!F21)</f>
        <v>12345</v>
      </c>
      <c r="CL13" s="155"/>
      <c r="CN13" s="155"/>
      <c r="CO13" s="151"/>
      <c r="CQ13" s="107"/>
      <c r="CR13">
        <f>IF($E13="","",'Smart T-Stats'!I21)</f>
        <v>0</v>
      </c>
      <c r="CS13">
        <f>IF($E13="","",'Smart T-Stats'!J21)</f>
        <v>0</v>
      </c>
      <c r="DW13">
        <f>IF(C13="","",'Customer Information'!$K$11)</f>
        <v>0</v>
      </c>
    </row>
    <row r="14" spans="1:264" ht="13.4" customHeight="1">
      <c r="A14">
        <f t="shared" si="17"/>
        <v>2</v>
      </c>
      <c r="C14" t="str">
        <f t="shared" si="18"/>
        <v>Cooling - HVAC Equipment</v>
      </c>
      <c r="D14" t="str">
        <f>IF('Smart T-Stats'!L22="","","Residential HVAC Other")</f>
        <v>Residential HVAC Other</v>
      </c>
      <c r="E14" t="str">
        <f>IF(D14="","",INDEX(References!$AI$33:$AI$40,MATCH(Qualifying_Index!S43,References!$AE$33:$AE$40,0)))</f>
        <v>CH - Smart Thermostat - Learning for Cooling</v>
      </c>
      <c r="F14" t="str">
        <f>IF(D14="","",INDEX(References!$AF$33:$AF$40,MATCH(Qualifying_Index!S43,References!$AE$33:$AE$40,0)))</f>
        <v>CH415</v>
      </c>
      <c r="G14">
        <f>IF(D14="","",'Customer Information'!$L$43)</f>
        <v>0</v>
      </c>
      <c r="H14" t="str">
        <f>IF(C14="","","Whole House ASHP and ER v"&amp;Development!$A$2)</f>
        <v>Whole House ASHP and ER v2.0</v>
      </c>
      <c r="I14" s="180">
        <f t="shared" si="19"/>
        <v>0</v>
      </c>
      <c r="J14" s="179">
        <f>IF($D14="","",Qualifying_Index!O43)</f>
        <v>139.53</v>
      </c>
      <c r="K14" s="179"/>
      <c r="L14" s="179"/>
      <c r="M14" s="179"/>
      <c r="N14" s="110">
        <f t="shared" si="20"/>
        <v>1</v>
      </c>
      <c r="O14" s="178">
        <f t="shared" si="21"/>
        <v>0</v>
      </c>
      <c r="P14" s="179">
        <f t="shared" si="22"/>
        <v>139.53</v>
      </c>
      <c r="Q14" s="179"/>
      <c r="R14" s="179"/>
      <c r="S14" s="179"/>
      <c r="T14" s="110">
        <f>IF($D14="","",INDEX(References!$AM$19:$AM$40,MATCH(ProposedEquipment0!$F14,References!$AF$19:$AF$40,0)))</f>
        <v>0.69</v>
      </c>
      <c r="U14" s="110">
        <f>IF($D14="","",INDEX(References!$AQ$19:$AQ$40,MATCH(ProposedEquipment0!$F14,References!$AF$19:$AF$40,0)))</f>
        <v>0.1</v>
      </c>
      <c r="V14" s="110">
        <f>IF($D14="","",INDEX(References!$AR$19:$AR$40,MATCH(ProposedEquipment0!$F14,References!$AF$19:$AF$40,0)))</f>
        <v>0</v>
      </c>
      <c r="W14" s="110">
        <f>IF($D14="","",INDEX(References!$AS$19:$AS$40,MATCH(ProposedEquipment0!$F14,References!$AF$19:$AF$40,0)))</f>
        <v>7.1900000000000006E-2</v>
      </c>
      <c r="X14" s="110">
        <f>IF($D14="","",INDEX(References!$AT$19:$AT$40,MATCH(ProposedEquipment0!$F14,References!$AF$19:$AF$40,0)))</f>
        <v>5.67E-2</v>
      </c>
      <c r="Y14" s="177">
        <f>IF(D14="","",ROUND((I14*T14)/(1-W14)*(1-U14+V14),References!$B$4))</f>
        <v>0</v>
      </c>
      <c r="Z14" s="179">
        <f>IF(D14="","",ROUND(J14/(1-X14)*(1-U14+V14),References!$B$5))</f>
        <v>133.12520000000001</v>
      </c>
      <c r="AA14" s="179">
        <f>IF(D14="","",ROUND((K14*T14)/(1-W14)*(1-U14+V14),References!$B$4))</f>
        <v>0</v>
      </c>
      <c r="AB14" s="179">
        <f>IF(D14="","",ROUND(L14/(1-X14)*(1-U14+V14),References!$B$5))</f>
        <v>0</v>
      </c>
      <c r="AC14" s="179">
        <f t="shared" si="23"/>
        <v>133.12520000000001</v>
      </c>
      <c r="AD14" s="177">
        <f t="shared" si="24"/>
        <v>0</v>
      </c>
      <c r="AE14" s="179">
        <f t="shared" si="25"/>
        <v>133.12520000000001</v>
      </c>
      <c r="AF14" s="179">
        <f t="shared" si="26"/>
        <v>0</v>
      </c>
      <c r="AG14" s="179">
        <f t="shared" si="27"/>
        <v>0</v>
      </c>
      <c r="AH14" s="179">
        <f t="shared" si="28"/>
        <v>133.12520000000001</v>
      </c>
      <c r="AI14" s="179">
        <f>IF(OR(References!$H$14="",AE14=""),"",Qualifying_Index!Q43)</f>
        <v>164.408199</v>
      </c>
      <c r="AJ14" s="179">
        <f>IF(OR(References!$H$14="",AE14=""),"",IF(References!$J$37=FALSE,0,Qualifying_Index!BM39))</f>
        <v>0</v>
      </c>
      <c r="AK14" s="156">
        <f>IF(OR(References!$H$14="",AE14=""),"",Qualifying_Index!Q43)</f>
        <v>164.408199</v>
      </c>
      <c r="AL14" s="156">
        <f>IF(D14="","",Qualifying_Index!P43)</f>
        <v>0.47607635999999998</v>
      </c>
      <c r="AM14" s="156">
        <f t="shared" ref="AM14:AM23" si="30">IF(D14="","",0)</f>
        <v>0</v>
      </c>
      <c r="AN14" s="107">
        <f t="shared" ref="AN14:AN23" si="31">IF(D14="","",AL14+AM14)</f>
        <v>0.47607635999999998</v>
      </c>
      <c r="AQ14">
        <f>IF(D14="","",Admin!AE15)</f>
        <v>0</v>
      </c>
      <c r="AR14">
        <f>IF(AU14="","",AU14*Qualifying_Index!V43)</f>
        <v>130</v>
      </c>
      <c r="AS14">
        <f>IF(OR('In Unit HVAC Worksheet'!Y73="DNQ",AU14=""),"",AR14*AU14)</f>
        <v>130</v>
      </c>
      <c r="AU14">
        <f t="shared" si="29"/>
        <v>1</v>
      </c>
      <c r="BV14">
        <f>IF(E14="","",Qualifying_Index!K43)</f>
        <v>675</v>
      </c>
      <c r="BW14">
        <f>IF(E14="","",Qualifying_Index!L43)</f>
        <v>1265</v>
      </c>
      <c r="BZ14" s="147" t="str">
        <f>IF(D14="","",References!$H$14)</f>
        <v>Oil</v>
      </c>
      <c r="CE14">
        <f>IF($E14="","",'Smart T-Stats'!F22)</f>
        <v>54321</v>
      </c>
      <c r="CR14">
        <f>IF($E14="","",'Smart T-Stats'!I22)</f>
        <v>0</v>
      </c>
      <c r="CS14">
        <f>IF($E14="","",'Smart T-Stats'!J22)</f>
        <v>0</v>
      </c>
      <c r="DW14">
        <f>IF(C14="","",'Customer Information'!$K$11)</f>
        <v>0</v>
      </c>
    </row>
    <row r="15" spans="1:264" ht="13.4" customHeight="1">
      <c r="A15">
        <f t="shared" si="17"/>
        <v>3</v>
      </c>
      <c r="C15" t="str">
        <f t="shared" si="18"/>
        <v/>
      </c>
      <c r="D15" t="str">
        <f>IF('Smart T-Stats'!L23="","","Residential HVAC Other")</f>
        <v/>
      </c>
      <c r="E15" t="str">
        <f>IF(D15="","",INDEX(References!$AI$33:$AI$40,MATCH(Qualifying_Index!S44,References!$AE$33:$AE$40,0)))</f>
        <v/>
      </c>
      <c r="F15" t="str">
        <f>IF(D15="","",INDEX(References!$AF$33:$AF$40,MATCH(Qualifying_Index!S44,References!$AE$33:$AE$40,0)))</f>
        <v/>
      </c>
      <c r="G15" t="str">
        <f>IF(D15="","",'Customer Information'!$L$43)</f>
        <v/>
      </c>
      <c r="H15" t="str">
        <f>IF(C15="","","Whole House ASHP and ER v"&amp;Development!$A$2)</f>
        <v/>
      </c>
      <c r="I15" s="180" t="str">
        <f t="shared" si="19"/>
        <v/>
      </c>
      <c r="J15" s="179" t="str">
        <f>IF($D15="","",Qualifying_Index!O44)</f>
        <v/>
      </c>
      <c r="K15" s="179"/>
      <c r="L15" s="179"/>
      <c r="M15" s="179"/>
      <c r="N15" s="110" t="str">
        <f t="shared" si="20"/>
        <v/>
      </c>
      <c r="O15" s="178" t="str">
        <f t="shared" si="21"/>
        <v/>
      </c>
      <c r="P15" s="179" t="str">
        <f t="shared" si="22"/>
        <v/>
      </c>
      <c r="Q15" s="179"/>
      <c r="R15" s="179"/>
      <c r="S15" s="179"/>
      <c r="T15" s="110" t="str">
        <f>IF($D15="","",INDEX(References!$AM$19:$AM$40,MATCH(ProposedEquipment0!$F15,References!$AF$19:$AF$40,0)))</f>
        <v/>
      </c>
      <c r="U15" s="110" t="str">
        <f>IF($D15="","",INDEX(References!$AQ$19:$AQ$40,MATCH(ProposedEquipment0!$F15,References!$AF$19:$AF$40,0)))</f>
        <v/>
      </c>
      <c r="V15" s="110" t="str">
        <f>IF($D15="","",INDEX(References!$AR$19:$AR$40,MATCH(ProposedEquipment0!$F15,References!$AF$19:$AF$40,0)))</f>
        <v/>
      </c>
      <c r="W15" s="110" t="str">
        <f>IF($D15="","",INDEX(References!$AS$19:$AS$40,MATCH(ProposedEquipment0!$F15,References!$AF$19:$AF$40,0)))</f>
        <v/>
      </c>
      <c r="X15" s="110" t="str">
        <f>IF($D15="","",INDEX(References!$AT$19:$AT$40,MATCH(ProposedEquipment0!$F15,References!$AF$19:$AF$40,0)))</f>
        <v/>
      </c>
      <c r="Y15" s="177" t="str">
        <f>IF(D15="","",ROUND((I15*T15)/(1-W15)*(1-U15+V15),References!$B$4))</f>
        <v/>
      </c>
      <c r="Z15" s="179" t="str">
        <f>IF(D15="","",ROUND(J15/(1-X15)*(1-U15+V15),References!$B$5))</f>
        <v/>
      </c>
      <c r="AA15" s="179" t="str">
        <f>IF(D15="","",ROUND((K15*T15)/(1-W15)*(1-U15+V15),References!$B$4))</f>
        <v/>
      </c>
      <c r="AB15" s="179" t="str">
        <f>IF(D15="","",ROUND(L15/(1-X15)*(1-U15+V15),References!$B$5))</f>
        <v/>
      </c>
      <c r="AC15" s="179" t="str">
        <f t="shared" si="23"/>
        <v/>
      </c>
      <c r="AD15" s="177" t="str">
        <f t="shared" si="24"/>
        <v/>
      </c>
      <c r="AE15" s="179" t="str">
        <f t="shared" si="25"/>
        <v/>
      </c>
      <c r="AF15" s="179" t="str">
        <f t="shared" si="26"/>
        <v/>
      </c>
      <c r="AG15" s="179" t="str">
        <f t="shared" si="27"/>
        <v/>
      </c>
      <c r="AH15" s="179" t="str">
        <f t="shared" si="28"/>
        <v/>
      </c>
      <c r="AI15" s="179" t="str">
        <f>IF(OR(References!$H$14="",AE15=""),"",Qualifying_Index!Q44)</f>
        <v/>
      </c>
      <c r="AJ15" s="179" t="str">
        <f>IF(OR(References!$H$14="",AE15=""),"",IF(References!$J$37=FALSE,0,Qualifying_Index!BM40))</f>
        <v/>
      </c>
      <c r="AK15" s="156" t="str">
        <f>IF(OR(References!$H$14="",AE15=""),"",Qualifying_Index!Q44)</f>
        <v/>
      </c>
      <c r="AL15" s="156" t="str">
        <f>IF(D15="","",Qualifying_Index!P44)</f>
        <v/>
      </c>
      <c r="AM15" s="156" t="str">
        <f t="shared" si="30"/>
        <v/>
      </c>
      <c r="AN15" s="107" t="str">
        <f t="shared" si="31"/>
        <v/>
      </c>
      <c r="AQ15" t="str">
        <f>IF(D15="","",Admin!AE16)</f>
        <v/>
      </c>
      <c r="AR15" t="str">
        <f>IF(AU15="","",AU15*Qualifying_Index!V44)</f>
        <v/>
      </c>
      <c r="AS15" t="str">
        <f>IF(OR('In Unit HVAC Worksheet'!Y74="DNQ",AU15=""),"",AR15*AU15)</f>
        <v/>
      </c>
      <c r="AU15" t="str">
        <f t="shared" si="29"/>
        <v/>
      </c>
      <c r="BV15" t="str">
        <f>IF(E15="","",Qualifying_Index!K44)</f>
        <v/>
      </c>
      <c r="BW15" t="str">
        <f>IF(E15="","",Qualifying_Index!L44)</f>
        <v/>
      </c>
      <c r="BZ15" s="147" t="str">
        <f>IF(D15="","",References!$H$14)</f>
        <v/>
      </c>
      <c r="CE15" t="str">
        <f>IF($E15="","",'Smart T-Stats'!F23)</f>
        <v/>
      </c>
      <c r="CR15" t="str">
        <f>IF($E15="","",'Smart T-Stats'!I23)</f>
        <v/>
      </c>
      <c r="CS15" t="str">
        <f>IF($E15="","",'Smart T-Stats'!J23)</f>
        <v/>
      </c>
      <c r="DW15" t="str">
        <f>IF(C15="","",'Customer Information'!$K$11)</f>
        <v/>
      </c>
    </row>
    <row r="16" spans="1:264" ht="13.4" customHeight="1">
      <c r="A16">
        <f t="shared" si="17"/>
        <v>4</v>
      </c>
      <c r="C16" t="str">
        <f t="shared" si="18"/>
        <v/>
      </c>
      <c r="D16" t="str">
        <f>IF('Smart T-Stats'!L24="","","Residential HVAC Other")</f>
        <v/>
      </c>
      <c r="E16" t="str">
        <f>IF(D16="","",INDEX(References!$AI$33:$AI$40,MATCH(Qualifying_Index!S45,References!$AE$33:$AE$40,0)))</f>
        <v/>
      </c>
      <c r="F16" t="str">
        <f>IF(D16="","",INDEX(References!$AF$33:$AF$40,MATCH(Qualifying_Index!S45,References!$AE$33:$AE$40,0)))</f>
        <v/>
      </c>
      <c r="G16" t="str">
        <f>IF(D16="","",'Customer Information'!$L$43)</f>
        <v/>
      </c>
      <c r="H16" t="str">
        <f>IF(C16="","","Whole House ASHP and ER v"&amp;Development!$A$2)</f>
        <v/>
      </c>
      <c r="I16" s="180" t="str">
        <f t="shared" si="19"/>
        <v/>
      </c>
      <c r="J16" s="179" t="str">
        <f>IF($D16="","",Qualifying_Index!O45)</f>
        <v/>
      </c>
      <c r="K16" s="179"/>
      <c r="L16" s="179"/>
      <c r="M16" s="179"/>
      <c r="N16" s="110" t="str">
        <f t="shared" si="20"/>
        <v/>
      </c>
      <c r="O16" s="178" t="str">
        <f t="shared" si="21"/>
        <v/>
      </c>
      <c r="P16" s="179" t="str">
        <f t="shared" si="22"/>
        <v/>
      </c>
      <c r="Q16" s="179"/>
      <c r="R16" s="179"/>
      <c r="S16" s="179"/>
      <c r="T16" s="110" t="str">
        <f>IF($D16="","",INDEX(References!$AM$19:$AM$40,MATCH(ProposedEquipment0!$F16,References!$AF$19:$AF$40,0)))</f>
        <v/>
      </c>
      <c r="U16" s="110" t="str">
        <f>IF($D16="","",INDEX(References!$AQ$19:$AQ$40,MATCH(ProposedEquipment0!$F16,References!$AF$19:$AF$40,0)))</f>
        <v/>
      </c>
      <c r="V16" s="110" t="str">
        <f>IF($D16="","",INDEX(References!$AR$19:$AR$40,MATCH(ProposedEquipment0!$F16,References!$AF$19:$AF$40,0)))</f>
        <v/>
      </c>
      <c r="W16" s="110" t="str">
        <f>IF($D16="","",INDEX(References!$AS$19:$AS$40,MATCH(ProposedEquipment0!$F16,References!$AF$19:$AF$40,0)))</f>
        <v/>
      </c>
      <c r="X16" s="110" t="str">
        <f>IF($D16="","",INDEX(References!$AT$19:$AT$40,MATCH(ProposedEquipment0!$F16,References!$AF$19:$AF$40,0)))</f>
        <v/>
      </c>
      <c r="Y16" s="177" t="str">
        <f>IF(D16="","",ROUND((I16*T16)/(1-W16)*(1-U16+V16),References!$B$4))</f>
        <v/>
      </c>
      <c r="Z16" s="179" t="str">
        <f>IF(D16="","",ROUND(J16/(1-X16)*(1-U16+V16),References!$B$5))</f>
        <v/>
      </c>
      <c r="AA16" s="179" t="str">
        <f>IF(D16="","",ROUND((K16*T16)/(1-W16)*(1-U16+V16),References!$B$4))</f>
        <v/>
      </c>
      <c r="AB16" s="179" t="str">
        <f>IF(D16="","",ROUND(L16/(1-X16)*(1-U16+V16),References!$B$5))</f>
        <v/>
      </c>
      <c r="AC16" s="179" t="str">
        <f t="shared" si="23"/>
        <v/>
      </c>
      <c r="AD16" s="177" t="str">
        <f t="shared" si="24"/>
        <v/>
      </c>
      <c r="AE16" s="179" t="str">
        <f t="shared" si="25"/>
        <v/>
      </c>
      <c r="AF16" s="179" t="str">
        <f t="shared" si="26"/>
        <v/>
      </c>
      <c r="AG16" s="179" t="str">
        <f t="shared" si="27"/>
        <v/>
      </c>
      <c r="AH16" s="179" t="str">
        <f t="shared" si="28"/>
        <v/>
      </c>
      <c r="AI16" s="179" t="str">
        <f>IF(OR(References!$H$14="",AE16=""),"",Qualifying_Index!Q45)</f>
        <v/>
      </c>
      <c r="AJ16" s="179" t="str">
        <f>IF(OR(References!$H$14="",AE16=""),"",IF(References!$J$37=FALSE,0,Qualifying_Index!BM41))</f>
        <v/>
      </c>
      <c r="AK16" s="156" t="str">
        <f>IF(OR(References!$H$14="",AE16=""),"",Qualifying_Index!Q45)</f>
        <v/>
      </c>
      <c r="AL16" s="156" t="str">
        <f>IF(D16="","",Qualifying_Index!P45)</f>
        <v/>
      </c>
      <c r="AM16" s="156" t="str">
        <f t="shared" si="30"/>
        <v/>
      </c>
      <c r="AN16" s="107" t="str">
        <f t="shared" si="31"/>
        <v/>
      </c>
      <c r="AQ16" t="str">
        <f>IF(D16="","",Admin!AE17)</f>
        <v/>
      </c>
      <c r="AR16" t="str">
        <f>IF(AU16="","",AU16*Qualifying_Index!V45)</f>
        <v/>
      </c>
      <c r="AS16" t="str">
        <f>IF(OR('In Unit HVAC Worksheet'!Y75="DNQ",AU16=""),"",AR16*AU16)</f>
        <v/>
      </c>
      <c r="AU16" t="str">
        <f t="shared" si="29"/>
        <v/>
      </c>
      <c r="BV16" t="str">
        <f>IF(E16="","",Qualifying_Index!K45)</f>
        <v/>
      </c>
      <c r="BW16" t="str">
        <f>IF(E16="","",Qualifying_Index!L45)</f>
        <v/>
      </c>
      <c r="BZ16" s="147" t="str">
        <f>IF(D16="","",References!$H$14)</f>
        <v/>
      </c>
      <c r="CE16" t="str">
        <f>IF($E16="","",'Smart T-Stats'!F24)</f>
        <v/>
      </c>
      <c r="CR16" t="str">
        <f>IF($E16="","",'Smart T-Stats'!I24)</f>
        <v/>
      </c>
      <c r="CS16" t="str">
        <f>IF($E16="","",'Smart T-Stats'!J24)</f>
        <v/>
      </c>
      <c r="DW16" t="str">
        <f>IF(C16="","",'Customer Information'!$K$11)</f>
        <v/>
      </c>
    </row>
    <row r="17" spans="1:127" ht="13.4" customHeight="1">
      <c r="A17">
        <f t="shared" si="17"/>
        <v>5</v>
      </c>
      <c r="C17" t="str">
        <f t="shared" si="18"/>
        <v/>
      </c>
      <c r="D17" t="str">
        <f>IF('Smart T-Stats'!L25="","","Residential HVAC Other")</f>
        <v/>
      </c>
      <c r="E17" t="str">
        <f>IF(D17="","",INDEX(References!$AI$33:$AI$40,MATCH(Qualifying_Index!S46,References!$AE$33:$AE$40,0)))</f>
        <v/>
      </c>
      <c r="F17" t="str">
        <f>IF(D17="","",INDEX(References!$AF$33:$AF$40,MATCH(Qualifying_Index!S46,References!$AE$33:$AE$40,0)))</f>
        <v/>
      </c>
      <c r="G17" t="str">
        <f>IF(D17="","",'Customer Information'!$L$43)</f>
        <v/>
      </c>
      <c r="H17" t="str">
        <f>IF(C17="","","Whole House ASHP and ER v"&amp;Development!$A$2)</f>
        <v/>
      </c>
      <c r="I17" s="180" t="str">
        <f t="shared" si="19"/>
        <v/>
      </c>
      <c r="J17" s="179" t="str">
        <f>IF($D17="","",Qualifying_Index!O46)</f>
        <v/>
      </c>
      <c r="K17" s="179"/>
      <c r="L17" s="179"/>
      <c r="M17" s="179"/>
      <c r="N17" s="110" t="str">
        <f t="shared" si="20"/>
        <v/>
      </c>
      <c r="O17" s="178" t="str">
        <f t="shared" si="21"/>
        <v/>
      </c>
      <c r="P17" s="179" t="str">
        <f t="shared" si="22"/>
        <v/>
      </c>
      <c r="Q17" s="179"/>
      <c r="R17" s="179"/>
      <c r="S17" s="179"/>
      <c r="T17" s="110" t="str">
        <f>IF($D17="","",INDEX(References!$AM$19:$AM$40,MATCH(ProposedEquipment0!$F17,References!$AF$19:$AF$40,0)))</f>
        <v/>
      </c>
      <c r="U17" s="110" t="str">
        <f>IF($D17="","",INDEX(References!$AQ$19:$AQ$40,MATCH(ProposedEquipment0!$F17,References!$AF$19:$AF$40,0)))</f>
        <v/>
      </c>
      <c r="V17" s="110" t="str">
        <f>IF($D17="","",INDEX(References!$AR$19:$AR$40,MATCH(ProposedEquipment0!$F17,References!$AF$19:$AF$40,0)))</f>
        <v/>
      </c>
      <c r="W17" s="110" t="str">
        <f>IF($D17="","",INDEX(References!$AS$19:$AS$40,MATCH(ProposedEquipment0!$F17,References!$AF$19:$AF$40,0)))</f>
        <v/>
      </c>
      <c r="X17" s="110" t="str">
        <f>IF($D17="","",INDEX(References!$AT$19:$AT$40,MATCH(ProposedEquipment0!$F17,References!$AF$19:$AF$40,0)))</f>
        <v/>
      </c>
      <c r="Y17" s="177" t="str">
        <f>IF(D17="","",ROUND((I17*T17)/(1-W17)*(1-U17+V17),References!$B$4))</f>
        <v/>
      </c>
      <c r="Z17" s="179" t="str">
        <f>IF(D17="","",ROUND(J17/(1-X17)*(1-U17+V17),References!$B$5))</f>
        <v/>
      </c>
      <c r="AA17" s="179" t="str">
        <f>IF(D17="","",ROUND((K17*T17)/(1-W17)*(1-U17+V17),References!$B$4))</f>
        <v/>
      </c>
      <c r="AB17" s="179" t="str">
        <f>IF(D17="","",ROUND(L17/(1-X17)*(1-U17+V17),References!$B$5))</f>
        <v/>
      </c>
      <c r="AC17" s="179" t="str">
        <f t="shared" si="23"/>
        <v/>
      </c>
      <c r="AD17" s="177" t="str">
        <f t="shared" si="24"/>
        <v/>
      </c>
      <c r="AE17" s="179" t="str">
        <f t="shared" si="25"/>
        <v/>
      </c>
      <c r="AF17" s="179" t="str">
        <f t="shared" si="26"/>
        <v/>
      </c>
      <c r="AG17" s="179" t="str">
        <f t="shared" si="27"/>
        <v/>
      </c>
      <c r="AH17" s="179" t="str">
        <f t="shared" si="28"/>
        <v/>
      </c>
      <c r="AI17" s="179" t="str">
        <f>IF(OR(References!$H$14="",AE17=""),"",Qualifying_Index!Q46)</f>
        <v/>
      </c>
      <c r="AJ17" s="179" t="str">
        <f>IF(OR(References!$H$14="",AE17=""),"",IF(References!$J$37=FALSE,0,Qualifying_Index!BM42))</f>
        <v/>
      </c>
      <c r="AK17" s="156" t="str">
        <f>IF(OR(References!$H$14="",AE17=""),"",Qualifying_Index!Q46)</f>
        <v/>
      </c>
      <c r="AL17" s="156" t="str">
        <f>IF(D17="","",Qualifying_Index!P46)</f>
        <v/>
      </c>
      <c r="AM17" s="156" t="str">
        <f t="shared" si="30"/>
        <v/>
      </c>
      <c r="AN17" s="107" t="str">
        <f t="shared" si="31"/>
        <v/>
      </c>
      <c r="AQ17" t="str">
        <f>IF(D17="","",Admin!AE18)</f>
        <v/>
      </c>
      <c r="AR17" t="str">
        <f>IF(AU17="","",AU17*Qualifying_Index!V46)</f>
        <v/>
      </c>
      <c r="AS17" t="str">
        <f>IF(OR('In Unit HVAC Worksheet'!Y76="DNQ",AU17=""),"",AR17*AU17)</f>
        <v/>
      </c>
      <c r="AU17" t="str">
        <f t="shared" si="29"/>
        <v/>
      </c>
      <c r="BV17" t="str">
        <f>IF(E17="","",Qualifying_Index!K46)</f>
        <v/>
      </c>
      <c r="BW17" t="str">
        <f>IF(E17="","",Qualifying_Index!L46)</f>
        <v/>
      </c>
      <c r="BZ17" s="147" t="str">
        <f>IF(D17="","",References!$H$14)</f>
        <v/>
      </c>
      <c r="CE17" t="str">
        <f>IF($E17="","",'Smart T-Stats'!F25)</f>
        <v/>
      </c>
      <c r="CR17" t="str">
        <f>IF($E17="","",'Smart T-Stats'!I25)</f>
        <v/>
      </c>
      <c r="CS17" t="str">
        <f>IF($E17="","",'Smart T-Stats'!J25)</f>
        <v/>
      </c>
      <c r="DW17" t="str">
        <f>IF(C17="","",'Customer Information'!$K$11)</f>
        <v/>
      </c>
    </row>
    <row r="18" spans="1:127" ht="13.4" customHeight="1">
      <c r="A18">
        <f t="shared" si="17"/>
        <v>6</v>
      </c>
      <c r="C18" t="str">
        <f t="shared" si="18"/>
        <v/>
      </c>
      <c r="D18" t="str">
        <f>IF('Smart T-Stats'!L26="","","Residential HVAC Other")</f>
        <v/>
      </c>
      <c r="E18" t="str">
        <f>IF(D18="","",INDEX(References!$AI$33:$AI$40,MATCH(Qualifying_Index!S47,References!$AE$33:$AE$40,0)))</f>
        <v/>
      </c>
      <c r="F18" t="str">
        <f>IF(D18="","",INDEX(References!$AF$33:$AF$40,MATCH(Qualifying_Index!S47,References!$AE$33:$AE$40,0)))</f>
        <v/>
      </c>
      <c r="G18" t="str">
        <f>IF(D18="","",'Customer Information'!$L$43)</f>
        <v/>
      </c>
      <c r="H18" t="str">
        <f>IF(C18="","","Whole House ASHP and ER v"&amp;Development!$A$2)</f>
        <v/>
      </c>
      <c r="I18" s="180" t="str">
        <f t="shared" si="19"/>
        <v/>
      </c>
      <c r="J18" s="179" t="str">
        <f>IF($D18="","",Qualifying_Index!O47)</f>
        <v/>
      </c>
      <c r="K18" s="179"/>
      <c r="L18" s="179"/>
      <c r="M18" s="179"/>
      <c r="N18" s="110" t="str">
        <f t="shared" si="20"/>
        <v/>
      </c>
      <c r="O18" s="178" t="str">
        <f t="shared" si="21"/>
        <v/>
      </c>
      <c r="P18" s="179" t="str">
        <f t="shared" si="22"/>
        <v/>
      </c>
      <c r="Q18" s="179"/>
      <c r="R18" s="179"/>
      <c r="S18" s="179"/>
      <c r="T18" s="110" t="str">
        <f>IF($D18="","",INDEX(References!$AM$19:$AM$40,MATCH(ProposedEquipment0!$F18,References!$AF$19:$AF$40,0)))</f>
        <v/>
      </c>
      <c r="U18" s="110" t="str">
        <f>IF($D18="","",INDEX(References!$AQ$19:$AQ$40,MATCH(ProposedEquipment0!$F18,References!$AF$19:$AF$40,0)))</f>
        <v/>
      </c>
      <c r="V18" s="110" t="str">
        <f>IF($D18="","",INDEX(References!$AR$19:$AR$40,MATCH(ProposedEquipment0!$F18,References!$AF$19:$AF$40,0)))</f>
        <v/>
      </c>
      <c r="W18" s="110" t="str">
        <f>IF($D18="","",INDEX(References!$AS$19:$AS$40,MATCH(ProposedEquipment0!$F18,References!$AF$19:$AF$40,0)))</f>
        <v/>
      </c>
      <c r="X18" s="110" t="str">
        <f>IF($D18="","",INDEX(References!$AT$19:$AT$40,MATCH(ProposedEquipment0!$F18,References!$AF$19:$AF$40,0)))</f>
        <v/>
      </c>
      <c r="Y18" s="177" t="str">
        <f>IF(D18="","",ROUND((I18*T18)/(1-W18)*(1-U18+V18),References!$B$4))</f>
        <v/>
      </c>
      <c r="Z18" s="179" t="str">
        <f>IF(D18="","",ROUND(J18/(1-X18)*(1-U18+V18),References!$B$5))</f>
        <v/>
      </c>
      <c r="AA18" s="179" t="str">
        <f>IF(D18="","",ROUND((K18*T18)/(1-W18)*(1-U18+V18),References!$B$4))</f>
        <v/>
      </c>
      <c r="AB18" s="179" t="str">
        <f>IF(D18="","",ROUND(L18/(1-X18)*(1-U18+V18),References!$B$5))</f>
        <v/>
      </c>
      <c r="AC18" s="179" t="str">
        <f t="shared" si="23"/>
        <v/>
      </c>
      <c r="AD18" s="177" t="str">
        <f t="shared" si="24"/>
        <v/>
      </c>
      <c r="AE18" s="179" t="str">
        <f t="shared" si="25"/>
        <v/>
      </c>
      <c r="AF18" s="179" t="str">
        <f t="shared" si="26"/>
        <v/>
      </c>
      <c r="AG18" s="179" t="str">
        <f t="shared" si="27"/>
        <v/>
      </c>
      <c r="AH18" s="179" t="str">
        <f t="shared" si="28"/>
        <v/>
      </c>
      <c r="AI18" s="179" t="str">
        <f>IF(OR(References!$H$14="",AE18=""),"",Qualifying_Index!Q47)</f>
        <v/>
      </c>
      <c r="AJ18" s="179" t="str">
        <f>IF(OR(References!$H$14="",AE18=""),"",IF(References!$J$37=FALSE,0,Qualifying_Index!BM43))</f>
        <v/>
      </c>
      <c r="AK18" s="156" t="str">
        <f>IF(OR(References!$H$14="",AE18=""),"",Qualifying_Index!Q47)</f>
        <v/>
      </c>
      <c r="AL18" s="156" t="str">
        <f>IF(D18="","",Qualifying_Index!P47)</f>
        <v/>
      </c>
      <c r="AM18" s="156" t="str">
        <f t="shared" si="30"/>
        <v/>
      </c>
      <c r="AN18" s="107" t="str">
        <f t="shared" si="31"/>
        <v/>
      </c>
      <c r="AQ18" t="str">
        <f>IF(D18="","",Admin!AE19)</f>
        <v/>
      </c>
      <c r="AR18" t="str">
        <f>IF(AU18="","",AU18*Qualifying_Index!V47)</f>
        <v/>
      </c>
      <c r="AS18" t="str">
        <f>IF(OR('In Unit HVAC Worksheet'!Y77="DNQ",AU18=""),"",AR18*AU18)</f>
        <v/>
      </c>
      <c r="AU18" t="str">
        <f t="shared" si="29"/>
        <v/>
      </c>
      <c r="BV18" t="str">
        <f>IF(E18="","",Qualifying_Index!K47)</f>
        <v/>
      </c>
      <c r="BW18" t="str">
        <f>IF(E18="","",Qualifying_Index!L47)</f>
        <v/>
      </c>
      <c r="BZ18" s="147" t="str">
        <f>IF(D18="","",References!$H$14)</f>
        <v/>
      </c>
      <c r="CE18" t="str">
        <f>IF($E18="","",'Smart T-Stats'!F26)</f>
        <v/>
      </c>
      <c r="CR18" t="str">
        <f>IF($E18="","",'Smart T-Stats'!I26)</f>
        <v/>
      </c>
      <c r="CS18" t="str">
        <f>IF($E18="","",'Smart T-Stats'!J26)</f>
        <v/>
      </c>
      <c r="DW18" t="str">
        <f>IF(C18="","",'Customer Information'!$K$11)</f>
        <v/>
      </c>
    </row>
    <row r="19" spans="1:127" ht="13.4" customHeight="1">
      <c r="A19">
        <f t="shared" si="17"/>
        <v>7</v>
      </c>
      <c r="C19" t="str">
        <f t="shared" si="18"/>
        <v/>
      </c>
      <c r="D19" t="str">
        <f>IF('Smart T-Stats'!L27="","","Residential HVAC Other")</f>
        <v/>
      </c>
      <c r="E19" t="str">
        <f>IF(D19="","",INDEX(References!$AI$33:$AI$40,MATCH(Qualifying_Index!S48,References!$AE$33:$AE$40,0)))</f>
        <v/>
      </c>
      <c r="F19" t="str">
        <f>IF(D19="","",INDEX(References!$AF$33:$AF$40,MATCH(Qualifying_Index!S48,References!$AE$33:$AE$40,0)))</f>
        <v/>
      </c>
      <c r="G19" t="str">
        <f>IF(D19="","",'Customer Information'!$L$43)</f>
        <v/>
      </c>
      <c r="H19" t="str">
        <f>IF(C19="","","Whole House ASHP and ER v"&amp;Development!$A$2)</f>
        <v/>
      </c>
      <c r="I19" s="180" t="str">
        <f t="shared" si="19"/>
        <v/>
      </c>
      <c r="J19" s="179" t="str">
        <f>IF($D19="","",Qualifying_Index!O48)</f>
        <v/>
      </c>
      <c r="K19" s="179"/>
      <c r="L19" s="179"/>
      <c r="M19" s="179"/>
      <c r="N19" s="110" t="str">
        <f t="shared" si="20"/>
        <v/>
      </c>
      <c r="O19" s="178" t="str">
        <f t="shared" si="21"/>
        <v/>
      </c>
      <c r="P19" s="179" t="str">
        <f t="shared" si="22"/>
        <v/>
      </c>
      <c r="Q19" s="179"/>
      <c r="R19" s="179"/>
      <c r="S19" s="179"/>
      <c r="T19" s="110" t="str">
        <f>IF($D19="","",INDEX(References!$AM$19:$AM$40,MATCH(ProposedEquipment0!$F19,References!$AF$19:$AF$40,0)))</f>
        <v/>
      </c>
      <c r="U19" s="110" t="str">
        <f>IF($D19="","",INDEX(References!$AQ$19:$AQ$40,MATCH(ProposedEquipment0!$F19,References!$AF$19:$AF$40,0)))</f>
        <v/>
      </c>
      <c r="V19" s="110" t="str">
        <f>IF($D19="","",INDEX(References!$AR$19:$AR$40,MATCH(ProposedEquipment0!$F19,References!$AF$19:$AF$40,0)))</f>
        <v/>
      </c>
      <c r="W19" s="110" t="str">
        <f>IF($D19="","",INDEX(References!$AS$19:$AS$40,MATCH(ProposedEquipment0!$F19,References!$AF$19:$AF$40,0)))</f>
        <v/>
      </c>
      <c r="X19" s="110" t="str">
        <f>IF($D19="","",INDEX(References!$AT$19:$AT$40,MATCH(ProposedEquipment0!$F19,References!$AF$19:$AF$40,0)))</f>
        <v/>
      </c>
      <c r="Y19" s="177" t="str">
        <f>IF(D19="","",ROUND((I19*T19)/(1-W19)*(1-U19+V19),References!$B$4))</f>
        <v/>
      </c>
      <c r="Z19" s="179" t="str">
        <f>IF(D19="","",ROUND(J19/(1-X19)*(1-U19+V19),References!$B$5))</f>
        <v/>
      </c>
      <c r="AA19" s="179" t="str">
        <f>IF(D19="","",ROUND((K19*T19)/(1-W19)*(1-U19+V19),References!$B$4))</f>
        <v/>
      </c>
      <c r="AB19" s="179" t="str">
        <f>IF(D19="","",ROUND(L19/(1-X19)*(1-U19+V19),References!$B$5))</f>
        <v/>
      </c>
      <c r="AC19" s="179" t="str">
        <f t="shared" si="23"/>
        <v/>
      </c>
      <c r="AD19" s="177" t="str">
        <f t="shared" si="24"/>
        <v/>
      </c>
      <c r="AE19" s="179" t="str">
        <f t="shared" si="25"/>
        <v/>
      </c>
      <c r="AF19" s="179" t="str">
        <f t="shared" si="26"/>
        <v/>
      </c>
      <c r="AG19" s="179" t="str">
        <f t="shared" si="27"/>
        <v/>
      </c>
      <c r="AH19" s="179" t="str">
        <f t="shared" si="28"/>
        <v/>
      </c>
      <c r="AI19" s="179" t="str">
        <f>IF(OR(References!$H$14="",AE19=""),"",Qualifying_Index!Q48)</f>
        <v/>
      </c>
      <c r="AJ19" s="179" t="str">
        <f>IF(OR(References!$H$14="",AE19=""),"",IF(References!$J$37=FALSE,0,Qualifying_Index!BM44))</f>
        <v/>
      </c>
      <c r="AK19" s="156" t="str">
        <f>IF(OR(References!$H$14="",AE19=""),"",Qualifying_Index!Q48)</f>
        <v/>
      </c>
      <c r="AL19" s="156" t="str">
        <f>IF(D19="","",Qualifying_Index!P48)</f>
        <v/>
      </c>
      <c r="AM19" s="156" t="str">
        <f t="shared" si="30"/>
        <v/>
      </c>
      <c r="AN19" s="107" t="str">
        <f t="shared" si="31"/>
        <v/>
      </c>
      <c r="AQ19" t="str">
        <f>IF(D19="","",Admin!AE20)</f>
        <v/>
      </c>
      <c r="AR19" t="str">
        <f>IF(AU19="","",AU19*Qualifying_Index!V48)</f>
        <v/>
      </c>
      <c r="AS19" t="str">
        <f>IF(OR('In Unit HVAC Worksheet'!Y78="DNQ",AU19=""),"",AR19*AU19)</f>
        <v/>
      </c>
      <c r="AU19" t="str">
        <f t="shared" si="29"/>
        <v/>
      </c>
      <c r="BV19" t="str">
        <f>IF(E19="","",Qualifying_Index!K48)</f>
        <v/>
      </c>
      <c r="BW19" t="str">
        <f>IF(E19="","",Qualifying_Index!L48)</f>
        <v/>
      </c>
      <c r="BZ19" s="147" t="str">
        <f>IF(D19="","",References!$H$14)</f>
        <v/>
      </c>
      <c r="CE19" t="str">
        <f>IF($E19="","",'Smart T-Stats'!F27)</f>
        <v/>
      </c>
      <c r="CR19" t="str">
        <f>IF($E19="","",'Smart T-Stats'!I27)</f>
        <v/>
      </c>
      <c r="CS19" t="str">
        <f>IF($E19="","",'Smart T-Stats'!J27)</f>
        <v/>
      </c>
      <c r="DW19" t="str">
        <f>IF(C19="","",'Customer Information'!$K$11)</f>
        <v/>
      </c>
    </row>
    <row r="20" spans="1:127" ht="13.4" customHeight="1">
      <c r="A20">
        <f t="shared" si="17"/>
        <v>8</v>
      </c>
      <c r="C20" t="str">
        <f t="shared" si="18"/>
        <v/>
      </c>
      <c r="D20" t="str">
        <f>IF('Smart T-Stats'!L28="","","Residential HVAC Other")</f>
        <v/>
      </c>
      <c r="E20" t="str">
        <f>IF(D20="","",INDEX(References!$AI$33:$AI$40,MATCH(Qualifying_Index!S49,References!$AE$33:$AE$40,0)))</f>
        <v/>
      </c>
      <c r="F20" t="str">
        <f>IF(D20="","",INDEX(References!$AF$33:$AF$40,MATCH(Qualifying_Index!S49,References!$AE$33:$AE$40,0)))</f>
        <v/>
      </c>
      <c r="G20" t="str">
        <f>IF(D20="","",'Customer Information'!$L$43)</f>
        <v/>
      </c>
      <c r="H20" t="str">
        <f>IF(C20="","","Whole House ASHP and ER v"&amp;Development!$A$2)</f>
        <v/>
      </c>
      <c r="I20" s="180" t="str">
        <f t="shared" si="19"/>
        <v/>
      </c>
      <c r="J20" s="179" t="str">
        <f>IF($D20="","",Qualifying_Index!O49)</f>
        <v/>
      </c>
      <c r="K20" s="179"/>
      <c r="L20" s="179"/>
      <c r="M20" s="179"/>
      <c r="N20" s="110" t="str">
        <f t="shared" si="20"/>
        <v/>
      </c>
      <c r="O20" s="178" t="str">
        <f t="shared" si="21"/>
        <v/>
      </c>
      <c r="P20" s="179" t="str">
        <f t="shared" si="22"/>
        <v/>
      </c>
      <c r="Q20" s="179"/>
      <c r="R20" s="179"/>
      <c r="S20" s="179"/>
      <c r="T20" s="110" t="str">
        <f>IF($D20="","",INDEX(References!$AM$19:$AM$40,MATCH(ProposedEquipment0!$F20,References!$AF$19:$AF$40,0)))</f>
        <v/>
      </c>
      <c r="U20" s="110" t="str">
        <f>IF($D20="","",INDEX(References!$AQ$19:$AQ$40,MATCH(ProposedEquipment0!$F20,References!$AF$19:$AF$40,0)))</f>
        <v/>
      </c>
      <c r="V20" s="110" t="str">
        <f>IF($D20="","",INDEX(References!$AR$19:$AR$40,MATCH(ProposedEquipment0!$F20,References!$AF$19:$AF$40,0)))</f>
        <v/>
      </c>
      <c r="W20" s="110" t="str">
        <f>IF($D20="","",INDEX(References!$AS$19:$AS$40,MATCH(ProposedEquipment0!$F20,References!$AF$19:$AF$40,0)))</f>
        <v/>
      </c>
      <c r="X20" s="110" t="str">
        <f>IF($D20="","",INDEX(References!$AT$19:$AT$40,MATCH(ProposedEquipment0!$F20,References!$AF$19:$AF$40,0)))</f>
        <v/>
      </c>
      <c r="Y20" s="177" t="str">
        <f>IF(D20="","",ROUND((I20*T20)/(1-W20)*(1-U20+V20),References!$B$4))</f>
        <v/>
      </c>
      <c r="Z20" s="179" t="str">
        <f>IF(D20="","",ROUND(J20/(1-X20)*(1-U20+V20),References!$B$5))</f>
        <v/>
      </c>
      <c r="AA20" s="179" t="str">
        <f>IF(D20="","",ROUND((K20*T20)/(1-W20)*(1-U20+V20),References!$B$4))</f>
        <v/>
      </c>
      <c r="AB20" s="179" t="str">
        <f>IF(D20="","",ROUND(L20/(1-X20)*(1-U20+V20),References!$B$5))</f>
        <v/>
      </c>
      <c r="AC20" s="179" t="str">
        <f t="shared" si="23"/>
        <v/>
      </c>
      <c r="AD20" s="177" t="str">
        <f t="shared" si="24"/>
        <v/>
      </c>
      <c r="AE20" s="179" t="str">
        <f t="shared" si="25"/>
        <v/>
      </c>
      <c r="AF20" s="179" t="str">
        <f t="shared" si="26"/>
        <v/>
      </c>
      <c r="AG20" s="179" t="str">
        <f t="shared" si="27"/>
        <v/>
      </c>
      <c r="AH20" s="179" t="str">
        <f t="shared" si="28"/>
        <v/>
      </c>
      <c r="AI20" s="179" t="str">
        <f>IF(OR(References!$H$14="",AE20=""),"",Qualifying_Index!Q49)</f>
        <v/>
      </c>
      <c r="AJ20" s="179" t="str">
        <f>IF(OR(References!$H$14="",AE20=""),"",IF(References!$J$37=FALSE,0,Qualifying_Index!BM45))</f>
        <v/>
      </c>
      <c r="AK20" s="156" t="str">
        <f>IF(OR(References!$H$14="",AE20=""),"",Qualifying_Index!Q49)</f>
        <v/>
      </c>
      <c r="AL20" s="156" t="str">
        <f>IF(D20="","",Qualifying_Index!P49)</f>
        <v/>
      </c>
      <c r="AM20" s="156" t="str">
        <f t="shared" si="30"/>
        <v/>
      </c>
      <c r="AN20" s="107" t="str">
        <f t="shared" si="31"/>
        <v/>
      </c>
      <c r="AQ20" t="str">
        <f>IF(D20="","",Admin!AE21)</f>
        <v/>
      </c>
      <c r="AR20" t="str">
        <f>IF(AU20="","",AU20*Qualifying_Index!V49)</f>
        <v/>
      </c>
      <c r="AS20" t="str">
        <f>IF(OR('In Unit HVAC Worksheet'!Y79="DNQ",AU20=""),"",AR20*AU20)</f>
        <v/>
      </c>
      <c r="AU20" t="str">
        <f t="shared" si="29"/>
        <v/>
      </c>
      <c r="BV20" t="str">
        <f>IF(E20="","",Qualifying_Index!K49)</f>
        <v/>
      </c>
      <c r="BW20" t="str">
        <f>IF(E20="","",Qualifying_Index!L49)</f>
        <v/>
      </c>
      <c r="BZ20" s="147" t="str">
        <f>IF(D20="","",References!$H$14)</f>
        <v/>
      </c>
      <c r="CE20" t="str">
        <f>IF($E20="","",'Smart T-Stats'!F28)</f>
        <v/>
      </c>
      <c r="CR20" t="str">
        <f>IF($E20="","",'Smart T-Stats'!I28)</f>
        <v/>
      </c>
      <c r="CS20" t="str">
        <f>IF($E20="","",'Smart T-Stats'!J28)</f>
        <v/>
      </c>
      <c r="DW20" t="str">
        <f>IF(C20="","",'Customer Information'!$K$11)</f>
        <v/>
      </c>
    </row>
    <row r="21" spans="1:127" ht="13.4" customHeight="1">
      <c r="A21">
        <f t="shared" si="17"/>
        <v>9</v>
      </c>
      <c r="C21" t="str">
        <f t="shared" si="18"/>
        <v/>
      </c>
      <c r="D21" t="str">
        <f>IF('Smart T-Stats'!L29="","","Residential HVAC Other")</f>
        <v/>
      </c>
      <c r="E21" t="str">
        <f>IF(D21="","",INDEX(References!$AI$33:$AI$40,MATCH(Qualifying_Index!S50,References!$AE$33:$AE$40,0)))</f>
        <v/>
      </c>
      <c r="F21" t="str">
        <f>IF(D21="","",INDEX(References!$AF$33:$AF$40,MATCH(Qualifying_Index!S50,References!$AE$33:$AE$40,0)))</f>
        <v/>
      </c>
      <c r="G21" t="str">
        <f>IF(D21="","",'Customer Information'!$L$43)</f>
        <v/>
      </c>
      <c r="H21" t="str">
        <f>IF(C21="","","Whole House ASHP and ER v"&amp;Development!$A$2)</f>
        <v/>
      </c>
      <c r="I21" s="180" t="str">
        <f t="shared" si="19"/>
        <v/>
      </c>
      <c r="J21" s="179" t="str">
        <f>IF($D21="","",Qualifying_Index!O50)</f>
        <v/>
      </c>
      <c r="K21" s="179"/>
      <c r="L21" s="179"/>
      <c r="M21" s="179"/>
      <c r="N21" s="110" t="str">
        <f t="shared" si="20"/>
        <v/>
      </c>
      <c r="O21" s="178" t="str">
        <f t="shared" si="21"/>
        <v/>
      </c>
      <c r="P21" s="179" t="str">
        <f t="shared" si="22"/>
        <v/>
      </c>
      <c r="Q21" s="179"/>
      <c r="R21" s="179"/>
      <c r="S21" s="179"/>
      <c r="T21" s="110" t="str">
        <f>IF($D21="","",INDEX(References!$AM$19:$AM$40,MATCH(ProposedEquipment0!$F21,References!$AF$19:$AF$40,0)))</f>
        <v/>
      </c>
      <c r="U21" s="110" t="str">
        <f>IF($D21="","",INDEX(References!$AQ$19:$AQ$40,MATCH(ProposedEquipment0!$F21,References!$AF$19:$AF$40,0)))</f>
        <v/>
      </c>
      <c r="V21" s="110" t="str">
        <f>IF($D21="","",INDEX(References!$AR$19:$AR$40,MATCH(ProposedEquipment0!$F21,References!$AF$19:$AF$40,0)))</f>
        <v/>
      </c>
      <c r="W21" s="110" t="str">
        <f>IF($D21="","",INDEX(References!$AS$19:$AS$40,MATCH(ProposedEquipment0!$F21,References!$AF$19:$AF$40,0)))</f>
        <v/>
      </c>
      <c r="X21" s="110" t="str">
        <f>IF($D21="","",INDEX(References!$AT$19:$AT$40,MATCH(ProposedEquipment0!$F21,References!$AF$19:$AF$40,0)))</f>
        <v/>
      </c>
      <c r="Y21" s="177" t="str">
        <f>IF(D21="","",ROUND((I21*T21)/(1-W21)*(1-U21+V21),References!$B$4))</f>
        <v/>
      </c>
      <c r="Z21" s="179" t="str">
        <f>IF(D21="","",ROUND(J21/(1-X21)*(1-U21+V21),References!$B$5))</f>
        <v/>
      </c>
      <c r="AA21" s="179" t="str">
        <f>IF(D21="","",ROUND((K21*T21)/(1-W21)*(1-U21+V21),References!$B$4))</f>
        <v/>
      </c>
      <c r="AB21" s="179" t="str">
        <f>IF(D21="","",ROUND(L21/(1-X21)*(1-U21+V21),References!$B$5))</f>
        <v/>
      </c>
      <c r="AC21" s="179" t="str">
        <f t="shared" si="23"/>
        <v/>
      </c>
      <c r="AD21" s="177" t="str">
        <f t="shared" si="24"/>
        <v/>
      </c>
      <c r="AE21" s="179" t="str">
        <f t="shared" si="25"/>
        <v/>
      </c>
      <c r="AF21" s="179" t="str">
        <f t="shared" si="26"/>
        <v/>
      </c>
      <c r="AG21" s="179" t="str">
        <f t="shared" si="27"/>
        <v/>
      </c>
      <c r="AH21" s="179" t="str">
        <f t="shared" si="28"/>
        <v/>
      </c>
      <c r="AI21" s="179" t="str">
        <f>IF(OR(References!$H$14="",AE21=""),"",Qualifying_Index!Q50)</f>
        <v/>
      </c>
      <c r="AJ21" s="179" t="str">
        <f>IF(OR(References!$H$14="",AE21=""),"",IF(References!$J$37=FALSE,0,Qualifying_Index!BM46))</f>
        <v/>
      </c>
      <c r="AK21" s="156" t="str">
        <f>IF(OR(References!$H$14="",AE21=""),"",Qualifying_Index!Q50)</f>
        <v/>
      </c>
      <c r="AL21" s="156" t="str">
        <f>IF(D21="","",Qualifying_Index!P50)</f>
        <v/>
      </c>
      <c r="AM21" s="156" t="str">
        <f t="shared" si="30"/>
        <v/>
      </c>
      <c r="AN21" s="107" t="str">
        <f t="shared" si="31"/>
        <v/>
      </c>
      <c r="AQ21" t="str">
        <f>IF(D21="","",Admin!AE22)</f>
        <v/>
      </c>
      <c r="AR21" t="str">
        <f>IF(AU21="","",AU21*Qualifying_Index!V50)</f>
        <v/>
      </c>
      <c r="AS21" t="str">
        <f>IF(OR('In Unit HVAC Worksheet'!Z80="DNQ",AU21=""),"",AR21*AU21)</f>
        <v/>
      </c>
      <c r="AU21" t="str">
        <f t="shared" si="29"/>
        <v/>
      </c>
      <c r="BV21" t="str">
        <f>IF(E21="","",Qualifying_Index!K50)</f>
        <v/>
      </c>
      <c r="BW21" t="str">
        <f>IF(E21="","",Qualifying_Index!L50)</f>
        <v/>
      </c>
      <c r="BZ21" s="147" t="str">
        <f>IF(D21="","",References!$H$14)</f>
        <v/>
      </c>
      <c r="CE21" t="str">
        <f>IF($E21="","",'Smart T-Stats'!F29)</f>
        <v/>
      </c>
      <c r="CR21" t="str">
        <f>IF($E21="","",'Smart T-Stats'!I29)</f>
        <v/>
      </c>
      <c r="CS21" t="str">
        <f>IF($E21="","",'Smart T-Stats'!J29)</f>
        <v/>
      </c>
      <c r="DW21" t="str">
        <f>IF(C21="","",'Customer Information'!$K$11)</f>
        <v/>
      </c>
    </row>
    <row r="22" spans="1:127" ht="13.4" customHeight="1">
      <c r="A22">
        <f t="shared" si="17"/>
        <v>10</v>
      </c>
      <c r="C22" t="str">
        <f t="shared" si="18"/>
        <v/>
      </c>
      <c r="D22" t="str">
        <f>IF('Smart T-Stats'!L30="","","Residential HVAC Other")</f>
        <v/>
      </c>
      <c r="E22" t="str">
        <f>IF(D22="","",INDEX(References!$AI$33:$AI$40,MATCH(Qualifying_Index!S51,References!$AE$33:$AE$40,0)))</f>
        <v/>
      </c>
      <c r="F22" t="str">
        <f>IF(D22="","",INDEX(References!$AF$33:$AF$40,MATCH(Qualifying_Index!S51,References!$AE$33:$AE$40,0)))</f>
        <v/>
      </c>
      <c r="G22" t="str">
        <f>IF(D22="","",'Customer Information'!$L$43)</f>
        <v/>
      </c>
      <c r="H22" t="str">
        <f>IF(C22="","","Whole House ASHP and ER v"&amp;Development!$A$2)</f>
        <v/>
      </c>
      <c r="I22" s="180" t="str">
        <f t="shared" si="19"/>
        <v/>
      </c>
      <c r="J22" s="179" t="str">
        <f>IF($D22="","",Qualifying_Index!O51)</f>
        <v/>
      </c>
      <c r="K22" s="179"/>
      <c r="L22" s="179"/>
      <c r="M22" s="179"/>
      <c r="N22" s="110" t="str">
        <f t="shared" si="20"/>
        <v/>
      </c>
      <c r="O22" s="178" t="str">
        <f t="shared" si="21"/>
        <v/>
      </c>
      <c r="P22" s="179" t="str">
        <f t="shared" si="22"/>
        <v/>
      </c>
      <c r="Q22" s="179"/>
      <c r="R22" s="179"/>
      <c r="S22" s="179"/>
      <c r="T22" s="110" t="str">
        <f>IF($D22="","",INDEX(References!$AM$19:$AM$40,MATCH(ProposedEquipment0!$F22,References!$AF$19:$AF$40,0)))</f>
        <v/>
      </c>
      <c r="U22" s="110" t="str">
        <f>IF($D22="","",INDEX(References!$AQ$19:$AQ$40,MATCH(ProposedEquipment0!$F22,References!$AF$19:$AF$40,0)))</f>
        <v/>
      </c>
      <c r="V22" s="110" t="str">
        <f>IF($D22="","",INDEX(References!$AR$19:$AR$40,MATCH(ProposedEquipment0!$F22,References!$AF$19:$AF$40,0)))</f>
        <v/>
      </c>
      <c r="W22" s="110" t="str">
        <f>IF($D22="","",INDEX(References!$AS$19:$AS$40,MATCH(ProposedEquipment0!$F22,References!$AF$19:$AF$40,0)))</f>
        <v/>
      </c>
      <c r="X22" s="110" t="str">
        <f>IF($D22="","",INDEX(References!$AT$19:$AT$40,MATCH(ProposedEquipment0!$F22,References!$AF$19:$AF$40,0)))</f>
        <v/>
      </c>
      <c r="Y22" s="177" t="str">
        <f>IF(D22="","",ROUND((I22*T22)/(1-W22)*(1-U22+V22),References!$B$4))</f>
        <v/>
      </c>
      <c r="Z22" s="179" t="str">
        <f>IF(D22="","",ROUND(J22/(1-X22)*(1-U22+V22),References!$B$5))</f>
        <v/>
      </c>
      <c r="AA22" s="179" t="str">
        <f>IF(D22="","",ROUND((K22*T22)/(1-W22)*(1-U22+V22),References!$B$4))</f>
        <v/>
      </c>
      <c r="AB22" s="179" t="str">
        <f>IF(D22="","",ROUND(L22/(1-X22)*(1-U22+V22),References!$B$5))</f>
        <v/>
      </c>
      <c r="AC22" s="179" t="str">
        <f t="shared" si="23"/>
        <v/>
      </c>
      <c r="AD22" s="177" t="str">
        <f t="shared" si="24"/>
        <v/>
      </c>
      <c r="AE22" s="179" t="str">
        <f t="shared" si="25"/>
        <v/>
      </c>
      <c r="AF22" s="179" t="str">
        <f t="shared" si="26"/>
        <v/>
      </c>
      <c r="AG22" s="179" t="str">
        <f t="shared" si="27"/>
        <v/>
      </c>
      <c r="AH22" s="179" t="str">
        <f t="shared" si="28"/>
        <v/>
      </c>
      <c r="AI22" s="179" t="str">
        <f>IF(OR(References!$H$14="",AE22=""),"",Qualifying_Index!Q51)</f>
        <v/>
      </c>
      <c r="AJ22" s="179" t="str">
        <f>IF(OR(References!$H$14="",AE22=""),"",IF(References!$J$37=FALSE,0,Qualifying_Index!BM47))</f>
        <v/>
      </c>
      <c r="AK22" s="156" t="str">
        <f>IF(OR(References!$H$14="",AE22=""),"",Qualifying_Index!Q51)</f>
        <v/>
      </c>
      <c r="AL22" s="156" t="str">
        <f>IF(D22="","",Qualifying_Index!P51)</f>
        <v/>
      </c>
      <c r="AM22" s="156" t="str">
        <f t="shared" si="30"/>
        <v/>
      </c>
      <c r="AN22" s="107" t="str">
        <f t="shared" si="31"/>
        <v/>
      </c>
      <c r="AQ22" t="str">
        <f>IF(D22="","",Admin!AE23)</f>
        <v/>
      </c>
      <c r="AR22" t="str">
        <f>IF(AU22="","",AU22*Qualifying_Index!V51)</f>
        <v/>
      </c>
      <c r="AS22" t="str">
        <f>IF(OR('In Unit HVAC Worksheet'!AA81="DNQ",AU22=""),"",AR22*AU22)</f>
        <v/>
      </c>
      <c r="AU22" t="str">
        <f t="shared" si="29"/>
        <v/>
      </c>
      <c r="BV22" t="str">
        <f>IF(E22="","",Qualifying_Index!K51)</f>
        <v/>
      </c>
      <c r="BW22" t="str">
        <f>IF(E22="","",Qualifying_Index!L51)</f>
        <v/>
      </c>
      <c r="BZ22" s="147" t="str">
        <f>IF(D22="","",References!$H$14)</f>
        <v/>
      </c>
      <c r="CE22" t="str">
        <f>IF($E22="","",'Smart T-Stats'!F30)</f>
        <v/>
      </c>
      <c r="CR22" t="str">
        <f>IF($E22="","",'Smart T-Stats'!I30)</f>
        <v/>
      </c>
      <c r="CS22" t="str">
        <f>IF($E22="","",'Smart T-Stats'!J30)</f>
        <v/>
      </c>
      <c r="DW22" t="str">
        <f>IF(C22="","",'Customer Information'!$K$11)</f>
        <v/>
      </c>
    </row>
    <row r="23" spans="1:127" ht="13.4" customHeight="1">
      <c r="A23">
        <f t="shared" si="17"/>
        <v>11</v>
      </c>
      <c r="C23" t="str">
        <f t="shared" si="18"/>
        <v/>
      </c>
      <c r="D23" t="str">
        <f>IF('Smart T-Stats'!L31="","","Residential HVAC Other")</f>
        <v/>
      </c>
      <c r="E23" t="str">
        <f>IF(D23="","",INDEX(References!$AI$33:$AI$40,MATCH(Qualifying_Index!R52,References!$AE$33:$AE$40,0)))</f>
        <v/>
      </c>
      <c r="F23" t="str">
        <f>IF(D23="","",INDEX(References!$AF$33:$AF$40,MATCH(Qualifying_Index!R52,References!$AE$33:$AE$40,0)))</f>
        <v/>
      </c>
      <c r="G23" t="str">
        <f>IF(D23="","",'Customer Information'!$L$43)</f>
        <v/>
      </c>
      <c r="H23" t="str">
        <f>IF(C23="","","Whole House ASHP and ER v"&amp;Development!$A$2)</f>
        <v/>
      </c>
      <c r="I23" s="180" t="str">
        <f t="shared" si="19"/>
        <v/>
      </c>
      <c r="J23" s="179" t="str">
        <f>IF($D23="","",Qualifying_Index!M52)</f>
        <v/>
      </c>
      <c r="K23" s="179"/>
      <c r="L23" s="179"/>
      <c r="M23" s="179"/>
      <c r="N23" s="110" t="str">
        <f t="shared" si="20"/>
        <v/>
      </c>
      <c r="O23" s="178" t="str">
        <f t="shared" si="21"/>
        <v/>
      </c>
      <c r="P23" s="179" t="str">
        <f t="shared" si="22"/>
        <v/>
      </c>
      <c r="Q23" s="179"/>
      <c r="R23" s="179"/>
      <c r="S23" s="179"/>
      <c r="T23" s="110" t="str">
        <f>IF($D23="","",INDEX(References!$AM$19:$AM$40,MATCH(ProposedEquipment0!$F23,References!$AF$19:$AF$40,0)))</f>
        <v/>
      </c>
      <c r="U23" s="110" t="str">
        <f>IF($D23="","",INDEX(References!$AQ$19:$AQ$40,MATCH(ProposedEquipment0!$F23,References!$AF$19:$AF$40,0)))</f>
        <v/>
      </c>
      <c r="V23" s="110" t="str">
        <f>IF($D23="","",INDEX(References!$AR$19:$AR$40,MATCH(ProposedEquipment0!$F23,References!$AF$19:$AF$40,0)))</f>
        <v/>
      </c>
      <c r="W23" s="110" t="str">
        <f>IF($D23="","",INDEX(References!$AS$19:$AS$40,MATCH(ProposedEquipment0!$F23,References!$AF$19:$AF$40,0)))</f>
        <v/>
      </c>
      <c r="X23" s="110" t="str">
        <f>IF($D23="","",INDEX(References!$AT$19:$AT$40,MATCH(ProposedEquipment0!$F23,References!$AF$19:$AF$40,0)))</f>
        <v/>
      </c>
      <c r="Y23" s="177" t="str">
        <f>IF(D23="","",ROUND((I23*T23)/(1-W23)*(1-U23+V23),References!$B$4))</f>
        <v/>
      </c>
      <c r="Z23" s="179" t="str">
        <f>IF(D23="","",ROUND(J23/(1-X23)*(1-U23+V23),References!$B$5))</f>
        <v/>
      </c>
      <c r="AA23" s="179" t="str">
        <f>IF(D23="","",ROUND((K23*T23)/(1-W23)*(1-U23+V23),References!$B$4))</f>
        <v/>
      </c>
      <c r="AB23" s="179" t="str">
        <f>IF(D23="","",ROUND(L23/(1-X23)*(1-U23+V23),References!$B$5))</f>
        <v/>
      </c>
      <c r="AC23" s="179" t="str">
        <f t="shared" si="23"/>
        <v/>
      </c>
      <c r="AD23" s="177" t="str">
        <f t="shared" si="24"/>
        <v/>
      </c>
      <c r="AE23" s="179" t="str">
        <f t="shared" si="25"/>
        <v/>
      </c>
      <c r="AF23" s="179" t="str">
        <f t="shared" si="26"/>
        <v/>
      </c>
      <c r="AG23" s="179" t="str">
        <f t="shared" si="27"/>
        <v/>
      </c>
      <c r="AH23" s="179" t="str">
        <f t="shared" si="28"/>
        <v/>
      </c>
      <c r="AI23" s="179" t="str">
        <f>IF(OR(References!$H$14="",AE23=""),"",Qualifying_Index!O52)</f>
        <v/>
      </c>
      <c r="AJ23" s="179" t="str">
        <f>IF(OR(References!$H$14="",AE23=""),"",IF(References!$J$37=FALSE,0,Qualifying_Index!BM48))</f>
        <v/>
      </c>
      <c r="AK23" s="156" t="str">
        <f>IF(OR(References!$H$14="",AE23=""),"",Qualifying_Index!O52)</f>
        <v/>
      </c>
      <c r="AL23" s="156" t="str">
        <f>IF(D23="","",Qualifying_Index!N52)</f>
        <v/>
      </c>
      <c r="AM23" s="156" t="str">
        <f t="shared" si="30"/>
        <v/>
      </c>
      <c r="AN23" s="107" t="str">
        <f t="shared" si="31"/>
        <v/>
      </c>
      <c r="AQ23" t="str">
        <f>IF(D23="","",Admin!AE24)</f>
        <v/>
      </c>
      <c r="AR23" t="str">
        <f>IF(AU23="","",AU23*Qualifying_Index!U52)</f>
        <v/>
      </c>
      <c r="AS23" t="str">
        <f>IF(OR('In Unit HVAC Worksheet'!AA82="DNQ",AU23=""),"",AR23*AU23)</f>
        <v/>
      </c>
      <c r="AU23" t="str">
        <f t="shared" si="29"/>
        <v/>
      </c>
      <c r="BV23" t="str">
        <f>IF(E23="","",Qualifying_Index!K52)</f>
        <v/>
      </c>
      <c r="BW23" t="str">
        <f>IF(E23="","",Qualifying_Index!L52)</f>
        <v/>
      </c>
      <c r="BZ23" s="147" t="str">
        <f>IF(D23="","",References!$H$14)</f>
        <v/>
      </c>
      <c r="CE23" t="str">
        <f>IF($E23="","",'Smart T-Stats'!F31)</f>
        <v/>
      </c>
      <c r="CR23" t="str">
        <f>IF($E23="","",'Smart T-Stats'!I31)</f>
        <v/>
      </c>
      <c r="CS23" t="str">
        <f>IF($E23="","",'Smart T-Stats'!J31)</f>
        <v/>
      </c>
      <c r="DW23" t="str">
        <f>IF(C23="","",'Customer Information'!$K$11)</f>
        <v/>
      </c>
    </row>
    <row r="24" spans="1:127" ht="5.15" customHeight="1">
      <c r="J24" s="110"/>
      <c r="K24" s="110"/>
      <c r="L24" s="110"/>
      <c r="M24" s="110"/>
      <c r="N24" s="110"/>
      <c r="O24" s="150"/>
      <c r="P24" s="150"/>
      <c r="Q24" s="150"/>
      <c r="R24" s="150"/>
      <c r="S24" s="150"/>
      <c r="T24" s="110"/>
      <c r="U24" s="110"/>
      <c r="V24" s="110"/>
      <c r="W24" s="110"/>
      <c r="X24" s="110"/>
      <c r="Y24" s="110"/>
      <c r="Z24" s="110"/>
      <c r="AA24" s="179"/>
      <c r="AB24" s="179"/>
      <c r="AC24" s="179"/>
      <c r="AD24" s="110"/>
      <c r="AE24" s="110"/>
      <c r="AF24" s="179"/>
      <c r="AG24" s="179"/>
      <c r="AH24" s="179"/>
      <c r="AI24" s="179"/>
      <c r="AJ24" s="179"/>
      <c r="AK24" s="156"/>
      <c r="AL24" s="156"/>
      <c r="AM24" s="156"/>
      <c r="AN24" s="107"/>
    </row>
    <row r="25" spans="1:127" ht="15" customHeight="1">
      <c r="A25">
        <v>1</v>
      </c>
      <c r="C25" t="str">
        <f>IF(AND('In Unit HVAC Worksheet'!$C$61&lt;&gt;"",References!$E$8),References!AH$34,"")</f>
        <v>Cooling - HVAC Equipment</v>
      </c>
      <c r="D25" t="str">
        <f>IF(AND('In Unit HVAC Worksheet'!$C$61&lt;&gt;"",References!$E$8),References!$AG$34,"")</f>
        <v>Residential HVAC - Other</v>
      </c>
      <c r="E25" t="str">
        <f>IF(AND(Qualifying_Index!$C$56&lt;&gt;"",References!$E$8,Qualifying_Index!$C$56&lt;&gt;"No Fossil Fuel Heater"),INDEX(References!$AI$38:$AI$40,MATCH(Qualifying_Index!C56,References!$AE$38:$AE$40,0)),"")</f>
        <v/>
      </c>
      <c r="F25" t="str">
        <f>IF(AND(Qualifying_Index!$C$56&lt;&gt;"",References!$E$8,Qualifying_Index!$C$56&lt;&gt;"No Fossil Fuel Heater"),INDEX(References!$AF$38:$AF$41,MATCH(Qualifying_Index!C56,References!$AE$38:$AE$41,0)),"")</f>
        <v/>
      </c>
      <c r="G25">
        <f>IF(D25="","",'Customer Information'!$L$43)</f>
        <v>0</v>
      </c>
      <c r="H25" t="str">
        <f>IF(C25="","","Whole House ASHP and ER v"&amp;Development!$A$2)</f>
        <v>Whole House ASHP and ER v2.0</v>
      </c>
      <c r="I25">
        <f>IF($D25="","",0)</f>
        <v>0</v>
      </c>
      <c r="J25">
        <f>IF($D25="","",0)</f>
        <v>0</v>
      </c>
      <c r="K25">
        <f>IF($D25="","",0)</f>
        <v>0</v>
      </c>
      <c r="L25">
        <f>IF($D25="","",0)</f>
        <v>0</v>
      </c>
      <c r="M25">
        <f>IF($D25="","",0)</f>
        <v>0</v>
      </c>
      <c r="N25" s="110">
        <f>IF(D25="","",1)</f>
        <v>1</v>
      </c>
      <c r="O25" s="178" t="str">
        <f>IF(F25="","",I25*N25*T25)</f>
        <v/>
      </c>
      <c r="P25" s="179">
        <f>IF(D25="","",J25*N25)</f>
        <v>0</v>
      </c>
      <c r="Q25" s="179"/>
      <c r="R25" s="179"/>
      <c r="S25" s="179"/>
      <c r="T25" s="110" t="str">
        <f>IF($F25="","",INDEX(References!$AM$19:$AM$40,MATCH(ProposedEquipment0!$F25,References!$AF$19:$AF$40,0)))</f>
        <v/>
      </c>
      <c r="U25" s="110" t="str">
        <f>IF($F25="","",INDEX(References!$AQ$19:$AQ$40,MATCH(ProposedEquipment0!$F25,References!$AF$19:$AF$40,0)))</f>
        <v/>
      </c>
      <c r="V25" s="110" t="str">
        <f>IF($F25="","",INDEX(References!$AR$19:$AR$40,MATCH(ProposedEquipment0!$F25,References!$AF$19:$AF$40,0)))</f>
        <v/>
      </c>
      <c r="W25" s="110" t="str">
        <f>IF($F25="","",INDEX(References!$AS$19:$AS$40,MATCH(ProposedEquipment0!$F25,References!$AF$19:$AF$40,0)))</f>
        <v/>
      </c>
      <c r="X25" s="110" t="str">
        <f>IF($F25="","",INDEX(References!$AT$19:$AT$40,MATCH(ProposedEquipment0!$F25,References!$AF$19:$AF$40,0)))</f>
        <v/>
      </c>
      <c r="Y25" s="177" t="str">
        <f>IF(F25="","",ROUND((I25*T25)/(1-W25)*(1-U25+V25),References!$B$4))</f>
        <v/>
      </c>
      <c r="Z25" s="179" t="str">
        <f>IF(F25="","",ROUND(J25/(1-X25)*(1-U25+V25),References!$B$5))</f>
        <v/>
      </c>
      <c r="AA25" s="179" t="str">
        <f>IF(F25="","",ROUND((K25*T25)/(1-W25)*(1-U25+V25),References!$B$4))</f>
        <v/>
      </c>
      <c r="AB25" s="179" t="str">
        <f>IF(F25="","",ROUND(L25/(1-X25)*(1-U25+V25),References!$B$5))</f>
        <v/>
      </c>
      <c r="AC25" s="179" t="str">
        <f>IF(F25="","",Z25-AB25)</f>
        <v/>
      </c>
      <c r="AD25" s="177" t="str">
        <f>IF(F25="","",Y25*AU25)</f>
        <v/>
      </c>
      <c r="AE25" s="179" t="str">
        <f>IF(F25="","",Z25*AU25)</f>
        <v/>
      </c>
      <c r="AF25" s="179" t="str">
        <f>IF(F25="","",AA25*AU25)</f>
        <v/>
      </c>
      <c r="AG25" s="179" t="str">
        <f>IF(F25="","",AB25*AU25)</f>
        <v/>
      </c>
      <c r="AH25" s="179" t="str">
        <f>IF(F25="","",AE25-AG25)</f>
        <v/>
      </c>
      <c r="AI25" s="179"/>
      <c r="AJ25" s="179"/>
      <c r="AK25" s="156"/>
      <c r="AL25" s="156"/>
      <c r="AM25" s="156"/>
      <c r="AN25" s="107"/>
      <c r="AR25">
        <f>IF(AND('In Unit HVAC Worksheet'!$C$61&lt;&gt;"",References!$E$8),References!AJ34,"")</f>
        <v>100</v>
      </c>
      <c r="AS25">
        <f>IF(OR('In Unit HVAC Worksheet'!AA84="DNQ",AU25=""),"",AR25*AU25)</f>
        <v>100</v>
      </c>
      <c r="AU25">
        <f t="shared" si="29"/>
        <v>1</v>
      </c>
      <c r="DW25">
        <f>IF(C25="","",'Customer Information'!$K$11)</f>
        <v>0</v>
      </c>
    </row>
    <row r="26" spans="1:127" ht="5.15" customHeight="1">
      <c r="O26" s="150"/>
      <c r="P26" s="150"/>
      <c r="Q26" s="150"/>
      <c r="R26" s="150"/>
      <c r="S26" s="150"/>
      <c r="T26" s="110"/>
      <c r="U26" s="110"/>
      <c r="V26" s="110"/>
      <c r="W26" s="110"/>
      <c r="X26" s="110"/>
      <c r="Y26" s="110"/>
      <c r="Z26" s="110"/>
      <c r="AA26" s="110"/>
      <c r="AB26" s="110"/>
      <c r="AC26" s="110"/>
      <c r="AD26" s="110"/>
      <c r="AE26" s="110"/>
      <c r="AF26" s="110"/>
      <c r="AG26" s="110"/>
      <c r="AH26" s="110"/>
      <c r="AI26" s="110"/>
      <c r="AJ26" s="110"/>
      <c r="AK26" s="156"/>
      <c r="AL26" s="156"/>
      <c r="AM26" s="156"/>
      <c r="AN26" s="156"/>
    </row>
    <row r="27" spans="1:127" ht="5.15" customHeight="1">
      <c r="O27" s="150"/>
      <c r="P27" s="150"/>
      <c r="Q27" s="150"/>
      <c r="R27" s="150"/>
      <c r="S27" s="150"/>
      <c r="T27" s="110"/>
      <c r="U27" s="110"/>
      <c r="V27" s="110"/>
      <c r="W27" s="110"/>
      <c r="X27" s="110"/>
      <c r="Y27" s="110"/>
      <c r="Z27" s="110"/>
      <c r="AA27" s="110"/>
      <c r="AB27" s="110"/>
      <c r="AC27" s="110"/>
      <c r="AD27" s="110"/>
      <c r="AE27" s="110"/>
      <c r="AF27" s="110"/>
      <c r="AG27" s="110"/>
      <c r="AH27" s="110"/>
      <c r="AI27" s="110"/>
      <c r="AJ27" s="110"/>
      <c r="AK27" s="156"/>
      <c r="AL27" s="156"/>
      <c r="AM27" s="156"/>
      <c r="AN27" s="156"/>
    </row>
    <row r="28" spans="1:127" ht="5.15" customHeight="1">
      <c r="T28" s="110"/>
      <c r="U28" s="110"/>
      <c r="V28" s="110"/>
      <c r="W28" s="110"/>
      <c r="X28" s="110"/>
      <c r="Y28" s="110"/>
      <c r="Z28" s="110"/>
      <c r="AA28" s="110"/>
      <c r="AB28" s="110"/>
      <c r="AC28" s="110"/>
      <c r="AD28" s="110"/>
      <c r="AE28" s="110"/>
      <c r="AF28" s="110"/>
      <c r="AG28" s="110"/>
      <c r="AH28" s="110"/>
      <c r="AI28" s="110"/>
      <c r="AJ28" s="110"/>
      <c r="AK28" s="110"/>
      <c r="AL28" s="110"/>
      <c r="AM28" s="110"/>
      <c r="AN28" s="110"/>
    </row>
    <row r="29" spans="1:127" ht="5.15" customHeight="1">
      <c r="T29" s="110"/>
      <c r="U29" s="110"/>
      <c r="V29" s="110"/>
      <c r="W29" s="110"/>
      <c r="X29" s="110"/>
      <c r="Y29" s="110"/>
      <c r="Z29" s="110"/>
      <c r="AA29" s="110"/>
      <c r="AB29" s="110"/>
      <c r="AC29" s="110"/>
      <c r="AD29" s="110"/>
      <c r="AE29" s="110"/>
      <c r="AF29" s="110"/>
      <c r="AG29" s="110"/>
      <c r="AH29" s="110"/>
      <c r="AI29" s="110"/>
      <c r="AJ29" s="110"/>
      <c r="AK29" s="110"/>
      <c r="AL29" s="110"/>
      <c r="AM29" s="110"/>
      <c r="AN29" s="110"/>
    </row>
    <row r="30" spans="1:127" ht="5.15" customHeight="1">
      <c r="T30" s="110"/>
      <c r="U30" s="110"/>
      <c r="V30" s="110"/>
      <c r="W30" s="110"/>
      <c r="X30" s="110"/>
      <c r="Y30" s="110"/>
      <c r="Z30" s="110"/>
      <c r="AA30" s="110"/>
      <c r="AB30" s="110"/>
      <c r="AC30" s="110"/>
      <c r="AD30" s="110"/>
      <c r="AE30" s="110"/>
      <c r="AF30" s="110"/>
      <c r="AG30" s="110"/>
      <c r="AH30" s="110"/>
      <c r="AI30" s="110"/>
      <c r="AJ30" s="110"/>
      <c r="AK30" s="110"/>
      <c r="AL30" s="110"/>
      <c r="AM30" s="110"/>
      <c r="AN30" s="110"/>
    </row>
    <row r="31" spans="1:127" ht="5.15" customHeight="1">
      <c r="T31" s="110"/>
      <c r="U31" s="110"/>
      <c r="V31" s="110"/>
      <c r="W31" s="110"/>
      <c r="X31" s="110"/>
      <c r="Y31" s="110"/>
      <c r="Z31" s="110"/>
      <c r="AA31" s="110"/>
      <c r="AB31" s="110"/>
      <c r="AC31" s="110"/>
      <c r="AD31" s="110"/>
      <c r="AE31" s="110"/>
      <c r="AF31" s="110"/>
      <c r="AG31" s="110"/>
      <c r="AH31" s="110"/>
      <c r="AI31" s="110"/>
      <c r="AJ31" s="110"/>
      <c r="AK31" s="110"/>
      <c r="AL31" s="110"/>
      <c r="AM31" s="110"/>
      <c r="AN31" s="110"/>
    </row>
    <row r="32" spans="1:127" ht="5.15" customHeight="1">
      <c r="T32" s="110"/>
      <c r="U32" s="110"/>
      <c r="V32" s="110"/>
      <c r="W32" s="110"/>
      <c r="X32" s="110"/>
      <c r="Y32" s="110"/>
      <c r="Z32" s="110"/>
      <c r="AA32" s="110"/>
      <c r="AB32" s="110"/>
      <c r="AC32" s="110"/>
      <c r="AD32" s="110"/>
      <c r="AE32" s="110"/>
      <c r="AF32" s="110"/>
      <c r="AG32" s="110"/>
      <c r="AH32" s="110"/>
      <c r="AI32" s="110"/>
      <c r="AJ32" s="110"/>
      <c r="AK32" s="110"/>
      <c r="AL32" s="110"/>
      <c r="AM32" s="110"/>
      <c r="AN32" s="110"/>
    </row>
    <row r="33" spans="1:40" ht="12.75" customHeight="1">
      <c r="A33">
        <v>1</v>
      </c>
      <c r="C33" t="str">
        <f>IF(F33="","",INDEX(References!$BK$15:$BK$24,MATCH(F33,References!$BI$15:$BI$24,0)))</f>
        <v/>
      </c>
      <c r="D33" t="str">
        <f>IF(F33="","",INDEX(References!$BJ$15:$BJ$24,MATCH(F33,References!$BI$15:$BI$24,0)))</f>
        <v/>
      </c>
      <c r="E33" t="str">
        <f>IF(F33="","",INDEX(References!$BL$15:$BL$24,MATCH(F33,References!$BI$15:$BI$24,0)))</f>
        <v/>
      </c>
      <c r="F33" t="str">
        <f>IF(Qualifying_Index!AQ62="","",Qualifying_Index!AQ62)</f>
        <v/>
      </c>
      <c r="T33" s="110"/>
      <c r="U33" s="110"/>
      <c r="V33" s="110"/>
      <c r="W33" s="110"/>
      <c r="X33" s="110"/>
      <c r="Y33" s="110"/>
      <c r="Z33" s="110"/>
      <c r="AA33" s="110"/>
      <c r="AB33" s="110"/>
      <c r="AC33" s="110"/>
      <c r="AD33" s="110"/>
      <c r="AE33" s="110"/>
      <c r="AF33" s="110"/>
      <c r="AG33" s="110"/>
      <c r="AH33" s="110"/>
      <c r="AI33" s="110"/>
      <c r="AJ33" s="110"/>
      <c r="AK33" s="110"/>
      <c r="AL33" s="110"/>
      <c r="AM33" s="110"/>
      <c r="AN33" s="110"/>
    </row>
    <row r="34" spans="1:40" ht="12.75" customHeight="1">
      <c r="A34">
        <v>2</v>
      </c>
      <c r="C34" t="str">
        <f>IF(F34="","",INDEX(References!$BK$15:$BK$24,MATCH(F34,References!$BI$15:$BI$24,0)))</f>
        <v/>
      </c>
      <c r="D34" t="str">
        <f>IF(F34="","",INDEX(References!$BJ$15:$BJ$24,MATCH(F34,References!$BI$15:$BI$24,0)))</f>
        <v/>
      </c>
      <c r="E34" t="str">
        <f>IF(F34="","",INDEX(References!$BL$15:$BL$24,MATCH(F34,References!$BI$15:$BI$24,0)))</f>
        <v/>
      </c>
      <c r="F34" t="str">
        <f>IF(Qualifying_Index!AQ63="","",Qualifying_Index!AQ63)</f>
        <v/>
      </c>
    </row>
    <row r="35" spans="1:40" ht="12.75" customHeight="1">
      <c r="A35">
        <v>3</v>
      </c>
      <c r="C35" t="str">
        <f>IF(F35="","",INDEX(References!$BK$15:$BK$24,MATCH(F35,References!$BI$15:$BI$24,0)))</f>
        <v/>
      </c>
      <c r="D35" t="str">
        <f>IF(F35="","",INDEX(References!$BJ$15:$BJ$24,MATCH(F35,References!$BI$15:$BI$24,0)))</f>
        <v/>
      </c>
      <c r="E35" t="str">
        <f>IF(F35="","",INDEX(References!$BL$15:$BL$24,MATCH(F35,References!$BI$15:$BI$24,0)))</f>
        <v/>
      </c>
      <c r="F35" t="str">
        <f>IF(Qualifying_Index!AQ64="","",Qualifying_Index!AQ64)</f>
        <v/>
      </c>
    </row>
    <row r="39" spans="1:40" ht="12.75" customHeight="1">
      <c r="A39">
        <v>1</v>
      </c>
      <c r="C39" t="str">
        <f>IF(F39="","",INDEX(References!$BK$15:$BK$24,MATCH(F39,References!$BI$15:$BI$24,0)))</f>
        <v/>
      </c>
      <c r="D39" t="str">
        <f>IF(F39="","",INDEX(References!$BJ$15:$BJ$24,MATCH(F39,References!$BI$15:$BI$24,0)))</f>
        <v/>
      </c>
      <c r="E39" t="str">
        <f>IF(F39="","",INDEX(References!$BL$15:$BL$24,MATCH(F39,References!$BI$15:$BI$24,0)))</f>
        <v/>
      </c>
      <c r="F39" t="str">
        <f>IF(Qualifying_Index!AQ72="","",Qualifying_Index!AQ72)</f>
        <v/>
      </c>
    </row>
    <row r="41" spans="1:40" ht="12.75" customHeight="1">
      <c r="A41">
        <v>1</v>
      </c>
      <c r="C41" t="str">
        <f>IF(F41="","",INDEX(References!$BK$15:$BK$24,MATCH(F41,References!$BI$15:$BI$24,0)))</f>
        <v/>
      </c>
      <c r="D41" t="str">
        <f>IF(F41="","",INDEX(References!$BJ$15:$BJ$24,MATCH(F41,References!$BI$15:$BI$24,0)))</f>
        <v/>
      </c>
      <c r="E41" t="str">
        <f>IF(F41="","",INDEX(References!$BL$15:$BL$24,MATCH(F41,References!$BI$15:$BI$24,0)))</f>
        <v/>
      </c>
      <c r="F41" t="str">
        <f>IF(Qualifying_Index!BF78="","",Qualifying_Index!BF78)</f>
        <v/>
      </c>
    </row>
    <row r="42" spans="1:40" ht="12.75" customHeight="1">
      <c r="A42">
        <v>2</v>
      </c>
      <c r="C42" t="str">
        <f>IF(F42="","",INDEX(References!$BK$15:$BK$24,MATCH(F42,References!$BI$15:$BI$24,0)))</f>
        <v/>
      </c>
      <c r="D42" t="str">
        <f>IF(F42="","",INDEX(References!$BJ$15:$BJ$24,MATCH(F42,References!$BI$15:$BI$24,0)))</f>
        <v/>
      </c>
      <c r="E42" t="str">
        <f>IF(F42="","",INDEX(References!$BL$15:$BL$24,MATCH(F42,References!$BI$15:$BI$24,0)))</f>
        <v/>
      </c>
      <c r="F42" t="str">
        <f>IF(Qualifying_Index!BF79="","",Qualifying_Index!BF79)</f>
        <v/>
      </c>
    </row>
    <row r="43" spans="1:40" ht="12.75" customHeight="1">
      <c r="A43">
        <v>3</v>
      </c>
      <c r="C43" t="str">
        <f>IF(F43="","",INDEX(References!$BK$15:$BK$24,MATCH(F43,References!$BI$15:$BI$24,0)))</f>
        <v/>
      </c>
      <c r="D43" t="str">
        <f>IF(F43="","",INDEX(References!$BJ$15:$BJ$24,MATCH(F43,References!$BI$15:$BI$24,0)))</f>
        <v/>
      </c>
      <c r="E43" t="str">
        <f>IF(F43="","",INDEX(References!$BL$15:$BL$24,MATCH(F43,References!$BI$15:$BI$24,0)))</f>
        <v/>
      </c>
      <c r="F43" t="str">
        <f>IF(Qualifying_Index!BF80="","",Qualifying_Index!BF80)</f>
        <v/>
      </c>
    </row>
    <row r="44" spans="1:40" ht="12.75" customHeight="1">
      <c r="A44">
        <v>4</v>
      </c>
      <c r="C44" t="str">
        <f>IF(F44="","",INDEX(References!$BK$15:$BK$24,MATCH(F44,References!$BI$15:$BI$24,0)))</f>
        <v/>
      </c>
      <c r="D44" t="str">
        <f>IF(F44="","",INDEX(References!$BJ$15:$BJ$24,MATCH(F44,References!$BI$15:$BI$24,0)))</f>
        <v/>
      </c>
      <c r="E44" t="str">
        <f>IF(F44="","",INDEX(References!$BL$15:$BL$24,MATCH(F44,References!$BI$15:$BI$24,0)))</f>
        <v/>
      </c>
      <c r="F44" t="str">
        <f>IF(Qualifying_Index!BF81="","",Qualifying_Index!BF81)</f>
        <v/>
      </c>
    </row>
    <row r="45" spans="1:40" ht="12.75" customHeight="1">
      <c r="A45">
        <v>5</v>
      </c>
      <c r="C45" t="str">
        <f>IF(F45="","",INDEX(References!$BK$15:$BK$24,MATCH(F45,References!$BI$15:$BI$24,0)))</f>
        <v/>
      </c>
      <c r="D45" t="str">
        <f>IF(F45="","",INDEX(References!$BJ$15:$BJ$24,MATCH(F45,References!$BI$15:$BI$24,0)))</f>
        <v/>
      </c>
      <c r="E45" t="str">
        <f>IF(F45="","",INDEX(References!$BL$15:$BL$24,MATCH(F45,References!$BI$15:$BI$24,0)))</f>
        <v/>
      </c>
      <c r="F45" t="str">
        <f>IF(Qualifying_Index!BF82="","",Qualifying_Index!BF82)</f>
        <v/>
      </c>
    </row>
  </sheetData>
  <sheetProtection algorithmName="SHA-512" hashValue="/dyA+MZorl/2acKPFiLgJoZ0mfh4S3oGTcH7KFeSOJAPtL7qxicyQYWGpPmPp9GxmG9FQ+VStdwaV7GgFMDfYg==" saltValue="aJX/Lpw7FC5b8rT5pXPyDQ==" spinCount="100000" sheet="1" objects="1" scenarios="1"/>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FCFBAA-53EF-43B9-A3D5-C84E2C7E2D38}">
  <sheetPr codeName="Sheet33">
    <tabColor theme="9" tint="0.39997558519241921"/>
  </sheetPr>
  <dimension ref="A1:AE55"/>
  <sheetViews>
    <sheetView showGridLines="0" zoomScale="85" zoomScaleNormal="85" workbookViewId="0">
      <selection activeCell="H6" sqref="H6:I6"/>
    </sheetView>
  </sheetViews>
  <sheetFormatPr defaultColWidth="8.81640625" defaultRowHeight="14.5"/>
  <cols>
    <col min="1" max="1" width="8.81640625" style="42"/>
    <col min="2" max="2" width="29.81640625" style="42" customWidth="1"/>
    <col min="3" max="3" width="15.54296875" style="42" bestFit="1" customWidth="1"/>
    <col min="4" max="4" width="13.1796875" style="42" bestFit="1" customWidth="1"/>
    <col min="5" max="5" width="12.81640625" style="42" bestFit="1" customWidth="1"/>
    <col min="6" max="6" width="11.453125" style="42" bestFit="1" customWidth="1"/>
    <col min="7" max="7" width="26.54296875" style="42" customWidth="1"/>
    <col min="8" max="8" width="12.54296875" style="42" bestFit="1" customWidth="1"/>
    <col min="9" max="9" width="11.7265625" style="42" bestFit="1" customWidth="1"/>
    <col min="10" max="10" width="21" style="42" bestFit="1" customWidth="1"/>
    <col min="11" max="11" width="22.1796875" style="42" bestFit="1" customWidth="1"/>
    <col min="12" max="12" width="22.453125" style="42" bestFit="1" customWidth="1"/>
    <col min="13" max="13" width="21.1796875" style="42" bestFit="1" customWidth="1"/>
    <col min="14" max="14" width="20.1796875" style="42" bestFit="1" customWidth="1"/>
    <col min="15" max="15" width="18.453125" style="42" bestFit="1" customWidth="1"/>
    <col min="16" max="16" width="13.453125" style="42" customWidth="1"/>
    <col min="17" max="17" width="12.81640625" style="42" bestFit="1" customWidth="1"/>
    <col min="18" max="18" width="15.453125" style="42" customWidth="1"/>
    <col min="19" max="19" width="13.1796875" style="42" bestFit="1" customWidth="1"/>
    <col min="20" max="20" width="15.54296875" style="42" bestFit="1" customWidth="1"/>
    <col min="21" max="21" width="20.26953125" style="42" bestFit="1" customWidth="1"/>
    <col min="22" max="30" width="16.81640625" style="42" customWidth="1"/>
    <col min="31" max="31" width="20.54296875" style="42" customWidth="1"/>
    <col min="32" max="16384" width="8.81640625" style="42"/>
  </cols>
  <sheetData>
    <row r="1" spans="1:31">
      <c r="A1" s="335">
        <v>1043</v>
      </c>
    </row>
    <row r="2" spans="1:31">
      <c r="B2"/>
      <c r="C2"/>
      <c r="D2"/>
      <c r="E2"/>
      <c r="F2"/>
      <c r="G2"/>
      <c r="H2"/>
      <c r="I2"/>
      <c r="J2"/>
      <c r="K2"/>
      <c r="L2"/>
      <c r="M2"/>
      <c r="N2"/>
      <c r="O2"/>
      <c r="P2"/>
      <c r="Q2"/>
      <c r="R2"/>
      <c r="S2"/>
      <c r="T2"/>
      <c r="U2"/>
      <c r="V2"/>
      <c r="W2"/>
      <c r="X2"/>
      <c r="Y2"/>
      <c r="Z2"/>
      <c r="AA2"/>
      <c r="AB2"/>
      <c r="AC2"/>
      <c r="AD2"/>
      <c r="AE2"/>
    </row>
    <row r="3" spans="1:31" s="45" customFormat="1">
      <c r="B3" s="30" t="s">
        <v>1873</v>
      </c>
      <c r="C3" s="506"/>
      <c r="D3" s="506"/>
      <c r="E3" s="506"/>
      <c r="F3" s="506"/>
      <c r="G3" s="506"/>
      <c r="H3" s="506"/>
      <c r="I3" s="506"/>
      <c r="J3"/>
      <c r="K3"/>
      <c r="L3"/>
      <c r="M3"/>
      <c r="N3"/>
      <c r="O3"/>
      <c r="P3"/>
      <c r="Q3"/>
      <c r="R3"/>
      <c r="S3"/>
      <c r="T3"/>
      <c r="U3"/>
      <c r="V3"/>
      <c r="W3"/>
      <c r="X3"/>
      <c r="Y3"/>
      <c r="Z3"/>
      <c r="AA3"/>
      <c r="AB3"/>
      <c r="AC3"/>
      <c r="AD3"/>
      <c r="AE3"/>
    </row>
    <row r="4" spans="1:31">
      <c r="B4" s="653" t="s">
        <v>1872</v>
      </c>
      <c r="C4" s="506"/>
      <c r="D4" s="506"/>
      <c r="E4" s="506"/>
      <c r="F4" s="506"/>
      <c r="G4" s="506"/>
      <c r="H4" s="506"/>
      <c r="I4" s="506"/>
      <c r="J4"/>
      <c r="K4"/>
      <c r="L4"/>
      <c r="M4"/>
      <c r="N4"/>
      <c r="O4"/>
      <c r="P4"/>
      <c r="Q4"/>
      <c r="R4"/>
      <c r="S4"/>
      <c r="T4"/>
      <c r="U4"/>
      <c r="V4"/>
      <c r="W4"/>
      <c r="X4"/>
      <c r="Y4"/>
      <c r="Z4"/>
      <c r="AA4"/>
      <c r="AB4"/>
      <c r="AC4"/>
      <c r="AD4"/>
      <c r="AE4"/>
    </row>
    <row r="5" spans="1:31">
      <c r="B5" s="506"/>
      <c r="C5" s="506"/>
      <c r="D5" s="506"/>
      <c r="E5" s="506"/>
      <c r="F5" s="506"/>
      <c r="G5" s="506"/>
      <c r="H5" s="506"/>
      <c r="I5" s="506"/>
      <c r="J5"/>
      <c r="K5"/>
      <c r="L5"/>
      <c r="M5"/>
      <c r="N5"/>
      <c r="O5"/>
      <c r="P5"/>
      <c r="Q5"/>
      <c r="R5"/>
      <c r="S5"/>
      <c r="T5"/>
      <c r="U5"/>
      <c r="V5"/>
      <c r="W5"/>
      <c r="X5"/>
      <c r="Y5"/>
      <c r="Z5"/>
      <c r="AA5"/>
      <c r="AB5"/>
      <c r="AC5"/>
      <c r="AD5"/>
      <c r="AE5"/>
    </row>
    <row r="6" spans="1:31" ht="35.15" customHeight="1">
      <c r="B6" s="30" t="s">
        <v>10</v>
      </c>
      <c r="C6" s="2729" t="str">
        <f>IF('Customer Information'!C6="","",'Customer Information'!C6)</f>
        <v/>
      </c>
      <c r="D6" s="2729"/>
      <c r="E6" s="506"/>
      <c r="F6" s="506"/>
      <c r="G6" s="30" t="s">
        <v>226</v>
      </c>
      <c r="H6" s="2729" t="str">
        <f>IF('Customer Information'!L43="","",'Customer Information'!L43)</f>
        <v/>
      </c>
      <c r="I6" s="2729"/>
      <c r="J6"/>
      <c r="K6"/>
      <c r="L6"/>
      <c r="M6"/>
      <c r="N6"/>
      <c r="O6"/>
      <c r="P6"/>
      <c r="Q6"/>
      <c r="R6"/>
      <c r="S6"/>
      <c r="T6"/>
      <c r="U6"/>
      <c r="V6"/>
      <c r="W6"/>
      <c r="X6"/>
      <c r="Y6"/>
      <c r="Z6"/>
      <c r="AA6"/>
      <c r="AB6"/>
      <c r="AC6"/>
      <c r="AD6"/>
      <c r="AE6"/>
    </row>
    <row r="7" spans="1:31" ht="35.15" customHeight="1">
      <c r="B7" s="506"/>
      <c r="C7" s="506"/>
      <c r="D7" s="506"/>
      <c r="E7" s="506"/>
      <c r="F7" s="506"/>
      <c r="G7" s="30"/>
      <c r="H7" s="506"/>
      <c r="I7" s="506"/>
      <c r="J7"/>
      <c r="K7"/>
      <c r="L7"/>
      <c r="M7"/>
      <c r="N7"/>
      <c r="O7"/>
      <c r="P7"/>
      <c r="Q7"/>
      <c r="R7"/>
      <c r="S7"/>
      <c r="T7"/>
      <c r="U7"/>
      <c r="V7"/>
      <c r="W7"/>
      <c r="X7"/>
      <c r="Y7"/>
      <c r="Z7"/>
      <c r="AA7"/>
      <c r="AB7"/>
      <c r="AC7"/>
      <c r="AD7"/>
      <c r="AE7"/>
    </row>
    <row r="8" spans="1:31" ht="35.15" customHeight="1">
      <c r="B8" s="30" t="s">
        <v>1830</v>
      </c>
      <c r="C8" s="2729" t="str">
        <f>IF('Customer Information'!C7="","",'Customer Information'!C7)</f>
        <v/>
      </c>
      <c r="D8" s="2729"/>
      <c r="E8" s="506"/>
      <c r="F8" s="506"/>
      <c r="G8" s="30" t="s">
        <v>1838</v>
      </c>
      <c r="H8" s="2729" t="str">
        <f>IF('Customer Information'!I7="","",'Customer Information'!I7)</f>
        <v/>
      </c>
      <c r="I8" s="2729"/>
      <c r="J8"/>
      <c r="K8"/>
      <c r="L8"/>
      <c r="M8"/>
      <c r="N8"/>
      <c r="O8"/>
      <c r="P8"/>
      <c r="Q8"/>
      <c r="R8"/>
      <c r="S8"/>
      <c r="T8"/>
      <c r="U8"/>
      <c r="V8"/>
      <c r="W8"/>
      <c r="X8"/>
      <c r="Y8"/>
      <c r="Z8"/>
      <c r="AA8"/>
      <c r="AB8"/>
      <c r="AC8"/>
      <c r="AD8"/>
      <c r="AE8"/>
    </row>
    <row r="9" spans="1:31" ht="35.15" customHeight="1">
      <c r="B9" s="506"/>
      <c r="C9" s="506"/>
      <c r="D9" s="506"/>
      <c r="E9" s="506"/>
      <c r="F9" s="506"/>
      <c r="G9" s="30"/>
      <c r="H9" s="506"/>
      <c r="I9" s="506"/>
      <c r="J9"/>
      <c r="K9"/>
      <c r="L9"/>
      <c r="M9"/>
      <c r="N9"/>
      <c r="O9"/>
      <c r="P9"/>
      <c r="Q9"/>
      <c r="R9"/>
      <c r="S9"/>
      <c r="T9"/>
      <c r="U9"/>
      <c r="V9"/>
      <c r="W9"/>
      <c r="X9"/>
      <c r="Y9"/>
      <c r="Z9"/>
      <c r="AA9"/>
      <c r="AB9"/>
      <c r="AC9"/>
      <c r="AD9"/>
      <c r="AE9"/>
    </row>
    <row r="10" spans="1:31" ht="35.15" customHeight="1">
      <c r="B10" s="30" t="s">
        <v>1837</v>
      </c>
      <c r="C10" s="2729" t="str">
        <f>IF('Customer Information'!L7="","",'Customer Information'!L7)</f>
        <v/>
      </c>
      <c r="D10" s="2729"/>
      <c r="E10" s="506"/>
      <c r="F10" s="506"/>
      <c r="G10" s="30" t="s">
        <v>1839</v>
      </c>
      <c r="H10" s="2729" t="str">
        <f>IF('Customer Information'!C21="","",'Customer Information'!C21)</f>
        <v/>
      </c>
      <c r="I10" s="2729"/>
      <c r="J10"/>
      <c r="K10"/>
      <c r="L10"/>
      <c r="M10"/>
      <c r="N10"/>
      <c r="O10"/>
      <c r="P10"/>
      <c r="Q10"/>
      <c r="R10"/>
      <c r="S10"/>
      <c r="T10"/>
      <c r="U10"/>
      <c r="V10"/>
      <c r="W10"/>
      <c r="X10"/>
      <c r="Y10"/>
      <c r="Z10"/>
      <c r="AA10"/>
      <c r="AB10"/>
      <c r="AC10"/>
      <c r="AD10"/>
      <c r="AE10"/>
    </row>
    <row r="11" spans="1:31" ht="35.15" customHeight="1">
      <c r="B11" s="506"/>
      <c r="C11" s="506"/>
      <c r="D11" s="506"/>
      <c r="E11" s="506"/>
      <c r="F11" s="506"/>
      <c r="G11" s="30"/>
      <c r="H11" s="506"/>
      <c r="I11" s="506"/>
      <c r="J11"/>
      <c r="K11"/>
      <c r="L11"/>
      <c r="M11"/>
      <c r="N11"/>
      <c r="O11"/>
      <c r="P11"/>
      <c r="Q11"/>
      <c r="R11"/>
      <c r="S11"/>
      <c r="T11"/>
      <c r="U11"/>
      <c r="V11"/>
      <c r="W11"/>
      <c r="X11"/>
      <c r="Y11"/>
      <c r="Z11"/>
      <c r="AA11"/>
      <c r="AB11"/>
      <c r="AC11"/>
      <c r="AD11"/>
      <c r="AE11"/>
    </row>
    <row r="12" spans="1:31" ht="35.15" customHeight="1">
      <c r="B12" s="30" t="s">
        <v>1832</v>
      </c>
      <c r="C12" s="2730">
        <f>(IF(HPwES!J49="",0,HPwES!J49)+IF(HPwES!J102="",0,HPwES!J102)+IF(HPwES!J141="",0,HPwES!J141))+(IF('Customer Information'!K34="",0,'Customer Information'!K34))</f>
        <v>0</v>
      </c>
      <c r="D12" s="2730"/>
      <c r="E12" s="506"/>
      <c r="F12" s="506"/>
      <c r="G12" s="30" t="s">
        <v>1870</v>
      </c>
      <c r="H12" s="2730">
        <f>(HPwES!J47+HPwES!J100+HPwES!J139)+(Admin!AE4+Admin!AE5+Admin!AE6+Admin!AE7+Admin!AE8+Admin!AE9+Admin!AE10+Admin!AE11+Admin!AE12+Admin!AE13+Admin!AE14+Admin!AE15+Admin!AE16+Admin!AE17+Admin!AE18+Admin!AE19+Admin!AE20+Admin!AE21+Admin!AE22+Admin!AE23+Admin!AE24)</f>
        <v>0</v>
      </c>
      <c r="I12" s="2730"/>
      <c r="J12"/>
      <c r="K12"/>
      <c r="L12"/>
      <c r="M12"/>
      <c r="N12"/>
      <c r="O12"/>
      <c r="P12"/>
      <c r="Q12"/>
      <c r="R12"/>
      <c r="S12"/>
      <c r="T12"/>
      <c r="U12"/>
      <c r="V12"/>
      <c r="W12"/>
      <c r="X12"/>
      <c r="Y12"/>
      <c r="Z12"/>
      <c r="AA12"/>
      <c r="AB12"/>
      <c r="AC12"/>
      <c r="AD12"/>
      <c r="AE12"/>
    </row>
    <row r="13" spans="1:31" ht="35.15" customHeight="1">
      <c r="B13"/>
      <c r="C13"/>
      <c r="D13"/>
      <c r="E13"/>
      <c r="F13"/>
      <c r="G13" s="134"/>
      <c r="H13"/>
      <c r="I13"/>
      <c r="J13"/>
      <c r="K13"/>
      <c r="L13"/>
      <c r="M13"/>
      <c r="N13"/>
      <c r="O13"/>
      <c r="P13"/>
      <c r="Q13"/>
      <c r="R13"/>
      <c r="S13"/>
      <c r="T13"/>
      <c r="U13"/>
      <c r="V13"/>
      <c r="W13"/>
      <c r="X13"/>
      <c r="Y13"/>
      <c r="Z13"/>
      <c r="AA13"/>
      <c r="AB13"/>
      <c r="AC13"/>
      <c r="AD13"/>
      <c r="AE13"/>
    </row>
    <row r="14" spans="1:31" ht="35.15" customHeight="1">
      <c r="B14" s="30" t="s">
        <v>1831</v>
      </c>
      <c r="C14" s="2728"/>
      <c r="D14" s="2728"/>
      <c r="E14"/>
      <c r="F14"/>
      <c r="G14" s="30" t="s">
        <v>1325</v>
      </c>
      <c r="H14" s="2728"/>
      <c r="I14" s="2728"/>
      <c r="J14"/>
      <c r="K14"/>
      <c r="L14"/>
      <c r="M14"/>
      <c r="N14"/>
      <c r="O14"/>
      <c r="P14"/>
      <c r="Q14"/>
      <c r="R14"/>
      <c r="S14"/>
      <c r="T14"/>
      <c r="U14"/>
      <c r="V14"/>
      <c r="W14"/>
      <c r="X14"/>
      <c r="Y14"/>
      <c r="Z14"/>
      <c r="AA14"/>
      <c r="AB14"/>
      <c r="AC14"/>
      <c r="AD14"/>
      <c r="AE14"/>
    </row>
    <row r="15" spans="1:31" ht="35.15" customHeight="1">
      <c r="B15"/>
      <c r="C15"/>
      <c r="D15"/>
      <c r="E15"/>
      <c r="F15"/>
      <c r="G15" s="134"/>
      <c r="H15"/>
      <c r="I15"/>
      <c r="J15"/>
      <c r="K15"/>
      <c r="L15"/>
      <c r="M15"/>
      <c r="N15"/>
      <c r="O15"/>
      <c r="P15"/>
      <c r="Q15"/>
      <c r="R15"/>
      <c r="S15"/>
      <c r="T15"/>
      <c r="U15"/>
      <c r="V15"/>
      <c r="W15"/>
      <c r="X15"/>
      <c r="Y15"/>
      <c r="Z15"/>
      <c r="AA15"/>
      <c r="AB15"/>
      <c r="AC15"/>
      <c r="AD15"/>
      <c r="AE15"/>
    </row>
    <row r="16" spans="1:31" ht="35.15" customHeight="1">
      <c r="B16" s="30" t="s">
        <v>1871</v>
      </c>
      <c r="C16" s="2728"/>
      <c r="D16" s="2728"/>
      <c r="E16"/>
      <c r="F16"/>
      <c r="G16" s="30" t="s">
        <v>1833</v>
      </c>
      <c r="H16" s="2728"/>
      <c r="I16" s="2728"/>
      <c r="J16"/>
      <c r="K16"/>
      <c r="L16"/>
      <c r="M16"/>
      <c r="N16"/>
      <c r="O16"/>
      <c r="P16"/>
      <c r="Q16"/>
      <c r="R16"/>
      <c r="S16"/>
      <c r="T16"/>
      <c r="U16"/>
      <c r="V16"/>
      <c r="W16"/>
      <c r="X16"/>
      <c r="Y16"/>
      <c r="Z16"/>
      <c r="AA16"/>
      <c r="AB16"/>
      <c r="AC16"/>
      <c r="AD16"/>
      <c r="AE16"/>
    </row>
    <row r="17" spans="2:31" ht="35.15" customHeight="1">
      <c r="B17"/>
      <c r="C17"/>
      <c r="D17"/>
      <c r="E17"/>
      <c r="F17"/>
      <c r="G17" s="134"/>
      <c r="H17"/>
      <c r="I17"/>
      <c r="J17"/>
      <c r="K17"/>
      <c r="L17"/>
      <c r="M17"/>
      <c r="N17"/>
      <c r="O17"/>
      <c r="P17"/>
      <c r="Q17"/>
      <c r="R17"/>
      <c r="S17"/>
      <c r="T17"/>
      <c r="U17"/>
      <c r="V17"/>
      <c r="W17"/>
      <c r="X17"/>
      <c r="Y17"/>
      <c r="Z17"/>
      <c r="AA17"/>
      <c r="AB17"/>
      <c r="AC17"/>
      <c r="AD17"/>
      <c r="AE17"/>
    </row>
    <row r="18" spans="2:31" ht="35.15" customHeight="1">
      <c r="B18" s="30" t="s">
        <v>1834</v>
      </c>
      <c r="C18" s="2728"/>
      <c r="D18" s="2728"/>
      <c r="E18"/>
      <c r="F18"/>
      <c r="G18" s="30" t="s">
        <v>1835</v>
      </c>
      <c r="H18" s="2728"/>
      <c r="I18" s="2728"/>
      <c r="J18"/>
      <c r="K18"/>
      <c r="L18"/>
      <c r="M18"/>
      <c r="N18"/>
      <c r="O18"/>
      <c r="P18"/>
      <c r="Q18"/>
      <c r="R18"/>
      <c r="S18"/>
      <c r="T18"/>
      <c r="U18"/>
      <c r="V18"/>
      <c r="W18"/>
      <c r="X18"/>
      <c r="Y18"/>
      <c r="Z18"/>
      <c r="AA18"/>
      <c r="AB18"/>
      <c r="AC18"/>
      <c r="AD18"/>
      <c r="AE18"/>
    </row>
    <row r="19" spans="2:31" ht="35.15" customHeight="1">
      <c r="B19"/>
      <c r="C19"/>
      <c r="D19"/>
      <c r="E19"/>
      <c r="F19"/>
      <c r="G19" s="654" t="s">
        <v>1836</v>
      </c>
      <c r="H19"/>
      <c r="I19"/>
      <c r="J19"/>
      <c r="K19"/>
      <c r="L19"/>
      <c r="M19"/>
      <c r="N19"/>
      <c r="O19"/>
      <c r="P19"/>
      <c r="Q19"/>
      <c r="R19"/>
      <c r="S19"/>
      <c r="T19"/>
      <c r="U19"/>
      <c r="V19"/>
      <c r="W19"/>
      <c r="X19"/>
      <c r="Y19"/>
      <c r="Z19"/>
      <c r="AA19"/>
      <c r="AB19"/>
      <c r="AC19"/>
      <c r="AD19"/>
      <c r="AE19"/>
    </row>
    <row r="20" spans="2:31" ht="35.15" customHeight="1">
      <c r="B20" s="30" t="s">
        <v>2013</v>
      </c>
      <c r="C20" s="2728"/>
      <c r="D20" s="2728"/>
      <c r="E20"/>
      <c r="F20"/>
      <c r="G20"/>
      <c r="H20"/>
      <c r="I20"/>
      <c r="J20"/>
      <c r="K20"/>
      <c r="L20"/>
      <c r="M20"/>
      <c r="N20"/>
      <c r="O20"/>
      <c r="P20"/>
      <c r="Q20"/>
      <c r="R20"/>
      <c r="S20"/>
      <c r="T20"/>
      <c r="U20"/>
      <c r="V20"/>
      <c r="W20"/>
      <c r="X20"/>
      <c r="Y20"/>
      <c r="Z20"/>
      <c r="AA20"/>
      <c r="AB20"/>
      <c r="AC20"/>
      <c r="AD20"/>
      <c r="AE20"/>
    </row>
    <row r="21" spans="2:31" ht="35.15" customHeight="1">
      <c r="B21"/>
      <c r="C21"/>
      <c r="D21"/>
      <c r="E21"/>
      <c r="F21"/>
      <c r="G21"/>
      <c r="H21"/>
      <c r="I21"/>
      <c r="J21"/>
      <c r="K21"/>
      <c r="L21"/>
      <c r="M21"/>
      <c r="N21"/>
      <c r="O21"/>
      <c r="P21"/>
      <c r="Q21"/>
      <c r="R21"/>
      <c r="S21"/>
      <c r="T21"/>
      <c r="U21"/>
      <c r="V21"/>
      <c r="W21"/>
      <c r="X21"/>
      <c r="Y21"/>
      <c r="Z21"/>
      <c r="AA21"/>
      <c r="AB21"/>
      <c r="AC21"/>
      <c r="AD21"/>
      <c r="AE21"/>
    </row>
    <row r="22" spans="2:31" ht="35.15" customHeight="1">
      <c r="B22"/>
      <c r="C22"/>
      <c r="D22"/>
      <c r="E22"/>
      <c r="F22"/>
      <c r="G22"/>
      <c r="H22"/>
      <c r="I22"/>
      <c r="J22"/>
      <c r="K22"/>
      <c r="L22"/>
      <c r="M22"/>
      <c r="N22"/>
      <c r="O22"/>
      <c r="P22"/>
      <c r="Q22"/>
      <c r="R22"/>
      <c r="S22"/>
      <c r="T22"/>
      <c r="U22"/>
      <c r="V22"/>
      <c r="W22"/>
      <c r="X22"/>
      <c r="Y22"/>
      <c r="Z22"/>
      <c r="AA22"/>
      <c r="AB22"/>
      <c r="AC22"/>
      <c r="AD22"/>
      <c r="AE22"/>
    </row>
    <row r="23" spans="2:31" ht="35.15" customHeight="1">
      <c r="B23"/>
      <c r="C23"/>
      <c r="D23"/>
      <c r="E23"/>
      <c r="F23"/>
      <c r="G23"/>
      <c r="H23"/>
      <c r="I23"/>
      <c r="J23"/>
      <c r="K23"/>
      <c r="L23"/>
      <c r="M23"/>
      <c r="N23"/>
      <c r="O23"/>
      <c r="P23"/>
      <c r="Q23"/>
      <c r="R23"/>
      <c r="S23"/>
      <c r="T23"/>
      <c r="U23"/>
      <c r="V23"/>
      <c r="W23"/>
      <c r="X23"/>
      <c r="Y23"/>
      <c r="Z23"/>
      <c r="AA23"/>
      <c r="AB23"/>
      <c r="AC23"/>
      <c r="AD23"/>
      <c r="AE23"/>
    </row>
    <row r="24" spans="2:31" ht="35.15" customHeight="1">
      <c r="B24"/>
      <c r="C24"/>
      <c r="D24"/>
      <c r="E24"/>
      <c r="F24"/>
      <c r="G24"/>
      <c r="H24"/>
      <c r="I24"/>
      <c r="J24"/>
      <c r="K24"/>
      <c r="L24"/>
      <c r="M24"/>
      <c r="N24"/>
      <c r="O24"/>
      <c r="P24"/>
      <c r="Q24"/>
      <c r="R24"/>
      <c r="S24"/>
      <c r="T24"/>
      <c r="U24"/>
      <c r="V24"/>
      <c r="W24"/>
      <c r="X24"/>
      <c r="Y24"/>
      <c r="Z24"/>
      <c r="AA24"/>
      <c r="AB24"/>
      <c r="AC24"/>
      <c r="AD24"/>
      <c r="AE24"/>
    </row>
    <row r="25" spans="2:31" ht="35.15" customHeight="1">
      <c r="B25"/>
      <c r="C25"/>
      <c r="D25"/>
      <c r="E25"/>
      <c r="F25"/>
      <c r="G25"/>
      <c r="H25"/>
      <c r="I25"/>
      <c r="J25"/>
      <c r="K25"/>
      <c r="L25"/>
      <c r="M25"/>
      <c r="N25"/>
      <c r="O25"/>
      <c r="P25"/>
      <c r="Q25"/>
      <c r="R25"/>
      <c r="S25"/>
      <c r="T25"/>
      <c r="U25"/>
      <c r="V25"/>
      <c r="W25"/>
      <c r="X25"/>
      <c r="Y25"/>
      <c r="Z25"/>
      <c r="AA25"/>
      <c r="AB25"/>
      <c r="AC25"/>
      <c r="AD25"/>
      <c r="AE25"/>
    </row>
    <row r="26" spans="2:31" ht="35.15" customHeight="1">
      <c r="B26"/>
      <c r="C26"/>
      <c r="D26"/>
      <c r="E26"/>
      <c r="F26"/>
      <c r="G26"/>
      <c r="H26"/>
      <c r="I26"/>
      <c r="J26"/>
      <c r="K26"/>
      <c r="L26"/>
      <c r="M26"/>
      <c r="N26"/>
      <c r="O26"/>
      <c r="P26"/>
      <c r="Q26"/>
      <c r="R26"/>
      <c r="S26"/>
      <c r="T26"/>
      <c r="U26"/>
      <c r="V26"/>
      <c r="W26"/>
      <c r="X26"/>
      <c r="Y26"/>
      <c r="Z26"/>
      <c r="AA26"/>
      <c r="AB26"/>
      <c r="AC26"/>
      <c r="AD26"/>
      <c r="AE26"/>
    </row>
    <row r="27" spans="2:31" ht="35.15" customHeight="1">
      <c r="B27"/>
      <c r="C27"/>
      <c r="D27"/>
      <c r="E27"/>
      <c r="F27"/>
      <c r="G27"/>
      <c r="H27"/>
      <c r="I27"/>
      <c r="J27"/>
      <c r="K27"/>
      <c r="L27"/>
      <c r="M27"/>
      <c r="N27"/>
      <c r="O27"/>
      <c r="P27"/>
      <c r="Q27"/>
      <c r="R27"/>
      <c r="S27"/>
      <c r="T27"/>
      <c r="U27"/>
      <c r="V27"/>
      <c r="W27"/>
      <c r="X27"/>
      <c r="Y27"/>
      <c r="Z27"/>
      <c r="AA27"/>
      <c r="AB27"/>
      <c r="AC27"/>
      <c r="AD27"/>
      <c r="AE27"/>
    </row>
    <row r="28" spans="2:31" ht="35.15" customHeight="1">
      <c r="B28"/>
      <c r="C28"/>
      <c r="D28"/>
      <c r="E28"/>
      <c r="F28"/>
      <c r="G28"/>
      <c r="H28"/>
      <c r="I28"/>
      <c r="J28"/>
      <c r="K28"/>
      <c r="L28"/>
      <c r="M28"/>
      <c r="N28"/>
      <c r="O28"/>
      <c r="P28"/>
      <c r="Q28"/>
      <c r="R28"/>
      <c r="S28"/>
      <c r="T28"/>
      <c r="U28"/>
      <c r="V28"/>
      <c r="W28"/>
      <c r="X28"/>
      <c r="Y28"/>
      <c r="Z28"/>
      <c r="AA28"/>
      <c r="AB28"/>
      <c r="AC28"/>
      <c r="AD28"/>
      <c r="AE28"/>
    </row>
    <row r="29" spans="2:31" ht="35.15" customHeight="1">
      <c r="B29"/>
      <c r="C29"/>
      <c r="D29"/>
      <c r="E29"/>
      <c r="F29"/>
      <c r="G29"/>
      <c r="H29"/>
      <c r="I29"/>
      <c r="J29"/>
      <c r="K29"/>
      <c r="L29"/>
      <c r="M29"/>
      <c r="N29"/>
      <c r="O29"/>
      <c r="P29"/>
      <c r="Q29"/>
      <c r="R29"/>
      <c r="S29"/>
      <c r="T29"/>
      <c r="U29"/>
      <c r="V29"/>
      <c r="W29"/>
      <c r="X29"/>
      <c r="Y29"/>
      <c r="Z29"/>
      <c r="AA29"/>
      <c r="AB29"/>
      <c r="AC29"/>
      <c r="AD29"/>
      <c r="AE29"/>
    </row>
    <row r="30" spans="2:31" ht="35.15" customHeight="1">
      <c r="B30"/>
      <c r="C30"/>
      <c r="D30"/>
      <c r="E30"/>
      <c r="F30"/>
      <c r="G30"/>
      <c r="H30"/>
      <c r="I30"/>
      <c r="J30"/>
      <c r="K30"/>
      <c r="L30"/>
      <c r="M30"/>
      <c r="N30"/>
      <c r="O30"/>
      <c r="P30"/>
      <c r="Q30"/>
      <c r="R30"/>
      <c r="S30"/>
      <c r="T30"/>
      <c r="U30"/>
      <c r="V30"/>
      <c r="W30"/>
      <c r="X30"/>
      <c r="Y30"/>
      <c r="Z30"/>
      <c r="AA30"/>
      <c r="AB30"/>
      <c r="AC30"/>
      <c r="AD30"/>
      <c r="AE30"/>
    </row>
    <row r="31" spans="2:31" ht="35.15" customHeight="1">
      <c r="B31"/>
      <c r="C31"/>
      <c r="D31"/>
      <c r="E31"/>
      <c r="F31"/>
      <c r="G31"/>
      <c r="H31"/>
      <c r="I31"/>
      <c r="J31"/>
      <c r="K31"/>
      <c r="L31"/>
      <c r="M31"/>
      <c r="N31"/>
      <c r="O31"/>
      <c r="P31"/>
      <c r="Q31"/>
      <c r="R31"/>
      <c r="S31"/>
      <c r="T31"/>
      <c r="U31"/>
      <c r="V31"/>
      <c r="W31"/>
      <c r="X31"/>
      <c r="Y31"/>
      <c r="Z31"/>
      <c r="AA31"/>
      <c r="AB31"/>
      <c r="AC31"/>
      <c r="AD31"/>
      <c r="AE31"/>
    </row>
    <row r="32" spans="2:31" ht="35.15" customHeight="1">
      <c r="B32"/>
      <c r="C32"/>
      <c r="D32"/>
      <c r="E32"/>
      <c r="F32"/>
      <c r="G32"/>
      <c r="H32"/>
      <c r="I32"/>
      <c r="J32"/>
      <c r="K32"/>
      <c r="L32"/>
      <c r="M32"/>
      <c r="N32"/>
      <c r="O32"/>
      <c r="P32"/>
      <c r="Q32"/>
      <c r="R32"/>
      <c r="S32"/>
      <c r="T32"/>
      <c r="U32"/>
      <c r="V32"/>
      <c r="W32"/>
      <c r="X32"/>
      <c r="Y32"/>
      <c r="Z32"/>
      <c r="AA32"/>
      <c r="AB32"/>
      <c r="AC32"/>
      <c r="AD32"/>
      <c r="AE32"/>
    </row>
    <row r="33" spans="2:31" ht="35.15" customHeight="1">
      <c r="B33"/>
      <c r="C33"/>
      <c r="D33"/>
      <c r="E33"/>
      <c r="F33"/>
      <c r="G33"/>
      <c r="H33"/>
      <c r="I33"/>
      <c r="J33"/>
      <c r="K33"/>
      <c r="L33"/>
      <c r="M33"/>
      <c r="N33"/>
      <c r="O33"/>
      <c r="P33"/>
      <c r="Q33"/>
      <c r="R33"/>
      <c r="S33"/>
      <c r="T33"/>
      <c r="U33"/>
      <c r="V33"/>
      <c r="W33"/>
      <c r="X33"/>
      <c r="Y33"/>
      <c r="Z33"/>
      <c r="AA33"/>
      <c r="AB33"/>
      <c r="AC33"/>
      <c r="AD33"/>
      <c r="AE33"/>
    </row>
    <row r="34" spans="2:31" ht="35.15" customHeight="1">
      <c r="B34"/>
      <c r="C34"/>
      <c r="D34"/>
      <c r="E34"/>
      <c r="F34"/>
      <c r="G34"/>
      <c r="H34"/>
      <c r="I34"/>
      <c r="J34"/>
      <c r="K34"/>
      <c r="L34"/>
      <c r="M34"/>
      <c r="N34"/>
      <c r="O34"/>
      <c r="P34"/>
      <c r="Q34"/>
      <c r="R34"/>
      <c r="S34"/>
      <c r="T34"/>
      <c r="U34"/>
      <c r="V34"/>
      <c r="W34"/>
      <c r="X34"/>
      <c r="Y34"/>
      <c r="Z34"/>
      <c r="AA34"/>
      <c r="AB34"/>
      <c r="AC34"/>
      <c r="AD34"/>
      <c r="AE34"/>
    </row>
    <row r="35" spans="2:31" ht="35.15" customHeight="1">
      <c r="B35"/>
      <c r="C35"/>
      <c r="D35"/>
      <c r="E35"/>
      <c r="F35"/>
      <c r="G35"/>
      <c r="H35"/>
      <c r="I35"/>
      <c r="J35"/>
      <c r="K35"/>
      <c r="L35"/>
      <c r="M35"/>
      <c r="N35"/>
      <c r="O35"/>
      <c r="P35"/>
      <c r="Q35"/>
      <c r="R35"/>
      <c r="S35"/>
      <c r="T35"/>
      <c r="U35"/>
      <c r="V35"/>
      <c r="W35"/>
      <c r="X35"/>
      <c r="Y35"/>
      <c r="Z35"/>
      <c r="AA35"/>
      <c r="AB35"/>
      <c r="AC35"/>
      <c r="AD35"/>
      <c r="AE35"/>
    </row>
    <row r="36" spans="2:31" ht="35.15" customHeight="1">
      <c r="B36"/>
      <c r="C36"/>
      <c r="D36"/>
      <c r="E36"/>
      <c r="F36"/>
      <c r="G36"/>
      <c r="H36"/>
      <c r="I36"/>
      <c r="J36"/>
      <c r="K36"/>
      <c r="L36"/>
      <c r="M36"/>
      <c r="N36"/>
      <c r="O36"/>
      <c r="P36"/>
      <c r="Q36"/>
      <c r="R36"/>
      <c r="S36"/>
      <c r="T36"/>
      <c r="U36"/>
      <c r="V36"/>
      <c r="W36"/>
      <c r="X36"/>
      <c r="Y36"/>
      <c r="Z36"/>
      <c r="AA36"/>
      <c r="AB36"/>
      <c r="AC36"/>
      <c r="AD36"/>
      <c r="AE36"/>
    </row>
    <row r="37" spans="2:31" ht="35.15" customHeight="1">
      <c r="B37"/>
      <c r="C37"/>
      <c r="D37"/>
      <c r="E37"/>
      <c r="F37"/>
      <c r="G37"/>
      <c r="H37"/>
      <c r="I37"/>
      <c r="J37"/>
      <c r="K37"/>
      <c r="L37"/>
      <c r="M37"/>
      <c r="N37"/>
      <c r="O37"/>
      <c r="P37"/>
      <c r="Q37"/>
      <c r="R37"/>
      <c r="S37"/>
      <c r="T37"/>
      <c r="U37"/>
      <c r="V37"/>
      <c r="W37"/>
      <c r="X37"/>
      <c r="Y37"/>
      <c r="Z37"/>
      <c r="AA37"/>
      <c r="AB37"/>
      <c r="AC37"/>
      <c r="AD37"/>
      <c r="AE37"/>
    </row>
    <row r="38" spans="2:31" ht="35.15" customHeight="1">
      <c r="B38"/>
      <c r="C38"/>
      <c r="D38"/>
      <c r="E38"/>
      <c r="F38"/>
      <c r="G38"/>
      <c r="H38"/>
      <c r="I38"/>
      <c r="J38"/>
      <c r="K38"/>
      <c r="L38"/>
      <c r="M38"/>
      <c r="N38"/>
      <c r="O38"/>
      <c r="P38"/>
      <c r="Q38"/>
      <c r="R38"/>
      <c r="S38"/>
      <c r="T38"/>
      <c r="U38"/>
      <c r="V38"/>
      <c r="W38"/>
      <c r="X38"/>
      <c r="Y38"/>
      <c r="Z38"/>
      <c r="AA38"/>
      <c r="AB38"/>
      <c r="AC38"/>
      <c r="AD38"/>
      <c r="AE38"/>
    </row>
    <row r="39" spans="2:31" ht="35.15" customHeight="1">
      <c r="B39"/>
      <c r="C39"/>
      <c r="D39"/>
      <c r="E39"/>
      <c r="F39"/>
      <c r="G39"/>
      <c r="H39"/>
      <c r="I39"/>
      <c r="J39"/>
      <c r="K39"/>
      <c r="L39"/>
      <c r="M39"/>
      <c r="N39"/>
      <c r="O39"/>
      <c r="P39"/>
      <c r="Q39"/>
      <c r="R39"/>
      <c r="S39"/>
      <c r="T39"/>
      <c r="U39"/>
      <c r="V39"/>
      <c r="W39"/>
      <c r="X39"/>
      <c r="Y39"/>
      <c r="Z39"/>
      <c r="AA39"/>
      <c r="AB39"/>
      <c r="AC39"/>
      <c r="AD39"/>
      <c r="AE39"/>
    </row>
    <row r="40" spans="2:31" ht="35.15" customHeight="1">
      <c r="B40"/>
      <c r="C40"/>
      <c r="D40"/>
      <c r="E40"/>
      <c r="F40"/>
      <c r="G40"/>
      <c r="H40"/>
      <c r="I40"/>
      <c r="J40"/>
      <c r="K40"/>
      <c r="L40"/>
      <c r="M40"/>
      <c r="N40"/>
      <c r="O40"/>
      <c r="P40"/>
      <c r="Q40"/>
      <c r="R40"/>
      <c r="S40"/>
      <c r="T40"/>
      <c r="U40"/>
      <c r="V40"/>
      <c r="W40"/>
      <c r="X40"/>
      <c r="Y40"/>
      <c r="Z40"/>
      <c r="AA40"/>
      <c r="AB40"/>
      <c r="AC40"/>
      <c r="AD40"/>
      <c r="AE40"/>
    </row>
    <row r="41" spans="2:31" ht="35.15" customHeight="1">
      <c r="B41"/>
      <c r="C41"/>
      <c r="D41"/>
      <c r="E41"/>
      <c r="F41"/>
      <c r="G41"/>
      <c r="H41"/>
      <c r="I41"/>
      <c r="J41"/>
      <c r="K41"/>
      <c r="L41"/>
      <c r="M41"/>
      <c r="N41"/>
      <c r="O41"/>
      <c r="P41"/>
      <c r="Q41"/>
      <c r="R41"/>
      <c r="S41"/>
      <c r="T41"/>
      <c r="U41"/>
      <c r="V41"/>
      <c r="W41"/>
      <c r="X41"/>
      <c r="Y41"/>
      <c r="Z41"/>
      <c r="AA41"/>
      <c r="AB41"/>
      <c r="AC41"/>
      <c r="AD41"/>
      <c r="AE41"/>
    </row>
    <row r="42" spans="2:31" ht="35.15" customHeight="1">
      <c r="B42"/>
      <c r="C42"/>
      <c r="D42"/>
      <c r="E42"/>
      <c r="F42"/>
      <c r="G42"/>
      <c r="H42"/>
      <c r="I42"/>
      <c r="J42"/>
      <c r="K42"/>
      <c r="L42"/>
      <c r="M42"/>
      <c r="N42"/>
      <c r="O42"/>
      <c r="P42"/>
      <c r="Q42"/>
      <c r="R42"/>
      <c r="S42"/>
      <c r="T42"/>
      <c r="U42"/>
      <c r="V42"/>
      <c r="W42"/>
      <c r="X42"/>
      <c r="Y42"/>
      <c r="Z42"/>
      <c r="AA42"/>
      <c r="AB42"/>
      <c r="AC42"/>
      <c r="AD42"/>
      <c r="AE42"/>
    </row>
    <row r="43" spans="2:31" ht="35.15" customHeight="1">
      <c r="B43"/>
      <c r="C43"/>
      <c r="D43"/>
      <c r="E43"/>
      <c r="F43"/>
      <c r="G43"/>
      <c r="H43"/>
      <c r="I43"/>
      <c r="J43"/>
      <c r="K43"/>
      <c r="L43"/>
      <c r="M43"/>
      <c r="N43"/>
      <c r="O43"/>
      <c r="P43"/>
      <c r="Q43"/>
      <c r="R43"/>
      <c r="S43"/>
      <c r="T43"/>
      <c r="U43"/>
      <c r="V43"/>
      <c r="W43"/>
      <c r="X43"/>
      <c r="Y43"/>
      <c r="Z43"/>
      <c r="AA43"/>
      <c r="AB43"/>
      <c r="AC43"/>
      <c r="AD43"/>
      <c r="AE43"/>
    </row>
    <row r="44" spans="2:31" ht="35.15" customHeight="1">
      <c r="B44"/>
      <c r="C44"/>
      <c r="D44"/>
      <c r="E44"/>
      <c r="F44"/>
      <c r="G44"/>
      <c r="H44"/>
      <c r="I44"/>
      <c r="J44"/>
      <c r="K44"/>
      <c r="L44"/>
      <c r="M44"/>
      <c r="N44"/>
      <c r="O44"/>
      <c r="P44"/>
      <c r="Q44"/>
      <c r="R44"/>
      <c r="S44"/>
      <c r="T44"/>
      <c r="U44"/>
      <c r="V44"/>
      <c r="W44"/>
      <c r="X44"/>
      <c r="Y44"/>
      <c r="Z44"/>
      <c r="AA44"/>
      <c r="AB44"/>
      <c r="AC44"/>
      <c r="AD44"/>
      <c r="AE44"/>
    </row>
    <row r="45" spans="2:31" ht="35.15" customHeight="1">
      <c r="B45"/>
      <c r="C45"/>
      <c r="D45"/>
      <c r="E45"/>
      <c r="F45"/>
      <c r="G45"/>
      <c r="H45"/>
      <c r="I45"/>
      <c r="J45"/>
      <c r="K45"/>
      <c r="L45"/>
      <c r="M45"/>
      <c r="N45"/>
      <c r="O45"/>
      <c r="P45"/>
      <c r="Q45"/>
      <c r="R45"/>
      <c r="S45"/>
      <c r="T45"/>
      <c r="U45"/>
      <c r="V45"/>
      <c r="W45"/>
      <c r="X45"/>
      <c r="Y45"/>
      <c r="Z45"/>
      <c r="AA45"/>
      <c r="AB45"/>
      <c r="AC45"/>
      <c r="AD45"/>
      <c r="AE45"/>
    </row>
    <row r="46" spans="2:31">
      <c r="B46"/>
      <c r="C46"/>
      <c r="D46"/>
      <c r="E46"/>
      <c r="F46"/>
      <c r="G46"/>
      <c r="H46"/>
      <c r="I46"/>
      <c r="J46"/>
      <c r="K46"/>
      <c r="L46"/>
      <c r="M46"/>
      <c r="N46"/>
      <c r="O46"/>
      <c r="P46"/>
      <c r="Q46"/>
      <c r="R46"/>
      <c r="S46"/>
      <c r="T46"/>
      <c r="U46"/>
      <c r="V46"/>
      <c r="W46"/>
      <c r="X46"/>
      <c r="Y46"/>
      <c r="Z46"/>
      <c r="AA46"/>
      <c r="AB46"/>
      <c r="AC46"/>
      <c r="AD46"/>
      <c r="AE46"/>
    </row>
    <row r="47" spans="2:31">
      <c r="B47"/>
      <c r="C47"/>
      <c r="D47"/>
      <c r="E47"/>
      <c r="F47"/>
      <c r="G47"/>
      <c r="H47"/>
      <c r="I47"/>
      <c r="J47"/>
      <c r="K47"/>
      <c r="L47"/>
      <c r="M47"/>
      <c r="N47"/>
      <c r="O47"/>
      <c r="P47"/>
      <c r="Q47"/>
      <c r="R47"/>
      <c r="S47"/>
      <c r="T47"/>
      <c r="U47"/>
      <c r="V47"/>
      <c r="W47"/>
      <c r="X47"/>
      <c r="Y47"/>
      <c r="Z47"/>
      <c r="AA47"/>
      <c r="AB47"/>
      <c r="AC47"/>
      <c r="AD47"/>
      <c r="AE47"/>
    </row>
    <row r="48" spans="2:31">
      <c r="B48"/>
      <c r="C48"/>
      <c r="D48"/>
      <c r="E48"/>
      <c r="F48"/>
      <c r="G48"/>
      <c r="H48"/>
      <c r="I48"/>
      <c r="J48"/>
      <c r="K48"/>
      <c r="L48"/>
      <c r="M48"/>
      <c r="N48"/>
      <c r="O48"/>
      <c r="P48"/>
      <c r="Q48"/>
      <c r="R48"/>
      <c r="S48"/>
      <c r="T48"/>
      <c r="U48"/>
      <c r="V48"/>
      <c r="W48"/>
      <c r="X48"/>
      <c r="Y48"/>
      <c r="Z48"/>
      <c r="AA48"/>
      <c r="AB48"/>
      <c r="AC48"/>
      <c r="AD48"/>
      <c r="AE48"/>
    </row>
    <row r="49" spans="2:31">
      <c r="B49"/>
      <c r="C49"/>
      <c r="D49"/>
      <c r="E49"/>
      <c r="F49"/>
      <c r="G49"/>
      <c r="H49"/>
      <c r="I49"/>
      <c r="J49"/>
      <c r="K49"/>
      <c r="L49"/>
      <c r="M49"/>
      <c r="N49"/>
      <c r="O49"/>
      <c r="P49"/>
      <c r="Q49"/>
      <c r="R49"/>
      <c r="S49"/>
      <c r="T49"/>
      <c r="U49"/>
      <c r="V49"/>
      <c r="W49"/>
      <c r="X49"/>
      <c r="Y49"/>
      <c r="Z49"/>
      <c r="AA49"/>
      <c r="AB49"/>
      <c r="AC49"/>
      <c r="AD49"/>
      <c r="AE49"/>
    </row>
    <row r="50" spans="2:31">
      <c r="B50"/>
      <c r="C50"/>
      <c r="D50"/>
      <c r="E50"/>
      <c r="F50"/>
      <c r="G50"/>
      <c r="H50"/>
      <c r="I50"/>
      <c r="J50"/>
      <c r="K50"/>
      <c r="L50"/>
      <c r="M50"/>
      <c r="N50"/>
      <c r="O50"/>
      <c r="P50"/>
      <c r="Q50"/>
      <c r="R50"/>
      <c r="S50"/>
      <c r="T50"/>
      <c r="U50"/>
      <c r="V50"/>
      <c r="W50"/>
      <c r="X50"/>
      <c r="Y50"/>
      <c r="Z50"/>
      <c r="AA50"/>
      <c r="AB50"/>
      <c r="AC50"/>
      <c r="AD50"/>
      <c r="AE50"/>
    </row>
    <row r="51" spans="2:31">
      <c r="B51"/>
      <c r="C51"/>
      <c r="D51"/>
      <c r="E51"/>
      <c r="F51"/>
      <c r="G51"/>
      <c r="H51"/>
      <c r="I51"/>
      <c r="J51"/>
      <c r="K51"/>
      <c r="L51"/>
      <c r="M51"/>
      <c r="N51"/>
      <c r="O51"/>
      <c r="P51"/>
      <c r="Q51"/>
      <c r="R51"/>
      <c r="S51"/>
      <c r="T51"/>
      <c r="U51"/>
      <c r="V51"/>
      <c r="W51"/>
      <c r="X51"/>
      <c r="Y51"/>
      <c r="Z51"/>
      <c r="AA51"/>
      <c r="AB51"/>
      <c r="AC51"/>
      <c r="AD51"/>
      <c r="AE51"/>
    </row>
    <row r="52" spans="2:31">
      <c r="B52"/>
      <c r="C52"/>
      <c r="D52"/>
      <c r="E52"/>
      <c r="F52"/>
      <c r="G52"/>
      <c r="H52"/>
      <c r="I52"/>
      <c r="J52"/>
      <c r="K52"/>
      <c r="L52"/>
      <c r="M52"/>
      <c r="N52"/>
      <c r="O52"/>
      <c r="P52"/>
      <c r="Q52"/>
      <c r="R52"/>
      <c r="S52"/>
      <c r="T52"/>
      <c r="U52"/>
      <c r="V52"/>
      <c r="W52"/>
      <c r="X52"/>
      <c r="Y52"/>
      <c r="Z52"/>
      <c r="AA52"/>
      <c r="AB52"/>
      <c r="AC52"/>
      <c r="AD52"/>
      <c r="AE52"/>
    </row>
    <row r="53" spans="2:31">
      <c r="B53"/>
      <c r="C53"/>
      <c r="D53"/>
      <c r="E53"/>
      <c r="F53"/>
      <c r="G53"/>
      <c r="H53"/>
      <c r="I53"/>
      <c r="J53"/>
      <c r="K53"/>
      <c r="L53"/>
      <c r="M53"/>
      <c r="N53"/>
      <c r="O53"/>
      <c r="P53"/>
      <c r="Q53"/>
      <c r="R53"/>
      <c r="S53"/>
      <c r="T53"/>
      <c r="U53"/>
      <c r="V53"/>
      <c r="W53"/>
      <c r="X53"/>
      <c r="Y53"/>
      <c r="Z53"/>
      <c r="AA53"/>
      <c r="AB53"/>
      <c r="AC53"/>
      <c r="AD53"/>
      <c r="AE53"/>
    </row>
    <row r="54" spans="2:31">
      <c r="B54"/>
      <c r="C54"/>
      <c r="D54"/>
      <c r="E54"/>
      <c r="F54"/>
      <c r="G54"/>
      <c r="H54"/>
      <c r="I54"/>
      <c r="J54"/>
      <c r="K54"/>
      <c r="L54"/>
      <c r="M54"/>
      <c r="N54"/>
      <c r="O54"/>
      <c r="P54"/>
      <c r="Q54"/>
      <c r="R54"/>
      <c r="S54"/>
      <c r="T54"/>
      <c r="U54"/>
      <c r="V54"/>
      <c r="W54"/>
      <c r="X54"/>
      <c r="Y54"/>
      <c r="Z54"/>
      <c r="AA54"/>
      <c r="AB54"/>
      <c r="AC54"/>
      <c r="AD54"/>
      <c r="AE54"/>
    </row>
    <row r="55" spans="2:31">
      <c r="B55"/>
      <c r="C55"/>
      <c r="D55"/>
      <c r="E55"/>
      <c r="F55"/>
      <c r="G55"/>
      <c r="H55"/>
      <c r="I55"/>
      <c r="J55"/>
      <c r="K55"/>
      <c r="L55"/>
      <c r="M55"/>
      <c r="N55"/>
      <c r="O55"/>
      <c r="P55"/>
      <c r="Q55"/>
      <c r="R55"/>
      <c r="S55"/>
      <c r="T55"/>
      <c r="U55"/>
      <c r="V55"/>
      <c r="W55"/>
      <c r="X55"/>
      <c r="Y55"/>
      <c r="Z55"/>
      <c r="AA55"/>
      <c r="AB55"/>
      <c r="AC55"/>
      <c r="AD55"/>
      <c r="AE55"/>
    </row>
  </sheetData>
  <sheetProtection algorithmName="SHA-512" hashValue="zE6urKVFnJM8C2edsFjvH8/90xYzKgCQxJF1AmsjQkJCiPLEjMlEMNuHiw2kYffmMRQruBh/XiYTnI7ndqlBnA==" saltValue="d1tMG3A3+1/v17tIWo+bIQ==" spinCount="100000" sheet="1" objects="1" scenarios="1"/>
  <mergeCells count="15">
    <mergeCell ref="C20:D20"/>
    <mergeCell ref="H18:I18"/>
    <mergeCell ref="C18:D18"/>
    <mergeCell ref="H6:I6"/>
    <mergeCell ref="H8:I8"/>
    <mergeCell ref="H10:I10"/>
    <mergeCell ref="C16:D16"/>
    <mergeCell ref="C10:D10"/>
    <mergeCell ref="C8:D8"/>
    <mergeCell ref="C6:D6"/>
    <mergeCell ref="H16:I16"/>
    <mergeCell ref="C12:D12"/>
    <mergeCell ref="H12:I12"/>
    <mergeCell ref="C14:D14"/>
    <mergeCell ref="H14:I14"/>
  </mergeCells>
  <conditionalFormatting sqref="B14 G14 B16 G16 B18 G18:G19">
    <cfRule type="expression" dxfId="31" priority="4">
      <formula>$A$1=1043</formula>
    </cfRule>
  </conditionalFormatting>
  <conditionalFormatting sqref="B20">
    <cfRule type="expression" dxfId="30" priority="2">
      <formula>$A$1=1043</formula>
    </cfRule>
  </conditionalFormatting>
  <conditionalFormatting sqref="B3:I12">
    <cfRule type="expression" dxfId="29" priority="6">
      <formula>$A$1=1043</formula>
    </cfRule>
  </conditionalFormatting>
  <conditionalFormatting sqref="C6:D6 H6:I6 C8:D8 H8:I8 C10:D10 H10:I10 C12:D12 H12:I12">
    <cfRule type="expression" dxfId="28" priority="5">
      <formula>$A$1=1043</formula>
    </cfRule>
  </conditionalFormatting>
  <conditionalFormatting sqref="C14:D14 H14:I14 C16:D16 H16:I16 C18:D18 H18:I18">
    <cfRule type="expression" dxfId="27" priority="3">
      <formula>$A$1=1043</formula>
    </cfRule>
  </conditionalFormatting>
  <conditionalFormatting sqref="C20:D20">
    <cfRule type="expression" dxfId="26" priority="1">
      <formula>$A$1=1043</formula>
    </cfRule>
  </conditionalFormatting>
  <dataValidations count="3">
    <dataValidation type="list" allowBlank="1" showInputMessage="1" showErrorMessage="1" sqref="H16:I16" xr:uid="{6434633E-B541-458B-B820-76F567D50440}">
      <formula1>"Home Comfort, HPwES, Home Comfort and HPwES, Home Comfort (Income Eligible), HPwES (Income Eligible), Home Comfort and HPwES (Income Eligible)"</formula1>
    </dataValidation>
    <dataValidation type="list" allowBlank="1" showInputMessage="1" showErrorMessage="1" sqref="C18" xr:uid="{DB364EEF-D8BF-4EC9-9CF5-86B8511F8A13}">
      <formula1>"Smart Energy, OBR"</formula1>
    </dataValidation>
    <dataValidation type="list" allowBlank="1" showInputMessage="1" showErrorMessage="1" sqref="H14:I14" xr:uid="{480DC80C-F794-4AB0-A742-0D68BBB591D3}">
      <formula1>"Home Comfort, HPwES, Home Comfort and HPwES"</formula1>
    </dataValidation>
  </dataValidation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8"/>
  <dimension ref="A1:O214"/>
  <sheetViews>
    <sheetView showGridLines="0" zoomScale="90" zoomScaleNormal="90" zoomScaleSheetLayoutView="90" workbookViewId="0">
      <selection activeCell="B6" sqref="B6"/>
    </sheetView>
  </sheetViews>
  <sheetFormatPr defaultColWidth="0" defaultRowHeight="14.5" zeroHeight="1"/>
  <cols>
    <col min="1" max="1" width="11.54296875" style="42" customWidth="1"/>
    <col min="2" max="2" width="12.17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4" width="9.1796875" style="42" customWidth="1"/>
    <col min="15" max="15" width="13.1796875" style="42" customWidth="1"/>
    <col min="16" max="16384" width="8.7265625" style="42" hidden="1"/>
  </cols>
  <sheetData>
    <row r="1" spans="1:15"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5" ht="49" customHeight="1">
      <c r="A2" s="2735" t="s">
        <v>132</v>
      </c>
      <c r="B2" s="2735"/>
      <c r="C2" s="2735"/>
      <c r="D2" s="2735"/>
      <c r="E2" s="2735"/>
      <c r="F2" s="2735"/>
      <c r="G2" s="2735"/>
      <c r="H2" s="2735"/>
      <c r="I2" s="2735"/>
      <c r="J2" s="2735"/>
      <c r="K2" s="7"/>
      <c r="L2" s="7"/>
      <c r="M2" s="7"/>
      <c r="N2" s="7"/>
      <c r="O2" s="7"/>
    </row>
    <row r="3" spans="1:15" ht="37" customHeight="1">
      <c r="A3" s="2737" t="s">
        <v>133</v>
      </c>
      <c r="B3" s="2737"/>
      <c r="C3" s="2737"/>
      <c r="D3" s="2737"/>
      <c r="E3" s="2737"/>
      <c r="F3" s="2737"/>
      <c r="G3" s="2737"/>
      <c r="H3" s="2737"/>
      <c r="I3" s="2737"/>
      <c r="J3" s="2737"/>
      <c r="K3" s="7"/>
      <c r="L3" s="7"/>
      <c r="M3" s="7"/>
      <c r="N3" s="7"/>
      <c r="O3" s="7"/>
    </row>
    <row r="4" spans="1:15" ht="31" thickBot="1">
      <c r="A4" s="24" t="s">
        <v>134</v>
      </c>
      <c r="B4" s="24"/>
      <c r="C4" s="24"/>
      <c r="D4" s="24"/>
      <c r="E4" s="24"/>
      <c r="F4" s="24"/>
      <c r="G4" s="24"/>
      <c r="H4" s="24"/>
      <c r="I4" s="24"/>
      <c r="J4" s="24"/>
      <c r="K4" s="24"/>
      <c r="L4" s="24"/>
      <c r="M4" s="24"/>
      <c r="N4" s="24"/>
      <c r="O4" s="7"/>
    </row>
    <row r="5" spans="1:15" ht="18.75" customHeight="1">
      <c r="A5" s="4"/>
      <c r="B5" s="4"/>
      <c r="C5" s="4"/>
      <c r="D5" s="4"/>
      <c r="E5" s="4"/>
      <c r="F5" s="4"/>
      <c r="G5" s="4"/>
      <c r="H5" s="4"/>
      <c r="I5" s="4"/>
      <c r="J5" s="4"/>
      <c r="K5" s="4"/>
      <c r="L5" s="4"/>
      <c r="M5" s="4"/>
      <c r="N5" s="4"/>
      <c r="O5" s="7"/>
    </row>
    <row r="6" spans="1:15" ht="18" customHeight="1">
      <c r="A6" s="18" t="s">
        <v>136</v>
      </c>
      <c r="B6" s="237">
        <f>'In Unit HVAC Worksheet'!B82</f>
        <v>1</v>
      </c>
      <c r="C6" s="137"/>
      <c r="D6" s="18"/>
      <c r="E6" s="18"/>
      <c r="F6" s="18"/>
      <c r="G6" s="18" t="s">
        <v>80</v>
      </c>
      <c r="H6" s="2732" t="str">
        <f>IF('In Unit HVAC Worksheet'!C82="","",'In Unit HVAC Worksheet'!C82)</f>
        <v>x</v>
      </c>
      <c r="I6" s="2732"/>
      <c r="J6" s="137"/>
      <c r="K6" s="7"/>
      <c r="L6" s="7"/>
      <c r="M6" s="7"/>
      <c r="N6" s="7"/>
      <c r="O6" s="7"/>
    </row>
    <row r="7" spans="1:15" ht="18" customHeight="1">
      <c r="A7" s="18"/>
      <c r="B7" s="18"/>
      <c r="C7" s="18"/>
      <c r="D7" s="18"/>
      <c r="E7" s="18"/>
      <c r="F7" s="18"/>
      <c r="G7" s="18"/>
      <c r="H7" s="18"/>
      <c r="I7" s="14"/>
      <c r="J7" s="14"/>
      <c r="K7" s="7"/>
      <c r="L7" s="7"/>
      <c r="M7" s="7"/>
      <c r="N7" s="7"/>
      <c r="O7" s="7"/>
    </row>
    <row r="8" spans="1:15" ht="18" customHeight="1">
      <c r="B8" s="18"/>
      <c r="D8" s="18"/>
      <c r="E8" s="18"/>
      <c r="F8" s="18"/>
      <c r="G8" s="18" t="s">
        <v>135</v>
      </c>
      <c r="H8" s="2732" t="str">
        <f>IF('In Unit HVAC Worksheet'!E82="","",'In Unit HVAC Worksheet'!E82)</f>
        <v>c</v>
      </c>
      <c r="I8" s="2732"/>
      <c r="J8" s="137"/>
      <c r="K8" s="7"/>
      <c r="L8" s="7"/>
      <c r="M8" s="7"/>
      <c r="N8" s="7"/>
      <c r="O8" s="7"/>
    </row>
    <row r="9" spans="1:15" ht="23">
      <c r="B9" s="19"/>
      <c r="C9" s="19"/>
      <c r="D9" s="19"/>
      <c r="E9" s="19"/>
      <c r="F9" s="19"/>
      <c r="G9" s="19"/>
      <c r="H9" s="19"/>
      <c r="I9" s="19"/>
      <c r="J9" s="19"/>
      <c r="K9" s="19"/>
      <c r="L9" s="19"/>
      <c r="M9" s="11"/>
      <c r="N9" s="19"/>
      <c r="O9" s="19"/>
    </row>
    <row r="10" spans="1:15" ht="30.5">
      <c r="A10" s="14"/>
      <c r="B10" s="70" t="s">
        <v>30</v>
      </c>
      <c r="C10" s="71"/>
      <c r="D10" s="70" t="s">
        <v>31</v>
      </c>
      <c r="E10" s="72"/>
      <c r="F10" s="14"/>
      <c r="G10" s="14"/>
      <c r="H10" s="14"/>
      <c r="I10" s="14"/>
      <c r="J10" s="14"/>
      <c r="K10" s="7"/>
      <c r="L10" s="7"/>
      <c r="M10" s="7"/>
      <c r="N10" s="7"/>
      <c r="O10" s="7"/>
    </row>
    <row r="11" spans="1:15" ht="24" customHeight="1">
      <c r="A11" s="7"/>
      <c r="B11" s="22"/>
      <c r="C11" s="22"/>
      <c r="D11" s="22"/>
      <c r="E11" s="22"/>
      <c r="G11" s="16"/>
      <c r="H11" s="16"/>
      <c r="J11" s="7"/>
      <c r="K11" s="7"/>
      <c r="L11" s="7"/>
      <c r="M11" s="7"/>
      <c r="N11" s="7"/>
      <c r="O11" s="7"/>
    </row>
    <row r="12" spans="1:15" ht="23.5" thickBot="1">
      <c r="A12" s="24" t="s">
        <v>67</v>
      </c>
      <c r="B12" s="24"/>
      <c r="C12" s="24"/>
      <c r="D12" s="24"/>
      <c r="E12" s="24"/>
      <c r="F12" s="24"/>
      <c r="G12" s="24"/>
      <c r="H12" s="24"/>
      <c r="I12" s="24"/>
      <c r="J12" s="24"/>
      <c r="K12" s="24"/>
      <c r="L12" s="24"/>
      <c r="M12" s="24"/>
      <c r="N12" s="24"/>
      <c r="O12" s="19"/>
    </row>
    <row r="13" spans="1:15" ht="6.75" customHeight="1">
      <c r="A13" s="4"/>
      <c r="B13" s="5"/>
      <c r="C13" s="5"/>
      <c r="D13" s="5"/>
      <c r="E13" s="5"/>
      <c r="F13" s="5"/>
      <c r="G13" s="5"/>
      <c r="H13" s="5"/>
      <c r="I13" s="5"/>
      <c r="J13" s="5"/>
      <c r="K13" s="5"/>
      <c r="L13" s="5"/>
      <c r="M13" s="5"/>
      <c r="N13" s="5"/>
      <c r="O13" s="5"/>
    </row>
    <row r="14" spans="1:15" ht="21" customHeight="1">
      <c r="A14" s="139" t="s">
        <v>443</v>
      </c>
      <c r="B14" s="5"/>
      <c r="C14" s="5"/>
      <c r="D14" s="5"/>
      <c r="E14" s="5"/>
      <c r="F14" s="5"/>
      <c r="G14" s="5"/>
      <c r="H14" s="5"/>
      <c r="I14" s="5"/>
      <c r="J14" s="5"/>
      <c r="K14" s="5"/>
      <c r="L14" s="5"/>
      <c r="M14" s="5"/>
      <c r="N14" s="5"/>
      <c r="O14" s="5"/>
    </row>
    <row r="15" spans="1:15" ht="21" customHeight="1">
      <c r="A15" s="139"/>
      <c r="B15" s="5"/>
      <c r="C15" s="5"/>
      <c r="D15" s="5"/>
      <c r="E15" s="5"/>
      <c r="F15" s="5"/>
      <c r="G15" s="5"/>
      <c r="H15" s="5"/>
      <c r="I15" s="5"/>
      <c r="J15" s="5"/>
      <c r="K15" s="5"/>
      <c r="L15" s="5"/>
      <c r="M15" s="5"/>
      <c r="N15" s="5"/>
      <c r="O15" s="5"/>
    </row>
    <row r="16" spans="1:15" ht="33.65" customHeight="1">
      <c r="A16" s="42" t="s">
        <v>525</v>
      </c>
      <c r="E16" s="2734"/>
      <c r="F16" s="2734"/>
      <c r="G16" s="45" t="str">
        <f>IF(OR(E16=""),"",'Air Flow References'!C4)</f>
        <v/>
      </c>
      <c r="J16" s="136"/>
      <c r="L16" s="43" t="s">
        <v>526</v>
      </c>
      <c r="M16" s="2731"/>
      <c r="N16" s="2731"/>
      <c r="O16" s="45" t="str">
        <f>IF(OR(M16=""),"",'Air Flow References'!C6)</f>
        <v/>
      </c>
    </row>
    <row r="17" spans="1:15" ht="33.65" customHeight="1"/>
    <row r="18" spans="1:15" ht="33.65" customHeight="1">
      <c r="A18" s="138" t="s">
        <v>529</v>
      </c>
    </row>
    <row r="19" spans="1:15" ht="33.65" customHeight="1">
      <c r="A19" s="2318" t="s">
        <v>527</v>
      </c>
      <c r="B19" s="2318"/>
      <c r="C19" s="2318"/>
      <c r="D19" s="2318"/>
      <c r="E19" s="2736"/>
      <c r="F19" s="2736"/>
      <c r="G19" s="2739" t="str">
        <f>IF(OR(E19=""),"",'Air Flow References'!C5)</f>
        <v/>
      </c>
      <c r="H19" s="2739"/>
      <c r="I19" s="159" t="s">
        <v>397</v>
      </c>
      <c r="L19" s="43" t="s">
        <v>528</v>
      </c>
      <c r="M19" s="2734"/>
      <c r="N19" s="2734"/>
      <c r="O19" s="45" t="str">
        <f>IF(OR(M19=""),"",'Air Flow References'!C7)</f>
        <v/>
      </c>
    </row>
    <row r="20" spans="1:15" ht="33.65" customHeight="1">
      <c r="A20" s="357"/>
      <c r="B20" s="357"/>
      <c r="C20" s="357"/>
      <c r="D20" s="357"/>
      <c r="E20" s="233"/>
      <c r="F20" s="233"/>
      <c r="G20" s="158"/>
      <c r="H20" s="158"/>
      <c r="I20" s="159"/>
      <c r="L20" s="43"/>
      <c r="M20" s="358"/>
      <c r="N20" s="358"/>
      <c r="O20" s="45"/>
    </row>
    <row r="21" spans="1:15" ht="33.65" customHeight="1">
      <c r="A21" s="2624" t="s">
        <v>531</v>
      </c>
      <c r="B21" s="2624"/>
      <c r="C21" s="2624"/>
      <c r="D21" s="357"/>
      <c r="E21" s="233"/>
      <c r="F21" s="233"/>
      <c r="G21" s="158"/>
      <c r="H21" s="158"/>
      <c r="I21" s="159"/>
      <c r="L21" s="43"/>
      <c r="M21" s="358"/>
      <c r="N21" s="358"/>
      <c r="O21" s="45"/>
    </row>
    <row r="22" spans="1:15" ht="33.65" customHeight="1"/>
    <row r="23" spans="1:15" s="53" customFormat="1" ht="33.65" customHeight="1">
      <c r="A23" s="53" t="s">
        <v>532</v>
      </c>
      <c r="B23" s="359"/>
      <c r="E23" s="2736"/>
      <c r="F23" s="2736"/>
      <c r="G23" s="53" t="str">
        <f>IF(OR(E23=""),"",'Air Flow References'!C9)</f>
        <v/>
      </c>
      <c r="H23" s="163"/>
      <c r="I23" s="163"/>
      <c r="J23" s="163"/>
      <c r="K23" s="163"/>
    </row>
    <row r="24" spans="1:15" ht="33.65" customHeight="1">
      <c r="A24" s="162" t="s">
        <v>530</v>
      </c>
    </row>
    <row r="25" spans="1:15" ht="33.65" customHeight="1"/>
    <row r="26" spans="1:15" ht="33.65" customHeight="1">
      <c r="A26" s="42" t="s">
        <v>533</v>
      </c>
      <c r="E26" s="2731"/>
      <c r="F26" s="2731"/>
      <c r="G26" s="45" t="str">
        <f>IF(OR(E26=""),"",'Air Flow References'!C8)</f>
        <v/>
      </c>
    </row>
    <row r="27" spans="1:15">
      <c r="A27" s="138" t="s">
        <v>534</v>
      </c>
      <c r="F27" s="44"/>
    </row>
    <row r="28" spans="1:15"/>
    <row r="29" spans="1:15"/>
    <row r="30" spans="1:15">
      <c r="A30" s="2318" t="s">
        <v>62</v>
      </c>
      <c r="B30" s="2318"/>
      <c r="C30" s="2318"/>
      <c r="D30" s="2318"/>
      <c r="E30" s="2318"/>
      <c r="F30" s="2318"/>
      <c r="G30" s="2318"/>
      <c r="H30" s="2318"/>
      <c r="I30" s="2318"/>
      <c r="J30" s="2318"/>
      <c r="K30" s="2318"/>
      <c r="L30" s="2318"/>
      <c r="M30" s="2318"/>
    </row>
    <row r="31" spans="1:15" ht="33.65" customHeight="1">
      <c r="A31" s="42" t="s">
        <v>63</v>
      </c>
      <c r="C31" s="2733"/>
      <c r="D31" s="2733"/>
      <c r="E31" s="2733"/>
      <c r="F31" s="2733"/>
      <c r="G31" s="2733"/>
      <c r="H31" s="2733"/>
      <c r="I31" s="2733"/>
      <c r="J31" s="2733"/>
      <c r="K31" s="2733"/>
      <c r="L31" s="2733"/>
      <c r="M31" s="158"/>
    </row>
    <row r="32" spans="1:15"/>
    <row r="33" spans="1:15">
      <c r="A33" s="45" t="s">
        <v>66</v>
      </c>
    </row>
    <row r="34" spans="1:15">
      <c r="A34" s="42" t="s">
        <v>65</v>
      </c>
    </row>
    <row r="35" spans="1:15">
      <c r="A35" s="42" t="s">
        <v>64</v>
      </c>
    </row>
    <row r="36" spans="1:15"/>
    <row r="37" spans="1:15"/>
    <row r="38" spans="1:15" ht="23.5" thickBot="1">
      <c r="A38" s="24" t="s">
        <v>236</v>
      </c>
      <c r="B38" s="24"/>
      <c r="C38" s="24"/>
      <c r="D38" s="24"/>
      <c r="E38" s="24"/>
      <c r="F38" s="24"/>
      <c r="G38" s="24"/>
      <c r="H38" s="24"/>
      <c r="I38" s="24"/>
      <c r="J38" s="24"/>
      <c r="K38" s="24"/>
      <c r="L38" s="24"/>
      <c r="M38" s="24"/>
      <c r="N38" s="24"/>
      <c r="O38" s="19"/>
    </row>
    <row r="39" spans="1:15" ht="23">
      <c r="A39" s="4"/>
      <c r="B39" s="4"/>
      <c r="C39" s="4"/>
      <c r="D39" s="4"/>
      <c r="E39" s="4"/>
      <c r="F39" s="4"/>
      <c r="G39" s="4"/>
      <c r="H39" s="4"/>
      <c r="I39" s="4"/>
      <c r="J39" s="4"/>
      <c r="K39" s="4"/>
      <c r="L39" s="4"/>
      <c r="M39" s="4"/>
      <c r="N39" s="4"/>
      <c r="O39" s="4"/>
    </row>
    <row r="40" spans="1:15" ht="23">
      <c r="A40" s="3" t="s">
        <v>97</v>
      </c>
      <c r="B40" s="4"/>
      <c r="C40" s="4"/>
      <c r="D40" s="4"/>
      <c r="E40" s="4"/>
      <c r="F40" s="4"/>
      <c r="G40" s="4"/>
      <c r="H40" s="4"/>
      <c r="I40" s="2741"/>
      <c r="J40" s="2741"/>
      <c r="K40" s="4"/>
      <c r="L40" s="4"/>
      <c r="M40" s="4"/>
    </row>
    <row r="41" spans="1:15" ht="23">
      <c r="A41" s="4"/>
      <c r="B41" s="4"/>
      <c r="C41" s="4"/>
      <c r="D41" s="4"/>
      <c r="E41" s="4"/>
      <c r="F41" s="4"/>
      <c r="G41" s="4"/>
      <c r="H41" s="4"/>
      <c r="I41" s="4"/>
      <c r="J41" s="4"/>
      <c r="K41" s="4"/>
      <c r="L41" s="4"/>
      <c r="M41" s="4"/>
      <c r="N41" s="4"/>
      <c r="O41" s="4"/>
    </row>
    <row r="42" spans="1:15">
      <c r="A42" s="46" t="s">
        <v>848</v>
      </c>
      <c r="B42" s="46"/>
      <c r="C42" s="46"/>
      <c r="D42" s="46"/>
      <c r="E42" s="46"/>
      <c r="F42" s="46"/>
      <c r="G42" s="46"/>
      <c r="H42" s="46"/>
      <c r="I42" s="46"/>
      <c r="J42" s="46"/>
      <c r="K42" s="46"/>
      <c r="L42" s="46"/>
      <c r="M42" s="46"/>
      <c r="N42" s="46"/>
    </row>
    <row r="43" spans="1:15">
      <c r="A43" s="48"/>
      <c r="B43" s="49"/>
      <c r="C43" s="49"/>
      <c r="D43" s="49"/>
      <c r="E43" s="49"/>
      <c r="F43" s="49"/>
      <c r="G43" s="49"/>
      <c r="H43" s="49"/>
      <c r="I43" s="49"/>
      <c r="J43" s="49"/>
      <c r="K43" s="49"/>
      <c r="L43" s="49"/>
      <c r="M43" s="49"/>
      <c r="N43" s="49"/>
    </row>
    <row r="44" spans="1:15">
      <c r="A44" s="54" t="s">
        <v>95</v>
      </c>
    </row>
    <row r="45" spans="1:15">
      <c r="A45" s="50" t="s">
        <v>96</v>
      </c>
    </row>
    <row r="46" spans="1:15">
      <c r="A46" s="50"/>
    </row>
    <row r="47" spans="1:15">
      <c r="A47" s="50"/>
      <c r="E47" s="2740"/>
      <c r="F47" s="2740"/>
    </row>
    <row r="48" spans="1:15">
      <c r="A48" s="50"/>
    </row>
    <row r="49" spans="1:11">
      <c r="A49" s="50"/>
    </row>
    <row r="50" spans="1:11">
      <c r="A50" s="50"/>
      <c r="B50" s="42" t="s">
        <v>110</v>
      </c>
      <c r="E50" s="96"/>
      <c r="F50" s="42" t="s">
        <v>101</v>
      </c>
      <c r="G50" s="45" t="str">
        <f>IF(OR(E50=""),"",'Air Flow References'!C16)</f>
        <v/>
      </c>
    </row>
    <row r="51" spans="1:11">
      <c r="A51" s="50"/>
    </row>
    <row r="52" spans="1:11">
      <c r="A52" s="50"/>
      <c r="B52" s="42" t="s">
        <v>111</v>
      </c>
      <c r="E52" s="96"/>
      <c r="F52" s="56" t="s">
        <v>101</v>
      </c>
      <c r="G52" s="45" t="str">
        <f>IF(OR(E52=""),"",'Air Flow References'!C17)</f>
        <v/>
      </c>
    </row>
    <row r="53" spans="1:11">
      <c r="A53" s="50"/>
    </row>
    <row r="54" spans="1:11">
      <c r="A54" s="54" t="s">
        <v>102</v>
      </c>
      <c r="K54" s="51"/>
    </row>
    <row r="55" spans="1:11">
      <c r="A55" s="54"/>
    </row>
    <row r="56" spans="1:11">
      <c r="A56" s="50" t="s">
        <v>112</v>
      </c>
      <c r="E56" s="96"/>
      <c r="F56" s="42" t="s">
        <v>106</v>
      </c>
      <c r="G56" s="45" t="str">
        <f>IF(OR(E56=""),"",'Air Flow References'!C18)</f>
        <v/>
      </c>
    </row>
    <row r="57" spans="1:11">
      <c r="A57" s="50"/>
    </row>
    <row r="58" spans="1:11">
      <c r="A58" s="50" t="s">
        <v>113</v>
      </c>
      <c r="E58" s="96"/>
      <c r="F58" s="42" t="s">
        <v>101</v>
      </c>
      <c r="G58" s="45" t="str">
        <f>IF(OR(E58=""),"",'Air Flow References'!C19)</f>
        <v/>
      </c>
    </row>
    <row r="59" spans="1:11">
      <c r="A59" s="50"/>
    </row>
    <row r="60" spans="1:11">
      <c r="A60" s="50" t="s">
        <v>114</v>
      </c>
      <c r="E60" s="96"/>
      <c r="F60" s="42" t="s">
        <v>101</v>
      </c>
      <c r="G60" s="45" t="str">
        <f>IF(OR(E60=""),"",'Air Flow References'!C20)</f>
        <v/>
      </c>
    </row>
    <row r="61" spans="1:11">
      <c r="A61" s="50"/>
    </row>
    <row r="62" spans="1:11">
      <c r="A62" s="50" t="s">
        <v>115</v>
      </c>
      <c r="E62" s="234" t="str">
        <f>IF(OR(E58="",E60=""),"",E58-E60)</f>
        <v/>
      </c>
      <c r="F62" s="42" t="s">
        <v>101</v>
      </c>
    </row>
    <row r="63" spans="1:11">
      <c r="A63" s="50"/>
    </row>
    <row r="64" spans="1:11">
      <c r="A64" s="57" t="s">
        <v>116</v>
      </c>
    </row>
    <row r="65" spans="1:15">
      <c r="A65" s="50"/>
    </row>
    <row r="66" spans="1:15">
      <c r="A66" s="58" t="s">
        <v>117</v>
      </c>
      <c r="B66" s="59"/>
      <c r="C66" s="59"/>
      <c r="D66" s="59"/>
      <c r="E66" s="59"/>
      <c r="F66" s="59"/>
      <c r="G66" s="59"/>
      <c r="H66" s="59"/>
      <c r="I66" s="59"/>
      <c r="J66" s="59"/>
      <c r="K66" s="59"/>
      <c r="L66" s="59"/>
      <c r="M66" s="59"/>
      <c r="N66" s="59"/>
    </row>
    <row r="67" spans="1:15">
      <c r="A67" s="46" t="s">
        <v>260</v>
      </c>
      <c r="B67" s="46"/>
      <c r="C67" s="46"/>
      <c r="D67" s="46"/>
      <c r="E67" s="46"/>
      <c r="F67" s="46"/>
      <c r="G67" s="46"/>
      <c r="H67" s="46"/>
      <c r="I67" s="46"/>
      <c r="J67" s="46"/>
      <c r="K67" s="46"/>
      <c r="L67" s="46"/>
      <c r="M67" s="46"/>
      <c r="N67" s="46"/>
      <c r="O67" s="47"/>
    </row>
    <row r="68" spans="1:15">
      <c r="A68" s="48"/>
      <c r="B68" s="49"/>
      <c r="C68" s="49"/>
      <c r="D68" s="49"/>
      <c r="E68" s="49"/>
      <c r="F68" s="49"/>
      <c r="G68" s="49"/>
      <c r="H68" s="49"/>
      <c r="I68" s="49"/>
      <c r="J68" s="49"/>
      <c r="K68" s="49"/>
      <c r="L68" s="49"/>
      <c r="M68" s="49"/>
      <c r="N68" s="49"/>
    </row>
    <row r="69" spans="1:15">
      <c r="A69" s="54" t="s">
        <v>95</v>
      </c>
    </row>
    <row r="70" spans="1:15">
      <c r="A70" s="50" t="s">
        <v>96</v>
      </c>
    </row>
    <row r="71" spans="1:15">
      <c r="A71" s="50"/>
    </row>
    <row r="72" spans="1:15">
      <c r="A72" s="50"/>
      <c r="E72" s="2740"/>
      <c r="F72" s="2740"/>
    </row>
    <row r="73" spans="1:15">
      <c r="A73" s="50"/>
    </row>
    <row r="74" spans="1:15">
      <c r="A74" s="50"/>
    </row>
    <row r="75" spans="1:15">
      <c r="A75" s="50"/>
      <c r="B75" s="42" t="s">
        <v>98</v>
      </c>
      <c r="E75" s="96"/>
      <c r="F75" s="42" t="s">
        <v>399</v>
      </c>
      <c r="G75" s="45" t="str">
        <f>IF(OR(E75=""),"",'Air Flow References'!C28)</f>
        <v/>
      </c>
    </row>
    <row r="76" spans="1:15">
      <c r="A76" s="50"/>
      <c r="B76" s="42" t="s">
        <v>398</v>
      </c>
      <c r="E76" s="358"/>
      <c r="G76" s="55"/>
    </row>
    <row r="77" spans="1:15">
      <c r="A77" s="50"/>
    </row>
    <row r="78" spans="1:15">
      <c r="A78" s="50"/>
      <c r="B78" s="42" t="s">
        <v>99</v>
      </c>
      <c r="E78" s="96"/>
      <c r="F78" s="42" t="s">
        <v>101</v>
      </c>
      <c r="G78" s="45" t="str">
        <f>IF(OR(E78=""),"",'Air Flow References'!C29)</f>
        <v/>
      </c>
    </row>
    <row r="79" spans="1:15">
      <c r="A79" s="50"/>
      <c r="G79" s="45"/>
    </row>
    <row r="80" spans="1:15">
      <c r="A80" s="50"/>
      <c r="B80" s="42" t="s">
        <v>100</v>
      </c>
      <c r="E80" s="96"/>
      <c r="F80" s="56" t="s">
        <v>101</v>
      </c>
      <c r="G80" s="45" t="str">
        <f>IF(OR(E80=""),"",'Air Flow References'!C30)</f>
        <v/>
      </c>
    </row>
    <row r="81" spans="1:15">
      <c r="A81" s="50"/>
    </row>
    <row r="82" spans="1:15">
      <c r="A82" s="50"/>
    </row>
    <row r="83" spans="1:15">
      <c r="A83" s="54" t="s">
        <v>102</v>
      </c>
    </row>
    <row r="84" spans="1:15">
      <c r="A84" s="50"/>
    </row>
    <row r="85" spans="1:15">
      <c r="A85" s="50" t="s">
        <v>103</v>
      </c>
      <c r="E85" s="96"/>
      <c r="F85" s="42" t="s">
        <v>106</v>
      </c>
      <c r="G85" s="45" t="str">
        <f>IF(OR(E85=""),"",'Air Flow References'!C31)</f>
        <v/>
      </c>
    </row>
    <row r="86" spans="1:15">
      <c r="A86" s="50"/>
    </row>
    <row r="87" spans="1:15">
      <c r="A87" s="50" t="s">
        <v>104</v>
      </c>
      <c r="E87" s="96"/>
      <c r="F87" s="56" t="s">
        <v>101</v>
      </c>
      <c r="G87" s="45" t="str">
        <f>IF(OR(E87=""),"",'Air Flow References'!C32)</f>
        <v/>
      </c>
    </row>
    <row r="88" spans="1:15">
      <c r="A88" s="50"/>
    </row>
    <row r="89" spans="1:15">
      <c r="A89" s="50" t="s">
        <v>105</v>
      </c>
      <c r="E89" s="96"/>
      <c r="F89" s="56" t="s">
        <v>101</v>
      </c>
      <c r="G89" s="45" t="str">
        <f>IF(OR(E89=""),"",'Air Flow References'!C33)</f>
        <v/>
      </c>
    </row>
    <row r="90" spans="1:15">
      <c r="A90" s="50"/>
      <c r="G90" s="42" t="s">
        <v>537</v>
      </c>
    </row>
    <row r="91" spans="1:15">
      <c r="A91" s="50" t="s">
        <v>107</v>
      </c>
      <c r="E91" s="234" t="str">
        <f>IF(OR(E87="",E89=""),"",E89-E87)</f>
        <v/>
      </c>
      <c r="F91" s="56" t="s">
        <v>101</v>
      </c>
    </row>
    <row r="92" spans="1:15">
      <c r="A92" s="50"/>
    </row>
    <row r="93" spans="1:15">
      <c r="A93" s="57" t="s">
        <v>108</v>
      </c>
    </row>
    <row r="94" spans="1:15">
      <c r="A94" s="50"/>
    </row>
    <row r="95" spans="1:15">
      <c r="A95" s="45" t="s">
        <v>109</v>
      </c>
    </row>
    <row r="96" spans="1:15">
      <c r="A96" s="373" t="s">
        <v>847</v>
      </c>
      <c r="B96" s="373"/>
      <c r="C96" s="373"/>
      <c r="D96" s="373"/>
      <c r="E96" s="373"/>
      <c r="F96" s="373"/>
      <c r="G96" s="373"/>
      <c r="H96" s="373"/>
      <c r="I96" s="373"/>
      <c r="J96" s="373"/>
      <c r="K96" s="373"/>
      <c r="L96" s="373"/>
      <c r="M96" s="373"/>
      <c r="N96" s="373"/>
      <c r="O96" s="47"/>
    </row>
    <row r="97" spans="1:14">
      <c r="A97" s="48"/>
      <c r="B97" s="49"/>
      <c r="C97" s="49"/>
      <c r="D97" s="49"/>
      <c r="E97" s="49"/>
      <c r="F97" s="49"/>
      <c r="G97" s="49"/>
      <c r="H97" s="49"/>
      <c r="I97" s="49"/>
      <c r="J97" s="49"/>
      <c r="K97" s="49"/>
      <c r="L97" s="49"/>
      <c r="M97" s="49"/>
      <c r="N97" s="49"/>
    </row>
    <row r="98" spans="1:14">
      <c r="A98" s="50" t="s">
        <v>68</v>
      </c>
    </row>
    <row r="99" spans="1:14">
      <c r="A99" s="50"/>
    </row>
    <row r="100" spans="1:14">
      <c r="A100" s="50"/>
      <c r="E100" s="2734"/>
      <c r="F100" s="2734"/>
      <c r="G100" s="42" t="s">
        <v>69</v>
      </c>
    </row>
    <row r="101" spans="1:14" ht="15.65" customHeight="1">
      <c r="A101" s="2742" t="s">
        <v>2014</v>
      </c>
      <c r="B101" s="2624"/>
    </row>
    <row r="102" spans="1:14" ht="15.65" customHeight="1">
      <c r="A102" s="2742"/>
      <c r="B102" s="2624"/>
      <c r="C102" s="663"/>
      <c r="E102" s="42" t="s">
        <v>71</v>
      </c>
      <c r="F102" s="663"/>
    </row>
    <row r="103" spans="1:14">
      <c r="A103" s="50"/>
    </row>
    <row r="104" spans="1:14">
      <c r="A104" s="50"/>
    </row>
    <row r="105" spans="1:14">
      <c r="A105" s="50" t="s">
        <v>81</v>
      </c>
      <c r="E105" s="74"/>
    </row>
    <row r="106" spans="1:14">
      <c r="A106" s="50"/>
    </row>
    <row r="107" spans="1:14">
      <c r="A107" s="50"/>
    </row>
    <row r="108" spans="1:14">
      <c r="A108" s="50" t="s">
        <v>82</v>
      </c>
      <c r="E108" s="74"/>
    </row>
    <row r="109" spans="1:14">
      <c r="A109" s="50"/>
    </row>
    <row r="110" spans="1:14">
      <c r="A110" s="50"/>
    </row>
    <row r="111" spans="1:14">
      <c r="A111" s="50" t="s">
        <v>2015</v>
      </c>
      <c r="C111" s="74"/>
      <c r="D111" s="42" t="s">
        <v>84</v>
      </c>
    </row>
    <row r="112" spans="1:14">
      <c r="A112" s="50"/>
    </row>
    <row r="113" spans="1:15">
      <c r="A113" s="50" t="s">
        <v>85</v>
      </c>
      <c r="D113" s="661"/>
      <c r="E113" s="42" t="s">
        <v>86</v>
      </c>
      <c r="F113" s="42" t="s">
        <v>87</v>
      </c>
      <c r="G113" s="661"/>
      <c r="H113" s="42" t="s">
        <v>84</v>
      </c>
      <c r="I113" s="42" t="s">
        <v>88</v>
      </c>
      <c r="J113" s="661"/>
      <c r="K113" s="42" t="s">
        <v>89</v>
      </c>
      <c r="L113" s="51" t="s">
        <v>90</v>
      </c>
      <c r="M113" s="661"/>
      <c r="N113" s="42" t="s">
        <v>91</v>
      </c>
    </row>
    <row r="114" spans="1:15">
      <c r="A114" s="50"/>
      <c r="L114" s="51"/>
    </row>
    <row r="115" spans="1:15">
      <c r="A115" s="50" t="s">
        <v>183</v>
      </c>
      <c r="D115" s="661"/>
      <c r="E115" s="42" t="s">
        <v>86</v>
      </c>
      <c r="F115" s="42" t="s">
        <v>87</v>
      </c>
      <c r="G115" s="661"/>
      <c r="H115" s="42" t="s">
        <v>84</v>
      </c>
      <c r="I115" s="42" t="s">
        <v>88</v>
      </c>
      <c r="J115" s="661"/>
      <c r="K115" s="42" t="s">
        <v>89</v>
      </c>
      <c r="L115" s="51" t="s">
        <v>90</v>
      </c>
      <c r="M115" s="661"/>
      <c r="N115" s="42" t="s">
        <v>91</v>
      </c>
    </row>
    <row r="116" spans="1:15">
      <c r="A116" s="50"/>
    </row>
    <row r="117" spans="1:15">
      <c r="A117" s="52" t="s">
        <v>242</v>
      </c>
      <c r="M117" s="661"/>
      <c r="N117" s="42" t="s">
        <v>91</v>
      </c>
    </row>
    <row r="118" spans="1:15">
      <c r="A118" s="50"/>
    </row>
    <row r="119" spans="1:15">
      <c r="A119" s="2745" t="s">
        <v>92</v>
      </c>
      <c r="B119" s="2738"/>
      <c r="C119" s="2738"/>
      <c r="D119" s="2738"/>
      <c r="E119" s="2746"/>
      <c r="F119" s="2743" t="s">
        <v>93</v>
      </c>
      <c r="G119" s="2743"/>
      <c r="H119" s="2743"/>
      <c r="I119" s="2743"/>
      <c r="J119" s="2743"/>
      <c r="K119" s="2743"/>
      <c r="L119" s="53"/>
      <c r="M119" s="2738" t="str">
        <f>IF(AND(M113="",M115="",M117=""),"",M113+M115+M117)</f>
        <v/>
      </c>
      <c r="N119" s="2738" t="s">
        <v>91</v>
      </c>
    </row>
    <row r="120" spans="1:15">
      <c r="A120" s="2745"/>
      <c r="B120" s="2738"/>
      <c r="C120" s="2738"/>
      <c r="D120" s="2738"/>
      <c r="E120" s="2746"/>
      <c r="F120" s="2743"/>
      <c r="G120" s="2743"/>
      <c r="H120" s="2743"/>
      <c r="I120" s="2743"/>
      <c r="J120" s="2743"/>
      <c r="K120" s="2743"/>
      <c r="L120" s="53"/>
      <c r="M120" s="2744"/>
      <c r="N120" s="2738"/>
    </row>
    <row r="121" spans="1:15">
      <c r="A121" s="50"/>
    </row>
    <row r="122" spans="1:15">
      <c r="A122" s="45" t="s">
        <v>94</v>
      </c>
    </row>
    <row r="123" spans="1:15"/>
    <row r="124" spans="1:15"/>
    <row r="125" spans="1:15"/>
    <row r="126" spans="1:15"/>
    <row r="127" spans="1:15">
      <c r="A127" s="80" t="s">
        <v>223</v>
      </c>
      <c r="B127" s="83"/>
      <c r="C127" s="668" t="str">
        <f>Development!$A$2</f>
        <v>2.0</v>
      </c>
      <c r="D127" s="2136"/>
      <c r="E127" s="2136"/>
      <c r="F127" s="2136"/>
      <c r="G127" s="2137"/>
      <c r="H127" s="2137"/>
      <c r="I127" s="2137"/>
      <c r="J127" s="49"/>
      <c r="K127" s="49"/>
      <c r="L127" s="49"/>
      <c r="M127" s="49"/>
      <c r="N127" s="84" t="s">
        <v>225</v>
      </c>
      <c r="O127" s="85" t="str">
        <f>Development!$A$4</f>
        <v>4.01.2024</v>
      </c>
    </row>
    <row r="128" spans="1:15"/>
    <row r="129"/>
    <row r="130"/>
    <row r="131"/>
    <row r="132"/>
    <row r="133"/>
    <row r="134"/>
    <row r="135"/>
    <row r="136"/>
    <row r="137"/>
    <row r="138"/>
    <row r="139"/>
    <row r="140"/>
    <row r="141"/>
    <row r="142"/>
    <row r="143"/>
    <row r="144"/>
    <row r="145" spans="15:15"/>
    <row r="146" spans="15:15"/>
    <row r="147" spans="15:15">
      <c r="O147" s="60"/>
    </row>
    <row r="159" spans="15:15"/>
    <row r="160" spans="15:15"/>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sheetData>
  <sheetProtection algorithmName="SHA-512" hashValue="UPcjr9vsqVOGJ2HQKYCA/d432lGMrvIKPOubwIaeQh0FLpBSXiLl+K3UqpTRovjm2b68RYUFy2LpETQ197Z6wQ==" saltValue="ln8ONiURv0292gJVRo13TQ==" spinCount="100000" sheet="1" objects="1" scenarios="1"/>
  <mergeCells count="27">
    <mergeCell ref="A101:B102"/>
    <mergeCell ref="D127:F127"/>
    <mergeCell ref="G127:I127"/>
    <mergeCell ref="F119:K120"/>
    <mergeCell ref="M119:M120"/>
    <mergeCell ref="A119:E120"/>
    <mergeCell ref="N119:N120"/>
    <mergeCell ref="E26:F26"/>
    <mergeCell ref="E19:F19"/>
    <mergeCell ref="E100:F100"/>
    <mergeCell ref="G19:H19"/>
    <mergeCell ref="E47:F47"/>
    <mergeCell ref="I40:J40"/>
    <mergeCell ref="E72:F72"/>
    <mergeCell ref="M16:N16"/>
    <mergeCell ref="H6:I6"/>
    <mergeCell ref="H8:I8"/>
    <mergeCell ref="C31:L31"/>
    <mergeCell ref="A1:J1"/>
    <mergeCell ref="E16:F16"/>
    <mergeCell ref="A30:M30"/>
    <mergeCell ref="A19:D19"/>
    <mergeCell ref="M19:N19"/>
    <mergeCell ref="A2:J2"/>
    <mergeCell ref="A21:C21"/>
    <mergeCell ref="E23:F23"/>
    <mergeCell ref="A3:J3"/>
  </mergeCells>
  <conditionalFormatting sqref="A1:J1">
    <cfRule type="cellIs" dxfId="25" priority="20" stopIfTrue="1" operator="equal">
      <formula>"Missing Info"</formula>
    </cfRule>
  </conditionalFormatting>
  <conditionalFormatting sqref="C6">
    <cfRule type="cellIs" dxfId="24" priority="21" stopIfTrue="1" operator="equal">
      <formula>"Missing Info"</formula>
    </cfRule>
  </conditionalFormatting>
  <conditionalFormatting sqref="C6:J8">
    <cfRule type="cellIs" dxfId="23" priority="6" stopIfTrue="1" operator="equal">
      <formula>"Pass"</formula>
    </cfRule>
  </conditionalFormatting>
  <conditionalFormatting sqref="G16">
    <cfRule type="cellIs" dxfId="22" priority="16" stopIfTrue="1" operator="equal">
      <formula>"Missing Info"</formula>
    </cfRule>
  </conditionalFormatting>
  <conditionalFormatting sqref="G26">
    <cfRule type="cellIs" dxfId="21" priority="12" stopIfTrue="1" operator="equal">
      <formula>"Missing Info"</formula>
    </cfRule>
  </conditionalFormatting>
  <conditionalFormatting sqref="G50:G60">
    <cfRule type="cellIs" dxfId="20" priority="2" stopIfTrue="1" operator="equal">
      <formula>"Pass"</formula>
    </cfRule>
    <cfRule type="cellIs" dxfId="19" priority="8" stopIfTrue="1" operator="equal">
      <formula>"Missing Info"</formula>
    </cfRule>
  </conditionalFormatting>
  <conditionalFormatting sqref="G75:G89">
    <cfRule type="cellIs" dxfId="18" priority="1" stopIfTrue="1" operator="equal">
      <formula>"Pass"</formula>
    </cfRule>
    <cfRule type="cellIs" dxfId="17" priority="7" stopIfTrue="1" operator="equal">
      <formula>"Missing Info"</formula>
    </cfRule>
  </conditionalFormatting>
  <conditionalFormatting sqref="G16:H22 G23 G24:H29">
    <cfRule type="cellIs" dxfId="16" priority="5" stopIfTrue="1" operator="equal">
      <formula>"Pass"</formula>
    </cfRule>
  </conditionalFormatting>
  <conditionalFormatting sqref="G19:H21">
    <cfRule type="cellIs" dxfId="15" priority="14" stopIfTrue="1" operator="equal">
      <formula>"Missing Info"</formula>
    </cfRule>
  </conditionalFormatting>
  <conditionalFormatting sqref="J6">
    <cfRule type="cellIs" dxfId="14" priority="19" stopIfTrue="1" operator="equal">
      <formula>"Missing Info"</formula>
    </cfRule>
  </conditionalFormatting>
  <conditionalFormatting sqref="J8">
    <cfRule type="cellIs" dxfId="13" priority="17" stopIfTrue="1" operator="equal">
      <formula>"Missing Info"</formula>
    </cfRule>
    <cfRule type="containsText" dxfId="12" priority="18" stopIfTrue="1" operator="containsText" text="Missing Info">
      <formula>NOT(ISERROR(SEARCH("Missing Info",J8)))</formula>
    </cfRule>
  </conditionalFormatting>
  <conditionalFormatting sqref="M31">
    <cfRule type="cellIs" dxfId="11" priority="3" stopIfTrue="1" operator="equal">
      <formula>"Pass"</formula>
    </cfRule>
    <cfRule type="cellIs" dxfId="10" priority="9" stopIfTrue="1" operator="equal">
      <formula>"Missing Info"</formula>
    </cfRule>
  </conditionalFormatting>
  <conditionalFormatting sqref="O16">
    <cfRule type="cellIs" dxfId="9" priority="15" stopIfTrue="1" operator="equal">
      <formula>"Missing Info"</formula>
    </cfRule>
  </conditionalFormatting>
  <conditionalFormatting sqref="O16:O21">
    <cfRule type="cellIs" dxfId="8" priority="4" stopIfTrue="1" operator="equal">
      <formula>"Pass"</formula>
    </cfRule>
  </conditionalFormatting>
  <conditionalFormatting sqref="O19:O21">
    <cfRule type="cellIs" dxfId="7" priority="13" stopIfTrue="1" operator="equal">
      <formula>"Missing Info"</formula>
    </cfRule>
  </conditionalFormatting>
  <pageMargins left="0.25" right="0.25" top="0.75" bottom="0.75" header="0.3" footer="0.3"/>
  <pageSetup scale="55"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95" max="14" man="1"/>
  </rowBreaks>
  <drawing r:id="rId2"/>
  <legacyDrawing r:id="rId3"/>
  <controls>
    <mc:AlternateContent xmlns:mc="http://schemas.openxmlformats.org/markup-compatibility/2006">
      <mc:Choice Requires="x14">
        <control shapeId="10955" r:id="rId4" name="CommandButton1">
          <controlPr defaultSize="0" autoLine="0" r:id="rId5">
            <anchor moveWithCells="1">
              <from>
                <xdr:col>11</xdr:col>
                <xdr:colOff>222250</xdr:colOff>
                <xdr:row>123</xdr:row>
                <xdr:rowOff>0</xdr:rowOff>
              </from>
              <to>
                <xdr:col>14</xdr:col>
                <xdr:colOff>596900</xdr:colOff>
                <xdr:row>125</xdr:row>
                <xdr:rowOff>152400</xdr:rowOff>
              </to>
            </anchor>
          </controlPr>
        </control>
      </mc:Choice>
      <mc:Fallback>
        <control shapeId="10955" r:id="rId4" name="CommandButton1"/>
      </mc:Fallback>
    </mc:AlternateContent>
    <mc:AlternateContent xmlns:mc="http://schemas.openxmlformats.org/markup-compatibility/2006">
      <mc:Choice Requires="x14">
        <control shapeId="10243" r:id="rId6" name="Group Box 3">
          <controlPr defaultSize="0" autoFill="0" autoPict="0">
            <anchor moveWithCells="1">
              <from>
                <xdr:col>0</xdr:col>
                <xdr:colOff>12700</xdr:colOff>
                <xdr:row>28</xdr:row>
                <xdr:rowOff>69850</xdr:rowOff>
              </from>
              <to>
                <xdr:col>6</xdr:col>
                <xdr:colOff>469900</xdr:colOff>
                <xdr:row>31</xdr:row>
                <xdr:rowOff>0</xdr:rowOff>
              </to>
            </anchor>
          </controlPr>
        </control>
      </mc:Choice>
    </mc:AlternateContent>
    <mc:AlternateContent xmlns:mc="http://schemas.openxmlformats.org/markup-compatibility/2006">
      <mc:Choice Requires="x14">
        <control shapeId="10277" r:id="rId7" name="Option Button 37">
          <controlPr defaultSize="0" autoFill="0" autoLine="0" autoPict="0">
            <anchor moveWithCells="1">
              <from>
                <xdr:col>5</xdr:col>
                <xdr:colOff>584200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10278" r:id="rId8" name="Group Box 38">
          <controlPr defaultSize="0" autoFill="0" autoPict="0">
            <anchor moveWithCells="1">
              <from>
                <xdr:col>4</xdr:col>
                <xdr:colOff>374650</xdr:colOff>
                <xdr:row>66</xdr:row>
                <xdr:rowOff>0</xdr:rowOff>
              </from>
              <to>
                <xdr:col>6</xdr:col>
                <xdr:colOff>571500</xdr:colOff>
                <xdr:row>68</xdr:row>
                <xdr:rowOff>152400</xdr:rowOff>
              </to>
            </anchor>
          </controlPr>
        </control>
      </mc:Choice>
    </mc:AlternateContent>
    <mc:AlternateContent xmlns:mc="http://schemas.openxmlformats.org/markup-compatibility/2006">
      <mc:Choice Requires="x14">
        <control shapeId="10280" r:id="rId9" name="Option Button 40">
          <controlPr defaultSize="0" autoFill="0" autoLine="0" autoPict="0">
            <anchor moveWithCells="1">
              <from>
                <xdr:col>4</xdr:col>
                <xdr:colOff>469900</xdr:colOff>
                <xdr:row>66</xdr:row>
                <xdr:rowOff>0</xdr:rowOff>
              </from>
              <to>
                <xdr:col>5</xdr:col>
                <xdr:colOff>57150</xdr:colOff>
                <xdr:row>67</xdr:row>
                <xdr:rowOff>69850</xdr:rowOff>
              </to>
            </anchor>
          </controlPr>
        </control>
      </mc:Choice>
    </mc:AlternateContent>
    <mc:AlternateContent xmlns:mc="http://schemas.openxmlformats.org/markup-compatibility/2006">
      <mc:Choice Requires="x14">
        <control shapeId="10281" r:id="rId10" name="Option Button 41">
          <controlPr defaultSize="0" autoFill="0" autoLine="0" autoPict="0">
            <anchor moveWithCells="1">
              <from>
                <xdr:col>5</xdr:col>
                <xdr:colOff>584200</xdr:colOff>
                <xdr:row>66</xdr:row>
                <xdr:rowOff>0</xdr:rowOff>
              </from>
              <to>
                <xdr:col>6</xdr:col>
                <xdr:colOff>0</xdr:colOff>
                <xdr:row>67</xdr:row>
                <xdr:rowOff>0</xdr:rowOff>
              </to>
            </anchor>
          </controlPr>
        </control>
      </mc:Choice>
    </mc:AlternateContent>
    <mc:AlternateContent xmlns:mc="http://schemas.openxmlformats.org/markup-compatibility/2006">
      <mc:Choice Requires="x14">
        <control shapeId="10292" r:id="rId11" name="Option Button 52">
          <controlPr defaultSize="0" autoFill="0" autoLine="0" autoPict="0">
            <anchor moveWithCells="1">
              <from>
                <xdr:col>4</xdr:col>
                <xdr:colOff>1060450</xdr:colOff>
                <xdr:row>39</xdr:row>
                <xdr:rowOff>50800</xdr:rowOff>
              </from>
              <to>
                <xdr:col>6</xdr:col>
                <xdr:colOff>0</xdr:colOff>
                <xdr:row>40</xdr:row>
                <xdr:rowOff>50800</xdr:rowOff>
              </to>
            </anchor>
          </controlPr>
        </control>
      </mc:Choice>
    </mc:AlternateContent>
    <mc:AlternateContent xmlns:mc="http://schemas.openxmlformats.org/markup-compatibility/2006">
      <mc:Choice Requires="x14">
        <control shapeId="10293" r:id="rId12" name="Option Button 53">
          <controlPr defaultSize="0" autoFill="0" autoLine="0" autoPict="0">
            <anchor moveWithCells="1">
              <from>
                <xdr:col>3</xdr:col>
                <xdr:colOff>1022350</xdr:colOff>
                <xdr:row>38</xdr:row>
                <xdr:rowOff>165100</xdr:rowOff>
              </from>
              <to>
                <xdr:col>5</xdr:col>
                <xdr:colOff>495300</xdr:colOff>
                <xdr:row>40</xdr:row>
                <xdr:rowOff>88900</xdr:rowOff>
              </to>
            </anchor>
          </controlPr>
        </control>
      </mc:Choice>
    </mc:AlternateContent>
    <mc:AlternateContent xmlns:mc="http://schemas.openxmlformats.org/markup-compatibility/2006">
      <mc:Choice Requires="x14">
        <control shapeId="10294" r:id="rId13" name="Option Button 54">
          <controlPr defaultSize="0" autoFill="0" autoLine="0" autoPict="0">
            <anchor moveWithCells="1">
              <from>
                <xdr:col>2</xdr:col>
                <xdr:colOff>546100</xdr:colOff>
                <xdr:row>38</xdr:row>
                <xdr:rowOff>190500</xdr:rowOff>
              </from>
              <to>
                <xdr:col>4</xdr:col>
                <xdr:colOff>152400</xdr:colOff>
                <xdr:row>40</xdr:row>
                <xdr:rowOff>50800</xdr:rowOff>
              </to>
            </anchor>
          </controlPr>
        </control>
      </mc:Choice>
    </mc:AlternateContent>
    <mc:AlternateContent xmlns:mc="http://schemas.openxmlformats.org/markup-compatibility/2006">
      <mc:Choice Requires="x14">
        <control shapeId="10544" r:id="rId14" name="Group Box 304">
          <controlPr defaultSize="0" autoFill="0" autoPict="0">
            <anchor moveWithCells="1">
              <from>
                <xdr:col>0</xdr:col>
                <xdr:colOff>1155700</xdr:colOff>
                <xdr:row>9</xdr:row>
                <xdr:rowOff>393700</xdr:rowOff>
              </from>
              <to>
                <xdr:col>2</xdr:col>
                <xdr:colOff>628650</xdr:colOff>
                <xdr:row>12</xdr:row>
                <xdr:rowOff>0</xdr:rowOff>
              </to>
            </anchor>
          </controlPr>
        </control>
      </mc:Choice>
    </mc:AlternateContent>
    <mc:AlternateContent xmlns:mc="http://schemas.openxmlformats.org/markup-compatibility/2006">
      <mc:Choice Requires="x14">
        <control shapeId="10545" r:id="rId15" name="Group Box 305">
          <controlPr defaultSize="0" autoFill="0" autoPict="0">
            <anchor moveWithCells="1">
              <from>
                <xdr:col>3</xdr:col>
                <xdr:colOff>152400</xdr:colOff>
                <xdr:row>9</xdr:row>
                <xdr:rowOff>342900</xdr:rowOff>
              </from>
              <to>
                <xdr:col>4</xdr:col>
                <xdr:colOff>95250</xdr:colOff>
                <xdr:row>12</xdr:row>
                <xdr:rowOff>0</xdr:rowOff>
              </to>
            </anchor>
          </controlPr>
        </control>
      </mc:Choice>
    </mc:AlternateContent>
    <mc:AlternateContent xmlns:mc="http://schemas.openxmlformats.org/markup-compatibility/2006">
      <mc:Choice Requires="x14">
        <control shapeId="10546" r:id="rId16" name="Option Button 306">
          <controlPr locked="0" defaultSize="0" autoFill="0" autoLine="0" autoPict="0">
            <anchor moveWithCells="1">
              <from>
                <xdr:col>3</xdr:col>
                <xdr:colOff>476250</xdr:colOff>
                <xdr:row>20</xdr:row>
                <xdr:rowOff>146050</xdr:rowOff>
              </from>
              <to>
                <xdr:col>5</xdr:col>
                <xdr:colOff>533400</xdr:colOff>
                <xdr:row>21</xdr:row>
                <xdr:rowOff>165100</xdr:rowOff>
              </to>
            </anchor>
          </controlPr>
        </control>
      </mc:Choice>
    </mc:AlternateContent>
    <mc:AlternateContent xmlns:mc="http://schemas.openxmlformats.org/markup-compatibility/2006">
      <mc:Choice Requires="x14">
        <control shapeId="10547" r:id="rId17" name="Option Button 307">
          <controlPr locked="0" defaultSize="0" autoFill="0" autoLine="0" autoPict="0">
            <anchor moveWithCells="1">
              <from>
                <xdr:col>6</xdr:col>
                <xdr:colOff>0</xdr:colOff>
                <xdr:row>20</xdr:row>
                <xdr:rowOff>146050</xdr:rowOff>
              </from>
              <to>
                <xdr:col>9</xdr:col>
                <xdr:colOff>0</xdr:colOff>
                <xdr:row>21</xdr:row>
                <xdr:rowOff>165100</xdr:rowOff>
              </to>
            </anchor>
          </controlPr>
        </control>
      </mc:Choice>
    </mc:AlternateContent>
    <mc:AlternateContent xmlns:mc="http://schemas.openxmlformats.org/markup-compatibility/2006">
      <mc:Choice Requires="x14">
        <control shapeId="10549" r:id="rId18" name="Option Button 309">
          <controlPr defaultSize="0" autoFill="0" autoLine="0" autoPict="0">
            <anchor moveWithCells="1">
              <from>
                <xdr:col>0</xdr:col>
                <xdr:colOff>850900</xdr:colOff>
                <xdr:row>66</xdr:row>
                <xdr:rowOff>0</xdr:rowOff>
              </from>
              <to>
                <xdr:col>1</xdr:col>
                <xdr:colOff>469900</xdr:colOff>
                <xdr:row>67</xdr:row>
                <xdr:rowOff>76200</xdr:rowOff>
              </to>
            </anchor>
          </controlPr>
        </control>
      </mc:Choice>
    </mc:AlternateContent>
    <mc:AlternateContent xmlns:mc="http://schemas.openxmlformats.org/markup-compatibility/2006">
      <mc:Choice Requires="x14">
        <control shapeId="10550" r:id="rId19" name="Option Button 310">
          <controlPr defaultSize="0" autoFill="0" autoLine="0" autoPict="0">
            <anchor moveWithCells="1">
              <from>
                <xdr:col>2</xdr:col>
                <xdr:colOff>476250</xdr:colOff>
                <xdr:row>66</xdr:row>
                <xdr:rowOff>0</xdr:rowOff>
              </from>
              <to>
                <xdr:col>3</xdr:col>
                <xdr:colOff>323850</xdr:colOff>
                <xdr:row>68</xdr:row>
                <xdr:rowOff>0</xdr:rowOff>
              </to>
            </anchor>
          </controlPr>
        </control>
      </mc:Choice>
    </mc:AlternateContent>
    <mc:AlternateContent xmlns:mc="http://schemas.openxmlformats.org/markup-compatibility/2006">
      <mc:Choice Requires="x14">
        <control shapeId="10551" r:id="rId20" name="Option Button 311">
          <controlPr defaultSize="0" autoFill="0" autoLine="0" autoPict="0">
            <anchor moveWithCells="1">
              <from>
                <xdr:col>3</xdr:col>
                <xdr:colOff>1250950</xdr:colOff>
                <xdr:row>66</xdr:row>
                <xdr:rowOff>0</xdr:rowOff>
              </from>
              <to>
                <xdr:col>4</xdr:col>
                <xdr:colOff>0</xdr:colOff>
                <xdr:row>68</xdr:row>
                <xdr:rowOff>12700</xdr:rowOff>
              </to>
            </anchor>
          </controlPr>
        </control>
      </mc:Choice>
    </mc:AlternateContent>
    <mc:AlternateContent xmlns:mc="http://schemas.openxmlformats.org/markup-compatibility/2006">
      <mc:Choice Requires="x14">
        <control shapeId="10552" r:id="rId21" name="Group Box 312">
          <controlPr defaultSize="0" autoFill="0" autoPict="0">
            <anchor moveWithCells="1">
              <from>
                <xdr:col>0</xdr:col>
                <xdr:colOff>685800</xdr:colOff>
                <xdr:row>66</xdr:row>
                <xdr:rowOff>0</xdr:rowOff>
              </from>
              <to>
                <xdr:col>3</xdr:col>
                <xdr:colOff>1422400</xdr:colOff>
                <xdr:row>70</xdr:row>
                <xdr:rowOff>0</xdr:rowOff>
              </to>
            </anchor>
          </controlPr>
        </control>
      </mc:Choice>
    </mc:AlternateContent>
    <mc:AlternateContent xmlns:mc="http://schemas.openxmlformats.org/markup-compatibility/2006">
      <mc:Choice Requires="x14">
        <control shapeId="10553" r:id="rId22" name="Group Box 313">
          <controlPr defaultSize="0" autoFill="0" autoPict="0">
            <anchor moveWithCells="1">
              <from>
                <xdr:col>2</xdr:col>
                <xdr:colOff>793750</xdr:colOff>
                <xdr:row>38</xdr:row>
                <xdr:rowOff>69850</xdr:rowOff>
              </from>
              <to>
                <xdr:col>8</xdr:col>
                <xdr:colOff>0</xdr:colOff>
                <xdr:row>41</xdr:row>
                <xdr:rowOff>146050</xdr:rowOff>
              </to>
            </anchor>
          </controlPr>
        </control>
      </mc:Choice>
    </mc:AlternateContent>
    <mc:AlternateContent xmlns:mc="http://schemas.openxmlformats.org/markup-compatibility/2006">
      <mc:Choice Requires="x14">
        <control shapeId="10555" r:id="rId23" name="Group Box 315">
          <controlPr defaultSize="0" autoFill="0" autoPict="0">
            <anchor moveWithCells="1">
              <from>
                <xdr:col>4</xdr:col>
                <xdr:colOff>209550</xdr:colOff>
                <xdr:row>66</xdr:row>
                <xdr:rowOff>0</xdr:rowOff>
              </from>
              <to>
                <xdr:col>6</xdr:col>
                <xdr:colOff>419100</xdr:colOff>
                <xdr:row>69</xdr:row>
                <xdr:rowOff>95250</xdr:rowOff>
              </to>
            </anchor>
          </controlPr>
        </control>
      </mc:Choice>
    </mc:AlternateContent>
    <mc:AlternateContent xmlns:mc="http://schemas.openxmlformats.org/markup-compatibility/2006">
      <mc:Choice Requires="x14">
        <control shapeId="10557" r:id="rId24" name="Option Button 317">
          <controlPr defaultSize="0" autoFill="0" autoLine="0" autoPict="0">
            <anchor moveWithCells="1">
              <from>
                <xdr:col>1</xdr:col>
                <xdr:colOff>247650</xdr:colOff>
                <xdr:row>70</xdr:row>
                <xdr:rowOff>88900</xdr:rowOff>
              </from>
              <to>
                <xdr:col>2</xdr:col>
                <xdr:colOff>355600</xdr:colOff>
                <xdr:row>73</xdr:row>
                <xdr:rowOff>88900</xdr:rowOff>
              </to>
            </anchor>
          </controlPr>
        </control>
      </mc:Choice>
    </mc:AlternateContent>
    <mc:AlternateContent xmlns:mc="http://schemas.openxmlformats.org/markup-compatibility/2006">
      <mc:Choice Requires="x14">
        <control shapeId="10559" r:id="rId25" name="Group Box 319">
          <controlPr defaultSize="0" autoFill="0" autoPict="0">
            <anchor moveWithCells="1">
              <from>
                <xdr:col>0</xdr:col>
                <xdr:colOff>431800</xdr:colOff>
                <xdr:row>70</xdr:row>
                <xdr:rowOff>69850</xdr:rowOff>
              </from>
              <to>
                <xdr:col>3</xdr:col>
                <xdr:colOff>1422400</xdr:colOff>
                <xdr:row>74</xdr:row>
                <xdr:rowOff>50800</xdr:rowOff>
              </to>
            </anchor>
          </controlPr>
        </control>
      </mc:Choice>
    </mc:AlternateContent>
    <mc:AlternateContent xmlns:mc="http://schemas.openxmlformats.org/markup-compatibility/2006">
      <mc:Choice Requires="x14">
        <control shapeId="10561" r:id="rId26" name="Option Button 321">
          <controlPr defaultSize="0" autoFill="0" autoLine="0" autoPict="0">
            <anchor moveWithCells="1">
              <from>
                <xdr:col>1</xdr:col>
                <xdr:colOff>209550</xdr:colOff>
                <xdr:row>45</xdr:row>
                <xdr:rowOff>38100</xdr:rowOff>
              </from>
              <to>
                <xdr:col>2</xdr:col>
                <xdr:colOff>355600</xdr:colOff>
                <xdr:row>47</xdr:row>
                <xdr:rowOff>127000</xdr:rowOff>
              </to>
            </anchor>
          </controlPr>
        </control>
      </mc:Choice>
    </mc:AlternateContent>
    <mc:AlternateContent xmlns:mc="http://schemas.openxmlformats.org/markup-compatibility/2006">
      <mc:Choice Requires="x14">
        <control shapeId="10563" r:id="rId27" name="Group Box 323">
          <controlPr defaultSize="0" autoFill="0" autoPict="0">
            <anchor moveWithCells="1">
              <from>
                <xdr:col>0</xdr:col>
                <xdr:colOff>476250</xdr:colOff>
                <xdr:row>125</xdr:row>
                <xdr:rowOff>69850</xdr:rowOff>
              </from>
              <to>
                <xdr:col>3</xdr:col>
                <xdr:colOff>1422400</xdr:colOff>
                <xdr:row>129</xdr:row>
                <xdr:rowOff>69850</xdr:rowOff>
              </to>
            </anchor>
          </controlPr>
        </control>
      </mc:Choice>
    </mc:AlternateContent>
    <mc:AlternateContent xmlns:mc="http://schemas.openxmlformats.org/markup-compatibility/2006">
      <mc:Choice Requires="x14">
        <control shapeId="10959" r:id="rId28" name="Check Box 719">
          <controlPr defaultSize="0" autoFill="0" autoLine="0" autoPict="0">
            <anchor moveWithCells="1">
              <from>
                <xdr:col>7</xdr:col>
                <xdr:colOff>488950</xdr:colOff>
                <xdr:row>22</xdr:row>
                <xdr:rowOff>69850</xdr:rowOff>
              </from>
              <to>
                <xdr:col>9</xdr:col>
                <xdr:colOff>222250</xdr:colOff>
                <xdr:row>22</xdr:row>
                <xdr:rowOff>266700</xdr:rowOff>
              </to>
            </anchor>
          </controlPr>
        </control>
      </mc:Choice>
    </mc:AlternateContent>
    <mc:AlternateContent xmlns:mc="http://schemas.openxmlformats.org/markup-compatibility/2006">
      <mc:Choice Requires="x14">
        <control shapeId="10960" r:id="rId29" name="Check Box 720">
          <controlPr defaultSize="0" autoFill="0" autoLine="0" autoPict="0">
            <anchor moveWithCells="1">
              <from>
                <xdr:col>9</xdr:col>
                <xdr:colOff>355600</xdr:colOff>
                <xdr:row>22</xdr:row>
                <xdr:rowOff>50800</xdr:rowOff>
              </from>
              <to>
                <xdr:col>11</xdr:col>
                <xdr:colOff>0</xdr:colOff>
                <xdr:row>23</xdr:row>
                <xdr:rowOff>0</xdr:rowOff>
              </to>
            </anchor>
          </controlPr>
        </control>
      </mc:Choice>
    </mc:AlternateContent>
    <mc:AlternateContent xmlns:mc="http://schemas.openxmlformats.org/markup-compatibility/2006">
      <mc:Choice Requires="x14">
        <control shapeId="11022" r:id="rId30" name="Check Box 782">
          <controlPr defaultSize="0" autoFill="0" autoLine="0" autoPict="0">
            <anchor moveWithCells="1">
              <from>
                <xdr:col>1</xdr:col>
                <xdr:colOff>31750</xdr:colOff>
                <xdr:row>9</xdr:row>
                <xdr:rowOff>241300</xdr:rowOff>
              </from>
              <to>
                <xdr:col>1</xdr:col>
                <xdr:colOff>666750</xdr:colOff>
                <xdr:row>10</xdr:row>
                <xdr:rowOff>165100</xdr:rowOff>
              </to>
            </anchor>
          </controlPr>
        </control>
      </mc:Choice>
    </mc:AlternateContent>
    <mc:AlternateContent xmlns:mc="http://schemas.openxmlformats.org/markup-compatibility/2006">
      <mc:Choice Requires="x14">
        <control shapeId="11023" r:id="rId31" name="Check Box 783">
          <controlPr defaultSize="0" autoFill="0" autoLine="0" autoPict="0">
            <anchor moveWithCells="1">
              <from>
                <xdr:col>1</xdr:col>
                <xdr:colOff>488950</xdr:colOff>
                <xdr:row>9</xdr:row>
                <xdr:rowOff>222250</xdr:rowOff>
              </from>
              <to>
                <xdr:col>2</xdr:col>
                <xdr:colOff>374650</xdr:colOff>
                <xdr:row>10</xdr:row>
                <xdr:rowOff>171450</xdr:rowOff>
              </to>
            </anchor>
          </controlPr>
        </control>
      </mc:Choice>
    </mc:AlternateContent>
    <mc:AlternateContent xmlns:mc="http://schemas.openxmlformats.org/markup-compatibility/2006">
      <mc:Choice Requires="x14">
        <control shapeId="11024" r:id="rId32" name="Check Box 784">
          <controlPr defaultSize="0" autoFill="0" autoLine="0" autoPict="0">
            <anchor moveWithCells="1">
              <from>
                <xdr:col>3</xdr:col>
                <xdr:colOff>31750</xdr:colOff>
                <xdr:row>9</xdr:row>
                <xdr:rowOff>203200</xdr:rowOff>
              </from>
              <to>
                <xdr:col>3</xdr:col>
                <xdr:colOff>984250</xdr:colOff>
                <xdr:row>11</xdr:row>
                <xdr:rowOff>0</xdr:rowOff>
              </to>
            </anchor>
          </controlPr>
        </control>
      </mc:Choice>
    </mc:AlternateContent>
    <mc:AlternateContent xmlns:mc="http://schemas.openxmlformats.org/markup-compatibility/2006">
      <mc:Choice Requires="x14">
        <control shapeId="11025" r:id="rId33" name="Check Box 785">
          <controlPr defaultSize="0" autoFill="0" autoLine="0" autoPict="0">
            <anchor moveWithCells="1">
              <from>
                <xdr:col>3</xdr:col>
                <xdr:colOff>565150</xdr:colOff>
                <xdr:row>9</xdr:row>
                <xdr:rowOff>266700</xdr:rowOff>
              </from>
              <to>
                <xdr:col>3</xdr:col>
                <xdr:colOff>1003300</xdr:colOff>
                <xdr:row>10</xdr:row>
                <xdr:rowOff>241300</xdr:rowOff>
              </to>
            </anchor>
          </controlPr>
        </control>
      </mc:Choice>
    </mc:AlternateContent>
  </control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1"/>
  <dimension ref="A1:P207"/>
  <sheetViews>
    <sheetView showGridLines="0" zoomScale="90" zoomScaleNormal="90" workbookViewId="0">
      <selection activeCell="B6" sqref="B6"/>
    </sheetView>
  </sheetViews>
  <sheetFormatPr defaultColWidth="0" defaultRowHeight="14.5" customHeight="1" zeroHeight="1"/>
  <cols>
    <col min="1" max="1" width="14" style="42" customWidth="1"/>
    <col min="2" max="2" width="11.17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4" width="9.1796875" style="42" customWidth="1"/>
    <col min="15" max="15" width="14.81640625" style="42" customWidth="1"/>
    <col min="16" max="16" width="0" style="42" hidden="1" customWidth="1"/>
    <col min="17" max="16384" width="8.7265625" style="42" hidden="1"/>
  </cols>
  <sheetData>
    <row r="1" spans="1:16"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6" ht="55" customHeight="1">
      <c r="A2" s="2750" t="s">
        <v>132</v>
      </c>
      <c r="B2" s="2750"/>
      <c r="C2" s="2750"/>
      <c r="D2" s="2750"/>
      <c r="E2" s="2750"/>
      <c r="F2" s="2750"/>
      <c r="G2" s="2750"/>
      <c r="H2" s="2750"/>
      <c r="I2" s="2750"/>
      <c r="J2" s="2750"/>
      <c r="K2" s="7"/>
      <c r="L2" s="7"/>
      <c r="M2" s="7"/>
      <c r="N2" s="7"/>
      <c r="O2" s="7"/>
    </row>
    <row r="3" spans="1:16" ht="31" thickBot="1">
      <c r="A3" s="24" t="s">
        <v>134</v>
      </c>
      <c r="B3" s="24"/>
      <c r="C3" s="24"/>
      <c r="D3" s="24"/>
      <c r="E3" s="24"/>
      <c r="F3" s="24"/>
      <c r="G3" s="24"/>
      <c r="H3" s="24"/>
      <c r="I3" s="24"/>
      <c r="J3" s="24"/>
      <c r="K3" s="24"/>
      <c r="L3" s="24"/>
      <c r="M3" s="24"/>
      <c r="N3" s="24"/>
      <c r="O3" s="7"/>
    </row>
    <row r="4" spans="1:16" ht="18.75" customHeight="1">
      <c r="A4" s="25"/>
      <c r="B4" s="25"/>
      <c r="C4" s="25"/>
      <c r="D4" s="25"/>
      <c r="E4" s="25"/>
      <c r="F4" s="25"/>
      <c r="G4" s="25"/>
      <c r="H4" s="25"/>
      <c r="I4" s="25"/>
      <c r="J4" s="25"/>
      <c r="K4" s="25"/>
      <c r="L4" s="25"/>
      <c r="M4" s="25"/>
      <c r="N4" s="25"/>
      <c r="O4" s="7"/>
    </row>
    <row r="5" spans="1:16" ht="18" customHeight="1">
      <c r="A5" s="18" t="s">
        <v>136</v>
      </c>
      <c r="B5" s="171">
        <f>'In Unit HVAC Worksheet'!B83</f>
        <v>2</v>
      </c>
      <c r="C5" s="18"/>
      <c r="D5" s="95"/>
      <c r="E5" s="18"/>
      <c r="F5" s="18"/>
      <c r="G5" s="18" t="s">
        <v>80</v>
      </c>
      <c r="H5" s="2751" t="str">
        <f>IF('In Unit HVAC Worksheet'!C83="","",'In Unit HVAC Worksheet'!C83)</f>
        <v>z</v>
      </c>
      <c r="I5" s="2751"/>
      <c r="J5" s="14"/>
      <c r="K5" s="7"/>
      <c r="L5" s="7"/>
      <c r="M5" s="7"/>
      <c r="N5" s="7"/>
      <c r="O5" s="7"/>
    </row>
    <row r="6" spans="1:16" ht="18" customHeight="1">
      <c r="A6" s="18"/>
      <c r="B6" s="18"/>
      <c r="C6" s="18"/>
      <c r="D6" s="18"/>
      <c r="E6" s="18"/>
      <c r="F6" s="18"/>
      <c r="G6" s="18"/>
      <c r="H6" s="18"/>
      <c r="I6" s="14"/>
      <c r="J6" s="14"/>
      <c r="K6" s="7"/>
      <c r="L6" s="7"/>
      <c r="M6" s="7"/>
      <c r="N6" s="7"/>
      <c r="O6" s="7"/>
    </row>
    <row r="7" spans="1:16" ht="18" customHeight="1">
      <c r="D7" s="18"/>
      <c r="E7" s="18"/>
      <c r="F7" s="18"/>
      <c r="G7" s="18" t="s">
        <v>135</v>
      </c>
      <c r="H7" s="2751" t="str">
        <f>IF('In Unit HVAC Worksheet'!E83="","",'In Unit HVAC Worksheet'!E83)</f>
        <v>z</v>
      </c>
      <c r="I7" s="2751"/>
      <c r="J7" s="14"/>
      <c r="K7" s="7"/>
      <c r="L7" s="7"/>
      <c r="M7" s="7"/>
      <c r="N7" s="7"/>
      <c r="O7" s="7"/>
    </row>
    <row r="8" spans="1:16" ht="23">
      <c r="A8" s="20" t="s">
        <v>133</v>
      </c>
      <c r="B8" s="19"/>
      <c r="C8" s="19"/>
      <c r="D8" s="19"/>
      <c r="E8" s="19"/>
      <c r="F8" s="19"/>
      <c r="G8" s="19"/>
      <c r="H8" s="19"/>
      <c r="I8" s="19"/>
      <c r="J8" s="19"/>
      <c r="K8" s="19"/>
      <c r="L8" s="19"/>
      <c r="M8" s="11"/>
      <c r="N8" s="19"/>
      <c r="O8" s="19"/>
    </row>
    <row r="9" spans="1:16" ht="30.5">
      <c r="A9" s="14"/>
      <c r="B9" s="2752" t="s">
        <v>30</v>
      </c>
      <c r="C9" s="2752"/>
      <c r="D9" s="173" t="s">
        <v>31</v>
      </c>
      <c r="E9" s="14"/>
      <c r="F9" s="14"/>
      <c r="G9" s="14"/>
      <c r="H9" s="14"/>
      <c r="I9" s="14"/>
      <c r="J9" s="14"/>
      <c r="K9" s="7"/>
      <c r="L9" s="7"/>
      <c r="M9" s="7"/>
      <c r="N9" s="7"/>
      <c r="O9" s="7"/>
    </row>
    <row r="10" spans="1:16" ht="24" customHeight="1">
      <c r="A10" s="7"/>
      <c r="B10" s="2753"/>
      <c r="C10" s="2753"/>
      <c r="D10" s="22"/>
      <c r="E10" s="7"/>
      <c r="G10" s="16"/>
      <c r="H10" s="16"/>
      <c r="J10" s="7"/>
      <c r="K10" s="7"/>
      <c r="L10" s="7"/>
      <c r="M10" s="7"/>
      <c r="N10" s="7"/>
      <c r="O10" s="7"/>
    </row>
    <row r="11" spans="1:16" ht="23.5" thickBot="1">
      <c r="A11" s="17" t="s">
        <v>67</v>
      </c>
      <c r="B11" s="17"/>
      <c r="C11" s="17"/>
      <c r="D11" s="17"/>
      <c r="E11" s="17"/>
      <c r="F11" s="17"/>
      <c r="G11" s="17"/>
      <c r="H11" s="17"/>
      <c r="I11" s="17"/>
      <c r="J11" s="17"/>
      <c r="K11" s="17"/>
      <c r="L11" s="17"/>
      <c r="M11" s="17"/>
      <c r="N11" s="17"/>
      <c r="O11" s="19"/>
    </row>
    <row r="12" spans="1:16" ht="6.75" customHeight="1">
      <c r="A12" s="4"/>
      <c r="B12" s="5"/>
      <c r="C12" s="5"/>
      <c r="D12" s="5"/>
      <c r="E12" s="5"/>
      <c r="F12" s="5"/>
      <c r="G12" s="5"/>
      <c r="H12" s="5"/>
      <c r="I12" s="5"/>
      <c r="J12" s="5"/>
      <c r="K12" s="5"/>
      <c r="L12" s="5"/>
      <c r="M12" s="5"/>
      <c r="N12" s="5"/>
      <c r="O12" s="5"/>
    </row>
    <row r="13" spans="1:16" ht="21.65" customHeight="1">
      <c r="A13" s="139" t="s">
        <v>443</v>
      </c>
      <c r="B13" s="5"/>
      <c r="C13" s="5"/>
      <c r="D13" s="5"/>
      <c r="E13" s="5"/>
      <c r="F13" s="5"/>
      <c r="G13" s="5"/>
      <c r="H13" s="5"/>
      <c r="I13" s="5"/>
      <c r="J13" s="5"/>
      <c r="K13" s="5"/>
      <c r="L13" s="5"/>
      <c r="M13" s="5"/>
      <c r="N13" s="5"/>
      <c r="O13" s="5"/>
    </row>
    <row r="14" spans="1:16" ht="21.65" customHeight="1">
      <c r="A14" s="139"/>
      <c r="B14" s="5"/>
      <c r="C14" s="5"/>
      <c r="D14" s="5"/>
      <c r="E14" s="5"/>
      <c r="F14" s="5"/>
      <c r="G14" s="5"/>
      <c r="H14" s="5"/>
      <c r="I14" s="5"/>
      <c r="J14" s="5"/>
      <c r="K14" s="5"/>
      <c r="L14" s="5"/>
      <c r="M14" s="5"/>
      <c r="N14" s="5"/>
      <c r="O14" s="5"/>
      <c r="P14" s="5"/>
    </row>
    <row r="15" spans="1:16" ht="33.65" customHeight="1">
      <c r="A15" s="42" t="s">
        <v>525</v>
      </c>
      <c r="E15" s="2734"/>
      <c r="F15" s="2734"/>
      <c r="G15" s="42" t="str">
        <f>IF(OR(E15=""),"",'Air Flow References'!G4)</f>
        <v/>
      </c>
      <c r="L15" s="43" t="s">
        <v>526</v>
      </c>
      <c r="M15" s="2734"/>
      <c r="N15" s="2734"/>
      <c r="O15" s="165" t="str">
        <f>IF(OR(M15=""),"",'Air Flow References'!G6)</f>
        <v/>
      </c>
    </row>
    <row r="16" spans="1:16" ht="33.65" customHeight="1"/>
    <row r="17" spans="1:15" ht="33.65" customHeight="1">
      <c r="A17" s="42" t="s">
        <v>529</v>
      </c>
    </row>
    <row r="18" spans="1:15" ht="33.65" customHeight="1">
      <c r="A18" s="2318" t="s">
        <v>527</v>
      </c>
      <c r="B18" s="2318"/>
      <c r="C18" s="2318"/>
      <c r="D18" s="2318"/>
      <c r="E18" s="2736"/>
      <c r="F18" s="2736"/>
      <c r="G18" s="42" t="str">
        <f>IF(OR(E18=""),"",'Air Flow References'!G5)</f>
        <v/>
      </c>
      <c r="H18" s="45"/>
      <c r="I18" s="166" t="s">
        <v>397</v>
      </c>
      <c r="L18" s="43" t="s">
        <v>528</v>
      </c>
      <c r="M18" s="2734"/>
      <c r="N18" s="2734"/>
      <c r="O18" s="42" t="str">
        <f>IF(OR(M18=""),"",'Air Flow References'!G7)</f>
        <v/>
      </c>
    </row>
    <row r="19" spans="1:15" ht="33.65" customHeight="1"/>
    <row r="20" spans="1:15" ht="33.65" customHeight="1">
      <c r="A20" s="42" t="s">
        <v>540</v>
      </c>
      <c r="E20" s="2748"/>
      <c r="F20" s="2748"/>
    </row>
    <row r="21" spans="1:15" ht="33.65" customHeight="1">
      <c r="F21" s="44"/>
    </row>
    <row r="22" spans="1:15" ht="33.65" customHeight="1">
      <c r="A22" s="42" t="s">
        <v>532</v>
      </c>
      <c r="E22" s="2731"/>
      <c r="F22" s="2731"/>
      <c r="G22" s="42" t="str">
        <f>IF(OR(E22=""),"",'Air Flow References'!G9)</f>
        <v/>
      </c>
      <c r="H22" s="73"/>
      <c r="I22" s="73"/>
      <c r="J22" s="73"/>
      <c r="K22" s="73"/>
    </row>
    <row r="23" spans="1:15" ht="33.65" customHeight="1">
      <c r="A23" s="162" t="s">
        <v>530</v>
      </c>
      <c r="E23" s="164"/>
      <c r="F23" s="164"/>
    </row>
    <row r="24" spans="1:15" ht="33.65" customHeight="1">
      <c r="A24" s="162"/>
      <c r="E24" s="164"/>
      <c r="F24" s="164"/>
    </row>
    <row r="25" spans="1:15" ht="33.65" customHeight="1">
      <c r="A25" s="42" t="s">
        <v>533</v>
      </c>
      <c r="D25" s="51"/>
      <c r="E25" s="2119"/>
      <c r="F25" s="2119"/>
      <c r="G25" s="42" t="str">
        <f>IF(OR(E25=""),"",'Air Flow References'!G8)</f>
        <v/>
      </c>
    </row>
    <row r="26" spans="1:15" ht="33.65" customHeight="1">
      <c r="A26" s="162" t="s">
        <v>534</v>
      </c>
    </row>
    <row r="27" spans="1:15" ht="16.75" customHeight="1"/>
    <row r="28" spans="1:15" ht="16.75" customHeight="1"/>
    <row r="29" spans="1:15">
      <c r="A29" s="2318" t="s">
        <v>62</v>
      </c>
      <c r="B29" s="2318"/>
      <c r="C29" s="2318"/>
      <c r="D29" s="2318"/>
      <c r="E29" s="2318"/>
      <c r="F29" s="2318"/>
      <c r="G29" s="2318"/>
      <c r="H29" s="2318"/>
      <c r="I29" s="2318"/>
      <c r="J29" s="2318"/>
      <c r="K29" s="2318"/>
      <c r="L29" s="2318"/>
      <c r="M29" s="2318"/>
    </row>
    <row r="30" spans="1:15" ht="33.65" customHeight="1">
      <c r="A30" s="42" t="s">
        <v>63</v>
      </c>
      <c r="C30" s="2733"/>
      <c r="D30" s="2733"/>
      <c r="E30" s="2733"/>
      <c r="F30" s="2733"/>
      <c r="G30" s="2733"/>
      <c r="H30" s="2733"/>
      <c r="I30" s="2733"/>
      <c r="J30" s="2733"/>
      <c r="K30" s="2733"/>
      <c r="L30" s="2733"/>
    </row>
    <row r="31" spans="1:15"/>
    <row r="32" spans="1:15">
      <c r="A32" s="45" t="s">
        <v>66</v>
      </c>
    </row>
    <row r="33" spans="1:15">
      <c r="A33" s="42" t="s">
        <v>65</v>
      </c>
    </row>
    <row r="34" spans="1:15">
      <c r="A34" s="42" t="s">
        <v>64</v>
      </c>
    </row>
    <row r="35" spans="1:15"/>
    <row r="36" spans="1:15"/>
    <row r="37" spans="1:15" ht="23.5" thickBot="1">
      <c r="A37" s="17" t="s">
        <v>236</v>
      </c>
      <c r="B37" s="17"/>
      <c r="C37" s="17"/>
      <c r="D37" s="17"/>
      <c r="E37" s="17"/>
      <c r="F37" s="17"/>
      <c r="G37" s="17"/>
      <c r="H37" s="17"/>
      <c r="I37" s="17"/>
      <c r="J37" s="17"/>
      <c r="K37" s="17"/>
      <c r="L37" s="17"/>
      <c r="M37" s="17"/>
      <c r="N37" s="17"/>
      <c r="O37" s="19"/>
    </row>
    <row r="38" spans="1:15" ht="23">
      <c r="A38" s="4"/>
      <c r="B38" s="4"/>
      <c r="C38" s="4"/>
      <c r="D38" s="4"/>
      <c r="E38" s="4"/>
      <c r="F38" s="4"/>
      <c r="G38" s="4"/>
      <c r="H38" s="4"/>
      <c r="I38" s="4"/>
      <c r="J38" s="4"/>
      <c r="K38" s="4"/>
      <c r="L38" s="4"/>
      <c r="M38" s="4"/>
      <c r="N38" s="4"/>
      <c r="O38" s="4"/>
    </row>
    <row r="39" spans="1:15" ht="23">
      <c r="A39" s="3" t="s">
        <v>97</v>
      </c>
      <c r="B39" s="4"/>
      <c r="C39" s="4"/>
      <c r="D39" s="4"/>
      <c r="E39" s="4"/>
      <c r="F39" s="4"/>
      <c r="G39" s="4"/>
      <c r="H39" s="4"/>
      <c r="I39" s="2749"/>
      <c r="J39" s="2749"/>
      <c r="K39" s="4"/>
      <c r="L39" s="4"/>
      <c r="M39" s="4"/>
    </row>
    <row r="40" spans="1:15" ht="23">
      <c r="A40" s="4"/>
      <c r="B40" s="4"/>
      <c r="C40" s="4"/>
      <c r="D40" s="4"/>
      <c r="E40" s="4"/>
      <c r="F40" s="4"/>
      <c r="G40" s="4"/>
      <c r="H40" s="4"/>
      <c r="I40" s="4"/>
      <c r="J40" s="4"/>
      <c r="K40" s="4"/>
      <c r="L40" s="4"/>
      <c r="M40" s="4"/>
      <c r="N40" s="4"/>
      <c r="O40" s="4"/>
    </row>
    <row r="41" spans="1:15">
      <c r="A41" s="46" t="s">
        <v>221</v>
      </c>
      <c r="B41" s="46"/>
      <c r="C41" s="46"/>
      <c r="D41" s="46"/>
      <c r="E41" s="46"/>
      <c r="F41" s="46"/>
      <c r="G41" s="46"/>
      <c r="H41" s="46"/>
      <c r="I41" s="46"/>
      <c r="J41" s="46"/>
      <c r="K41" s="46"/>
      <c r="L41" s="46"/>
      <c r="M41" s="46"/>
      <c r="N41" s="46"/>
    </row>
    <row r="42" spans="1:15">
      <c r="A42" s="48"/>
      <c r="B42" s="49"/>
      <c r="C42" s="49"/>
      <c r="D42" s="49"/>
      <c r="E42" s="49"/>
      <c r="F42" s="49"/>
      <c r="G42" s="49"/>
      <c r="H42" s="49"/>
      <c r="I42" s="49"/>
      <c r="J42" s="49"/>
      <c r="K42" s="49"/>
      <c r="L42" s="49"/>
      <c r="M42" s="49"/>
      <c r="N42" s="49"/>
    </row>
    <row r="43" spans="1:15">
      <c r="A43" s="54" t="s">
        <v>95</v>
      </c>
    </row>
    <row r="44" spans="1:15">
      <c r="A44" s="50" t="s">
        <v>96</v>
      </c>
    </row>
    <row r="45" spans="1:15">
      <c r="A45" s="50"/>
    </row>
    <row r="46" spans="1:15">
      <c r="A46" s="50"/>
      <c r="E46" s="2747"/>
      <c r="F46" s="2747"/>
    </row>
    <row r="47" spans="1:15">
      <c r="A47" s="50"/>
    </row>
    <row r="48" spans="1:15">
      <c r="A48" s="50"/>
    </row>
    <row r="49" spans="1:7">
      <c r="A49" s="50"/>
      <c r="B49" s="42" t="s">
        <v>110</v>
      </c>
      <c r="E49" s="96"/>
      <c r="F49" s="42" t="s">
        <v>101</v>
      </c>
      <c r="G49" s="42" t="str">
        <f>IF(OR(E49=""),"",'Air Flow References'!G16)</f>
        <v/>
      </c>
    </row>
    <row r="50" spans="1:7">
      <c r="A50" s="50"/>
    </row>
    <row r="51" spans="1:7">
      <c r="A51" s="50"/>
      <c r="B51" s="42" t="s">
        <v>111</v>
      </c>
      <c r="E51" s="96"/>
      <c r="F51" s="56" t="s">
        <v>101</v>
      </c>
      <c r="G51" s="42" t="str">
        <f>IF(OR(E51=""),"",'Air Flow References'!G17)</f>
        <v/>
      </c>
    </row>
    <row r="52" spans="1:7">
      <c r="A52" s="50"/>
    </row>
    <row r="53" spans="1:7">
      <c r="A53" s="54" t="s">
        <v>102</v>
      </c>
    </row>
    <row r="54" spans="1:7">
      <c r="A54" s="54"/>
    </row>
    <row r="55" spans="1:7">
      <c r="A55" s="50" t="s">
        <v>112</v>
      </c>
      <c r="E55" s="96"/>
      <c r="F55" s="42" t="s">
        <v>106</v>
      </c>
      <c r="G55" s="42" t="str">
        <f>IF(OR(E55=""),"",'Air Flow References'!G18)</f>
        <v/>
      </c>
    </row>
    <row r="56" spans="1:7">
      <c r="A56" s="50"/>
    </row>
    <row r="57" spans="1:7">
      <c r="A57" s="50" t="s">
        <v>113</v>
      </c>
      <c r="E57" s="96"/>
      <c r="F57" s="42" t="s">
        <v>101</v>
      </c>
      <c r="G57" s="42" t="str">
        <f>IF(OR(E57=""),"",'Air Flow References'!G19)</f>
        <v/>
      </c>
    </row>
    <row r="58" spans="1:7">
      <c r="A58" s="50"/>
    </row>
    <row r="59" spans="1:7">
      <c r="A59" s="50" t="s">
        <v>114</v>
      </c>
      <c r="E59" s="96"/>
      <c r="F59" s="42" t="s">
        <v>101</v>
      </c>
      <c r="G59" s="42" t="str">
        <f>IF(OR(E59=""),"",'Air Flow References'!G20)</f>
        <v/>
      </c>
    </row>
    <row r="60" spans="1:7">
      <c r="A60" s="50"/>
      <c r="E60" s="51"/>
    </row>
    <row r="61" spans="1:7">
      <c r="A61" s="50" t="s">
        <v>115</v>
      </c>
      <c r="E61" s="98" t="str">
        <f>IF(OR(E57="",E59=""),"",E57-E59)</f>
        <v/>
      </c>
      <c r="F61" s="42" t="s">
        <v>101</v>
      </c>
    </row>
    <row r="62" spans="1:7">
      <c r="A62" s="50"/>
    </row>
    <row r="63" spans="1:7">
      <c r="A63" s="57" t="s">
        <v>116</v>
      </c>
    </row>
    <row r="64" spans="1:7">
      <c r="A64" s="50"/>
    </row>
    <row r="65" spans="1:15">
      <c r="A65" s="58" t="s">
        <v>117</v>
      </c>
      <c r="B65" s="59"/>
      <c r="C65" s="59"/>
      <c r="D65" s="59"/>
      <c r="E65" s="59"/>
      <c r="F65" s="59"/>
      <c r="G65" s="59"/>
      <c r="H65" s="59"/>
      <c r="I65" s="59"/>
      <c r="J65" s="59"/>
      <c r="K65" s="59"/>
      <c r="L65" s="59"/>
      <c r="M65" s="59"/>
      <c r="N65" s="59"/>
    </row>
    <row r="66" spans="1:15">
      <c r="A66" s="46" t="s">
        <v>260</v>
      </c>
      <c r="B66" s="46"/>
      <c r="C66" s="46"/>
      <c r="D66" s="46"/>
      <c r="E66" s="46"/>
      <c r="F66" s="46"/>
      <c r="G66" s="46"/>
      <c r="H66" s="46"/>
      <c r="I66" s="46"/>
      <c r="J66" s="46"/>
      <c r="K66" s="46"/>
      <c r="L66" s="46"/>
      <c r="M66" s="46"/>
      <c r="N66" s="46"/>
      <c r="O66" s="47"/>
    </row>
    <row r="67" spans="1:15">
      <c r="A67" s="48"/>
      <c r="B67" s="49"/>
      <c r="C67" s="49"/>
      <c r="D67" s="49"/>
      <c r="E67" s="49"/>
      <c r="F67" s="49"/>
      <c r="G67" s="49"/>
      <c r="H67" s="49"/>
      <c r="I67" s="49"/>
      <c r="J67" s="49"/>
      <c r="K67" s="49"/>
      <c r="L67" s="49"/>
      <c r="M67" s="49"/>
      <c r="N67" s="49"/>
    </row>
    <row r="68" spans="1:15">
      <c r="A68" s="54" t="s">
        <v>95</v>
      </c>
    </row>
    <row r="69" spans="1:15">
      <c r="A69" s="50" t="s">
        <v>96</v>
      </c>
    </row>
    <row r="70" spans="1:15">
      <c r="A70" s="50"/>
    </row>
    <row r="71" spans="1:15">
      <c r="A71" s="50"/>
      <c r="E71" s="2747"/>
      <c r="F71" s="2747"/>
    </row>
    <row r="72" spans="1:15">
      <c r="A72" s="50"/>
    </row>
    <row r="73" spans="1:15">
      <c r="A73" s="50"/>
    </row>
    <row r="74" spans="1:15">
      <c r="A74" s="50"/>
      <c r="B74" s="42" t="s">
        <v>98</v>
      </c>
      <c r="E74" s="96"/>
      <c r="F74" s="42" t="s">
        <v>399</v>
      </c>
      <c r="G74" s="172" t="str">
        <f>IF(OR(E74=""),"",'Air Flow References'!G28)</f>
        <v/>
      </c>
    </row>
    <row r="75" spans="1:15">
      <c r="A75" s="50"/>
      <c r="B75" s="42" t="s">
        <v>398</v>
      </c>
      <c r="E75" s="167"/>
      <c r="G75" s="55"/>
    </row>
    <row r="76" spans="1:15">
      <c r="A76" s="50"/>
    </row>
    <row r="77" spans="1:15">
      <c r="A77" s="50"/>
      <c r="B77" s="42" t="s">
        <v>99</v>
      </c>
      <c r="E77" s="96"/>
      <c r="F77" s="42" t="s">
        <v>101</v>
      </c>
      <c r="G77" s="42" t="str">
        <f>IF(OR(E77=""),"",'Air Flow References'!G29)</f>
        <v/>
      </c>
    </row>
    <row r="78" spans="1:15">
      <c r="A78" s="50"/>
    </row>
    <row r="79" spans="1:15">
      <c r="A79" s="50"/>
      <c r="B79" s="42" t="s">
        <v>100</v>
      </c>
      <c r="E79" s="96"/>
      <c r="F79" s="56" t="s">
        <v>101</v>
      </c>
      <c r="G79" s="42" t="str">
        <f>IF(OR(E79=""),"",'Air Flow References'!G30)</f>
        <v/>
      </c>
    </row>
    <row r="80" spans="1:15">
      <c r="A80" s="50"/>
    </row>
    <row r="81" spans="1:15">
      <c r="A81" s="50"/>
    </row>
    <row r="82" spans="1:15">
      <c r="A82" s="54" t="s">
        <v>102</v>
      </c>
    </row>
    <row r="83" spans="1:15">
      <c r="A83" s="50"/>
    </row>
    <row r="84" spans="1:15">
      <c r="A84" s="50" t="s">
        <v>103</v>
      </c>
      <c r="E84" s="96"/>
      <c r="F84" s="42" t="s">
        <v>106</v>
      </c>
      <c r="G84" s="42" t="str">
        <f>IF(OR(E84=""),"",'Air Flow References'!G31)</f>
        <v/>
      </c>
    </row>
    <row r="85" spans="1:15">
      <c r="A85" s="50"/>
    </row>
    <row r="86" spans="1:15">
      <c r="A86" s="50" t="s">
        <v>104</v>
      </c>
      <c r="E86" s="96"/>
      <c r="F86" s="56" t="s">
        <v>101</v>
      </c>
      <c r="G86" s="42" t="str">
        <f>IF(OR(E86=""),"",'Air Flow References'!G32)</f>
        <v/>
      </c>
    </row>
    <row r="87" spans="1:15">
      <c r="A87" s="50"/>
    </row>
    <row r="88" spans="1:15">
      <c r="A88" s="50" t="s">
        <v>105</v>
      </c>
      <c r="E88" s="96"/>
      <c r="F88" s="56" t="s">
        <v>101</v>
      </c>
      <c r="G88" s="42" t="str">
        <f>IF(OR(E88=""),"",'Air Flow References'!G33)</f>
        <v/>
      </c>
    </row>
    <row r="89" spans="1:15">
      <c r="A89" s="50"/>
    </row>
    <row r="90" spans="1:15">
      <c r="A90" s="50" t="s">
        <v>107</v>
      </c>
      <c r="E90" s="98" t="str">
        <f>IF(OR(E86="",E88=""),"",E88-E86)</f>
        <v/>
      </c>
      <c r="F90" s="56" t="s">
        <v>101</v>
      </c>
    </row>
    <row r="91" spans="1:15">
      <c r="A91" s="50"/>
    </row>
    <row r="92" spans="1:15">
      <c r="A92" s="57" t="s">
        <v>108</v>
      </c>
    </row>
    <row r="93" spans="1:15">
      <c r="A93" s="50"/>
    </row>
    <row r="94" spans="1:15">
      <c r="A94" s="45" t="s">
        <v>109</v>
      </c>
    </row>
    <row r="95" spans="1:15">
      <c r="A95" s="46" t="s">
        <v>847</v>
      </c>
      <c r="B95" s="46"/>
      <c r="C95" s="46"/>
      <c r="D95" s="46"/>
      <c r="E95" s="46"/>
      <c r="F95" s="46"/>
      <c r="G95" s="46"/>
      <c r="H95" s="46"/>
      <c r="I95" s="46"/>
      <c r="J95" s="46"/>
      <c r="K95" s="46"/>
      <c r="L95" s="46"/>
      <c r="M95" s="46"/>
      <c r="N95" s="46"/>
      <c r="O95" s="47"/>
    </row>
    <row r="96" spans="1:15">
      <c r="A96" s="48"/>
      <c r="B96" s="49"/>
      <c r="C96" s="49"/>
      <c r="D96" s="49"/>
      <c r="E96" s="49"/>
      <c r="F96" s="49"/>
      <c r="G96" s="49"/>
      <c r="H96" s="49"/>
      <c r="I96" s="49"/>
      <c r="J96" s="49"/>
      <c r="K96" s="49"/>
      <c r="L96" s="49"/>
      <c r="M96" s="49"/>
      <c r="N96" s="49"/>
    </row>
    <row r="97" spans="1:14">
      <c r="A97" s="50" t="s">
        <v>68</v>
      </c>
    </row>
    <row r="98" spans="1:14">
      <c r="A98" s="50"/>
    </row>
    <row r="99" spans="1:14">
      <c r="A99" s="50"/>
      <c r="E99" s="2734"/>
      <c r="F99" s="2734"/>
      <c r="G99" s="42" t="s">
        <v>69</v>
      </c>
    </row>
    <row r="100" spans="1:14">
      <c r="A100" s="2742" t="s">
        <v>2014</v>
      </c>
      <c r="B100" s="2624"/>
    </row>
    <row r="101" spans="1:14">
      <c r="A101" s="2742"/>
      <c r="B101" s="2624"/>
      <c r="C101" s="663"/>
      <c r="E101" s="42" t="s">
        <v>71</v>
      </c>
      <c r="F101" s="663"/>
    </row>
    <row r="102" spans="1:14">
      <c r="A102" s="50"/>
    </row>
    <row r="103" spans="1:14">
      <c r="A103" s="50"/>
    </row>
    <row r="104" spans="1:14">
      <c r="A104" s="50" t="s">
        <v>81</v>
      </c>
      <c r="E104" s="74"/>
    </row>
    <row r="105" spans="1:14">
      <c r="A105" s="50"/>
    </row>
    <row r="106" spans="1:14">
      <c r="A106" s="50"/>
    </row>
    <row r="107" spans="1:14">
      <c r="A107" s="50" t="s">
        <v>82</v>
      </c>
      <c r="E107" s="74"/>
    </row>
    <row r="108" spans="1:14">
      <c r="A108" s="50"/>
    </row>
    <row r="109" spans="1:14">
      <c r="A109" s="50"/>
    </row>
    <row r="110" spans="1:14">
      <c r="A110" s="50" t="s">
        <v>2015</v>
      </c>
      <c r="C110" s="663"/>
      <c r="D110" s="42" t="s">
        <v>84</v>
      </c>
    </row>
    <row r="111" spans="1:14">
      <c r="A111" s="50"/>
    </row>
    <row r="112" spans="1:14">
      <c r="A112" s="50" t="s">
        <v>85</v>
      </c>
      <c r="D112" s="661"/>
      <c r="E112" s="42" t="s">
        <v>86</v>
      </c>
      <c r="F112" s="42" t="s">
        <v>87</v>
      </c>
      <c r="G112" s="661"/>
      <c r="H112" s="42" t="s">
        <v>84</v>
      </c>
      <c r="I112" s="42" t="s">
        <v>88</v>
      </c>
      <c r="J112" s="661"/>
      <c r="K112" s="42" t="s">
        <v>89</v>
      </c>
      <c r="L112" s="51" t="s">
        <v>90</v>
      </c>
      <c r="M112" s="661"/>
      <c r="N112" s="42" t="s">
        <v>91</v>
      </c>
    </row>
    <row r="113" spans="1:15">
      <c r="A113" s="50"/>
      <c r="L113" s="51"/>
    </row>
    <row r="114" spans="1:15">
      <c r="A114" s="50" t="s">
        <v>183</v>
      </c>
      <c r="D114" s="661"/>
      <c r="E114" s="42" t="s">
        <v>86</v>
      </c>
      <c r="F114" s="42" t="s">
        <v>87</v>
      </c>
      <c r="G114" s="661"/>
      <c r="H114" s="42" t="s">
        <v>84</v>
      </c>
      <c r="I114" s="42" t="s">
        <v>88</v>
      </c>
      <c r="J114" s="661"/>
      <c r="K114" s="42" t="s">
        <v>89</v>
      </c>
      <c r="L114" s="51" t="s">
        <v>90</v>
      </c>
      <c r="M114" s="661"/>
      <c r="N114" s="42" t="s">
        <v>91</v>
      </c>
    </row>
    <row r="115" spans="1:15">
      <c r="A115" s="50"/>
    </row>
    <row r="116" spans="1:15">
      <c r="A116" s="52" t="s">
        <v>242</v>
      </c>
      <c r="M116" s="661"/>
      <c r="N116" s="42" t="s">
        <v>91</v>
      </c>
    </row>
    <row r="117" spans="1:15">
      <c r="A117" s="50"/>
    </row>
    <row r="118" spans="1:15">
      <c r="A118" s="2745" t="s">
        <v>92</v>
      </c>
      <c r="B118" s="2738"/>
      <c r="C118" s="2738"/>
      <c r="D118" s="2738"/>
      <c r="E118" s="2746"/>
      <c r="F118" s="2743" t="s">
        <v>93</v>
      </c>
      <c r="G118" s="2743"/>
      <c r="H118" s="2743"/>
      <c r="I118" s="2743"/>
      <c r="J118" s="2743"/>
      <c r="K118" s="2743"/>
      <c r="L118" s="53"/>
      <c r="M118" s="2754" t="str">
        <f>IF(AND(M112="",M114="",M116=""),"",M112+M114+M116)</f>
        <v/>
      </c>
      <c r="N118" s="2738" t="s">
        <v>91</v>
      </c>
    </row>
    <row r="119" spans="1:15">
      <c r="A119" s="2745"/>
      <c r="B119" s="2738"/>
      <c r="C119" s="2738"/>
      <c r="D119" s="2738"/>
      <c r="E119" s="2746"/>
      <c r="F119" s="2743"/>
      <c r="G119" s="2743"/>
      <c r="H119" s="2743"/>
      <c r="I119" s="2743"/>
      <c r="J119" s="2743"/>
      <c r="K119" s="2743"/>
      <c r="L119" s="53"/>
      <c r="M119" s="2755"/>
      <c r="N119" s="2738"/>
    </row>
    <row r="120" spans="1:15">
      <c r="A120" s="50"/>
    </row>
    <row r="121" spans="1:15">
      <c r="A121" s="45" t="s">
        <v>94</v>
      </c>
    </row>
    <row r="122" spans="1:15"/>
    <row r="123" spans="1:15"/>
    <row r="124" spans="1:15"/>
    <row r="125" spans="1:15">
      <c r="A125" s="63" t="s">
        <v>223</v>
      </c>
      <c r="B125" s="67"/>
      <c r="C125" s="64" t="str">
        <f>Development!$A$4&amp;"_"&amp;Development!$A$2</f>
        <v>4.01.2024_2.0</v>
      </c>
      <c r="D125" s="2756"/>
      <c r="E125" s="2756"/>
      <c r="F125" s="2756"/>
      <c r="G125" s="2757"/>
      <c r="H125" s="2757"/>
      <c r="I125" s="2757"/>
      <c r="J125" s="49"/>
      <c r="K125" s="49"/>
      <c r="L125" s="49"/>
      <c r="M125" s="49"/>
      <c r="N125" s="66" t="s">
        <v>225</v>
      </c>
      <c r="O125" s="65" t="str">
        <f>Development!$A$4</f>
        <v>4.01.2024</v>
      </c>
    </row>
    <row r="126" spans="1:15"/>
    <row r="127" spans="1:15"/>
    <row r="128" spans="1:15"/>
    <row r="129" s="42" customFormat="1"/>
    <row r="130" s="42" customFormat="1"/>
    <row r="131" s="42" customFormat="1"/>
    <row r="132" s="42" customFormat="1"/>
    <row r="133" s="42" customFormat="1"/>
    <row r="134" s="42" customFormat="1"/>
    <row r="135" s="42" customFormat="1"/>
    <row r="136" s="42" customFormat="1"/>
    <row r="137" s="42" customFormat="1"/>
    <row r="138" s="42" customFormat="1"/>
    <row r="139" s="42" customFormat="1"/>
    <row r="140" s="42" customFormat="1"/>
    <row r="141" s="42" customFormat="1"/>
    <row r="142" s="42" customFormat="1"/>
    <row r="143" s="42" customFormat="1"/>
    <row r="144" s="42" customFormat="1"/>
    <row r="145" spans="15:15">
      <c r="O145" s="60"/>
    </row>
    <row r="157" spans="15:15"/>
    <row r="158" spans="15:15"/>
    <row r="159" spans="15:15"/>
    <row r="160" spans="15:15"/>
    <row r="161"/>
    <row r="162"/>
    <row r="163"/>
    <row r="164"/>
    <row r="165"/>
    <row r="166"/>
    <row r="167"/>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row r="203" ht="14.5" customHeight="1"/>
    <row r="204" ht="14.5" customHeight="1"/>
    <row r="205" ht="14.5" customHeight="1"/>
    <row r="206" ht="14.5" customHeight="1"/>
    <row r="207" ht="14.5" customHeight="1"/>
  </sheetData>
  <sheetProtection algorithmName="SHA-512" hashValue="l08F4GZW78QrAesq0k3IoiWNXEhBvqlNY+kyCCv1Xm1Wms0cyuziOsUum2Y1roCvYrpF1VzJTcCEe1BoD8u82g==" saltValue="wh7BLqCSnOc5E/ebGLSZ9g==" spinCount="100000" sheet="1" objects="1" scenarios="1"/>
  <mergeCells count="27">
    <mergeCell ref="M118:M119"/>
    <mergeCell ref="N118:N119"/>
    <mergeCell ref="D125:F125"/>
    <mergeCell ref="G125:I125"/>
    <mergeCell ref="E71:F71"/>
    <mergeCell ref="E99:F99"/>
    <mergeCell ref="A118:E119"/>
    <mergeCell ref="F118:K119"/>
    <mergeCell ref="A100:B101"/>
    <mergeCell ref="A1:J1"/>
    <mergeCell ref="A2:J2"/>
    <mergeCell ref="E15:F15"/>
    <mergeCell ref="M15:N15"/>
    <mergeCell ref="A18:D18"/>
    <mergeCell ref="H5:I5"/>
    <mergeCell ref="H7:I7"/>
    <mergeCell ref="B9:C9"/>
    <mergeCell ref="B10:C10"/>
    <mergeCell ref="C30:L30"/>
    <mergeCell ref="E22:F22"/>
    <mergeCell ref="E46:F46"/>
    <mergeCell ref="M18:N18"/>
    <mergeCell ref="E18:F18"/>
    <mergeCell ref="E20:F20"/>
    <mergeCell ref="E25:F25"/>
    <mergeCell ref="A29:M29"/>
    <mergeCell ref="I39:J39"/>
  </mergeCells>
  <dataValidations count="1">
    <dataValidation type="list" allowBlank="1" showInputMessage="1" showErrorMessage="1" sqref="E20:F20" xr:uid="{00000000-0002-0000-0F00-000000000000}">
      <formula1>True_Flow_CFM_Measured</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17409" r:id="rId4" name="OptionButton1">
          <controlPr defaultSize="0" autoLine="0" autoPict="0" r:id="rId5">
            <anchor moveWithCells="1">
              <from>
                <xdr:col>2</xdr:col>
                <xdr:colOff>869950</xdr:colOff>
                <xdr:row>19</xdr:row>
                <xdr:rowOff>12700</xdr:rowOff>
              </from>
              <to>
                <xdr:col>5</xdr:col>
                <xdr:colOff>666750</xdr:colOff>
                <xdr:row>20</xdr:row>
                <xdr:rowOff>336550</xdr:rowOff>
              </to>
            </anchor>
          </controlPr>
        </control>
      </mc:Choice>
      <mc:Fallback>
        <control shapeId="17409" r:id="rId4" name="OptionButton1"/>
      </mc:Fallback>
    </mc:AlternateContent>
    <mc:AlternateContent xmlns:mc="http://schemas.openxmlformats.org/markup-compatibility/2006">
      <mc:Choice Requires="x14">
        <control shapeId="17410" r:id="rId6" name="OptionButton2">
          <controlPr defaultSize="0" autoLine="0" r:id="rId7">
            <anchor moveWithCells="1">
              <from>
                <xdr:col>6</xdr:col>
                <xdr:colOff>0</xdr:colOff>
                <xdr:row>19</xdr:row>
                <xdr:rowOff>12700</xdr:rowOff>
              </from>
              <to>
                <xdr:col>12</xdr:col>
                <xdr:colOff>254000</xdr:colOff>
                <xdr:row>20</xdr:row>
                <xdr:rowOff>298450</xdr:rowOff>
              </to>
            </anchor>
          </controlPr>
        </control>
      </mc:Choice>
      <mc:Fallback>
        <control shapeId="17410" r:id="rId6" name="OptionButton2"/>
      </mc:Fallback>
    </mc:AlternateContent>
    <mc:AlternateContent xmlns:mc="http://schemas.openxmlformats.org/markup-compatibility/2006">
      <mc:Choice Requires="x14">
        <control shapeId="17426" r:id="rId8" name="OptionButton7">
          <controlPr defaultSize="0" autoLine="0" r:id="rId9">
            <anchor moveWithCells="1">
              <from>
                <xdr:col>1</xdr:col>
                <xdr:colOff>266700</xdr:colOff>
                <xdr:row>70</xdr:row>
                <xdr:rowOff>0</xdr:rowOff>
              </from>
              <to>
                <xdr:col>2</xdr:col>
                <xdr:colOff>133350</xdr:colOff>
                <xdr:row>71</xdr:row>
                <xdr:rowOff>82550</xdr:rowOff>
              </to>
            </anchor>
          </controlPr>
        </control>
      </mc:Choice>
      <mc:Fallback>
        <control shapeId="17426" r:id="rId8" name="OptionButton7"/>
      </mc:Fallback>
    </mc:AlternateContent>
    <mc:AlternateContent xmlns:mc="http://schemas.openxmlformats.org/markup-compatibility/2006">
      <mc:Choice Requires="x14">
        <control shapeId="17435" r:id="rId10" name="OptionButton10">
          <controlPr defaultSize="0" autoLine="0" r:id="rId11">
            <anchor moveWithCells="1">
              <from>
                <xdr:col>1</xdr:col>
                <xdr:colOff>95250</xdr:colOff>
                <xdr:row>45</xdr:row>
                <xdr:rowOff>0</xdr:rowOff>
              </from>
              <to>
                <xdr:col>1</xdr:col>
                <xdr:colOff>742950</xdr:colOff>
                <xdr:row>46</xdr:row>
                <xdr:rowOff>82550</xdr:rowOff>
              </to>
            </anchor>
          </controlPr>
        </control>
      </mc:Choice>
      <mc:Fallback>
        <control shapeId="17435" r:id="rId10" name="OptionButton10"/>
      </mc:Fallback>
    </mc:AlternateContent>
    <mc:AlternateContent xmlns:mc="http://schemas.openxmlformats.org/markup-compatibility/2006">
      <mc:Choice Requires="x14">
        <control shapeId="17956" r:id="rId12" name="CommandButton1">
          <controlPr defaultSize="0" autoLine="0" autoPict="0" r:id="rId13">
            <anchor moveWithCells="1">
              <from>
                <xdr:col>11</xdr:col>
                <xdr:colOff>476250</xdr:colOff>
                <xdr:row>121</xdr:row>
                <xdr:rowOff>0</xdr:rowOff>
              </from>
              <to>
                <xdr:col>14</xdr:col>
                <xdr:colOff>641350</xdr:colOff>
                <xdr:row>124</xdr:row>
                <xdr:rowOff>0</xdr:rowOff>
              </to>
            </anchor>
          </controlPr>
        </control>
      </mc:Choice>
      <mc:Fallback>
        <control shapeId="17956" r:id="rId12" name="CommandButton1"/>
      </mc:Fallback>
    </mc:AlternateContent>
    <mc:AlternateContent xmlns:mc="http://schemas.openxmlformats.org/markup-compatibility/2006">
      <mc:Choice Requires="x14">
        <control shapeId="17411" r:id="rId14" name="Group Box 3">
          <controlPr defaultSize="0" autoFill="0" autoPict="0">
            <anchor moveWithCells="1">
              <from>
                <xdr:col>0</xdr:col>
                <xdr:colOff>12700</xdr:colOff>
                <xdr:row>21</xdr:row>
                <xdr:rowOff>0</xdr:rowOff>
              </from>
              <to>
                <xdr:col>6</xdr:col>
                <xdr:colOff>342900</xdr:colOff>
                <xdr:row>22</xdr:row>
                <xdr:rowOff>298450</xdr:rowOff>
              </to>
            </anchor>
          </controlPr>
        </control>
      </mc:Choice>
    </mc:AlternateContent>
    <mc:AlternateContent xmlns:mc="http://schemas.openxmlformats.org/markup-compatibility/2006">
      <mc:Choice Requires="x14">
        <control shapeId="17412" r:id="rId15" name="Check Box 4">
          <controlPr defaultSize="0" autoFill="0" autoLine="0" autoPict="0">
            <anchor moveWithCells="1">
              <from>
                <xdr:col>7</xdr:col>
                <xdr:colOff>533400</xdr:colOff>
                <xdr:row>21</xdr:row>
                <xdr:rowOff>165100</xdr:rowOff>
              </from>
              <to>
                <xdr:col>9</xdr:col>
                <xdr:colOff>50800</xdr:colOff>
                <xdr:row>21</xdr:row>
                <xdr:rowOff>469900</xdr:rowOff>
              </to>
            </anchor>
          </controlPr>
        </control>
      </mc:Choice>
    </mc:AlternateContent>
    <mc:AlternateContent xmlns:mc="http://schemas.openxmlformats.org/markup-compatibility/2006">
      <mc:Choice Requires="x14">
        <control shapeId="17413" r:id="rId16" name="Check Box 5">
          <controlPr defaultSize="0" autoFill="0" autoLine="0" autoPict="0">
            <anchor moveWithCells="1">
              <from>
                <xdr:col>9</xdr:col>
                <xdr:colOff>419100</xdr:colOff>
                <xdr:row>21</xdr:row>
                <xdr:rowOff>165100</xdr:rowOff>
              </from>
              <to>
                <xdr:col>10</xdr:col>
                <xdr:colOff>990600</xdr:colOff>
                <xdr:row>21</xdr:row>
                <xdr:rowOff>488950</xdr:rowOff>
              </to>
            </anchor>
          </controlPr>
        </control>
      </mc:Choice>
    </mc:AlternateContent>
    <mc:AlternateContent xmlns:mc="http://schemas.openxmlformats.org/markup-compatibility/2006">
      <mc:Choice Requires="x14">
        <control shapeId="17417" r:id="rId17" name="Contractor_Lookup">
          <controlPr defaultSize="0" autoFill="0" autoPict="0">
            <anchor moveWithCells="1">
              <from>
                <xdr:col>0</xdr:col>
                <xdr:colOff>50800</xdr:colOff>
                <xdr:row>65</xdr:row>
                <xdr:rowOff>0</xdr:rowOff>
              </from>
              <to>
                <xdr:col>3</xdr:col>
                <xdr:colOff>1308100</xdr:colOff>
                <xdr:row>69</xdr:row>
                <xdr:rowOff>152400</xdr:rowOff>
              </to>
            </anchor>
          </controlPr>
        </control>
      </mc:Choice>
    </mc:AlternateContent>
    <mc:AlternateContent xmlns:mc="http://schemas.openxmlformats.org/markup-compatibility/2006">
      <mc:Choice Requires="x14">
        <control shapeId="17418"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17419"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17420"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17421" r:id="rId21" name="Group Box 13">
          <controlPr defaultSize="0" autoFill="0" autoPict="0">
            <anchor moveWithCells="1">
              <from>
                <xdr:col>0</xdr:col>
                <xdr:colOff>374650</xdr:colOff>
                <xdr:row>65</xdr:row>
                <xdr:rowOff>0</xdr:rowOff>
              </from>
              <to>
                <xdr:col>3</xdr:col>
                <xdr:colOff>1308100</xdr:colOff>
                <xdr:row>68</xdr:row>
                <xdr:rowOff>165100</xdr:rowOff>
              </to>
            </anchor>
          </controlPr>
        </control>
      </mc:Choice>
    </mc:AlternateContent>
    <mc:AlternateContent xmlns:mc="http://schemas.openxmlformats.org/markup-compatibility/2006">
      <mc:Choice Requires="x14">
        <control shapeId="17422"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17423"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17424" r:id="rId24" name="Group Box 16">
          <controlPr defaultSize="0" autoFill="0" autoPict="0">
            <anchor moveWithCells="1">
              <from>
                <xdr:col>4</xdr:col>
                <xdr:colOff>266700</xdr:colOff>
                <xdr:row>65</xdr:row>
                <xdr:rowOff>0</xdr:rowOff>
              </from>
              <to>
                <xdr:col>6</xdr:col>
                <xdr:colOff>323850</xdr:colOff>
                <xdr:row>67</xdr:row>
                <xdr:rowOff>152400</xdr:rowOff>
              </to>
            </anchor>
          </controlPr>
        </control>
      </mc:Choice>
    </mc:AlternateContent>
    <mc:AlternateContent xmlns:mc="http://schemas.openxmlformats.org/markup-compatibility/2006">
      <mc:Choice Requires="x14">
        <control shapeId="17428" r:id="rId25" name="Group Box 20">
          <controlPr defaultSize="0" autoFill="0" autoPict="0">
            <anchor moveWithCells="1">
              <from>
                <xdr:col>0</xdr:col>
                <xdr:colOff>317500</xdr:colOff>
                <xdr:row>68</xdr:row>
                <xdr:rowOff>209550</xdr:rowOff>
              </from>
              <to>
                <xdr:col>3</xdr:col>
                <xdr:colOff>1308100</xdr:colOff>
                <xdr:row>72</xdr:row>
                <xdr:rowOff>12700</xdr:rowOff>
              </to>
            </anchor>
          </controlPr>
        </control>
      </mc:Choice>
    </mc:AlternateContent>
    <mc:AlternateContent xmlns:mc="http://schemas.openxmlformats.org/markup-compatibility/2006">
      <mc:Choice Requires="x14">
        <control shapeId="17429" r:id="rId26" name="Option Button 21">
          <controlPr defaultSize="0" autoFill="0" autoLine="0" autoPict="0">
            <anchor moveWithCells="1">
              <from>
                <xdr:col>2</xdr:col>
                <xdr:colOff>889000</xdr:colOff>
                <xdr:row>38</xdr:row>
                <xdr:rowOff>127000</xdr:rowOff>
              </from>
              <to>
                <xdr:col>3</xdr:col>
                <xdr:colOff>889000</xdr:colOff>
                <xdr:row>39</xdr:row>
                <xdr:rowOff>127000</xdr:rowOff>
              </to>
            </anchor>
          </controlPr>
        </control>
      </mc:Choice>
    </mc:AlternateContent>
    <mc:AlternateContent xmlns:mc="http://schemas.openxmlformats.org/markup-compatibility/2006">
      <mc:Choice Requires="x14">
        <control shapeId="17430" r:id="rId27" name="Option Button 22">
          <controlPr defaultSize="0" autoFill="0" autoLine="0" autoPict="0">
            <anchor moveWithCells="1">
              <from>
                <xdr:col>2</xdr:col>
                <xdr:colOff>1155700</xdr:colOff>
                <xdr:row>38</xdr:row>
                <xdr:rowOff>12700</xdr:rowOff>
              </from>
              <to>
                <xdr:col>3</xdr:col>
                <xdr:colOff>1365250</xdr:colOff>
                <xdr:row>39</xdr:row>
                <xdr:rowOff>12700</xdr:rowOff>
              </to>
            </anchor>
          </controlPr>
        </control>
      </mc:Choice>
    </mc:AlternateContent>
    <mc:AlternateContent xmlns:mc="http://schemas.openxmlformats.org/markup-compatibility/2006">
      <mc:Choice Requires="x14">
        <control shapeId="17431" r:id="rId28" name="Option Button 23">
          <controlPr defaultSize="0" autoFill="0" autoLine="0" autoPict="0">
            <anchor moveWithCells="1">
              <from>
                <xdr:col>4</xdr:col>
                <xdr:colOff>260350</xdr:colOff>
                <xdr:row>38</xdr:row>
                <xdr:rowOff>12700</xdr:rowOff>
              </from>
              <to>
                <xdr:col>5</xdr:col>
                <xdr:colOff>641350</xdr:colOff>
                <xdr:row>39</xdr:row>
                <xdr:rowOff>12700</xdr:rowOff>
              </to>
            </anchor>
          </controlPr>
        </control>
      </mc:Choice>
    </mc:AlternateContent>
    <mc:AlternateContent xmlns:mc="http://schemas.openxmlformats.org/markup-compatibility/2006">
      <mc:Choice Requires="x14">
        <control shapeId="17433" r:id="rId29" name="Group Box 25">
          <controlPr defaultSize="0" autoFill="0" autoPict="0">
            <anchor moveWithCells="1">
              <from>
                <xdr:col>2</xdr:col>
                <xdr:colOff>533400</xdr:colOff>
                <xdr:row>37</xdr:row>
                <xdr:rowOff>266700</xdr:rowOff>
              </from>
              <to>
                <xdr:col>14</xdr:col>
                <xdr:colOff>381000</xdr:colOff>
                <xdr:row>40</xdr:row>
                <xdr:rowOff>50800</xdr:rowOff>
              </to>
            </anchor>
          </controlPr>
        </control>
      </mc:Choice>
    </mc:AlternateContent>
    <mc:AlternateContent xmlns:mc="http://schemas.openxmlformats.org/markup-compatibility/2006">
      <mc:Choice Requires="x14">
        <control shapeId="17437" r:id="rId30" name="Group Box 29">
          <controlPr defaultSize="0" autoFill="0" autoPict="0">
            <anchor moveWithCells="1">
              <from>
                <xdr:col>0</xdr:col>
                <xdr:colOff>571500</xdr:colOff>
                <xdr:row>122</xdr:row>
                <xdr:rowOff>209550</xdr:rowOff>
              </from>
              <to>
                <xdr:col>3</xdr:col>
                <xdr:colOff>1308100</xdr:colOff>
                <xdr:row>130</xdr:row>
                <xdr:rowOff>12700</xdr:rowOff>
              </to>
            </anchor>
          </controlPr>
        </control>
      </mc:Choice>
    </mc:AlternateContent>
    <mc:AlternateContent xmlns:mc="http://schemas.openxmlformats.org/markup-compatibility/2006">
      <mc:Choice Requires="x14">
        <control shapeId="59785" r:id="rId31" name="Option Button 1417">
          <controlPr defaultSize="0" autoFill="0" autoLine="0" autoPict="0">
            <anchor moveWithCells="1">
              <from>
                <xdr:col>0</xdr:col>
                <xdr:colOff>431800</xdr:colOff>
                <xdr:row>65</xdr:row>
                <xdr:rowOff>0</xdr:rowOff>
              </from>
              <to>
                <xdr:col>1</xdr:col>
                <xdr:colOff>495300</xdr:colOff>
                <xdr:row>66</xdr:row>
                <xdr:rowOff>12700</xdr:rowOff>
              </to>
            </anchor>
          </controlPr>
        </control>
      </mc:Choice>
    </mc:AlternateContent>
    <mc:AlternateContent xmlns:mc="http://schemas.openxmlformats.org/markup-compatibility/2006">
      <mc:Choice Requires="x14">
        <control shapeId="59786" r:id="rId32" name="Option Button 1418">
          <controlPr defaultSize="0" autoFill="0" autoLine="0" autoPict="0">
            <anchor moveWithCells="1">
              <from>
                <xdr:col>1</xdr:col>
                <xdr:colOff>742950</xdr:colOff>
                <xdr:row>65</xdr:row>
                <xdr:rowOff>0</xdr:rowOff>
              </from>
              <to>
                <xdr:col>3</xdr:col>
                <xdr:colOff>279400</xdr:colOff>
                <xdr:row>66</xdr:row>
                <xdr:rowOff>12700</xdr:rowOff>
              </to>
            </anchor>
          </controlPr>
        </control>
      </mc:Choice>
    </mc:AlternateContent>
    <mc:AlternateContent xmlns:mc="http://schemas.openxmlformats.org/markup-compatibility/2006">
      <mc:Choice Requires="x14">
        <control shapeId="59787" r:id="rId33" name="Option Button 1419">
          <controlPr defaultSize="0" autoFill="0" autoLine="0" autoPict="0">
            <anchor moveWithCells="1">
              <from>
                <xdr:col>3</xdr:col>
                <xdr:colOff>57150</xdr:colOff>
                <xdr:row>65</xdr:row>
                <xdr:rowOff>0</xdr:rowOff>
              </from>
              <to>
                <xdr:col>3</xdr:col>
                <xdr:colOff>1200150</xdr:colOff>
                <xdr:row>66</xdr:row>
                <xdr:rowOff>88900</xdr:rowOff>
              </to>
            </anchor>
          </controlPr>
        </control>
      </mc:Choice>
    </mc:AlternateContent>
    <mc:AlternateContent xmlns:mc="http://schemas.openxmlformats.org/markup-compatibility/2006">
      <mc:Choice Requires="x14">
        <control shapeId="59856" r:id="rId34" name="Check Box 1488">
          <controlPr defaultSize="0" autoFill="0" autoLine="0" autoPict="0">
            <anchor moveWithCells="1">
              <from>
                <xdr:col>1</xdr:col>
                <xdr:colOff>50800</xdr:colOff>
                <xdr:row>9</xdr:row>
                <xdr:rowOff>12700</xdr:rowOff>
              </from>
              <to>
                <xdr:col>1</xdr:col>
                <xdr:colOff>393700</xdr:colOff>
                <xdr:row>9</xdr:row>
                <xdr:rowOff>228600</xdr:rowOff>
              </to>
            </anchor>
          </controlPr>
        </control>
      </mc:Choice>
    </mc:AlternateContent>
    <mc:AlternateContent xmlns:mc="http://schemas.openxmlformats.org/markup-compatibility/2006">
      <mc:Choice Requires="x14">
        <control shapeId="59857" r:id="rId35" name="Check Box 1489">
          <controlPr defaultSize="0" autoFill="0" autoLine="0" autoPict="0">
            <anchor moveWithCells="1">
              <from>
                <xdr:col>1</xdr:col>
                <xdr:colOff>450850</xdr:colOff>
                <xdr:row>9</xdr:row>
                <xdr:rowOff>88900</xdr:rowOff>
              </from>
              <to>
                <xdr:col>2</xdr:col>
                <xdr:colOff>698500</xdr:colOff>
                <xdr:row>9</xdr:row>
                <xdr:rowOff>184150</xdr:rowOff>
              </to>
            </anchor>
          </controlPr>
        </control>
      </mc:Choice>
    </mc:AlternateContent>
    <mc:AlternateContent xmlns:mc="http://schemas.openxmlformats.org/markup-compatibility/2006">
      <mc:Choice Requires="x14">
        <control shapeId="59858" r:id="rId36" name="Check Box 1490">
          <controlPr defaultSize="0" autoFill="0" autoLine="0" autoPict="0">
            <anchor moveWithCells="1">
              <from>
                <xdr:col>3</xdr:col>
                <xdr:colOff>95250</xdr:colOff>
                <xdr:row>9</xdr:row>
                <xdr:rowOff>88900</xdr:rowOff>
              </from>
              <to>
                <xdr:col>3</xdr:col>
                <xdr:colOff>679450</xdr:colOff>
                <xdr:row>9</xdr:row>
                <xdr:rowOff>184150</xdr:rowOff>
              </to>
            </anchor>
          </controlPr>
        </control>
      </mc:Choice>
    </mc:AlternateContent>
    <mc:AlternateContent xmlns:mc="http://schemas.openxmlformats.org/markup-compatibility/2006">
      <mc:Choice Requires="x14">
        <control shapeId="59859" r:id="rId37" name="Check Box 1491">
          <controlPr defaultSize="0" autoFill="0" autoLine="0" autoPict="0">
            <anchor moveWithCells="1">
              <from>
                <xdr:col>3</xdr:col>
                <xdr:colOff>603250</xdr:colOff>
                <xdr:row>9</xdr:row>
                <xdr:rowOff>76200</xdr:rowOff>
              </from>
              <to>
                <xdr:col>3</xdr:col>
                <xdr:colOff>965200</xdr:colOff>
                <xdr:row>9</xdr:row>
                <xdr:rowOff>190500</xdr:rowOff>
              </to>
            </anchor>
          </controlPr>
        </control>
      </mc:Choice>
    </mc:AlternateContent>
    <mc:AlternateContent xmlns:mc="http://schemas.openxmlformats.org/markup-compatibility/2006">
      <mc:Choice Requires="x14">
        <control shapeId="59860" r:id="rId38" name="Group Box 1492">
          <controlPr defaultSize="0" autoFill="0" autoPict="0">
            <anchor moveWithCells="1">
              <from>
                <xdr:col>0</xdr:col>
                <xdr:colOff>50800</xdr:colOff>
                <xdr:row>96</xdr:row>
                <xdr:rowOff>0</xdr:rowOff>
              </from>
              <to>
                <xdr:col>3</xdr:col>
                <xdr:colOff>1308100</xdr:colOff>
                <xdr:row>100</xdr:row>
                <xdr:rowOff>107950</xdr:rowOff>
              </to>
            </anchor>
          </controlPr>
        </control>
      </mc:Choice>
    </mc:AlternateContent>
    <mc:AlternateContent xmlns:mc="http://schemas.openxmlformats.org/markup-compatibility/2006">
      <mc:Choice Requires="x14">
        <control shapeId="59861" r:id="rId39" name="Option Button 1493">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59862" r:id="rId40" name="Option Button 1494">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59863" r:id="rId41" name="Group Box 1495">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59864" r:id="rId42" name="Group Box 1496">
          <controlPr defaultSize="0" autoFill="0" autoPict="0">
            <anchor moveWithCells="1">
              <from>
                <xdr:col>0</xdr:col>
                <xdr:colOff>374650</xdr:colOff>
                <xdr:row>96</xdr:row>
                <xdr:rowOff>76200</xdr:rowOff>
              </from>
              <to>
                <xdr:col>3</xdr:col>
                <xdr:colOff>1308100</xdr:colOff>
                <xdr:row>100</xdr:row>
                <xdr:rowOff>12700</xdr:rowOff>
              </to>
            </anchor>
          </controlPr>
        </control>
      </mc:Choice>
    </mc:AlternateContent>
    <mc:AlternateContent xmlns:mc="http://schemas.openxmlformats.org/markup-compatibility/2006">
      <mc:Choice Requires="x14">
        <control shapeId="59865" r:id="rId43" name="Option Button 1497">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59866" r:id="rId44" name="Option Button 1498">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59867" r:id="rId45" name="Group Box 1499">
          <controlPr defaultSize="0" autoFill="0" autoPict="0">
            <anchor moveWithCells="1">
              <from>
                <xdr:col>4</xdr:col>
                <xdr:colOff>266700</xdr:colOff>
                <xdr:row>105</xdr:row>
                <xdr:rowOff>69850</xdr:rowOff>
              </from>
              <to>
                <xdr:col>6</xdr:col>
                <xdr:colOff>323850</xdr:colOff>
                <xdr:row>108</xdr:row>
                <xdr:rowOff>38100</xdr:rowOff>
              </to>
            </anchor>
          </controlPr>
        </control>
      </mc:Choice>
    </mc:AlternateContent>
    <mc:AlternateContent xmlns:mc="http://schemas.openxmlformats.org/markup-compatibility/2006">
      <mc:Choice Requires="x14">
        <control shapeId="59868" r:id="rId46" name="Option Button 1500">
          <controlPr defaultSize="0" autoFill="0" autoLine="0" autoPict="0">
            <anchor moveWithCells="1">
              <from>
                <xdr:col>0</xdr:col>
                <xdr:colOff>431800</xdr:colOff>
                <xdr:row>97</xdr:row>
                <xdr:rowOff>171450</xdr:rowOff>
              </from>
              <to>
                <xdr:col>1</xdr:col>
                <xdr:colOff>495300</xdr:colOff>
                <xdr:row>99</xdr:row>
                <xdr:rowOff>0</xdr:rowOff>
              </to>
            </anchor>
          </controlPr>
        </control>
      </mc:Choice>
    </mc:AlternateContent>
    <mc:AlternateContent xmlns:mc="http://schemas.openxmlformats.org/markup-compatibility/2006">
      <mc:Choice Requires="x14">
        <control shapeId="59869" r:id="rId47" name="Option Button 1501">
          <controlPr defaultSize="0" autoFill="0" autoLine="0" autoPict="0">
            <anchor moveWithCells="1">
              <from>
                <xdr:col>1</xdr:col>
                <xdr:colOff>742950</xdr:colOff>
                <xdr:row>97</xdr:row>
                <xdr:rowOff>171450</xdr:rowOff>
              </from>
              <to>
                <xdr:col>3</xdr:col>
                <xdr:colOff>279400</xdr:colOff>
                <xdr:row>99</xdr:row>
                <xdr:rowOff>0</xdr:rowOff>
              </to>
            </anchor>
          </controlPr>
        </control>
      </mc:Choice>
    </mc:AlternateContent>
    <mc:AlternateContent xmlns:mc="http://schemas.openxmlformats.org/markup-compatibility/2006">
      <mc:Choice Requires="x14">
        <control shapeId="59870" r:id="rId48" name="Option Button 1502">
          <controlPr defaultSize="0" autoFill="0" autoLine="0" autoPict="0">
            <anchor moveWithCells="1">
              <from>
                <xdr:col>3</xdr:col>
                <xdr:colOff>57150</xdr:colOff>
                <xdr:row>97</xdr:row>
                <xdr:rowOff>165100</xdr:rowOff>
              </from>
              <to>
                <xdr:col>3</xdr:col>
                <xdr:colOff>1200150</xdr:colOff>
                <xdr:row>99</xdr:row>
                <xdr:rowOff>69850</xdr:rowOff>
              </to>
            </anchor>
          </controlPr>
        </control>
      </mc:Choice>
    </mc:AlternateContent>
  </control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A1:P202"/>
  <sheetViews>
    <sheetView showGridLines="0" zoomScale="90" zoomScaleNormal="90" workbookViewId="0">
      <selection activeCell="B6" sqref="B6"/>
    </sheetView>
  </sheetViews>
  <sheetFormatPr defaultColWidth="0" defaultRowHeight="14.5" customHeight="1" zeroHeight="1"/>
  <cols>
    <col min="1" max="1" width="14.54296875" style="42" customWidth="1"/>
    <col min="2" max="2" width="9.542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4" width="9.1796875" style="42" customWidth="1"/>
    <col min="15" max="15" width="14" style="42" customWidth="1"/>
    <col min="16" max="16" width="0" style="42" hidden="1" customWidth="1"/>
    <col min="17" max="16384" width="8.7265625" style="42" hidden="1"/>
  </cols>
  <sheetData>
    <row r="1" spans="1:16"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6" ht="55" customHeight="1">
      <c r="A2" s="2750" t="s">
        <v>132</v>
      </c>
      <c r="B2" s="2750"/>
      <c r="C2" s="2750"/>
      <c r="D2" s="2750"/>
      <c r="E2" s="2750"/>
      <c r="F2" s="2750"/>
      <c r="G2" s="2750"/>
      <c r="H2" s="2750"/>
      <c r="I2" s="2750"/>
      <c r="J2" s="2750"/>
      <c r="K2" s="7"/>
      <c r="L2" s="7"/>
      <c r="M2" s="7"/>
      <c r="N2" s="7"/>
      <c r="O2" s="7"/>
    </row>
    <row r="3" spans="1:16" ht="31" thickBot="1">
      <c r="A3" s="24" t="s">
        <v>134</v>
      </c>
      <c r="B3" s="24"/>
      <c r="C3" s="24"/>
      <c r="D3" s="24"/>
      <c r="E3" s="24"/>
      <c r="F3" s="24"/>
      <c r="G3" s="24"/>
      <c r="H3" s="24"/>
      <c r="I3" s="24"/>
      <c r="J3" s="24"/>
      <c r="K3" s="24"/>
      <c r="L3" s="24"/>
      <c r="M3" s="24"/>
      <c r="N3" s="24"/>
      <c r="O3" s="7"/>
    </row>
    <row r="4" spans="1:16" ht="18.75" customHeight="1">
      <c r="A4" s="25"/>
      <c r="B4" s="25"/>
      <c r="C4" s="25"/>
      <c r="D4" s="25"/>
      <c r="E4" s="25"/>
      <c r="F4" s="25"/>
      <c r="G4" s="25"/>
      <c r="H4" s="25"/>
      <c r="I4" s="25"/>
      <c r="J4" s="25"/>
      <c r="K4" s="25"/>
      <c r="L4" s="25"/>
      <c r="M4" s="25"/>
      <c r="N4" s="25"/>
      <c r="O4" s="7"/>
    </row>
    <row r="5" spans="1:16" ht="18" customHeight="1">
      <c r="A5" s="18" t="s">
        <v>136</v>
      </c>
      <c r="B5" s="97">
        <f>'In Unit HVAC Worksheet'!B84</f>
        <v>3</v>
      </c>
      <c r="C5" s="95"/>
      <c r="D5" s="95"/>
      <c r="E5" s="18"/>
      <c r="F5" s="18"/>
      <c r="G5" s="18" t="s">
        <v>80</v>
      </c>
      <c r="H5" s="2766" t="str">
        <f>IF('In Unit HVAC Worksheet'!C84="","",'In Unit HVAC Worksheet'!C84)</f>
        <v/>
      </c>
      <c r="I5" s="2766"/>
      <c r="J5" s="14"/>
      <c r="K5" s="7"/>
      <c r="L5" s="7"/>
      <c r="M5" s="7"/>
      <c r="N5" s="7"/>
      <c r="O5" s="7"/>
    </row>
    <row r="6" spans="1:16" ht="18" customHeight="1">
      <c r="A6" s="18"/>
      <c r="B6" s="18"/>
      <c r="C6" s="18"/>
      <c r="D6" s="18"/>
      <c r="E6" s="18"/>
      <c r="F6" s="18"/>
      <c r="G6" s="18"/>
      <c r="H6" s="18"/>
      <c r="I6" s="14"/>
      <c r="J6" s="14"/>
      <c r="K6" s="7"/>
      <c r="L6" s="7"/>
      <c r="M6" s="7"/>
      <c r="N6" s="7"/>
      <c r="O6" s="7"/>
    </row>
    <row r="7" spans="1:16" ht="18" customHeight="1">
      <c r="B7" s="18"/>
      <c r="D7" s="18"/>
      <c r="E7" s="18"/>
      <c r="F7" s="18"/>
      <c r="G7" s="18" t="s">
        <v>135</v>
      </c>
      <c r="H7" s="2766" t="str">
        <f>IF('In Unit HVAC Worksheet'!E84="","",'In Unit HVAC Worksheet'!E84)</f>
        <v/>
      </c>
      <c r="I7" s="2766"/>
      <c r="J7" s="14"/>
      <c r="K7" s="7"/>
      <c r="L7" s="7"/>
      <c r="M7" s="7"/>
      <c r="N7" s="7"/>
      <c r="O7" s="7"/>
    </row>
    <row r="8" spans="1:16" ht="23">
      <c r="A8" s="20" t="s">
        <v>133</v>
      </c>
      <c r="B8" s="19"/>
      <c r="C8" s="19"/>
      <c r="D8" s="19"/>
      <c r="E8" s="19"/>
      <c r="F8" s="19"/>
      <c r="G8" s="19"/>
      <c r="H8" s="19"/>
      <c r="I8" s="19"/>
      <c r="J8" s="19"/>
      <c r="K8" s="19"/>
      <c r="L8" s="19"/>
      <c r="M8" s="11"/>
      <c r="N8" s="19"/>
      <c r="O8" s="19"/>
    </row>
    <row r="9" spans="1:16" ht="30.5">
      <c r="A9" s="14"/>
      <c r="B9" s="70" t="s">
        <v>30</v>
      </c>
      <c r="C9" s="71"/>
      <c r="D9" s="70" t="s">
        <v>31</v>
      </c>
      <c r="E9" s="72"/>
      <c r="F9" s="14"/>
      <c r="G9" s="14"/>
      <c r="H9" s="14"/>
      <c r="I9" s="14"/>
      <c r="J9" s="14"/>
      <c r="K9" s="7"/>
      <c r="L9" s="7"/>
      <c r="M9" s="7"/>
      <c r="N9" s="7"/>
      <c r="O9" s="7"/>
    </row>
    <row r="10" spans="1:16" ht="24" customHeight="1">
      <c r="A10" s="7"/>
      <c r="B10" s="22"/>
      <c r="C10" s="22"/>
      <c r="D10" s="22"/>
      <c r="E10" s="22"/>
      <c r="G10" s="16"/>
      <c r="H10" s="16"/>
      <c r="J10" s="7"/>
      <c r="K10" s="7"/>
      <c r="L10" s="7"/>
      <c r="M10" s="7"/>
      <c r="N10" s="7"/>
      <c r="O10" s="7"/>
    </row>
    <row r="11" spans="1:16" ht="23.5" thickBot="1">
      <c r="A11" s="17" t="s">
        <v>67</v>
      </c>
      <c r="B11" s="17"/>
      <c r="C11" s="17"/>
      <c r="D11" s="17"/>
      <c r="E11" s="17"/>
      <c r="F11" s="17"/>
      <c r="G11" s="17"/>
      <c r="H11" s="17"/>
      <c r="I11" s="17"/>
      <c r="J11" s="17"/>
      <c r="K11" s="17"/>
      <c r="L11" s="17"/>
      <c r="M11" s="17"/>
      <c r="N11" s="17"/>
      <c r="O11" s="19"/>
    </row>
    <row r="12" spans="1:16" ht="6.75" customHeight="1">
      <c r="A12" s="4"/>
      <c r="B12" s="5"/>
      <c r="C12" s="5"/>
      <c r="D12" s="5"/>
      <c r="E12" s="5"/>
      <c r="F12" s="5"/>
      <c r="G12" s="5"/>
      <c r="H12" s="5"/>
      <c r="I12" s="5"/>
      <c r="J12" s="5"/>
      <c r="K12" s="5"/>
      <c r="L12" s="5"/>
      <c r="M12" s="5"/>
      <c r="N12" s="5"/>
      <c r="O12" s="5"/>
    </row>
    <row r="13" spans="1:16" ht="21.65" customHeight="1">
      <c r="A13" s="139" t="s">
        <v>443</v>
      </c>
      <c r="B13" s="5"/>
      <c r="C13" s="5"/>
      <c r="D13" s="5"/>
      <c r="E13" s="5"/>
      <c r="F13" s="5"/>
      <c r="G13" s="5"/>
      <c r="H13" s="5"/>
      <c r="I13" s="5"/>
      <c r="J13" s="5"/>
      <c r="K13" s="5"/>
      <c r="L13" s="5"/>
      <c r="M13" s="5"/>
      <c r="N13" s="5"/>
      <c r="O13" s="5"/>
      <c r="P13" s="5"/>
    </row>
    <row r="14" spans="1:16" ht="21.65" customHeight="1">
      <c r="A14" s="139"/>
      <c r="B14" s="5"/>
      <c r="C14" s="5"/>
      <c r="D14" s="5"/>
      <c r="E14" s="5"/>
      <c r="F14" s="5"/>
      <c r="G14" s="5"/>
      <c r="H14" s="5"/>
      <c r="I14" s="5"/>
      <c r="J14" s="5"/>
      <c r="K14" s="5"/>
      <c r="L14" s="5"/>
      <c r="M14" s="5"/>
      <c r="N14" s="5"/>
      <c r="O14" s="5"/>
      <c r="P14" s="5"/>
    </row>
    <row r="15" spans="1:16" ht="33.65" customHeight="1">
      <c r="A15" s="42" t="s">
        <v>525</v>
      </c>
      <c r="E15" s="2734"/>
      <c r="F15" s="2734"/>
      <c r="G15" s="42" t="str">
        <f>IF(OR(E15=""),"",'Air Flow References'!K4)</f>
        <v/>
      </c>
      <c r="L15" s="43" t="s">
        <v>526</v>
      </c>
      <c r="M15" s="2731"/>
      <c r="N15" s="2731"/>
      <c r="O15" s="42" t="str">
        <f>IF(OR(M15=""),"",'Air Flow References'!K6)</f>
        <v/>
      </c>
    </row>
    <row r="16" spans="1:16" ht="33.65" customHeight="1">
      <c r="E16" s="167"/>
      <c r="F16" s="167"/>
      <c r="L16" s="43"/>
      <c r="M16" s="164"/>
      <c r="N16" s="164"/>
    </row>
    <row r="17" spans="1:15" ht="33.65" customHeight="1">
      <c r="A17" s="138" t="s">
        <v>543</v>
      </c>
    </row>
    <row r="18" spans="1:15" ht="33.65" customHeight="1">
      <c r="A18" s="2318" t="s">
        <v>527</v>
      </c>
      <c r="B18" s="2318"/>
      <c r="C18" s="2318"/>
      <c r="D18" s="2318"/>
      <c r="E18" s="2736"/>
      <c r="F18" s="2736"/>
      <c r="G18" s="2759" t="str">
        <f>IF(OR(E18=""),"",'Air Flow References'!K5)</f>
        <v/>
      </c>
      <c r="H18" s="2759"/>
      <c r="I18" s="45" t="s">
        <v>397</v>
      </c>
      <c r="J18" s="45"/>
      <c r="L18" s="43" t="s">
        <v>528</v>
      </c>
      <c r="M18" s="2734"/>
      <c r="N18" s="2734"/>
      <c r="O18" s="42" t="str">
        <f>IF(OR(M18=""),"",'Air Flow References'!K7)</f>
        <v/>
      </c>
    </row>
    <row r="19" spans="1:15" ht="33.65" customHeight="1"/>
    <row r="20" spans="1:15" ht="33.65" customHeight="1">
      <c r="A20" s="42" t="s">
        <v>544</v>
      </c>
      <c r="E20" s="2748"/>
      <c r="F20" s="2748"/>
    </row>
    <row r="21" spans="1:15" ht="33.65" customHeight="1">
      <c r="F21" s="44"/>
    </row>
    <row r="22" spans="1:15" ht="33.65" customHeight="1">
      <c r="A22" s="42" t="s">
        <v>532</v>
      </c>
      <c r="E22" s="2731"/>
      <c r="F22" s="2731"/>
      <c r="G22" s="42" t="str">
        <f>IF(OR(E22=""),"",'Air Flow References'!K9)</f>
        <v/>
      </c>
      <c r="H22" s="73"/>
      <c r="I22" s="73"/>
      <c r="J22" s="73"/>
      <c r="K22" s="73"/>
    </row>
    <row r="23" spans="1:15" ht="33.65" customHeight="1">
      <c r="A23" s="162" t="s">
        <v>545</v>
      </c>
      <c r="E23" s="164"/>
      <c r="F23" s="164"/>
    </row>
    <row r="24" spans="1:15" ht="33.65" customHeight="1"/>
    <row r="25" spans="1:15" ht="33.65" customHeight="1">
      <c r="A25" s="42" t="s">
        <v>533</v>
      </c>
      <c r="E25" s="2119"/>
      <c r="F25" s="2119"/>
      <c r="G25" s="42" t="str">
        <f>IF(OR(E25=""),"",'Air Flow References'!K8)</f>
        <v/>
      </c>
    </row>
    <row r="26" spans="1:15" ht="33.65" customHeight="1">
      <c r="A26" s="162" t="s">
        <v>546</v>
      </c>
      <c r="E26" s="51"/>
      <c r="F26" s="51"/>
    </row>
    <row r="27" spans="1:15" ht="21.65" customHeight="1">
      <c r="A27" s="138"/>
      <c r="E27" s="51"/>
      <c r="F27" s="51"/>
    </row>
    <row r="28" spans="1:15" ht="21.65" customHeight="1">
      <c r="A28" s="138"/>
      <c r="E28" s="51"/>
      <c r="F28" s="51"/>
    </row>
    <row r="29" spans="1:15">
      <c r="A29" s="2318" t="s">
        <v>62</v>
      </c>
      <c r="B29" s="2318"/>
      <c r="C29" s="2318"/>
      <c r="D29" s="2318"/>
      <c r="E29" s="2318"/>
      <c r="F29" s="2318"/>
      <c r="G29" s="2318"/>
      <c r="H29" s="2318"/>
      <c r="I29" s="2318"/>
      <c r="J29" s="2318"/>
      <c r="K29" s="2318"/>
      <c r="L29" s="2318"/>
      <c r="M29" s="2318"/>
    </row>
    <row r="30" spans="1:15" ht="33.65" customHeight="1">
      <c r="A30" s="42" t="s">
        <v>63</v>
      </c>
      <c r="C30" s="2733"/>
      <c r="D30" s="2733"/>
      <c r="E30" s="2733"/>
      <c r="F30" s="2733"/>
      <c r="G30" s="2733"/>
      <c r="H30" s="2733"/>
      <c r="I30" s="2733"/>
      <c r="J30" s="2733"/>
      <c r="K30" s="2733"/>
      <c r="L30" s="2733"/>
    </row>
    <row r="31" spans="1:15"/>
    <row r="32" spans="1:15">
      <c r="A32" s="45" t="s">
        <v>66</v>
      </c>
    </row>
    <row r="33" spans="1:15">
      <c r="A33" s="42" t="s">
        <v>65</v>
      </c>
    </row>
    <row r="34" spans="1:15">
      <c r="A34" s="42" t="s">
        <v>64</v>
      </c>
    </row>
    <row r="35" spans="1:15"/>
    <row r="36" spans="1:15"/>
    <row r="37" spans="1:15" ht="23.5" thickBot="1">
      <c r="A37" s="17" t="s">
        <v>236</v>
      </c>
      <c r="B37" s="17"/>
      <c r="C37" s="17"/>
      <c r="D37" s="17"/>
      <c r="E37" s="17"/>
      <c r="F37" s="17"/>
      <c r="G37" s="17"/>
      <c r="H37" s="17"/>
      <c r="I37" s="17"/>
      <c r="J37" s="17"/>
      <c r="K37" s="17"/>
      <c r="L37" s="17"/>
      <c r="M37" s="17"/>
      <c r="N37" s="17"/>
      <c r="O37" s="19"/>
    </row>
    <row r="38" spans="1:15" ht="23">
      <c r="A38" s="4"/>
      <c r="B38" s="4"/>
      <c r="C38" s="4"/>
      <c r="D38" s="4"/>
      <c r="E38" s="4"/>
      <c r="F38" s="4"/>
      <c r="G38" s="4"/>
      <c r="H38" s="4"/>
      <c r="I38" s="4"/>
      <c r="J38" s="4"/>
      <c r="K38" s="4"/>
      <c r="L38" s="4"/>
      <c r="M38" s="4"/>
      <c r="N38" s="4"/>
      <c r="O38" s="4"/>
    </row>
    <row r="39" spans="1:15" ht="23">
      <c r="A39" s="3" t="s">
        <v>97</v>
      </c>
      <c r="B39" s="4"/>
      <c r="C39" s="4"/>
      <c r="D39" s="4"/>
      <c r="E39" s="4"/>
      <c r="F39" s="4"/>
      <c r="G39" s="4"/>
      <c r="H39" s="4"/>
      <c r="I39" s="2749"/>
      <c r="J39" s="2749"/>
      <c r="K39" s="4"/>
      <c r="L39" s="4"/>
      <c r="M39" s="4"/>
    </row>
    <row r="40" spans="1:15" ht="23">
      <c r="A40" s="4"/>
      <c r="B40" s="4"/>
      <c r="C40" s="4"/>
      <c r="D40" s="4"/>
      <c r="E40" s="4"/>
      <c r="F40" s="4"/>
      <c r="G40" s="4"/>
      <c r="H40" s="4"/>
      <c r="I40" s="4"/>
      <c r="J40" s="4"/>
      <c r="K40" s="4"/>
      <c r="L40" s="4"/>
      <c r="M40" s="4"/>
      <c r="N40" s="4"/>
      <c r="O40" s="4"/>
    </row>
    <row r="41" spans="1:15">
      <c r="A41" s="46" t="s">
        <v>221</v>
      </c>
      <c r="B41" s="46"/>
      <c r="C41" s="46"/>
      <c r="D41" s="46"/>
      <c r="E41" s="46"/>
      <c r="F41" s="46"/>
      <c r="G41" s="46"/>
      <c r="H41" s="46"/>
      <c r="I41" s="46"/>
      <c r="J41" s="46"/>
      <c r="K41" s="46"/>
      <c r="L41" s="46"/>
      <c r="M41" s="46"/>
      <c r="N41" s="46"/>
    </row>
    <row r="42" spans="1:15">
      <c r="A42" s="48"/>
      <c r="B42" s="49"/>
      <c r="C42" s="49"/>
      <c r="D42" s="49"/>
      <c r="E42" s="49"/>
      <c r="F42" s="49"/>
      <c r="G42" s="49"/>
      <c r="H42" s="49"/>
      <c r="I42" s="49"/>
      <c r="J42" s="49"/>
      <c r="K42" s="49"/>
      <c r="L42" s="49"/>
      <c r="M42" s="49"/>
      <c r="N42" s="49"/>
    </row>
    <row r="43" spans="1:15">
      <c r="A43" s="54" t="s">
        <v>95</v>
      </c>
    </row>
    <row r="44" spans="1:15">
      <c r="A44" s="50" t="s">
        <v>96</v>
      </c>
    </row>
    <row r="45" spans="1:15">
      <c r="A45" s="50"/>
    </row>
    <row r="46" spans="1:15">
      <c r="A46" s="50"/>
      <c r="E46" s="2747"/>
      <c r="F46" s="2747"/>
    </row>
    <row r="47" spans="1:15">
      <c r="A47" s="50"/>
    </row>
    <row r="48" spans="1:15">
      <c r="A48" s="50"/>
    </row>
    <row r="49" spans="1:7">
      <c r="A49" s="50"/>
      <c r="B49" s="42" t="s">
        <v>110</v>
      </c>
      <c r="E49" s="96"/>
      <c r="F49" s="42" t="s">
        <v>101</v>
      </c>
      <c r="G49" s="42" t="str">
        <f>IF(OR(E49=""),"",'Air Flow References'!K16)</f>
        <v/>
      </c>
    </row>
    <row r="50" spans="1:7">
      <c r="A50" s="50"/>
    </row>
    <row r="51" spans="1:7">
      <c r="A51" s="50"/>
      <c r="B51" s="42" t="s">
        <v>111</v>
      </c>
      <c r="E51" s="96"/>
      <c r="F51" s="56" t="s">
        <v>101</v>
      </c>
      <c r="G51" s="42" t="str">
        <f>IF(OR(E51=""),"",'Air Flow References'!K17)</f>
        <v/>
      </c>
    </row>
    <row r="52" spans="1:7">
      <c r="A52" s="50"/>
    </row>
    <row r="53" spans="1:7">
      <c r="A53" s="54" t="s">
        <v>102</v>
      </c>
    </row>
    <row r="54" spans="1:7">
      <c r="A54" s="54"/>
    </row>
    <row r="55" spans="1:7">
      <c r="A55" s="50" t="s">
        <v>112</v>
      </c>
      <c r="E55" s="96"/>
      <c r="F55" s="42" t="s">
        <v>106</v>
      </c>
      <c r="G55" s="42" t="str">
        <f>IF(OR(E55=""),"",'Air Flow References'!K18)</f>
        <v/>
      </c>
    </row>
    <row r="56" spans="1:7">
      <c r="A56" s="50"/>
    </row>
    <row r="57" spans="1:7">
      <c r="A57" s="50" t="s">
        <v>113</v>
      </c>
      <c r="E57" s="96"/>
      <c r="F57" s="42" t="s">
        <v>101</v>
      </c>
      <c r="G57" s="42" t="str">
        <f>IF(OR(E57=""),"",'Air Flow References'!K19)</f>
        <v/>
      </c>
    </row>
    <row r="58" spans="1:7">
      <c r="A58" s="50"/>
    </row>
    <row r="59" spans="1:7">
      <c r="A59" s="50" t="s">
        <v>114</v>
      </c>
      <c r="E59" s="96"/>
      <c r="F59" s="42" t="s">
        <v>101</v>
      </c>
      <c r="G59" s="42" t="str">
        <f>IF(OR(E59=""),"",'Air Flow References'!K20)</f>
        <v/>
      </c>
    </row>
    <row r="60" spans="1:7">
      <c r="A60" s="50"/>
    </row>
    <row r="61" spans="1:7">
      <c r="A61" s="50" t="s">
        <v>115</v>
      </c>
      <c r="E61" s="98" t="str">
        <f>IF(OR(E57="",E59=""),"",E57-E59)</f>
        <v/>
      </c>
      <c r="F61" s="42" t="s">
        <v>101</v>
      </c>
    </row>
    <row r="62" spans="1:7">
      <c r="A62" s="50"/>
    </row>
    <row r="63" spans="1:7">
      <c r="A63" s="57" t="s">
        <v>116</v>
      </c>
    </row>
    <row r="64" spans="1:7">
      <c r="A64" s="50"/>
    </row>
    <row r="65" spans="1:15">
      <c r="A65" s="58" t="s">
        <v>117</v>
      </c>
      <c r="B65" s="59"/>
      <c r="C65" s="59"/>
      <c r="D65" s="59"/>
      <c r="E65" s="59"/>
      <c r="F65" s="59"/>
      <c r="G65" s="59"/>
      <c r="H65" s="59"/>
      <c r="I65" s="59"/>
      <c r="J65" s="59"/>
      <c r="K65" s="59"/>
      <c r="L65" s="59"/>
      <c r="M65" s="59"/>
      <c r="N65" s="59"/>
    </row>
    <row r="66" spans="1:15">
      <c r="A66" s="46" t="s">
        <v>260</v>
      </c>
      <c r="B66" s="46"/>
      <c r="C66" s="46"/>
      <c r="D66" s="46"/>
      <c r="E66" s="46"/>
      <c r="F66" s="46"/>
      <c r="G66" s="46"/>
      <c r="H66" s="46"/>
      <c r="I66" s="46"/>
      <c r="J66" s="46"/>
      <c r="K66" s="46"/>
      <c r="L66" s="46"/>
      <c r="M66" s="46"/>
      <c r="N66" s="46"/>
      <c r="O66" s="47"/>
    </row>
    <row r="67" spans="1:15">
      <c r="A67" s="48"/>
      <c r="B67" s="49"/>
      <c r="C67" s="49"/>
      <c r="D67" s="49"/>
      <c r="E67" s="49"/>
      <c r="F67" s="49"/>
      <c r="G67" s="49"/>
      <c r="H67" s="49"/>
      <c r="I67" s="49"/>
      <c r="J67" s="49"/>
      <c r="K67" s="49"/>
      <c r="L67" s="49"/>
      <c r="M67" s="49"/>
      <c r="N67" s="49"/>
    </row>
    <row r="68" spans="1:15">
      <c r="A68" s="54" t="s">
        <v>95</v>
      </c>
    </row>
    <row r="69" spans="1:15">
      <c r="A69" s="50" t="s">
        <v>96</v>
      </c>
    </row>
    <row r="70" spans="1:15">
      <c r="A70" s="50"/>
    </row>
    <row r="71" spans="1:15">
      <c r="A71" s="50"/>
      <c r="E71" s="2747"/>
      <c r="F71" s="2747"/>
    </row>
    <row r="72" spans="1:15">
      <c r="A72" s="50"/>
    </row>
    <row r="73" spans="1:15">
      <c r="A73" s="50"/>
    </row>
    <row r="74" spans="1:15">
      <c r="A74" s="50"/>
      <c r="B74" s="42" t="s">
        <v>98</v>
      </c>
      <c r="E74" s="96"/>
      <c r="F74" s="42" t="s">
        <v>399</v>
      </c>
      <c r="G74" s="172" t="str">
        <f>IF(OR(E74=""),"",'Air Flow References'!K28)</f>
        <v/>
      </c>
    </row>
    <row r="75" spans="1:15">
      <c r="A75" s="50"/>
      <c r="B75" s="42" t="s">
        <v>398</v>
      </c>
      <c r="E75" s="167"/>
      <c r="G75" s="55"/>
    </row>
    <row r="76" spans="1:15">
      <c r="A76" s="50"/>
    </row>
    <row r="77" spans="1:15">
      <c r="A77" s="50"/>
      <c r="B77" s="42" t="s">
        <v>99</v>
      </c>
      <c r="E77" s="96"/>
      <c r="F77" s="42" t="s">
        <v>101</v>
      </c>
      <c r="G77" s="42" t="str">
        <f>IF(OR(E77=""),"",'Air Flow References'!K29)</f>
        <v/>
      </c>
    </row>
    <row r="78" spans="1:15">
      <c r="A78" s="50"/>
    </row>
    <row r="79" spans="1:15">
      <c r="A79" s="50"/>
      <c r="B79" s="42" t="s">
        <v>100</v>
      </c>
      <c r="E79" s="96"/>
      <c r="F79" s="56" t="s">
        <v>101</v>
      </c>
      <c r="G79" s="42" t="str">
        <f>IF(OR(E79=""),"",'Air Flow References'!K30)</f>
        <v/>
      </c>
    </row>
    <row r="80" spans="1:15">
      <c r="A80" s="50"/>
    </row>
    <row r="81" spans="1:14">
      <c r="A81" s="50"/>
    </row>
    <row r="82" spans="1:14">
      <c r="A82" s="54" t="s">
        <v>102</v>
      </c>
    </row>
    <row r="83" spans="1:14">
      <c r="A83" s="50"/>
    </row>
    <row r="84" spans="1:14">
      <c r="A84" s="50" t="s">
        <v>103</v>
      </c>
      <c r="E84" s="96"/>
      <c r="F84" s="42" t="s">
        <v>106</v>
      </c>
      <c r="G84" s="42" t="str">
        <f>IF(OR(E84=""),"",'Air Flow References'!K31)</f>
        <v/>
      </c>
    </row>
    <row r="85" spans="1:14">
      <c r="A85" s="50"/>
    </row>
    <row r="86" spans="1:14">
      <c r="A86" s="50" t="s">
        <v>104</v>
      </c>
      <c r="E86" s="96"/>
      <c r="F86" s="56" t="s">
        <v>101</v>
      </c>
      <c r="G86" s="42" t="str">
        <f>IF(OR(E86=""),"",'Air Flow References'!K32)</f>
        <v/>
      </c>
    </row>
    <row r="87" spans="1:14">
      <c r="A87" s="50"/>
    </row>
    <row r="88" spans="1:14">
      <c r="A88" s="50" t="s">
        <v>105</v>
      </c>
      <c r="E88" s="96"/>
      <c r="F88" s="56" t="s">
        <v>101</v>
      </c>
      <c r="G88" s="42" t="str">
        <f>IF(OR(E88=""),"",'Air Flow References'!K33)</f>
        <v/>
      </c>
    </row>
    <row r="89" spans="1:14">
      <c r="A89" s="50"/>
    </row>
    <row r="90" spans="1:14">
      <c r="A90" s="50" t="s">
        <v>107</v>
      </c>
      <c r="E90" s="98" t="str">
        <f>IF(OR(E86="",E88=""),"",E88-E86)</f>
        <v/>
      </c>
      <c r="F90" s="56" t="s">
        <v>101</v>
      </c>
    </row>
    <row r="91" spans="1:14">
      <c r="A91" s="50"/>
    </row>
    <row r="92" spans="1:14">
      <c r="A92" s="57" t="s">
        <v>108</v>
      </c>
    </row>
    <row r="93" spans="1:14">
      <c r="A93" s="50"/>
    </row>
    <row r="94" spans="1:14">
      <c r="A94" s="45" t="s">
        <v>109</v>
      </c>
    </row>
    <row r="95" spans="1:14">
      <c r="A95" s="46" t="s">
        <v>1886</v>
      </c>
      <c r="B95" s="46"/>
      <c r="C95" s="46"/>
      <c r="D95" s="46"/>
      <c r="E95" s="46"/>
      <c r="F95" s="46"/>
      <c r="G95" s="46"/>
      <c r="H95" s="46"/>
      <c r="I95" s="46"/>
      <c r="J95" s="46"/>
      <c r="K95" s="46"/>
      <c r="L95" s="46"/>
      <c r="M95" s="46"/>
      <c r="N95" s="46"/>
    </row>
    <row r="96" spans="1:14">
      <c r="A96" s="45"/>
    </row>
    <row r="97" spans="1:14">
      <c r="A97" s="42" t="s">
        <v>68</v>
      </c>
    </row>
    <row r="98" spans="1:14">
      <c r="A98" s="45"/>
    </row>
    <row r="99" spans="1:14">
      <c r="A99" s="45"/>
      <c r="E99" s="2758"/>
      <c r="F99" s="2758"/>
      <c r="G99" s="42" t="s">
        <v>69</v>
      </c>
    </row>
    <row r="100" spans="1:14">
      <c r="A100" s="2624" t="s">
        <v>2014</v>
      </c>
      <c r="B100" s="2624"/>
    </row>
    <row r="101" spans="1:14">
      <c r="A101" s="2624"/>
      <c r="B101" s="2624"/>
      <c r="C101" s="664"/>
      <c r="D101"/>
      <c r="E101" s="42" t="s">
        <v>71</v>
      </c>
      <c r="F101" s="664"/>
    </row>
    <row r="102" spans="1:14">
      <c r="C102"/>
      <c r="D102"/>
      <c r="F102"/>
    </row>
    <row r="103" spans="1:14">
      <c r="A103" s="45"/>
    </row>
    <row r="104" spans="1:14">
      <c r="A104" s="42" t="s">
        <v>1887</v>
      </c>
      <c r="F104" s="73"/>
    </row>
    <row r="105" spans="1:14">
      <c r="A105" s="45"/>
    </row>
    <row r="106" spans="1:14">
      <c r="A106" s="42" t="s">
        <v>82</v>
      </c>
      <c r="F106" s="73"/>
    </row>
    <row r="107" spans="1:14">
      <c r="A107" s="45"/>
    </row>
    <row r="108" spans="1:14">
      <c r="A108" s="45"/>
    </row>
    <row r="109" spans="1:14">
      <c r="A109" s="42" t="s">
        <v>2015</v>
      </c>
      <c r="C109" s="664"/>
      <c r="D109" s="42" t="s">
        <v>84</v>
      </c>
    </row>
    <row r="110" spans="1:14">
      <c r="A110" s="45"/>
    </row>
    <row r="111" spans="1:14">
      <c r="A111" s="42" t="s">
        <v>85</v>
      </c>
      <c r="D111" s="664"/>
      <c r="E111" s="42" t="s">
        <v>86</v>
      </c>
      <c r="F111" s="42" t="s">
        <v>87</v>
      </c>
      <c r="G111" s="664"/>
      <c r="H111" s="2738" t="s">
        <v>1888</v>
      </c>
      <c r="I111" s="2738"/>
      <c r="J111" s="664"/>
      <c r="K111" t="s">
        <v>89</v>
      </c>
      <c r="L111" s="51" t="s">
        <v>90</v>
      </c>
      <c r="M111" s="664"/>
      <c r="N111" s="42" t="s">
        <v>91</v>
      </c>
    </row>
    <row r="112" spans="1:14">
      <c r="A112" s="45"/>
    </row>
    <row r="113" spans="1:15">
      <c r="A113" s="42" t="s">
        <v>183</v>
      </c>
      <c r="D113" s="664"/>
      <c r="E113" s="42" t="s">
        <v>86</v>
      </c>
      <c r="F113" s="42" t="s">
        <v>87</v>
      </c>
      <c r="G113" s="664"/>
      <c r="H113" s="2759" t="s">
        <v>88</v>
      </c>
      <c r="I113" s="2759"/>
      <c r="J113" s="664"/>
      <c r="K113" s="42" t="s">
        <v>89</v>
      </c>
      <c r="L113" s="51" t="s">
        <v>90</v>
      </c>
      <c r="M113" s="664"/>
      <c r="N113" s="42" t="s">
        <v>91</v>
      </c>
    </row>
    <row r="114" spans="1:15">
      <c r="A114" s="45"/>
    </row>
    <row r="115" spans="1:15">
      <c r="A115" s="42" t="s">
        <v>1889</v>
      </c>
      <c r="M115" s="664"/>
      <c r="N115" s="42" t="s">
        <v>91</v>
      </c>
    </row>
    <row r="116" spans="1:15">
      <c r="A116" s="45"/>
      <c r="F116" s="2760" t="s">
        <v>1890</v>
      </c>
      <c r="G116" s="2761"/>
      <c r="H116" s="2761"/>
      <c r="I116" s="2761"/>
      <c r="J116" s="2761"/>
      <c r="K116" s="2762"/>
    </row>
    <row r="117" spans="1:15">
      <c r="A117" s="45"/>
      <c r="B117" s="42" t="s">
        <v>92</v>
      </c>
      <c r="F117" s="2763"/>
      <c r="G117" s="2764"/>
      <c r="H117" s="2764"/>
      <c r="I117" s="2764"/>
      <c r="J117" s="2764"/>
      <c r="K117" s="2765"/>
      <c r="M117" s="59" t="str">
        <f>IF(AND(M85="",M87="",M89=""),"",M85+M87+M89)</f>
        <v/>
      </c>
      <c r="N117" s="42" t="s">
        <v>91</v>
      </c>
    </row>
    <row r="118" spans="1:15">
      <c r="A118" s="45"/>
      <c r="M118" s="42" t="str">
        <f>IF(AND(M111="",M113="",M115=""),"",M111+M113+M115)</f>
        <v/>
      </c>
    </row>
    <row r="119" spans="1:15">
      <c r="A119" s="45" t="s">
        <v>94</v>
      </c>
    </row>
    <row r="120" spans="1:15"/>
    <row r="121" spans="1:15"/>
    <row r="122" spans="1:15"/>
    <row r="123" spans="1:15">
      <c r="A123" s="63" t="s">
        <v>223</v>
      </c>
      <c r="B123" s="67"/>
      <c r="C123" s="64" t="str">
        <f>Development!$A$4&amp;"_"&amp;Development!$A$2</f>
        <v>4.01.2024_2.0</v>
      </c>
      <c r="D123" s="2756"/>
      <c r="E123" s="2756"/>
      <c r="F123" s="2756"/>
      <c r="G123" s="2757"/>
      <c r="H123" s="2757"/>
      <c r="I123" s="2757"/>
      <c r="J123" s="49"/>
      <c r="K123" s="49"/>
      <c r="L123" s="49"/>
      <c r="M123" s="49"/>
      <c r="N123" s="66" t="s">
        <v>225</v>
      </c>
      <c r="O123" s="65" t="str">
        <f>Development!$A$4</f>
        <v>4.01.2024</v>
      </c>
    </row>
    <row r="124" spans="1:15"/>
    <row r="125" spans="1:15"/>
    <row r="126" spans="1:15"/>
    <row r="127" spans="1:15"/>
    <row r="128" spans="1:15"/>
    <row r="129" spans="15:15"/>
    <row r="130" spans="15:15"/>
    <row r="131" spans="15:15"/>
    <row r="132" spans="15:15"/>
    <row r="133" spans="15:15"/>
    <row r="134" spans="15:15"/>
    <row r="135" spans="15:15"/>
    <row r="136" spans="15:15"/>
    <row r="137" spans="15:15"/>
    <row r="138" spans="15:15"/>
    <row r="139" spans="15:15"/>
    <row r="140" spans="15:15"/>
    <row r="141" spans="15:15"/>
    <row r="142" spans="15:15"/>
    <row r="143" spans="15:15">
      <c r="O143" s="60"/>
    </row>
    <row r="155"/>
    <row r="156"/>
    <row r="157"/>
    <row r="158"/>
    <row r="159"/>
    <row r="160"/>
    <row r="161"/>
    <row r="162"/>
    <row r="163"/>
    <row r="164"/>
    <row r="165"/>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row r="201" ht="14.5" customHeight="1"/>
    <row r="202" ht="14.5" customHeight="1"/>
  </sheetData>
  <sheetProtection algorithmName="SHA-512" hashValue="wKo5jUN5vk5svFA7+OZ3W3F5ZkWKEl5mpUKoOy5akbQyQuZTg0JApA0Kp1eZvghn2vT2Iz9IDTvJMuZEE36EOg==" saltValue="VXOzJabatA2/i7hEbwBNvA==" spinCount="100000" sheet="1" objects="1" scenarios="1"/>
  <mergeCells count="25">
    <mergeCell ref="A100:B101"/>
    <mergeCell ref="I39:J39"/>
    <mergeCell ref="C30:L30"/>
    <mergeCell ref="E25:F25"/>
    <mergeCell ref="A1:J1"/>
    <mergeCell ref="A2:J2"/>
    <mergeCell ref="E15:F15"/>
    <mergeCell ref="E20:F20"/>
    <mergeCell ref="G18:H18"/>
    <mergeCell ref="E22:F22"/>
    <mergeCell ref="A29:M29"/>
    <mergeCell ref="M15:N15"/>
    <mergeCell ref="A18:D18"/>
    <mergeCell ref="E18:F18"/>
    <mergeCell ref="H5:I5"/>
    <mergeCell ref="H7:I7"/>
    <mergeCell ref="M18:N18"/>
    <mergeCell ref="E71:F71"/>
    <mergeCell ref="D123:F123"/>
    <mergeCell ref="G123:I123"/>
    <mergeCell ref="E46:F46"/>
    <mergeCell ref="E99:F99"/>
    <mergeCell ref="H111:I111"/>
    <mergeCell ref="H113:I113"/>
    <mergeCell ref="F116:K117"/>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36865" r:id="rId4" name="OptionButton1">
          <controlPr defaultSize="0" autoLine="0" autoPict="0" r:id="rId5">
            <anchor moveWithCells="1">
              <from>
                <xdr:col>2</xdr:col>
                <xdr:colOff>850900</xdr:colOff>
                <xdr:row>19</xdr:row>
                <xdr:rowOff>50800</xdr:rowOff>
              </from>
              <to>
                <xdr:col>5</xdr:col>
                <xdr:colOff>800100</xdr:colOff>
                <xdr:row>20</xdr:row>
                <xdr:rowOff>336550</xdr:rowOff>
              </to>
            </anchor>
          </controlPr>
        </control>
      </mc:Choice>
      <mc:Fallback>
        <control shapeId="36865" r:id="rId4" name="OptionButton1"/>
      </mc:Fallback>
    </mc:AlternateContent>
    <mc:AlternateContent xmlns:mc="http://schemas.openxmlformats.org/markup-compatibility/2006">
      <mc:Choice Requires="x14">
        <control shapeId="36866" r:id="rId6" name="OptionButton2">
          <controlPr defaultSize="0" autoLine="0" autoPict="0" r:id="rId7">
            <anchor moveWithCells="1">
              <from>
                <xdr:col>6</xdr:col>
                <xdr:colOff>584200</xdr:colOff>
                <xdr:row>19</xdr:row>
                <xdr:rowOff>38100</xdr:rowOff>
              </from>
              <to>
                <xdr:col>13</xdr:col>
                <xdr:colOff>0</xdr:colOff>
                <xdr:row>20</xdr:row>
                <xdr:rowOff>469900</xdr:rowOff>
              </to>
            </anchor>
          </controlPr>
        </control>
      </mc:Choice>
      <mc:Fallback>
        <control shapeId="36866" r:id="rId6" name="OptionButton2"/>
      </mc:Fallback>
    </mc:AlternateContent>
    <mc:AlternateContent xmlns:mc="http://schemas.openxmlformats.org/markup-compatibility/2006">
      <mc:Choice Requires="x14">
        <control shapeId="36882" r:id="rId8" name="OptionButton7">
          <controlPr defaultSize="0" autoLine="0" r:id="rId9">
            <anchor moveWithCells="1">
              <from>
                <xdr:col>1</xdr:col>
                <xdr:colOff>38100</xdr:colOff>
                <xdr:row>71</xdr:row>
                <xdr:rowOff>0</xdr:rowOff>
              </from>
              <to>
                <xdr:col>2</xdr:col>
                <xdr:colOff>19050</xdr:colOff>
                <xdr:row>72</xdr:row>
                <xdr:rowOff>82550</xdr:rowOff>
              </to>
            </anchor>
          </controlPr>
        </control>
      </mc:Choice>
      <mc:Fallback>
        <control shapeId="36882" r:id="rId8" name="OptionButton7"/>
      </mc:Fallback>
    </mc:AlternateContent>
    <mc:AlternateContent xmlns:mc="http://schemas.openxmlformats.org/markup-compatibility/2006">
      <mc:Choice Requires="x14">
        <control shapeId="36891" r:id="rId10" name="OptionButton10">
          <controlPr defaultSize="0" autoLine="0" r:id="rId11">
            <anchor moveWithCells="1">
              <from>
                <xdr:col>1</xdr:col>
                <xdr:colOff>127000</xdr:colOff>
                <xdr:row>45</xdr:row>
                <xdr:rowOff>69850</xdr:rowOff>
              </from>
              <to>
                <xdr:col>2</xdr:col>
                <xdr:colOff>101600</xdr:colOff>
                <xdr:row>46</xdr:row>
                <xdr:rowOff>158750</xdr:rowOff>
              </to>
            </anchor>
          </controlPr>
        </control>
      </mc:Choice>
      <mc:Fallback>
        <control shapeId="36891" r:id="rId10" name="OptionButton10"/>
      </mc:Fallback>
    </mc:AlternateContent>
    <mc:AlternateContent xmlns:mc="http://schemas.openxmlformats.org/markup-compatibility/2006">
      <mc:Choice Requires="x14">
        <control shapeId="36919" r:id="rId12" name="CommandButton2">
          <controlPr defaultSize="0" autoLine="0" autoPict="0" r:id="rId13">
            <anchor moveWithCells="1">
              <from>
                <xdr:col>11</xdr:col>
                <xdr:colOff>419100</xdr:colOff>
                <xdr:row>119</xdr:row>
                <xdr:rowOff>0</xdr:rowOff>
              </from>
              <to>
                <xdr:col>14</xdr:col>
                <xdr:colOff>641350</xdr:colOff>
                <xdr:row>122</xdr:row>
                <xdr:rowOff>0</xdr:rowOff>
              </to>
            </anchor>
          </controlPr>
        </control>
      </mc:Choice>
      <mc:Fallback>
        <control shapeId="36919" r:id="rId12" name="CommandButton2"/>
      </mc:Fallback>
    </mc:AlternateContent>
    <mc:AlternateContent xmlns:mc="http://schemas.openxmlformats.org/markup-compatibility/2006">
      <mc:Choice Requires="x14">
        <control shapeId="36867" r:id="rId14" name="Group Box 3">
          <controlPr defaultSize="0" autoFill="0" autoPict="0">
            <anchor moveWithCells="1">
              <from>
                <xdr:col>0</xdr:col>
                <xdr:colOff>12700</xdr:colOff>
                <xdr:row>21</xdr:row>
                <xdr:rowOff>0</xdr:rowOff>
              </from>
              <to>
                <xdr:col>6</xdr:col>
                <xdr:colOff>431800</xdr:colOff>
                <xdr:row>22</xdr:row>
                <xdr:rowOff>298450</xdr:rowOff>
              </to>
            </anchor>
          </controlPr>
        </control>
      </mc:Choice>
    </mc:AlternateContent>
    <mc:AlternateContent xmlns:mc="http://schemas.openxmlformats.org/markup-compatibility/2006">
      <mc:Choice Requires="x14">
        <control shapeId="36868" r:id="rId15" name="Check Box 4">
          <controlPr defaultSize="0" autoFill="0" autoLine="0" autoPict="0">
            <anchor moveWithCells="1">
              <from>
                <xdr:col>7</xdr:col>
                <xdr:colOff>533400</xdr:colOff>
                <xdr:row>21</xdr:row>
                <xdr:rowOff>146050</xdr:rowOff>
              </from>
              <to>
                <xdr:col>9</xdr:col>
                <xdr:colOff>50800</xdr:colOff>
                <xdr:row>21</xdr:row>
                <xdr:rowOff>450850</xdr:rowOff>
              </to>
            </anchor>
          </controlPr>
        </control>
      </mc:Choice>
    </mc:AlternateContent>
    <mc:AlternateContent xmlns:mc="http://schemas.openxmlformats.org/markup-compatibility/2006">
      <mc:Choice Requires="x14">
        <control shapeId="36869" r:id="rId16" name="Check Box 5">
          <controlPr defaultSize="0" autoFill="0" autoLine="0" autoPict="0">
            <anchor moveWithCells="1">
              <from>
                <xdr:col>9</xdr:col>
                <xdr:colOff>419100</xdr:colOff>
                <xdr:row>21</xdr:row>
                <xdr:rowOff>146050</xdr:rowOff>
              </from>
              <to>
                <xdr:col>10</xdr:col>
                <xdr:colOff>990600</xdr:colOff>
                <xdr:row>21</xdr:row>
                <xdr:rowOff>469900</xdr:rowOff>
              </to>
            </anchor>
          </controlPr>
        </control>
      </mc:Choice>
    </mc:AlternateContent>
    <mc:AlternateContent xmlns:mc="http://schemas.openxmlformats.org/markup-compatibility/2006">
      <mc:Choice Requires="x14">
        <control shapeId="36873" r:id="rId17" name="Group Box 9">
          <controlPr defaultSize="0" autoFill="0" autoPict="0">
            <anchor moveWithCells="1">
              <from>
                <xdr:col>0</xdr:col>
                <xdr:colOff>50800</xdr:colOff>
                <xdr:row>65</xdr:row>
                <xdr:rowOff>0</xdr:rowOff>
              </from>
              <to>
                <xdr:col>3</xdr:col>
                <xdr:colOff>1384300</xdr:colOff>
                <xdr:row>69</xdr:row>
                <xdr:rowOff>95250</xdr:rowOff>
              </to>
            </anchor>
          </controlPr>
        </control>
      </mc:Choice>
    </mc:AlternateContent>
    <mc:AlternateContent xmlns:mc="http://schemas.openxmlformats.org/markup-compatibility/2006">
      <mc:Choice Requires="x14">
        <control shapeId="36874"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6875"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6876"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36877" r:id="rId21" name="Group Box 13">
          <controlPr defaultSize="0" autoFill="0" autoPict="0">
            <anchor moveWithCells="1">
              <from>
                <xdr:col>0</xdr:col>
                <xdr:colOff>374650</xdr:colOff>
                <xdr:row>65</xdr:row>
                <xdr:rowOff>0</xdr:rowOff>
              </from>
              <to>
                <xdr:col>3</xdr:col>
                <xdr:colOff>1384300</xdr:colOff>
                <xdr:row>68</xdr:row>
                <xdr:rowOff>95250</xdr:rowOff>
              </to>
            </anchor>
          </controlPr>
        </control>
      </mc:Choice>
    </mc:AlternateContent>
    <mc:AlternateContent xmlns:mc="http://schemas.openxmlformats.org/markup-compatibility/2006">
      <mc:Choice Requires="x14">
        <control shapeId="36878"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6879"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6880"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36884" r:id="rId25" name="Group Box 20">
          <controlPr defaultSize="0" autoFill="0" autoPict="0">
            <anchor moveWithCells="1">
              <from>
                <xdr:col>0</xdr:col>
                <xdr:colOff>317500</xdr:colOff>
                <xdr:row>68</xdr:row>
                <xdr:rowOff>209550</xdr:rowOff>
              </from>
              <to>
                <xdr:col>3</xdr:col>
                <xdr:colOff>1384300</xdr:colOff>
                <xdr:row>72</xdr:row>
                <xdr:rowOff>12700</xdr:rowOff>
              </to>
            </anchor>
          </controlPr>
        </control>
      </mc:Choice>
    </mc:AlternateContent>
    <mc:AlternateContent xmlns:mc="http://schemas.openxmlformats.org/markup-compatibility/2006">
      <mc:Choice Requires="x14">
        <control shapeId="36885" r:id="rId26" name="Option Button 21">
          <controlPr defaultSize="0" autoFill="0" autoLine="0" autoPict="0">
            <anchor moveWithCells="1">
              <from>
                <xdr:col>2</xdr:col>
                <xdr:colOff>889000</xdr:colOff>
                <xdr:row>38</xdr:row>
                <xdr:rowOff>127000</xdr:rowOff>
              </from>
              <to>
                <xdr:col>3</xdr:col>
                <xdr:colOff>889000</xdr:colOff>
                <xdr:row>39</xdr:row>
                <xdr:rowOff>127000</xdr:rowOff>
              </to>
            </anchor>
          </controlPr>
        </control>
      </mc:Choice>
    </mc:AlternateContent>
    <mc:AlternateContent xmlns:mc="http://schemas.openxmlformats.org/markup-compatibility/2006">
      <mc:Choice Requires="x14">
        <control shapeId="36886" r:id="rId27" name="Option Button 22">
          <controlPr defaultSize="0" autoFill="0" autoLine="0" autoPict="0">
            <anchor moveWithCells="1">
              <from>
                <xdr:col>2</xdr:col>
                <xdr:colOff>1041400</xdr:colOff>
                <xdr:row>38</xdr:row>
                <xdr:rowOff>69850</xdr:rowOff>
              </from>
              <to>
                <xdr:col>3</xdr:col>
                <xdr:colOff>1295400</xdr:colOff>
                <xdr:row>39</xdr:row>
                <xdr:rowOff>69850</xdr:rowOff>
              </to>
            </anchor>
          </controlPr>
        </control>
      </mc:Choice>
    </mc:AlternateContent>
    <mc:AlternateContent xmlns:mc="http://schemas.openxmlformats.org/markup-compatibility/2006">
      <mc:Choice Requires="x14">
        <control shapeId="36887" r:id="rId28" name="Option Button 23">
          <controlPr defaultSize="0" autoFill="0" autoLine="0" autoPict="0">
            <anchor moveWithCells="1">
              <from>
                <xdr:col>4</xdr:col>
                <xdr:colOff>203200</xdr:colOff>
                <xdr:row>38</xdr:row>
                <xdr:rowOff>69850</xdr:rowOff>
              </from>
              <to>
                <xdr:col>5</xdr:col>
                <xdr:colOff>584200</xdr:colOff>
                <xdr:row>39</xdr:row>
                <xdr:rowOff>69850</xdr:rowOff>
              </to>
            </anchor>
          </controlPr>
        </control>
      </mc:Choice>
    </mc:AlternateContent>
    <mc:AlternateContent xmlns:mc="http://schemas.openxmlformats.org/markup-compatibility/2006">
      <mc:Choice Requires="x14">
        <control shapeId="36889" r:id="rId29" name="Group Box 25">
          <controlPr defaultSize="0" autoFill="0" autoPict="0">
            <anchor moveWithCells="1">
              <from>
                <xdr:col>2</xdr:col>
                <xdr:colOff>533400</xdr:colOff>
                <xdr:row>37</xdr:row>
                <xdr:rowOff>266700</xdr:rowOff>
              </from>
              <to>
                <xdr:col>14</xdr:col>
                <xdr:colOff>381000</xdr:colOff>
                <xdr:row>40</xdr:row>
                <xdr:rowOff>50800</xdr:rowOff>
              </to>
            </anchor>
          </controlPr>
        </control>
      </mc:Choice>
    </mc:AlternateContent>
    <mc:AlternateContent xmlns:mc="http://schemas.openxmlformats.org/markup-compatibility/2006">
      <mc:Choice Requires="x14">
        <control shapeId="36893" r:id="rId30" name="Group Box 29">
          <controlPr defaultSize="0" autoFill="0" autoPict="0">
            <anchor moveWithCells="1">
              <from>
                <xdr:col>0</xdr:col>
                <xdr:colOff>571500</xdr:colOff>
                <xdr:row>43</xdr:row>
                <xdr:rowOff>209550</xdr:rowOff>
              </from>
              <to>
                <xdr:col>3</xdr:col>
                <xdr:colOff>1384300</xdr:colOff>
                <xdr:row>47</xdr:row>
                <xdr:rowOff>12700</xdr:rowOff>
              </to>
            </anchor>
          </controlPr>
        </control>
      </mc:Choice>
    </mc:AlternateContent>
    <mc:AlternateContent xmlns:mc="http://schemas.openxmlformats.org/markup-compatibility/2006">
      <mc:Choice Requires="x14">
        <control shapeId="36981" r:id="rId31" name="Check Box 117">
          <controlPr defaultSize="0" autoFill="0" autoLine="0" autoPict="0">
            <anchor moveWithCells="1">
              <from>
                <xdr:col>0</xdr:col>
                <xdr:colOff>1212850</xdr:colOff>
                <xdr:row>9</xdr:row>
                <xdr:rowOff>114300</xdr:rowOff>
              </from>
              <to>
                <xdr:col>2</xdr:col>
                <xdr:colOff>0</xdr:colOff>
                <xdr:row>9</xdr:row>
                <xdr:rowOff>374650</xdr:rowOff>
              </to>
            </anchor>
          </controlPr>
        </control>
      </mc:Choice>
    </mc:AlternateContent>
    <mc:AlternateContent xmlns:mc="http://schemas.openxmlformats.org/markup-compatibility/2006">
      <mc:Choice Requires="x14">
        <control shapeId="36982" r:id="rId32" name="Check Box 118">
          <controlPr defaultSize="0" autoFill="0" autoLine="0" autoPict="0">
            <anchor moveWithCells="1">
              <from>
                <xdr:col>3</xdr:col>
                <xdr:colOff>247650</xdr:colOff>
                <xdr:row>9</xdr:row>
                <xdr:rowOff>69850</xdr:rowOff>
              </from>
              <to>
                <xdr:col>3</xdr:col>
                <xdr:colOff>1066800</xdr:colOff>
                <xdr:row>10</xdr:row>
                <xdr:rowOff>0</xdr:rowOff>
              </to>
            </anchor>
          </controlPr>
        </control>
      </mc:Choice>
    </mc:AlternateContent>
    <mc:AlternateContent xmlns:mc="http://schemas.openxmlformats.org/markup-compatibility/2006">
      <mc:Choice Requires="x14">
        <control shapeId="36983" r:id="rId33" name="Check Box 119">
          <controlPr defaultSize="0" autoFill="0" autoLine="0" autoPict="0">
            <anchor moveWithCells="1">
              <from>
                <xdr:col>2</xdr:col>
                <xdr:colOff>0</xdr:colOff>
                <xdr:row>9</xdr:row>
                <xdr:rowOff>114300</xdr:rowOff>
              </from>
              <to>
                <xdr:col>2</xdr:col>
                <xdr:colOff>546100</xdr:colOff>
                <xdr:row>9</xdr:row>
                <xdr:rowOff>381000</xdr:rowOff>
              </to>
            </anchor>
          </controlPr>
        </control>
      </mc:Choice>
    </mc:AlternateContent>
    <mc:AlternateContent xmlns:mc="http://schemas.openxmlformats.org/markup-compatibility/2006">
      <mc:Choice Requires="x14">
        <control shapeId="36984" r:id="rId34" name="Check Box 120">
          <controlPr defaultSize="0" autoFill="0" autoLine="0" autoPict="0">
            <anchor moveWithCells="1">
              <from>
                <xdr:col>3</xdr:col>
                <xdr:colOff>1003300</xdr:colOff>
                <xdr:row>9</xdr:row>
                <xdr:rowOff>69850</xdr:rowOff>
              </from>
              <to>
                <xdr:col>4</xdr:col>
                <xdr:colOff>400050</xdr:colOff>
                <xdr:row>9</xdr:row>
                <xdr:rowOff>184150</xdr:rowOff>
              </to>
            </anchor>
          </controlPr>
        </control>
      </mc:Choice>
    </mc:AlternateContent>
  </control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9"/>
  <dimension ref="A1:P152"/>
  <sheetViews>
    <sheetView showGridLines="0" zoomScale="90" zoomScaleNormal="90" workbookViewId="0">
      <selection activeCell="B6" sqref="B6"/>
    </sheetView>
  </sheetViews>
  <sheetFormatPr defaultColWidth="0" defaultRowHeight="14.5" customHeight="1" zeroHeight="1"/>
  <cols>
    <col min="1" max="1" width="14.26953125" style="42" customWidth="1"/>
    <col min="2" max="2" width="9.542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5" width="9.1796875" style="42" customWidth="1"/>
    <col min="16" max="16" width="0" style="42" hidden="1" customWidth="1"/>
    <col min="17" max="16384" width="8.7265625" style="42" hidden="1"/>
  </cols>
  <sheetData>
    <row r="1" spans="1:16"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6" ht="55" customHeight="1">
      <c r="A2" s="2750" t="s">
        <v>132</v>
      </c>
      <c r="B2" s="2750"/>
      <c r="C2" s="2750"/>
      <c r="D2" s="2750"/>
      <c r="E2" s="2750"/>
      <c r="F2" s="2750"/>
      <c r="G2" s="2750"/>
      <c r="H2" s="2750"/>
      <c r="I2" s="2750"/>
      <c r="J2" s="2750"/>
      <c r="K2" s="7"/>
      <c r="L2" s="7"/>
      <c r="M2" s="7"/>
      <c r="N2" s="7"/>
      <c r="O2" s="7"/>
    </row>
    <row r="3" spans="1:16" ht="31" thickBot="1">
      <c r="A3" s="24" t="s">
        <v>134</v>
      </c>
      <c r="B3" s="24"/>
      <c r="C3" s="24"/>
      <c r="D3" s="24"/>
      <c r="E3" s="24"/>
      <c r="F3" s="24"/>
      <c r="G3" s="24"/>
      <c r="H3" s="24"/>
      <c r="I3" s="24"/>
      <c r="J3" s="24"/>
      <c r="K3" s="24"/>
      <c r="L3" s="24"/>
      <c r="M3" s="24"/>
      <c r="N3" s="24"/>
      <c r="O3" s="7"/>
    </row>
    <row r="4" spans="1:16" ht="18.75" customHeight="1">
      <c r="A4" s="25"/>
      <c r="B4" s="25"/>
      <c r="C4" s="25"/>
      <c r="D4" s="25"/>
      <c r="E4" s="25"/>
      <c r="F4" s="25"/>
      <c r="G4" s="25"/>
      <c r="H4" s="25"/>
      <c r="I4" s="25"/>
      <c r="J4" s="25"/>
      <c r="K4" s="25"/>
      <c r="L4" s="25"/>
      <c r="M4" s="25"/>
      <c r="N4" s="25"/>
      <c r="O4" s="7"/>
    </row>
    <row r="5" spans="1:16" ht="18" customHeight="1">
      <c r="A5" s="18" t="s">
        <v>136</v>
      </c>
      <c r="B5" s="97">
        <f>'In Unit HVAC Worksheet'!B85</f>
        <v>4</v>
      </c>
      <c r="C5" s="95"/>
      <c r="D5" s="95"/>
      <c r="E5" s="18"/>
      <c r="F5" s="18"/>
      <c r="G5" s="18" t="s">
        <v>80</v>
      </c>
      <c r="H5" s="2766" t="str">
        <f>IF('In Unit HVAC Worksheet'!C85="","",'In Unit HVAC Worksheet'!C85)</f>
        <v/>
      </c>
      <c r="I5" s="2766"/>
      <c r="J5" s="14"/>
      <c r="K5" s="7"/>
      <c r="L5" s="7"/>
      <c r="M5" s="7"/>
      <c r="N5" s="7"/>
      <c r="O5" s="7"/>
    </row>
    <row r="6" spans="1:16" ht="18" customHeight="1">
      <c r="A6" s="18"/>
      <c r="B6" s="18"/>
      <c r="C6" s="18"/>
      <c r="D6" s="18"/>
      <c r="E6" s="18"/>
      <c r="F6" s="18"/>
      <c r="G6" s="18"/>
      <c r="H6" s="18"/>
      <c r="I6" s="14"/>
      <c r="J6" s="14"/>
      <c r="K6" s="7"/>
      <c r="L6" s="7"/>
      <c r="M6" s="7"/>
      <c r="N6" s="7"/>
      <c r="O6" s="7"/>
    </row>
    <row r="7" spans="1:16" ht="18" customHeight="1">
      <c r="B7" s="18"/>
      <c r="D7" s="18"/>
      <c r="E7" s="18"/>
      <c r="F7" s="18"/>
      <c r="G7" s="18" t="s">
        <v>135</v>
      </c>
      <c r="H7" s="2766" t="str">
        <f>IF('In Unit HVAC Worksheet'!E85="","",'In Unit HVAC Worksheet'!E85)</f>
        <v/>
      </c>
      <c r="I7" s="2766"/>
      <c r="J7" s="14"/>
      <c r="K7" s="7"/>
      <c r="L7" s="7"/>
      <c r="M7" s="7"/>
      <c r="N7" s="7"/>
      <c r="O7" s="7"/>
    </row>
    <row r="8" spans="1:16" ht="23">
      <c r="A8" s="20" t="s">
        <v>133</v>
      </c>
      <c r="B8" s="19"/>
      <c r="C8" s="19"/>
      <c r="D8" s="19"/>
      <c r="E8" s="19"/>
      <c r="F8" s="19"/>
      <c r="G8" s="19"/>
      <c r="H8" s="19"/>
      <c r="I8" s="19"/>
      <c r="J8" s="19"/>
      <c r="K8" s="19"/>
      <c r="L8" s="19"/>
      <c r="M8" s="11"/>
      <c r="N8" s="19"/>
      <c r="O8" s="19"/>
    </row>
    <row r="9" spans="1:16" ht="30.5">
      <c r="A9" s="14"/>
      <c r="B9" s="70" t="s">
        <v>30</v>
      </c>
      <c r="C9" s="71"/>
      <c r="D9" s="70" t="s">
        <v>31</v>
      </c>
      <c r="E9" s="72"/>
      <c r="F9" s="14"/>
      <c r="G9" s="14"/>
      <c r="H9" s="14"/>
      <c r="I9" s="14"/>
      <c r="J9" s="14"/>
      <c r="K9" s="7"/>
      <c r="L9" s="7"/>
      <c r="M9" s="7"/>
      <c r="N9" s="7"/>
      <c r="O9" s="7"/>
    </row>
    <row r="10" spans="1:16" ht="24" customHeight="1">
      <c r="A10" s="7"/>
      <c r="B10" s="22"/>
      <c r="C10" s="22"/>
      <c r="D10" s="22"/>
      <c r="E10" s="72"/>
      <c r="G10" s="16"/>
      <c r="H10" s="16"/>
      <c r="J10" s="7"/>
      <c r="K10" s="7"/>
      <c r="L10" s="7"/>
      <c r="M10" s="7"/>
      <c r="N10" s="7"/>
      <c r="O10" s="7"/>
    </row>
    <row r="11" spans="1:16" ht="23.5" thickBot="1">
      <c r="A11" s="17" t="s">
        <v>67</v>
      </c>
      <c r="B11" s="17"/>
      <c r="C11" s="17"/>
      <c r="D11" s="17"/>
      <c r="E11" s="17"/>
      <c r="F11" s="17"/>
      <c r="G11" s="17"/>
      <c r="H11" s="17"/>
      <c r="I11" s="17"/>
      <c r="J11" s="17"/>
      <c r="K11" s="17"/>
      <c r="L11" s="17"/>
      <c r="M11" s="17"/>
      <c r="N11" s="17"/>
      <c r="O11" s="19"/>
    </row>
    <row r="12" spans="1:16" ht="6.75" customHeight="1">
      <c r="A12" s="4"/>
      <c r="B12" s="5"/>
      <c r="C12" s="5"/>
      <c r="D12" s="5"/>
      <c r="E12" s="5"/>
      <c r="F12" s="5"/>
      <c r="G12" s="5"/>
      <c r="H12" s="5"/>
      <c r="I12" s="5"/>
      <c r="J12" s="5"/>
      <c r="K12" s="5"/>
      <c r="L12" s="5"/>
      <c r="M12" s="5"/>
      <c r="N12" s="5"/>
      <c r="O12" s="5"/>
    </row>
    <row r="13" spans="1:16" ht="27.75" customHeight="1">
      <c r="A13" s="139" t="s">
        <v>443</v>
      </c>
      <c r="B13" s="5"/>
      <c r="C13" s="5"/>
      <c r="D13" s="5"/>
      <c r="E13" s="5"/>
      <c r="F13" s="5"/>
      <c r="G13" s="5"/>
      <c r="H13" s="5"/>
      <c r="I13" s="5"/>
      <c r="J13" s="5"/>
      <c r="K13" s="5"/>
      <c r="L13" s="5"/>
      <c r="M13" s="5"/>
      <c r="N13" s="5"/>
      <c r="O13" s="5"/>
    </row>
    <row r="14" spans="1:16" ht="27.75" customHeight="1">
      <c r="A14" s="139"/>
      <c r="B14" s="5"/>
      <c r="C14" s="5"/>
      <c r="D14" s="5"/>
      <c r="E14" s="5"/>
      <c r="F14" s="5"/>
      <c r="G14" s="5"/>
      <c r="H14" s="5"/>
      <c r="I14" s="5"/>
      <c r="J14" s="5"/>
      <c r="K14" s="5"/>
      <c r="L14" s="5"/>
      <c r="M14" s="5"/>
      <c r="N14" s="5"/>
      <c r="O14" s="5"/>
      <c r="P14" s="5"/>
    </row>
    <row r="15" spans="1:16" ht="33.65" customHeight="1">
      <c r="A15" s="42" t="s">
        <v>525</v>
      </c>
      <c r="E15" s="2734"/>
      <c r="F15" s="2734"/>
      <c r="G15" s="42" t="str">
        <f>IF(OR(E15=""),"",'Air Flow References'!P4)</f>
        <v/>
      </c>
      <c r="L15" s="43" t="s">
        <v>526</v>
      </c>
      <c r="M15" s="2731"/>
      <c r="N15" s="2731"/>
      <c r="O15" s="42" t="str">
        <f>IF(OR(M15=""),"",'Air Flow References'!P6)</f>
        <v/>
      </c>
    </row>
    <row r="16" spans="1:16" ht="33.65" customHeight="1"/>
    <row r="17" spans="1:15" ht="33.65" customHeight="1">
      <c r="A17" s="138" t="s">
        <v>543</v>
      </c>
    </row>
    <row r="18" spans="1:15" ht="33.65" customHeight="1">
      <c r="A18" s="2318" t="s">
        <v>527</v>
      </c>
      <c r="B18" s="2318"/>
      <c r="C18" s="2318"/>
      <c r="D18" s="2318"/>
      <c r="E18" s="2736"/>
      <c r="F18" s="2736"/>
      <c r="G18" s="42" t="str">
        <f>IF(OR(E18=""),"",'Air Flow References'!P5)</f>
        <v/>
      </c>
      <c r="H18" s="45"/>
      <c r="I18" s="45" t="s">
        <v>397</v>
      </c>
      <c r="L18" s="43" t="s">
        <v>528</v>
      </c>
      <c r="M18" s="2734"/>
      <c r="N18" s="2734"/>
      <c r="O18" s="42" t="str">
        <f>IF(OR(M18=""),"",'Air Flow References'!P7)</f>
        <v/>
      </c>
    </row>
    <row r="19" spans="1:15" ht="33.65" customHeight="1"/>
    <row r="20" spans="1:15" ht="33.65" customHeight="1">
      <c r="A20" s="42" t="s">
        <v>531</v>
      </c>
      <c r="E20" s="2748"/>
      <c r="F20" s="2748"/>
    </row>
    <row r="21" spans="1:15" ht="33.65" customHeight="1"/>
    <row r="22" spans="1:15" ht="33.65" customHeight="1">
      <c r="A22" s="42" t="s">
        <v>532</v>
      </c>
      <c r="E22" s="2731"/>
      <c r="F22" s="2731"/>
      <c r="G22" s="42" t="str">
        <f>IF(OR(E22=""),"",'Air Flow References'!P9)</f>
        <v/>
      </c>
      <c r="H22" s="73"/>
      <c r="I22" s="73"/>
      <c r="J22" s="73"/>
      <c r="K22" s="73"/>
    </row>
    <row r="23" spans="1:15" ht="33.65" customHeight="1">
      <c r="A23" s="162" t="s">
        <v>545</v>
      </c>
      <c r="E23" s="164"/>
      <c r="F23" s="164"/>
    </row>
    <row r="24" spans="1:15" ht="33.65" customHeight="1">
      <c r="E24" s="164"/>
      <c r="F24" s="164"/>
    </row>
    <row r="25" spans="1:15" ht="33.65" customHeight="1">
      <c r="A25" s="42" t="s">
        <v>533</v>
      </c>
      <c r="E25" s="2731"/>
      <c r="F25" s="2731"/>
      <c r="G25" s="42" t="str">
        <f>IF(OR(E25=""),"",'Air Flow References'!P8)</f>
        <v/>
      </c>
    </row>
    <row r="26" spans="1:15" ht="33.65" customHeight="1">
      <c r="A26" s="162" t="s">
        <v>546</v>
      </c>
      <c r="E26" s="164"/>
      <c r="F26" s="164"/>
    </row>
    <row r="27" spans="1:15" ht="33.65" customHeight="1">
      <c r="A27" s="162"/>
      <c r="E27" s="164"/>
      <c r="F27" s="164"/>
    </row>
    <row r="28" spans="1:15" ht="33.65" customHeight="1">
      <c r="A28" s="162"/>
      <c r="E28" s="164"/>
      <c r="F28" s="164"/>
    </row>
    <row r="29" spans="1:15">
      <c r="A29" s="2318" t="s">
        <v>62</v>
      </c>
      <c r="B29" s="2318"/>
      <c r="C29" s="2318"/>
      <c r="D29" s="2318"/>
      <c r="E29" s="2318"/>
      <c r="F29" s="2318"/>
      <c r="G29" s="2318"/>
      <c r="H29" s="2318"/>
      <c r="I29" s="2318"/>
      <c r="J29" s="2318"/>
      <c r="K29" s="2318"/>
      <c r="L29" s="2318"/>
      <c r="M29" s="2318"/>
    </row>
    <row r="30" spans="1:15" ht="33.65" customHeight="1">
      <c r="A30" s="42" t="s">
        <v>63</v>
      </c>
      <c r="C30" s="2733"/>
      <c r="D30" s="2733"/>
      <c r="E30" s="2733"/>
      <c r="F30" s="2733"/>
      <c r="G30" s="2733"/>
      <c r="H30" s="2733"/>
      <c r="I30" s="2733"/>
      <c r="J30" s="2733"/>
      <c r="K30" s="2733"/>
      <c r="L30" s="2733"/>
    </row>
    <row r="31" spans="1:15"/>
    <row r="32" spans="1:15">
      <c r="A32" s="45" t="s">
        <v>66</v>
      </c>
    </row>
    <row r="33" spans="1:15">
      <c r="A33" s="42" t="s">
        <v>65</v>
      </c>
    </row>
    <row r="34" spans="1:15">
      <c r="A34" s="42" t="s">
        <v>64</v>
      </c>
    </row>
    <row r="35" spans="1:15"/>
    <row r="36" spans="1:15" ht="23.5" thickBot="1">
      <c r="A36" s="17" t="s">
        <v>236</v>
      </c>
      <c r="B36" s="17"/>
      <c r="C36" s="17"/>
      <c r="D36" s="17"/>
      <c r="E36" s="17"/>
      <c r="F36" s="17"/>
      <c r="G36" s="17"/>
      <c r="H36" s="17"/>
      <c r="I36" s="17"/>
      <c r="J36" s="17"/>
      <c r="K36" s="17"/>
      <c r="L36" s="17"/>
      <c r="M36" s="17"/>
      <c r="N36" s="17"/>
      <c r="O36" s="19"/>
    </row>
    <row r="37" spans="1:15" ht="23">
      <c r="A37" s="4"/>
      <c r="B37" s="4"/>
      <c r="C37" s="4"/>
      <c r="D37" s="4"/>
      <c r="E37" s="4"/>
      <c r="F37" s="4"/>
      <c r="G37" s="4"/>
      <c r="H37" s="4"/>
      <c r="I37" s="4"/>
      <c r="J37" s="4"/>
      <c r="K37" s="4"/>
      <c r="L37" s="4"/>
      <c r="M37" s="4"/>
      <c r="N37" s="4"/>
      <c r="O37" s="4"/>
    </row>
    <row r="38" spans="1:15" ht="23">
      <c r="A38" s="3" t="s">
        <v>97</v>
      </c>
      <c r="B38" s="4"/>
      <c r="C38" s="4"/>
      <c r="D38" s="4"/>
      <c r="E38" s="4"/>
      <c r="F38" s="4"/>
      <c r="G38" s="4"/>
      <c r="H38" s="4"/>
      <c r="I38" s="2749"/>
      <c r="J38" s="2749"/>
      <c r="K38" s="4"/>
      <c r="L38" s="4"/>
      <c r="M38" s="4"/>
    </row>
    <row r="39" spans="1:15" ht="23">
      <c r="A39" s="4"/>
      <c r="B39" s="4"/>
      <c r="C39" s="4"/>
      <c r="D39" s="4"/>
      <c r="E39" s="4"/>
      <c r="F39" s="4"/>
      <c r="G39" s="4"/>
      <c r="H39" s="4"/>
      <c r="I39" s="4"/>
      <c r="J39" s="4"/>
      <c r="K39" s="4"/>
      <c r="L39" s="4"/>
      <c r="M39" s="4"/>
      <c r="N39" s="4"/>
      <c r="O39" s="4"/>
    </row>
    <row r="40" spans="1:15">
      <c r="A40" s="46" t="s">
        <v>221</v>
      </c>
      <c r="B40" s="46"/>
      <c r="C40" s="46"/>
      <c r="D40" s="46"/>
      <c r="E40" s="46"/>
      <c r="F40" s="46"/>
      <c r="G40" s="46"/>
      <c r="H40" s="46"/>
      <c r="I40" s="46"/>
      <c r="J40" s="46"/>
      <c r="K40" s="46"/>
      <c r="L40" s="46"/>
      <c r="M40" s="46"/>
      <c r="N40" s="46"/>
    </row>
    <row r="41" spans="1:15">
      <c r="A41" s="48"/>
      <c r="B41" s="49"/>
      <c r="C41" s="49"/>
      <c r="D41" s="49"/>
      <c r="E41" s="49"/>
      <c r="F41" s="49"/>
      <c r="G41" s="49"/>
      <c r="H41" s="49"/>
      <c r="I41" s="49"/>
      <c r="J41" s="49"/>
      <c r="K41" s="49"/>
      <c r="L41" s="49"/>
      <c r="M41" s="49"/>
      <c r="N41" s="49"/>
    </row>
    <row r="42" spans="1:15">
      <c r="A42" s="54" t="s">
        <v>95</v>
      </c>
    </row>
    <row r="43" spans="1:15">
      <c r="A43" s="50" t="s">
        <v>96</v>
      </c>
    </row>
    <row r="44" spans="1:15">
      <c r="A44" s="50"/>
    </row>
    <row r="45" spans="1:15">
      <c r="A45" s="50"/>
      <c r="E45" s="2747"/>
      <c r="F45" s="2747"/>
    </row>
    <row r="46" spans="1:15">
      <c r="A46" s="50"/>
    </row>
    <row r="47" spans="1:15">
      <c r="A47" s="50"/>
    </row>
    <row r="48" spans="1:15">
      <c r="A48" s="50"/>
    </row>
    <row r="49" spans="1:7">
      <c r="A49" s="50"/>
      <c r="B49" s="42" t="s">
        <v>110</v>
      </c>
      <c r="E49" s="96"/>
      <c r="F49" s="42" t="s">
        <v>101</v>
      </c>
      <c r="G49" s="42" t="str">
        <f>IF(OR(E49=""),"",'Air Flow References'!P16)</f>
        <v/>
      </c>
    </row>
    <row r="50" spans="1:7">
      <c r="A50" s="50"/>
    </row>
    <row r="51" spans="1:7">
      <c r="A51" s="50"/>
      <c r="B51" s="42" t="s">
        <v>111</v>
      </c>
      <c r="E51" s="96"/>
      <c r="F51" s="56" t="s">
        <v>101</v>
      </c>
      <c r="G51" s="42" t="str">
        <f>IF(OR(E51=""),"",'Air Flow References'!P17)</f>
        <v/>
      </c>
    </row>
    <row r="52" spans="1:7">
      <c r="A52" s="50"/>
    </row>
    <row r="53" spans="1:7">
      <c r="A53" s="54" t="s">
        <v>102</v>
      </c>
    </row>
    <row r="54" spans="1:7">
      <c r="A54" s="54"/>
    </row>
    <row r="55" spans="1:7">
      <c r="A55" s="50" t="s">
        <v>112</v>
      </c>
      <c r="E55" s="96"/>
      <c r="F55" s="42" t="s">
        <v>106</v>
      </c>
      <c r="G55" s="42" t="str">
        <f>IF(OR(E55=""),"",'Air Flow References'!P18)</f>
        <v/>
      </c>
    </row>
    <row r="56" spans="1:7">
      <c r="A56" s="50"/>
    </row>
    <row r="57" spans="1:7">
      <c r="A57" s="50" t="s">
        <v>113</v>
      </c>
      <c r="E57" s="96"/>
      <c r="F57" s="42" t="s">
        <v>101</v>
      </c>
      <c r="G57" s="42" t="str">
        <f>IF(OR(E57=""),"",'Air Flow References'!P19)</f>
        <v/>
      </c>
    </row>
    <row r="58" spans="1:7">
      <c r="A58" s="50"/>
    </row>
    <row r="59" spans="1:7">
      <c r="A59" s="50" t="s">
        <v>114</v>
      </c>
      <c r="E59" s="96"/>
      <c r="F59" s="42" t="s">
        <v>101</v>
      </c>
      <c r="G59" s="42" t="str">
        <f>IF(OR(E59=""),"",'Air Flow References'!P20)</f>
        <v/>
      </c>
    </row>
    <row r="60" spans="1:7">
      <c r="A60" s="50"/>
    </row>
    <row r="61" spans="1:7">
      <c r="A61" s="50" t="s">
        <v>115</v>
      </c>
      <c r="E61" s="98" t="str">
        <f>IF(OR(E57="",E59=""),"",E57-E59)</f>
        <v/>
      </c>
      <c r="F61" s="42" t="s">
        <v>101</v>
      </c>
    </row>
    <row r="62" spans="1:7">
      <c r="A62" s="50"/>
    </row>
    <row r="63" spans="1:7">
      <c r="A63" s="57" t="s">
        <v>116</v>
      </c>
    </row>
    <row r="64" spans="1:7">
      <c r="A64" s="50"/>
    </row>
    <row r="65" spans="1:15">
      <c r="A65" s="58" t="s">
        <v>117</v>
      </c>
      <c r="B65" s="59"/>
      <c r="C65" s="59"/>
      <c r="D65" s="59"/>
      <c r="E65" s="59"/>
      <c r="F65" s="59"/>
      <c r="G65" s="59"/>
      <c r="H65" s="59"/>
      <c r="I65" s="59"/>
      <c r="J65" s="59"/>
      <c r="K65" s="59"/>
      <c r="L65" s="59"/>
      <c r="M65" s="59"/>
      <c r="N65" s="59"/>
    </row>
    <row r="66" spans="1:15">
      <c r="A66" s="46" t="s">
        <v>222</v>
      </c>
      <c r="B66" s="46"/>
      <c r="C66" s="46"/>
      <c r="D66" s="46"/>
      <c r="E66" s="46"/>
      <c r="F66" s="46"/>
      <c r="G66" s="46"/>
      <c r="H66" s="46"/>
      <c r="I66" s="46"/>
      <c r="J66" s="46"/>
      <c r="K66" s="46"/>
      <c r="L66" s="46"/>
      <c r="M66" s="46"/>
      <c r="N66" s="46"/>
      <c r="O66" s="47"/>
    </row>
    <row r="67" spans="1:15">
      <c r="A67" s="48"/>
      <c r="B67" s="49"/>
      <c r="C67" s="49"/>
      <c r="D67" s="49"/>
      <c r="E67" s="49"/>
      <c r="F67" s="49"/>
      <c r="G67" s="49"/>
      <c r="H67" s="49"/>
      <c r="I67" s="49"/>
      <c r="J67" s="49"/>
      <c r="K67" s="49"/>
      <c r="L67" s="49"/>
      <c r="M67" s="49"/>
      <c r="N67" s="49"/>
    </row>
    <row r="68" spans="1:15">
      <c r="A68" s="50" t="s">
        <v>68</v>
      </c>
    </row>
    <row r="69" spans="1:15" ht="9.75" customHeight="1">
      <c r="A69" s="50"/>
    </row>
    <row r="70" spans="1:15" ht="15.75" customHeight="1">
      <c r="A70" s="50"/>
      <c r="E70" s="2734"/>
      <c r="F70" s="2734"/>
      <c r="G70" s="42" t="s">
        <v>69</v>
      </c>
    </row>
    <row r="71" spans="1:15">
      <c r="A71" s="50"/>
    </row>
    <row r="72" spans="1:15">
      <c r="A72" s="50" t="s">
        <v>70</v>
      </c>
      <c r="C72" s="74"/>
      <c r="E72" s="42" t="s">
        <v>71</v>
      </c>
      <c r="F72" s="74"/>
    </row>
    <row r="73" spans="1:15">
      <c r="A73" s="50"/>
    </row>
    <row r="74" spans="1:15">
      <c r="A74" s="50"/>
    </row>
    <row r="75" spans="1:15">
      <c r="A75" s="50" t="s">
        <v>81</v>
      </c>
    </row>
    <row r="76" spans="1:15">
      <c r="A76" s="50"/>
    </row>
    <row r="77" spans="1:15">
      <c r="A77" s="50"/>
    </row>
    <row r="78" spans="1:15">
      <c r="A78" s="50" t="s">
        <v>82</v>
      </c>
    </row>
    <row r="79" spans="1:15">
      <c r="A79" s="50"/>
    </row>
    <row r="80" spans="1:15">
      <c r="A80" s="50"/>
    </row>
    <row r="81" spans="1:15">
      <c r="A81" s="50" t="s">
        <v>83</v>
      </c>
      <c r="C81" s="74"/>
      <c r="D81" s="42" t="s">
        <v>84</v>
      </c>
    </row>
    <row r="82" spans="1:15">
      <c r="A82" s="50"/>
    </row>
    <row r="83" spans="1:15">
      <c r="A83" s="50" t="s">
        <v>85</v>
      </c>
      <c r="D83" s="96"/>
      <c r="E83" s="42" t="s">
        <v>86</v>
      </c>
      <c r="F83" s="42" t="s">
        <v>87</v>
      </c>
      <c r="G83" s="96"/>
      <c r="H83" s="42" t="s">
        <v>84</v>
      </c>
      <c r="I83" s="42" t="s">
        <v>88</v>
      </c>
      <c r="J83" s="96"/>
      <c r="K83" s="42" t="s">
        <v>89</v>
      </c>
      <c r="L83" s="51" t="s">
        <v>90</v>
      </c>
      <c r="M83" s="96"/>
      <c r="N83" s="42" t="s">
        <v>91</v>
      </c>
    </row>
    <row r="84" spans="1:15">
      <c r="A84" s="50"/>
      <c r="L84" s="51"/>
    </row>
    <row r="85" spans="1:15">
      <c r="A85" s="50" t="s">
        <v>183</v>
      </c>
      <c r="D85" s="96"/>
      <c r="E85" s="42" t="s">
        <v>86</v>
      </c>
      <c r="F85" s="42" t="s">
        <v>87</v>
      </c>
      <c r="G85" s="96"/>
      <c r="H85" s="42" t="s">
        <v>84</v>
      </c>
      <c r="I85" s="42" t="s">
        <v>88</v>
      </c>
      <c r="J85" s="96"/>
      <c r="K85" s="42" t="s">
        <v>89</v>
      </c>
      <c r="L85" s="51" t="s">
        <v>90</v>
      </c>
      <c r="M85" s="96"/>
      <c r="N85" s="42" t="s">
        <v>91</v>
      </c>
    </row>
    <row r="86" spans="1:15">
      <c r="A86" s="50"/>
    </row>
    <row r="87" spans="1:15">
      <c r="A87" s="52" t="s">
        <v>242</v>
      </c>
      <c r="M87" s="96"/>
      <c r="N87" s="42" t="s">
        <v>91</v>
      </c>
    </row>
    <row r="88" spans="1:15">
      <c r="A88" s="50"/>
    </row>
    <row r="89" spans="1:15">
      <c r="A89" s="2745" t="s">
        <v>92</v>
      </c>
      <c r="B89" s="2738"/>
      <c r="C89" s="2738"/>
      <c r="D89" s="2738"/>
      <c r="E89" s="2746"/>
      <c r="F89" s="2743" t="s">
        <v>93</v>
      </c>
      <c r="G89" s="2743"/>
      <c r="H89" s="2743"/>
      <c r="I89" s="2743"/>
      <c r="J89" s="2743"/>
      <c r="K89" s="2743"/>
      <c r="L89" s="53"/>
      <c r="M89" s="2754" t="str">
        <f>IF(AND(M83="",M85="",M87=""),"",M83+M85+M87)</f>
        <v/>
      </c>
      <c r="N89" s="2738" t="s">
        <v>91</v>
      </c>
    </row>
    <row r="90" spans="1:15">
      <c r="A90" s="2745"/>
      <c r="B90" s="2738"/>
      <c r="C90" s="2738"/>
      <c r="D90" s="2738"/>
      <c r="E90" s="2746"/>
      <c r="F90" s="2743"/>
      <c r="G90" s="2743"/>
      <c r="H90" s="2743"/>
      <c r="I90" s="2743"/>
      <c r="J90" s="2743"/>
      <c r="K90" s="2743"/>
      <c r="L90" s="53"/>
      <c r="M90" s="2755"/>
      <c r="N90" s="2738"/>
    </row>
    <row r="91" spans="1:15">
      <c r="A91" s="50"/>
    </row>
    <row r="92" spans="1:15">
      <c r="A92" s="45" t="s">
        <v>94</v>
      </c>
    </row>
    <row r="93" spans="1:15">
      <c r="A93" s="46" t="s">
        <v>260</v>
      </c>
      <c r="B93" s="46"/>
      <c r="C93" s="46"/>
      <c r="D93" s="46"/>
      <c r="E93" s="46"/>
      <c r="F93" s="46"/>
      <c r="G93" s="46"/>
      <c r="H93" s="46"/>
      <c r="I93" s="46"/>
      <c r="J93" s="46"/>
      <c r="K93" s="46"/>
      <c r="L93" s="46"/>
      <c r="M93" s="46"/>
      <c r="N93" s="46"/>
      <c r="O93" s="47"/>
    </row>
    <row r="94" spans="1:15">
      <c r="A94" s="48"/>
      <c r="B94" s="49"/>
      <c r="C94" s="49"/>
      <c r="D94" s="49"/>
      <c r="E94" s="49"/>
      <c r="F94" s="49"/>
      <c r="G94" s="49"/>
      <c r="H94" s="49"/>
      <c r="I94" s="49"/>
      <c r="J94" s="49"/>
      <c r="K94" s="49"/>
      <c r="L94" s="49"/>
      <c r="M94" s="49"/>
      <c r="N94" s="49"/>
    </row>
    <row r="95" spans="1:15">
      <c r="A95" s="54" t="s">
        <v>95</v>
      </c>
    </row>
    <row r="96" spans="1:15">
      <c r="A96" s="50" t="s">
        <v>96</v>
      </c>
    </row>
    <row r="97" spans="1:7">
      <c r="A97" s="50"/>
    </row>
    <row r="98" spans="1:7">
      <c r="A98" s="50"/>
      <c r="E98" s="2747"/>
      <c r="F98" s="2747"/>
    </row>
    <row r="99" spans="1:7">
      <c r="A99" s="50"/>
    </row>
    <row r="100" spans="1:7">
      <c r="A100" s="50"/>
    </row>
    <row r="101" spans="1:7">
      <c r="A101" s="50"/>
      <c r="B101" s="42" t="s">
        <v>98</v>
      </c>
      <c r="E101" s="96"/>
      <c r="F101" s="42" t="s">
        <v>399</v>
      </c>
      <c r="G101" s="172" t="str">
        <f>IF(OR(E101=""),"",'Air Flow References'!P28)</f>
        <v/>
      </c>
    </row>
    <row r="102" spans="1:7">
      <c r="A102" s="50"/>
      <c r="B102" s="42" t="s">
        <v>398</v>
      </c>
      <c r="E102" s="167"/>
      <c r="G102" s="55"/>
    </row>
    <row r="103" spans="1:7">
      <c r="A103" s="50"/>
    </row>
    <row r="104" spans="1:7">
      <c r="A104" s="50"/>
      <c r="B104" s="42" t="s">
        <v>99</v>
      </c>
      <c r="E104" s="96"/>
      <c r="F104" s="42" t="s">
        <v>101</v>
      </c>
      <c r="G104" s="42" t="str">
        <f>IF(OR(E104=""),"",'Air Flow References'!P29)</f>
        <v/>
      </c>
    </row>
    <row r="105" spans="1:7">
      <c r="A105" s="50"/>
    </row>
    <row r="106" spans="1:7">
      <c r="A106" s="50"/>
      <c r="B106" s="42" t="s">
        <v>100</v>
      </c>
      <c r="E106" s="96"/>
      <c r="F106" s="56" t="s">
        <v>101</v>
      </c>
      <c r="G106" s="42" t="str">
        <f>IF(OR(E106=""),"",'Air Flow References'!P30)</f>
        <v/>
      </c>
    </row>
    <row r="107" spans="1:7">
      <c r="A107" s="50"/>
    </row>
    <row r="108" spans="1:7">
      <c r="A108" s="50"/>
    </row>
    <row r="109" spans="1:7">
      <c r="A109" s="54" t="s">
        <v>102</v>
      </c>
    </row>
    <row r="110" spans="1:7">
      <c r="A110" s="50"/>
    </row>
    <row r="111" spans="1:7">
      <c r="A111" s="50" t="s">
        <v>103</v>
      </c>
      <c r="E111" s="96"/>
      <c r="F111" s="42" t="s">
        <v>106</v>
      </c>
      <c r="G111" s="42" t="str">
        <f>IF(OR(E111=""),"",'Air Flow References'!P31)</f>
        <v/>
      </c>
    </row>
    <row r="112" spans="1:7">
      <c r="A112" s="50"/>
    </row>
    <row r="113" spans="1:15">
      <c r="A113" s="50" t="s">
        <v>104</v>
      </c>
      <c r="E113" s="96"/>
      <c r="F113" s="56" t="s">
        <v>101</v>
      </c>
      <c r="G113" s="42" t="str">
        <f>IF(OR(E113=""),"",'Air Flow References'!P32)</f>
        <v/>
      </c>
    </row>
    <row r="114" spans="1:15">
      <c r="A114" s="50"/>
    </row>
    <row r="115" spans="1:15">
      <c r="A115" s="50" t="s">
        <v>105</v>
      </c>
      <c r="E115" s="96"/>
      <c r="F115" s="56" t="s">
        <v>101</v>
      </c>
      <c r="G115" s="42" t="str">
        <f>IF(OR(E115=""),"",'Air Flow References'!P33)</f>
        <v/>
      </c>
    </row>
    <row r="116" spans="1:15">
      <c r="A116" s="50"/>
    </row>
    <row r="117" spans="1:15">
      <c r="A117" s="50" t="s">
        <v>107</v>
      </c>
      <c r="E117" s="98" t="str">
        <f>IF(OR(E113="",E115=""),"",E115-E113)</f>
        <v/>
      </c>
      <c r="F117" s="56" t="s">
        <v>101</v>
      </c>
    </row>
    <row r="118" spans="1:15">
      <c r="A118" s="50"/>
    </row>
    <row r="119" spans="1:15">
      <c r="A119" s="57" t="s">
        <v>108</v>
      </c>
    </row>
    <row r="120" spans="1:15">
      <c r="A120" s="50"/>
    </row>
    <row r="121" spans="1:15">
      <c r="A121" s="45" t="s">
        <v>109</v>
      </c>
    </row>
    <row r="122" spans="1:15">
      <c r="A122" s="46" t="s">
        <v>847</v>
      </c>
      <c r="B122" s="46"/>
      <c r="C122" s="46"/>
      <c r="D122" s="46"/>
      <c r="E122" s="46"/>
      <c r="F122" s="46"/>
      <c r="G122" s="46"/>
      <c r="H122" s="46"/>
      <c r="I122" s="46"/>
      <c r="J122" s="46"/>
      <c r="K122" s="46"/>
      <c r="L122" s="46"/>
      <c r="M122" s="46"/>
      <c r="N122" s="46"/>
      <c r="O122" s="47"/>
    </row>
    <row r="123" spans="1:15">
      <c r="A123" s="48"/>
      <c r="B123" s="49"/>
      <c r="C123" s="49"/>
      <c r="D123" s="49"/>
      <c r="E123" s="49"/>
      <c r="F123" s="49"/>
      <c r="G123" s="49"/>
      <c r="H123" s="49"/>
      <c r="I123" s="49"/>
      <c r="J123" s="49"/>
      <c r="K123" s="49"/>
      <c r="L123" s="49"/>
      <c r="M123" s="49"/>
      <c r="N123" s="49"/>
    </row>
    <row r="124" spans="1:15">
      <c r="A124" s="50" t="s">
        <v>68</v>
      </c>
    </row>
    <row r="125" spans="1:15" ht="9.75" customHeight="1">
      <c r="A125" s="50"/>
    </row>
    <row r="126" spans="1:15" ht="15.75" customHeight="1">
      <c r="A126" s="50"/>
      <c r="E126" s="2734"/>
      <c r="F126" s="2734"/>
      <c r="G126" s="42" t="s">
        <v>69</v>
      </c>
    </row>
    <row r="127" spans="1:15">
      <c r="A127" s="2742" t="s">
        <v>2014</v>
      </c>
      <c r="B127" s="2624"/>
    </row>
    <row r="128" spans="1:15">
      <c r="A128" s="2742"/>
      <c r="B128" s="2624"/>
      <c r="C128" s="663"/>
      <c r="E128" s="42" t="s">
        <v>71</v>
      </c>
      <c r="F128" s="663"/>
    </row>
    <row r="129" spans="1:14">
      <c r="A129" s="50"/>
    </row>
    <row r="130" spans="1:14">
      <c r="A130" s="50"/>
    </row>
    <row r="131" spans="1:14">
      <c r="A131" s="50" t="s">
        <v>81</v>
      </c>
      <c r="E131" s="74"/>
    </row>
    <row r="132" spans="1:14">
      <c r="A132" s="50"/>
    </row>
    <row r="133" spans="1:14">
      <c r="A133" s="50"/>
    </row>
    <row r="134" spans="1:14">
      <c r="A134" s="50" t="s">
        <v>82</v>
      </c>
      <c r="E134" s="74"/>
    </row>
    <row r="135" spans="1:14">
      <c r="A135" s="50"/>
    </row>
    <row r="136" spans="1:14">
      <c r="A136" s="50"/>
    </row>
    <row r="137" spans="1:14">
      <c r="A137" s="50" t="s">
        <v>2015</v>
      </c>
      <c r="C137" s="663"/>
      <c r="D137" s="42" t="s">
        <v>84</v>
      </c>
    </row>
    <row r="138" spans="1:14">
      <c r="A138" s="50"/>
    </row>
    <row r="139" spans="1:14">
      <c r="A139" s="50" t="s">
        <v>85</v>
      </c>
      <c r="D139" s="661"/>
      <c r="E139" s="42" t="s">
        <v>86</v>
      </c>
      <c r="F139" s="42" t="s">
        <v>87</v>
      </c>
      <c r="G139" s="661"/>
      <c r="H139" s="42" t="s">
        <v>84</v>
      </c>
      <c r="I139" s="42" t="s">
        <v>88</v>
      </c>
      <c r="J139" s="661"/>
      <c r="K139" s="42" t="s">
        <v>89</v>
      </c>
      <c r="L139" s="51" t="s">
        <v>90</v>
      </c>
      <c r="M139" s="661"/>
      <c r="N139" s="42" t="s">
        <v>91</v>
      </c>
    </row>
    <row r="140" spans="1:14">
      <c r="A140" s="50"/>
      <c r="L140" s="51"/>
    </row>
    <row r="141" spans="1:14">
      <c r="A141" s="50" t="s">
        <v>183</v>
      </c>
      <c r="D141" s="661"/>
      <c r="E141" s="42" t="s">
        <v>86</v>
      </c>
      <c r="F141" s="42" t="s">
        <v>87</v>
      </c>
      <c r="G141" s="661"/>
      <c r="H141" s="42" t="s">
        <v>84</v>
      </c>
      <c r="I141" s="42" t="s">
        <v>88</v>
      </c>
      <c r="J141" s="661"/>
      <c r="K141" s="42" t="s">
        <v>89</v>
      </c>
      <c r="L141" s="51" t="s">
        <v>90</v>
      </c>
      <c r="M141" s="661"/>
      <c r="N141" s="42" t="s">
        <v>91</v>
      </c>
    </row>
    <row r="142" spans="1:14">
      <c r="A142" s="50"/>
    </row>
    <row r="143" spans="1:14">
      <c r="A143" s="52" t="s">
        <v>242</v>
      </c>
      <c r="M143" s="661"/>
      <c r="N143" s="42" t="s">
        <v>91</v>
      </c>
    </row>
    <row r="144" spans="1:14">
      <c r="A144" s="50"/>
    </row>
    <row r="145" spans="1:15">
      <c r="A145" s="2745" t="s">
        <v>92</v>
      </c>
      <c r="B145" s="2738"/>
      <c r="C145" s="2738"/>
      <c r="D145" s="2738"/>
      <c r="E145" s="2746"/>
      <c r="F145" s="2743" t="s">
        <v>93</v>
      </c>
      <c r="G145" s="2743"/>
      <c r="H145" s="2743"/>
      <c r="I145" s="2743"/>
      <c r="J145" s="2743"/>
      <c r="K145" s="2743"/>
      <c r="L145" s="53"/>
      <c r="M145" s="2754" t="str">
        <f>IF(AND(M139="",M141="",M143=""),"",M139+M141+M143)</f>
        <v/>
      </c>
      <c r="N145" s="2738" t="s">
        <v>91</v>
      </c>
    </row>
    <row r="146" spans="1:15">
      <c r="A146" s="2745"/>
      <c r="B146" s="2738"/>
      <c r="C146" s="2738"/>
      <c r="D146" s="2738"/>
      <c r="E146" s="2746"/>
      <c r="F146" s="2743"/>
      <c r="G146" s="2743"/>
      <c r="H146" s="2743"/>
      <c r="I146" s="2743"/>
      <c r="J146" s="2743"/>
      <c r="K146" s="2743"/>
      <c r="L146" s="53"/>
      <c r="M146" s="2755"/>
      <c r="N146" s="2738"/>
    </row>
    <row r="147" spans="1:15">
      <c r="A147" s="50"/>
    </row>
    <row r="148" spans="1:15">
      <c r="A148" s="45" t="s">
        <v>94</v>
      </c>
    </row>
    <row r="149" spans="1:15"/>
    <row r="150" spans="1:15"/>
    <row r="151" spans="1:15"/>
    <row r="152" spans="1:15" ht="14.5" customHeight="1">
      <c r="A152" s="49" t="s">
        <v>223</v>
      </c>
      <c r="B152" s="49"/>
      <c r="C152" s="49" t="str">
        <f>Development!$A$4&amp;"_"&amp;Development!$A$2</f>
        <v>4.01.2024_2.0</v>
      </c>
      <c r="D152" s="49"/>
      <c r="E152" s="49"/>
      <c r="F152" s="49"/>
      <c r="G152" s="49"/>
      <c r="H152" s="49"/>
      <c r="I152" s="49"/>
      <c r="J152" s="49"/>
      <c r="K152" s="49"/>
      <c r="L152" s="49"/>
      <c r="M152" s="49" t="s">
        <v>225</v>
      </c>
      <c r="N152" s="49" t="str">
        <f>Development!A4</f>
        <v>4.01.2024</v>
      </c>
      <c r="O152" s="49"/>
    </row>
  </sheetData>
  <sheetProtection algorithmName="SHA-512" hashValue="+iO7IztSDHUxwUdF1eS+CcoxI75oKj3gUZVSPwd2ejT6tU5xPVe+XCJdcGQkC6GlMRIG+ywIMP4M2jUiQheAug==" saltValue="DwIZ5F9WGwez4sOJsSukVA==" spinCount="100000" sheet="1" objects="1" scenarios="1"/>
  <mergeCells count="28">
    <mergeCell ref="A1:J1"/>
    <mergeCell ref="A2:J2"/>
    <mergeCell ref="E15:F15"/>
    <mergeCell ref="M15:N15"/>
    <mergeCell ref="A18:D18"/>
    <mergeCell ref="E18:F18"/>
    <mergeCell ref="H5:I5"/>
    <mergeCell ref="H7:I7"/>
    <mergeCell ref="E20:F20"/>
    <mergeCell ref="M18:N18"/>
    <mergeCell ref="E22:F22"/>
    <mergeCell ref="A29:M29"/>
    <mergeCell ref="I38:J38"/>
    <mergeCell ref="C30:L30"/>
    <mergeCell ref="E25:F25"/>
    <mergeCell ref="M145:M146"/>
    <mergeCell ref="N145:N146"/>
    <mergeCell ref="E98:F98"/>
    <mergeCell ref="E45:F45"/>
    <mergeCell ref="E70:F70"/>
    <mergeCell ref="A89:E90"/>
    <mergeCell ref="F89:K90"/>
    <mergeCell ref="E126:F126"/>
    <mergeCell ref="A145:E146"/>
    <mergeCell ref="F145:K146"/>
    <mergeCell ref="M89:M90"/>
    <mergeCell ref="N89:N90"/>
    <mergeCell ref="A127:B128"/>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rowBreaks count="1" manualBreakCount="1">
    <brk id="65" max="82" man="1"/>
  </rowBreaks>
  <drawing r:id="rId2"/>
  <legacyDrawing r:id="rId3"/>
  <controls>
    <mc:AlternateContent xmlns:mc="http://schemas.openxmlformats.org/markup-compatibility/2006">
      <mc:Choice Requires="x14">
        <control shapeId="38913" r:id="rId4" name="OptionButton1">
          <controlPr defaultSize="0" autoLine="0" autoPict="0" r:id="rId5">
            <anchor moveWithCells="1">
              <from>
                <xdr:col>2</xdr:col>
                <xdr:colOff>850900</xdr:colOff>
                <xdr:row>19</xdr:row>
                <xdr:rowOff>266700</xdr:rowOff>
              </from>
              <to>
                <xdr:col>5</xdr:col>
                <xdr:colOff>438150</xdr:colOff>
                <xdr:row>20</xdr:row>
                <xdr:rowOff>190500</xdr:rowOff>
              </to>
            </anchor>
          </controlPr>
        </control>
      </mc:Choice>
      <mc:Fallback>
        <control shapeId="38913" r:id="rId4" name="OptionButton1"/>
      </mc:Fallback>
    </mc:AlternateContent>
    <mc:AlternateContent xmlns:mc="http://schemas.openxmlformats.org/markup-compatibility/2006">
      <mc:Choice Requires="x14">
        <control shapeId="38914" r:id="rId6" name="OptionButton2">
          <controlPr defaultSize="0" autoLine="0" r:id="rId7">
            <anchor moveWithCells="1">
              <from>
                <xdr:col>6</xdr:col>
                <xdr:colOff>0</xdr:colOff>
                <xdr:row>19</xdr:row>
                <xdr:rowOff>260350</xdr:rowOff>
              </from>
              <to>
                <xdr:col>10</xdr:col>
                <xdr:colOff>196850</xdr:colOff>
                <xdr:row>20</xdr:row>
                <xdr:rowOff>260350</xdr:rowOff>
              </to>
            </anchor>
          </controlPr>
        </control>
      </mc:Choice>
      <mc:Fallback>
        <control shapeId="38914" r:id="rId6" name="OptionButton2"/>
      </mc:Fallback>
    </mc:AlternateContent>
    <mc:AlternateContent xmlns:mc="http://schemas.openxmlformats.org/markup-compatibility/2006">
      <mc:Choice Requires="x14">
        <control shapeId="38930" r:id="rId8" name="OptionButton7">
          <controlPr defaultSize="0" autoLine="0" r:id="rId9">
            <anchor moveWithCells="1">
              <from>
                <xdr:col>1</xdr:col>
                <xdr:colOff>0</xdr:colOff>
                <xdr:row>97</xdr:row>
                <xdr:rowOff>0</xdr:rowOff>
              </from>
              <to>
                <xdr:col>1</xdr:col>
                <xdr:colOff>641350</xdr:colOff>
                <xdr:row>98</xdr:row>
                <xdr:rowOff>82550</xdr:rowOff>
              </to>
            </anchor>
          </controlPr>
        </control>
      </mc:Choice>
      <mc:Fallback>
        <control shapeId="38930" r:id="rId8" name="OptionButton7"/>
      </mc:Fallback>
    </mc:AlternateContent>
    <mc:AlternateContent xmlns:mc="http://schemas.openxmlformats.org/markup-compatibility/2006">
      <mc:Choice Requires="x14">
        <control shapeId="38939" r:id="rId10" name="OptionButton10">
          <controlPr defaultSize="0" autoLine="0" r:id="rId11">
            <anchor moveWithCells="1">
              <from>
                <xdr:col>1</xdr:col>
                <xdr:colOff>146050</xdr:colOff>
                <xdr:row>44</xdr:row>
                <xdr:rowOff>0</xdr:rowOff>
              </from>
              <to>
                <xdr:col>2</xdr:col>
                <xdr:colOff>120650</xdr:colOff>
                <xdr:row>45</xdr:row>
                <xdr:rowOff>82550</xdr:rowOff>
              </to>
            </anchor>
          </controlPr>
        </control>
      </mc:Choice>
      <mc:Fallback>
        <control shapeId="38939" r:id="rId10" name="OptionButton10"/>
      </mc:Fallback>
    </mc:AlternateContent>
    <mc:AlternateContent xmlns:mc="http://schemas.openxmlformats.org/markup-compatibility/2006">
      <mc:Choice Requires="x14">
        <control shapeId="38946" r:id="rId12" name="CommandButton1">
          <controlPr defaultSize="0" autoLine="0" autoPict="0" r:id="rId13">
            <anchor moveWithCells="1">
              <from>
                <xdr:col>11</xdr:col>
                <xdr:colOff>146050</xdr:colOff>
                <xdr:row>147</xdr:row>
                <xdr:rowOff>152400</xdr:rowOff>
              </from>
              <to>
                <xdr:col>14</xdr:col>
                <xdr:colOff>317500</xdr:colOff>
                <xdr:row>150</xdr:row>
                <xdr:rowOff>31750</xdr:rowOff>
              </to>
            </anchor>
          </controlPr>
        </control>
      </mc:Choice>
      <mc:Fallback>
        <control shapeId="38946" r:id="rId12" name="CommandButton1"/>
      </mc:Fallback>
    </mc:AlternateContent>
    <mc:AlternateContent xmlns:mc="http://schemas.openxmlformats.org/markup-compatibility/2006">
      <mc:Choice Requires="x14">
        <control shapeId="38915" r:id="rId14" name="Group Box 3">
          <controlPr defaultSize="0" autoFill="0" autoPict="0">
            <anchor moveWithCells="1">
              <from>
                <xdr:col>0</xdr:col>
                <xdr:colOff>12700</xdr:colOff>
                <xdr:row>20</xdr:row>
                <xdr:rowOff>0</xdr:rowOff>
              </from>
              <to>
                <xdr:col>6</xdr:col>
                <xdr:colOff>450850</xdr:colOff>
                <xdr:row>21</xdr:row>
                <xdr:rowOff>298450</xdr:rowOff>
              </to>
            </anchor>
          </controlPr>
        </control>
      </mc:Choice>
    </mc:AlternateContent>
    <mc:AlternateContent xmlns:mc="http://schemas.openxmlformats.org/markup-compatibility/2006">
      <mc:Choice Requires="x14">
        <control shapeId="38916" r:id="rId15" name="Check Box 4">
          <controlPr defaultSize="0" autoFill="0" autoLine="0" autoPict="0">
            <anchor moveWithCells="1">
              <from>
                <xdr:col>7</xdr:col>
                <xdr:colOff>533400</xdr:colOff>
                <xdr:row>21</xdr:row>
                <xdr:rowOff>165100</xdr:rowOff>
              </from>
              <to>
                <xdr:col>9</xdr:col>
                <xdr:colOff>50800</xdr:colOff>
                <xdr:row>21</xdr:row>
                <xdr:rowOff>476250</xdr:rowOff>
              </to>
            </anchor>
          </controlPr>
        </control>
      </mc:Choice>
    </mc:AlternateContent>
    <mc:AlternateContent xmlns:mc="http://schemas.openxmlformats.org/markup-compatibility/2006">
      <mc:Choice Requires="x14">
        <control shapeId="38917" r:id="rId16" name="Check Box 5">
          <controlPr defaultSize="0" autoFill="0" autoLine="0" autoPict="0">
            <anchor moveWithCells="1">
              <from>
                <xdr:col>9</xdr:col>
                <xdr:colOff>419100</xdr:colOff>
                <xdr:row>21</xdr:row>
                <xdr:rowOff>165100</xdr:rowOff>
              </from>
              <to>
                <xdr:col>10</xdr:col>
                <xdr:colOff>990600</xdr:colOff>
                <xdr:row>21</xdr:row>
                <xdr:rowOff>508000</xdr:rowOff>
              </to>
            </anchor>
          </controlPr>
        </control>
      </mc:Choice>
    </mc:AlternateContent>
    <mc:AlternateContent xmlns:mc="http://schemas.openxmlformats.org/markup-compatibility/2006">
      <mc:Choice Requires="x14">
        <control shapeId="38921" r:id="rId17" name="Group Box 9">
          <controlPr defaultSize="0" autoFill="0" autoPict="0">
            <anchor moveWithCells="1">
              <from>
                <xdr:col>0</xdr:col>
                <xdr:colOff>50800</xdr:colOff>
                <xdr:row>67</xdr:row>
                <xdr:rowOff>0</xdr:rowOff>
              </from>
              <to>
                <xdr:col>3</xdr:col>
                <xdr:colOff>1403350</xdr:colOff>
                <xdr:row>71</xdr:row>
                <xdr:rowOff>152400</xdr:rowOff>
              </to>
            </anchor>
          </controlPr>
        </control>
      </mc:Choice>
    </mc:AlternateContent>
    <mc:AlternateContent xmlns:mc="http://schemas.openxmlformats.org/markup-compatibility/2006">
      <mc:Choice Requires="x14">
        <control shapeId="38922" r:id="rId18" name="Option Button 10">
          <controlPr defaultSize="0" autoFill="0" autoLine="0" autoPict="0">
            <anchor moveWithCells="1">
              <from>
                <xdr:col>4</xdr:col>
                <xdr:colOff>419100</xdr:colOff>
                <xdr:row>74</xdr:row>
                <xdr:rowOff>0</xdr:rowOff>
              </from>
              <to>
                <xdr:col>5</xdr:col>
                <xdr:colOff>50800</xdr:colOff>
                <xdr:row>75</xdr:row>
                <xdr:rowOff>50800</xdr:rowOff>
              </to>
            </anchor>
          </controlPr>
        </control>
      </mc:Choice>
    </mc:AlternateContent>
    <mc:AlternateContent xmlns:mc="http://schemas.openxmlformats.org/markup-compatibility/2006">
      <mc:Choice Requires="x14">
        <control shapeId="38923" r:id="rId19" name="Option Button 11">
          <controlPr defaultSize="0" autoFill="0" autoLine="0" autoPict="0">
            <anchor moveWithCells="1">
              <from>
                <xdr:col>5</xdr:col>
                <xdr:colOff>571500</xdr:colOff>
                <xdr:row>74</xdr:row>
                <xdr:rowOff>12700</xdr:rowOff>
              </from>
              <to>
                <xdr:col>6</xdr:col>
                <xdr:colOff>0</xdr:colOff>
                <xdr:row>75</xdr:row>
                <xdr:rowOff>12700</xdr:rowOff>
              </to>
            </anchor>
          </controlPr>
        </control>
      </mc:Choice>
    </mc:AlternateContent>
    <mc:AlternateContent xmlns:mc="http://schemas.openxmlformats.org/markup-compatibility/2006">
      <mc:Choice Requires="x14">
        <control shapeId="38924" r:id="rId20" name="Group Box 12">
          <controlPr defaultSize="0" autoFill="0" autoPict="0">
            <anchor moveWithCells="1">
              <from>
                <xdr:col>4</xdr:col>
                <xdr:colOff>361950</xdr:colOff>
                <xdr:row>73</xdr:row>
                <xdr:rowOff>12700</xdr:rowOff>
              </from>
              <to>
                <xdr:col>6</xdr:col>
                <xdr:colOff>533400</xdr:colOff>
                <xdr:row>75</xdr:row>
                <xdr:rowOff>165100</xdr:rowOff>
              </to>
            </anchor>
          </controlPr>
        </control>
      </mc:Choice>
    </mc:AlternateContent>
    <mc:AlternateContent xmlns:mc="http://schemas.openxmlformats.org/markup-compatibility/2006">
      <mc:Choice Requires="x14">
        <control shapeId="38925" r:id="rId21" name="Group Box 13">
          <controlPr defaultSize="0" autoFill="0" autoPict="0">
            <anchor moveWithCells="1">
              <from>
                <xdr:col>0</xdr:col>
                <xdr:colOff>374650</xdr:colOff>
                <xdr:row>67</xdr:row>
                <xdr:rowOff>76200</xdr:rowOff>
              </from>
              <to>
                <xdr:col>3</xdr:col>
                <xdr:colOff>1403350</xdr:colOff>
                <xdr:row>71</xdr:row>
                <xdr:rowOff>50800</xdr:rowOff>
              </to>
            </anchor>
          </controlPr>
        </control>
      </mc:Choice>
    </mc:AlternateContent>
    <mc:AlternateContent xmlns:mc="http://schemas.openxmlformats.org/markup-compatibility/2006">
      <mc:Choice Requires="x14">
        <control shapeId="38926" r:id="rId22" name="Option Button 14">
          <controlPr defaultSize="0" autoFill="0" autoLine="0" autoPict="0">
            <anchor moveWithCells="1">
              <from>
                <xdr:col>4</xdr:col>
                <xdr:colOff>419100</xdr:colOff>
                <xdr:row>77</xdr:row>
                <xdr:rowOff>0</xdr:rowOff>
              </from>
              <to>
                <xdr:col>5</xdr:col>
                <xdr:colOff>50800</xdr:colOff>
                <xdr:row>78</xdr:row>
                <xdr:rowOff>50800</xdr:rowOff>
              </to>
            </anchor>
          </controlPr>
        </control>
      </mc:Choice>
    </mc:AlternateContent>
    <mc:AlternateContent xmlns:mc="http://schemas.openxmlformats.org/markup-compatibility/2006">
      <mc:Choice Requires="x14">
        <control shapeId="38927" r:id="rId23" name="Option Button 15">
          <controlPr defaultSize="0" autoFill="0" autoLine="0" autoPict="0">
            <anchor moveWithCells="1">
              <from>
                <xdr:col>5</xdr:col>
                <xdr:colOff>571500</xdr:colOff>
                <xdr:row>77</xdr:row>
                <xdr:rowOff>12700</xdr:rowOff>
              </from>
              <to>
                <xdr:col>6</xdr:col>
                <xdr:colOff>0</xdr:colOff>
                <xdr:row>78</xdr:row>
                <xdr:rowOff>12700</xdr:rowOff>
              </to>
            </anchor>
          </controlPr>
        </control>
      </mc:Choice>
    </mc:AlternateContent>
    <mc:AlternateContent xmlns:mc="http://schemas.openxmlformats.org/markup-compatibility/2006">
      <mc:Choice Requires="x14">
        <control shapeId="38928" r:id="rId24" name="Group Box 16">
          <controlPr defaultSize="0" autoFill="0" autoPict="0">
            <anchor moveWithCells="1">
              <from>
                <xdr:col>4</xdr:col>
                <xdr:colOff>266700</xdr:colOff>
                <xdr:row>76</xdr:row>
                <xdr:rowOff>69850</xdr:rowOff>
              </from>
              <to>
                <xdr:col>6</xdr:col>
                <xdr:colOff>323850</xdr:colOff>
                <xdr:row>79</xdr:row>
                <xdr:rowOff>50800</xdr:rowOff>
              </to>
            </anchor>
          </controlPr>
        </control>
      </mc:Choice>
    </mc:AlternateContent>
    <mc:AlternateContent xmlns:mc="http://schemas.openxmlformats.org/markup-compatibility/2006">
      <mc:Choice Requires="x14">
        <control shapeId="38932" r:id="rId25" name="Group Box 20">
          <controlPr defaultSize="0" autoFill="0" autoPict="0">
            <anchor moveWithCells="1">
              <from>
                <xdr:col>0</xdr:col>
                <xdr:colOff>317500</xdr:colOff>
                <xdr:row>95</xdr:row>
                <xdr:rowOff>209550</xdr:rowOff>
              </from>
              <to>
                <xdr:col>3</xdr:col>
                <xdr:colOff>1403350</xdr:colOff>
                <xdr:row>99</xdr:row>
                <xdr:rowOff>12700</xdr:rowOff>
              </to>
            </anchor>
          </controlPr>
        </control>
      </mc:Choice>
    </mc:AlternateContent>
    <mc:AlternateContent xmlns:mc="http://schemas.openxmlformats.org/markup-compatibility/2006">
      <mc:Choice Requires="x14">
        <control shapeId="38933"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38934" r:id="rId27" name="Option Button 22">
          <controlPr defaultSize="0" autoFill="0" autoLine="0" autoPict="0">
            <anchor moveWithCells="1">
              <from>
                <xdr:col>2</xdr:col>
                <xdr:colOff>889000</xdr:colOff>
                <xdr:row>37</xdr:row>
                <xdr:rowOff>50800</xdr:rowOff>
              </from>
              <to>
                <xdr:col>3</xdr:col>
                <xdr:colOff>1143000</xdr:colOff>
                <xdr:row>38</xdr:row>
                <xdr:rowOff>50800</xdr:rowOff>
              </to>
            </anchor>
          </controlPr>
        </control>
      </mc:Choice>
    </mc:AlternateContent>
    <mc:AlternateContent xmlns:mc="http://schemas.openxmlformats.org/markup-compatibility/2006">
      <mc:Choice Requires="x14">
        <control shapeId="38935" r:id="rId28" name="Option Button 23">
          <controlPr defaultSize="0" autoFill="0" autoLine="0" autoPict="0">
            <anchor moveWithCells="1">
              <from>
                <xdr:col>4</xdr:col>
                <xdr:colOff>114300</xdr:colOff>
                <xdr:row>37</xdr:row>
                <xdr:rowOff>50800</xdr:rowOff>
              </from>
              <to>
                <xdr:col>5</xdr:col>
                <xdr:colOff>527050</xdr:colOff>
                <xdr:row>38</xdr:row>
                <xdr:rowOff>50800</xdr:rowOff>
              </to>
            </anchor>
          </controlPr>
        </control>
      </mc:Choice>
    </mc:AlternateContent>
    <mc:AlternateContent xmlns:mc="http://schemas.openxmlformats.org/markup-compatibility/2006">
      <mc:Choice Requires="x14">
        <control shapeId="38937"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38941" r:id="rId30" name="Group Box 29">
          <controlPr defaultSize="0" autoFill="0" autoPict="0">
            <anchor moveWithCells="1">
              <from>
                <xdr:col>0</xdr:col>
                <xdr:colOff>571500</xdr:colOff>
                <xdr:row>42</xdr:row>
                <xdr:rowOff>209550</xdr:rowOff>
              </from>
              <to>
                <xdr:col>3</xdr:col>
                <xdr:colOff>1403350</xdr:colOff>
                <xdr:row>46</xdr:row>
                <xdr:rowOff>12700</xdr:rowOff>
              </to>
            </anchor>
          </controlPr>
        </control>
      </mc:Choice>
    </mc:AlternateContent>
    <mc:AlternateContent xmlns:mc="http://schemas.openxmlformats.org/markup-compatibility/2006">
      <mc:Choice Requires="x14">
        <control shapeId="39007" r:id="rId31" name="Check Box 95">
          <controlPr defaultSize="0" autoFill="0" autoLine="0" autoPict="0">
            <anchor moveWithCells="1">
              <from>
                <xdr:col>1</xdr:col>
                <xdr:colOff>450850</xdr:colOff>
                <xdr:row>9</xdr:row>
                <xdr:rowOff>107950</xdr:rowOff>
              </from>
              <to>
                <xdr:col>3</xdr:col>
                <xdr:colOff>0</xdr:colOff>
                <xdr:row>9</xdr:row>
                <xdr:rowOff>190500</xdr:rowOff>
              </to>
            </anchor>
          </controlPr>
        </control>
      </mc:Choice>
    </mc:AlternateContent>
    <mc:AlternateContent xmlns:mc="http://schemas.openxmlformats.org/markup-compatibility/2006">
      <mc:Choice Requires="x14">
        <control shapeId="39009" r:id="rId32" name="Check Box 97">
          <controlPr defaultSize="0" autoFill="0" autoLine="0" autoPict="0">
            <anchor moveWithCells="1">
              <from>
                <xdr:col>3</xdr:col>
                <xdr:colOff>12700</xdr:colOff>
                <xdr:row>9</xdr:row>
                <xdr:rowOff>114300</xdr:rowOff>
              </from>
              <to>
                <xdr:col>3</xdr:col>
                <xdr:colOff>666750</xdr:colOff>
                <xdr:row>9</xdr:row>
                <xdr:rowOff>203200</xdr:rowOff>
              </to>
            </anchor>
          </controlPr>
        </control>
      </mc:Choice>
    </mc:AlternateContent>
    <mc:AlternateContent xmlns:mc="http://schemas.openxmlformats.org/markup-compatibility/2006">
      <mc:Choice Requires="x14">
        <control shapeId="39010" r:id="rId33" name="Check Box 98">
          <controlPr defaultSize="0" autoFill="0" autoLine="0" autoPict="0">
            <anchor moveWithCells="1">
              <from>
                <xdr:col>1</xdr:col>
                <xdr:colOff>19050</xdr:colOff>
                <xdr:row>9</xdr:row>
                <xdr:rowOff>107950</xdr:rowOff>
              </from>
              <to>
                <xdr:col>1</xdr:col>
                <xdr:colOff>450850</xdr:colOff>
                <xdr:row>9</xdr:row>
                <xdr:rowOff>203200</xdr:rowOff>
              </to>
            </anchor>
          </controlPr>
        </control>
      </mc:Choice>
    </mc:AlternateContent>
    <mc:AlternateContent xmlns:mc="http://schemas.openxmlformats.org/markup-compatibility/2006">
      <mc:Choice Requires="x14">
        <control shapeId="39064" r:id="rId34" name="Check Box 152">
          <controlPr defaultSize="0" autoFill="0" autoLine="0" autoPict="0">
            <anchor moveWithCells="1">
              <from>
                <xdr:col>3</xdr:col>
                <xdr:colOff>736600</xdr:colOff>
                <xdr:row>9</xdr:row>
                <xdr:rowOff>107950</xdr:rowOff>
              </from>
              <to>
                <xdr:col>4</xdr:col>
                <xdr:colOff>203200</xdr:colOff>
                <xdr:row>9</xdr:row>
                <xdr:rowOff>190500</xdr:rowOff>
              </to>
            </anchor>
          </controlPr>
        </control>
      </mc:Choice>
    </mc:AlternateContent>
    <mc:AlternateContent xmlns:mc="http://schemas.openxmlformats.org/markup-compatibility/2006">
      <mc:Choice Requires="x14">
        <control shapeId="39065" r:id="rId35" name="Group Box 153">
          <controlPr defaultSize="0" autoFill="0" autoPict="0">
            <anchor moveWithCells="1">
              <from>
                <xdr:col>0</xdr:col>
                <xdr:colOff>50800</xdr:colOff>
                <xdr:row>123</xdr:row>
                <xdr:rowOff>0</xdr:rowOff>
              </from>
              <to>
                <xdr:col>3</xdr:col>
                <xdr:colOff>1403350</xdr:colOff>
                <xdr:row>127</xdr:row>
                <xdr:rowOff>146050</xdr:rowOff>
              </to>
            </anchor>
          </controlPr>
        </control>
      </mc:Choice>
    </mc:AlternateContent>
    <mc:AlternateContent xmlns:mc="http://schemas.openxmlformats.org/markup-compatibility/2006">
      <mc:Choice Requires="x14">
        <control shapeId="39066" r:id="rId36" name="Option Button 154">
          <controlPr defaultSize="0" autoFill="0" autoLine="0" autoPict="0">
            <anchor moveWithCells="1">
              <from>
                <xdr:col>4</xdr:col>
                <xdr:colOff>419100</xdr:colOff>
                <xdr:row>130</xdr:row>
                <xdr:rowOff>0</xdr:rowOff>
              </from>
              <to>
                <xdr:col>5</xdr:col>
                <xdr:colOff>50800</xdr:colOff>
                <xdr:row>131</xdr:row>
                <xdr:rowOff>50800</xdr:rowOff>
              </to>
            </anchor>
          </controlPr>
        </control>
      </mc:Choice>
    </mc:AlternateContent>
    <mc:AlternateContent xmlns:mc="http://schemas.openxmlformats.org/markup-compatibility/2006">
      <mc:Choice Requires="x14">
        <control shapeId="39067" r:id="rId37" name="Option Button 155">
          <controlPr defaultSize="0" autoFill="0" autoLine="0" autoPict="0">
            <anchor moveWithCells="1">
              <from>
                <xdr:col>5</xdr:col>
                <xdr:colOff>571500</xdr:colOff>
                <xdr:row>130</xdr:row>
                <xdr:rowOff>12700</xdr:rowOff>
              </from>
              <to>
                <xdr:col>6</xdr:col>
                <xdr:colOff>0</xdr:colOff>
                <xdr:row>131</xdr:row>
                <xdr:rowOff>12700</xdr:rowOff>
              </to>
            </anchor>
          </controlPr>
        </control>
      </mc:Choice>
    </mc:AlternateContent>
    <mc:AlternateContent xmlns:mc="http://schemas.openxmlformats.org/markup-compatibility/2006">
      <mc:Choice Requires="x14">
        <control shapeId="39068" r:id="rId38" name="Group Box 156">
          <controlPr defaultSize="0" autoFill="0" autoPict="0">
            <anchor moveWithCells="1">
              <from>
                <xdr:col>4</xdr:col>
                <xdr:colOff>361950</xdr:colOff>
                <xdr:row>129</xdr:row>
                <xdr:rowOff>12700</xdr:rowOff>
              </from>
              <to>
                <xdr:col>6</xdr:col>
                <xdr:colOff>533400</xdr:colOff>
                <xdr:row>131</xdr:row>
                <xdr:rowOff>165100</xdr:rowOff>
              </to>
            </anchor>
          </controlPr>
        </control>
      </mc:Choice>
    </mc:AlternateContent>
    <mc:AlternateContent xmlns:mc="http://schemas.openxmlformats.org/markup-compatibility/2006">
      <mc:Choice Requires="x14">
        <control shapeId="39069" r:id="rId39" name="Group Box 157">
          <controlPr defaultSize="0" autoFill="0" autoPict="0">
            <anchor moveWithCells="1">
              <from>
                <xdr:col>0</xdr:col>
                <xdr:colOff>374650</xdr:colOff>
                <xdr:row>123</xdr:row>
                <xdr:rowOff>76200</xdr:rowOff>
              </from>
              <to>
                <xdr:col>3</xdr:col>
                <xdr:colOff>1403350</xdr:colOff>
                <xdr:row>127</xdr:row>
                <xdr:rowOff>38100</xdr:rowOff>
              </to>
            </anchor>
          </controlPr>
        </control>
      </mc:Choice>
    </mc:AlternateContent>
    <mc:AlternateContent xmlns:mc="http://schemas.openxmlformats.org/markup-compatibility/2006">
      <mc:Choice Requires="x14">
        <control shapeId="39070" r:id="rId40" name="Option Button 158">
          <controlPr defaultSize="0" autoFill="0" autoLine="0" autoPict="0">
            <anchor moveWithCells="1">
              <from>
                <xdr:col>4</xdr:col>
                <xdr:colOff>419100</xdr:colOff>
                <xdr:row>133</xdr:row>
                <xdr:rowOff>0</xdr:rowOff>
              </from>
              <to>
                <xdr:col>5</xdr:col>
                <xdr:colOff>50800</xdr:colOff>
                <xdr:row>134</xdr:row>
                <xdr:rowOff>50800</xdr:rowOff>
              </to>
            </anchor>
          </controlPr>
        </control>
      </mc:Choice>
    </mc:AlternateContent>
    <mc:AlternateContent xmlns:mc="http://schemas.openxmlformats.org/markup-compatibility/2006">
      <mc:Choice Requires="x14">
        <control shapeId="39071" r:id="rId41" name="Option Button 159">
          <controlPr defaultSize="0" autoFill="0" autoLine="0" autoPict="0">
            <anchor moveWithCells="1">
              <from>
                <xdr:col>5</xdr:col>
                <xdr:colOff>571500</xdr:colOff>
                <xdr:row>133</xdr:row>
                <xdr:rowOff>12700</xdr:rowOff>
              </from>
              <to>
                <xdr:col>6</xdr:col>
                <xdr:colOff>0</xdr:colOff>
                <xdr:row>134</xdr:row>
                <xdr:rowOff>12700</xdr:rowOff>
              </to>
            </anchor>
          </controlPr>
        </control>
      </mc:Choice>
    </mc:AlternateContent>
    <mc:AlternateContent xmlns:mc="http://schemas.openxmlformats.org/markup-compatibility/2006">
      <mc:Choice Requires="x14">
        <control shapeId="39072" r:id="rId42" name="Group Box 160">
          <controlPr defaultSize="0" autoFill="0" autoPict="0">
            <anchor moveWithCells="1">
              <from>
                <xdr:col>4</xdr:col>
                <xdr:colOff>266700</xdr:colOff>
                <xdr:row>132</xdr:row>
                <xdr:rowOff>69850</xdr:rowOff>
              </from>
              <to>
                <xdr:col>6</xdr:col>
                <xdr:colOff>323850</xdr:colOff>
                <xdr:row>135</xdr:row>
                <xdr:rowOff>50800</xdr:rowOff>
              </to>
            </anchor>
          </controlPr>
        </control>
      </mc:Choice>
    </mc:AlternateContent>
  </control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rgb="FF00B050"/>
    <pageSetUpPr fitToPage="1"/>
  </sheetPr>
  <dimension ref="A1:M131"/>
  <sheetViews>
    <sheetView showGridLines="0" zoomScaleNormal="100" workbookViewId="0">
      <selection sqref="A1:G1"/>
    </sheetView>
  </sheetViews>
  <sheetFormatPr defaultColWidth="0" defaultRowHeight="16.5" customHeight="1" zeroHeight="1"/>
  <cols>
    <col min="1" max="1" width="2" style="157" customWidth="1"/>
    <col min="2" max="2" width="13.54296875" style="157" customWidth="1"/>
    <col min="3" max="3" width="15.26953125" style="157" customWidth="1"/>
    <col min="4" max="11" width="13.54296875" style="157" customWidth="1"/>
    <col min="12" max="12" width="2" style="157" customWidth="1"/>
    <col min="13" max="13" width="0" style="157" hidden="1" customWidth="1"/>
    <col min="14" max="16384" width="8.81640625" style="157" hidden="1"/>
  </cols>
  <sheetData>
    <row r="1" spans="1:12" s="193" customFormat="1" ht="60" customHeight="1">
      <c r="A1" s="2155" t="str">
        <f>Development!$A$3&amp;" Multi-Family Program"</f>
        <v>2024 Multi-Family Program</v>
      </c>
      <c r="B1" s="2155"/>
      <c r="C1" s="2155"/>
      <c r="D1" s="2155"/>
      <c r="E1" s="2155"/>
      <c r="F1" s="2155"/>
      <c r="G1" s="2155"/>
      <c r="H1" s="12"/>
      <c r="I1" s="13"/>
      <c r="J1" s="13"/>
      <c r="K1" s="13"/>
      <c r="L1" s="13"/>
    </row>
    <row r="2" spans="1:12" s="240" customFormat="1" ht="45.65" customHeight="1">
      <c r="A2" s="2158" t="str">
        <f>'Customer Information'!A2:H2</f>
        <v>Multi-Family 
Rebate Application, Version 2.0</v>
      </c>
      <c r="B2" s="2158"/>
      <c r="C2" s="2158"/>
      <c r="D2" s="2158"/>
      <c r="E2" s="2158"/>
      <c r="F2" s="2158"/>
      <c r="G2" s="2158"/>
      <c r="H2" s="239"/>
    </row>
    <row r="3" spans="1:12" s="227" customFormat="1" ht="23">
      <c r="A3" s="2160" t="s">
        <v>869</v>
      </c>
      <c r="B3" s="2160"/>
      <c r="C3" s="2160"/>
      <c r="D3" s="2160"/>
      <c r="E3" s="2160"/>
      <c r="F3" s="352"/>
      <c r="G3" s="352"/>
      <c r="H3" s="352"/>
      <c r="I3" s="352"/>
      <c r="J3" s="352"/>
      <c r="K3" s="352"/>
      <c r="L3" s="11"/>
    </row>
    <row r="4" spans="1:12" s="193" customFormat="1" ht="18" customHeight="1">
      <c r="C4" s="157"/>
      <c r="D4" s="157"/>
      <c r="E4" s="157"/>
      <c r="F4" s="157"/>
      <c r="G4" s="157"/>
      <c r="H4" s="157"/>
      <c r="I4" s="157"/>
      <c r="J4" s="157"/>
      <c r="K4" s="157"/>
      <c r="L4" s="157"/>
    </row>
    <row r="5" spans="1:12" s="193" customFormat="1" ht="16.5" customHeight="1">
      <c r="B5" s="667" t="s">
        <v>23</v>
      </c>
      <c r="C5" s="2156" t="str">
        <f>"Units must be installed between "&amp;Development!A4</f>
        <v>Units must be installed between 4.01.2024</v>
      </c>
      <c r="D5" s="2156"/>
      <c r="E5" s="2156"/>
      <c r="F5" s="2156"/>
      <c r="G5" s="2156"/>
      <c r="H5" s="2156"/>
      <c r="I5" s="2156"/>
      <c r="J5" s="2156"/>
      <c r="K5" s="2156"/>
      <c r="L5" s="228"/>
    </row>
    <row r="6" spans="1:12" s="193" customFormat="1" ht="16.5" customHeight="1">
      <c r="B6" s="667" t="s">
        <v>24</v>
      </c>
      <c r="C6" s="2156" t="s">
        <v>799</v>
      </c>
      <c r="D6" s="2156"/>
      <c r="E6" s="2156"/>
      <c r="F6" s="2156"/>
      <c r="G6" s="2156"/>
      <c r="H6" s="2156"/>
      <c r="I6" s="2156"/>
      <c r="J6" s="2156"/>
      <c r="K6" s="2156"/>
      <c r="L6" s="228"/>
    </row>
    <row r="7" spans="1:12" s="193" customFormat="1" ht="33" customHeight="1">
      <c r="B7" s="667" t="s">
        <v>25</v>
      </c>
      <c r="C7" s="2156" t="s">
        <v>1922</v>
      </c>
      <c r="D7" s="2156"/>
      <c r="E7" s="2156"/>
      <c r="F7" s="2156"/>
      <c r="G7" s="2156"/>
      <c r="H7" s="2156"/>
      <c r="I7" s="2156"/>
      <c r="J7" s="2156"/>
      <c r="K7" s="2156"/>
      <c r="L7" s="228"/>
    </row>
    <row r="8" spans="1:12" s="193" customFormat="1" ht="20.5" customHeight="1">
      <c r="B8" s="667" t="s">
        <v>26</v>
      </c>
      <c r="C8" s="2161" t="s">
        <v>1921</v>
      </c>
      <c r="D8" s="2161"/>
      <c r="E8" s="2161"/>
      <c r="F8" s="2161"/>
      <c r="G8" s="2161"/>
      <c r="H8" s="2161"/>
      <c r="I8" s="2161"/>
      <c r="J8" s="2161"/>
      <c r="K8" s="2161"/>
      <c r="L8" s="351"/>
    </row>
    <row r="9" spans="1:12" s="193" customFormat="1" ht="36.65" customHeight="1">
      <c r="B9" s="667" t="s">
        <v>27</v>
      </c>
      <c r="C9" s="2161" t="s">
        <v>3779</v>
      </c>
      <c r="D9" s="2161"/>
      <c r="E9" s="2161"/>
      <c r="F9" s="2161"/>
      <c r="G9" s="2161"/>
      <c r="H9" s="2161"/>
      <c r="I9" s="2161"/>
      <c r="J9" s="2161"/>
      <c r="K9" s="2161"/>
      <c r="L9" s="351"/>
    </row>
    <row r="10" spans="1:12" s="193" customFormat="1" ht="16.5" customHeight="1">
      <c r="B10" s="667" t="s">
        <v>28</v>
      </c>
      <c r="C10" s="2161" t="s">
        <v>1920</v>
      </c>
      <c r="D10" s="2161"/>
      <c r="E10" s="2161"/>
      <c r="F10" s="2161"/>
      <c r="G10" s="2161"/>
      <c r="H10" s="2161"/>
      <c r="I10" s="2161"/>
      <c r="J10" s="2161"/>
      <c r="K10" s="2161"/>
      <c r="L10" s="228"/>
    </row>
    <row r="11" spans="1:12" s="193" customFormat="1" ht="16.5" customHeight="1">
      <c r="B11" s="667" t="s">
        <v>119</v>
      </c>
      <c r="C11" s="2156" t="s">
        <v>1906</v>
      </c>
      <c r="D11" s="2156"/>
      <c r="E11" s="2156"/>
      <c r="F11" s="2156"/>
      <c r="G11" s="2156"/>
      <c r="H11" s="2156"/>
      <c r="I11" s="2156"/>
      <c r="J11" s="2156"/>
      <c r="K11" s="2156"/>
      <c r="L11" s="228"/>
    </row>
    <row r="12" spans="1:12" s="193" customFormat="1" ht="20.149999999999999" customHeight="1">
      <c r="B12" s="667" t="s">
        <v>122</v>
      </c>
      <c r="C12" s="2156" t="s">
        <v>120</v>
      </c>
      <c r="D12" s="2156"/>
      <c r="E12" s="2156"/>
      <c r="F12" s="2156"/>
      <c r="G12" s="2156"/>
      <c r="H12" s="2156"/>
      <c r="I12" s="2156"/>
      <c r="J12" s="2156"/>
      <c r="K12" s="2156"/>
      <c r="L12" s="228"/>
    </row>
    <row r="13" spans="1:12" s="193" customFormat="1" ht="33" customHeight="1">
      <c r="B13" s="667" t="s">
        <v>123</v>
      </c>
      <c r="C13" s="2156" t="s">
        <v>1919</v>
      </c>
      <c r="D13" s="2156"/>
      <c r="E13" s="2156"/>
      <c r="F13" s="2156"/>
      <c r="G13" s="2156"/>
      <c r="H13" s="2156"/>
      <c r="I13" s="2156"/>
      <c r="J13" s="2156"/>
      <c r="K13" s="2156"/>
      <c r="L13" s="351"/>
    </row>
    <row r="14" spans="1:12" s="193" customFormat="1" ht="37.5" customHeight="1">
      <c r="B14" s="667" t="s">
        <v>124</v>
      </c>
      <c r="C14" s="2161" t="s">
        <v>1027</v>
      </c>
      <c r="D14" s="2161"/>
      <c r="E14" s="2161"/>
      <c r="F14" s="2161"/>
      <c r="G14" s="2161"/>
      <c r="H14" s="2161"/>
      <c r="I14" s="2161"/>
      <c r="J14" s="2161"/>
      <c r="K14" s="2161"/>
      <c r="L14" s="351"/>
    </row>
    <row r="15" spans="1:12" s="193" customFormat="1" ht="53.15" customHeight="1">
      <c r="B15" s="667" t="s">
        <v>125</v>
      </c>
      <c r="C15" s="2161" t="s">
        <v>3780</v>
      </c>
      <c r="D15" s="2161"/>
      <c r="E15" s="2161"/>
      <c r="F15" s="2161"/>
      <c r="G15" s="2161"/>
      <c r="H15" s="2161"/>
      <c r="I15" s="2161"/>
      <c r="J15" s="2161"/>
      <c r="K15" s="2161"/>
      <c r="L15" s="228"/>
    </row>
    <row r="16" spans="1:12" s="193" customFormat="1" ht="16.5" customHeight="1">
      <c r="B16" s="667" t="s">
        <v>126</v>
      </c>
      <c r="C16" s="2159" t="s">
        <v>1918</v>
      </c>
      <c r="D16" s="2159"/>
      <c r="E16" s="2159"/>
      <c r="F16" s="2159"/>
      <c r="G16" s="2159"/>
      <c r="H16" s="2159"/>
      <c r="I16" s="2159"/>
      <c r="J16" s="2159"/>
      <c r="K16" s="2159"/>
      <c r="L16" s="351"/>
    </row>
    <row r="17" spans="1:12" s="193" customFormat="1" ht="21" customHeight="1">
      <c r="B17" s="667" t="s">
        <v>127</v>
      </c>
      <c r="C17" s="2157" t="s">
        <v>1917</v>
      </c>
      <c r="D17" s="2157"/>
      <c r="E17" s="2157"/>
      <c r="F17" s="2157"/>
      <c r="G17" s="2157"/>
      <c r="H17" s="2157"/>
      <c r="I17" s="2157"/>
      <c r="J17" s="2157"/>
      <c r="K17" s="2157"/>
      <c r="L17" s="228"/>
    </row>
    <row r="18" spans="1:12" s="193" customFormat="1" ht="37.5" customHeight="1">
      <c r="B18" s="667" t="s">
        <v>128</v>
      </c>
      <c r="C18" s="2156" t="s">
        <v>1907</v>
      </c>
      <c r="D18" s="2156"/>
      <c r="E18" s="2156"/>
      <c r="F18" s="2156"/>
      <c r="G18" s="2156"/>
      <c r="H18" s="2156"/>
      <c r="I18" s="2156"/>
      <c r="J18" s="2156"/>
      <c r="K18" s="2156"/>
      <c r="L18" s="228"/>
    </row>
    <row r="19" spans="1:12" s="193" customFormat="1" ht="16.5" customHeight="1">
      <c r="B19" s="667" t="s">
        <v>129</v>
      </c>
      <c r="C19" s="2156" t="s">
        <v>181</v>
      </c>
      <c r="D19" s="2156"/>
      <c r="E19" s="2156"/>
      <c r="F19" s="2156"/>
      <c r="G19" s="2156"/>
      <c r="H19" s="2156"/>
      <c r="I19" s="2156"/>
      <c r="J19" s="2156"/>
      <c r="K19" s="2156"/>
      <c r="L19" s="228"/>
    </row>
    <row r="20" spans="1:12" s="193" customFormat="1" ht="16.5" customHeight="1">
      <c r="B20" s="667" t="s">
        <v>130</v>
      </c>
      <c r="C20" s="2156" t="s">
        <v>182</v>
      </c>
      <c r="D20" s="2156"/>
      <c r="E20" s="2156"/>
      <c r="F20" s="2156"/>
      <c r="G20" s="2156"/>
      <c r="H20" s="2156"/>
      <c r="I20" s="2156"/>
      <c r="J20" s="2156"/>
      <c r="K20" s="2156"/>
      <c r="L20" s="351"/>
    </row>
    <row r="21" spans="1:12" s="193" customFormat="1" ht="16.5" customHeight="1">
      <c r="B21" s="667" t="s">
        <v>585</v>
      </c>
      <c r="C21" s="2161" t="s">
        <v>121</v>
      </c>
      <c r="D21" s="2161"/>
      <c r="E21" s="2161"/>
      <c r="F21" s="2161"/>
      <c r="G21" s="2161"/>
      <c r="H21" s="2161"/>
      <c r="I21" s="2161"/>
      <c r="J21" s="2161"/>
      <c r="K21" s="2161"/>
      <c r="L21" s="351"/>
    </row>
    <row r="22" spans="1:12" s="193" customFormat="1" ht="16.5" customHeight="1">
      <c r="B22" s="667" t="s">
        <v>862</v>
      </c>
      <c r="C22" s="2161" t="s">
        <v>3781</v>
      </c>
      <c r="D22" s="2161"/>
      <c r="E22" s="2161"/>
      <c r="F22" s="2161"/>
      <c r="G22" s="2161"/>
      <c r="H22" s="2161"/>
      <c r="I22" s="2161"/>
      <c r="J22" s="2161"/>
      <c r="K22" s="2161"/>
      <c r="L22" s="351"/>
    </row>
    <row r="23" spans="1:12" s="193" customFormat="1" ht="16.5" customHeight="1">
      <c r="B23" s="667" t="s">
        <v>3782</v>
      </c>
      <c r="C23" s="2156" t="s">
        <v>1916</v>
      </c>
      <c r="D23" s="2156"/>
      <c r="E23" s="2156"/>
      <c r="F23" s="2156"/>
      <c r="G23" s="2156"/>
      <c r="H23" s="2156"/>
      <c r="I23" s="2156"/>
      <c r="J23" s="2156"/>
      <c r="K23" s="2156"/>
      <c r="L23" s="351"/>
    </row>
    <row r="24" spans="1:12" s="193" customFormat="1" ht="16.5" customHeight="1">
      <c r="B24" s="667" t="s">
        <v>3783</v>
      </c>
      <c r="C24" s="2156" t="s">
        <v>1026</v>
      </c>
      <c r="D24" s="2156"/>
      <c r="E24" s="2156"/>
      <c r="F24" s="2156"/>
      <c r="G24" s="2156"/>
      <c r="H24" s="2156"/>
      <c r="I24" s="2156"/>
      <c r="J24" s="2156"/>
      <c r="K24" s="2156"/>
      <c r="L24" s="351"/>
    </row>
    <row r="25" spans="1:12" s="193" customFormat="1" ht="16.5" customHeight="1">
      <c r="B25" s="667"/>
      <c r="C25" s="1040"/>
      <c r="D25" s="1040"/>
      <c r="E25" s="1040"/>
      <c r="F25" s="1040"/>
      <c r="G25" s="1040"/>
      <c r="H25" s="1040"/>
      <c r="I25" s="1040"/>
      <c r="J25" s="1040"/>
      <c r="K25" s="1040"/>
      <c r="L25" s="351"/>
    </row>
    <row r="26" spans="1:12" s="193" customFormat="1" ht="16.5" customHeight="1">
      <c r="B26" s="667"/>
      <c r="C26" s="1040"/>
      <c r="D26" s="1040"/>
      <c r="E26" s="1040"/>
      <c r="F26" s="1040"/>
      <c r="G26" s="1040"/>
      <c r="H26" s="1040"/>
      <c r="I26" s="1040"/>
      <c r="J26" s="1040"/>
      <c r="K26" s="1040"/>
      <c r="L26" s="351"/>
    </row>
    <row r="27" spans="1:12" s="193" customFormat="1" ht="16.5" customHeight="1">
      <c r="B27" s="1041" t="s">
        <v>3527</v>
      </c>
      <c r="C27" s="1040"/>
      <c r="D27" s="1040"/>
      <c r="E27" s="1042"/>
      <c r="F27" s="1043" t="s">
        <v>3528</v>
      </c>
      <c r="G27" s="1040"/>
      <c r="H27" s="1040"/>
      <c r="I27" s="1040"/>
      <c r="J27" s="1040"/>
      <c r="K27" s="1040"/>
      <c r="L27" s="351"/>
    </row>
    <row r="28" spans="1:12" s="193" customFormat="1" ht="18" customHeight="1">
      <c r="L28" s="228"/>
    </row>
    <row r="29" spans="1:12" s="193" customFormat="1" ht="18" customHeight="1">
      <c r="A29" s="80" t="s">
        <v>223</v>
      </c>
      <c r="B29" s="83"/>
      <c r="C29" s="668" t="str">
        <f>Development!$A$2</f>
        <v>2.0</v>
      </c>
      <c r="D29" s="2136"/>
      <c r="E29" s="2136"/>
      <c r="F29" s="2136"/>
      <c r="G29" s="2137"/>
      <c r="H29" s="2137"/>
      <c r="I29" s="2137"/>
      <c r="J29" s="84" t="s">
        <v>225</v>
      </c>
      <c r="K29" s="85" t="str">
        <f>Development!$A$4</f>
        <v>4.01.2024</v>
      </c>
    </row>
    <row r="30" spans="1:12" s="193" customFormat="1" ht="18" hidden="1" customHeight="1">
      <c r="A30" s="229"/>
      <c r="B30" s="2162"/>
      <c r="C30" s="2162"/>
      <c r="D30" s="2162"/>
      <c r="E30" s="2162"/>
      <c r="F30" s="2162"/>
      <c r="G30" s="2162"/>
      <c r="H30" s="2162"/>
      <c r="I30" s="2162"/>
      <c r="J30" s="2162"/>
      <c r="K30" s="2162"/>
      <c r="L30" s="2162"/>
    </row>
    <row r="31" spans="1:12" s="193" customFormat="1" ht="18" hidden="1" customHeight="1">
      <c r="A31" s="229"/>
      <c r="B31" s="351"/>
      <c r="C31" s="351"/>
      <c r="D31" s="351"/>
      <c r="E31" s="351"/>
      <c r="F31" s="351"/>
      <c r="G31" s="351"/>
      <c r="H31" s="351"/>
      <c r="I31" s="351"/>
      <c r="J31" s="351"/>
      <c r="K31" s="351"/>
      <c r="L31" s="351"/>
    </row>
    <row r="32" spans="1:12" s="193" customFormat="1" ht="18" hidden="1" customHeight="1">
      <c r="A32" s="229"/>
      <c r="B32" s="2162"/>
      <c r="C32" s="2162"/>
      <c r="D32" s="2162"/>
      <c r="E32" s="2162"/>
      <c r="F32" s="2162"/>
      <c r="G32" s="2162"/>
      <c r="H32" s="2162"/>
      <c r="I32" s="2162"/>
      <c r="J32" s="2162"/>
      <c r="K32" s="2162"/>
      <c r="L32" s="2162"/>
    </row>
    <row r="33" spans="1:13" s="193" customFormat="1" ht="18" hidden="1" customHeight="1">
      <c r="A33" s="229"/>
      <c r="B33" s="2162"/>
      <c r="C33" s="2162"/>
      <c r="D33" s="2162"/>
      <c r="E33" s="2162"/>
      <c r="F33" s="2162"/>
      <c r="G33" s="2162"/>
      <c r="H33" s="2162"/>
      <c r="I33" s="2162"/>
      <c r="J33" s="2162"/>
      <c r="K33" s="2162"/>
      <c r="L33" s="2162"/>
    </row>
    <row r="34" spans="1:13" s="193" customFormat="1" ht="18" hidden="1" customHeight="1">
      <c r="A34" s="230"/>
      <c r="B34" s="351"/>
      <c r="C34" s="351"/>
      <c r="D34" s="351"/>
      <c r="E34" s="351"/>
      <c r="F34" s="351"/>
      <c r="G34" s="351"/>
      <c r="H34" s="351"/>
      <c r="I34" s="351"/>
      <c r="J34" s="351"/>
      <c r="K34" s="351"/>
      <c r="L34" s="351"/>
    </row>
    <row r="35" spans="1:13" s="193" customFormat="1" ht="18" hidden="1" customHeight="1">
      <c r="A35" s="229"/>
      <c r="B35" s="2162"/>
      <c r="C35" s="2162"/>
      <c r="D35" s="2162"/>
      <c r="E35" s="2162"/>
      <c r="F35" s="2162"/>
      <c r="G35" s="2162"/>
      <c r="H35" s="2162"/>
      <c r="I35" s="2162"/>
      <c r="J35" s="2162"/>
      <c r="K35" s="2162"/>
      <c r="L35" s="2162"/>
    </row>
    <row r="36" spans="1:13" s="193" customFormat="1" ht="18" hidden="1" customHeight="1">
      <c r="A36" s="229"/>
      <c r="B36" s="2162"/>
      <c r="C36" s="2162"/>
      <c r="D36" s="2162"/>
      <c r="E36" s="2162"/>
      <c r="F36" s="2162"/>
      <c r="G36" s="2162"/>
      <c r="H36" s="2162"/>
      <c r="I36" s="2162"/>
      <c r="J36" s="2162"/>
      <c r="K36" s="2162"/>
      <c r="L36" s="2162"/>
    </row>
    <row r="37" spans="1:13" s="193" customFormat="1" ht="18" hidden="1" customHeight="1">
      <c r="A37" s="229"/>
      <c r="B37" s="351"/>
      <c r="C37" s="351"/>
      <c r="D37" s="351"/>
      <c r="E37" s="351"/>
      <c r="F37" s="351"/>
      <c r="G37" s="351"/>
      <c r="H37" s="351"/>
      <c r="I37" s="351"/>
      <c r="J37" s="351"/>
      <c r="K37" s="351"/>
      <c r="L37" s="351"/>
    </row>
    <row r="38" spans="1:13" s="193" customFormat="1" ht="18" hidden="1" customHeight="1">
      <c r="A38" s="230"/>
      <c r="B38" s="351"/>
      <c r="C38" s="351"/>
      <c r="D38" s="351"/>
      <c r="E38" s="351"/>
      <c r="F38" s="351"/>
      <c r="G38" s="351"/>
      <c r="H38" s="351"/>
      <c r="I38" s="351"/>
      <c r="J38" s="351"/>
      <c r="K38" s="351"/>
      <c r="L38" s="351"/>
    </row>
    <row r="39" spans="1:13" s="193" customFormat="1" ht="18" hidden="1" customHeight="1">
      <c r="A39" s="351"/>
      <c r="B39" s="2162"/>
      <c r="C39" s="2162"/>
      <c r="D39" s="2162"/>
      <c r="E39" s="2162"/>
      <c r="F39" s="2162"/>
      <c r="G39" s="2162"/>
      <c r="H39" s="2162"/>
      <c r="I39" s="2162"/>
      <c r="J39" s="2162"/>
      <c r="K39" s="2162"/>
      <c r="L39" s="2162"/>
    </row>
    <row r="40" spans="1:13" s="193" customFormat="1" ht="18" hidden="1" customHeight="1">
      <c r="A40" s="230"/>
      <c r="B40" s="351"/>
      <c r="C40" s="351"/>
      <c r="D40" s="351"/>
      <c r="E40" s="351"/>
      <c r="F40" s="351"/>
      <c r="G40" s="351"/>
      <c r="H40" s="351"/>
      <c r="I40" s="351"/>
      <c r="J40" s="351"/>
      <c r="K40" s="351"/>
      <c r="L40" s="351"/>
    </row>
    <row r="41" spans="1:13" s="193" customFormat="1" ht="18" hidden="1" customHeight="1">
      <c r="A41" s="351"/>
      <c r="B41" s="2162"/>
      <c r="C41" s="2162"/>
      <c r="D41" s="2162"/>
      <c r="E41" s="2162"/>
      <c r="F41" s="2162"/>
      <c r="G41" s="2162"/>
      <c r="H41" s="2162"/>
      <c r="I41" s="2162"/>
      <c r="J41" s="2162"/>
      <c r="K41" s="2162"/>
      <c r="L41" s="2162"/>
    </row>
    <row r="42" spans="1:13" s="193" customFormat="1" ht="18" hidden="1" customHeight="1">
      <c r="A42" s="230"/>
      <c r="B42" s="351"/>
      <c r="C42" s="351"/>
      <c r="D42" s="351"/>
      <c r="E42" s="351"/>
      <c r="F42" s="351"/>
      <c r="G42" s="351"/>
      <c r="H42" s="351"/>
      <c r="I42" s="351"/>
      <c r="J42" s="351"/>
      <c r="K42" s="351"/>
      <c r="L42" s="351"/>
    </row>
    <row r="43" spans="1:13" s="193" customFormat="1" ht="18" hidden="1" customHeight="1">
      <c r="A43" s="351"/>
      <c r="B43" s="2162"/>
      <c r="C43" s="2162"/>
      <c r="D43" s="2162"/>
      <c r="E43" s="2162"/>
      <c r="F43" s="2162"/>
      <c r="G43" s="2162"/>
      <c r="H43" s="2162"/>
      <c r="I43" s="2162"/>
      <c r="J43" s="2162"/>
      <c r="K43" s="2162"/>
      <c r="L43" s="2162"/>
    </row>
    <row r="44" spans="1:13" s="193" customFormat="1" ht="18" hidden="1" customHeight="1">
      <c r="A44" s="230"/>
      <c r="B44" s="351"/>
      <c r="C44" s="351"/>
      <c r="D44" s="351"/>
      <c r="E44" s="351"/>
      <c r="F44" s="351"/>
      <c r="G44" s="351"/>
      <c r="H44" s="351"/>
      <c r="I44" s="351"/>
      <c r="J44" s="351"/>
      <c r="K44" s="351"/>
      <c r="L44" s="351"/>
    </row>
    <row r="45" spans="1:13" s="193" customFormat="1" ht="18" hidden="1" customHeight="1">
      <c r="A45" s="351"/>
      <c r="B45" s="2162"/>
      <c r="C45" s="2162"/>
      <c r="D45" s="2162"/>
      <c r="E45" s="2162"/>
      <c r="F45" s="2162"/>
      <c r="G45" s="2162"/>
      <c r="H45" s="2162"/>
      <c r="I45" s="2162"/>
      <c r="J45" s="2162"/>
      <c r="K45" s="2162"/>
      <c r="L45" s="2162"/>
    </row>
    <row r="46" spans="1:13" s="193" customFormat="1" ht="18" hidden="1" customHeight="1">
      <c r="A46" s="230"/>
      <c r="B46" s="351"/>
      <c r="C46" s="351"/>
      <c r="D46" s="351"/>
      <c r="E46" s="351"/>
      <c r="F46" s="351"/>
      <c r="G46" s="351"/>
      <c r="H46" s="351"/>
      <c r="I46" s="351"/>
      <c r="J46" s="351"/>
      <c r="K46" s="351"/>
      <c r="L46" s="351"/>
    </row>
    <row r="47" spans="1:13" s="193" customFormat="1" ht="18" hidden="1" customHeight="1">
      <c r="A47" s="229"/>
      <c r="B47" s="2162"/>
      <c r="C47" s="2162"/>
      <c r="D47" s="2162"/>
      <c r="E47" s="2162"/>
      <c r="F47" s="2162"/>
      <c r="G47" s="2162"/>
      <c r="H47" s="2162"/>
      <c r="I47" s="2162"/>
      <c r="J47" s="2162"/>
      <c r="K47" s="2162"/>
      <c r="L47" s="2162"/>
    </row>
    <row r="48" spans="1:13" s="192" customFormat="1" ht="18" hidden="1" customHeight="1">
      <c r="A48" s="229"/>
      <c r="B48" s="351"/>
      <c r="C48" s="351"/>
      <c r="D48" s="351"/>
      <c r="E48" s="351"/>
      <c r="F48" s="351"/>
      <c r="G48" s="351"/>
      <c r="H48" s="351"/>
      <c r="I48" s="351"/>
      <c r="J48" s="351"/>
      <c r="K48" s="351"/>
      <c r="L48" s="351"/>
      <c r="M48" s="231"/>
    </row>
    <row r="49" spans="1:13" s="192" customFormat="1" ht="18" hidden="1" customHeight="1">
      <c r="A49" s="230"/>
      <c r="B49" s="351"/>
      <c r="C49" s="351"/>
      <c r="D49" s="351"/>
      <c r="E49" s="351"/>
      <c r="F49" s="351"/>
      <c r="G49" s="351"/>
      <c r="H49" s="351"/>
      <c r="I49" s="351"/>
      <c r="J49" s="351"/>
      <c r="K49" s="351"/>
      <c r="L49" s="351"/>
      <c r="M49" s="231"/>
    </row>
    <row r="50" spans="1:13" s="192" customFormat="1" ht="18" hidden="1" customHeight="1">
      <c r="A50" s="351"/>
      <c r="B50" s="351"/>
      <c r="C50" s="351"/>
      <c r="D50" s="351"/>
      <c r="E50" s="351"/>
      <c r="F50" s="351"/>
      <c r="G50" s="351"/>
      <c r="H50" s="351"/>
      <c r="I50" s="351"/>
      <c r="J50" s="351"/>
      <c r="K50" s="351"/>
      <c r="L50" s="351"/>
      <c r="M50" s="231"/>
    </row>
    <row r="51" spans="1:13" s="192" customFormat="1" ht="18" hidden="1" customHeight="1">
      <c r="A51" s="351"/>
      <c r="B51" s="2162"/>
      <c r="C51" s="2162"/>
      <c r="D51" s="2162"/>
      <c r="E51" s="2162"/>
      <c r="F51" s="2162"/>
      <c r="G51" s="2162"/>
      <c r="H51" s="2162"/>
      <c r="I51" s="2162"/>
      <c r="J51" s="2162"/>
      <c r="K51" s="2162"/>
      <c r="L51" s="2162"/>
      <c r="M51" s="231"/>
    </row>
    <row r="52" spans="1:13" s="192" customFormat="1" ht="18" hidden="1" customHeight="1">
      <c r="A52" s="230"/>
      <c r="B52" s="351"/>
      <c r="C52" s="351"/>
      <c r="D52" s="351"/>
      <c r="E52" s="351"/>
      <c r="F52" s="351"/>
      <c r="G52" s="351"/>
      <c r="H52" s="351"/>
      <c r="I52" s="351"/>
      <c r="J52" s="351"/>
      <c r="K52" s="351"/>
      <c r="L52" s="351"/>
      <c r="M52" s="231"/>
    </row>
    <row r="53" spans="1:13" s="192" customFormat="1" ht="18" hidden="1" customHeight="1">
      <c r="A53" s="229"/>
      <c r="B53" s="2162"/>
      <c r="C53" s="2162"/>
      <c r="D53" s="2162"/>
      <c r="E53" s="2162"/>
      <c r="F53" s="2162"/>
      <c r="G53" s="2162"/>
      <c r="H53" s="2162"/>
      <c r="I53" s="2162"/>
      <c r="J53" s="2162"/>
      <c r="K53" s="2162"/>
      <c r="L53" s="2162"/>
      <c r="M53" s="231"/>
    </row>
    <row r="54" spans="1:13" s="192" customFormat="1" ht="18" hidden="1" customHeight="1">
      <c r="A54" s="229"/>
      <c r="B54" s="2162"/>
      <c r="C54" s="2162"/>
      <c r="D54" s="2162"/>
      <c r="E54" s="2162"/>
      <c r="F54" s="2162"/>
      <c r="G54" s="2162"/>
      <c r="H54" s="2162"/>
      <c r="I54" s="2162"/>
      <c r="J54" s="2162"/>
      <c r="K54" s="2162"/>
      <c r="L54" s="2162"/>
      <c r="M54" s="231"/>
    </row>
    <row r="55" spans="1:13" s="192" customFormat="1" ht="18" hidden="1" customHeight="1">
      <c r="A55" s="229"/>
      <c r="B55" s="2162"/>
      <c r="C55" s="2162"/>
      <c r="D55" s="2162"/>
      <c r="E55" s="2162"/>
      <c r="F55" s="2162"/>
      <c r="G55" s="2162"/>
      <c r="H55" s="2162"/>
      <c r="I55" s="2162"/>
      <c r="J55" s="2162"/>
      <c r="K55" s="2162"/>
      <c r="L55" s="2162"/>
      <c r="M55" s="231"/>
    </row>
    <row r="56" spans="1:13" s="192" customFormat="1" ht="18" hidden="1" customHeight="1">
      <c r="A56" s="230"/>
      <c r="B56" s="351"/>
      <c r="C56" s="351"/>
      <c r="D56" s="351"/>
      <c r="E56" s="351"/>
      <c r="F56" s="351"/>
      <c r="G56" s="351"/>
      <c r="H56" s="351"/>
      <c r="I56" s="351"/>
      <c r="J56" s="351"/>
      <c r="K56" s="351"/>
      <c r="L56" s="351"/>
      <c r="M56" s="231"/>
    </row>
    <row r="57" spans="1:13" s="192" customFormat="1" ht="18" hidden="1" customHeight="1">
      <c r="A57" s="351"/>
      <c r="B57" s="351"/>
      <c r="C57" s="351"/>
      <c r="D57" s="351"/>
      <c r="E57" s="351"/>
      <c r="F57" s="351"/>
      <c r="G57" s="351"/>
      <c r="H57" s="351"/>
      <c r="I57" s="351"/>
      <c r="J57" s="351"/>
      <c r="K57" s="351"/>
      <c r="L57" s="351"/>
      <c r="M57" s="231"/>
    </row>
    <row r="58" spans="1:13" s="192" customFormat="1" ht="18" hidden="1" customHeight="1">
      <c r="A58" s="230"/>
      <c r="B58" s="351"/>
      <c r="C58" s="351"/>
      <c r="D58" s="351"/>
      <c r="E58" s="351"/>
      <c r="F58" s="351"/>
      <c r="G58" s="351"/>
      <c r="H58" s="351"/>
      <c r="I58" s="351"/>
      <c r="J58" s="351"/>
      <c r="K58" s="351"/>
      <c r="L58" s="351"/>
      <c r="M58" s="231"/>
    </row>
    <row r="59" spans="1:13" s="192" customFormat="1" ht="18" hidden="1" customHeight="1">
      <c r="A59" s="351"/>
      <c r="B59" s="2162"/>
      <c r="C59" s="2162"/>
      <c r="D59" s="2162"/>
      <c r="E59" s="2162"/>
      <c r="F59" s="2162"/>
      <c r="G59" s="2162"/>
      <c r="H59" s="2162"/>
      <c r="I59" s="2162"/>
      <c r="J59" s="2162"/>
      <c r="K59" s="2162"/>
      <c r="L59" s="2162"/>
      <c r="M59" s="231"/>
    </row>
    <row r="60" spans="1:13" s="192" customFormat="1" ht="18" hidden="1" customHeight="1">
      <c r="A60" s="230"/>
      <c r="B60" s="351"/>
      <c r="C60" s="351"/>
      <c r="D60" s="351"/>
      <c r="E60" s="351"/>
      <c r="F60" s="351"/>
      <c r="G60" s="351"/>
      <c r="H60" s="351"/>
      <c r="I60" s="351"/>
      <c r="J60" s="351"/>
      <c r="K60" s="351"/>
      <c r="L60" s="351"/>
      <c r="M60" s="231"/>
    </row>
    <row r="61" spans="1:13" s="192" customFormat="1" ht="18" hidden="1" customHeight="1">
      <c r="A61" s="351"/>
      <c r="B61" s="2162"/>
      <c r="C61" s="2162"/>
      <c r="D61" s="2162"/>
      <c r="E61" s="2162"/>
      <c r="F61" s="2162"/>
      <c r="G61" s="2162"/>
      <c r="H61" s="2162"/>
      <c r="I61" s="2162"/>
      <c r="J61" s="2162"/>
      <c r="K61" s="2162"/>
      <c r="L61" s="2162"/>
      <c r="M61" s="231"/>
    </row>
    <row r="62" spans="1:13" s="192" customFormat="1" ht="18" hidden="1" customHeight="1">
      <c r="A62" s="230"/>
      <c r="B62" s="351"/>
      <c r="C62" s="351"/>
      <c r="D62" s="351"/>
      <c r="E62" s="351"/>
      <c r="F62" s="351"/>
      <c r="G62" s="351"/>
      <c r="H62" s="351"/>
      <c r="I62" s="351"/>
      <c r="J62" s="351"/>
      <c r="K62" s="351"/>
      <c r="L62" s="351"/>
      <c r="M62" s="231"/>
    </row>
    <row r="63" spans="1:13" s="192" customFormat="1" ht="18" hidden="1" customHeight="1">
      <c r="A63" s="351"/>
      <c r="B63" s="2162"/>
      <c r="C63" s="2162"/>
      <c r="D63" s="2162"/>
      <c r="E63" s="2162"/>
      <c r="F63" s="2162"/>
      <c r="G63" s="2162"/>
      <c r="H63" s="2162"/>
      <c r="I63" s="2162"/>
      <c r="J63" s="2162"/>
      <c r="K63" s="2162"/>
      <c r="L63" s="2162"/>
      <c r="M63" s="231"/>
    </row>
    <row r="64" spans="1:13" s="192" customFormat="1" ht="18" hidden="1" customHeight="1">
      <c r="A64" s="351"/>
      <c r="B64" s="2162"/>
      <c r="C64" s="2162"/>
      <c r="D64" s="2162"/>
      <c r="E64" s="2162"/>
      <c r="F64" s="2162"/>
      <c r="G64" s="2162"/>
      <c r="H64" s="2162"/>
      <c r="I64" s="2162"/>
      <c r="J64" s="2162"/>
      <c r="K64" s="2162"/>
      <c r="L64" s="2162"/>
      <c r="M64" s="231"/>
    </row>
    <row r="65" spans="1:13" s="192" customFormat="1" ht="18" hidden="1" customHeight="1">
      <c r="A65" s="230"/>
      <c r="B65" s="351"/>
      <c r="C65" s="351"/>
      <c r="D65" s="351"/>
      <c r="E65" s="351"/>
      <c r="F65" s="351"/>
      <c r="G65" s="351"/>
      <c r="H65" s="351"/>
      <c r="I65" s="351"/>
      <c r="J65" s="351"/>
      <c r="K65" s="351"/>
      <c r="L65" s="351"/>
      <c r="M65" s="231"/>
    </row>
    <row r="66" spans="1:13" s="192" customFormat="1" ht="18" hidden="1" customHeight="1">
      <c r="A66" s="229"/>
      <c r="B66" s="2163"/>
      <c r="C66" s="2163"/>
      <c r="D66" s="2163"/>
      <c r="E66" s="2163"/>
      <c r="F66" s="2163"/>
      <c r="G66" s="2163"/>
      <c r="H66" s="2163"/>
      <c r="I66" s="2163"/>
      <c r="J66" s="2163"/>
      <c r="K66" s="2163"/>
      <c r="L66" s="2163"/>
      <c r="M66" s="231"/>
    </row>
    <row r="67" spans="1:13" s="192" customFormat="1" ht="18" hidden="1" customHeight="1">
      <c r="A67" s="229"/>
      <c r="B67" s="2162"/>
      <c r="C67" s="2162"/>
      <c r="D67" s="2162"/>
      <c r="E67" s="2162"/>
      <c r="F67" s="2162"/>
      <c r="G67" s="2162"/>
      <c r="H67" s="2162"/>
      <c r="I67" s="2162"/>
      <c r="J67" s="2162"/>
      <c r="K67" s="2162"/>
      <c r="L67" s="2162"/>
      <c r="M67" s="231"/>
    </row>
    <row r="68" spans="1:13" s="192" customFormat="1" ht="18" hidden="1" customHeight="1">
      <c r="A68" s="230"/>
      <c r="B68" s="351"/>
      <c r="C68" s="351"/>
      <c r="D68" s="351"/>
      <c r="E68" s="351"/>
      <c r="F68" s="351"/>
      <c r="G68" s="351"/>
      <c r="H68" s="351"/>
      <c r="I68" s="351"/>
      <c r="J68" s="351"/>
      <c r="K68" s="351"/>
      <c r="L68" s="351"/>
      <c r="M68" s="231"/>
    </row>
    <row r="69" spans="1:13" s="192" customFormat="1" ht="18" hidden="1" customHeight="1">
      <c r="A69" s="351"/>
      <c r="B69" s="2162"/>
      <c r="C69" s="2162"/>
      <c r="D69" s="2162"/>
      <c r="E69" s="2162"/>
      <c r="F69" s="2162"/>
      <c r="G69" s="2162"/>
      <c r="H69" s="2162"/>
      <c r="I69" s="2162"/>
      <c r="J69" s="2162"/>
      <c r="K69" s="2162"/>
      <c r="L69" s="2162"/>
      <c r="M69" s="231"/>
    </row>
    <row r="70" spans="1:13" s="192" customFormat="1" ht="18" hidden="1" customHeight="1">
      <c r="A70" s="230"/>
      <c r="B70" s="351"/>
      <c r="C70" s="351"/>
      <c r="D70" s="351"/>
      <c r="E70" s="351"/>
      <c r="F70" s="351"/>
      <c r="G70" s="351"/>
      <c r="H70" s="351"/>
      <c r="I70" s="351"/>
      <c r="J70" s="351"/>
      <c r="K70" s="351"/>
      <c r="L70" s="351"/>
      <c r="M70" s="231"/>
    </row>
    <row r="71" spans="1:13" s="192" customFormat="1" ht="18" hidden="1" customHeight="1">
      <c r="A71" s="351"/>
      <c r="B71" s="2162"/>
      <c r="C71" s="2162"/>
      <c r="D71" s="2162"/>
      <c r="E71" s="2162"/>
      <c r="F71" s="2162"/>
      <c r="G71" s="2162"/>
      <c r="H71" s="2162"/>
      <c r="I71" s="2162"/>
      <c r="J71" s="2162"/>
      <c r="K71" s="2162"/>
      <c r="L71" s="2162"/>
      <c r="M71" s="231"/>
    </row>
    <row r="72" spans="1:13" s="192" customFormat="1" ht="18" hidden="1" customHeight="1">
      <c r="A72" s="230"/>
      <c r="B72" s="351"/>
      <c r="C72" s="351"/>
      <c r="D72" s="351"/>
      <c r="E72" s="351"/>
      <c r="F72" s="351"/>
      <c r="G72" s="351"/>
      <c r="H72" s="351"/>
      <c r="I72" s="351"/>
      <c r="J72" s="351"/>
      <c r="K72" s="351"/>
      <c r="L72" s="351"/>
      <c r="M72" s="231"/>
    </row>
    <row r="73" spans="1:13" s="192" customFormat="1" ht="18" hidden="1" customHeight="1">
      <c r="A73" s="351"/>
      <c r="B73" s="351"/>
      <c r="C73" s="351"/>
      <c r="D73" s="351"/>
      <c r="E73" s="351"/>
      <c r="F73" s="351"/>
      <c r="G73" s="351"/>
      <c r="H73" s="351"/>
      <c r="I73" s="351"/>
      <c r="J73" s="351"/>
      <c r="K73" s="351"/>
      <c r="L73" s="351"/>
      <c r="M73" s="231"/>
    </row>
    <row r="74" spans="1:13" s="192" customFormat="1" ht="18" hidden="1" customHeight="1">
      <c r="A74" s="230"/>
      <c r="B74" s="351"/>
      <c r="C74" s="351"/>
      <c r="D74" s="351"/>
      <c r="E74" s="351"/>
      <c r="F74" s="351"/>
      <c r="G74" s="351"/>
      <c r="H74" s="351"/>
      <c r="I74" s="351"/>
      <c r="J74" s="351"/>
      <c r="K74" s="351"/>
      <c r="L74" s="351"/>
      <c r="M74" s="231"/>
    </row>
    <row r="75" spans="1:13" s="192" customFormat="1" ht="18" hidden="1" customHeight="1">
      <c r="A75" s="351"/>
      <c r="B75" s="2162"/>
      <c r="C75" s="2162"/>
      <c r="D75" s="2162"/>
      <c r="E75" s="2162"/>
      <c r="F75" s="2162"/>
      <c r="G75" s="2162"/>
      <c r="H75" s="2162"/>
      <c r="I75" s="2162"/>
      <c r="J75" s="2162"/>
      <c r="K75" s="2162"/>
      <c r="L75" s="2162"/>
      <c r="M75" s="231"/>
    </row>
    <row r="76" spans="1:13" s="192" customFormat="1" ht="18" hidden="1" customHeight="1">
      <c r="A76" s="230"/>
      <c r="B76" s="351"/>
      <c r="C76" s="351"/>
      <c r="D76" s="351"/>
      <c r="E76" s="351"/>
      <c r="F76" s="351"/>
      <c r="G76" s="351"/>
      <c r="H76" s="351"/>
      <c r="I76" s="351"/>
      <c r="J76" s="351"/>
      <c r="K76" s="351"/>
      <c r="L76" s="351"/>
      <c r="M76" s="231"/>
    </row>
    <row r="77" spans="1:13" s="192" customFormat="1" ht="18" hidden="1" customHeight="1">
      <c r="A77" s="229"/>
      <c r="B77" s="2163"/>
      <c r="C77" s="2163"/>
      <c r="D77" s="2163"/>
      <c r="E77" s="2163"/>
      <c r="F77" s="2163"/>
      <c r="G77" s="2163"/>
      <c r="H77" s="2163"/>
      <c r="I77" s="2163"/>
      <c r="J77" s="2163"/>
      <c r="K77" s="2163"/>
      <c r="L77" s="2163"/>
      <c r="M77" s="231"/>
    </row>
    <row r="78" spans="1:13" s="192" customFormat="1" ht="18" hidden="1" customHeight="1">
      <c r="A78" s="229"/>
      <c r="B78" s="2162"/>
      <c r="C78" s="2162"/>
      <c r="D78" s="2162"/>
      <c r="E78" s="2162"/>
      <c r="F78" s="2162"/>
      <c r="G78" s="2162"/>
      <c r="H78" s="2162"/>
      <c r="I78" s="2162"/>
      <c r="J78" s="2162"/>
      <c r="K78" s="2162"/>
      <c r="L78" s="2162"/>
      <c r="M78" s="231"/>
    </row>
    <row r="79" spans="1:13" s="192" customFormat="1" ht="14" hidden="1">
      <c r="A79" s="229"/>
      <c r="B79" s="2162"/>
      <c r="C79" s="2162"/>
      <c r="D79" s="2162"/>
      <c r="E79" s="2162"/>
      <c r="F79" s="2162"/>
      <c r="G79" s="2162"/>
      <c r="H79" s="2162"/>
      <c r="I79" s="2162"/>
      <c r="J79" s="2162"/>
      <c r="K79" s="2162"/>
      <c r="L79" s="2162"/>
      <c r="M79" s="231"/>
    </row>
    <row r="80" spans="1:13" s="192" customFormat="1" ht="14" hidden="1">
      <c r="M80" s="231"/>
    </row>
    <row r="81" spans="13:13" s="192" customFormat="1" ht="14" hidden="1">
      <c r="M81" s="231"/>
    </row>
    <row r="82" spans="13:13" s="192" customFormat="1" ht="14" hidden="1">
      <c r="M82" s="231"/>
    </row>
    <row r="83" spans="13:13" s="192" customFormat="1" ht="14" hidden="1">
      <c r="M83" s="231"/>
    </row>
    <row r="84" spans="13:13" s="192" customFormat="1" ht="14" hidden="1">
      <c r="M84" s="231"/>
    </row>
    <row r="85" spans="13:13" s="192" customFormat="1" ht="14" hidden="1">
      <c r="M85" s="231"/>
    </row>
    <row r="86" spans="13:13" s="192" customFormat="1" ht="14" hidden="1">
      <c r="M86" s="231"/>
    </row>
    <row r="87" spans="13:13" ht="14" hidden="1">
      <c r="M87" s="232"/>
    </row>
    <row r="88" spans="13:13" ht="14" hidden="1">
      <c r="M88" s="232"/>
    </row>
    <row r="89" spans="13:13" ht="14" hidden="1">
      <c r="M89" s="232"/>
    </row>
    <row r="90" spans="13:13" ht="14" hidden="1">
      <c r="M90" s="232"/>
    </row>
    <row r="91" spans="13:13" ht="14" hidden="1">
      <c r="M91" s="232"/>
    </row>
    <row r="92" spans="13:13" ht="14" hidden="1">
      <c r="M92" s="232"/>
    </row>
    <row r="93" spans="13:13" ht="14" hidden="1">
      <c r="M93" s="232"/>
    </row>
    <row r="94" spans="13:13" ht="14" hidden="1">
      <c r="M94" s="232"/>
    </row>
    <row r="95" spans="13:13" ht="14" hidden="1">
      <c r="M95" s="232"/>
    </row>
    <row r="96" spans="13:13" ht="14" hidden="1">
      <c r="M96" s="232"/>
    </row>
    <row r="97" spans="13:13" ht="14" hidden="1">
      <c r="M97" s="232"/>
    </row>
    <row r="98" spans="13:13" ht="14" hidden="1">
      <c r="M98" s="232"/>
    </row>
    <row r="99" spans="13:13" ht="14" hidden="1">
      <c r="M99" s="232"/>
    </row>
    <row r="100" spans="13:13" ht="14" hidden="1">
      <c r="M100" s="232"/>
    </row>
    <row r="101" spans="13:13" ht="14" hidden="1">
      <c r="M101" s="232"/>
    </row>
    <row r="102" spans="13:13" ht="14" hidden="1">
      <c r="M102" s="232"/>
    </row>
    <row r="103" spans="13:13" ht="14" hidden="1">
      <c r="M103" s="232"/>
    </row>
    <row r="104" spans="13:13" ht="14" hidden="1">
      <c r="M104" s="232"/>
    </row>
    <row r="105" spans="13:13" ht="14" hidden="1">
      <c r="M105" s="232"/>
    </row>
    <row r="106" spans="13:13" ht="14" hidden="1">
      <c r="M106" s="232"/>
    </row>
    <row r="107" spans="13:13" ht="14" hidden="1">
      <c r="M107" s="232"/>
    </row>
    <row r="108" spans="13:13" ht="16.5" customHeight="1"/>
    <row r="109" spans="13:13" ht="16.5" customHeight="1"/>
    <row r="110" spans="13:13" ht="16.5" customHeight="1"/>
    <row r="111" spans="13:13" ht="16.5" customHeight="1"/>
    <row r="112" spans="13:13" ht="16.5" customHeight="1"/>
    <row r="114" ht="16.5" customHeight="1"/>
    <row r="115" ht="16.5" customHeight="1"/>
    <row r="116" ht="16.5" customHeight="1"/>
    <row r="117" ht="16.5" customHeight="1"/>
    <row r="118" ht="16.5" customHeight="1"/>
    <row r="119" ht="16.5" customHeight="1"/>
    <row r="120" ht="16.5" customHeight="1"/>
    <row r="124" ht="16.5" customHeight="1"/>
    <row r="131" ht="16.5" customHeight="1"/>
  </sheetData>
  <sheetProtection algorithmName="SHA-512" hashValue="oCGeQhA5RBpRGf1yQKIy2bWM7aupPwWj7dzyXuQq9ylR3/1+JI3fQnhKwJ7GIKmDvUiA0Ut/ZbzwRpFWRw95gA==" saltValue="ikPj4Seivfk1ZbWWBkoq5g==" spinCount="100000" sheet="1" objects="1" scenarios="1"/>
  <mergeCells count="51">
    <mergeCell ref="B61:L61"/>
    <mergeCell ref="B77:L77"/>
    <mergeCell ref="B78:L78"/>
    <mergeCell ref="B63:L63"/>
    <mergeCell ref="B39:L39"/>
    <mergeCell ref="B41:L41"/>
    <mergeCell ref="B54:L54"/>
    <mergeCell ref="B55:L55"/>
    <mergeCell ref="B59:L59"/>
    <mergeCell ref="B51:L51"/>
    <mergeCell ref="B53:L53"/>
    <mergeCell ref="B47:L47"/>
    <mergeCell ref="B43:L43"/>
    <mergeCell ref="B79:L79"/>
    <mergeCell ref="B64:L64"/>
    <mergeCell ref="B66:L66"/>
    <mergeCell ref="B67:L67"/>
    <mergeCell ref="B69:L69"/>
    <mergeCell ref="B71:L71"/>
    <mergeCell ref="B75:L75"/>
    <mergeCell ref="C23:K23"/>
    <mergeCell ref="B33:L33"/>
    <mergeCell ref="B35:L35"/>
    <mergeCell ref="B45:L45"/>
    <mergeCell ref="C18:K18"/>
    <mergeCell ref="C19:K19"/>
    <mergeCell ref="C20:K20"/>
    <mergeCell ref="C21:K21"/>
    <mergeCell ref="C22:K22"/>
    <mergeCell ref="B32:L32"/>
    <mergeCell ref="D29:F29"/>
    <mergeCell ref="G29:I29"/>
    <mergeCell ref="B30:L30"/>
    <mergeCell ref="B36:L36"/>
    <mergeCell ref="C24:K24"/>
    <mergeCell ref="A1:G1"/>
    <mergeCell ref="C13:K13"/>
    <mergeCell ref="C17:K17"/>
    <mergeCell ref="A2:G2"/>
    <mergeCell ref="C16:K16"/>
    <mergeCell ref="A3:E3"/>
    <mergeCell ref="C5:K5"/>
    <mergeCell ref="C6:K6"/>
    <mergeCell ref="C14:K14"/>
    <mergeCell ref="C7:K7"/>
    <mergeCell ref="C8:K8"/>
    <mergeCell ref="C9:K9"/>
    <mergeCell ref="C11:K11"/>
    <mergeCell ref="C12:K12"/>
    <mergeCell ref="C15:K15"/>
    <mergeCell ref="C10:K10"/>
  </mergeCells>
  <pageMargins left="0.25" right="0.25" top="0.25" bottom="0.25" header="0" footer="0"/>
  <pageSetup scale="73"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ignoredErrors>
    <ignoredError sqref="B6:B8 B5" numberStoredAsText="1"/>
  </ignoredErrors>
  <drawing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dimension ref="A1:O199"/>
  <sheetViews>
    <sheetView showGridLines="0" zoomScale="90" zoomScaleNormal="90" workbookViewId="0">
      <selection activeCell="B6" sqref="B6"/>
    </sheetView>
  </sheetViews>
  <sheetFormatPr defaultColWidth="0" defaultRowHeight="14.5" customHeight="1" zeroHeight="1"/>
  <cols>
    <col min="1" max="1" width="14.1796875" style="42" customWidth="1"/>
    <col min="2" max="2" width="9.542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4" width="9.1796875" style="42" customWidth="1"/>
    <col min="15" max="15" width="13.54296875" style="42" customWidth="1"/>
    <col min="16" max="16384" width="13.54296875" style="42" hidden="1"/>
  </cols>
  <sheetData>
    <row r="1" spans="1:15"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5" ht="55" customHeight="1">
      <c r="A2" s="2750" t="s">
        <v>132</v>
      </c>
      <c r="B2" s="2750"/>
      <c r="C2" s="2750"/>
      <c r="D2" s="2750"/>
      <c r="E2" s="2750"/>
      <c r="F2" s="2750"/>
      <c r="G2" s="2750"/>
      <c r="H2" s="2750"/>
      <c r="I2" s="2750"/>
      <c r="J2" s="2750"/>
      <c r="K2" s="7"/>
      <c r="L2" s="7"/>
      <c r="M2" s="7"/>
      <c r="N2" s="7"/>
      <c r="O2" s="7"/>
    </row>
    <row r="3" spans="1:15" ht="31" thickBot="1">
      <c r="A3" s="24" t="s">
        <v>134</v>
      </c>
      <c r="B3" s="24"/>
      <c r="C3" s="24"/>
      <c r="D3" s="24"/>
      <c r="E3" s="24"/>
      <c r="F3" s="24"/>
      <c r="G3" s="24"/>
      <c r="H3" s="24"/>
      <c r="I3" s="24"/>
      <c r="J3" s="24"/>
      <c r="K3" s="24"/>
      <c r="L3" s="24"/>
      <c r="M3" s="24"/>
      <c r="N3" s="24"/>
      <c r="O3" s="7"/>
    </row>
    <row r="4" spans="1:15" ht="18.75" customHeight="1">
      <c r="A4" s="25"/>
      <c r="B4" s="25"/>
      <c r="C4" s="25"/>
      <c r="D4" s="25"/>
      <c r="E4" s="25"/>
      <c r="F4" s="25"/>
      <c r="G4" s="25"/>
      <c r="H4" s="25"/>
      <c r="I4" s="25"/>
      <c r="J4" s="25"/>
      <c r="K4" s="25"/>
      <c r="L4" s="25"/>
      <c r="M4" s="25"/>
      <c r="N4" s="25"/>
      <c r="O4" s="7"/>
    </row>
    <row r="5" spans="1:15" ht="18" customHeight="1">
      <c r="A5" s="18" t="s">
        <v>136</v>
      </c>
      <c r="B5" s="97">
        <f>'In Unit HVAC Worksheet'!B86</f>
        <v>5</v>
      </c>
      <c r="C5" s="2767"/>
      <c r="D5" s="2767"/>
      <c r="E5" s="18"/>
      <c r="F5" s="18"/>
      <c r="G5" s="18" t="s">
        <v>80</v>
      </c>
      <c r="H5" s="2766" t="str">
        <f>IF('In Unit HVAC Worksheet'!C86="","",'In Unit HVAC Worksheet'!C86)</f>
        <v/>
      </c>
      <c r="I5" s="2766"/>
      <c r="J5" s="14"/>
      <c r="K5" s="7"/>
      <c r="L5" s="7"/>
      <c r="M5" s="7"/>
      <c r="N5" s="7"/>
      <c r="O5" s="7"/>
    </row>
    <row r="6" spans="1:15" ht="18" customHeight="1">
      <c r="A6" s="18"/>
      <c r="B6" s="18"/>
      <c r="C6" s="18"/>
      <c r="D6" s="18"/>
      <c r="E6" s="18"/>
      <c r="F6" s="18"/>
      <c r="G6" s="18"/>
      <c r="H6" s="18"/>
      <c r="I6" s="14"/>
      <c r="J6" s="14"/>
      <c r="K6" s="7"/>
      <c r="L6" s="7"/>
      <c r="M6" s="7"/>
      <c r="N6" s="7"/>
      <c r="O6" s="7"/>
    </row>
    <row r="7" spans="1:15" ht="18" customHeight="1">
      <c r="B7" s="18"/>
      <c r="D7" s="18"/>
      <c r="E7" s="18"/>
      <c r="F7" s="18"/>
      <c r="G7" s="18" t="s">
        <v>135</v>
      </c>
      <c r="H7" s="2766" t="str">
        <f>IF('In Unit HVAC Worksheet'!E86="","",'In Unit HVAC Worksheet'!E86)</f>
        <v/>
      </c>
      <c r="I7" s="2766"/>
      <c r="J7" s="14"/>
      <c r="K7" s="7"/>
      <c r="L7" s="7"/>
      <c r="M7" s="7"/>
      <c r="N7" s="7"/>
      <c r="O7" s="7"/>
    </row>
    <row r="8" spans="1:15" ht="23">
      <c r="A8" s="20" t="s">
        <v>133</v>
      </c>
      <c r="B8" s="19"/>
      <c r="C8" s="19"/>
      <c r="D8" s="19"/>
      <c r="E8" s="19"/>
      <c r="F8" s="19"/>
      <c r="G8" s="19"/>
      <c r="H8" s="19"/>
      <c r="I8" s="19"/>
      <c r="J8" s="19"/>
      <c r="K8" s="19"/>
      <c r="L8" s="19"/>
      <c r="M8" s="11"/>
      <c r="N8" s="19"/>
      <c r="O8" s="19"/>
    </row>
    <row r="9" spans="1:15" ht="30.5">
      <c r="A9" s="14"/>
      <c r="B9" s="70" t="s">
        <v>30</v>
      </c>
      <c r="C9" s="71"/>
      <c r="D9" s="70" t="s">
        <v>31</v>
      </c>
      <c r="E9" s="72"/>
      <c r="F9" s="14"/>
      <c r="G9" s="14"/>
      <c r="H9" s="14"/>
      <c r="I9" s="14"/>
      <c r="J9" s="14"/>
      <c r="K9" s="7"/>
      <c r="L9" s="7"/>
      <c r="M9" s="7"/>
      <c r="N9" s="7"/>
      <c r="O9" s="7"/>
    </row>
    <row r="10" spans="1:15" ht="24" customHeight="1">
      <c r="A10" s="7"/>
      <c r="B10" s="22"/>
      <c r="C10" s="22"/>
      <c r="D10" s="22"/>
      <c r="E10" s="22"/>
      <c r="G10" s="16"/>
      <c r="H10" s="16"/>
      <c r="J10" s="7"/>
      <c r="K10" s="7"/>
      <c r="L10" s="7"/>
      <c r="M10" s="7"/>
      <c r="N10" s="7"/>
      <c r="O10" s="7"/>
    </row>
    <row r="11" spans="1:15" ht="23.5" thickBot="1">
      <c r="A11" s="17" t="s">
        <v>67</v>
      </c>
      <c r="B11" s="17"/>
      <c r="C11" s="17"/>
      <c r="D11" s="17"/>
      <c r="E11" s="17"/>
      <c r="F11" s="17"/>
      <c r="G11" s="17"/>
      <c r="H11" s="17"/>
      <c r="I11" s="17"/>
      <c r="J11" s="17"/>
      <c r="K11" s="17"/>
      <c r="L11" s="17"/>
      <c r="M11" s="17"/>
      <c r="N11" s="17"/>
      <c r="O11" s="19"/>
    </row>
    <row r="12" spans="1:15" ht="6.75" customHeight="1">
      <c r="A12" s="4"/>
      <c r="B12" s="5"/>
      <c r="C12" s="5"/>
      <c r="D12" s="5"/>
      <c r="E12" s="5"/>
      <c r="F12" s="5"/>
      <c r="G12" s="5"/>
      <c r="H12" s="5"/>
      <c r="I12" s="5"/>
      <c r="J12" s="5"/>
      <c r="K12" s="5"/>
      <c r="L12" s="5"/>
      <c r="M12" s="5"/>
      <c r="N12" s="5"/>
      <c r="O12" s="5"/>
    </row>
    <row r="13" spans="1:15" ht="27.75" customHeight="1">
      <c r="A13" s="139" t="s">
        <v>443</v>
      </c>
      <c r="B13" s="5"/>
      <c r="C13" s="5"/>
      <c r="D13" s="5"/>
      <c r="E13" s="5"/>
      <c r="F13" s="5"/>
      <c r="G13" s="5"/>
      <c r="H13" s="5"/>
      <c r="I13" s="5"/>
      <c r="J13" s="5"/>
      <c r="K13" s="5"/>
      <c r="L13" s="5"/>
      <c r="M13" s="5"/>
      <c r="N13" s="5"/>
      <c r="O13" s="5"/>
    </row>
    <row r="14" spans="1:15" ht="27.75" customHeight="1">
      <c r="A14" s="139"/>
      <c r="B14" s="5"/>
      <c r="C14" s="5"/>
      <c r="D14" s="5"/>
      <c r="E14" s="5"/>
      <c r="F14" s="5"/>
      <c r="G14" s="5"/>
      <c r="H14" s="5"/>
      <c r="I14" s="5"/>
      <c r="J14" s="5"/>
      <c r="K14" s="5"/>
      <c r="L14" s="5"/>
      <c r="M14" s="5"/>
      <c r="N14" s="5"/>
      <c r="O14" s="5"/>
    </row>
    <row r="15" spans="1:15" ht="33.65" customHeight="1">
      <c r="A15" s="42" t="s">
        <v>525</v>
      </c>
      <c r="E15" s="2734"/>
      <c r="F15" s="2734"/>
      <c r="G15" s="42" t="str">
        <f>IF(OR(E15=""),"",'Air Flow References'!U4)</f>
        <v/>
      </c>
      <c r="L15" s="43" t="s">
        <v>526</v>
      </c>
      <c r="M15" s="2731"/>
      <c r="N15" s="2731"/>
      <c r="O15" s="42" t="str">
        <f>IF(OR(M15=""),"",'Air Flow References'!U6)</f>
        <v/>
      </c>
    </row>
    <row r="16" spans="1:15" ht="33.65" customHeight="1"/>
    <row r="17" spans="1:15" ht="33.65" customHeight="1">
      <c r="A17" s="138" t="s">
        <v>543</v>
      </c>
    </row>
    <row r="18" spans="1:15" ht="33.65" customHeight="1">
      <c r="A18" s="2318" t="s">
        <v>527</v>
      </c>
      <c r="B18" s="2318"/>
      <c r="C18" s="2318"/>
      <c r="D18" s="2318"/>
      <c r="E18" s="2736"/>
      <c r="F18" s="2736"/>
      <c r="G18" s="42" t="str">
        <f>IF(OR(E18=""),"",'Air Flow References'!U5)</f>
        <v/>
      </c>
      <c r="H18" s="45"/>
      <c r="I18" s="45" t="s">
        <v>397</v>
      </c>
      <c r="L18" s="43" t="s">
        <v>528</v>
      </c>
      <c r="M18" s="2734"/>
      <c r="N18" s="2734"/>
      <c r="O18" s="42" t="str">
        <f>IF(OR(M18=""),"",'Air Flow References'!U7)</f>
        <v/>
      </c>
    </row>
    <row r="19" spans="1:15" ht="33.65" customHeight="1"/>
    <row r="20" spans="1:15" ht="33.65" customHeight="1">
      <c r="A20" s="42" t="s">
        <v>531</v>
      </c>
    </row>
    <row r="21" spans="1:15" ht="33.65" customHeight="1"/>
    <row r="22" spans="1:15" ht="33.65" customHeight="1">
      <c r="A22" s="42" t="s">
        <v>532</v>
      </c>
      <c r="E22" s="2731"/>
      <c r="F22" s="2731"/>
      <c r="G22" s="42" t="str">
        <f>IF(OR(E22=""),"",'Air Flow References'!U9)</f>
        <v/>
      </c>
      <c r="H22" s="73"/>
      <c r="I22" s="73"/>
      <c r="J22" s="73"/>
      <c r="K22" s="73"/>
    </row>
    <row r="23" spans="1:15" ht="33.65" customHeight="1">
      <c r="A23" s="162" t="s">
        <v>545</v>
      </c>
      <c r="E23" s="164"/>
      <c r="F23" s="164"/>
    </row>
    <row r="24" spans="1:15" ht="33.65" customHeight="1">
      <c r="E24" s="164"/>
      <c r="F24" s="164"/>
    </row>
    <row r="25" spans="1:15" ht="33.65" customHeight="1">
      <c r="A25" s="42" t="s">
        <v>533</v>
      </c>
      <c r="E25" s="2731"/>
      <c r="F25" s="2731"/>
      <c r="G25" s="42" t="str">
        <f>IF(OR(E25=""),"",'Air Flow References'!U8)</f>
        <v/>
      </c>
    </row>
    <row r="26" spans="1:15" ht="33.65" customHeight="1">
      <c r="A26" s="162" t="s">
        <v>546</v>
      </c>
      <c r="E26" s="164"/>
      <c r="F26" s="164"/>
    </row>
    <row r="27" spans="1:15" ht="33.65" customHeight="1">
      <c r="E27" s="164"/>
      <c r="F27" s="164"/>
    </row>
    <row r="28" spans="1:15"/>
    <row r="29" spans="1:15">
      <c r="A29" s="2318" t="s">
        <v>62</v>
      </c>
      <c r="B29" s="2318"/>
      <c r="C29" s="2318"/>
      <c r="D29" s="2318"/>
      <c r="E29" s="2318"/>
      <c r="F29" s="2318"/>
      <c r="G29" s="2318"/>
      <c r="H29" s="2318"/>
      <c r="I29" s="2318"/>
      <c r="J29" s="2318"/>
      <c r="K29" s="2318"/>
      <c r="L29" s="2318"/>
      <c r="M29" s="2318"/>
    </row>
    <row r="30" spans="1:15" ht="33.65" customHeight="1">
      <c r="A30" s="42" t="s">
        <v>63</v>
      </c>
      <c r="C30" s="2733"/>
      <c r="D30" s="2733"/>
      <c r="E30" s="2733"/>
      <c r="F30" s="2733"/>
      <c r="G30" s="2733"/>
      <c r="H30" s="2733"/>
      <c r="I30" s="2733"/>
      <c r="J30" s="2733"/>
      <c r="K30" s="2733"/>
      <c r="L30" s="2733"/>
    </row>
    <row r="31" spans="1:15"/>
    <row r="32" spans="1:15">
      <c r="A32" s="45" t="s">
        <v>66</v>
      </c>
    </row>
    <row r="33" spans="1:15">
      <c r="A33" s="42" t="s">
        <v>65</v>
      </c>
    </row>
    <row r="34" spans="1:15">
      <c r="A34" s="42" t="s">
        <v>64</v>
      </c>
    </row>
    <row r="35" spans="1:15"/>
    <row r="36" spans="1:15" ht="23.5" thickBot="1">
      <c r="A36" s="17" t="s">
        <v>236</v>
      </c>
      <c r="B36" s="17"/>
      <c r="C36" s="17"/>
      <c r="D36" s="17"/>
      <c r="E36" s="17"/>
      <c r="F36" s="17"/>
      <c r="G36" s="17"/>
      <c r="H36" s="17"/>
      <c r="I36" s="17"/>
      <c r="J36" s="17"/>
      <c r="K36" s="17"/>
      <c r="L36" s="17"/>
      <c r="M36" s="17"/>
      <c r="N36" s="17"/>
      <c r="O36" s="19"/>
    </row>
    <row r="37" spans="1:15" ht="23">
      <c r="A37" s="4"/>
      <c r="B37" s="4"/>
      <c r="C37" s="4"/>
      <c r="D37" s="4"/>
      <c r="E37" s="4"/>
      <c r="F37" s="4"/>
      <c r="G37" s="4"/>
      <c r="H37" s="4"/>
      <c r="I37" s="4"/>
      <c r="J37" s="4"/>
      <c r="K37" s="4"/>
      <c r="L37" s="4"/>
      <c r="M37" s="4"/>
      <c r="N37" s="4"/>
      <c r="O37" s="4"/>
    </row>
    <row r="38" spans="1:15" ht="23">
      <c r="A38" s="3" t="s">
        <v>97</v>
      </c>
      <c r="B38" s="4"/>
      <c r="C38" s="4"/>
      <c r="D38" s="4"/>
      <c r="E38" s="4"/>
      <c r="F38" s="4"/>
      <c r="G38" s="4"/>
      <c r="H38" s="4"/>
      <c r="I38" s="2749"/>
      <c r="J38" s="2749"/>
      <c r="K38" s="4"/>
      <c r="L38" s="4"/>
      <c r="M38" s="4"/>
    </row>
    <row r="39" spans="1:15" ht="23">
      <c r="A39" s="4"/>
      <c r="B39" s="4"/>
      <c r="C39" s="4"/>
      <c r="D39" s="4"/>
      <c r="E39" s="4"/>
      <c r="F39" s="4"/>
      <c r="G39" s="4"/>
      <c r="H39" s="4"/>
      <c r="I39" s="4"/>
      <c r="J39" s="4"/>
      <c r="K39" s="4"/>
      <c r="L39" s="4"/>
      <c r="M39" s="4"/>
      <c r="N39" s="4"/>
      <c r="O39" s="4"/>
    </row>
    <row r="40" spans="1:15">
      <c r="A40" s="46" t="s">
        <v>221</v>
      </c>
      <c r="B40" s="46"/>
      <c r="C40" s="46"/>
      <c r="D40" s="46"/>
      <c r="E40" s="46"/>
      <c r="F40" s="46"/>
      <c r="G40" s="46"/>
      <c r="H40" s="46"/>
      <c r="I40" s="46"/>
      <c r="J40" s="46"/>
      <c r="K40" s="46"/>
      <c r="L40" s="46"/>
      <c r="M40" s="46"/>
      <c r="N40" s="46"/>
    </row>
    <row r="41" spans="1:15">
      <c r="A41" s="48"/>
      <c r="B41" s="49"/>
      <c r="C41" s="49"/>
      <c r="D41" s="49"/>
      <c r="E41" s="49"/>
      <c r="F41" s="49"/>
      <c r="G41" s="49"/>
      <c r="H41" s="49"/>
      <c r="I41" s="49"/>
      <c r="J41" s="49"/>
      <c r="K41" s="49"/>
      <c r="L41" s="49"/>
      <c r="M41" s="49"/>
      <c r="N41" s="49"/>
    </row>
    <row r="42" spans="1:15">
      <c r="A42" s="54" t="s">
        <v>95</v>
      </c>
    </row>
    <row r="43" spans="1:15">
      <c r="A43" s="50" t="s">
        <v>96</v>
      </c>
    </row>
    <row r="44" spans="1:15">
      <c r="A44" s="50"/>
    </row>
    <row r="45" spans="1:15">
      <c r="A45" s="50"/>
      <c r="E45" s="2747"/>
      <c r="F45" s="2747"/>
    </row>
    <row r="46" spans="1:15">
      <c r="A46" s="50"/>
    </row>
    <row r="47" spans="1:15">
      <c r="A47" s="50"/>
    </row>
    <row r="48" spans="1:15">
      <c r="A48" s="50"/>
    </row>
    <row r="49" spans="1:7">
      <c r="A49" s="50"/>
      <c r="B49" s="42" t="s">
        <v>110</v>
      </c>
      <c r="E49" s="96"/>
      <c r="F49" s="42" t="s">
        <v>101</v>
      </c>
      <c r="G49" s="42" t="str">
        <f>IF(OR(E49=""),"",'Air Flow References'!U16)</f>
        <v/>
      </c>
    </row>
    <row r="50" spans="1:7">
      <c r="A50" s="50"/>
    </row>
    <row r="51" spans="1:7">
      <c r="A51" s="50"/>
      <c r="B51" s="42" t="s">
        <v>111</v>
      </c>
      <c r="E51" s="96"/>
      <c r="F51" s="56" t="s">
        <v>101</v>
      </c>
      <c r="G51" s="42" t="str">
        <f>IF(OR(E51=""),"",'Air Flow References'!U17)</f>
        <v/>
      </c>
    </row>
    <row r="52" spans="1:7">
      <c r="A52" s="50"/>
    </row>
    <row r="53" spans="1:7">
      <c r="A53" s="54" t="s">
        <v>102</v>
      </c>
    </row>
    <row r="54" spans="1:7">
      <c r="A54" s="54"/>
    </row>
    <row r="55" spans="1:7">
      <c r="A55" s="50" t="s">
        <v>112</v>
      </c>
      <c r="E55" s="96"/>
      <c r="F55" s="42" t="s">
        <v>106</v>
      </c>
      <c r="G55" s="42" t="str">
        <f>IF(OR(E55=""),"",'Air Flow References'!U18)</f>
        <v/>
      </c>
    </row>
    <row r="56" spans="1:7">
      <c r="A56" s="50"/>
    </row>
    <row r="57" spans="1:7">
      <c r="A57" s="50" t="s">
        <v>113</v>
      </c>
      <c r="E57" s="96"/>
      <c r="F57" s="42" t="s">
        <v>101</v>
      </c>
      <c r="G57" s="42" t="str">
        <f>IF(OR(E57=""),"",'Air Flow References'!U19)</f>
        <v/>
      </c>
    </row>
    <row r="58" spans="1:7">
      <c r="A58" s="50"/>
    </row>
    <row r="59" spans="1:7">
      <c r="A59" s="50" t="s">
        <v>114</v>
      </c>
      <c r="E59" s="96"/>
      <c r="F59" s="42" t="s">
        <v>101</v>
      </c>
      <c r="G59" s="42" t="str">
        <f>IF(OR(E59=""),"",'Air Flow References'!U20)</f>
        <v/>
      </c>
    </row>
    <row r="60" spans="1:7">
      <c r="A60" s="50"/>
    </row>
    <row r="61" spans="1:7">
      <c r="A61" s="50" t="s">
        <v>115</v>
      </c>
      <c r="E61" s="98" t="str">
        <f>IF(OR(E57="",E59=""),"",E57-E59)</f>
        <v/>
      </c>
      <c r="F61" s="42" t="s">
        <v>101</v>
      </c>
    </row>
    <row r="62" spans="1:7">
      <c r="A62" s="50"/>
    </row>
    <row r="63" spans="1:7">
      <c r="A63" s="57" t="s">
        <v>116</v>
      </c>
    </row>
    <row r="64" spans="1:7">
      <c r="A64" s="50"/>
    </row>
    <row r="65" spans="1:15">
      <c r="A65" s="58" t="s">
        <v>117</v>
      </c>
      <c r="B65" s="59"/>
      <c r="C65" s="59"/>
      <c r="D65" s="59"/>
      <c r="E65" s="59"/>
      <c r="F65" s="59"/>
      <c r="G65" s="59"/>
      <c r="H65" s="59"/>
      <c r="I65" s="59"/>
      <c r="J65" s="59"/>
      <c r="K65" s="59"/>
      <c r="L65" s="59"/>
      <c r="M65" s="59"/>
      <c r="N65" s="59"/>
    </row>
    <row r="66" spans="1:15">
      <c r="A66" s="46" t="s">
        <v>260</v>
      </c>
      <c r="B66" s="46"/>
      <c r="C66" s="46"/>
      <c r="D66" s="46"/>
      <c r="E66" s="46"/>
      <c r="F66" s="46"/>
      <c r="G66" s="46"/>
      <c r="H66" s="46"/>
      <c r="I66" s="46"/>
      <c r="J66" s="46"/>
      <c r="K66" s="46"/>
      <c r="L66" s="46"/>
      <c r="M66" s="46"/>
      <c r="N66" s="46"/>
      <c r="O66" s="47"/>
    </row>
    <row r="67" spans="1:15">
      <c r="A67" s="48"/>
      <c r="B67" s="49"/>
      <c r="C67" s="49"/>
      <c r="D67" s="49"/>
      <c r="E67" s="49"/>
      <c r="F67" s="49"/>
      <c r="G67" s="49"/>
      <c r="H67" s="49"/>
      <c r="I67" s="49"/>
      <c r="J67" s="49"/>
      <c r="K67" s="49"/>
      <c r="L67" s="49"/>
      <c r="M67" s="49"/>
      <c r="N67" s="49"/>
    </row>
    <row r="68" spans="1:15">
      <c r="A68" s="54" t="s">
        <v>95</v>
      </c>
    </row>
    <row r="69" spans="1:15">
      <c r="A69" s="50" t="s">
        <v>96</v>
      </c>
    </row>
    <row r="70" spans="1:15">
      <c r="A70" s="50"/>
    </row>
    <row r="71" spans="1:15">
      <c r="A71" s="50"/>
      <c r="E71" s="2747"/>
      <c r="F71" s="2747"/>
    </row>
    <row r="72" spans="1:15">
      <c r="A72" s="50"/>
    </row>
    <row r="73" spans="1:15">
      <c r="A73" s="50"/>
    </row>
    <row r="74" spans="1:15">
      <c r="A74" s="50"/>
      <c r="B74" s="42" t="s">
        <v>98</v>
      </c>
      <c r="E74" s="96"/>
      <c r="F74" s="42" t="s">
        <v>399</v>
      </c>
      <c r="G74" s="172" t="str">
        <f>IF(OR(E74=""),"",'Air Flow References'!U28)</f>
        <v/>
      </c>
    </row>
    <row r="75" spans="1:15">
      <c r="A75" s="50"/>
      <c r="B75" s="138" t="s">
        <v>398</v>
      </c>
      <c r="E75" s="167"/>
      <c r="G75" s="55"/>
    </row>
    <row r="76" spans="1:15">
      <c r="A76" s="50"/>
    </row>
    <row r="77" spans="1:15">
      <c r="A77" s="50"/>
      <c r="B77" s="42" t="s">
        <v>99</v>
      </c>
      <c r="E77" s="96"/>
      <c r="F77" s="42" t="s">
        <v>101</v>
      </c>
      <c r="G77" s="42" t="str">
        <f>IF(OR(E77=""),"",'Air Flow References'!U29)</f>
        <v/>
      </c>
    </row>
    <row r="78" spans="1:15">
      <c r="A78" s="50"/>
    </row>
    <row r="79" spans="1:15">
      <c r="A79" s="50"/>
      <c r="B79" s="42" t="s">
        <v>100</v>
      </c>
      <c r="E79" s="96"/>
      <c r="F79" s="56" t="s">
        <v>101</v>
      </c>
      <c r="G79" s="42" t="str">
        <f>IF(OR(E79=""),"",'Air Flow References'!U30)</f>
        <v/>
      </c>
    </row>
    <row r="80" spans="1:15">
      <c r="A80" s="50"/>
    </row>
    <row r="81" spans="1:15">
      <c r="A81" s="50"/>
    </row>
    <row r="82" spans="1:15">
      <c r="A82" s="54" t="s">
        <v>102</v>
      </c>
    </row>
    <row r="83" spans="1:15">
      <c r="A83" s="50"/>
    </row>
    <row r="84" spans="1:15">
      <c r="A84" s="50" t="s">
        <v>103</v>
      </c>
      <c r="E84" s="96"/>
      <c r="F84" s="42" t="s">
        <v>106</v>
      </c>
      <c r="G84" s="42" t="str">
        <f>IF(OR(E84=""),"",'Air Flow References'!U31)</f>
        <v/>
      </c>
    </row>
    <row r="85" spans="1:15">
      <c r="A85" s="50"/>
    </row>
    <row r="86" spans="1:15">
      <c r="A86" s="50" t="s">
        <v>104</v>
      </c>
      <c r="E86" s="96"/>
      <c r="F86" s="56" t="s">
        <v>101</v>
      </c>
      <c r="G86" s="42" t="str">
        <f>IF(OR(E86=""),"",'Air Flow References'!U32)</f>
        <v/>
      </c>
    </row>
    <row r="87" spans="1:15">
      <c r="A87" s="50"/>
    </row>
    <row r="88" spans="1:15">
      <c r="A88" s="50" t="s">
        <v>105</v>
      </c>
      <c r="E88" s="96"/>
      <c r="F88" s="56" t="s">
        <v>101</v>
      </c>
      <c r="G88" s="42" t="str">
        <f>IF(OR(E88=""),"",'Air Flow References'!U33)</f>
        <v/>
      </c>
    </row>
    <row r="89" spans="1:15">
      <c r="A89" s="50"/>
    </row>
    <row r="90" spans="1:15">
      <c r="A90" s="50" t="s">
        <v>107</v>
      </c>
      <c r="E90" s="98" t="str">
        <f>IF(OR(E86="",E88=""),"",E88-E86)</f>
        <v/>
      </c>
      <c r="F90" s="56" t="s">
        <v>101</v>
      </c>
    </row>
    <row r="91" spans="1:15">
      <c r="A91" s="50"/>
    </row>
    <row r="92" spans="1:15">
      <c r="A92" s="57" t="s">
        <v>108</v>
      </c>
    </row>
    <row r="93" spans="1:15">
      <c r="A93" s="50"/>
    </row>
    <row r="94" spans="1:15">
      <c r="A94" s="45" t="s">
        <v>109</v>
      </c>
    </row>
    <row r="95" spans="1:15">
      <c r="A95" s="46" t="s">
        <v>847</v>
      </c>
      <c r="B95" s="46"/>
      <c r="C95" s="46"/>
      <c r="D95" s="46"/>
      <c r="E95" s="46"/>
      <c r="F95" s="46"/>
      <c r="G95" s="46"/>
      <c r="H95" s="46"/>
      <c r="I95" s="46"/>
      <c r="J95" s="46"/>
      <c r="K95" s="46"/>
      <c r="L95" s="46"/>
      <c r="M95" s="46"/>
      <c r="N95" s="46"/>
      <c r="O95" s="47"/>
    </row>
    <row r="96" spans="1:15">
      <c r="A96" s="48"/>
      <c r="B96" s="49"/>
      <c r="C96" s="49"/>
      <c r="D96" s="49"/>
      <c r="E96" s="49"/>
      <c r="F96" s="49"/>
      <c r="G96" s="49"/>
      <c r="H96" s="49"/>
      <c r="I96" s="49"/>
      <c r="J96" s="49"/>
      <c r="K96" s="49"/>
      <c r="L96" s="49"/>
      <c r="M96" s="49"/>
      <c r="N96" s="49"/>
    </row>
    <row r="97" spans="1:14">
      <c r="A97" s="50" t="s">
        <v>68</v>
      </c>
    </row>
    <row r="98" spans="1:14" ht="9.75" customHeight="1">
      <c r="A98" s="50"/>
    </row>
    <row r="99" spans="1:14" ht="15.75" customHeight="1">
      <c r="A99" s="50"/>
      <c r="E99" s="2734"/>
      <c r="F99" s="2734"/>
      <c r="G99" s="42" t="s">
        <v>69</v>
      </c>
    </row>
    <row r="100" spans="1:14">
      <c r="A100" s="2742" t="s">
        <v>2014</v>
      </c>
      <c r="B100" s="2624"/>
    </row>
    <row r="101" spans="1:14">
      <c r="A101" s="2742"/>
      <c r="B101" s="2624"/>
      <c r="C101" s="663"/>
      <c r="E101" s="42" t="s">
        <v>71</v>
      </c>
      <c r="F101" s="663"/>
    </row>
    <row r="102" spans="1:14">
      <c r="A102" s="50"/>
    </row>
    <row r="103" spans="1:14">
      <c r="A103" s="50"/>
    </row>
    <row r="104" spans="1:14">
      <c r="A104" s="50" t="s">
        <v>81</v>
      </c>
      <c r="E104" s="74"/>
    </row>
    <row r="105" spans="1:14">
      <c r="A105" s="50"/>
    </row>
    <row r="106" spans="1:14">
      <c r="A106" s="50"/>
    </row>
    <row r="107" spans="1:14">
      <c r="A107" s="50" t="s">
        <v>82</v>
      </c>
      <c r="E107" s="74"/>
    </row>
    <row r="108" spans="1:14">
      <c r="A108" s="50"/>
    </row>
    <row r="109" spans="1:14">
      <c r="A109" s="50"/>
    </row>
    <row r="110" spans="1:14">
      <c r="A110" s="50" t="s">
        <v>2015</v>
      </c>
      <c r="C110" s="663"/>
      <c r="D110" s="42" t="s">
        <v>84</v>
      </c>
    </row>
    <row r="111" spans="1:14">
      <c r="A111" s="50"/>
    </row>
    <row r="112" spans="1:14">
      <c r="A112" s="50" t="s">
        <v>85</v>
      </c>
      <c r="D112" s="661"/>
      <c r="E112" s="42" t="s">
        <v>86</v>
      </c>
      <c r="F112" s="42" t="s">
        <v>87</v>
      </c>
      <c r="G112" s="661"/>
      <c r="H112" s="42" t="s">
        <v>84</v>
      </c>
      <c r="I112" s="42" t="s">
        <v>88</v>
      </c>
      <c r="J112" s="661"/>
      <c r="K112" s="42" t="s">
        <v>89</v>
      </c>
      <c r="L112" s="51" t="s">
        <v>90</v>
      </c>
      <c r="M112" s="661"/>
      <c r="N112" s="42" t="s">
        <v>91</v>
      </c>
    </row>
    <row r="113" spans="1:15">
      <c r="A113" s="50"/>
      <c r="L113" s="51"/>
    </row>
    <row r="114" spans="1:15">
      <c r="A114" s="50" t="s">
        <v>183</v>
      </c>
      <c r="D114" s="661"/>
      <c r="E114" s="42" t="s">
        <v>86</v>
      </c>
      <c r="F114" s="42" t="s">
        <v>87</v>
      </c>
      <c r="G114" s="661"/>
      <c r="H114" s="42" t="s">
        <v>84</v>
      </c>
      <c r="I114" s="42" t="s">
        <v>88</v>
      </c>
      <c r="J114" s="661"/>
      <c r="K114" s="42" t="s">
        <v>89</v>
      </c>
      <c r="L114" s="51" t="s">
        <v>90</v>
      </c>
      <c r="M114" s="661"/>
      <c r="N114" s="42" t="s">
        <v>91</v>
      </c>
    </row>
    <row r="115" spans="1:15">
      <c r="A115" s="50"/>
    </row>
    <row r="116" spans="1:15">
      <c r="A116" s="52" t="s">
        <v>242</v>
      </c>
      <c r="M116" s="661"/>
      <c r="N116" s="42" t="s">
        <v>91</v>
      </c>
    </row>
    <row r="117" spans="1:15">
      <c r="A117" s="50"/>
    </row>
    <row r="118" spans="1:15">
      <c r="A118" s="2745" t="s">
        <v>92</v>
      </c>
      <c r="B118" s="2738"/>
      <c r="C118" s="2738"/>
      <c r="D118" s="2738"/>
      <c r="E118" s="2746"/>
      <c r="F118" s="2743" t="s">
        <v>93</v>
      </c>
      <c r="G118" s="2743"/>
      <c r="H118" s="2743"/>
      <c r="I118" s="2743"/>
      <c r="J118" s="2743"/>
      <c r="K118" s="2743"/>
      <c r="L118" s="53"/>
      <c r="M118" s="2754" t="str">
        <f>IF(AND(M112="",M114="",M116=""),"",M112+M114+M116)</f>
        <v/>
      </c>
      <c r="N118" s="2738" t="s">
        <v>91</v>
      </c>
    </row>
    <row r="119" spans="1:15">
      <c r="A119" s="2745"/>
      <c r="B119" s="2738"/>
      <c r="C119" s="2738"/>
      <c r="D119" s="2738"/>
      <c r="E119" s="2746"/>
      <c r="F119" s="2743"/>
      <c r="G119" s="2743"/>
      <c r="H119" s="2743"/>
      <c r="I119" s="2743"/>
      <c r="J119" s="2743"/>
      <c r="K119" s="2743"/>
      <c r="L119" s="53"/>
      <c r="M119" s="2755"/>
      <c r="N119" s="2738"/>
    </row>
    <row r="120" spans="1:15">
      <c r="A120" s="660"/>
      <c r="B120" s="659"/>
      <c r="C120" s="659"/>
      <c r="D120" s="659"/>
      <c r="E120" s="659"/>
      <c r="F120" s="659"/>
      <c r="G120" s="659"/>
      <c r="H120" s="659"/>
      <c r="I120" s="659"/>
      <c r="J120" s="659"/>
      <c r="K120" s="659"/>
      <c r="L120" s="53"/>
      <c r="M120" s="662"/>
      <c r="N120" s="659"/>
    </row>
    <row r="121" spans="1:15">
      <c r="A121" s="660"/>
      <c r="B121" s="659"/>
      <c r="C121" s="659"/>
      <c r="D121" s="659"/>
      <c r="E121" s="659"/>
      <c r="F121" s="659"/>
      <c r="G121" s="659"/>
      <c r="H121" s="659"/>
      <c r="I121" s="659"/>
      <c r="J121" s="659"/>
      <c r="K121" s="659"/>
      <c r="L121" s="53"/>
      <c r="M121" s="662"/>
      <c r="N121" s="659"/>
    </row>
    <row r="122" spans="1:15">
      <c r="A122" s="660"/>
      <c r="B122" s="659"/>
      <c r="C122" s="659"/>
      <c r="D122" s="659"/>
      <c r="E122" s="659"/>
      <c r="F122" s="659"/>
      <c r="G122" s="659"/>
      <c r="H122" s="659"/>
      <c r="I122" s="659"/>
      <c r="J122" s="659"/>
      <c r="K122" s="659"/>
      <c r="L122" s="53"/>
      <c r="M122" s="662"/>
      <c r="N122" s="659"/>
    </row>
    <row r="123" spans="1:15">
      <c r="A123" s="50"/>
    </row>
    <row r="124" spans="1:15">
      <c r="A124" s="45" t="s">
        <v>94</v>
      </c>
    </row>
    <row r="125" spans="1:15">
      <c r="A125" s="63" t="s">
        <v>223</v>
      </c>
      <c r="B125" s="67"/>
      <c r="C125" s="64" t="str">
        <f>Development!$A$4&amp;"_"&amp;Development!$A$2</f>
        <v>4.01.2024_2.0</v>
      </c>
      <c r="D125" s="2756"/>
      <c r="E125" s="2756"/>
      <c r="F125" s="2756"/>
      <c r="G125" s="2757"/>
      <c r="H125" s="2757"/>
      <c r="I125" s="2757"/>
      <c r="J125" s="49"/>
      <c r="K125" s="49"/>
      <c r="L125" s="49"/>
      <c r="M125" s="49"/>
      <c r="N125" s="66" t="s">
        <v>225</v>
      </c>
      <c r="O125" s="65" t="str">
        <f>Development!$A$4</f>
        <v>4.01.2024</v>
      </c>
    </row>
    <row r="126" spans="1:15"/>
    <row r="127" spans="1:15"/>
    <row r="128" spans="1:15"/>
    <row r="129" s="42" customFormat="1"/>
    <row r="130" s="42" customFormat="1"/>
    <row r="131" s="42" customFormat="1"/>
    <row r="132" s="42" customFormat="1"/>
    <row r="133" s="42" customFormat="1"/>
    <row r="134" s="42" customFormat="1"/>
    <row r="135" s="42" customFormat="1"/>
    <row r="136" s="42" customFormat="1"/>
    <row r="137" s="42" customFormat="1"/>
    <row r="138" s="42" customFormat="1"/>
    <row r="139" s="42" customFormat="1"/>
    <row r="140" s="42" customFormat="1"/>
    <row r="141" s="42" customFormat="1"/>
    <row r="142" s="42" customFormat="1"/>
    <row r="143" s="42" customFormat="1"/>
    <row r="144" s="42" customFormat="1"/>
    <row r="145" spans="15:15">
      <c r="O145" s="60"/>
    </row>
    <row r="157" spans="15:15"/>
    <row r="158" spans="15:15"/>
    <row r="159" spans="15:15"/>
    <row r="160" spans="15:15"/>
    <row r="161"/>
    <row r="162"/>
    <row r="163"/>
    <row r="164"/>
    <row r="165"/>
    <row r="166"/>
    <row r="167"/>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sheetData>
  <sheetProtection algorithmName="SHA-512" hashValue="zkbuHDl2taz2JjnNcA8EuuBfJeKgQvQh0ubM7qScCGOhgZgkAyj0KiDLEm1VuZs6NI+d/m++3ZQNtnIDQ4FyBQ==" saltValue="NNuFactR1c5BqrQ4jJwrhA==" spinCount="100000" sheet="1" objects="1" scenarios="1"/>
  <mergeCells count="25">
    <mergeCell ref="M118:M119"/>
    <mergeCell ref="N118:N119"/>
    <mergeCell ref="E71:F71"/>
    <mergeCell ref="A1:J1"/>
    <mergeCell ref="A2:J2"/>
    <mergeCell ref="E15:F15"/>
    <mergeCell ref="M15:N15"/>
    <mergeCell ref="A18:D18"/>
    <mergeCell ref="E18:F18"/>
    <mergeCell ref="C5:D5"/>
    <mergeCell ref="H5:I5"/>
    <mergeCell ref="H7:I7"/>
    <mergeCell ref="M18:N18"/>
    <mergeCell ref="E22:F22"/>
    <mergeCell ref="A29:M29"/>
    <mergeCell ref="I38:J38"/>
    <mergeCell ref="C30:L30"/>
    <mergeCell ref="E25:F25"/>
    <mergeCell ref="D125:F125"/>
    <mergeCell ref="G125:I125"/>
    <mergeCell ref="E45:F45"/>
    <mergeCell ref="E99:F99"/>
    <mergeCell ref="A118:E119"/>
    <mergeCell ref="F118:K119"/>
    <mergeCell ref="A100:B101"/>
  </mergeCells>
  <dataValidations count="1">
    <dataValidation type="list" allowBlank="1" showInputMessage="1" showErrorMessage="1" sqref="E23:E24 F24 E26:F27" xr:uid="{00000000-0002-0000-1200-000000000000}">
      <formula1>CFM_AirFlow_Est</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37889" r:id="rId4" name="OptionButton1">
          <controlPr defaultSize="0" autoLine="0" autoPict="0" r:id="rId5">
            <anchor moveWithCells="1">
              <from>
                <xdr:col>3</xdr:col>
                <xdr:colOff>69850</xdr:colOff>
                <xdr:row>19</xdr:row>
                <xdr:rowOff>165100</xdr:rowOff>
              </from>
              <to>
                <xdr:col>6</xdr:col>
                <xdr:colOff>0</xdr:colOff>
                <xdr:row>20</xdr:row>
                <xdr:rowOff>69850</xdr:rowOff>
              </to>
            </anchor>
          </controlPr>
        </control>
      </mc:Choice>
      <mc:Fallback>
        <control shapeId="37889" r:id="rId4" name="OptionButton1"/>
      </mc:Fallback>
    </mc:AlternateContent>
    <mc:AlternateContent xmlns:mc="http://schemas.openxmlformats.org/markup-compatibility/2006">
      <mc:Choice Requires="x14">
        <control shapeId="37890" r:id="rId6" name="OptionButton2">
          <controlPr defaultSize="0" autoLine="0" r:id="rId7">
            <anchor moveWithCells="1">
              <from>
                <xdr:col>6</xdr:col>
                <xdr:colOff>0</xdr:colOff>
                <xdr:row>19</xdr:row>
                <xdr:rowOff>165100</xdr:rowOff>
              </from>
              <to>
                <xdr:col>10</xdr:col>
                <xdr:colOff>190500</xdr:colOff>
                <xdr:row>20</xdr:row>
                <xdr:rowOff>165100</xdr:rowOff>
              </to>
            </anchor>
          </controlPr>
        </control>
      </mc:Choice>
      <mc:Fallback>
        <control shapeId="37890" r:id="rId6" name="OptionButton2"/>
      </mc:Fallback>
    </mc:AlternateContent>
    <mc:AlternateContent xmlns:mc="http://schemas.openxmlformats.org/markup-compatibility/2006">
      <mc:Choice Requires="x14">
        <control shapeId="37906" r:id="rId8" name="OptionButton7">
          <controlPr defaultSize="0" autoLine="0" r:id="rId9">
            <anchor moveWithCells="1">
              <from>
                <xdr:col>1</xdr:col>
                <xdr:colOff>12700</xdr:colOff>
                <xdr:row>70</xdr:row>
                <xdr:rowOff>0</xdr:rowOff>
              </from>
              <to>
                <xdr:col>1</xdr:col>
                <xdr:colOff>654050</xdr:colOff>
                <xdr:row>71</xdr:row>
                <xdr:rowOff>82550</xdr:rowOff>
              </to>
            </anchor>
          </controlPr>
        </control>
      </mc:Choice>
      <mc:Fallback>
        <control shapeId="37906" r:id="rId8" name="OptionButton7"/>
      </mc:Fallback>
    </mc:AlternateContent>
    <mc:AlternateContent xmlns:mc="http://schemas.openxmlformats.org/markup-compatibility/2006">
      <mc:Choice Requires="x14">
        <control shapeId="37915" r:id="rId10" name="OptionButton10">
          <controlPr defaultSize="0" autoLine="0" r:id="rId11">
            <anchor moveWithCells="1">
              <from>
                <xdr:col>1</xdr:col>
                <xdr:colOff>38100</xdr:colOff>
                <xdr:row>44</xdr:row>
                <xdr:rowOff>50800</xdr:rowOff>
              </from>
              <to>
                <xdr:col>2</xdr:col>
                <xdr:colOff>12700</xdr:colOff>
                <xdr:row>45</xdr:row>
                <xdr:rowOff>139700</xdr:rowOff>
              </to>
            </anchor>
          </controlPr>
        </control>
      </mc:Choice>
      <mc:Fallback>
        <control shapeId="37915" r:id="rId10" name="OptionButton10"/>
      </mc:Fallback>
    </mc:AlternateContent>
    <mc:AlternateContent xmlns:mc="http://schemas.openxmlformats.org/markup-compatibility/2006">
      <mc:Choice Requires="x14">
        <control shapeId="38892" r:id="rId12" name="CommandButton1">
          <controlPr defaultSize="0" autoLine="0" r:id="rId13">
            <anchor moveWithCells="1">
              <from>
                <xdr:col>11</xdr:col>
                <xdr:colOff>266700</xdr:colOff>
                <xdr:row>120</xdr:row>
                <xdr:rowOff>12700</xdr:rowOff>
              </from>
              <to>
                <xdr:col>14</xdr:col>
                <xdr:colOff>520700</xdr:colOff>
                <xdr:row>122</xdr:row>
                <xdr:rowOff>165100</xdr:rowOff>
              </to>
            </anchor>
          </controlPr>
        </control>
      </mc:Choice>
      <mc:Fallback>
        <control shapeId="38892" r:id="rId12" name="CommandButton1"/>
      </mc:Fallback>
    </mc:AlternateContent>
    <mc:AlternateContent xmlns:mc="http://schemas.openxmlformats.org/markup-compatibility/2006">
      <mc:Choice Requires="x14">
        <control shapeId="37891" r:id="rId14" name="Group Box 3">
          <controlPr defaultSize="0" autoFill="0" autoPict="0">
            <anchor moveWithCells="1">
              <from>
                <xdr:col>0</xdr:col>
                <xdr:colOff>12700</xdr:colOff>
                <xdr:row>19</xdr:row>
                <xdr:rowOff>57150</xdr:rowOff>
              </from>
              <to>
                <xdr:col>6</xdr:col>
                <xdr:colOff>457200</xdr:colOff>
                <xdr:row>20</xdr:row>
                <xdr:rowOff>336550</xdr:rowOff>
              </to>
            </anchor>
          </controlPr>
        </control>
      </mc:Choice>
    </mc:AlternateContent>
    <mc:AlternateContent xmlns:mc="http://schemas.openxmlformats.org/markup-compatibility/2006">
      <mc:Choice Requires="x14">
        <control shapeId="37892" r:id="rId15" name="Check Box 4">
          <controlPr defaultSize="0" autoFill="0" autoLine="0" autoPict="0">
            <anchor moveWithCells="1">
              <from>
                <xdr:col>7</xdr:col>
                <xdr:colOff>533400</xdr:colOff>
                <xdr:row>21</xdr:row>
                <xdr:rowOff>165100</xdr:rowOff>
              </from>
              <to>
                <xdr:col>9</xdr:col>
                <xdr:colOff>50800</xdr:colOff>
                <xdr:row>21</xdr:row>
                <xdr:rowOff>469900</xdr:rowOff>
              </to>
            </anchor>
          </controlPr>
        </control>
      </mc:Choice>
    </mc:AlternateContent>
    <mc:AlternateContent xmlns:mc="http://schemas.openxmlformats.org/markup-compatibility/2006">
      <mc:Choice Requires="x14">
        <control shapeId="37893" r:id="rId16" name="Check Box 5">
          <controlPr defaultSize="0" autoFill="0" autoLine="0" autoPict="0">
            <anchor moveWithCells="1">
              <from>
                <xdr:col>9</xdr:col>
                <xdr:colOff>419100</xdr:colOff>
                <xdr:row>21</xdr:row>
                <xdr:rowOff>165100</xdr:rowOff>
              </from>
              <to>
                <xdr:col>10</xdr:col>
                <xdr:colOff>990600</xdr:colOff>
                <xdr:row>21</xdr:row>
                <xdr:rowOff>488950</xdr:rowOff>
              </to>
            </anchor>
          </controlPr>
        </control>
      </mc:Choice>
    </mc:AlternateContent>
    <mc:AlternateContent xmlns:mc="http://schemas.openxmlformats.org/markup-compatibility/2006">
      <mc:Choice Requires="x14">
        <control shapeId="37897" r:id="rId17" name="Group Box 9">
          <controlPr defaultSize="0" autoFill="0" autoPict="0">
            <anchor moveWithCells="1">
              <from>
                <xdr:col>0</xdr:col>
                <xdr:colOff>50800</xdr:colOff>
                <xdr:row>65</xdr:row>
                <xdr:rowOff>0</xdr:rowOff>
              </from>
              <to>
                <xdr:col>3</xdr:col>
                <xdr:colOff>1409700</xdr:colOff>
                <xdr:row>69</xdr:row>
                <xdr:rowOff>95250</xdr:rowOff>
              </to>
            </anchor>
          </controlPr>
        </control>
      </mc:Choice>
    </mc:AlternateContent>
    <mc:AlternateContent xmlns:mc="http://schemas.openxmlformats.org/markup-compatibility/2006">
      <mc:Choice Requires="x14">
        <control shapeId="37898"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7899"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7900"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37901" r:id="rId21" name="Group Box 13">
          <controlPr defaultSize="0" autoFill="0" autoPict="0">
            <anchor moveWithCells="1">
              <from>
                <xdr:col>0</xdr:col>
                <xdr:colOff>374650</xdr:colOff>
                <xdr:row>65</xdr:row>
                <xdr:rowOff>0</xdr:rowOff>
              </from>
              <to>
                <xdr:col>3</xdr:col>
                <xdr:colOff>1409700</xdr:colOff>
                <xdr:row>68</xdr:row>
                <xdr:rowOff>95250</xdr:rowOff>
              </to>
            </anchor>
          </controlPr>
        </control>
      </mc:Choice>
    </mc:AlternateContent>
    <mc:AlternateContent xmlns:mc="http://schemas.openxmlformats.org/markup-compatibility/2006">
      <mc:Choice Requires="x14">
        <control shapeId="37902"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37903"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37904"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37908" r:id="rId25" name="Group Box 20">
          <controlPr defaultSize="0" autoFill="0" autoPict="0">
            <anchor moveWithCells="1">
              <from>
                <xdr:col>0</xdr:col>
                <xdr:colOff>317500</xdr:colOff>
                <xdr:row>68</xdr:row>
                <xdr:rowOff>209550</xdr:rowOff>
              </from>
              <to>
                <xdr:col>3</xdr:col>
                <xdr:colOff>1409700</xdr:colOff>
                <xdr:row>72</xdr:row>
                <xdr:rowOff>12700</xdr:rowOff>
              </to>
            </anchor>
          </controlPr>
        </control>
      </mc:Choice>
    </mc:AlternateContent>
    <mc:AlternateContent xmlns:mc="http://schemas.openxmlformats.org/markup-compatibility/2006">
      <mc:Choice Requires="x14">
        <control shapeId="37909"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37910" r:id="rId27" name="Option Button 22">
          <controlPr defaultSize="0" autoFill="0" autoLine="0" autoPict="0">
            <anchor moveWithCells="1">
              <from>
                <xdr:col>2</xdr:col>
                <xdr:colOff>831850</xdr:colOff>
                <xdr:row>37</xdr:row>
                <xdr:rowOff>12700</xdr:rowOff>
              </from>
              <to>
                <xdr:col>3</xdr:col>
                <xdr:colOff>1060450</xdr:colOff>
                <xdr:row>38</xdr:row>
                <xdr:rowOff>12700</xdr:rowOff>
              </to>
            </anchor>
          </controlPr>
        </control>
      </mc:Choice>
    </mc:AlternateContent>
    <mc:AlternateContent xmlns:mc="http://schemas.openxmlformats.org/markup-compatibility/2006">
      <mc:Choice Requires="x14">
        <control shapeId="37911" r:id="rId28" name="Option Button 23">
          <controlPr defaultSize="0" autoFill="0" autoLine="0" autoPict="0">
            <anchor moveWithCells="1">
              <from>
                <xdr:col>4</xdr:col>
                <xdr:colOff>95250</xdr:colOff>
                <xdr:row>37</xdr:row>
                <xdr:rowOff>12700</xdr:rowOff>
              </from>
              <to>
                <xdr:col>5</xdr:col>
                <xdr:colOff>476250</xdr:colOff>
                <xdr:row>38</xdr:row>
                <xdr:rowOff>12700</xdr:rowOff>
              </to>
            </anchor>
          </controlPr>
        </control>
      </mc:Choice>
    </mc:AlternateContent>
    <mc:AlternateContent xmlns:mc="http://schemas.openxmlformats.org/markup-compatibility/2006">
      <mc:Choice Requires="x14">
        <control shapeId="37913"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37917" r:id="rId30" name="Group Box 29">
          <controlPr defaultSize="0" autoFill="0" autoPict="0">
            <anchor moveWithCells="1">
              <from>
                <xdr:col>0</xdr:col>
                <xdr:colOff>571500</xdr:colOff>
                <xdr:row>42</xdr:row>
                <xdr:rowOff>209550</xdr:rowOff>
              </from>
              <to>
                <xdr:col>3</xdr:col>
                <xdr:colOff>1409700</xdr:colOff>
                <xdr:row>46</xdr:row>
                <xdr:rowOff>12700</xdr:rowOff>
              </to>
            </anchor>
          </controlPr>
        </control>
      </mc:Choice>
    </mc:AlternateContent>
    <mc:AlternateContent xmlns:mc="http://schemas.openxmlformats.org/markup-compatibility/2006">
      <mc:Choice Requires="x14">
        <control shapeId="123945" r:id="rId31" name="Check Box 1065">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123946" r:id="rId32" name="Check Box 1066">
          <controlPr defaultSize="0" autoFill="0" autoLine="0" autoPict="0">
            <anchor moveWithCells="1">
              <from>
                <xdr:col>1</xdr:col>
                <xdr:colOff>31750</xdr:colOff>
                <xdr:row>9</xdr:row>
                <xdr:rowOff>95250</xdr:rowOff>
              </from>
              <to>
                <xdr:col>1</xdr:col>
                <xdr:colOff>438150</xdr:colOff>
                <xdr:row>9</xdr:row>
                <xdr:rowOff>361950</xdr:rowOff>
              </to>
            </anchor>
          </controlPr>
        </control>
      </mc:Choice>
    </mc:AlternateContent>
    <mc:AlternateContent xmlns:mc="http://schemas.openxmlformats.org/markup-compatibility/2006">
      <mc:Choice Requires="x14">
        <control shapeId="123947" r:id="rId33" name="Check Box 1067">
          <controlPr defaultSize="0" autoFill="0" autoLine="0" autoPict="0">
            <anchor moveWithCells="1">
              <from>
                <xdr:col>3</xdr:col>
                <xdr:colOff>895350</xdr:colOff>
                <xdr:row>9</xdr:row>
                <xdr:rowOff>88900</xdr:rowOff>
              </from>
              <to>
                <xdr:col>4</xdr:col>
                <xdr:colOff>152400</xdr:colOff>
                <xdr:row>9</xdr:row>
                <xdr:rowOff>190500</xdr:rowOff>
              </to>
            </anchor>
          </controlPr>
        </control>
      </mc:Choice>
    </mc:AlternateContent>
    <mc:AlternateContent xmlns:mc="http://schemas.openxmlformats.org/markup-compatibility/2006">
      <mc:Choice Requires="x14">
        <control shapeId="123948" r:id="rId34" name="Check Box 1068">
          <controlPr defaultSize="0" autoFill="0" autoLine="0" autoPict="0">
            <anchor moveWithCells="1">
              <from>
                <xdr:col>3</xdr:col>
                <xdr:colOff>279400</xdr:colOff>
                <xdr:row>9</xdr:row>
                <xdr:rowOff>88900</xdr:rowOff>
              </from>
              <to>
                <xdr:col>3</xdr:col>
                <xdr:colOff>946150</xdr:colOff>
                <xdr:row>10</xdr:row>
                <xdr:rowOff>0</xdr:rowOff>
              </to>
            </anchor>
          </controlPr>
        </control>
      </mc:Choice>
    </mc:AlternateContent>
    <mc:AlternateContent xmlns:mc="http://schemas.openxmlformats.org/markup-compatibility/2006">
      <mc:Choice Requires="x14">
        <control shapeId="123949" r:id="rId35" name="Group Box 1069">
          <controlPr defaultSize="0" autoFill="0" autoPict="0">
            <anchor moveWithCells="1">
              <from>
                <xdr:col>0</xdr:col>
                <xdr:colOff>50800</xdr:colOff>
                <xdr:row>96</xdr:row>
                <xdr:rowOff>0</xdr:rowOff>
              </from>
              <to>
                <xdr:col>3</xdr:col>
                <xdr:colOff>1409700</xdr:colOff>
                <xdr:row>100</xdr:row>
                <xdr:rowOff>146050</xdr:rowOff>
              </to>
            </anchor>
          </controlPr>
        </control>
      </mc:Choice>
    </mc:AlternateContent>
    <mc:AlternateContent xmlns:mc="http://schemas.openxmlformats.org/markup-compatibility/2006">
      <mc:Choice Requires="x14">
        <control shapeId="123950" r:id="rId36" name="Option Button 1070">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123951" r:id="rId37" name="Option Button 1071">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123952" r:id="rId38" name="Group Box 1072">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123953" r:id="rId39" name="Group Box 1073">
          <controlPr defaultSize="0" autoFill="0" autoPict="0">
            <anchor moveWithCells="1">
              <from>
                <xdr:col>0</xdr:col>
                <xdr:colOff>374650</xdr:colOff>
                <xdr:row>96</xdr:row>
                <xdr:rowOff>76200</xdr:rowOff>
              </from>
              <to>
                <xdr:col>3</xdr:col>
                <xdr:colOff>1409700</xdr:colOff>
                <xdr:row>100</xdr:row>
                <xdr:rowOff>38100</xdr:rowOff>
              </to>
            </anchor>
          </controlPr>
        </control>
      </mc:Choice>
    </mc:AlternateContent>
    <mc:AlternateContent xmlns:mc="http://schemas.openxmlformats.org/markup-compatibility/2006">
      <mc:Choice Requires="x14">
        <control shapeId="123954" r:id="rId40" name="Option Button 1074">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123955" r:id="rId41" name="Option Button 1075">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123956" r:id="rId42" name="Group Box 1076">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4"/>
  <dimension ref="A1:O198"/>
  <sheetViews>
    <sheetView showGridLines="0" zoomScale="90" zoomScaleNormal="90" workbookViewId="0">
      <selection activeCell="B6" sqref="B6"/>
    </sheetView>
  </sheetViews>
  <sheetFormatPr defaultColWidth="0" defaultRowHeight="14.5" customHeight="1" zeroHeight="1"/>
  <cols>
    <col min="1" max="1" width="14.81640625" style="42" customWidth="1"/>
    <col min="2" max="2" width="9.542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4" width="9.1796875" style="42" customWidth="1"/>
    <col min="15" max="15" width="12.7265625" style="42" customWidth="1"/>
    <col min="16" max="16384" width="12.7265625" style="42" hidden="1"/>
  </cols>
  <sheetData>
    <row r="1" spans="1:15"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5" ht="55" customHeight="1">
      <c r="A2" s="2750" t="s">
        <v>132</v>
      </c>
      <c r="B2" s="2750"/>
      <c r="C2" s="2750"/>
      <c r="D2" s="2750"/>
      <c r="E2" s="2750"/>
      <c r="F2" s="2750"/>
      <c r="G2" s="2750"/>
      <c r="H2" s="2750"/>
      <c r="I2" s="2750"/>
      <c r="J2" s="2750"/>
      <c r="K2" s="7"/>
      <c r="L2" s="7"/>
      <c r="M2" s="7"/>
      <c r="N2" s="7"/>
      <c r="O2" s="7"/>
    </row>
    <row r="3" spans="1:15" ht="31" thickBot="1">
      <c r="A3" s="24" t="s">
        <v>134</v>
      </c>
      <c r="B3" s="24"/>
      <c r="C3" s="24"/>
      <c r="D3" s="24"/>
      <c r="E3" s="24"/>
      <c r="F3" s="24"/>
      <c r="G3" s="24"/>
      <c r="H3" s="24"/>
      <c r="I3" s="24"/>
      <c r="J3" s="24"/>
      <c r="K3" s="24"/>
      <c r="L3" s="24"/>
      <c r="M3" s="24"/>
      <c r="N3" s="24"/>
      <c r="O3" s="7"/>
    </row>
    <row r="4" spans="1:15" ht="18.75" customHeight="1">
      <c r="A4" s="25"/>
      <c r="B4" s="25"/>
      <c r="C4" s="25"/>
      <c r="D4" s="25"/>
      <c r="E4" s="25"/>
      <c r="F4" s="25"/>
      <c r="G4" s="25"/>
      <c r="H4" s="25"/>
      <c r="I4" s="25"/>
      <c r="J4" s="25"/>
      <c r="K4" s="25"/>
      <c r="L4" s="25"/>
      <c r="M4" s="25"/>
      <c r="N4" s="25"/>
      <c r="O4" s="7"/>
    </row>
    <row r="5" spans="1:15" ht="18" customHeight="1">
      <c r="A5" s="18" t="s">
        <v>136</v>
      </c>
      <c r="B5" s="97">
        <f>'In Unit HVAC Worksheet'!B87</f>
        <v>6</v>
      </c>
      <c r="C5" s="2767"/>
      <c r="D5" s="2767"/>
      <c r="E5" s="18"/>
      <c r="F5" s="18"/>
      <c r="G5" s="18" t="s">
        <v>80</v>
      </c>
      <c r="H5" s="2766" t="str">
        <f>IF('In Unit HVAC Worksheet'!C87="","",'In Unit HVAC Worksheet'!C87)</f>
        <v/>
      </c>
      <c r="I5" s="2766"/>
      <c r="J5" s="14"/>
      <c r="K5" s="7"/>
      <c r="L5" s="7"/>
      <c r="M5" s="7"/>
      <c r="N5" s="7"/>
      <c r="O5" s="7"/>
    </row>
    <row r="6" spans="1:15" ht="18" customHeight="1">
      <c r="A6" s="18"/>
      <c r="B6" s="18"/>
      <c r="C6" s="18"/>
      <c r="D6" s="18"/>
      <c r="E6" s="18"/>
      <c r="F6" s="18"/>
      <c r="G6" s="18"/>
      <c r="H6" s="18"/>
      <c r="I6" s="14"/>
      <c r="J6" s="14"/>
      <c r="K6" s="7"/>
      <c r="L6" s="7"/>
      <c r="M6" s="7"/>
      <c r="N6" s="7"/>
      <c r="O6" s="7"/>
    </row>
    <row r="7" spans="1:15" ht="18" customHeight="1">
      <c r="B7" s="18"/>
      <c r="D7" s="18"/>
      <c r="E7" s="18"/>
      <c r="F7" s="18"/>
      <c r="G7" s="18" t="s">
        <v>135</v>
      </c>
      <c r="H7" s="2766" t="str">
        <f>IF('In Unit HVAC Worksheet'!E87="","",'In Unit HVAC Worksheet'!E87)</f>
        <v/>
      </c>
      <c r="I7" s="2766"/>
      <c r="J7" s="14"/>
      <c r="K7" s="7"/>
      <c r="L7" s="7"/>
      <c r="M7" s="7"/>
      <c r="N7" s="7"/>
      <c r="O7" s="7"/>
    </row>
    <row r="8" spans="1:15" ht="23">
      <c r="A8" s="20" t="s">
        <v>133</v>
      </c>
      <c r="B8" s="19"/>
      <c r="C8" s="19"/>
      <c r="D8" s="19"/>
      <c r="E8" s="19"/>
      <c r="F8" s="19"/>
      <c r="G8" s="19"/>
      <c r="H8" s="19"/>
      <c r="I8" s="19"/>
      <c r="J8" s="19"/>
      <c r="K8" s="19"/>
      <c r="L8" s="19"/>
      <c r="M8" s="11"/>
      <c r="N8" s="19"/>
      <c r="O8" s="19"/>
    </row>
    <row r="9" spans="1:15" ht="30.5">
      <c r="A9" s="14"/>
      <c r="B9" s="70" t="s">
        <v>30</v>
      </c>
      <c r="C9" s="71"/>
      <c r="D9" s="70" t="s">
        <v>31</v>
      </c>
      <c r="E9" s="72"/>
      <c r="F9" s="14"/>
      <c r="G9" s="14"/>
      <c r="H9" s="14"/>
      <c r="I9" s="14"/>
      <c r="J9" s="14"/>
      <c r="K9" s="7"/>
      <c r="L9" s="7"/>
      <c r="M9" s="7"/>
      <c r="N9" s="7"/>
      <c r="O9" s="7"/>
    </row>
    <row r="10" spans="1:15" ht="24" customHeight="1">
      <c r="A10" s="7"/>
      <c r="B10" s="22"/>
      <c r="C10" s="22"/>
      <c r="D10" s="22"/>
      <c r="E10" s="22"/>
      <c r="G10" s="16"/>
      <c r="H10" s="16"/>
      <c r="J10" s="7"/>
      <c r="K10" s="7"/>
      <c r="L10" s="7"/>
      <c r="M10" s="7"/>
      <c r="N10" s="7"/>
      <c r="O10" s="7"/>
    </row>
    <row r="11" spans="1:15" ht="23.5" thickBot="1">
      <c r="A11" s="17" t="s">
        <v>67</v>
      </c>
      <c r="B11" s="17"/>
      <c r="C11" s="17"/>
      <c r="D11" s="17"/>
      <c r="E11" s="17"/>
      <c r="F11" s="17"/>
      <c r="G11" s="17"/>
      <c r="H11" s="17"/>
      <c r="I11" s="17"/>
      <c r="J11" s="17"/>
      <c r="K11" s="17"/>
      <c r="L11" s="17"/>
      <c r="M11" s="17"/>
      <c r="N11" s="17"/>
      <c r="O11" s="19"/>
    </row>
    <row r="12" spans="1:15" ht="6.75" customHeight="1">
      <c r="A12" s="4"/>
      <c r="B12" s="5"/>
      <c r="C12" s="5"/>
      <c r="D12" s="5"/>
      <c r="E12" s="5"/>
      <c r="F12" s="5"/>
      <c r="G12" s="5"/>
      <c r="H12" s="5"/>
      <c r="I12" s="5"/>
      <c r="J12" s="5"/>
      <c r="K12" s="5"/>
      <c r="L12" s="5"/>
      <c r="M12" s="5"/>
      <c r="N12" s="5"/>
      <c r="O12" s="5"/>
    </row>
    <row r="13" spans="1:15" ht="27.75" customHeight="1">
      <c r="A13" s="139" t="s">
        <v>443</v>
      </c>
      <c r="B13" s="5"/>
      <c r="C13" s="5"/>
      <c r="D13" s="5"/>
      <c r="E13" s="5"/>
      <c r="F13" s="5"/>
      <c r="G13" s="5"/>
      <c r="H13" s="5"/>
      <c r="I13" s="5"/>
      <c r="J13" s="5"/>
      <c r="K13" s="5"/>
      <c r="L13" s="5"/>
      <c r="M13" s="5"/>
      <c r="N13" s="5"/>
      <c r="O13" s="5"/>
    </row>
    <row r="14" spans="1:15" ht="27.75" customHeight="1">
      <c r="A14" s="139"/>
      <c r="B14" s="5"/>
      <c r="C14" s="5"/>
      <c r="D14" s="5"/>
      <c r="E14" s="5"/>
      <c r="F14" s="5"/>
      <c r="G14" s="5"/>
      <c r="H14" s="5"/>
      <c r="I14" s="5"/>
      <c r="J14" s="5"/>
      <c r="K14" s="5"/>
      <c r="L14" s="5"/>
      <c r="M14" s="5"/>
      <c r="N14" s="5"/>
      <c r="O14" s="5"/>
    </row>
    <row r="15" spans="1:15" ht="33.65" customHeight="1">
      <c r="A15" s="42" t="s">
        <v>525</v>
      </c>
      <c r="E15" s="2734"/>
      <c r="F15" s="2734"/>
      <c r="G15" s="42" t="str">
        <f>IF(OR(E15=""),"",'Air Flow References'!Z4)</f>
        <v/>
      </c>
      <c r="L15" s="43" t="s">
        <v>526</v>
      </c>
      <c r="M15" s="2731"/>
      <c r="N15" s="2731"/>
      <c r="O15" s="42" t="str">
        <f>IF(OR(M15=""),"",'Air Flow References'!Z6)</f>
        <v/>
      </c>
    </row>
    <row r="16" spans="1:15" ht="33.65" customHeight="1"/>
    <row r="17" spans="1:15" ht="33.65" customHeight="1">
      <c r="A17" s="138" t="s">
        <v>543</v>
      </c>
    </row>
    <row r="18" spans="1:15" ht="33.65" customHeight="1">
      <c r="A18" s="2318" t="s">
        <v>527</v>
      </c>
      <c r="B18" s="2318"/>
      <c r="C18" s="2318"/>
      <c r="D18" s="2318"/>
      <c r="E18" s="2736"/>
      <c r="F18" s="2736"/>
      <c r="G18" s="42" t="str">
        <f>IF(OR(E18=""),"",'Air Flow References'!Z5)</f>
        <v/>
      </c>
      <c r="H18" s="45" t="s">
        <v>397</v>
      </c>
      <c r="I18" s="45"/>
      <c r="L18" s="43" t="s">
        <v>528</v>
      </c>
      <c r="M18" s="2734"/>
      <c r="N18" s="2734"/>
      <c r="O18" s="42" t="str">
        <f>IF(OR(M18=""),"",'Air Flow References'!Z7)</f>
        <v/>
      </c>
    </row>
    <row r="19" spans="1:15" ht="33.65" customHeight="1"/>
    <row r="20" spans="1:15" ht="33.65" customHeight="1">
      <c r="A20" s="42" t="s">
        <v>531</v>
      </c>
    </row>
    <row r="21" spans="1:15" ht="33.65" customHeight="1"/>
    <row r="22" spans="1:15" ht="33.65" customHeight="1">
      <c r="A22" s="42" t="s">
        <v>532</v>
      </c>
      <c r="E22" s="2731"/>
      <c r="F22" s="2731"/>
      <c r="G22" s="42" t="str">
        <f>IF(OR(E22=""),"",'Air Flow References'!Z9)</f>
        <v/>
      </c>
      <c r="H22" s="73"/>
      <c r="I22" s="73"/>
      <c r="J22" s="73"/>
      <c r="K22" s="73"/>
    </row>
    <row r="23" spans="1:15" ht="33.65" customHeight="1">
      <c r="A23" s="162" t="s">
        <v>545</v>
      </c>
      <c r="E23" s="164"/>
      <c r="F23" s="164"/>
    </row>
    <row r="24" spans="1:15" ht="33.65" customHeight="1">
      <c r="E24" s="164"/>
      <c r="F24" s="164"/>
    </row>
    <row r="25" spans="1:15" ht="33.65" customHeight="1">
      <c r="A25" s="42" t="s">
        <v>533</v>
      </c>
      <c r="E25" s="2731"/>
      <c r="F25" s="2731"/>
      <c r="G25" s="42" t="str">
        <f>IF(OR(E25=""),"",'Air Flow References'!Z8)</f>
        <v/>
      </c>
    </row>
    <row r="26" spans="1:15" ht="33.65" customHeight="1">
      <c r="A26" s="162" t="s">
        <v>546</v>
      </c>
      <c r="E26" s="164"/>
      <c r="F26" s="164"/>
    </row>
    <row r="27" spans="1:15" ht="33.65" customHeight="1">
      <c r="A27" s="162"/>
      <c r="E27" s="164"/>
      <c r="F27" s="164"/>
    </row>
    <row r="28" spans="1:15" ht="33.65" customHeight="1"/>
    <row r="29" spans="1:15">
      <c r="A29" s="2318" t="s">
        <v>62</v>
      </c>
      <c r="B29" s="2318"/>
      <c r="C29" s="2318"/>
      <c r="D29" s="2318"/>
      <c r="E29" s="2318"/>
      <c r="F29" s="2318"/>
      <c r="G29" s="2318"/>
      <c r="H29" s="2318"/>
      <c r="I29" s="2318"/>
      <c r="J29" s="2318"/>
      <c r="K29" s="2318"/>
      <c r="L29" s="2318"/>
      <c r="M29" s="2318"/>
    </row>
    <row r="30" spans="1:15" ht="33.65" customHeight="1">
      <c r="A30" s="42" t="s">
        <v>63</v>
      </c>
      <c r="C30" s="2733"/>
      <c r="D30" s="2733"/>
      <c r="E30" s="2733"/>
      <c r="F30" s="2733"/>
      <c r="G30" s="2733"/>
      <c r="H30" s="2733"/>
      <c r="I30" s="2733"/>
      <c r="J30" s="2733"/>
      <c r="K30" s="2733"/>
      <c r="L30" s="2733"/>
    </row>
    <row r="31" spans="1:15"/>
    <row r="32" spans="1:15">
      <c r="A32" s="45" t="s">
        <v>66</v>
      </c>
    </row>
    <row r="33" spans="1:15">
      <c r="A33" s="42" t="s">
        <v>65</v>
      </c>
    </row>
    <row r="34" spans="1:15">
      <c r="A34" s="42" t="s">
        <v>64</v>
      </c>
    </row>
    <row r="35" spans="1:15"/>
    <row r="36" spans="1:15" ht="23.5" thickBot="1">
      <c r="A36" s="17" t="s">
        <v>236</v>
      </c>
      <c r="B36" s="17"/>
      <c r="C36" s="17"/>
      <c r="D36" s="17"/>
      <c r="E36" s="17"/>
      <c r="F36" s="17"/>
      <c r="G36" s="17"/>
      <c r="H36" s="17"/>
      <c r="I36" s="17"/>
      <c r="J36" s="17"/>
      <c r="K36" s="17"/>
      <c r="L36" s="17"/>
      <c r="M36" s="17"/>
      <c r="N36" s="17"/>
      <c r="O36" s="19"/>
    </row>
    <row r="37" spans="1:15" ht="23">
      <c r="A37" s="4"/>
      <c r="B37" s="4"/>
      <c r="C37" s="4"/>
      <c r="D37" s="4"/>
      <c r="E37" s="4"/>
      <c r="F37" s="4"/>
      <c r="G37" s="4"/>
      <c r="H37" s="4"/>
      <c r="I37" s="4"/>
      <c r="J37" s="4"/>
      <c r="K37" s="4"/>
      <c r="L37" s="4"/>
      <c r="M37" s="4"/>
      <c r="N37" s="4"/>
      <c r="O37" s="4"/>
    </row>
    <row r="38" spans="1:15" ht="23">
      <c r="A38" s="3" t="s">
        <v>97</v>
      </c>
      <c r="B38" s="4"/>
      <c r="C38" s="4"/>
      <c r="D38" s="4"/>
      <c r="E38" s="4"/>
      <c r="F38" s="4"/>
      <c r="G38" s="4"/>
      <c r="H38" s="4"/>
      <c r="I38" s="2749"/>
      <c r="J38" s="2749"/>
      <c r="K38" s="4"/>
      <c r="L38" s="4"/>
      <c r="M38" s="4"/>
    </row>
    <row r="39" spans="1:15" ht="23">
      <c r="A39" s="4"/>
      <c r="B39" s="4"/>
      <c r="C39" s="4"/>
      <c r="D39" s="4"/>
      <c r="E39" s="4"/>
      <c r="F39" s="4"/>
      <c r="G39" s="4"/>
      <c r="H39" s="4"/>
      <c r="I39" s="4"/>
      <c r="J39" s="4"/>
      <c r="K39" s="4"/>
      <c r="L39" s="4"/>
      <c r="M39" s="4"/>
      <c r="N39" s="4"/>
      <c r="O39" s="4"/>
    </row>
    <row r="40" spans="1:15">
      <c r="A40" s="46" t="s">
        <v>221</v>
      </c>
      <c r="B40" s="46"/>
      <c r="C40" s="46"/>
      <c r="D40" s="46"/>
      <c r="E40" s="46"/>
      <c r="F40" s="46"/>
      <c r="G40" s="46"/>
      <c r="H40" s="46"/>
      <c r="I40" s="46"/>
      <c r="J40" s="46"/>
      <c r="K40" s="46"/>
      <c r="L40" s="46"/>
      <c r="M40" s="46"/>
      <c r="N40" s="46"/>
    </row>
    <row r="41" spans="1:15">
      <c r="A41" s="48"/>
      <c r="B41" s="49"/>
      <c r="C41" s="49"/>
      <c r="D41" s="49"/>
      <c r="E41" s="49"/>
      <c r="F41" s="49"/>
      <c r="G41" s="49"/>
      <c r="H41" s="49"/>
      <c r="I41" s="49"/>
      <c r="J41" s="49"/>
      <c r="K41" s="49"/>
      <c r="L41" s="49"/>
      <c r="M41" s="49"/>
      <c r="N41" s="49"/>
    </row>
    <row r="42" spans="1:15">
      <c r="A42" s="54" t="s">
        <v>95</v>
      </c>
    </row>
    <row r="43" spans="1:15">
      <c r="A43" s="50" t="s">
        <v>96</v>
      </c>
    </row>
    <row r="44" spans="1:15">
      <c r="A44" s="50"/>
    </row>
    <row r="45" spans="1:15">
      <c r="A45" s="50"/>
      <c r="E45" s="2747"/>
      <c r="F45" s="2747"/>
    </row>
    <row r="46" spans="1:15">
      <c r="A46" s="50"/>
    </row>
    <row r="47" spans="1:15">
      <c r="A47" s="50"/>
    </row>
    <row r="48" spans="1:15">
      <c r="A48" s="50"/>
    </row>
    <row r="49" spans="1:7">
      <c r="A49" s="50"/>
      <c r="B49" s="42" t="s">
        <v>110</v>
      </c>
      <c r="E49" s="96"/>
      <c r="F49" s="42" t="s">
        <v>101</v>
      </c>
      <c r="G49" s="42" t="str">
        <f>IF(OR(E49=""),"",'Air Flow References'!Z16)</f>
        <v/>
      </c>
    </row>
    <row r="50" spans="1:7">
      <c r="A50" s="50"/>
    </row>
    <row r="51" spans="1:7">
      <c r="A51" s="50"/>
      <c r="B51" s="42" t="s">
        <v>111</v>
      </c>
      <c r="E51" s="96"/>
      <c r="F51" s="56" t="s">
        <v>101</v>
      </c>
      <c r="G51" s="42" t="str">
        <f>IF(OR(E51=""),"",'Air Flow References'!Z17)</f>
        <v/>
      </c>
    </row>
    <row r="52" spans="1:7">
      <c r="A52" s="50"/>
    </row>
    <row r="53" spans="1:7">
      <c r="A53" s="54" t="s">
        <v>102</v>
      </c>
    </row>
    <row r="54" spans="1:7">
      <c r="A54" s="54"/>
    </row>
    <row r="55" spans="1:7">
      <c r="A55" s="50" t="s">
        <v>112</v>
      </c>
      <c r="E55" s="96"/>
      <c r="F55" s="42" t="s">
        <v>106</v>
      </c>
      <c r="G55" s="42" t="str">
        <f>IF(OR(E55=""),"",'Air Flow References'!Z18)</f>
        <v/>
      </c>
    </row>
    <row r="56" spans="1:7">
      <c r="A56" s="50"/>
    </row>
    <row r="57" spans="1:7">
      <c r="A57" s="50" t="s">
        <v>113</v>
      </c>
      <c r="E57" s="96"/>
      <c r="F57" s="42" t="s">
        <v>101</v>
      </c>
      <c r="G57" s="42" t="str">
        <f>IF(OR(E57=""),"",'Air Flow References'!Z19)</f>
        <v/>
      </c>
    </row>
    <row r="58" spans="1:7">
      <c r="A58" s="50"/>
    </row>
    <row r="59" spans="1:7">
      <c r="A59" s="50" t="s">
        <v>114</v>
      </c>
      <c r="E59" s="96"/>
      <c r="F59" s="42" t="s">
        <v>101</v>
      </c>
      <c r="G59" s="42" t="str">
        <f>IF(OR(E59=""),"",'Air Flow References'!Z20)</f>
        <v/>
      </c>
    </row>
    <row r="60" spans="1:7">
      <c r="A60" s="50"/>
    </row>
    <row r="61" spans="1:7">
      <c r="A61" s="50" t="s">
        <v>115</v>
      </c>
      <c r="E61" s="98" t="str">
        <f>IF(OR(E57="",E59=""),"",E57-E59)</f>
        <v/>
      </c>
      <c r="F61" s="42" t="s">
        <v>101</v>
      </c>
    </row>
    <row r="62" spans="1:7">
      <c r="A62" s="50"/>
    </row>
    <row r="63" spans="1:7">
      <c r="A63" s="57" t="s">
        <v>116</v>
      </c>
    </row>
    <row r="64" spans="1:7">
      <c r="A64" s="50"/>
    </row>
    <row r="65" spans="1:15">
      <c r="A65" s="58" t="s">
        <v>117</v>
      </c>
      <c r="B65" s="59"/>
      <c r="C65" s="59"/>
      <c r="D65" s="59"/>
      <c r="E65" s="59"/>
      <c r="F65" s="59"/>
      <c r="G65" s="59"/>
      <c r="H65" s="59"/>
      <c r="I65" s="59"/>
      <c r="J65" s="59"/>
      <c r="K65" s="59"/>
      <c r="L65" s="59"/>
      <c r="M65" s="59"/>
      <c r="N65" s="59"/>
    </row>
    <row r="66" spans="1:15">
      <c r="A66" s="46" t="s">
        <v>260</v>
      </c>
      <c r="B66" s="46"/>
      <c r="C66" s="46"/>
      <c r="D66" s="46"/>
      <c r="E66" s="46"/>
      <c r="F66" s="46"/>
      <c r="G66" s="46"/>
      <c r="H66" s="46"/>
      <c r="I66" s="46"/>
      <c r="J66" s="46"/>
      <c r="K66" s="46"/>
      <c r="L66" s="46"/>
      <c r="M66" s="46"/>
      <c r="N66" s="46"/>
      <c r="O66" s="47"/>
    </row>
    <row r="67" spans="1:15">
      <c r="A67" s="48"/>
      <c r="B67" s="49"/>
      <c r="C67" s="49"/>
      <c r="D67" s="49"/>
      <c r="E67" s="49"/>
      <c r="F67" s="49"/>
      <c r="G67" s="49"/>
      <c r="H67" s="49"/>
      <c r="I67" s="49"/>
      <c r="J67" s="49"/>
      <c r="K67" s="49"/>
      <c r="L67" s="49"/>
      <c r="M67" s="49"/>
      <c r="N67" s="49"/>
    </row>
    <row r="68" spans="1:15">
      <c r="A68" s="54" t="s">
        <v>95</v>
      </c>
    </row>
    <row r="69" spans="1:15">
      <c r="A69" s="50" t="s">
        <v>96</v>
      </c>
    </row>
    <row r="70" spans="1:15">
      <c r="A70" s="50"/>
    </row>
    <row r="71" spans="1:15">
      <c r="A71" s="50"/>
      <c r="E71" s="2747"/>
      <c r="F71" s="2747"/>
    </row>
    <row r="72" spans="1:15">
      <c r="A72" s="50"/>
    </row>
    <row r="73" spans="1:15">
      <c r="A73" s="50"/>
    </row>
    <row r="74" spans="1:15">
      <c r="A74" s="50"/>
      <c r="B74" s="42" t="s">
        <v>98</v>
      </c>
      <c r="E74" s="96"/>
      <c r="F74" s="42" t="s">
        <v>399</v>
      </c>
      <c r="G74" s="172" t="str">
        <f>IF(OR(E74=""),"",'Air Flow References'!Z28)</f>
        <v/>
      </c>
    </row>
    <row r="75" spans="1:15">
      <c r="A75" s="50"/>
      <c r="B75" s="138" t="s">
        <v>398</v>
      </c>
      <c r="E75" s="167"/>
      <c r="G75" s="55"/>
    </row>
    <row r="76" spans="1:15">
      <c r="A76" s="50"/>
    </row>
    <row r="77" spans="1:15">
      <c r="A77" s="50"/>
      <c r="B77" s="42" t="s">
        <v>99</v>
      </c>
      <c r="E77" s="96"/>
      <c r="F77" s="42" t="s">
        <v>101</v>
      </c>
      <c r="G77" s="42" t="str">
        <f>IF(OR(E77=""),"",'Air Flow References'!Z29)</f>
        <v/>
      </c>
    </row>
    <row r="78" spans="1:15">
      <c r="A78" s="50"/>
    </row>
    <row r="79" spans="1:15">
      <c r="A79" s="50"/>
      <c r="B79" s="42" t="s">
        <v>100</v>
      </c>
      <c r="E79" s="96"/>
      <c r="F79" s="56" t="s">
        <v>101</v>
      </c>
      <c r="G79" s="42" t="str">
        <f>IF(OR(E79=""),"",'Air Flow References'!Z30)</f>
        <v/>
      </c>
    </row>
    <row r="80" spans="1:15">
      <c r="A80" s="50"/>
    </row>
    <row r="81" spans="1:15">
      <c r="A81" s="50"/>
    </row>
    <row r="82" spans="1:15">
      <c r="A82" s="54" t="s">
        <v>102</v>
      </c>
    </row>
    <row r="83" spans="1:15">
      <c r="A83" s="50"/>
    </row>
    <row r="84" spans="1:15">
      <c r="A84" s="50" t="s">
        <v>103</v>
      </c>
      <c r="E84" s="96"/>
      <c r="F84" s="42" t="s">
        <v>106</v>
      </c>
      <c r="G84" s="42" t="str">
        <f>IF(OR(E84=""),"",'Air Flow References'!Z31)</f>
        <v/>
      </c>
    </row>
    <row r="85" spans="1:15">
      <c r="A85" s="50"/>
    </row>
    <row r="86" spans="1:15">
      <c r="A86" s="50" t="s">
        <v>104</v>
      </c>
      <c r="E86" s="96"/>
      <c r="F86" s="56" t="s">
        <v>101</v>
      </c>
      <c r="G86" s="42" t="str">
        <f>IF(OR(E86=""),"",'Air Flow References'!Z32)</f>
        <v/>
      </c>
    </row>
    <row r="87" spans="1:15">
      <c r="A87" s="50"/>
    </row>
    <row r="88" spans="1:15">
      <c r="A88" s="50" t="s">
        <v>105</v>
      </c>
      <c r="E88" s="96"/>
      <c r="F88" s="56" t="s">
        <v>101</v>
      </c>
      <c r="G88" s="42" t="str">
        <f>IF(OR(E88=""),"",'Air Flow References'!Z33)</f>
        <v/>
      </c>
    </row>
    <row r="89" spans="1:15">
      <c r="A89" s="50"/>
    </row>
    <row r="90" spans="1:15">
      <c r="A90" s="50" t="s">
        <v>107</v>
      </c>
      <c r="E90" s="98" t="str">
        <f>IF(OR(E86="",E88=""),"",E88-E86)</f>
        <v/>
      </c>
      <c r="F90" s="56" t="s">
        <v>101</v>
      </c>
    </row>
    <row r="91" spans="1:15">
      <c r="A91" s="50"/>
    </row>
    <row r="92" spans="1:15">
      <c r="A92" s="57" t="s">
        <v>108</v>
      </c>
    </row>
    <row r="93" spans="1:15">
      <c r="A93" s="50"/>
    </row>
    <row r="94" spans="1:15">
      <c r="A94" s="45" t="s">
        <v>109</v>
      </c>
    </row>
    <row r="95" spans="1:15" ht="18" customHeight="1">
      <c r="A95" s="46" t="s">
        <v>847</v>
      </c>
      <c r="B95" s="46"/>
      <c r="C95" s="46"/>
      <c r="D95" s="46"/>
      <c r="E95" s="46"/>
      <c r="F95" s="46"/>
      <c r="G95" s="46"/>
      <c r="H95" s="46"/>
      <c r="I95" s="46"/>
      <c r="J95" s="46"/>
      <c r="K95" s="46"/>
      <c r="L95" s="46"/>
      <c r="M95" s="46"/>
      <c r="N95" s="46"/>
      <c r="O95" s="47"/>
    </row>
    <row r="96" spans="1:15">
      <c r="A96" s="48"/>
      <c r="B96" s="49"/>
      <c r="C96" s="49"/>
      <c r="D96" s="49"/>
      <c r="E96" s="49"/>
      <c r="F96" s="49"/>
      <c r="G96" s="49"/>
      <c r="H96" s="49"/>
      <c r="I96" s="49"/>
      <c r="J96" s="49"/>
      <c r="K96" s="49"/>
      <c r="L96" s="49"/>
      <c r="M96" s="49"/>
      <c r="N96" s="49"/>
    </row>
    <row r="97" spans="1:14">
      <c r="A97" s="50" t="s">
        <v>68</v>
      </c>
    </row>
    <row r="98" spans="1:14" ht="9.75" customHeight="1">
      <c r="A98" s="50"/>
    </row>
    <row r="99" spans="1:14" ht="15.75" customHeight="1">
      <c r="A99" s="50"/>
      <c r="E99" s="2734"/>
      <c r="F99" s="2734"/>
      <c r="G99" s="42" t="s">
        <v>69</v>
      </c>
    </row>
    <row r="100" spans="1:14">
      <c r="A100" s="2742" t="s">
        <v>2014</v>
      </c>
      <c r="B100" s="2624"/>
    </row>
    <row r="101" spans="1:14">
      <c r="A101" s="2742"/>
      <c r="B101" s="2624"/>
      <c r="C101" s="663"/>
      <c r="E101" s="42" t="s">
        <v>71</v>
      </c>
      <c r="F101" s="663"/>
    </row>
    <row r="102" spans="1:14">
      <c r="A102" s="50"/>
    </row>
    <row r="103" spans="1:14">
      <c r="A103" s="50"/>
    </row>
    <row r="104" spans="1:14">
      <c r="A104" s="50" t="s">
        <v>81</v>
      </c>
      <c r="E104" s="74"/>
    </row>
    <row r="105" spans="1:14">
      <c r="A105" s="50"/>
    </row>
    <row r="106" spans="1:14">
      <c r="A106" s="50"/>
    </row>
    <row r="107" spans="1:14">
      <c r="A107" s="50" t="s">
        <v>82</v>
      </c>
      <c r="E107" s="74"/>
    </row>
    <row r="108" spans="1:14">
      <c r="A108" s="50"/>
    </row>
    <row r="109" spans="1:14">
      <c r="A109" s="50"/>
    </row>
    <row r="110" spans="1:14">
      <c r="A110" s="50" t="s">
        <v>2015</v>
      </c>
      <c r="C110" s="663"/>
      <c r="D110" s="42" t="s">
        <v>84</v>
      </c>
    </row>
    <row r="111" spans="1:14">
      <c r="A111" s="50"/>
    </row>
    <row r="112" spans="1:14">
      <c r="A112" s="50" t="s">
        <v>85</v>
      </c>
      <c r="D112" s="661"/>
      <c r="E112" s="42" t="s">
        <v>86</v>
      </c>
      <c r="F112" s="42" t="s">
        <v>87</v>
      </c>
      <c r="G112" s="661"/>
      <c r="H112" s="42" t="s">
        <v>84</v>
      </c>
      <c r="I112" s="42" t="s">
        <v>88</v>
      </c>
      <c r="J112" s="661"/>
      <c r="K112" s="42" t="s">
        <v>89</v>
      </c>
      <c r="L112" s="51" t="s">
        <v>90</v>
      </c>
      <c r="M112" s="661"/>
      <c r="N112" s="42" t="s">
        <v>91</v>
      </c>
    </row>
    <row r="113" spans="1:15">
      <c r="A113" s="50"/>
      <c r="L113" s="51"/>
    </row>
    <row r="114" spans="1:15">
      <c r="A114" s="50" t="s">
        <v>183</v>
      </c>
      <c r="D114" s="661"/>
      <c r="E114" s="42" t="s">
        <v>86</v>
      </c>
      <c r="F114" s="42" t="s">
        <v>87</v>
      </c>
      <c r="G114" s="661"/>
      <c r="H114" s="42" t="s">
        <v>84</v>
      </c>
      <c r="I114" s="42" t="s">
        <v>88</v>
      </c>
      <c r="J114" s="661"/>
      <c r="K114" s="42" t="s">
        <v>89</v>
      </c>
      <c r="L114" s="51" t="s">
        <v>90</v>
      </c>
      <c r="M114" s="661"/>
      <c r="N114" s="42" t="s">
        <v>91</v>
      </c>
    </row>
    <row r="115" spans="1:15">
      <c r="A115" s="50"/>
    </row>
    <row r="116" spans="1:15">
      <c r="A116" s="52" t="s">
        <v>242</v>
      </c>
      <c r="M116" s="661"/>
      <c r="N116" s="42" t="s">
        <v>91</v>
      </c>
    </row>
    <row r="117" spans="1:15">
      <c r="A117" s="50"/>
    </row>
    <row r="118" spans="1:15">
      <c r="A118" s="2745" t="s">
        <v>92</v>
      </c>
      <c r="B118" s="2738"/>
      <c r="C118" s="2738"/>
      <c r="D118" s="2738"/>
      <c r="E118" s="2746"/>
      <c r="F118" s="2743" t="s">
        <v>93</v>
      </c>
      <c r="G118" s="2743"/>
      <c r="H118" s="2743"/>
      <c r="I118" s="2743"/>
      <c r="J118" s="2743"/>
      <c r="K118" s="2743"/>
      <c r="L118" s="53"/>
      <c r="M118" s="2754" t="str">
        <f>IF(AND(M112="",M114="",M116=""),"",M112+M114+M116)</f>
        <v/>
      </c>
      <c r="N118" s="2738" t="s">
        <v>91</v>
      </c>
    </row>
    <row r="119" spans="1:15">
      <c r="A119" s="2745"/>
      <c r="B119" s="2738"/>
      <c r="C119" s="2738"/>
      <c r="D119" s="2738"/>
      <c r="E119" s="2746"/>
      <c r="F119" s="2743"/>
      <c r="G119" s="2743"/>
      <c r="H119" s="2743"/>
      <c r="I119" s="2743"/>
      <c r="J119" s="2743"/>
      <c r="K119" s="2743"/>
      <c r="L119" s="53"/>
      <c r="M119" s="2755"/>
      <c r="N119" s="2738"/>
    </row>
    <row r="120" spans="1:15">
      <c r="A120" s="660"/>
      <c r="B120" s="659"/>
      <c r="C120" s="659"/>
      <c r="D120" s="659"/>
      <c r="E120" s="659"/>
      <c r="F120" s="659"/>
      <c r="G120" s="659"/>
      <c r="H120" s="659"/>
      <c r="I120" s="659"/>
      <c r="J120" s="659"/>
      <c r="K120" s="659"/>
      <c r="L120" s="53"/>
      <c r="M120" s="662"/>
      <c r="N120" s="659"/>
    </row>
    <row r="121" spans="1:15">
      <c r="A121" s="660"/>
      <c r="B121" s="659"/>
      <c r="C121" s="659"/>
      <c r="D121" s="659"/>
      <c r="E121" s="659"/>
      <c r="F121" s="659"/>
      <c r="G121" s="659"/>
      <c r="H121" s="659"/>
      <c r="I121" s="659"/>
      <c r="J121" s="659"/>
      <c r="K121" s="659"/>
      <c r="L121" s="53"/>
      <c r="M121" s="662"/>
      <c r="N121" s="659"/>
    </row>
    <row r="122" spans="1:15">
      <c r="A122" s="50"/>
    </row>
    <row r="123" spans="1:15">
      <c r="A123" s="45" t="s">
        <v>94</v>
      </c>
    </row>
    <row r="124" spans="1:15">
      <c r="A124" s="63" t="s">
        <v>223</v>
      </c>
      <c r="B124" s="67"/>
      <c r="C124" s="64" t="str">
        <f>Development!$A$4&amp;"_"&amp;Development!$A$2</f>
        <v>4.01.2024_2.0</v>
      </c>
      <c r="D124" s="2756"/>
      <c r="E124" s="2756"/>
      <c r="F124" s="2756"/>
      <c r="G124" s="2757"/>
      <c r="H124" s="2757"/>
      <c r="I124" s="2757"/>
      <c r="J124" s="49"/>
      <c r="K124" s="49"/>
      <c r="L124" s="49"/>
      <c r="M124" s="49"/>
      <c r="N124" s="66" t="s">
        <v>225</v>
      </c>
      <c r="O124" s="65" t="str">
        <f>Development!$A$4</f>
        <v>4.01.2024</v>
      </c>
    </row>
    <row r="125" spans="1:15"/>
    <row r="126" spans="1:15"/>
    <row r="127" spans="1:15"/>
    <row r="128" spans="1:15"/>
    <row r="129" spans="15:15"/>
    <row r="130" spans="15:15"/>
    <row r="131" spans="15:15"/>
    <row r="132" spans="15:15"/>
    <row r="133" spans="15:15"/>
    <row r="134" spans="15:15"/>
    <row r="135" spans="15:15"/>
    <row r="136" spans="15:15"/>
    <row r="137" spans="15:15"/>
    <row r="138" spans="15:15"/>
    <row r="139" spans="15:15"/>
    <row r="140" spans="15:15"/>
    <row r="141" spans="15:15"/>
    <row r="142" spans="15:15"/>
    <row r="143" spans="15:15"/>
    <row r="144" spans="15:15">
      <c r="O144" s="60"/>
    </row>
    <row r="156"/>
    <row r="157"/>
    <row r="158"/>
    <row r="159"/>
    <row r="160"/>
    <row r="161"/>
    <row r="162"/>
    <row r="163"/>
    <row r="164"/>
    <row r="165"/>
    <row r="166"/>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sheetData>
  <sheetProtection algorithmName="SHA-512" hashValue="d+brHhAntOm2XDkFiAhZYr/T5w4fBjlmKrMpcXsaMWOmA+pXMOAmgry97z/n0jFQ4pxTn4tzraXoHalm3PP3iw==" saltValue="0CXxTw3zA51hMM2kXwrXkQ==" spinCount="100000" sheet="1" objects="1" scenarios="1"/>
  <mergeCells count="25">
    <mergeCell ref="A1:J1"/>
    <mergeCell ref="A2:J2"/>
    <mergeCell ref="C5:D5"/>
    <mergeCell ref="H5:I5"/>
    <mergeCell ref="H7:I7"/>
    <mergeCell ref="E15:F15"/>
    <mergeCell ref="M15:N15"/>
    <mergeCell ref="A18:D18"/>
    <mergeCell ref="E18:F18"/>
    <mergeCell ref="M18:N18"/>
    <mergeCell ref="E22:F22"/>
    <mergeCell ref="A29:M29"/>
    <mergeCell ref="C30:L30"/>
    <mergeCell ref="I38:J38"/>
    <mergeCell ref="E45:F45"/>
    <mergeCell ref="E25:F25"/>
    <mergeCell ref="M118:M119"/>
    <mergeCell ref="N118:N119"/>
    <mergeCell ref="E71:F71"/>
    <mergeCell ref="D124:F124"/>
    <mergeCell ref="G124:I124"/>
    <mergeCell ref="E99:F99"/>
    <mergeCell ref="A118:E119"/>
    <mergeCell ref="F118:K119"/>
    <mergeCell ref="A100:B101"/>
  </mergeCells>
  <dataValidations count="1">
    <dataValidation type="list" allowBlank="1" showInputMessage="1" showErrorMessage="1" sqref="E59" xr:uid="{00000000-0002-0000-1300-000000000000}">
      <formula1>Liq_Line_Temp</formula1>
    </dataValidation>
  </dataValidation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71681" r:id="rId4" name="OptionButton1">
          <controlPr defaultSize="0" autoLine="0" autoPict="0" r:id="rId5">
            <anchor moveWithCells="1">
              <from>
                <xdr:col>3</xdr:col>
                <xdr:colOff>0</xdr:colOff>
                <xdr:row>19</xdr:row>
                <xdr:rowOff>222250</xdr:rowOff>
              </from>
              <to>
                <xdr:col>6</xdr:col>
                <xdr:colOff>0</xdr:colOff>
                <xdr:row>20</xdr:row>
                <xdr:rowOff>95250</xdr:rowOff>
              </to>
            </anchor>
          </controlPr>
        </control>
      </mc:Choice>
      <mc:Fallback>
        <control shapeId="71681" r:id="rId4" name="OptionButton1"/>
      </mc:Fallback>
    </mc:AlternateContent>
    <mc:AlternateContent xmlns:mc="http://schemas.openxmlformats.org/markup-compatibility/2006">
      <mc:Choice Requires="x14">
        <control shapeId="71682" r:id="rId6" name="OptionButton2">
          <controlPr defaultSize="0" autoLine="0" r:id="rId7">
            <anchor moveWithCells="1">
              <from>
                <xdr:col>6</xdr:col>
                <xdr:colOff>0</xdr:colOff>
                <xdr:row>19</xdr:row>
                <xdr:rowOff>190500</xdr:rowOff>
              </from>
              <to>
                <xdr:col>10</xdr:col>
                <xdr:colOff>273050</xdr:colOff>
                <xdr:row>20</xdr:row>
                <xdr:rowOff>184150</xdr:rowOff>
              </to>
            </anchor>
          </controlPr>
        </control>
      </mc:Choice>
      <mc:Fallback>
        <control shapeId="71682" r:id="rId6" name="OptionButton2"/>
      </mc:Fallback>
    </mc:AlternateContent>
    <mc:AlternateContent xmlns:mc="http://schemas.openxmlformats.org/markup-compatibility/2006">
      <mc:Choice Requires="x14">
        <control shapeId="71698" r:id="rId8" name="OptionButton7">
          <controlPr defaultSize="0" autoLine="0" r:id="rId9">
            <anchor moveWithCells="1">
              <from>
                <xdr:col>1</xdr:col>
                <xdr:colOff>38100</xdr:colOff>
                <xdr:row>70</xdr:row>
                <xdr:rowOff>0</xdr:rowOff>
              </from>
              <to>
                <xdr:col>2</xdr:col>
                <xdr:colOff>31750</xdr:colOff>
                <xdr:row>71</xdr:row>
                <xdr:rowOff>69850</xdr:rowOff>
              </to>
            </anchor>
          </controlPr>
        </control>
      </mc:Choice>
      <mc:Fallback>
        <control shapeId="71698" r:id="rId8" name="OptionButton7"/>
      </mc:Fallback>
    </mc:AlternateContent>
    <mc:AlternateContent xmlns:mc="http://schemas.openxmlformats.org/markup-compatibility/2006">
      <mc:Choice Requires="x14">
        <control shapeId="71707" r:id="rId10" name="OptionButton10">
          <controlPr defaultSize="0" autoLine="0" r:id="rId11">
            <anchor moveWithCells="1">
              <from>
                <xdr:col>1</xdr:col>
                <xdr:colOff>69850</xdr:colOff>
                <xdr:row>44</xdr:row>
                <xdr:rowOff>19050</xdr:rowOff>
              </from>
              <to>
                <xdr:col>2</xdr:col>
                <xdr:colOff>57150</xdr:colOff>
                <xdr:row>45</xdr:row>
                <xdr:rowOff>88900</xdr:rowOff>
              </to>
            </anchor>
          </controlPr>
        </control>
      </mc:Choice>
      <mc:Fallback>
        <control shapeId="71707" r:id="rId10" name="OptionButton10"/>
      </mc:Fallback>
    </mc:AlternateContent>
    <mc:AlternateContent xmlns:mc="http://schemas.openxmlformats.org/markup-compatibility/2006">
      <mc:Choice Requires="x14">
        <control shapeId="71719" r:id="rId12" name="CommandButton1">
          <controlPr defaultSize="0" autoLine="0" r:id="rId13">
            <anchor moveWithCells="1">
              <from>
                <xdr:col>11</xdr:col>
                <xdr:colOff>0</xdr:colOff>
                <xdr:row>120</xdr:row>
                <xdr:rowOff>0</xdr:rowOff>
              </from>
              <to>
                <xdr:col>14</xdr:col>
                <xdr:colOff>463550</xdr:colOff>
                <xdr:row>122</xdr:row>
                <xdr:rowOff>82550</xdr:rowOff>
              </to>
            </anchor>
          </controlPr>
        </control>
      </mc:Choice>
      <mc:Fallback>
        <control shapeId="71719" r:id="rId12" name="CommandButton1"/>
      </mc:Fallback>
    </mc:AlternateContent>
    <mc:AlternateContent xmlns:mc="http://schemas.openxmlformats.org/markup-compatibility/2006">
      <mc:Choice Requires="x14">
        <control shapeId="71683" r:id="rId14" name="Group Box 3">
          <controlPr defaultSize="0" autoFill="0" autoPict="0">
            <anchor moveWithCells="1">
              <from>
                <xdr:col>0</xdr:col>
                <xdr:colOff>12700</xdr:colOff>
                <xdr:row>19</xdr:row>
                <xdr:rowOff>57150</xdr:rowOff>
              </from>
              <to>
                <xdr:col>6</xdr:col>
                <xdr:colOff>412750</xdr:colOff>
                <xdr:row>20</xdr:row>
                <xdr:rowOff>336550</xdr:rowOff>
              </to>
            </anchor>
          </controlPr>
        </control>
      </mc:Choice>
    </mc:AlternateContent>
    <mc:AlternateContent xmlns:mc="http://schemas.openxmlformats.org/markup-compatibility/2006">
      <mc:Choice Requires="x14">
        <control shapeId="71684" r:id="rId15" name="Check Box 4">
          <controlPr defaultSize="0" autoFill="0" autoLine="0" autoPict="0">
            <anchor moveWithCells="1">
              <from>
                <xdr:col>7</xdr:col>
                <xdr:colOff>533400</xdr:colOff>
                <xdr:row>21</xdr:row>
                <xdr:rowOff>146050</xdr:rowOff>
              </from>
              <to>
                <xdr:col>9</xdr:col>
                <xdr:colOff>50800</xdr:colOff>
                <xdr:row>21</xdr:row>
                <xdr:rowOff>450850</xdr:rowOff>
              </to>
            </anchor>
          </controlPr>
        </control>
      </mc:Choice>
    </mc:AlternateContent>
    <mc:AlternateContent xmlns:mc="http://schemas.openxmlformats.org/markup-compatibility/2006">
      <mc:Choice Requires="x14">
        <control shapeId="71685" r:id="rId16" name="Check Box 5">
          <controlPr defaultSize="0" autoFill="0" autoLine="0" autoPict="0">
            <anchor moveWithCells="1">
              <from>
                <xdr:col>9</xdr:col>
                <xdr:colOff>419100</xdr:colOff>
                <xdr:row>21</xdr:row>
                <xdr:rowOff>146050</xdr:rowOff>
              </from>
              <to>
                <xdr:col>10</xdr:col>
                <xdr:colOff>990600</xdr:colOff>
                <xdr:row>21</xdr:row>
                <xdr:rowOff>469900</xdr:rowOff>
              </to>
            </anchor>
          </controlPr>
        </control>
      </mc:Choice>
    </mc:AlternateContent>
    <mc:AlternateContent xmlns:mc="http://schemas.openxmlformats.org/markup-compatibility/2006">
      <mc:Choice Requires="x14">
        <control shapeId="71689" r:id="rId17" name="Group Box 9">
          <controlPr defaultSize="0" autoFill="0" autoPict="0">
            <anchor moveWithCells="1">
              <from>
                <xdr:col>0</xdr:col>
                <xdr:colOff>50800</xdr:colOff>
                <xdr:row>65</xdr:row>
                <xdr:rowOff>0</xdr:rowOff>
              </from>
              <to>
                <xdr:col>3</xdr:col>
                <xdr:colOff>1365250</xdr:colOff>
                <xdr:row>69</xdr:row>
                <xdr:rowOff>95250</xdr:rowOff>
              </to>
            </anchor>
          </controlPr>
        </control>
      </mc:Choice>
    </mc:AlternateContent>
    <mc:AlternateContent xmlns:mc="http://schemas.openxmlformats.org/markup-compatibility/2006">
      <mc:Choice Requires="x14">
        <control shapeId="71690"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1691"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1692"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71693" r:id="rId21" name="Group Box 13">
          <controlPr defaultSize="0" autoFill="0" autoPict="0">
            <anchor moveWithCells="1">
              <from>
                <xdr:col>0</xdr:col>
                <xdr:colOff>374650</xdr:colOff>
                <xdr:row>65</xdr:row>
                <xdr:rowOff>0</xdr:rowOff>
              </from>
              <to>
                <xdr:col>3</xdr:col>
                <xdr:colOff>1365250</xdr:colOff>
                <xdr:row>68</xdr:row>
                <xdr:rowOff>95250</xdr:rowOff>
              </to>
            </anchor>
          </controlPr>
        </control>
      </mc:Choice>
    </mc:AlternateContent>
    <mc:AlternateContent xmlns:mc="http://schemas.openxmlformats.org/markup-compatibility/2006">
      <mc:Choice Requires="x14">
        <control shapeId="71694"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1695"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1696"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71700" r:id="rId25" name="Group Box 20">
          <controlPr defaultSize="0" autoFill="0" autoPict="0">
            <anchor moveWithCells="1">
              <from>
                <xdr:col>0</xdr:col>
                <xdr:colOff>317500</xdr:colOff>
                <xdr:row>68</xdr:row>
                <xdr:rowOff>209550</xdr:rowOff>
              </from>
              <to>
                <xdr:col>3</xdr:col>
                <xdr:colOff>1365250</xdr:colOff>
                <xdr:row>72</xdr:row>
                <xdr:rowOff>12700</xdr:rowOff>
              </to>
            </anchor>
          </controlPr>
        </control>
      </mc:Choice>
    </mc:AlternateContent>
    <mc:AlternateContent xmlns:mc="http://schemas.openxmlformats.org/markup-compatibility/2006">
      <mc:Choice Requires="x14">
        <control shapeId="71701"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71702" r:id="rId27" name="Option Button 22">
          <controlPr defaultSize="0" autoFill="0" autoLine="0" autoPict="0">
            <anchor moveWithCells="1">
              <from>
                <xdr:col>2</xdr:col>
                <xdr:colOff>1060450</xdr:colOff>
                <xdr:row>37</xdr:row>
                <xdr:rowOff>69850</xdr:rowOff>
              </from>
              <to>
                <xdr:col>3</xdr:col>
                <xdr:colOff>1308100</xdr:colOff>
                <xdr:row>38</xdr:row>
                <xdr:rowOff>69850</xdr:rowOff>
              </to>
            </anchor>
          </controlPr>
        </control>
      </mc:Choice>
    </mc:AlternateContent>
    <mc:AlternateContent xmlns:mc="http://schemas.openxmlformats.org/markup-compatibility/2006">
      <mc:Choice Requires="x14">
        <control shapeId="71703" r:id="rId28" name="Option Button 23">
          <controlPr defaultSize="0" autoFill="0" autoLine="0" autoPict="0">
            <anchor moveWithCells="1">
              <from>
                <xdr:col>4</xdr:col>
                <xdr:colOff>209550</xdr:colOff>
                <xdr:row>37</xdr:row>
                <xdr:rowOff>69850</xdr:rowOff>
              </from>
              <to>
                <xdr:col>5</xdr:col>
                <xdr:colOff>622300</xdr:colOff>
                <xdr:row>38</xdr:row>
                <xdr:rowOff>69850</xdr:rowOff>
              </to>
            </anchor>
          </controlPr>
        </control>
      </mc:Choice>
    </mc:AlternateContent>
    <mc:AlternateContent xmlns:mc="http://schemas.openxmlformats.org/markup-compatibility/2006">
      <mc:Choice Requires="x14">
        <control shapeId="71705"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71709" r:id="rId30" name="Group Box 29">
          <controlPr defaultSize="0" autoFill="0" autoPict="0">
            <anchor moveWithCells="1">
              <from>
                <xdr:col>0</xdr:col>
                <xdr:colOff>571500</xdr:colOff>
                <xdr:row>42</xdr:row>
                <xdr:rowOff>209550</xdr:rowOff>
              </from>
              <to>
                <xdr:col>3</xdr:col>
                <xdr:colOff>1365250</xdr:colOff>
                <xdr:row>46</xdr:row>
                <xdr:rowOff>12700</xdr:rowOff>
              </to>
            </anchor>
          </controlPr>
        </control>
      </mc:Choice>
    </mc:AlternateContent>
    <mc:AlternateContent xmlns:mc="http://schemas.openxmlformats.org/markup-compatibility/2006">
      <mc:Choice Requires="x14">
        <control shapeId="71780" r:id="rId31" name="Check Box 100">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71781" r:id="rId32" name="Check Box 101">
          <controlPr defaultSize="0" autoFill="0" autoLine="0" autoPict="0">
            <anchor moveWithCells="1">
              <from>
                <xdr:col>0</xdr:col>
                <xdr:colOff>1193800</xdr:colOff>
                <xdr:row>9</xdr:row>
                <xdr:rowOff>95250</xdr:rowOff>
              </from>
              <to>
                <xdr:col>2</xdr:col>
                <xdr:colOff>0</xdr:colOff>
                <xdr:row>9</xdr:row>
                <xdr:rowOff>355600</xdr:rowOff>
              </to>
            </anchor>
          </controlPr>
        </control>
      </mc:Choice>
    </mc:AlternateContent>
    <mc:AlternateContent xmlns:mc="http://schemas.openxmlformats.org/markup-compatibility/2006">
      <mc:Choice Requires="x14">
        <control shapeId="71782" r:id="rId33" name="Check Box 102">
          <controlPr defaultSize="0" autoFill="0" autoLine="0" autoPict="0">
            <anchor moveWithCells="1">
              <from>
                <xdr:col>3</xdr:col>
                <xdr:colOff>965200</xdr:colOff>
                <xdr:row>9</xdr:row>
                <xdr:rowOff>95250</xdr:rowOff>
              </from>
              <to>
                <xdr:col>4</xdr:col>
                <xdr:colOff>247650</xdr:colOff>
                <xdr:row>9</xdr:row>
                <xdr:rowOff>184150</xdr:rowOff>
              </to>
            </anchor>
          </controlPr>
        </control>
      </mc:Choice>
    </mc:AlternateContent>
    <mc:AlternateContent xmlns:mc="http://schemas.openxmlformats.org/markup-compatibility/2006">
      <mc:Choice Requires="x14">
        <control shapeId="71783" r:id="rId34" name="Check Box 103">
          <controlPr defaultSize="0" autoFill="0" autoLine="0" autoPict="0">
            <anchor moveWithCells="1">
              <from>
                <xdr:col>3</xdr:col>
                <xdr:colOff>222250</xdr:colOff>
                <xdr:row>9</xdr:row>
                <xdr:rowOff>114300</xdr:rowOff>
              </from>
              <to>
                <xdr:col>3</xdr:col>
                <xdr:colOff>812800</xdr:colOff>
                <xdr:row>9</xdr:row>
                <xdr:rowOff>203200</xdr:rowOff>
              </to>
            </anchor>
          </controlPr>
        </control>
      </mc:Choice>
    </mc:AlternateContent>
    <mc:AlternateContent xmlns:mc="http://schemas.openxmlformats.org/markup-compatibility/2006">
      <mc:Choice Requires="x14">
        <control shapeId="71784" r:id="rId35" name="Group Box 104">
          <controlPr defaultSize="0" autoFill="0" autoPict="0">
            <anchor moveWithCells="1">
              <from>
                <xdr:col>0</xdr:col>
                <xdr:colOff>50800</xdr:colOff>
                <xdr:row>96</xdr:row>
                <xdr:rowOff>0</xdr:rowOff>
              </from>
              <to>
                <xdr:col>3</xdr:col>
                <xdr:colOff>1365250</xdr:colOff>
                <xdr:row>100</xdr:row>
                <xdr:rowOff>146050</xdr:rowOff>
              </to>
            </anchor>
          </controlPr>
        </control>
      </mc:Choice>
    </mc:AlternateContent>
    <mc:AlternateContent xmlns:mc="http://schemas.openxmlformats.org/markup-compatibility/2006">
      <mc:Choice Requires="x14">
        <control shapeId="71785" r:id="rId36" name="Option Button 105">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71786" r:id="rId37" name="Option Button 106">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71787" r:id="rId38" name="Group Box 107">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71788" r:id="rId39" name="Group Box 108">
          <controlPr defaultSize="0" autoFill="0" autoPict="0">
            <anchor moveWithCells="1">
              <from>
                <xdr:col>0</xdr:col>
                <xdr:colOff>374650</xdr:colOff>
                <xdr:row>96</xdr:row>
                <xdr:rowOff>76200</xdr:rowOff>
              </from>
              <to>
                <xdr:col>3</xdr:col>
                <xdr:colOff>1365250</xdr:colOff>
                <xdr:row>100</xdr:row>
                <xdr:rowOff>38100</xdr:rowOff>
              </to>
            </anchor>
          </controlPr>
        </control>
      </mc:Choice>
    </mc:AlternateContent>
    <mc:AlternateContent xmlns:mc="http://schemas.openxmlformats.org/markup-compatibility/2006">
      <mc:Choice Requires="x14">
        <control shapeId="71789" r:id="rId40" name="Option Button 109">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71790" r:id="rId41" name="Option Button 110">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71791" r:id="rId42" name="Group Box 111">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3"/>
  <dimension ref="A1:O194"/>
  <sheetViews>
    <sheetView showGridLines="0" topLeftCell="A95" zoomScale="90" zoomScaleNormal="90" workbookViewId="0">
      <selection activeCell="B6" sqref="B6"/>
    </sheetView>
  </sheetViews>
  <sheetFormatPr defaultColWidth="0" defaultRowHeight="14.5" customHeight="1" zeroHeight="1"/>
  <cols>
    <col min="1" max="1" width="14.54296875" style="42" customWidth="1"/>
    <col min="2" max="2" width="9.542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4" width="9.1796875" style="42" customWidth="1"/>
    <col min="15" max="15" width="10.54296875" style="42" customWidth="1"/>
    <col min="16" max="16384" width="8.7265625" style="42" hidden="1"/>
  </cols>
  <sheetData>
    <row r="1" spans="1:15"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5" ht="55" customHeight="1">
      <c r="A2" s="2750" t="s">
        <v>132</v>
      </c>
      <c r="B2" s="2750"/>
      <c r="C2" s="2750"/>
      <c r="D2" s="2750"/>
      <c r="E2" s="2750"/>
      <c r="F2" s="2750"/>
      <c r="G2" s="2750"/>
      <c r="H2" s="2750"/>
      <c r="I2" s="2750"/>
      <c r="J2" s="2750"/>
      <c r="K2" s="7"/>
      <c r="L2" s="7"/>
      <c r="M2" s="7"/>
      <c r="N2" s="7"/>
      <c r="O2" s="7"/>
    </row>
    <row r="3" spans="1:15" ht="31" thickBot="1">
      <c r="A3" s="24" t="s">
        <v>134</v>
      </c>
      <c r="B3" s="24"/>
      <c r="C3" s="24"/>
      <c r="D3" s="24"/>
      <c r="E3" s="24"/>
      <c r="F3" s="24"/>
      <c r="G3" s="24"/>
      <c r="H3" s="24"/>
      <c r="I3" s="24"/>
      <c r="J3" s="24"/>
      <c r="K3" s="24"/>
      <c r="L3" s="24"/>
      <c r="M3" s="24"/>
      <c r="N3" s="24"/>
      <c r="O3" s="7"/>
    </row>
    <row r="4" spans="1:15" ht="18.75" customHeight="1">
      <c r="A4" s="25"/>
      <c r="B4" s="25"/>
      <c r="C4" s="25"/>
      <c r="D4" s="25"/>
      <c r="E4" s="25"/>
      <c r="F4" s="25"/>
      <c r="G4" s="25"/>
      <c r="H4" s="25"/>
      <c r="I4" s="25"/>
      <c r="J4" s="25"/>
      <c r="K4" s="25"/>
      <c r="L4" s="25"/>
      <c r="M4" s="25"/>
      <c r="N4" s="25"/>
      <c r="O4" s="7"/>
    </row>
    <row r="5" spans="1:15" ht="18" customHeight="1">
      <c r="A5" s="18" t="s">
        <v>136</v>
      </c>
      <c r="B5" s="97">
        <f>'In Unit HVAC Worksheet'!B88</f>
        <v>7</v>
      </c>
      <c r="C5" s="2767"/>
      <c r="D5" s="2767"/>
      <c r="E5" s="18"/>
      <c r="F5" s="18"/>
      <c r="G5" s="18" t="s">
        <v>80</v>
      </c>
      <c r="H5" s="2766" t="str">
        <f>IF('In Unit HVAC Worksheet'!C88="","",'In Unit HVAC Worksheet'!C88)</f>
        <v/>
      </c>
      <c r="I5" s="2766"/>
      <c r="J5" s="14"/>
      <c r="K5" s="7"/>
      <c r="L5" s="7"/>
      <c r="M5" s="7"/>
      <c r="N5" s="7"/>
      <c r="O5" s="7"/>
    </row>
    <row r="6" spans="1:15" ht="18" customHeight="1">
      <c r="A6" s="18"/>
      <c r="B6" s="18"/>
      <c r="C6" s="18"/>
      <c r="D6" s="18"/>
      <c r="E6" s="18"/>
      <c r="F6" s="18"/>
      <c r="G6" s="18"/>
      <c r="H6" s="18"/>
      <c r="I6" s="14"/>
      <c r="J6" s="14"/>
      <c r="K6" s="7"/>
      <c r="L6" s="7"/>
      <c r="M6" s="7"/>
      <c r="N6" s="7"/>
      <c r="O6" s="7"/>
    </row>
    <row r="7" spans="1:15" ht="18" customHeight="1">
      <c r="B7" s="18"/>
      <c r="D7" s="18"/>
      <c r="E7" s="18"/>
      <c r="F7" s="18"/>
      <c r="G7" s="18" t="s">
        <v>135</v>
      </c>
      <c r="H7" s="2766" t="str">
        <f>IF('In Unit HVAC Worksheet'!E88="","",'In Unit HVAC Worksheet'!E88)</f>
        <v/>
      </c>
      <c r="I7" s="2766"/>
      <c r="J7" s="14"/>
      <c r="K7" s="7"/>
      <c r="L7" s="7"/>
      <c r="M7" s="7"/>
      <c r="N7" s="7"/>
      <c r="O7" s="7"/>
    </row>
    <row r="8" spans="1:15" ht="23">
      <c r="A8" s="20" t="s">
        <v>133</v>
      </c>
      <c r="B8" s="19"/>
      <c r="C8" s="19"/>
      <c r="D8" s="19"/>
      <c r="E8" s="19"/>
      <c r="F8" s="19"/>
      <c r="G8" s="19"/>
      <c r="H8" s="19"/>
      <c r="I8" s="19"/>
      <c r="J8" s="19"/>
      <c r="K8" s="19"/>
      <c r="L8" s="19"/>
      <c r="M8" s="11"/>
      <c r="N8" s="19"/>
      <c r="O8" s="19"/>
    </row>
    <row r="9" spans="1:15" ht="30.5">
      <c r="A9" s="14"/>
      <c r="B9" s="70" t="s">
        <v>30</v>
      </c>
      <c r="C9" s="71"/>
      <c r="D9" s="70" t="s">
        <v>31</v>
      </c>
      <c r="E9" s="72"/>
      <c r="F9" s="14"/>
      <c r="G9" s="14"/>
      <c r="H9" s="14"/>
      <c r="I9" s="14"/>
      <c r="J9" s="14"/>
      <c r="K9" s="7"/>
      <c r="L9" s="7"/>
      <c r="M9" s="7"/>
      <c r="N9" s="7"/>
      <c r="O9" s="7"/>
    </row>
    <row r="10" spans="1:15" ht="24" customHeight="1">
      <c r="A10" s="7"/>
      <c r="B10" s="22"/>
      <c r="C10" s="22"/>
      <c r="D10" s="22"/>
      <c r="E10" s="22"/>
      <c r="G10" s="16"/>
      <c r="H10" s="16"/>
      <c r="J10" s="7"/>
      <c r="K10" s="7"/>
      <c r="L10" s="7"/>
      <c r="M10" s="7"/>
      <c r="N10" s="7"/>
      <c r="O10" s="7"/>
    </row>
    <row r="11" spans="1:15" ht="23.5" thickBot="1">
      <c r="A11" s="17" t="s">
        <v>67</v>
      </c>
      <c r="B11" s="17"/>
      <c r="C11" s="17"/>
      <c r="D11" s="17"/>
      <c r="E11" s="17"/>
      <c r="F11" s="17"/>
      <c r="G11" s="17"/>
      <c r="H11" s="17"/>
      <c r="I11" s="17"/>
      <c r="J11" s="17"/>
      <c r="K11" s="17"/>
      <c r="L11" s="17"/>
      <c r="M11" s="17"/>
      <c r="N11" s="17"/>
      <c r="O11" s="19"/>
    </row>
    <row r="12" spans="1:15" ht="6.75" customHeight="1">
      <c r="A12" s="4"/>
      <c r="B12" s="5"/>
      <c r="C12" s="5"/>
      <c r="D12" s="5"/>
      <c r="E12" s="5"/>
      <c r="F12" s="5"/>
      <c r="G12" s="5"/>
      <c r="H12" s="5"/>
      <c r="I12" s="5"/>
      <c r="J12" s="5"/>
      <c r="K12" s="5"/>
      <c r="L12" s="5"/>
      <c r="M12" s="5"/>
      <c r="N12" s="5"/>
      <c r="O12" s="5"/>
    </row>
    <row r="13" spans="1:15" ht="27.75" customHeight="1">
      <c r="A13" s="170" t="s">
        <v>443</v>
      </c>
      <c r="B13" s="5"/>
      <c r="C13" s="5"/>
      <c r="D13" s="5"/>
      <c r="E13" s="5"/>
      <c r="F13" s="5"/>
      <c r="G13" s="5"/>
      <c r="H13" s="5"/>
      <c r="I13" s="5"/>
      <c r="J13" s="5"/>
      <c r="K13" s="5"/>
      <c r="L13" s="5"/>
      <c r="M13" s="5"/>
      <c r="N13" s="5"/>
      <c r="O13" s="5"/>
    </row>
    <row r="14" spans="1:15" ht="27.75" customHeight="1">
      <c r="A14" s="4"/>
      <c r="B14" s="5"/>
      <c r="C14" s="5"/>
      <c r="D14" s="5"/>
      <c r="E14" s="5"/>
      <c r="F14" s="5"/>
      <c r="G14" s="5"/>
      <c r="H14" s="5"/>
      <c r="I14" s="5"/>
      <c r="J14" s="5"/>
      <c r="K14" s="5"/>
      <c r="L14" s="5"/>
      <c r="M14" s="5"/>
      <c r="N14" s="5"/>
      <c r="O14" s="5"/>
    </row>
    <row r="15" spans="1:15" ht="33.65" customHeight="1">
      <c r="A15" s="42" t="s">
        <v>525</v>
      </c>
      <c r="E15" s="2734"/>
      <c r="F15" s="2734"/>
      <c r="G15" s="42" t="str">
        <f>IF(OR(E15=""),"",'Air Flow References'!AE4)</f>
        <v/>
      </c>
      <c r="L15" s="43" t="s">
        <v>526</v>
      </c>
      <c r="M15" s="2731"/>
      <c r="N15" s="2731"/>
      <c r="O15" s="42" t="str">
        <f>IF(OR(M15=""),"",'Air Flow References'!AE6)</f>
        <v/>
      </c>
    </row>
    <row r="16" spans="1:15" ht="33.65" customHeight="1">
      <c r="E16" s="167"/>
      <c r="F16" s="167"/>
      <c r="L16" s="43"/>
      <c r="M16" s="164"/>
      <c r="N16" s="164"/>
    </row>
    <row r="17" spans="1:15" ht="33.65" customHeight="1">
      <c r="A17" s="138" t="s">
        <v>543</v>
      </c>
    </row>
    <row r="18" spans="1:15" ht="33.65" customHeight="1">
      <c r="A18" s="2318" t="s">
        <v>527</v>
      </c>
      <c r="B18" s="2318"/>
      <c r="C18" s="2318"/>
      <c r="D18" s="2318"/>
      <c r="E18" s="2736"/>
      <c r="F18" s="2736"/>
      <c r="G18" s="42" t="str">
        <f>IF(OR(E18=""),"",'Air Flow References'!AE5)</f>
        <v/>
      </c>
      <c r="H18" s="45"/>
      <c r="I18" s="45" t="s">
        <v>397</v>
      </c>
      <c r="L18" s="43" t="s">
        <v>528</v>
      </c>
      <c r="M18" s="2734"/>
      <c r="N18" s="2734"/>
      <c r="O18" s="42" t="str">
        <f>IF(OR(M18=""),"",'Air Flow References'!AE7)</f>
        <v/>
      </c>
    </row>
    <row r="19" spans="1:15" ht="33.65" customHeight="1"/>
    <row r="20" spans="1:15" ht="33.65" customHeight="1">
      <c r="A20" s="42" t="s">
        <v>531</v>
      </c>
    </row>
    <row r="21" spans="1:15" ht="33.65" customHeight="1"/>
    <row r="22" spans="1:15" ht="33.65" customHeight="1">
      <c r="A22" s="42" t="s">
        <v>532</v>
      </c>
      <c r="E22" s="2731"/>
      <c r="F22" s="2731"/>
      <c r="G22" s="42" t="str">
        <f>IF(OR(E22=""),"",'Air Flow References'!AE9)</f>
        <v/>
      </c>
      <c r="H22" s="73"/>
      <c r="I22" s="73"/>
      <c r="J22" s="73"/>
      <c r="K22" s="73"/>
    </row>
    <row r="23" spans="1:15" ht="33.65" customHeight="1">
      <c r="A23" s="162" t="s">
        <v>545</v>
      </c>
      <c r="E23" s="164"/>
      <c r="F23" s="164"/>
    </row>
    <row r="24" spans="1:15" ht="33.65" customHeight="1">
      <c r="E24" s="164"/>
      <c r="F24" s="164"/>
    </row>
    <row r="25" spans="1:15" ht="33.65" customHeight="1">
      <c r="A25" s="42" t="s">
        <v>533</v>
      </c>
      <c r="E25" s="2731"/>
      <c r="F25" s="2731"/>
      <c r="G25" s="42" t="str">
        <f>IF(OR(E25=""),"",'Air Flow References'!AE8)</f>
        <v/>
      </c>
    </row>
    <row r="26" spans="1:15" ht="33.65" customHeight="1">
      <c r="A26" s="162" t="s">
        <v>546</v>
      </c>
      <c r="E26" s="164"/>
      <c r="F26" s="164"/>
    </row>
    <row r="27" spans="1:15" ht="33.65" customHeight="1">
      <c r="E27" s="164"/>
      <c r="F27" s="164"/>
    </row>
    <row r="28" spans="1:15" ht="33.65" customHeight="1"/>
    <row r="29" spans="1:15" ht="33.65" customHeight="1">
      <c r="A29" s="2318" t="s">
        <v>62</v>
      </c>
      <c r="B29" s="2318"/>
      <c r="C29" s="2318"/>
      <c r="D29" s="2318"/>
      <c r="E29" s="2318"/>
      <c r="F29" s="2318"/>
      <c r="G29" s="2318"/>
      <c r="H29" s="2318"/>
      <c r="I29" s="2318"/>
      <c r="J29" s="2318"/>
      <c r="K29" s="2318"/>
      <c r="L29" s="2318"/>
      <c r="M29" s="2318"/>
    </row>
    <row r="30" spans="1:15" ht="33.65" customHeight="1">
      <c r="A30" s="42" t="s">
        <v>63</v>
      </c>
      <c r="C30" s="2733"/>
      <c r="D30" s="2733"/>
      <c r="E30" s="2733"/>
      <c r="F30" s="2733"/>
      <c r="G30" s="2733"/>
      <c r="H30" s="2733"/>
      <c r="I30" s="2733"/>
      <c r="J30" s="2733"/>
      <c r="K30" s="2733"/>
      <c r="L30" s="2733"/>
    </row>
    <row r="31" spans="1:15"/>
    <row r="32" spans="1:15">
      <c r="A32" s="45" t="s">
        <v>66</v>
      </c>
    </row>
    <row r="33" spans="1:15">
      <c r="A33" s="42" t="s">
        <v>65</v>
      </c>
    </row>
    <row r="34" spans="1:15">
      <c r="A34" s="42" t="s">
        <v>64</v>
      </c>
    </row>
    <row r="35" spans="1:15"/>
    <row r="36" spans="1:15" ht="23.5" thickBot="1">
      <c r="A36" s="17" t="s">
        <v>236</v>
      </c>
      <c r="B36" s="17"/>
      <c r="C36" s="17"/>
      <c r="D36" s="17"/>
      <c r="E36" s="17"/>
      <c r="F36" s="17"/>
      <c r="G36" s="17"/>
      <c r="H36" s="17"/>
      <c r="I36" s="17"/>
      <c r="J36" s="17"/>
      <c r="K36" s="17"/>
      <c r="L36" s="17"/>
      <c r="M36" s="17"/>
      <c r="N36" s="17"/>
      <c r="O36" s="19"/>
    </row>
    <row r="37" spans="1:15" ht="23">
      <c r="A37" s="4"/>
      <c r="B37" s="4"/>
      <c r="C37" s="4"/>
      <c r="D37" s="4"/>
      <c r="E37" s="4"/>
      <c r="F37" s="4"/>
      <c r="G37" s="4"/>
      <c r="H37" s="4"/>
      <c r="I37" s="4"/>
      <c r="J37" s="4"/>
      <c r="K37" s="4"/>
      <c r="L37" s="4"/>
      <c r="M37" s="4"/>
      <c r="N37" s="4"/>
      <c r="O37" s="4"/>
    </row>
    <row r="38" spans="1:15" ht="23">
      <c r="A38" s="3" t="s">
        <v>97</v>
      </c>
      <c r="B38" s="4"/>
      <c r="C38" s="4"/>
      <c r="D38" s="4"/>
      <c r="E38" s="4"/>
      <c r="F38" s="4"/>
      <c r="G38" s="4"/>
      <c r="H38" s="4"/>
      <c r="I38" s="2749"/>
      <c r="J38" s="2749"/>
      <c r="K38" s="4"/>
      <c r="L38" s="4"/>
      <c r="M38" s="4"/>
    </row>
    <row r="39" spans="1:15" ht="23">
      <c r="A39" s="4"/>
      <c r="B39" s="4"/>
      <c r="C39" s="4"/>
      <c r="D39" s="4"/>
      <c r="E39" s="4"/>
      <c r="F39" s="4"/>
      <c r="G39" s="4"/>
      <c r="H39" s="4"/>
      <c r="I39" s="4"/>
      <c r="J39" s="4"/>
      <c r="K39" s="4"/>
      <c r="L39" s="4"/>
      <c r="M39" s="4"/>
      <c r="N39" s="4"/>
      <c r="O39" s="4"/>
    </row>
    <row r="40" spans="1:15">
      <c r="A40" s="46" t="s">
        <v>221</v>
      </c>
      <c r="B40" s="46"/>
      <c r="C40" s="46"/>
      <c r="D40" s="46"/>
      <c r="E40" s="46"/>
      <c r="F40" s="46"/>
      <c r="G40" s="46"/>
      <c r="H40" s="46"/>
      <c r="I40" s="46"/>
      <c r="J40" s="46"/>
      <c r="K40" s="46"/>
      <c r="L40" s="46"/>
      <c r="M40" s="46"/>
      <c r="N40" s="46"/>
    </row>
    <row r="41" spans="1:15">
      <c r="A41" s="48"/>
      <c r="B41" s="49"/>
      <c r="C41" s="49"/>
      <c r="D41" s="49"/>
      <c r="E41" s="49"/>
      <c r="F41" s="49"/>
      <c r="G41" s="49"/>
      <c r="H41" s="49"/>
      <c r="I41" s="49"/>
      <c r="J41" s="49"/>
      <c r="K41" s="49"/>
      <c r="L41" s="49"/>
      <c r="M41" s="49"/>
      <c r="N41" s="49"/>
    </row>
    <row r="42" spans="1:15">
      <c r="A42" s="54" t="s">
        <v>95</v>
      </c>
    </row>
    <row r="43" spans="1:15">
      <c r="A43" s="50" t="s">
        <v>96</v>
      </c>
    </row>
    <row r="44" spans="1:15">
      <c r="A44" s="50"/>
    </row>
    <row r="45" spans="1:15">
      <c r="A45" s="50"/>
      <c r="E45" s="2747"/>
      <c r="F45" s="2747"/>
    </row>
    <row r="46" spans="1:15">
      <c r="A46" s="50"/>
    </row>
    <row r="47" spans="1:15">
      <c r="A47" s="50"/>
    </row>
    <row r="48" spans="1:15">
      <c r="A48" s="50"/>
    </row>
    <row r="49" spans="1:7">
      <c r="A49" s="50"/>
      <c r="B49" s="42" t="s">
        <v>110</v>
      </c>
      <c r="E49" s="96"/>
      <c r="F49" s="42" t="s">
        <v>101</v>
      </c>
      <c r="G49" s="42" t="str">
        <f>IF(OR(E49=""),"",'Air Flow References'!AE16)</f>
        <v/>
      </c>
    </row>
    <row r="50" spans="1:7">
      <c r="A50" s="50"/>
    </row>
    <row r="51" spans="1:7">
      <c r="A51" s="50"/>
      <c r="B51" s="42" t="s">
        <v>111</v>
      </c>
      <c r="E51" s="96"/>
      <c r="F51" s="56" t="s">
        <v>101</v>
      </c>
      <c r="G51" s="42" t="str">
        <f>IF(OR(E51=""),"",'Air Flow References'!AE17)</f>
        <v/>
      </c>
    </row>
    <row r="52" spans="1:7">
      <c r="A52" s="50"/>
    </row>
    <row r="53" spans="1:7">
      <c r="A53" s="54" t="s">
        <v>102</v>
      </c>
    </row>
    <row r="54" spans="1:7">
      <c r="A54" s="54"/>
    </row>
    <row r="55" spans="1:7">
      <c r="A55" s="50" t="s">
        <v>112</v>
      </c>
      <c r="E55" s="96"/>
      <c r="F55" s="42" t="s">
        <v>106</v>
      </c>
      <c r="G55" s="42" t="str">
        <f>IF(OR(E55=""),"",'Air Flow References'!AE18)</f>
        <v/>
      </c>
    </row>
    <row r="56" spans="1:7">
      <c r="A56" s="50"/>
    </row>
    <row r="57" spans="1:7">
      <c r="A57" s="50" t="s">
        <v>113</v>
      </c>
      <c r="E57" s="96"/>
      <c r="F57" s="42" t="s">
        <v>101</v>
      </c>
      <c r="G57" s="42" t="str">
        <f>IF(OR(E57=""),"",'Air Flow References'!AE19)</f>
        <v/>
      </c>
    </row>
    <row r="58" spans="1:7">
      <c r="A58" s="50"/>
    </row>
    <row r="59" spans="1:7">
      <c r="A59" s="50" t="s">
        <v>114</v>
      </c>
      <c r="E59" s="96"/>
      <c r="F59" s="42" t="s">
        <v>101</v>
      </c>
      <c r="G59" s="42" t="str">
        <f>IF(OR(E59=""),"",'Air Flow References'!AE20)</f>
        <v/>
      </c>
    </row>
    <row r="60" spans="1:7">
      <c r="A60" s="50"/>
    </row>
    <row r="61" spans="1:7">
      <c r="A61" s="50" t="s">
        <v>115</v>
      </c>
      <c r="E61" s="98" t="str">
        <f>IF(OR(E57="",E59=""),"",E57-E59)</f>
        <v/>
      </c>
      <c r="F61" s="42" t="s">
        <v>101</v>
      </c>
    </row>
    <row r="62" spans="1:7">
      <c r="A62" s="50"/>
    </row>
    <row r="63" spans="1:7">
      <c r="A63" s="57" t="s">
        <v>116</v>
      </c>
    </row>
    <row r="64" spans="1:7">
      <c r="A64" s="50"/>
    </row>
    <row r="65" spans="1:15">
      <c r="A65" s="58" t="s">
        <v>117</v>
      </c>
      <c r="B65" s="59"/>
      <c r="C65" s="59"/>
      <c r="D65" s="59"/>
      <c r="E65" s="59"/>
      <c r="F65" s="59"/>
      <c r="G65" s="59"/>
      <c r="H65" s="59"/>
      <c r="I65" s="59"/>
      <c r="J65" s="59"/>
      <c r="K65" s="59"/>
      <c r="L65" s="59"/>
      <c r="M65" s="59"/>
      <c r="N65" s="59"/>
    </row>
    <row r="66" spans="1:15">
      <c r="A66" s="46" t="s">
        <v>260</v>
      </c>
      <c r="B66" s="46"/>
      <c r="C66" s="46"/>
      <c r="D66" s="46"/>
      <c r="E66" s="46"/>
      <c r="F66" s="46"/>
      <c r="G66" s="46"/>
      <c r="H66" s="46"/>
      <c r="I66" s="46"/>
      <c r="J66" s="46"/>
      <c r="K66" s="46"/>
      <c r="L66" s="46"/>
      <c r="M66" s="46"/>
      <c r="N66" s="46"/>
      <c r="O66" s="47"/>
    </row>
    <row r="67" spans="1:15">
      <c r="A67" s="48"/>
      <c r="B67" s="49"/>
      <c r="C67" s="49"/>
      <c r="D67" s="49"/>
      <c r="E67" s="49"/>
      <c r="F67" s="49"/>
      <c r="G67" s="49"/>
      <c r="H67" s="49"/>
      <c r="I67" s="49"/>
      <c r="J67" s="49"/>
      <c r="K67" s="49"/>
      <c r="L67" s="49"/>
      <c r="M67" s="49"/>
      <c r="N67" s="49"/>
    </row>
    <row r="68" spans="1:15">
      <c r="A68" s="54" t="s">
        <v>95</v>
      </c>
    </row>
    <row r="69" spans="1:15">
      <c r="A69" s="50" t="s">
        <v>96</v>
      </c>
    </row>
    <row r="70" spans="1:15">
      <c r="A70" s="50"/>
    </row>
    <row r="71" spans="1:15">
      <c r="A71" s="50"/>
      <c r="E71" s="2747"/>
      <c r="F71" s="2747"/>
    </row>
    <row r="72" spans="1:15">
      <c r="A72" s="50"/>
    </row>
    <row r="73" spans="1:15">
      <c r="A73" s="50"/>
    </row>
    <row r="74" spans="1:15">
      <c r="A74" s="50"/>
      <c r="B74" s="42" t="s">
        <v>98</v>
      </c>
      <c r="E74" s="96"/>
      <c r="F74" s="42" t="s">
        <v>399</v>
      </c>
      <c r="G74" s="172" t="str">
        <f>IF(OR(E74=""),"",'Air Flow References'!AE28)</f>
        <v/>
      </c>
    </row>
    <row r="75" spans="1:15">
      <c r="A75" s="50"/>
      <c r="B75" s="42" t="s">
        <v>398</v>
      </c>
      <c r="E75" s="169"/>
      <c r="G75" s="55"/>
    </row>
    <row r="76" spans="1:15">
      <c r="A76" s="50"/>
    </row>
    <row r="77" spans="1:15">
      <c r="A77" s="50"/>
      <c r="B77" s="42" t="s">
        <v>99</v>
      </c>
      <c r="E77" s="96"/>
      <c r="F77" s="42" t="s">
        <v>101</v>
      </c>
      <c r="G77" s="42" t="str">
        <f>IF(OR(E77=""),"",'Air Flow References'!AE29)</f>
        <v/>
      </c>
    </row>
    <row r="78" spans="1:15">
      <c r="A78" s="50"/>
    </row>
    <row r="79" spans="1:15">
      <c r="A79" s="50"/>
      <c r="B79" s="42" t="s">
        <v>100</v>
      </c>
      <c r="E79" s="96"/>
      <c r="F79" s="56" t="s">
        <v>101</v>
      </c>
      <c r="G79" s="42" t="str">
        <f>IF(OR(E79=""),"",'Air Flow References'!AE30)</f>
        <v/>
      </c>
    </row>
    <row r="80" spans="1:15">
      <c r="A80" s="50"/>
    </row>
    <row r="81" spans="1:15">
      <c r="A81" s="50"/>
    </row>
    <row r="82" spans="1:15">
      <c r="A82" s="54" t="s">
        <v>102</v>
      </c>
    </row>
    <row r="83" spans="1:15">
      <c r="A83" s="50"/>
    </row>
    <row r="84" spans="1:15">
      <c r="A84" s="50" t="s">
        <v>103</v>
      </c>
      <c r="E84" s="96"/>
      <c r="F84" s="42" t="s">
        <v>106</v>
      </c>
      <c r="G84" s="42" t="str">
        <f>IF(OR(E84=""),"",'Air Flow References'!AE31)</f>
        <v/>
      </c>
    </row>
    <row r="85" spans="1:15">
      <c r="A85" s="50"/>
    </row>
    <row r="86" spans="1:15">
      <c r="A86" s="50" t="s">
        <v>104</v>
      </c>
      <c r="E86" s="96"/>
      <c r="F86" s="56" t="s">
        <v>101</v>
      </c>
      <c r="G86" s="42" t="str">
        <f>IF(OR(E86=""),"",'Air Flow References'!AE32)</f>
        <v/>
      </c>
    </row>
    <row r="87" spans="1:15">
      <c r="A87" s="50"/>
    </row>
    <row r="88" spans="1:15">
      <c r="A88" s="50" t="s">
        <v>105</v>
      </c>
      <c r="E88" s="96"/>
      <c r="F88" s="56" t="s">
        <v>101</v>
      </c>
      <c r="G88" s="42" t="str">
        <f>IF(OR(E88=""),"",'Air Flow References'!AE33)</f>
        <v/>
      </c>
    </row>
    <row r="89" spans="1:15">
      <c r="A89" s="50"/>
    </row>
    <row r="90" spans="1:15">
      <c r="A90" s="50" t="s">
        <v>107</v>
      </c>
      <c r="E90" s="98" t="str">
        <f>IF(OR(E86="",E88=""),"",E88-E86)</f>
        <v/>
      </c>
      <c r="F90" s="56" t="s">
        <v>101</v>
      </c>
    </row>
    <row r="91" spans="1:15">
      <c r="A91" s="50"/>
    </row>
    <row r="92" spans="1:15">
      <c r="A92" s="57" t="s">
        <v>108</v>
      </c>
    </row>
    <row r="93" spans="1:15">
      <c r="A93" s="50"/>
    </row>
    <row r="94" spans="1:15">
      <c r="A94" s="45" t="s">
        <v>109</v>
      </c>
    </row>
    <row r="95" spans="1:15">
      <c r="A95" s="46" t="s">
        <v>847</v>
      </c>
      <c r="B95" s="46"/>
      <c r="C95" s="46"/>
      <c r="D95" s="46"/>
      <c r="E95" s="46"/>
      <c r="F95" s="46"/>
      <c r="G95" s="46"/>
      <c r="H95" s="46"/>
      <c r="I95" s="46"/>
      <c r="J95" s="46"/>
      <c r="K95" s="46"/>
      <c r="L95" s="46"/>
      <c r="M95" s="46"/>
      <c r="N95" s="46"/>
      <c r="O95" s="47"/>
    </row>
    <row r="96" spans="1:15">
      <c r="A96" s="48"/>
      <c r="B96" s="49"/>
      <c r="C96" s="49"/>
      <c r="D96" s="49"/>
      <c r="E96" s="49"/>
      <c r="F96" s="49"/>
      <c r="G96" s="49"/>
      <c r="H96" s="49"/>
      <c r="I96" s="49"/>
      <c r="J96" s="49"/>
      <c r="K96" s="49"/>
      <c r="L96" s="49"/>
      <c r="M96" s="49"/>
      <c r="N96" s="49"/>
    </row>
    <row r="97" spans="1:14">
      <c r="A97" s="50" t="s">
        <v>68</v>
      </c>
    </row>
    <row r="98" spans="1:14" ht="9.75" customHeight="1">
      <c r="A98" s="50"/>
    </row>
    <row r="99" spans="1:14" ht="15.75" customHeight="1">
      <c r="A99" s="50"/>
      <c r="E99" s="2734"/>
      <c r="F99" s="2734"/>
      <c r="G99" s="42" t="s">
        <v>69</v>
      </c>
    </row>
    <row r="100" spans="1:14">
      <c r="A100" s="2742" t="s">
        <v>2014</v>
      </c>
      <c r="B100" s="2624"/>
    </row>
    <row r="101" spans="1:14">
      <c r="A101" s="2742"/>
      <c r="B101" s="2624"/>
      <c r="C101" s="663"/>
      <c r="E101" s="42" t="s">
        <v>71</v>
      </c>
      <c r="F101" s="663"/>
    </row>
    <row r="102" spans="1:14">
      <c r="A102" s="50"/>
    </row>
    <row r="103" spans="1:14">
      <c r="A103" s="50"/>
    </row>
    <row r="104" spans="1:14">
      <c r="A104" s="50" t="s">
        <v>81</v>
      </c>
      <c r="E104" s="74"/>
    </row>
    <row r="105" spans="1:14">
      <c r="A105" s="50"/>
    </row>
    <row r="106" spans="1:14">
      <c r="A106" s="50"/>
    </row>
    <row r="107" spans="1:14">
      <c r="A107" s="50" t="s">
        <v>82</v>
      </c>
      <c r="E107" s="74"/>
    </row>
    <row r="108" spans="1:14">
      <c r="A108" s="50"/>
    </row>
    <row r="109" spans="1:14">
      <c r="A109" s="50"/>
    </row>
    <row r="110" spans="1:14">
      <c r="A110" s="50" t="s">
        <v>2015</v>
      </c>
      <c r="C110" s="663"/>
      <c r="D110" s="42" t="s">
        <v>84</v>
      </c>
    </row>
    <row r="111" spans="1:14">
      <c r="A111" s="50"/>
    </row>
    <row r="112" spans="1:14">
      <c r="A112" s="50" t="s">
        <v>85</v>
      </c>
      <c r="D112" s="661"/>
      <c r="E112" s="42" t="s">
        <v>86</v>
      </c>
      <c r="F112" s="42" t="s">
        <v>87</v>
      </c>
      <c r="G112" s="661"/>
      <c r="H112" s="42" t="s">
        <v>84</v>
      </c>
      <c r="I112" s="42" t="s">
        <v>88</v>
      </c>
      <c r="J112" s="661"/>
      <c r="K112" s="42" t="s">
        <v>89</v>
      </c>
      <c r="L112" s="51" t="s">
        <v>90</v>
      </c>
      <c r="M112" s="661"/>
      <c r="N112" s="42" t="s">
        <v>91</v>
      </c>
    </row>
    <row r="113" spans="1:15">
      <c r="A113" s="50"/>
      <c r="L113" s="51"/>
    </row>
    <row r="114" spans="1:15">
      <c r="A114" s="50" t="s">
        <v>183</v>
      </c>
      <c r="D114" s="661"/>
      <c r="E114" s="42" t="s">
        <v>86</v>
      </c>
      <c r="F114" s="42" t="s">
        <v>87</v>
      </c>
      <c r="G114" s="661"/>
      <c r="H114" s="42" t="s">
        <v>84</v>
      </c>
      <c r="I114" s="42" t="s">
        <v>88</v>
      </c>
      <c r="J114" s="661"/>
      <c r="K114" s="42" t="s">
        <v>89</v>
      </c>
      <c r="L114" s="51" t="s">
        <v>90</v>
      </c>
      <c r="M114" s="661"/>
      <c r="N114" s="42" t="s">
        <v>91</v>
      </c>
    </row>
    <row r="115" spans="1:15">
      <c r="A115" s="50"/>
    </row>
    <row r="116" spans="1:15">
      <c r="A116" s="52" t="s">
        <v>242</v>
      </c>
      <c r="M116" s="661"/>
      <c r="N116" s="42" t="s">
        <v>91</v>
      </c>
    </row>
    <row r="117" spans="1:15">
      <c r="A117" s="50"/>
    </row>
    <row r="118" spans="1:15">
      <c r="A118" s="2745" t="s">
        <v>92</v>
      </c>
      <c r="B118" s="2738"/>
      <c r="C118" s="2738"/>
      <c r="D118" s="2738"/>
      <c r="E118" s="2746"/>
      <c r="F118" s="2743" t="s">
        <v>93</v>
      </c>
      <c r="G118" s="2743"/>
      <c r="H118" s="2743"/>
      <c r="I118" s="2743"/>
      <c r="J118" s="2743"/>
      <c r="K118" s="2743"/>
      <c r="L118" s="53"/>
      <c r="M118" s="2754" t="str">
        <f>IF(AND(M112="",M114="",M116=""),"",M112+M114+M116)</f>
        <v/>
      </c>
      <c r="N118" s="2738" t="s">
        <v>91</v>
      </c>
    </row>
    <row r="119" spans="1:15">
      <c r="A119" s="2745"/>
      <c r="B119" s="2738"/>
      <c r="C119" s="2738"/>
      <c r="D119" s="2738"/>
      <c r="E119" s="2746"/>
      <c r="F119" s="2743"/>
      <c r="G119" s="2743"/>
      <c r="H119" s="2743"/>
      <c r="I119" s="2743"/>
      <c r="J119" s="2743"/>
      <c r="K119" s="2743"/>
      <c r="L119" s="53"/>
      <c r="M119" s="2755"/>
      <c r="N119" s="2738"/>
    </row>
    <row r="120" spans="1:15">
      <c r="A120" s="50"/>
    </row>
    <row r="121" spans="1:15">
      <c r="A121" s="45" t="s">
        <v>94</v>
      </c>
    </row>
    <row r="122" spans="1:15"/>
    <row r="123" spans="1:15"/>
    <row r="124" spans="1:15"/>
    <row r="125" spans="1:15" ht="14.5" customHeight="1">
      <c r="A125" s="49" t="s">
        <v>223</v>
      </c>
      <c r="B125" s="49"/>
      <c r="C125" s="49" t="str">
        <f>Development!$A$4&amp;"_"&amp;Development!$A$2</f>
        <v>4.01.2024_2.0</v>
      </c>
      <c r="D125" s="49"/>
      <c r="E125" s="49"/>
      <c r="F125" s="49"/>
      <c r="G125" s="49"/>
      <c r="H125" s="49"/>
      <c r="I125" s="49"/>
      <c r="J125" s="49"/>
      <c r="K125" s="49"/>
      <c r="L125" s="49"/>
      <c r="M125" s="49" t="s">
        <v>225</v>
      </c>
      <c r="N125" s="49" t="str">
        <f>Development!A4</f>
        <v>4.01.2024</v>
      </c>
      <c r="O125" s="49"/>
    </row>
    <row r="126" spans="1:15" ht="14.5" customHeight="1"/>
    <row r="127" spans="1:15" ht="14.5" customHeight="1"/>
    <row r="128" spans="1:15" ht="14.5" customHeight="1"/>
    <row r="129" ht="14.5" customHeight="1"/>
    <row r="130" ht="14.5" customHeight="1"/>
    <row r="131" ht="14.5" customHeight="1"/>
    <row r="132" ht="14.5" customHeight="1"/>
    <row r="133" ht="14.5" customHeight="1"/>
    <row r="134" ht="14.5" customHeight="1"/>
    <row r="135" ht="14.5" customHeight="1"/>
    <row r="136" ht="14.5" customHeight="1"/>
    <row r="137" ht="14.5" customHeight="1"/>
    <row r="138" ht="14.5" customHeight="1"/>
    <row r="139" ht="14.5" customHeight="1"/>
    <row r="140" ht="14.5" customHeight="1"/>
    <row r="141" ht="14.5" customHeight="1"/>
    <row r="142" ht="14.5" customHeight="1"/>
    <row r="143" ht="14.5" customHeight="1"/>
    <row r="144" ht="14.5" customHeight="1"/>
    <row r="145" ht="14.5" customHeight="1"/>
    <row r="146" ht="14.5" customHeight="1"/>
    <row r="147" ht="14.5" customHeight="1"/>
    <row r="148" ht="14.5" customHeight="1"/>
    <row r="149" ht="14.5" customHeight="1"/>
    <row r="150" ht="14.5" customHeight="1"/>
    <row r="151" ht="14.5" customHeight="1"/>
    <row r="152" ht="14.5" customHeight="1"/>
    <row r="153" ht="14.5" customHeight="1"/>
    <row r="154" ht="14.5" customHeight="1"/>
    <row r="155" ht="14.5" customHeight="1"/>
    <row r="156" ht="14.5" customHeight="1"/>
    <row r="157" ht="14.5" customHeight="1"/>
    <row r="158" ht="14.5" customHeight="1"/>
    <row r="159" ht="14.5" customHeight="1"/>
    <row r="160" ht="14.5" customHeight="1"/>
    <row r="161" ht="14.5" customHeight="1"/>
    <row r="162" ht="14.5" customHeight="1"/>
    <row r="163" ht="14.5" customHeight="1"/>
    <row r="164" ht="14.5" customHeight="1"/>
    <row r="165" ht="14.5" customHeight="1"/>
    <row r="166" ht="14.5" customHeight="1"/>
    <row r="167" ht="14.5" customHeight="1"/>
    <row r="168" ht="14.5" customHeight="1"/>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sheetData>
  <sheetProtection algorithmName="SHA-512" hashValue="Ig+x10ByZ2eOEXlZzCIVxaoRLZ8Dxs3eBB04u5TeRzSHUAyXE40q00ALMdXJYj5Q8/xxFbdoh1cfIWEE4PMAYw==" saltValue="X2jeiG0rQocDG2Esrcc9Rw==" spinCount="100000" sheet="1" objects="1" scenarios="1"/>
  <mergeCells count="23">
    <mergeCell ref="A1:J1"/>
    <mergeCell ref="A2:J2"/>
    <mergeCell ref="C5:D5"/>
    <mergeCell ref="H5:I5"/>
    <mergeCell ref="H7:I7"/>
    <mergeCell ref="E15:F15"/>
    <mergeCell ref="M15:N15"/>
    <mergeCell ref="A18:D18"/>
    <mergeCell ref="E18:F18"/>
    <mergeCell ref="M18:N18"/>
    <mergeCell ref="E22:F22"/>
    <mergeCell ref="A29:M29"/>
    <mergeCell ref="C30:L30"/>
    <mergeCell ref="I38:J38"/>
    <mergeCell ref="E45:F45"/>
    <mergeCell ref="E25:F25"/>
    <mergeCell ref="M118:M119"/>
    <mergeCell ref="N118:N119"/>
    <mergeCell ref="E71:F71"/>
    <mergeCell ref="E99:F99"/>
    <mergeCell ref="A118:E119"/>
    <mergeCell ref="F118:K119"/>
    <mergeCell ref="A100:B101"/>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70657" r:id="rId4" name="OptionButton1">
          <controlPr defaultSize="0" autoLine="0" autoPict="0" r:id="rId5">
            <anchor moveWithCells="1">
              <from>
                <xdr:col>3</xdr:col>
                <xdr:colOff>69850</xdr:colOff>
                <xdr:row>19</xdr:row>
                <xdr:rowOff>228600</xdr:rowOff>
              </from>
              <to>
                <xdr:col>6</xdr:col>
                <xdr:colOff>0</xdr:colOff>
                <xdr:row>20</xdr:row>
                <xdr:rowOff>165100</xdr:rowOff>
              </to>
            </anchor>
          </controlPr>
        </control>
      </mc:Choice>
      <mc:Fallback>
        <control shapeId="70657" r:id="rId4" name="OptionButton1"/>
      </mc:Fallback>
    </mc:AlternateContent>
    <mc:AlternateContent xmlns:mc="http://schemas.openxmlformats.org/markup-compatibility/2006">
      <mc:Choice Requires="x14">
        <control shapeId="70658" r:id="rId6" name="OptionButton2">
          <controlPr defaultSize="0" autoLine="0" r:id="rId7">
            <anchor moveWithCells="1">
              <from>
                <xdr:col>6</xdr:col>
                <xdr:colOff>0</xdr:colOff>
                <xdr:row>19</xdr:row>
                <xdr:rowOff>222250</xdr:rowOff>
              </from>
              <to>
                <xdr:col>10</xdr:col>
                <xdr:colOff>266700</xdr:colOff>
                <xdr:row>20</xdr:row>
                <xdr:rowOff>215900</xdr:rowOff>
              </to>
            </anchor>
          </controlPr>
        </control>
      </mc:Choice>
      <mc:Fallback>
        <control shapeId="70658" r:id="rId6" name="OptionButton2"/>
      </mc:Fallback>
    </mc:AlternateContent>
    <mc:AlternateContent xmlns:mc="http://schemas.openxmlformats.org/markup-compatibility/2006">
      <mc:Choice Requires="x14">
        <control shapeId="70674" r:id="rId8" name="OptionButton7">
          <controlPr defaultSize="0" autoLine="0" r:id="rId9">
            <anchor moveWithCells="1">
              <from>
                <xdr:col>1</xdr:col>
                <xdr:colOff>19050</xdr:colOff>
                <xdr:row>70</xdr:row>
                <xdr:rowOff>0</xdr:rowOff>
              </from>
              <to>
                <xdr:col>2</xdr:col>
                <xdr:colOff>12700</xdr:colOff>
                <xdr:row>71</xdr:row>
                <xdr:rowOff>69850</xdr:rowOff>
              </to>
            </anchor>
          </controlPr>
        </control>
      </mc:Choice>
      <mc:Fallback>
        <control shapeId="70674" r:id="rId8" name="OptionButton7"/>
      </mc:Fallback>
    </mc:AlternateContent>
    <mc:AlternateContent xmlns:mc="http://schemas.openxmlformats.org/markup-compatibility/2006">
      <mc:Choice Requires="x14">
        <control shapeId="70683" r:id="rId10" name="OptionButton10">
          <controlPr defaultSize="0" autoLine="0" r:id="rId11">
            <anchor moveWithCells="1">
              <from>
                <xdr:col>1</xdr:col>
                <xdr:colOff>0</xdr:colOff>
                <xdr:row>44</xdr:row>
                <xdr:rowOff>0</xdr:rowOff>
              </from>
              <to>
                <xdr:col>1</xdr:col>
                <xdr:colOff>647700</xdr:colOff>
                <xdr:row>45</xdr:row>
                <xdr:rowOff>69850</xdr:rowOff>
              </to>
            </anchor>
          </controlPr>
        </control>
      </mc:Choice>
      <mc:Fallback>
        <control shapeId="70683" r:id="rId10" name="OptionButton10"/>
      </mc:Fallback>
    </mc:AlternateContent>
    <mc:AlternateContent xmlns:mc="http://schemas.openxmlformats.org/markup-compatibility/2006">
      <mc:Choice Requires="x14">
        <control shapeId="70695" r:id="rId12" name="CommandButton1">
          <controlPr defaultSize="0" autoLine="0" autoPict="0" r:id="rId13">
            <anchor moveWithCells="1">
              <from>
                <xdr:col>11</xdr:col>
                <xdr:colOff>323850</xdr:colOff>
                <xdr:row>120</xdr:row>
                <xdr:rowOff>88900</xdr:rowOff>
              </from>
              <to>
                <xdr:col>14</xdr:col>
                <xdr:colOff>590550</xdr:colOff>
                <xdr:row>123</xdr:row>
                <xdr:rowOff>95250</xdr:rowOff>
              </to>
            </anchor>
          </controlPr>
        </control>
      </mc:Choice>
      <mc:Fallback>
        <control shapeId="70695" r:id="rId12" name="CommandButton1"/>
      </mc:Fallback>
    </mc:AlternateContent>
    <mc:AlternateContent xmlns:mc="http://schemas.openxmlformats.org/markup-compatibility/2006">
      <mc:Choice Requires="x14">
        <control shapeId="70659" r:id="rId14" name="Group Box 3">
          <controlPr defaultSize="0" autoFill="0" autoPict="0">
            <anchor moveWithCells="1">
              <from>
                <xdr:col>0</xdr:col>
                <xdr:colOff>12700</xdr:colOff>
                <xdr:row>19</xdr:row>
                <xdr:rowOff>57150</xdr:rowOff>
              </from>
              <to>
                <xdr:col>6</xdr:col>
                <xdr:colOff>431800</xdr:colOff>
                <xdr:row>20</xdr:row>
                <xdr:rowOff>336550</xdr:rowOff>
              </to>
            </anchor>
          </controlPr>
        </control>
      </mc:Choice>
    </mc:AlternateContent>
    <mc:AlternateContent xmlns:mc="http://schemas.openxmlformats.org/markup-compatibility/2006">
      <mc:Choice Requires="x14">
        <control shapeId="70660" r:id="rId15" name="Check Box 4">
          <controlPr defaultSize="0" autoFill="0" autoLine="0" autoPict="0">
            <anchor moveWithCells="1">
              <from>
                <xdr:col>7</xdr:col>
                <xdr:colOff>533400</xdr:colOff>
                <xdr:row>21</xdr:row>
                <xdr:rowOff>165100</xdr:rowOff>
              </from>
              <to>
                <xdr:col>9</xdr:col>
                <xdr:colOff>50800</xdr:colOff>
                <xdr:row>21</xdr:row>
                <xdr:rowOff>476250</xdr:rowOff>
              </to>
            </anchor>
          </controlPr>
        </control>
      </mc:Choice>
    </mc:AlternateContent>
    <mc:AlternateContent xmlns:mc="http://schemas.openxmlformats.org/markup-compatibility/2006">
      <mc:Choice Requires="x14">
        <control shapeId="70661" r:id="rId16" name="Check Box 5">
          <controlPr defaultSize="0" autoFill="0" autoLine="0" autoPict="0">
            <anchor moveWithCells="1">
              <from>
                <xdr:col>9</xdr:col>
                <xdr:colOff>419100</xdr:colOff>
                <xdr:row>21</xdr:row>
                <xdr:rowOff>165100</xdr:rowOff>
              </from>
              <to>
                <xdr:col>10</xdr:col>
                <xdr:colOff>990600</xdr:colOff>
                <xdr:row>21</xdr:row>
                <xdr:rowOff>508000</xdr:rowOff>
              </to>
            </anchor>
          </controlPr>
        </control>
      </mc:Choice>
    </mc:AlternateContent>
    <mc:AlternateContent xmlns:mc="http://schemas.openxmlformats.org/markup-compatibility/2006">
      <mc:Choice Requires="x14">
        <control shapeId="70665" r:id="rId17" name="Group Box 9">
          <controlPr defaultSize="0" autoFill="0" autoPict="0">
            <anchor moveWithCells="1">
              <from>
                <xdr:col>0</xdr:col>
                <xdr:colOff>50800</xdr:colOff>
                <xdr:row>65</xdr:row>
                <xdr:rowOff>0</xdr:rowOff>
              </from>
              <to>
                <xdr:col>3</xdr:col>
                <xdr:colOff>1384300</xdr:colOff>
                <xdr:row>69</xdr:row>
                <xdr:rowOff>95250</xdr:rowOff>
              </to>
            </anchor>
          </controlPr>
        </control>
      </mc:Choice>
    </mc:AlternateContent>
    <mc:AlternateContent xmlns:mc="http://schemas.openxmlformats.org/markup-compatibility/2006">
      <mc:Choice Requires="x14">
        <control shapeId="70666"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0667"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0668"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70669" r:id="rId21" name="Group Box 13">
          <controlPr defaultSize="0" autoFill="0" autoPict="0">
            <anchor moveWithCells="1">
              <from>
                <xdr:col>0</xdr:col>
                <xdr:colOff>374650</xdr:colOff>
                <xdr:row>65</xdr:row>
                <xdr:rowOff>0</xdr:rowOff>
              </from>
              <to>
                <xdr:col>3</xdr:col>
                <xdr:colOff>1384300</xdr:colOff>
                <xdr:row>68</xdr:row>
                <xdr:rowOff>95250</xdr:rowOff>
              </to>
            </anchor>
          </controlPr>
        </control>
      </mc:Choice>
    </mc:AlternateContent>
    <mc:AlternateContent xmlns:mc="http://schemas.openxmlformats.org/markup-compatibility/2006">
      <mc:Choice Requires="x14">
        <control shapeId="70670"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70671"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70672"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70676" r:id="rId25" name="Group Box 20">
          <controlPr defaultSize="0" autoFill="0" autoPict="0">
            <anchor moveWithCells="1">
              <from>
                <xdr:col>0</xdr:col>
                <xdr:colOff>317500</xdr:colOff>
                <xdr:row>68</xdr:row>
                <xdr:rowOff>209550</xdr:rowOff>
              </from>
              <to>
                <xdr:col>3</xdr:col>
                <xdr:colOff>1384300</xdr:colOff>
                <xdr:row>72</xdr:row>
                <xdr:rowOff>12700</xdr:rowOff>
              </to>
            </anchor>
          </controlPr>
        </control>
      </mc:Choice>
    </mc:AlternateContent>
    <mc:AlternateContent xmlns:mc="http://schemas.openxmlformats.org/markup-compatibility/2006">
      <mc:Choice Requires="x14">
        <control shapeId="70677"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70678" r:id="rId27" name="Option Button 22">
          <controlPr defaultSize="0" autoFill="0" autoLine="0" autoPict="0">
            <anchor moveWithCells="1">
              <from>
                <xdr:col>2</xdr:col>
                <xdr:colOff>736600</xdr:colOff>
                <xdr:row>37</xdr:row>
                <xdr:rowOff>69850</xdr:rowOff>
              </from>
              <to>
                <xdr:col>3</xdr:col>
                <xdr:colOff>990600</xdr:colOff>
                <xdr:row>38</xdr:row>
                <xdr:rowOff>69850</xdr:rowOff>
              </to>
            </anchor>
          </controlPr>
        </control>
      </mc:Choice>
    </mc:AlternateContent>
    <mc:AlternateContent xmlns:mc="http://schemas.openxmlformats.org/markup-compatibility/2006">
      <mc:Choice Requires="x14">
        <control shapeId="70679" r:id="rId28" name="Option Button 23">
          <controlPr defaultSize="0" autoFill="0" autoLine="0" autoPict="0">
            <anchor moveWithCells="1">
              <from>
                <xdr:col>4</xdr:col>
                <xdr:colOff>50800</xdr:colOff>
                <xdr:row>37</xdr:row>
                <xdr:rowOff>69850</xdr:rowOff>
              </from>
              <to>
                <xdr:col>5</xdr:col>
                <xdr:colOff>469900</xdr:colOff>
                <xdr:row>38</xdr:row>
                <xdr:rowOff>69850</xdr:rowOff>
              </to>
            </anchor>
          </controlPr>
        </control>
      </mc:Choice>
    </mc:AlternateContent>
    <mc:AlternateContent xmlns:mc="http://schemas.openxmlformats.org/markup-compatibility/2006">
      <mc:Choice Requires="x14">
        <control shapeId="70681"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70685" r:id="rId30" name="Group Box 29">
          <controlPr defaultSize="0" autoFill="0" autoPict="0">
            <anchor moveWithCells="1">
              <from>
                <xdr:col>0</xdr:col>
                <xdr:colOff>571500</xdr:colOff>
                <xdr:row>42</xdr:row>
                <xdr:rowOff>209550</xdr:rowOff>
              </from>
              <to>
                <xdr:col>3</xdr:col>
                <xdr:colOff>1384300</xdr:colOff>
                <xdr:row>46</xdr:row>
                <xdr:rowOff>12700</xdr:rowOff>
              </to>
            </anchor>
          </controlPr>
        </control>
      </mc:Choice>
    </mc:AlternateContent>
    <mc:AlternateContent xmlns:mc="http://schemas.openxmlformats.org/markup-compatibility/2006">
      <mc:Choice Requires="x14">
        <control shapeId="70757" r:id="rId31" name="Check Box 101">
          <controlPr defaultSize="0" autoFill="0" autoLine="0" autoPict="0">
            <anchor moveWithCells="1">
              <from>
                <xdr:col>3</xdr:col>
                <xdr:colOff>812800</xdr:colOff>
                <xdr:row>9</xdr:row>
                <xdr:rowOff>114300</xdr:rowOff>
              </from>
              <to>
                <xdr:col>4</xdr:col>
                <xdr:colOff>88900</xdr:colOff>
                <xdr:row>10</xdr:row>
                <xdr:rowOff>12700</xdr:rowOff>
              </to>
            </anchor>
          </controlPr>
        </control>
      </mc:Choice>
    </mc:AlternateContent>
    <mc:AlternateContent xmlns:mc="http://schemas.openxmlformats.org/markup-compatibility/2006">
      <mc:Choice Requires="x14">
        <control shapeId="70758" r:id="rId32" name="Check Box 102">
          <controlPr defaultSize="0" autoFill="0" autoLine="0" autoPict="0">
            <anchor moveWithCells="1">
              <from>
                <xdr:col>2</xdr:col>
                <xdr:colOff>12700</xdr:colOff>
                <xdr:row>9</xdr:row>
                <xdr:rowOff>88900</xdr:rowOff>
              </from>
              <to>
                <xdr:col>3</xdr:col>
                <xdr:colOff>0</xdr:colOff>
                <xdr:row>10</xdr:row>
                <xdr:rowOff>0</xdr:rowOff>
              </to>
            </anchor>
          </controlPr>
        </control>
      </mc:Choice>
    </mc:AlternateContent>
    <mc:AlternateContent xmlns:mc="http://schemas.openxmlformats.org/markup-compatibility/2006">
      <mc:Choice Requires="x14">
        <control shapeId="70759" r:id="rId33" name="Check Box 103">
          <controlPr defaultSize="0" autoFill="0" autoLine="0" autoPict="0">
            <anchor moveWithCells="1">
              <from>
                <xdr:col>3</xdr:col>
                <xdr:colOff>152400</xdr:colOff>
                <xdr:row>9</xdr:row>
                <xdr:rowOff>95250</xdr:rowOff>
              </from>
              <to>
                <xdr:col>3</xdr:col>
                <xdr:colOff>742950</xdr:colOff>
                <xdr:row>10</xdr:row>
                <xdr:rowOff>0</xdr:rowOff>
              </to>
            </anchor>
          </controlPr>
        </control>
      </mc:Choice>
    </mc:AlternateContent>
    <mc:AlternateContent xmlns:mc="http://schemas.openxmlformats.org/markup-compatibility/2006">
      <mc:Choice Requires="x14">
        <control shapeId="70760" r:id="rId34" name="Check Box 104">
          <controlPr defaultSize="0" autoFill="0" autoLine="0" autoPict="0">
            <anchor moveWithCells="1">
              <from>
                <xdr:col>1</xdr:col>
                <xdr:colOff>12700</xdr:colOff>
                <xdr:row>9</xdr:row>
                <xdr:rowOff>95250</xdr:rowOff>
              </from>
              <to>
                <xdr:col>1</xdr:col>
                <xdr:colOff>438150</xdr:colOff>
                <xdr:row>9</xdr:row>
                <xdr:rowOff>361950</xdr:rowOff>
              </to>
            </anchor>
          </controlPr>
        </control>
      </mc:Choice>
    </mc:AlternateContent>
    <mc:AlternateContent xmlns:mc="http://schemas.openxmlformats.org/markup-compatibility/2006">
      <mc:Choice Requires="x14">
        <control shapeId="70761" r:id="rId35" name="Group Box 105">
          <controlPr defaultSize="0" autoFill="0" autoPict="0">
            <anchor moveWithCells="1">
              <from>
                <xdr:col>0</xdr:col>
                <xdr:colOff>50800</xdr:colOff>
                <xdr:row>96</xdr:row>
                <xdr:rowOff>0</xdr:rowOff>
              </from>
              <to>
                <xdr:col>3</xdr:col>
                <xdr:colOff>1384300</xdr:colOff>
                <xdr:row>100</xdr:row>
                <xdr:rowOff>146050</xdr:rowOff>
              </to>
            </anchor>
          </controlPr>
        </control>
      </mc:Choice>
    </mc:AlternateContent>
    <mc:AlternateContent xmlns:mc="http://schemas.openxmlformats.org/markup-compatibility/2006">
      <mc:Choice Requires="x14">
        <control shapeId="70762" r:id="rId36" name="Option Button 106">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70763" r:id="rId37" name="Option Button 107">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70764" r:id="rId38" name="Group Box 108">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70765" r:id="rId39" name="Group Box 109">
          <controlPr defaultSize="0" autoFill="0" autoPict="0">
            <anchor moveWithCells="1">
              <from>
                <xdr:col>0</xdr:col>
                <xdr:colOff>374650</xdr:colOff>
                <xdr:row>96</xdr:row>
                <xdr:rowOff>76200</xdr:rowOff>
              </from>
              <to>
                <xdr:col>3</xdr:col>
                <xdr:colOff>1384300</xdr:colOff>
                <xdr:row>100</xdr:row>
                <xdr:rowOff>38100</xdr:rowOff>
              </to>
            </anchor>
          </controlPr>
        </control>
      </mc:Choice>
    </mc:AlternateContent>
    <mc:AlternateContent xmlns:mc="http://schemas.openxmlformats.org/markup-compatibility/2006">
      <mc:Choice Requires="x14">
        <control shapeId="70766" r:id="rId40" name="Option Button 110">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70767" r:id="rId41" name="Option Button 111">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70768" r:id="rId42" name="Group Box 112">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2"/>
  <dimension ref="A1:O200"/>
  <sheetViews>
    <sheetView showGridLines="0" zoomScale="90" zoomScaleNormal="90" workbookViewId="0">
      <selection activeCell="B6" sqref="B6"/>
    </sheetView>
  </sheetViews>
  <sheetFormatPr defaultColWidth="0" defaultRowHeight="14.5" customHeight="1" zeroHeight="1"/>
  <cols>
    <col min="1" max="1" width="14.54296875" style="42" customWidth="1"/>
    <col min="2" max="2" width="9.542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4" width="9.1796875" style="42" customWidth="1"/>
    <col min="15" max="15" width="12.81640625" style="42" customWidth="1"/>
    <col min="16" max="16384" width="12.81640625" style="42" hidden="1"/>
  </cols>
  <sheetData>
    <row r="1" spans="1:15"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5" ht="55" customHeight="1">
      <c r="A2" s="2750" t="s">
        <v>132</v>
      </c>
      <c r="B2" s="2750"/>
      <c r="C2" s="2750"/>
      <c r="D2" s="2750"/>
      <c r="E2" s="2750"/>
      <c r="F2" s="2750"/>
      <c r="G2" s="2750"/>
      <c r="H2" s="2750"/>
      <c r="I2" s="2750"/>
      <c r="J2" s="2750"/>
      <c r="K2" s="7"/>
      <c r="L2" s="7"/>
      <c r="M2" s="7"/>
      <c r="N2" s="7"/>
      <c r="O2" s="7"/>
    </row>
    <row r="3" spans="1:15" ht="31" thickBot="1">
      <c r="A3" s="24" t="s">
        <v>134</v>
      </c>
      <c r="B3" s="24"/>
      <c r="C3" s="24"/>
      <c r="D3" s="24"/>
      <c r="E3" s="24"/>
      <c r="F3" s="24"/>
      <c r="G3" s="24"/>
      <c r="H3" s="24"/>
      <c r="I3" s="24"/>
      <c r="J3" s="24"/>
      <c r="K3" s="24"/>
      <c r="L3" s="24"/>
      <c r="M3" s="24"/>
      <c r="N3" s="24"/>
      <c r="O3" s="7"/>
    </row>
    <row r="4" spans="1:15" ht="18.75" customHeight="1">
      <c r="A4" s="25"/>
      <c r="B4" s="25"/>
      <c r="C4" s="25"/>
      <c r="D4" s="25"/>
      <c r="E4" s="25"/>
      <c r="F4" s="25"/>
      <c r="G4" s="25"/>
      <c r="H4" s="25"/>
      <c r="I4" s="25"/>
      <c r="J4" s="25"/>
      <c r="K4" s="25"/>
      <c r="L4" s="25"/>
      <c r="M4" s="25"/>
      <c r="N4" s="25"/>
      <c r="O4" s="7"/>
    </row>
    <row r="5" spans="1:15" ht="18" customHeight="1">
      <c r="A5" s="18" t="s">
        <v>136</v>
      </c>
      <c r="B5" s="97">
        <f>'In Unit HVAC Worksheet'!B89</f>
        <v>8</v>
      </c>
      <c r="C5" s="2767"/>
      <c r="D5" s="2767"/>
      <c r="E5" s="18"/>
      <c r="F5" s="18"/>
      <c r="G5" s="18" t="s">
        <v>80</v>
      </c>
      <c r="H5" s="2766" t="str">
        <f>IF('In Unit HVAC Worksheet'!C89="","",'In Unit HVAC Worksheet'!C89)</f>
        <v/>
      </c>
      <c r="I5" s="2766"/>
      <c r="J5" s="14"/>
      <c r="K5" s="7"/>
      <c r="L5" s="7"/>
      <c r="M5" s="7"/>
      <c r="N5" s="7"/>
      <c r="O5" s="7"/>
    </row>
    <row r="6" spans="1:15" ht="18" customHeight="1">
      <c r="A6" s="18"/>
      <c r="B6" s="18"/>
      <c r="C6" s="18"/>
      <c r="D6" s="18"/>
      <c r="E6" s="18"/>
      <c r="F6" s="18"/>
      <c r="G6" s="18"/>
      <c r="H6" s="18"/>
      <c r="I6" s="14"/>
      <c r="J6" s="14"/>
      <c r="K6" s="7"/>
      <c r="L6" s="7"/>
      <c r="M6" s="7"/>
      <c r="N6" s="7"/>
      <c r="O6" s="7"/>
    </row>
    <row r="7" spans="1:15" ht="18" customHeight="1">
      <c r="B7" s="18"/>
      <c r="D7" s="18"/>
      <c r="E7" s="18"/>
      <c r="F7" s="18"/>
      <c r="G7" s="18" t="s">
        <v>135</v>
      </c>
      <c r="H7" s="2766" t="str">
        <f>IF('In Unit HVAC Worksheet'!E89="","",'In Unit HVAC Worksheet'!E89)</f>
        <v/>
      </c>
      <c r="I7" s="2766"/>
      <c r="J7" s="14"/>
      <c r="K7" s="7"/>
      <c r="L7" s="7"/>
      <c r="M7" s="7"/>
      <c r="N7" s="7"/>
      <c r="O7" s="7"/>
    </row>
    <row r="8" spans="1:15" ht="23">
      <c r="A8" s="20" t="s">
        <v>133</v>
      </c>
      <c r="B8" s="19"/>
      <c r="C8" s="19"/>
      <c r="D8" s="19"/>
      <c r="E8" s="19"/>
      <c r="F8" s="19"/>
      <c r="G8" s="19"/>
      <c r="H8" s="19"/>
      <c r="I8" s="19"/>
      <c r="J8" s="19"/>
      <c r="K8" s="19"/>
      <c r="L8" s="19"/>
      <c r="M8" s="11"/>
      <c r="N8" s="19"/>
      <c r="O8" s="19"/>
    </row>
    <row r="9" spans="1:15" ht="30.5">
      <c r="A9" s="14"/>
      <c r="B9" s="70" t="s">
        <v>30</v>
      </c>
      <c r="C9" s="71"/>
      <c r="D9" s="70" t="s">
        <v>31</v>
      </c>
      <c r="E9" s="72"/>
      <c r="F9" s="14"/>
      <c r="G9" s="14"/>
      <c r="H9" s="14"/>
      <c r="I9" s="14"/>
      <c r="J9" s="14"/>
      <c r="K9" s="7"/>
      <c r="L9" s="7"/>
      <c r="M9" s="7"/>
      <c r="N9" s="7"/>
      <c r="O9" s="7"/>
    </row>
    <row r="10" spans="1:15" ht="24" customHeight="1">
      <c r="A10" s="7"/>
      <c r="B10" s="22"/>
      <c r="C10" s="22"/>
      <c r="D10" s="22"/>
      <c r="E10" s="22"/>
      <c r="G10" s="16"/>
      <c r="H10" s="16"/>
      <c r="J10" s="7"/>
      <c r="K10" s="7"/>
      <c r="L10" s="7"/>
      <c r="M10" s="7"/>
      <c r="N10" s="7"/>
      <c r="O10" s="7"/>
    </row>
    <row r="11" spans="1:15" ht="23.5" thickBot="1">
      <c r="A11" s="17" t="s">
        <v>67</v>
      </c>
      <c r="B11" s="17"/>
      <c r="C11" s="17"/>
      <c r="D11" s="17"/>
      <c r="E11" s="17"/>
      <c r="F11" s="17"/>
      <c r="G11" s="17"/>
      <c r="H11" s="17"/>
      <c r="I11" s="17"/>
      <c r="J11" s="17"/>
      <c r="K11" s="17"/>
      <c r="L11" s="17"/>
      <c r="M11" s="17"/>
      <c r="N11" s="17"/>
      <c r="O11" s="19"/>
    </row>
    <row r="12" spans="1:15" ht="6.75" customHeight="1">
      <c r="A12" s="4"/>
      <c r="B12" s="5"/>
      <c r="C12" s="5"/>
      <c r="D12" s="5"/>
      <c r="E12" s="5"/>
      <c r="F12" s="5"/>
      <c r="G12" s="5"/>
      <c r="H12" s="5"/>
      <c r="I12" s="5"/>
      <c r="J12" s="5"/>
      <c r="K12" s="5"/>
      <c r="L12" s="5"/>
      <c r="M12" s="5"/>
      <c r="N12" s="5"/>
      <c r="O12" s="5"/>
    </row>
    <row r="13" spans="1:15" ht="27.75" customHeight="1">
      <c r="A13" s="170" t="s">
        <v>443</v>
      </c>
      <c r="B13" s="5"/>
      <c r="C13" s="5"/>
      <c r="D13" s="5"/>
      <c r="E13" s="5"/>
      <c r="F13" s="5"/>
      <c r="G13" s="5"/>
      <c r="H13" s="5"/>
      <c r="I13" s="5"/>
      <c r="J13" s="5"/>
      <c r="K13" s="5"/>
      <c r="L13" s="5"/>
      <c r="M13" s="5"/>
      <c r="N13" s="5"/>
      <c r="O13" s="5"/>
    </row>
    <row r="14" spans="1:15" ht="27.75" customHeight="1">
      <c r="A14" s="4"/>
      <c r="B14" s="5"/>
      <c r="C14" s="5"/>
      <c r="D14" s="5"/>
      <c r="E14" s="5"/>
      <c r="F14" s="5"/>
      <c r="G14" s="5"/>
      <c r="H14" s="5"/>
      <c r="I14" s="5"/>
      <c r="J14" s="5"/>
      <c r="K14" s="5"/>
      <c r="L14" s="5"/>
      <c r="M14" s="5"/>
      <c r="N14" s="5"/>
      <c r="O14" s="5"/>
    </row>
    <row r="15" spans="1:15" ht="33.65" customHeight="1">
      <c r="A15" s="42" t="s">
        <v>525</v>
      </c>
      <c r="E15" s="2734"/>
      <c r="F15" s="2734"/>
      <c r="G15" s="42" t="str">
        <f>IF(OR(E15=""),"",'Air Flow References'!AJ4)</f>
        <v/>
      </c>
      <c r="L15" s="43" t="s">
        <v>526</v>
      </c>
      <c r="M15" s="2731"/>
      <c r="N15" s="2731"/>
      <c r="O15" s="42" t="str">
        <f>IF(OR(M15=""),"",'Air Flow References'!AJ6)</f>
        <v/>
      </c>
    </row>
    <row r="16" spans="1:15" ht="33.65" customHeight="1">
      <c r="E16" s="167"/>
      <c r="F16" s="167"/>
      <c r="L16" s="43"/>
      <c r="M16" s="164"/>
      <c r="N16" s="164"/>
    </row>
    <row r="17" spans="1:15" ht="33.65" customHeight="1">
      <c r="A17" s="138" t="s">
        <v>543</v>
      </c>
    </row>
    <row r="18" spans="1:15" ht="33.75" customHeight="1">
      <c r="A18" s="2318" t="s">
        <v>527</v>
      </c>
      <c r="B18" s="2318"/>
      <c r="C18" s="2318"/>
      <c r="D18" s="2318"/>
      <c r="E18" s="2736"/>
      <c r="F18" s="2736"/>
      <c r="G18" s="42" t="str">
        <f>IF(OR(E18=""),"",'Air Flow References'!AJ5)</f>
        <v/>
      </c>
      <c r="H18" s="45"/>
      <c r="I18" s="45" t="s">
        <v>397</v>
      </c>
      <c r="L18" s="43" t="s">
        <v>528</v>
      </c>
      <c r="M18" s="2734"/>
      <c r="N18" s="2734"/>
      <c r="O18" s="42" t="str">
        <f>IF(OR(M18=""),"",'Air Flow References'!AJ7)</f>
        <v/>
      </c>
    </row>
    <row r="19" spans="1:15" ht="33.65" customHeight="1"/>
    <row r="20" spans="1:15" ht="33.65" customHeight="1">
      <c r="A20" s="42" t="s">
        <v>531</v>
      </c>
    </row>
    <row r="21" spans="1:15" ht="33.65" customHeight="1"/>
    <row r="22" spans="1:15" ht="33.65" customHeight="1">
      <c r="A22" s="42" t="s">
        <v>532</v>
      </c>
      <c r="E22" s="2731"/>
      <c r="F22" s="2731"/>
      <c r="G22" s="42" t="str">
        <f>IF(OR(E22=""),"",'Air Flow References'!AJ9)</f>
        <v/>
      </c>
      <c r="H22" s="73"/>
      <c r="I22" s="73"/>
      <c r="J22" s="73"/>
      <c r="K22" s="73"/>
    </row>
    <row r="23" spans="1:15" ht="33.65" customHeight="1">
      <c r="A23" s="162" t="s">
        <v>545</v>
      </c>
      <c r="E23" s="164"/>
      <c r="F23" s="164"/>
    </row>
    <row r="24" spans="1:15" ht="33.65" customHeight="1">
      <c r="E24" s="164"/>
      <c r="F24" s="164"/>
    </row>
    <row r="25" spans="1:15" ht="33.65" customHeight="1">
      <c r="A25" s="42" t="s">
        <v>533</v>
      </c>
      <c r="E25" s="2731"/>
      <c r="F25" s="2731"/>
      <c r="G25" s="42" t="str">
        <f>IF(OR(E25=""),"",'Air Flow References'!AJ8)</f>
        <v/>
      </c>
    </row>
    <row r="26" spans="1:15" ht="33.65" customHeight="1">
      <c r="A26" s="162" t="s">
        <v>546</v>
      </c>
    </row>
    <row r="27" spans="1:15" ht="33.65" customHeight="1"/>
    <row r="28" spans="1:15" ht="33.65" customHeight="1"/>
    <row r="29" spans="1:15">
      <c r="A29" s="2318" t="s">
        <v>62</v>
      </c>
      <c r="B29" s="2318"/>
      <c r="C29" s="2318"/>
      <c r="D29" s="2318"/>
      <c r="E29" s="2318"/>
      <c r="F29" s="2318"/>
      <c r="G29" s="2318"/>
      <c r="H29" s="2318"/>
      <c r="I29" s="2318"/>
      <c r="J29" s="2318"/>
      <c r="K29" s="2318"/>
      <c r="L29" s="2318"/>
      <c r="M29" s="2318"/>
    </row>
    <row r="30" spans="1:15" ht="33.65" customHeight="1">
      <c r="A30" s="42" t="s">
        <v>63</v>
      </c>
      <c r="C30" s="2733"/>
      <c r="D30" s="2733"/>
      <c r="E30" s="2733"/>
      <c r="F30" s="2733"/>
      <c r="G30" s="2733"/>
      <c r="H30" s="2733"/>
      <c r="I30" s="2733"/>
      <c r="J30" s="2733"/>
      <c r="K30" s="2733"/>
      <c r="L30" s="2733"/>
    </row>
    <row r="31" spans="1:15"/>
    <row r="32" spans="1:15">
      <c r="A32" s="45" t="s">
        <v>66</v>
      </c>
    </row>
    <row r="33" spans="1:15">
      <c r="A33" s="42" t="s">
        <v>65</v>
      </c>
    </row>
    <row r="34" spans="1:15">
      <c r="A34" s="42" t="s">
        <v>64</v>
      </c>
    </row>
    <row r="35" spans="1:15"/>
    <row r="36" spans="1:15" ht="23.5" thickBot="1">
      <c r="A36" s="17" t="s">
        <v>236</v>
      </c>
      <c r="B36" s="17"/>
      <c r="C36" s="17"/>
      <c r="D36" s="17"/>
      <c r="E36" s="17"/>
      <c r="F36" s="17"/>
      <c r="G36" s="17"/>
      <c r="H36" s="17"/>
      <c r="I36" s="17"/>
      <c r="J36" s="17"/>
      <c r="K36" s="17"/>
      <c r="L36" s="17"/>
      <c r="M36" s="17"/>
      <c r="N36" s="17"/>
      <c r="O36" s="19"/>
    </row>
    <row r="37" spans="1:15" ht="23">
      <c r="A37" s="4"/>
      <c r="B37" s="4"/>
      <c r="C37" s="4"/>
      <c r="D37" s="4"/>
      <c r="E37" s="4"/>
      <c r="F37" s="4"/>
      <c r="G37" s="4"/>
      <c r="H37" s="4"/>
      <c r="I37" s="4"/>
      <c r="J37" s="4"/>
      <c r="K37" s="4"/>
      <c r="L37" s="4"/>
      <c r="M37" s="4"/>
      <c r="N37" s="4"/>
      <c r="O37" s="4"/>
    </row>
    <row r="38" spans="1:15" ht="23">
      <c r="A38" s="3" t="s">
        <v>97</v>
      </c>
      <c r="B38" s="4"/>
      <c r="C38" s="4"/>
      <c r="D38" s="4"/>
      <c r="E38" s="4"/>
      <c r="F38" s="4"/>
      <c r="G38" s="4"/>
      <c r="H38" s="4"/>
      <c r="I38" s="2749"/>
      <c r="J38" s="2749"/>
      <c r="K38" s="4"/>
      <c r="L38" s="4"/>
      <c r="M38" s="4"/>
    </row>
    <row r="39" spans="1:15" ht="23">
      <c r="A39" s="4"/>
      <c r="B39" s="4"/>
      <c r="C39" s="4"/>
      <c r="D39" s="4"/>
      <c r="E39" s="4"/>
      <c r="F39" s="4"/>
      <c r="G39" s="4"/>
      <c r="H39" s="4"/>
      <c r="I39" s="4"/>
      <c r="J39" s="4"/>
      <c r="K39" s="4"/>
      <c r="L39" s="4"/>
      <c r="M39" s="4"/>
      <c r="N39" s="4"/>
      <c r="O39" s="4"/>
    </row>
    <row r="40" spans="1:15">
      <c r="A40" s="46" t="s">
        <v>221</v>
      </c>
      <c r="B40" s="46"/>
      <c r="C40" s="46"/>
      <c r="D40" s="46"/>
      <c r="E40" s="46"/>
      <c r="F40" s="46"/>
      <c r="G40" s="46"/>
      <c r="H40" s="46"/>
      <c r="I40" s="46"/>
      <c r="J40" s="46"/>
      <c r="K40" s="46"/>
      <c r="L40" s="46"/>
      <c r="M40" s="46"/>
      <c r="N40" s="46"/>
    </row>
    <row r="41" spans="1:15">
      <c r="A41" s="48"/>
      <c r="B41" s="49"/>
      <c r="C41" s="49"/>
      <c r="D41" s="49"/>
      <c r="E41" s="49"/>
      <c r="F41" s="49"/>
      <c r="G41" s="49"/>
      <c r="H41" s="49"/>
      <c r="I41" s="49"/>
      <c r="J41" s="49"/>
      <c r="K41" s="49"/>
      <c r="L41" s="49"/>
      <c r="M41" s="49"/>
      <c r="N41" s="49"/>
    </row>
    <row r="42" spans="1:15">
      <c r="A42" s="54" t="s">
        <v>95</v>
      </c>
    </row>
    <row r="43" spans="1:15">
      <c r="A43" s="50" t="s">
        <v>96</v>
      </c>
    </row>
    <row r="44" spans="1:15">
      <c r="A44" s="50"/>
    </row>
    <row r="45" spans="1:15">
      <c r="A45" s="50"/>
      <c r="E45" s="2747"/>
      <c r="F45" s="2747"/>
    </row>
    <row r="46" spans="1:15">
      <c r="A46" s="50"/>
    </row>
    <row r="47" spans="1:15">
      <c r="A47" s="50"/>
    </row>
    <row r="48" spans="1:15">
      <c r="A48" s="50"/>
    </row>
    <row r="49" spans="1:7">
      <c r="A49" s="50"/>
      <c r="B49" s="42" t="s">
        <v>110</v>
      </c>
      <c r="E49" s="96"/>
      <c r="F49" s="42" t="s">
        <v>101</v>
      </c>
      <c r="G49" s="42" t="str">
        <f>IF(OR(E49=""),"",'Air Flow References'!AJ16)</f>
        <v/>
      </c>
    </row>
    <row r="50" spans="1:7">
      <c r="A50" s="50"/>
    </row>
    <row r="51" spans="1:7">
      <c r="A51" s="50"/>
      <c r="B51" s="42" t="s">
        <v>111</v>
      </c>
      <c r="E51" s="96"/>
      <c r="F51" s="56" t="s">
        <v>101</v>
      </c>
      <c r="G51" s="42" t="str">
        <f>IF(OR(E51=""),"",'Air Flow References'!AJ17)</f>
        <v/>
      </c>
    </row>
    <row r="52" spans="1:7">
      <c r="A52" s="50"/>
    </row>
    <row r="53" spans="1:7">
      <c r="A53" s="54" t="s">
        <v>102</v>
      </c>
    </row>
    <row r="54" spans="1:7">
      <c r="A54" s="54"/>
    </row>
    <row r="55" spans="1:7">
      <c r="A55" s="50" t="s">
        <v>112</v>
      </c>
      <c r="E55" s="96"/>
      <c r="F55" s="42" t="s">
        <v>106</v>
      </c>
      <c r="G55" s="42" t="str">
        <f>IF(OR(E55=""),"",'Air Flow References'!AJ18)</f>
        <v/>
      </c>
    </row>
    <row r="56" spans="1:7">
      <c r="A56" s="50"/>
    </row>
    <row r="57" spans="1:7">
      <c r="A57" s="50" t="s">
        <v>113</v>
      </c>
      <c r="E57" s="96"/>
      <c r="F57" s="42" t="s">
        <v>101</v>
      </c>
      <c r="G57" s="42" t="str">
        <f>IF(OR(E57=""),"",'Air Flow References'!AJ19)</f>
        <v/>
      </c>
    </row>
    <row r="58" spans="1:7">
      <c r="A58" s="50"/>
    </row>
    <row r="59" spans="1:7">
      <c r="A59" s="50" t="s">
        <v>114</v>
      </c>
      <c r="E59" s="96"/>
      <c r="F59" s="42" t="s">
        <v>101</v>
      </c>
      <c r="G59" s="42" t="str">
        <f>IF(OR(E59=""),"",'Air Flow References'!AJ20)</f>
        <v/>
      </c>
    </row>
    <row r="60" spans="1:7">
      <c r="A60" s="50"/>
    </row>
    <row r="61" spans="1:7">
      <c r="A61" s="50" t="s">
        <v>115</v>
      </c>
      <c r="E61" s="98" t="str">
        <f>IF(OR(E57="",E59=""),"",E57-E59)</f>
        <v/>
      </c>
      <c r="F61" s="42" t="s">
        <v>101</v>
      </c>
    </row>
    <row r="62" spans="1:7">
      <c r="A62" s="50"/>
    </row>
    <row r="63" spans="1:7">
      <c r="A63" s="57" t="s">
        <v>116</v>
      </c>
    </row>
    <row r="64" spans="1:7">
      <c r="A64" s="50"/>
    </row>
    <row r="65" spans="1:15">
      <c r="A65" s="58" t="s">
        <v>117</v>
      </c>
      <c r="B65" s="59"/>
      <c r="C65" s="59"/>
      <c r="D65" s="59"/>
      <c r="E65" s="59"/>
      <c r="F65" s="59"/>
      <c r="G65" s="59"/>
      <c r="H65" s="59"/>
      <c r="I65" s="59"/>
      <c r="J65" s="59"/>
      <c r="K65" s="59"/>
      <c r="L65" s="59"/>
      <c r="M65" s="59"/>
      <c r="N65" s="59"/>
    </row>
    <row r="66" spans="1:15">
      <c r="A66" s="46" t="s">
        <v>260</v>
      </c>
      <c r="B66" s="46"/>
      <c r="C66" s="46"/>
      <c r="D66" s="46"/>
      <c r="E66" s="46"/>
      <c r="F66" s="46"/>
      <c r="G66" s="46"/>
      <c r="H66" s="46"/>
      <c r="I66" s="46"/>
      <c r="J66" s="46"/>
      <c r="K66" s="46"/>
      <c r="L66" s="46"/>
      <c r="M66" s="46"/>
      <c r="N66" s="46"/>
      <c r="O66" s="47"/>
    </row>
    <row r="67" spans="1:15">
      <c r="A67" s="48"/>
      <c r="B67" s="49"/>
      <c r="C67" s="49"/>
      <c r="D67" s="49"/>
      <c r="E67" s="49"/>
      <c r="F67" s="49"/>
      <c r="G67" s="49"/>
      <c r="H67" s="49"/>
      <c r="I67" s="49"/>
      <c r="J67" s="49"/>
      <c r="K67" s="49"/>
      <c r="L67" s="49"/>
      <c r="M67" s="49"/>
      <c r="N67" s="49"/>
    </row>
    <row r="68" spans="1:15">
      <c r="A68" s="54" t="s">
        <v>95</v>
      </c>
    </row>
    <row r="69" spans="1:15">
      <c r="A69" s="50" t="s">
        <v>96</v>
      </c>
    </row>
    <row r="70" spans="1:15">
      <c r="A70" s="50"/>
    </row>
    <row r="71" spans="1:15">
      <c r="A71" s="50"/>
      <c r="E71" s="2747"/>
      <c r="F71" s="2747"/>
    </row>
    <row r="72" spans="1:15">
      <c r="A72" s="50"/>
    </row>
    <row r="73" spans="1:15">
      <c r="A73" s="50"/>
    </row>
    <row r="74" spans="1:15">
      <c r="A74" s="50"/>
      <c r="B74" s="42" t="s">
        <v>98</v>
      </c>
      <c r="E74" s="96"/>
      <c r="F74" s="42" t="s">
        <v>399</v>
      </c>
      <c r="G74" s="172" t="str">
        <f>IF(OR(E74=""),"",'Air Flow References'!AJ28)</f>
        <v/>
      </c>
    </row>
    <row r="75" spans="1:15">
      <c r="A75" s="50"/>
      <c r="B75" s="42" t="s">
        <v>398</v>
      </c>
      <c r="E75" s="167"/>
      <c r="G75" s="55"/>
    </row>
    <row r="76" spans="1:15">
      <c r="A76" s="50"/>
    </row>
    <row r="77" spans="1:15">
      <c r="A77" s="50"/>
      <c r="B77" s="42" t="s">
        <v>99</v>
      </c>
      <c r="E77" s="96"/>
      <c r="F77" s="42" t="s">
        <v>101</v>
      </c>
      <c r="G77" s="42" t="str">
        <f>IF(OR(E77=""),"",'Air Flow References'!AJ29)</f>
        <v/>
      </c>
    </row>
    <row r="78" spans="1:15">
      <c r="A78" s="50"/>
    </row>
    <row r="79" spans="1:15">
      <c r="A79" s="50"/>
      <c r="B79" s="42" t="s">
        <v>100</v>
      </c>
      <c r="E79" s="96"/>
      <c r="F79" s="56" t="s">
        <v>101</v>
      </c>
      <c r="G79" s="42" t="str">
        <f>IF(OR(E79=""),"",'Air Flow References'!AJ30)</f>
        <v/>
      </c>
    </row>
    <row r="80" spans="1:15">
      <c r="A80" s="50"/>
    </row>
    <row r="81" spans="1:15">
      <c r="A81" s="50"/>
    </row>
    <row r="82" spans="1:15">
      <c r="A82" s="54" t="s">
        <v>102</v>
      </c>
    </row>
    <row r="83" spans="1:15">
      <c r="A83" s="50"/>
    </row>
    <row r="84" spans="1:15">
      <c r="A84" s="50" t="s">
        <v>103</v>
      </c>
      <c r="E84" s="96"/>
      <c r="F84" s="42" t="s">
        <v>106</v>
      </c>
      <c r="G84" s="42" t="str">
        <f>IF(OR(E84=""),"",'Air Flow References'!AJ31)</f>
        <v/>
      </c>
    </row>
    <row r="85" spans="1:15">
      <c r="A85" s="50"/>
    </row>
    <row r="86" spans="1:15">
      <c r="A86" s="50" t="s">
        <v>104</v>
      </c>
      <c r="E86" s="96"/>
      <c r="F86" s="56" t="s">
        <v>101</v>
      </c>
      <c r="G86" s="42" t="str">
        <f>IF(OR(E86=""),"",'Air Flow References'!AJ32)</f>
        <v/>
      </c>
    </row>
    <row r="87" spans="1:15">
      <c r="A87" s="50"/>
    </row>
    <row r="88" spans="1:15">
      <c r="A88" s="50" t="s">
        <v>105</v>
      </c>
      <c r="E88" s="96"/>
      <c r="F88" s="56" t="s">
        <v>101</v>
      </c>
      <c r="G88" s="42" t="str">
        <f>IF(OR(E88=""),"",'Air Flow References'!AJ33)</f>
        <v/>
      </c>
    </row>
    <row r="89" spans="1:15">
      <c r="A89" s="50"/>
    </row>
    <row r="90" spans="1:15">
      <c r="A90" s="50" t="s">
        <v>107</v>
      </c>
      <c r="E90" s="98" t="str">
        <f>IF(OR(E86="",E88=""),"",E88-E86)</f>
        <v/>
      </c>
      <c r="F90" s="56" t="s">
        <v>101</v>
      </c>
    </row>
    <row r="91" spans="1:15">
      <c r="A91" s="50"/>
    </row>
    <row r="92" spans="1:15">
      <c r="A92" s="57" t="s">
        <v>108</v>
      </c>
    </row>
    <row r="93" spans="1:15">
      <c r="A93" s="50"/>
    </row>
    <row r="94" spans="1:15">
      <c r="A94" s="45" t="s">
        <v>109</v>
      </c>
    </row>
    <row r="95" spans="1:15">
      <c r="A95" s="46" t="s">
        <v>847</v>
      </c>
      <c r="B95" s="46"/>
      <c r="C95" s="46"/>
      <c r="D95" s="46"/>
      <c r="E95" s="46"/>
      <c r="F95" s="46"/>
      <c r="G95" s="46"/>
      <c r="H95" s="46"/>
      <c r="I95" s="46"/>
      <c r="J95" s="46"/>
      <c r="K95" s="46"/>
      <c r="L95" s="46"/>
      <c r="M95" s="46"/>
      <c r="N95" s="46"/>
      <c r="O95" s="47"/>
    </row>
    <row r="96" spans="1:15">
      <c r="A96" s="48"/>
      <c r="B96" s="49"/>
      <c r="C96" s="49"/>
      <c r="D96" s="49"/>
      <c r="E96" s="49"/>
      <c r="F96" s="49"/>
      <c r="G96" s="49"/>
      <c r="H96" s="49"/>
      <c r="I96" s="49"/>
      <c r="J96" s="49"/>
      <c r="K96" s="49"/>
      <c r="L96" s="49"/>
      <c r="M96" s="49"/>
      <c r="N96" s="49"/>
    </row>
    <row r="97" spans="1:14">
      <c r="A97" s="50" t="s">
        <v>68</v>
      </c>
    </row>
    <row r="98" spans="1:14" ht="9.75" customHeight="1">
      <c r="A98" s="50"/>
    </row>
    <row r="99" spans="1:14" ht="15.75" customHeight="1">
      <c r="A99" s="50"/>
      <c r="E99" s="2734"/>
      <c r="F99" s="2734"/>
      <c r="G99" s="42" t="s">
        <v>69</v>
      </c>
    </row>
    <row r="100" spans="1:14">
      <c r="A100" s="2742" t="s">
        <v>2014</v>
      </c>
      <c r="B100" s="2624"/>
    </row>
    <row r="101" spans="1:14">
      <c r="A101" s="2742"/>
      <c r="B101" s="2624"/>
      <c r="C101" s="663"/>
      <c r="E101" s="42" t="s">
        <v>71</v>
      </c>
      <c r="F101" s="663"/>
    </row>
    <row r="102" spans="1:14">
      <c r="A102" s="50"/>
    </row>
    <row r="103" spans="1:14">
      <c r="A103" s="50"/>
    </row>
    <row r="104" spans="1:14">
      <c r="A104" s="50" t="s">
        <v>81</v>
      </c>
      <c r="E104" s="74"/>
    </row>
    <row r="105" spans="1:14">
      <c r="A105" s="50"/>
    </row>
    <row r="106" spans="1:14">
      <c r="A106" s="50"/>
    </row>
    <row r="107" spans="1:14">
      <c r="A107" s="50" t="s">
        <v>82</v>
      </c>
      <c r="E107" s="74"/>
    </row>
    <row r="108" spans="1:14">
      <c r="A108" s="50"/>
    </row>
    <row r="109" spans="1:14">
      <c r="A109" s="50"/>
    </row>
    <row r="110" spans="1:14">
      <c r="A110" s="50" t="s">
        <v>2015</v>
      </c>
      <c r="C110" s="663"/>
      <c r="D110" s="42" t="s">
        <v>84</v>
      </c>
    </row>
    <row r="111" spans="1:14">
      <c r="A111" s="50"/>
    </row>
    <row r="112" spans="1:14">
      <c r="A112" s="50" t="s">
        <v>85</v>
      </c>
      <c r="D112" s="661"/>
      <c r="E112" s="42" t="s">
        <v>86</v>
      </c>
      <c r="F112" s="42" t="s">
        <v>87</v>
      </c>
      <c r="G112" s="661"/>
      <c r="H112" s="42" t="s">
        <v>84</v>
      </c>
      <c r="I112" s="42" t="s">
        <v>88</v>
      </c>
      <c r="J112" s="661"/>
      <c r="K112" s="42" t="s">
        <v>89</v>
      </c>
      <c r="L112" s="51" t="s">
        <v>90</v>
      </c>
      <c r="M112" s="661"/>
      <c r="N112" s="42" t="s">
        <v>91</v>
      </c>
    </row>
    <row r="113" spans="1:15">
      <c r="A113" s="50"/>
      <c r="L113" s="51"/>
    </row>
    <row r="114" spans="1:15">
      <c r="A114" s="50" t="s">
        <v>183</v>
      </c>
      <c r="D114" s="661"/>
      <c r="E114" s="42" t="s">
        <v>86</v>
      </c>
      <c r="F114" s="42" t="s">
        <v>87</v>
      </c>
      <c r="G114" s="661"/>
      <c r="H114" s="42" t="s">
        <v>84</v>
      </c>
      <c r="I114" s="42" t="s">
        <v>88</v>
      </c>
      <c r="J114" s="661"/>
      <c r="K114" s="42" t="s">
        <v>89</v>
      </c>
      <c r="L114" s="51" t="s">
        <v>90</v>
      </c>
      <c r="M114" s="661"/>
      <c r="N114" s="42" t="s">
        <v>91</v>
      </c>
    </row>
    <row r="115" spans="1:15">
      <c r="A115" s="50"/>
    </row>
    <row r="116" spans="1:15">
      <c r="A116" s="52" t="s">
        <v>242</v>
      </c>
      <c r="M116" s="661"/>
      <c r="N116" s="42" t="s">
        <v>91</v>
      </c>
    </row>
    <row r="117" spans="1:15">
      <c r="A117" s="50"/>
    </row>
    <row r="118" spans="1:15">
      <c r="A118" s="2745" t="s">
        <v>92</v>
      </c>
      <c r="B118" s="2738"/>
      <c r="C118" s="2738"/>
      <c r="D118" s="2738"/>
      <c r="E118" s="2746"/>
      <c r="F118" s="2743" t="s">
        <v>93</v>
      </c>
      <c r="G118" s="2743"/>
      <c r="H118" s="2743"/>
      <c r="I118" s="2743"/>
      <c r="J118" s="2743"/>
      <c r="K118" s="2743"/>
      <c r="L118" s="53"/>
      <c r="M118" s="2754" t="str">
        <f>IF(AND(M112="",M114="",M116=""),"",M112+M114+M116)</f>
        <v/>
      </c>
      <c r="N118" s="2738" t="s">
        <v>91</v>
      </c>
    </row>
    <row r="119" spans="1:15">
      <c r="A119" s="2745"/>
      <c r="B119" s="2738"/>
      <c r="C119" s="2738"/>
      <c r="D119" s="2738"/>
      <c r="E119" s="2746"/>
      <c r="F119" s="2743"/>
      <c r="G119" s="2743"/>
      <c r="H119" s="2743"/>
      <c r="I119" s="2743"/>
      <c r="J119" s="2743"/>
      <c r="K119" s="2743"/>
      <c r="L119" s="53"/>
      <c r="M119" s="2755"/>
      <c r="N119" s="2738"/>
    </row>
    <row r="120" spans="1:15">
      <c r="A120" s="50"/>
    </row>
    <row r="121" spans="1:15">
      <c r="A121" s="45" t="s">
        <v>94</v>
      </c>
    </row>
    <row r="122" spans="1:15"/>
    <row r="123" spans="1:15"/>
    <row r="124" spans="1:15"/>
    <row r="125" spans="1:15"/>
    <row r="126" spans="1:15">
      <c r="A126" s="63" t="s">
        <v>223</v>
      </c>
      <c r="B126" s="67"/>
      <c r="C126" s="64" t="str">
        <f>Development!$A$4&amp;"_"&amp;Development!$A$2</f>
        <v>4.01.2024_2.0</v>
      </c>
      <c r="D126" s="2756"/>
      <c r="E126" s="2756"/>
      <c r="F126" s="2756"/>
      <c r="G126" s="2757"/>
      <c r="H126" s="2757"/>
      <c r="I126" s="2757"/>
      <c r="J126" s="49"/>
      <c r="K126" s="49"/>
      <c r="L126" s="49"/>
      <c r="M126" s="49"/>
      <c r="N126" s="66" t="s">
        <v>225</v>
      </c>
      <c r="O126" s="65" t="str">
        <f>Development!$A$4</f>
        <v>4.01.2024</v>
      </c>
    </row>
    <row r="127" spans="1:15"/>
    <row r="128" spans="1:15"/>
    <row r="129" s="42" customFormat="1"/>
    <row r="130" s="42" customFormat="1"/>
    <row r="131" s="42" customFormat="1"/>
    <row r="132" s="42" customFormat="1"/>
    <row r="133" s="42" customFormat="1"/>
    <row r="134" s="42" customFormat="1"/>
    <row r="135" s="42" customFormat="1"/>
    <row r="136" s="42" customFormat="1"/>
    <row r="137" s="42" customFormat="1"/>
    <row r="138" s="42" customFormat="1"/>
    <row r="139" s="42" customFormat="1"/>
    <row r="140" s="42" customFormat="1"/>
    <row r="141" s="42" customFormat="1"/>
    <row r="142" s="42" customFormat="1"/>
    <row r="143" s="42" customFormat="1"/>
    <row r="144" s="42" customFormat="1"/>
    <row r="145" spans="15:15"/>
    <row r="146" spans="15:15">
      <c r="O146" s="60"/>
    </row>
    <row r="158" spans="15:15"/>
    <row r="159" spans="15:15"/>
    <row r="160" spans="15:15"/>
    <row r="161"/>
    <row r="162"/>
    <row r="163"/>
    <row r="164"/>
    <row r="165"/>
    <row r="166"/>
    <row r="167"/>
    <row r="168"/>
    <row r="169" ht="14.5" customHeight="1"/>
    <row r="170" ht="14.5" customHeight="1"/>
    <row r="171" ht="14.5" customHeight="1"/>
    <row r="172" ht="14.5" customHeight="1"/>
    <row r="173" ht="14.5" customHeight="1"/>
    <row r="174" ht="14.5" customHeight="1"/>
    <row r="175" ht="14.5" customHeight="1"/>
    <row r="176" ht="14.5" customHeight="1"/>
    <row r="177" ht="14.5" customHeight="1"/>
    <row r="178" ht="14.5" customHeight="1"/>
    <row r="179" ht="14.5" customHeight="1"/>
    <row r="180" ht="14.5" customHeight="1"/>
    <row r="181" ht="14.5" customHeight="1"/>
    <row r="182" ht="14.5" customHeight="1"/>
    <row r="183" ht="14.5" customHeight="1"/>
    <row r="184" ht="14.5" customHeight="1"/>
    <row r="185" ht="14.5" customHeight="1"/>
    <row r="186" ht="14.5" customHeight="1"/>
    <row r="187" ht="14.5" customHeight="1"/>
    <row r="188" ht="14.5" customHeight="1"/>
    <row r="189" ht="14.5" customHeight="1"/>
    <row r="190" ht="14.5" customHeight="1"/>
    <row r="191" ht="14.5" customHeight="1"/>
    <row r="192" ht="14.5" customHeight="1"/>
    <row r="193" ht="14.5" customHeight="1"/>
    <row r="194" ht="14.5" customHeight="1"/>
    <row r="195" ht="14.5" customHeight="1"/>
    <row r="196" ht="14.5" customHeight="1"/>
    <row r="197" ht="14.5" customHeight="1"/>
    <row r="198" ht="14.5" customHeight="1"/>
    <row r="199" ht="14.5" customHeight="1"/>
    <row r="200" ht="14.5" customHeight="1"/>
  </sheetData>
  <sheetProtection algorithmName="SHA-512" hashValue="s1lVWntHiHteym5Keuz2K9wChbSodiK3hDr9b1gvdU4vHFDdROCWADRLydzHag6bwTSZKXCM9aA0K4w4EVea+Q==" saltValue="DxgulmUYBQz5DB+QxC2wng==" spinCount="100000" sheet="1" objects="1" scenarios="1"/>
  <dataConsolidate/>
  <mergeCells count="25">
    <mergeCell ref="A1:J1"/>
    <mergeCell ref="A2:J2"/>
    <mergeCell ref="C5:D5"/>
    <mergeCell ref="H5:I5"/>
    <mergeCell ref="H7:I7"/>
    <mergeCell ref="E15:F15"/>
    <mergeCell ref="M15:N15"/>
    <mergeCell ref="A18:D18"/>
    <mergeCell ref="E18:F18"/>
    <mergeCell ref="M18:N18"/>
    <mergeCell ref="E22:F22"/>
    <mergeCell ref="A29:M29"/>
    <mergeCell ref="C30:L30"/>
    <mergeCell ref="I38:J38"/>
    <mergeCell ref="E45:F45"/>
    <mergeCell ref="E25:F25"/>
    <mergeCell ref="M118:M119"/>
    <mergeCell ref="N118:N119"/>
    <mergeCell ref="E71:F71"/>
    <mergeCell ref="D126:F126"/>
    <mergeCell ref="G126:I126"/>
    <mergeCell ref="E99:F99"/>
    <mergeCell ref="A118:E119"/>
    <mergeCell ref="F118:K119"/>
    <mergeCell ref="A100:B101"/>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9633" r:id="rId4" name="OptionButton1">
          <controlPr defaultSize="0" autoLine="0" autoPict="0" r:id="rId5">
            <anchor moveWithCells="1">
              <from>
                <xdr:col>2</xdr:col>
                <xdr:colOff>889000</xdr:colOff>
                <xdr:row>19</xdr:row>
                <xdr:rowOff>260350</xdr:rowOff>
              </from>
              <to>
                <xdr:col>5</xdr:col>
                <xdr:colOff>546100</xdr:colOff>
                <xdr:row>20</xdr:row>
                <xdr:rowOff>190500</xdr:rowOff>
              </to>
            </anchor>
          </controlPr>
        </control>
      </mc:Choice>
      <mc:Fallback>
        <control shapeId="69633" r:id="rId4" name="OptionButton1"/>
      </mc:Fallback>
    </mc:AlternateContent>
    <mc:AlternateContent xmlns:mc="http://schemas.openxmlformats.org/markup-compatibility/2006">
      <mc:Choice Requires="x14">
        <control shapeId="69634" r:id="rId6" name="OptionButton2">
          <controlPr defaultSize="0" autoLine="0" r:id="rId7">
            <anchor moveWithCells="1">
              <from>
                <xdr:col>6</xdr:col>
                <xdr:colOff>0</xdr:colOff>
                <xdr:row>19</xdr:row>
                <xdr:rowOff>241300</xdr:rowOff>
              </from>
              <to>
                <xdr:col>10</xdr:col>
                <xdr:colOff>273050</xdr:colOff>
                <xdr:row>20</xdr:row>
                <xdr:rowOff>228600</xdr:rowOff>
              </to>
            </anchor>
          </controlPr>
        </control>
      </mc:Choice>
      <mc:Fallback>
        <control shapeId="69634" r:id="rId6" name="OptionButton2"/>
      </mc:Fallback>
    </mc:AlternateContent>
    <mc:AlternateContent xmlns:mc="http://schemas.openxmlformats.org/markup-compatibility/2006">
      <mc:Choice Requires="x14">
        <control shapeId="69650" r:id="rId8" name="OptionButton7">
          <controlPr defaultSize="0" autoLine="0" r:id="rId9">
            <anchor moveWithCells="1">
              <from>
                <xdr:col>1</xdr:col>
                <xdr:colOff>69850</xdr:colOff>
                <xdr:row>70</xdr:row>
                <xdr:rowOff>0</xdr:rowOff>
              </from>
              <to>
                <xdr:col>2</xdr:col>
                <xdr:colOff>57150</xdr:colOff>
                <xdr:row>71</xdr:row>
                <xdr:rowOff>69850</xdr:rowOff>
              </to>
            </anchor>
          </controlPr>
        </control>
      </mc:Choice>
      <mc:Fallback>
        <control shapeId="69650" r:id="rId8" name="OptionButton7"/>
      </mc:Fallback>
    </mc:AlternateContent>
    <mc:AlternateContent xmlns:mc="http://schemas.openxmlformats.org/markup-compatibility/2006">
      <mc:Choice Requires="x14">
        <control shapeId="69659" r:id="rId10" name="OptionButton10">
          <controlPr defaultSize="0" autoLine="0" r:id="rId11">
            <anchor moveWithCells="1">
              <from>
                <xdr:col>1</xdr:col>
                <xdr:colOff>88900</xdr:colOff>
                <xdr:row>44</xdr:row>
                <xdr:rowOff>12700</xdr:rowOff>
              </from>
              <to>
                <xdr:col>2</xdr:col>
                <xdr:colOff>82550</xdr:colOff>
                <xdr:row>45</xdr:row>
                <xdr:rowOff>82550</xdr:rowOff>
              </to>
            </anchor>
          </controlPr>
        </control>
      </mc:Choice>
      <mc:Fallback>
        <control shapeId="69659" r:id="rId10" name="OptionButton10"/>
      </mc:Fallback>
    </mc:AlternateContent>
    <mc:AlternateContent xmlns:mc="http://schemas.openxmlformats.org/markup-compatibility/2006">
      <mc:Choice Requires="x14">
        <control shapeId="69671" r:id="rId12" name="CommandButton1">
          <controlPr defaultSize="0" autoLine="0" r:id="rId13">
            <anchor moveWithCells="1">
              <from>
                <xdr:col>11</xdr:col>
                <xdr:colOff>266700</xdr:colOff>
                <xdr:row>122</xdr:row>
                <xdr:rowOff>0</xdr:rowOff>
              </from>
              <to>
                <xdr:col>14</xdr:col>
                <xdr:colOff>692150</xdr:colOff>
                <xdr:row>124</xdr:row>
                <xdr:rowOff>133350</xdr:rowOff>
              </to>
            </anchor>
          </controlPr>
        </control>
      </mc:Choice>
      <mc:Fallback>
        <control shapeId="69671" r:id="rId12" name="CommandButton1"/>
      </mc:Fallback>
    </mc:AlternateContent>
    <mc:AlternateContent xmlns:mc="http://schemas.openxmlformats.org/markup-compatibility/2006">
      <mc:Choice Requires="x14">
        <control shapeId="69635" r:id="rId14" name="Group Box 3">
          <controlPr defaultSize="0" autoFill="0" autoPict="0">
            <anchor moveWithCells="1">
              <from>
                <xdr:col>0</xdr:col>
                <xdr:colOff>12700</xdr:colOff>
                <xdr:row>19</xdr:row>
                <xdr:rowOff>57150</xdr:rowOff>
              </from>
              <to>
                <xdr:col>6</xdr:col>
                <xdr:colOff>431800</xdr:colOff>
                <xdr:row>20</xdr:row>
                <xdr:rowOff>336550</xdr:rowOff>
              </to>
            </anchor>
          </controlPr>
        </control>
      </mc:Choice>
    </mc:AlternateContent>
    <mc:AlternateContent xmlns:mc="http://schemas.openxmlformats.org/markup-compatibility/2006">
      <mc:Choice Requires="x14">
        <control shapeId="69636" r:id="rId15" name="Check Box 4">
          <controlPr defaultSize="0" autoFill="0" autoLine="0" autoPict="0">
            <anchor moveWithCells="1">
              <from>
                <xdr:col>7</xdr:col>
                <xdr:colOff>533400</xdr:colOff>
                <xdr:row>21</xdr:row>
                <xdr:rowOff>190500</xdr:rowOff>
              </from>
              <to>
                <xdr:col>9</xdr:col>
                <xdr:colOff>50800</xdr:colOff>
                <xdr:row>21</xdr:row>
                <xdr:rowOff>488950</xdr:rowOff>
              </to>
            </anchor>
          </controlPr>
        </control>
      </mc:Choice>
    </mc:AlternateContent>
    <mc:AlternateContent xmlns:mc="http://schemas.openxmlformats.org/markup-compatibility/2006">
      <mc:Choice Requires="x14">
        <control shapeId="69637" r:id="rId16" name="Check Box 5">
          <controlPr defaultSize="0" autoFill="0" autoLine="0" autoPict="0">
            <anchor moveWithCells="1">
              <from>
                <xdr:col>9</xdr:col>
                <xdr:colOff>419100</xdr:colOff>
                <xdr:row>21</xdr:row>
                <xdr:rowOff>190500</xdr:rowOff>
              </from>
              <to>
                <xdr:col>10</xdr:col>
                <xdr:colOff>990600</xdr:colOff>
                <xdr:row>21</xdr:row>
                <xdr:rowOff>527050</xdr:rowOff>
              </to>
            </anchor>
          </controlPr>
        </control>
      </mc:Choice>
    </mc:AlternateContent>
    <mc:AlternateContent xmlns:mc="http://schemas.openxmlformats.org/markup-compatibility/2006">
      <mc:Choice Requires="x14">
        <control shapeId="69641" r:id="rId17" name="Group Box 9">
          <controlPr defaultSize="0" autoFill="0" autoPict="0">
            <anchor moveWithCells="1">
              <from>
                <xdr:col>0</xdr:col>
                <xdr:colOff>50800</xdr:colOff>
                <xdr:row>65</xdr:row>
                <xdr:rowOff>0</xdr:rowOff>
              </from>
              <to>
                <xdr:col>3</xdr:col>
                <xdr:colOff>1384300</xdr:colOff>
                <xdr:row>69</xdr:row>
                <xdr:rowOff>95250</xdr:rowOff>
              </to>
            </anchor>
          </controlPr>
        </control>
      </mc:Choice>
    </mc:AlternateContent>
    <mc:AlternateContent xmlns:mc="http://schemas.openxmlformats.org/markup-compatibility/2006">
      <mc:Choice Requires="x14">
        <control shapeId="69642"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9643"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9644"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69645" r:id="rId21" name="Group Box 13">
          <controlPr defaultSize="0" autoFill="0" autoPict="0">
            <anchor moveWithCells="1">
              <from>
                <xdr:col>0</xdr:col>
                <xdr:colOff>374650</xdr:colOff>
                <xdr:row>65</xdr:row>
                <xdr:rowOff>0</xdr:rowOff>
              </from>
              <to>
                <xdr:col>3</xdr:col>
                <xdr:colOff>1384300</xdr:colOff>
                <xdr:row>68</xdr:row>
                <xdr:rowOff>95250</xdr:rowOff>
              </to>
            </anchor>
          </controlPr>
        </control>
      </mc:Choice>
    </mc:AlternateContent>
    <mc:AlternateContent xmlns:mc="http://schemas.openxmlformats.org/markup-compatibility/2006">
      <mc:Choice Requires="x14">
        <control shapeId="69646"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9647"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9648"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69652" r:id="rId25" name="Group Box 20">
          <controlPr defaultSize="0" autoFill="0" autoPict="0">
            <anchor moveWithCells="1">
              <from>
                <xdr:col>0</xdr:col>
                <xdr:colOff>317500</xdr:colOff>
                <xdr:row>68</xdr:row>
                <xdr:rowOff>209550</xdr:rowOff>
              </from>
              <to>
                <xdr:col>3</xdr:col>
                <xdr:colOff>1384300</xdr:colOff>
                <xdr:row>72</xdr:row>
                <xdr:rowOff>12700</xdr:rowOff>
              </to>
            </anchor>
          </controlPr>
        </control>
      </mc:Choice>
    </mc:AlternateContent>
    <mc:AlternateContent xmlns:mc="http://schemas.openxmlformats.org/markup-compatibility/2006">
      <mc:Choice Requires="x14">
        <control shapeId="69653"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69654" r:id="rId27" name="Option Button 22">
          <controlPr defaultSize="0" autoFill="0" autoLine="0" autoPict="0">
            <anchor moveWithCells="1">
              <from>
                <xdr:col>2</xdr:col>
                <xdr:colOff>1060450</xdr:colOff>
                <xdr:row>37</xdr:row>
                <xdr:rowOff>69850</xdr:rowOff>
              </from>
              <to>
                <xdr:col>3</xdr:col>
                <xdr:colOff>1314450</xdr:colOff>
                <xdr:row>38</xdr:row>
                <xdr:rowOff>69850</xdr:rowOff>
              </to>
            </anchor>
          </controlPr>
        </control>
      </mc:Choice>
    </mc:AlternateContent>
    <mc:AlternateContent xmlns:mc="http://schemas.openxmlformats.org/markup-compatibility/2006">
      <mc:Choice Requires="x14">
        <control shapeId="69655" r:id="rId28" name="Option Button 23">
          <controlPr defaultSize="0" autoFill="0" autoLine="0" autoPict="0">
            <anchor moveWithCells="1">
              <from>
                <xdr:col>4</xdr:col>
                <xdr:colOff>209550</xdr:colOff>
                <xdr:row>37</xdr:row>
                <xdr:rowOff>69850</xdr:rowOff>
              </from>
              <to>
                <xdr:col>5</xdr:col>
                <xdr:colOff>622300</xdr:colOff>
                <xdr:row>38</xdr:row>
                <xdr:rowOff>69850</xdr:rowOff>
              </to>
            </anchor>
          </controlPr>
        </control>
      </mc:Choice>
    </mc:AlternateContent>
    <mc:AlternateContent xmlns:mc="http://schemas.openxmlformats.org/markup-compatibility/2006">
      <mc:Choice Requires="x14">
        <control shapeId="69657"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69661" r:id="rId30" name="Group Box 29">
          <controlPr defaultSize="0" autoFill="0" autoPict="0">
            <anchor moveWithCells="1">
              <from>
                <xdr:col>0</xdr:col>
                <xdr:colOff>571500</xdr:colOff>
                <xdr:row>42</xdr:row>
                <xdr:rowOff>209550</xdr:rowOff>
              </from>
              <to>
                <xdr:col>3</xdr:col>
                <xdr:colOff>1384300</xdr:colOff>
                <xdr:row>46</xdr:row>
                <xdr:rowOff>12700</xdr:rowOff>
              </to>
            </anchor>
          </controlPr>
        </control>
      </mc:Choice>
    </mc:AlternateContent>
    <mc:AlternateContent xmlns:mc="http://schemas.openxmlformats.org/markup-compatibility/2006">
      <mc:Choice Requires="x14">
        <control shapeId="69732" r:id="rId31" name="Check Box 100">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69733" r:id="rId32" name="Check Box 101">
          <controlPr defaultSize="0" autoFill="0" autoLine="0" autoPict="0">
            <anchor moveWithCells="1">
              <from>
                <xdr:col>0</xdr:col>
                <xdr:colOff>1193800</xdr:colOff>
                <xdr:row>9</xdr:row>
                <xdr:rowOff>114300</xdr:rowOff>
              </from>
              <to>
                <xdr:col>2</xdr:col>
                <xdr:colOff>0</xdr:colOff>
                <xdr:row>9</xdr:row>
                <xdr:rowOff>374650</xdr:rowOff>
              </to>
            </anchor>
          </controlPr>
        </control>
      </mc:Choice>
    </mc:AlternateContent>
    <mc:AlternateContent xmlns:mc="http://schemas.openxmlformats.org/markup-compatibility/2006">
      <mc:Choice Requires="x14">
        <control shapeId="69734" r:id="rId33" name="Check Box 102">
          <controlPr defaultSize="0" autoFill="0" autoLine="0" autoPict="0">
            <anchor moveWithCells="1">
              <from>
                <xdr:col>3</xdr:col>
                <xdr:colOff>946150</xdr:colOff>
                <xdr:row>9</xdr:row>
                <xdr:rowOff>114300</xdr:rowOff>
              </from>
              <to>
                <xdr:col>3</xdr:col>
                <xdr:colOff>1060450</xdr:colOff>
                <xdr:row>9</xdr:row>
                <xdr:rowOff>381000</xdr:rowOff>
              </to>
            </anchor>
          </controlPr>
        </control>
      </mc:Choice>
    </mc:AlternateContent>
    <mc:AlternateContent xmlns:mc="http://schemas.openxmlformats.org/markup-compatibility/2006">
      <mc:Choice Requires="x14">
        <control shapeId="69735" r:id="rId34" name="Check Box 103">
          <controlPr defaultSize="0" autoFill="0" autoLine="0" autoPict="0">
            <anchor moveWithCells="1">
              <from>
                <xdr:col>3</xdr:col>
                <xdr:colOff>0</xdr:colOff>
                <xdr:row>9</xdr:row>
                <xdr:rowOff>114300</xdr:rowOff>
              </from>
              <to>
                <xdr:col>3</xdr:col>
                <xdr:colOff>952500</xdr:colOff>
                <xdr:row>9</xdr:row>
                <xdr:rowOff>381000</xdr:rowOff>
              </to>
            </anchor>
          </controlPr>
        </control>
      </mc:Choice>
    </mc:AlternateContent>
    <mc:AlternateContent xmlns:mc="http://schemas.openxmlformats.org/markup-compatibility/2006">
      <mc:Choice Requires="x14">
        <control shapeId="69736" r:id="rId35" name="Group Box 104">
          <controlPr defaultSize="0" autoFill="0" autoPict="0">
            <anchor moveWithCells="1">
              <from>
                <xdr:col>0</xdr:col>
                <xdr:colOff>50800</xdr:colOff>
                <xdr:row>96</xdr:row>
                <xdr:rowOff>0</xdr:rowOff>
              </from>
              <to>
                <xdr:col>3</xdr:col>
                <xdr:colOff>1384300</xdr:colOff>
                <xdr:row>100</xdr:row>
                <xdr:rowOff>146050</xdr:rowOff>
              </to>
            </anchor>
          </controlPr>
        </control>
      </mc:Choice>
    </mc:AlternateContent>
    <mc:AlternateContent xmlns:mc="http://schemas.openxmlformats.org/markup-compatibility/2006">
      <mc:Choice Requires="x14">
        <control shapeId="69737" r:id="rId36" name="Option Button 105">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69738" r:id="rId37" name="Option Button 106">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69739" r:id="rId38" name="Group Box 107">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69740" r:id="rId39" name="Group Box 108">
          <controlPr defaultSize="0" autoFill="0" autoPict="0">
            <anchor moveWithCells="1">
              <from>
                <xdr:col>0</xdr:col>
                <xdr:colOff>374650</xdr:colOff>
                <xdr:row>96</xdr:row>
                <xdr:rowOff>76200</xdr:rowOff>
              </from>
              <to>
                <xdr:col>3</xdr:col>
                <xdr:colOff>1384300</xdr:colOff>
                <xdr:row>100</xdr:row>
                <xdr:rowOff>38100</xdr:rowOff>
              </to>
            </anchor>
          </controlPr>
        </control>
      </mc:Choice>
    </mc:AlternateContent>
    <mc:AlternateContent xmlns:mc="http://schemas.openxmlformats.org/markup-compatibility/2006">
      <mc:Choice Requires="x14">
        <control shapeId="69741" r:id="rId40" name="Option Button 109">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69742" r:id="rId41" name="Option Button 110">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69743" r:id="rId42" name="Group Box 111">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dimension ref="A1:O144"/>
  <sheetViews>
    <sheetView showGridLines="0" zoomScale="90" zoomScaleNormal="90" workbookViewId="0">
      <selection activeCell="B6" sqref="B6"/>
    </sheetView>
  </sheetViews>
  <sheetFormatPr defaultColWidth="0" defaultRowHeight="14.5" customHeight="1" zeroHeight="1"/>
  <cols>
    <col min="1" max="1" width="14.54296875" style="42" customWidth="1"/>
    <col min="2" max="2" width="9.542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4" width="9.1796875" style="42" customWidth="1"/>
    <col min="15" max="15" width="13.7265625" style="42" customWidth="1"/>
    <col min="16" max="16384" width="13.7265625" style="42" hidden="1"/>
  </cols>
  <sheetData>
    <row r="1" spans="1:15"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5" ht="55" customHeight="1">
      <c r="A2" s="2750" t="s">
        <v>132</v>
      </c>
      <c r="B2" s="2750"/>
      <c r="C2" s="2750"/>
      <c r="D2" s="2750"/>
      <c r="E2" s="2750"/>
      <c r="F2" s="2750"/>
      <c r="G2" s="2750"/>
      <c r="H2" s="2750"/>
      <c r="I2" s="2750"/>
      <c r="J2" s="2750"/>
      <c r="K2" s="7"/>
      <c r="L2" s="7"/>
      <c r="M2" s="7"/>
      <c r="N2" s="7"/>
      <c r="O2" s="7"/>
    </row>
    <row r="3" spans="1:15" ht="31" thickBot="1">
      <c r="A3" s="24" t="s">
        <v>134</v>
      </c>
      <c r="B3" s="24"/>
      <c r="C3" s="24"/>
      <c r="D3" s="24"/>
      <c r="E3" s="24"/>
      <c r="F3" s="24"/>
      <c r="G3" s="24"/>
      <c r="H3" s="24"/>
      <c r="I3" s="24"/>
      <c r="J3" s="24"/>
      <c r="K3" s="24"/>
      <c r="L3" s="24"/>
      <c r="M3" s="24"/>
      <c r="N3" s="24"/>
      <c r="O3" s="7"/>
    </row>
    <row r="4" spans="1:15" ht="18.75" customHeight="1">
      <c r="A4" s="25"/>
      <c r="B4" s="25"/>
      <c r="C4" s="25"/>
      <c r="D4" s="25"/>
      <c r="E4" s="25"/>
      <c r="F4" s="25"/>
      <c r="G4" s="25"/>
      <c r="H4" s="25"/>
      <c r="I4" s="25"/>
      <c r="J4" s="25"/>
      <c r="K4" s="25"/>
      <c r="L4" s="25"/>
      <c r="M4" s="25"/>
      <c r="N4" s="25"/>
      <c r="O4" s="7"/>
    </row>
    <row r="5" spans="1:15" ht="18" customHeight="1">
      <c r="A5" s="18" t="s">
        <v>136</v>
      </c>
      <c r="B5" s="97">
        <f>'In Unit HVAC Worksheet'!B90</f>
        <v>9</v>
      </c>
      <c r="C5" s="2767"/>
      <c r="D5" s="2767"/>
      <c r="E5" s="18"/>
      <c r="F5" s="18"/>
      <c r="G5" s="18" t="s">
        <v>80</v>
      </c>
      <c r="H5" s="2766" t="str">
        <f>IF('In Unit HVAC Worksheet'!C90="","",'In Unit HVAC Worksheet'!C90)</f>
        <v/>
      </c>
      <c r="I5" s="2766"/>
      <c r="J5" s="14"/>
      <c r="K5" s="7"/>
      <c r="L5" s="7"/>
      <c r="M5" s="7"/>
      <c r="N5" s="7"/>
      <c r="O5" s="7"/>
    </row>
    <row r="6" spans="1:15" ht="18" customHeight="1">
      <c r="A6" s="18"/>
      <c r="B6" s="18"/>
      <c r="C6" s="18"/>
      <c r="D6" s="18"/>
      <c r="E6" s="18"/>
      <c r="F6" s="18"/>
      <c r="G6" s="18"/>
      <c r="H6" s="18"/>
      <c r="I6" s="14"/>
      <c r="J6" s="14"/>
      <c r="K6" s="7"/>
      <c r="L6" s="7"/>
      <c r="M6" s="7"/>
      <c r="N6" s="7"/>
      <c r="O6" s="7"/>
    </row>
    <row r="7" spans="1:15" ht="18" customHeight="1">
      <c r="B7" s="18"/>
      <c r="D7" s="18"/>
      <c r="E7" s="18"/>
      <c r="F7" s="18"/>
      <c r="G7" s="18" t="s">
        <v>135</v>
      </c>
      <c r="H7" s="2766" t="str">
        <f>IF('In Unit HVAC Worksheet'!E90="","",'In Unit HVAC Worksheet'!E90)</f>
        <v/>
      </c>
      <c r="I7" s="2766"/>
      <c r="J7" s="14"/>
      <c r="K7" s="7"/>
      <c r="L7" s="7"/>
      <c r="M7" s="7"/>
      <c r="N7" s="7"/>
      <c r="O7" s="7"/>
    </row>
    <row r="8" spans="1:15" ht="23">
      <c r="A8" s="20" t="s">
        <v>133</v>
      </c>
      <c r="B8" s="19"/>
      <c r="C8" s="19"/>
      <c r="D8" s="19"/>
      <c r="E8" s="19"/>
      <c r="F8" s="19"/>
      <c r="G8" s="19"/>
      <c r="H8" s="19"/>
      <c r="I8" s="19"/>
      <c r="J8" s="19"/>
      <c r="K8" s="19"/>
      <c r="L8" s="19"/>
      <c r="M8" s="11"/>
      <c r="N8" s="19"/>
      <c r="O8" s="19"/>
    </row>
    <row r="9" spans="1:15" ht="30.5">
      <c r="A9" s="14"/>
      <c r="B9" s="70" t="s">
        <v>30</v>
      </c>
      <c r="C9" s="71"/>
      <c r="D9" s="70" t="s">
        <v>31</v>
      </c>
      <c r="E9" s="72"/>
      <c r="F9" s="14"/>
      <c r="G9" s="14"/>
      <c r="H9" s="14"/>
      <c r="I9" s="14"/>
      <c r="J9" s="14"/>
      <c r="K9" s="7"/>
      <c r="L9" s="7"/>
      <c r="M9" s="7"/>
      <c r="N9" s="7"/>
      <c r="O9" s="7"/>
    </row>
    <row r="10" spans="1:15" ht="24" customHeight="1">
      <c r="A10" s="7"/>
      <c r="B10" s="22"/>
      <c r="C10" s="22"/>
      <c r="D10" s="22"/>
      <c r="E10" s="22"/>
      <c r="G10" s="16"/>
      <c r="H10" s="16"/>
      <c r="J10" s="7"/>
      <c r="K10" s="7"/>
      <c r="L10" s="7"/>
      <c r="M10" s="7"/>
      <c r="N10" s="7"/>
      <c r="O10" s="7"/>
    </row>
    <row r="11" spans="1:15" ht="23.5" thickBot="1">
      <c r="A11" s="17" t="s">
        <v>67</v>
      </c>
      <c r="B11" s="17"/>
      <c r="C11" s="17"/>
      <c r="D11" s="17"/>
      <c r="E11" s="17"/>
      <c r="F11" s="17"/>
      <c r="G11" s="17"/>
      <c r="H11" s="17"/>
      <c r="I11" s="17"/>
      <c r="J11" s="17"/>
      <c r="K11" s="17"/>
      <c r="L11" s="17"/>
      <c r="M11" s="17"/>
      <c r="N11" s="17"/>
      <c r="O11" s="19"/>
    </row>
    <row r="12" spans="1:15" ht="6.75" customHeight="1">
      <c r="A12" s="4"/>
      <c r="B12" s="5"/>
      <c r="C12" s="5"/>
      <c r="D12" s="5"/>
      <c r="E12" s="5"/>
      <c r="F12" s="5"/>
      <c r="G12" s="5"/>
      <c r="H12" s="5"/>
      <c r="I12" s="5"/>
      <c r="J12" s="5"/>
      <c r="K12" s="5"/>
      <c r="L12" s="5"/>
      <c r="M12" s="5"/>
      <c r="N12" s="5"/>
      <c r="O12" s="5"/>
    </row>
    <row r="13" spans="1:15" ht="33.65" customHeight="1">
      <c r="A13" s="139" t="s">
        <v>443</v>
      </c>
      <c r="B13" s="5"/>
      <c r="C13" s="5"/>
      <c r="D13" s="5"/>
      <c r="E13" s="5"/>
      <c r="F13" s="5"/>
      <c r="G13" s="5"/>
      <c r="H13" s="5"/>
      <c r="I13" s="5"/>
      <c r="J13" s="5"/>
      <c r="K13" s="5"/>
      <c r="L13" s="5"/>
      <c r="M13" s="5"/>
      <c r="N13" s="5"/>
      <c r="O13" s="5"/>
    </row>
    <row r="14" spans="1:15" ht="33.65" customHeight="1">
      <c r="A14" s="4"/>
      <c r="B14" s="5"/>
      <c r="C14" s="5"/>
      <c r="D14" s="5"/>
      <c r="E14" s="5"/>
      <c r="F14" s="5"/>
      <c r="G14" s="5"/>
      <c r="H14" s="5"/>
      <c r="I14" s="5"/>
      <c r="J14" s="5"/>
      <c r="K14" s="5"/>
      <c r="L14" s="5"/>
      <c r="M14" s="5"/>
      <c r="N14" s="5"/>
      <c r="O14" s="5"/>
    </row>
    <row r="15" spans="1:15" ht="33.65" customHeight="1">
      <c r="A15" s="42" t="s">
        <v>525</v>
      </c>
      <c r="E15" s="2734"/>
      <c r="F15" s="2734"/>
      <c r="G15" s="42" t="str">
        <f>IF(OR(E15=""),"",'Air Flow References'!AO4)</f>
        <v/>
      </c>
      <c r="L15" s="43" t="s">
        <v>526</v>
      </c>
      <c r="M15" s="2731"/>
      <c r="N15" s="2731"/>
      <c r="O15" s="42" t="str">
        <f>IF(OR(M15=""),"",'Air Flow References'!AO6)</f>
        <v/>
      </c>
    </row>
    <row r="16" spans="1:15" ht="33.65" customHeight="1">
      <c r="E16" s="167"/>
      <c r="F16" s="167"/>
      <c r="L16" s="43"/>
      <c r="M16" s="164"/>
      <c r="N16" s="164"/>
    </row>
    <row r="17" spans="1:15" ht="33.65" customHeight="1">
      <c r="A17" s="138" t="s">
        <v>543</v>
      </c>
    </row>
    <row r="18" spans="1:15" ht="33.65" customHeight="1">
      <c r="A18" s="2318" t="s">
        <v>527</v>
      </c>
      <c r="B18" s="2318"/>
      <c r="C18" s="2318"/>
      <c r="D18" s="2318"/>
      <c r="E18" s="2736"/>
      <c r="F18" s="2736"/>
      <c r="G18" s="42" t="str">
        <f>IF(OR(E18=""),"",'Air Flow References'!AO5)</f>
        <v/>
      </c>
      <c r="H18" s="45"/>
      <c r="I18" s="45" t="s">
        <v>397</v>
      </c>
      <c r="L18" s="43" t="s">
        <v>528</v>
      </c>
      <c r="M18" s="2734"/>
      <c r="N18" s="2734"/>
      <c r="O18" s="42" t="str">
        <f>IF(OR(M18=""),"",'Air Flow References'!AO7)</f>
        <v/>
      </c>
    </row>
    <row r="19" spans="1:15" ht="33.65" customHeight="1"/>
    <row r="20" spans="1:15" ht="33.65" customHeight="1">
      <c r="A20" s="42" t="s">
        <v>531</v>
      </c>
    </row>
    <row r="21" spans="1:15" ht="33.65" customHeight="1"/>
    <row r="22" spans="1:15" ht="33.65" customHeight="1">
      <c r="A22" s="42" t="s">
        <v>532</v>
      </c>
      <c r="E22" s="2731"/>
      <c r="F22" s="2731"/>
      <c r="G22" s="42" t="str">
        <f>IF(OR(E22=""),"",'Air Flow References'!AO9)</f>
        <v/>
      </c>
      <c r="H22" s="73"/>
      <c r="I22" s="73"/>
      <c r="J22" s="73"/>
      <c r="K22" s="73"/>
    </row>
    <row r="23" spans="1:15" ht="33.65" customHeight="1">
      <c r="A23" s="162" t="s">
        <v>545</v>
      </c>
      <c r="E23" s="164"/>
      <c r="F23" s="164"/>
    </row>
    <row r="24" spans="1:15" ht="33.65" customHeight="1">
      <c r="E24" s="164"/>
      <c r="F24" s="164"/>
    </row>
    <row r="25" spans="1:15" ht="33.65" customHeight="1">
      <c r="A25" s="42" t="s">
        <v>533</v>
      </c>
      <c r="E25" s="2768"/>
      <c r="F25" s="2768"/>
      <c r="G25" s="42" t="str">
        <f>IF(OR(E25=""),"",'Air Flow References'!AO8)</f>
        <v/>
      </c>
    </row>
    <row r="26" spans="1:15" ht="33.65" customHeight="1">
      <c r="A26" s="162" t="s">
        <v>546</v>
      </c>
    </row>
    <row r="27" spans="1:15" ht="33.65" customHeight="1">
      <c r="A27" s="162"/>
    </row>
    <row r="28" spans="1:15" ht="33.65" customHeight="1">
      <c r="A28" s="162"/>
    </row>
    <row r="29" spans="1:15">
      <c r="A29" s="2318" t="s">
        <v>62</v>
      </c>
      <c r="B29" s="2318"/>
      <c r="C29" s="2318"/>
      <c r="D29" s="2318"/>
      <c r="E29" s="2318"/>
      <c r="F29" s="2318"/>
      <c r="G29" s="2318"/>
      <c r="H29" s="2318"/>
      <c r="I29" s="2318"/>
      <c r="J29" s="2318"/>
      <c r="K29" s="2318"/>
      <c r="L29" s="2318"/>
      <c r="M29" s="2318"/>
    </row>
    <row r="30" spans="1:15" ht="33.65" customHeight="1">
      <c r="A30" s="42" t="s">
        <v>63</v>
      </c>
      <c r="C30" s="2733"/>
      <c r="D30" s="2733"/>
      <c r="E30" s="2733"/>
      <c r="F30" s="2733"/>
      <c r="G30" s="2733"/>
      <c r="H30" s="2733"/>
      <c r="I30" s="2733"/>
      <c r="J30" s="2733"/>
      <c r="K30" s="2733"/>
      <c r="L30" s="2733"/>
    </row>
    <row r="31" spans="1:15"/>
    <row r="32" spans="1:15">
      <c r="A32" s="45" t="s">
        <v>66</v>
      </c>
    </row>
    <row r="33" spans="1:15">
      <c r="A33" s="42" t="s">
        <v>65</v>
      </c>
    </row>
    <row r="34" spans="1:15">
      <c r="A34" s="42" t="s">
        <v>64</v>
      </c>
    </row>
    <row r="35" spans="1:15"/>
    <row r="36" spans="1:15" ht="23.5" thickBot="1">
      <c r="A36" s="17" t="s">
        <v>236</v>
      </c>
      <c r="B36" s="17"/>
      <c r="C36" s="17"/>
      <c r="D36" s="17"/>
      <c r="E36" s="17"/>
      <c r="F36" s="17"/>
      <c r="G36" s="17"/>
      <c r="H36" s="17"/>
      <c r="I36" s="17"/>
      <c r="J36" s="17"/>
      <c r="K36" s="17"/>
      <c r="L36" s="17"/>
      <c r="M36" s="17"/>
      <c r="N36" s="17"/>
      <c r="O36" s="19"/>
    </row>
    <row r="37" spans="1:15" ht="23">
      <c r="A37" s="4"/>
      <c r="B37" s="4"/>
      <c r="C37" s="4"/>
      <c r="D37" s="4"/>
      <c r="E37" s="4"/>
      <c r="F37" s="4"/>
      <c r="G37" s="4"/>
      <c r="H37" s="4"/>
      <c r="I37" s="4"/>
      <c r="J37" s="4"/>
      <c r="K37" s="4"/>
      <c r="L37" s="4"/>
      <c r="M37" s="4"/>
      <c r="N37" s="4"/>
      <c r="O37" s="4"/>
    </row>
    <row r="38" spans="1:15" ht="23">
      <c r="A38" s="3" t="s">
        <v>97</v>
      </c>
      <c r="B38" s="4"/>
      <c r="C38" s="4"/>
      <c r="D38" s="4"/>
      <c r="E38" s="4"/>
      <c r="F38" s="4"/>
      <c r="G38" s="4"/>
      <c r="H38" s="4"/>
      <c r="I38" s="2749"/>
      <c r="J38" s="2749"/>
      <c r="K38" s="4"/>
      <c r="L38" s="4"/>
      <c r="M38" s="4"/>
    </row>
    <row r="39" spans="1:15" ht="23">
      <c r="A39" s="4"/>
      <c r="B39" s="4"/>
      <c r="C39" s="4"/>
      <c r="D39" s="4"/>
      <c r="E39" s="4"/>
      <c r="F39" s="4"/>
      <c r="G39" s="4"/>
      <c r="H39" s="4"/>
      <c r="I39" s="4"/>
      <c r="J39" s="4"/>
      <c r="K39" s="4"/>
      <c r="L39" s="4"/>
      <c r="M39" s="4"/>
      <c r="N39" s="4"/>
      <c r="O39" s="4"/>
    </row>
    <row r="40" spans="1:15">
      <c r="A40" s="46" t="s">
        <v>221</v>
      </c>
      <c r="B40" s="46"/>
      <c r="C40" s="46"/>
      <c r="D40" s="46"/>
      <c r="E40" s="46"/>
      <c r="F40" s="46"/>
      <c r="G40" s="46"/>
      <c r="H40" s="46"/>
      <c r="I40" s="46"/>
      <c r="J40" s="46"/>
      <c r="K40" s="46"/>
      <c r="L40" s="46"/>
      <c r="M40" s="46"/>
      <c r="N40" s="46"/>
    </row>
    <row r="41" spans="1:15">
      <c r="A41" s="48"/>
      <c r="B41" s="49"/>
      <c r="C41" s="49"/>
      <c r="D41" s="49"/>
      <c r="E41" s="49"/>
      <c r="F41" s="49"/>
      <c r="G41" s="49"/>
      <c r="H41" s="49"/>
      <c r="I41" s="49"/>
      <c r="J41" s="49"/>
      <c r="K41" s="49"/>
      <c r="L41" s="49"/>
      <c r="M41" s="49"/>
      <c r="N41" s="49"/>
    </row>
    <row r="42" spans="1:15">
      <c r="A42" s="54" t="s">
        <v>95</v>
      </c>
    </row>
    <row r="43" spans="1:15">
      <c r="A43" s="50" t="s">
        <v>96</v>
      </c>
    </row>
    <row r="44" spans="1:15">
      <c r="A44" s="50"/>
    </row>
    <row r="45" spans="1:15">
      <c r="A45" s="50"/>
      <c r="E45" s="2747"/>
      <c r="F45" s="2747"/>
    </row>
    <row r="46" spans="1:15">
      <c r="A46" s="50"/>
    </row>
    <row r="47" spans="1:15">
      <c r="A47" s="50"/>
    </row>
    <row r="48" spans="1:15">
      <c r="A48" s="50"/>
    </row>
    <row r="49" spans="1:7">
      <c r="A49" s="50"/>
      <c r="B49" s="42" t="s">
        <v>110</v>
      </c>
      <c r="E49" s="96"/>
      <c r="F49" s="42" t="s">
        <v>101</v>
      </c>
      <c r="G49" s="42" t="str">
        <f>IF(OR(E49=""),"",'Air Flow References'!AO16)</f>
        <v/>
      </c>
    </row>
    <row r="50" spans="1:7">
      <c r="A50" s="50"/>
    </row>
    <row r="51" spans="1:7">
      <c r="A51" s="50"/>
      <c r="B51" s="42" t="s">
        <v>111</v>
      </c>
      <c r="E51" s="96"/>
      <c r="F51" s="56" t="s">
        <v>101</v>
      </c>
      <c r="G51" s="42" t="str">
        <f>IF(OR(E51=""),"",'Air Flow References'!AO17)</f>
        <v/>
      </c>
    </row>
    <row r="52" spans="1:7">
      <c r="A52" s="50"/>
    </row>
    <row r="53" spans="1:7">
      <c r="A53" s="54" t="s">
        <v>102</v>
      </c>
    </row>
    <row r="54" spans="1:7">
      <c r="A54" s="54"/>
    </row>
    <row r="55" spans="1:7">
      <c r="A55" s="50" t="s">
        <v>112</v>
      </c>
      <c r="E55" s="96"/>
      <c r="F55" s="42" t="s">
        <v>106</v>
      </c>
      <c r="G55" s="42" t="str">
        <f>IF(OR(E55=""),"",'Air Flow References'!AO18)</f>
        <v/>
      </c>
    </row>
    <row r="56" spans="1:7">
      <c r="A56" s="50"/>
    </row>
    <row r="57" spans="1:7">
      <c r="A57" s="50" t="s">
        <v>113</v>
      </c>
      <c r="E57" s="96"/>
      <c r="F57" s="42" t="s">
        <v>101</v>
      </c>
      <c r="G57" s="42" t="str">
        <f>IF(OR(E57=""),"",'Air Flow References'!AO19)</f>
        <v/>
      </c>
    </row>
    <row r="58" spans="1:7">
      <c r="A58" s="50"/>
    </row>
    <row r="59" spans="1:7">
      <c r="A59" s="50" t="s">
        <v>114</v>
      </c>
      <c r="E59" s="96"/>
      <c r="F59" s="42" t="s">
        <v>101</v>
      </c>
      <c r="G59" s="42" t="str">
        <f>IF(OR(E59=""),"",'Air Flow References'!AO20)</f>
        <v/>
      </c>
    </row>
    <row r="60" spans="1:7">
      <c r="A60" s="50"/>
    </row>
    <row r="61" spans="1:7">
      <c r="A61" s="50" t="s">
        <v>115</v>
      </c>
      <c r="E61" s="98" t="str">
        <f>IF(OR(E57="",E59=""),"",E57-E59)</f>
        <v/>
      </c>
      <c r="F61" s="42" t="s">
        <v>101</v>
      </c>
    </row>
    <row r="62" spans="1:7">
      <c r="A62" s="50"/>
    </row>
    <row r="63" spans="1:7">
      <c r="A63" s="57" t="s">
        <v>116</v>
      </c>
    </row>
    <row r="64" spans="1:7">
      <c r="A64" s="50"/>
    </row>
    <row r="65" spans="1:15">
      <c r="A65" s="58" t="s">
        <v>117</v>
      </c>
      <c r="B65" s="59"/>
      <c r="C65" s="59"/>
      <c r="D65" s="59"/>
      <c r="E65" s="59"/>
      <c r="F65" s="59"/>
      <c r="G65" s="59"/>
      <c r="H65" s="59"/>
      <c r="I65" s="59"/>
      <c r="J65" s="59"/>
      <c r="K65" s="59"/>
      <c r="L65" s="59"/>
      <c r="M65" s="59"/>
      <c r="N65" s="59"/>
    </row>
    <row r="66" spans="1:15">
      <c r="A66" s="46" t="s">
        <v>260</v>
      </c>
      <c r="B66" s="46"/>
      <c r="C66" s="46"/>
      <c r="D66" s="46"/>
      <c r="E66" s="46"/>
      <c r="F66" s="46"/>
      <c r="G66" s="46"/>
      <c r="H66" s="46"/>
      <c r="I66" s="46"/>
      <c r="J66" s="46"/>
      <c r="K66" s="46"/>
      <c r="L66" s="46"/>
      <c r="M66" s="46"/>
      <c r="N66" s="46"/>
      <c r="O66" s="47"/>
    </row>
    <row r="67" spans="1:15">
      <c r="A67" s="48"/>
      <c r="B67" s="49"/>
      <c r="C67" s="49"/>
      <c r="D67" s="49"/>
      <c r="E67" s="49"/>
      <c r="F67" s="49"/>
      <c r="G67" s="49"/>
      <c r="H67" s="49"/>
      <c r="I67" s="49"/>
      <c r="J67" s="49"/>
      <c r="K67" s="49"/>
      <c r="L67" s="49"/>
      <c r="M67" s="49"/>
      <c r="N67" s="49"/>
    </row>
    <row r="68" spans="1:15">
      <c r="A68" s="54" t="s">
        <v>95</v>
      </c>
    </row>
    <row r="69" spans="1:15">
      <c r="A69" s="50" t="s">
        <v>96</v>
      </c>
    </row>
    <row r="70" spans="1:15">
      <c r="A70" s="50"/>
    </row>
    <row r="71" spans="1:15">
      <c r="A71" s="50"/>
      <c r="E71" s="2747"/>
      <c r="F71" s="2747"/>
    </row>
    <row r="72" spans="1:15">
      <c r="A72" s="50"/>
    </row>
    <row r="73" spans="1:15">
      <c r="A73" s="50"/>
    </row>
    <row r="74" spans="1:15">
      <c r="A74" s="50"/>
      <c r="B74" s="42" t="s">
        <v>98</v>
      </c>
      <c r="E74" s="96"/>
      <c r="F74" s="42" t="s">
        <v>399</v>
      </c>
      <c r="G74" s="172" t="str">
        <f>IF(OR(E74=""),"",'Air Flow References'!AO28)</f>
        <v/>
      </c>
    </row>
    <row r="75" spans="1:15">
      <c r="A75" s="50"/>
      <c r="B75" s="42" t="s">
        <v>398</v>
      </c>
      <c r="E75" s="167"/>
      <c r="G75" s="55"/>
    </row>
    <row r="76" spans="1:15">
      <c r="A76" s="50"/>
    </row>
    <row r="77" spans="1:15">
      <c r="A77" s="50"/>
      <c r="B77" s="42" t="s">
        <v>99</v>
      </c>
      <c r="E77" s="96"/>
      <c r="F77" s="42" t="s">
        <v>101</v>
      </c>
      <c r="G77" s="42" t="str">
        <f>IF(OR(E77=""),"",'Air Flow References'!AO29)</f>
        <v/>
      </c>
    </row>
    <row r="78" spans="1:15">
      <c r="A78" s="50"/>
    </row>
    <row r="79" spans="1:15">
      <c r="A79" s="50"/>
      <c r="B79" s="42" t="s">
        <v>100</v>
      </c>
      <c r="E79" s="96"/>
      <c r="F79" s="56" t="s">
        <v>101</v>
      </c>
      <c r="G79" s="42" t="str">
        <f>IF(OR(E79=""),"",'Air Flow References'!AO30)</f>
        <v/>
      </c>
    </row>
    <row r="80" spans="1:15">
      <c r="A80" s="50"/>
    </row>
    <row r="81" spans="1:15">
      <c r="A81" s="50"/>
    </row>
    <row r="82" spans="1:15">
      <c r="A82" s="54" t="s">
        <v>102</v>
      </c>
    </row>
    <row r="83" spans="1:15">
      <c r="A83" s="50"/>
    </row>
    <row r="84" spans="1:15">
      <c r="A84" s="50" t="s">
        <v>103</v>
      </c>
      <c r="E84" s="96"/>
      <c r="F84" s="42" t="s">
        <v>106</v>
      </c>
      <c r="G84" s="42" t="str">
        <f>IF(OR(E84=""),"",'Air Flow References'!AO31)</f>
        <v/>
      </c>
    </row>
    <row r="85" spans="1:15">
      <c r="A85" s="50"/>
    </row>
    <row r="86" spans="1:15">
      <c r="A86" s="50" t="s">
        <v>104</v>
      </c>
      <c r="E86" s="96"/>
      <c r="F86" s="56" t="s">
        <v>101</v>
      </c>
      <c r="G86" s="42" t="str">
        <f>IF(OR(E86=""),"",'Air Flow References'!AO32)</f>
        <v/>
      </c>
    </row>
    <row r="87" spans="1:15">
      <c r="A87" s="50"/>
    </row>
    <row r="88" spans="1:15">
      <c r="A88" s="50" t="s">
        <v>105</v>
      </c>
      <c r="E88" s="96"/>
      <c r="F88" s="56" t="s">
        <v>101</v>
      </c>
      <c r="G88" s="42" t="str">
        <f>IF(OR(E88=""),"",'Air Flow References'!AO33)</f>
        <v/>
      </c>
    </row>
    <row r="89" spans="1:15">
      <c r="A89" s="50"/>
    </row>
    <row r="90" spans="1:15">
      <c r="A90" s="50" t="s">
        <v>107</v>
      </c>
      <c r="E90" s="98" t="str">
        <f>IF(OR(E86="",E88=""),"",E88-E86)</f>
        <v/>
      </c>
      <c r="F90" s="56" t="s">
        <v>101</v>
      </c>
    </row>
    <row r="91" spans="1:15">
      <c r="A91" s="50"/>
    </row>
    <row r="92" spans="1:15">
      <c r="A92" s="57" t="s">
        <v>108</v>
      </c>
    </row>
    <row r="93" spans="1:15">
      <c r="A93" s="50"/>
    </row>
    <row r="94" spans="1:15">
      <c r="A94" s="45" t="s">
        <v>109</v>
      </c>
    </row>
    <row r="95" spans="1:15">
      <c r="A95" s="46" t="s">
        <v>847</v>
      </c>
      <c r="B95" s="46"/>
      <c r="C95" s="46"/>
      <c r="D95" s="46"/>
      <c r="E95" s="46"/>
      <c r="F95" s="46"/>
      <c r="G95" s="46"/>
      <c r="H95" s="46"/>
      <c r="I95" s="46"/>
      <c r="J95" s="46"/>
      <c r="K95" s="46"/>
      <c r="L95" s="46"/>
      <c r="M95" s="46"/>
      <c r="N95" s="46"/>
      <c r="O95" s="47"/>
    </row>
    <row r="96" spans="1:15">
      <c r="A96" s="48"/>
      <c r="B96" s="49"/>
      <c r="C96" s="49"/>
      <c r="D96" s="49"/>
      <c r="E96" s="49"/>
      <c r="F96" s="49"/>
      <c r="G96" s="49"/>
      <c r="H96" s="49"/>
      <c r="I96" s="49"/>
      <c r="J96" s="49"/>
      <c r="K96" s="49"/>
      <c r="L96" s="49"/>
      <c r="M96" s="49"/>
      <c r="N96" s="49"/>
    </row>
    <row r="97" spans="1:14">
      <c r="A97" s="50" t="s">
        <v>68</v>
      </c>
    </row>
    <row r="98" spans="1:14" ht="9.75" customHeight="1">
      <c r="A98" s="50"/>
    </row>
    <row r="99" spans="1:14" ht="15.75" customHeight="1">
      <c r="A99" s="50"/>
      <c r="E99" s="2734"/>
      <c r="F99" s="2734"/>
      <c r="G99" s="42" t="s">
        <v>69</v>
      </c>
    </row>
    <row r="100" spans="1:14">
      <c r="A100" s="2742" t="s">
        <v>2014</v>
      </c>
      <c r="B100" s="2624"/>
    </row>
    <row r="101" spans="1:14">
      <c r="A101" s="2742"/>
      <c r="B101" s="2624"/>
      <c r="C101" s="663"/>
      <c r="E101" s="42" t="s">
        <v>71</v>
      </c>
      <c r="F101" s="663"/>
    </row>
    <row r="102" spans="1:14">
      <c r="A102" s="50"/>
    </row>
    <row r="103" spans="1:14">
      <c r="A103" s="50"/>
    </row>
    <row r="104" spans="1:14">
      <c r="A104" s="50" t="s">
        <v>81</v>
      </c>
      <c r="E104" s="74"/>
    </row>
    <row r="105" spans="1:14">
      <c r="A105" s="50"/>
    </row>
    <row r="106" spans="1:14">
      <c r="A106" s="50"/>
    </row>
    <row r="107" spans="1:14">
      <c r="A107" s="50" t="s">
        <v>82</v>
      </c>
      <c r="E107" s="74"/>
    </row>
    <row r="108" spans="1:14">
      <c r="A108" s="50"/>
    </row>
    <row r="109" spans="1:14">
      <c r="A109" s="50"/>
    </row>
    <row r="110" spans="1:14">
      <c r="A110" s="50" t="s">
        <v>2015</v>
      </c>
      <c r="C110" s="663"/>
      <c r="D110" s="42" t="s">
        <v>84</v>
      </c>
    </row>
    <row r="111" spans="1:14">
      <c r="A111" s="50"/>
    </row>
    <row r="112" spans="1:14">
      <c r="A112" s="50" t="s">
        <v>85</v>
      </c>
      <c r="D112" s="661"/>
      <c r="E112" s="42" t="s">
        <v>86</v>
      </c>
      <c r="F112" s="42" t="s">
        <v>87</v>
      </c>
      <c r="G112" s="661"/>
      <c r="H112" s="42" t="s">
        <v>84</v>
      </c>
      <c r="I112" s="42" t="s">
        <v>88</v>
      </c>
      <c r="J112" s="661"/>
      <c r="K112" s="42" t="s">
        <v>89</v>
      </c>
      <c r="L112" s="51" t="s">
        <v>90</v>
      </c>
      <c r="M112" s="661"/>
      <c r="N112" s="42" t="s">
        <v>91</v>
      </c>
    </row>
    <row r="113" spans="1:15">
      <c r="A113" s="50"/>
      <c r="L113" s="51"/>
    </row>
    <row r="114" spans="1:15">
      <c r="A114" s="50" t="s">
        <v>183</v>
      </c>
      <c r="D114" s="661"/>
      <c r="E114" s="42" t="s">
        <v>86</v>
      </c>
      <c r="F114" s="42" t="s">
        <v>87</v>
      </c>
      <c r="G114" s="661"/>
      <c r="H114" s="42" t="s">
        <v>84</v>
      </c>
      <c r="I114" s="42" t="s">
        <v>88</v>
      </c>
      <c r="J114" s="661"/>
      <c r="K114" s="42" t="s">
        <v>89</v>
      </c>
      <c r="L114" s="51" t="s">
        <v>90</v>
      </c>
      <c r="M114" s="661"/>
      <c r="N114" s="42" t="s">
        <v>91</v>
      </c>
    </row>
    <row r="115" spans="1:15">
      <c r="A115" s="50"/>
    </row>
    <row r="116" spans="1:15">
      <c r="A116" s="52" t="s">
        <v>242</v>
      </c>
      <c r="M116" s="661"/>
      <c r="N116" s="42" t="s">
        <v>91</v>
      </c>
    </row>
    <row r="117" spans="1:15">
      <c r="A117" s="50"/>
    </row>
    <row r="118" spans="1:15">
      <c r="A118" s="2745" t="s">
        <v>92</v>
      </c>
      <c r="B118" s="2738"/>
      <c r="C118" s="2738"/>
      <c r="D118" s="2738"/>
      <c r="E118" s="2746"/>
      <c r="F118" s="2743" t="s">
        <v>93</v>
      </c>
      <c r="G118" s="2743"/>
      <c r="H118" s="2743"/>
      <c r="I118" s="2743"/>
      <c r="J118" s="2743"/>
      <c r="K118" s="2743"/>
      <c r="L118" s="53"/>
      <c r="M118" s="2754" t="str">
        <f>IF(AND(M112="",M114="",M116=""),"",M112+M114+M116)</f>
        <v/>
      </c>
      <c r="N118" s="2738" t="s">
        <v>91</v>
      </c>
    </row>
    <row r="119" spans="1:15">
      <c r="A119" s="2745"/>
      <c r="B119" s="2738"/>
      <c r="C119" s="2738"/>
      <c r="D119" s="2738"/>
      <c r="E119" s="2746"/>
      <c r="F119" s="2743"/>
      <c r="G119" s="2743"/>
      <c r="H119" s="2743"/>
      <c r="I119" s="2743"/>
      <c r="J119" s="2743"/>
      <c r="K119" s="2743"/>
      <c r="L119" s="53"/>
      <c r="M119" s="2755"/>
      <c r="N119" s="2738"/>
    </row>
    <row r="120" spans="1:15">
      <c r="A120" s="50"/>
    </row>
    <row r="121" spans="1:15"/>
    <row r="122" spans="1:15">
      <c r="A122" s="45" t="s">
        <v>94</v>
      </c>
    </row>
    <row r="123" spans="1:15"/>
    <row r="124" spans="1:15">
      <c r="A124" s="63" t="s">
        <v>223</v>
      </c>
      <c r="B124" s="67"/>
      <c r="C124" s="64" t="str">
        <f>Development!$A$4&amp;"_"&amp;Development!$A$2</f>
        <v>4.01.2024_2.0</v>
      </c>
      <c r="D124" s="2756"/>
      <c r="E124" s="2756"/>
      <c r="F124" s="2756"/>
      <c r="G124" s="2757"/>
      <c r="H124" s="2757"/>
      <c r="I124" s="2757"/>
      <c r="J124" s="49"/>
      <c r="K124" s="49"/>
      <c r="L124" s="49"/>
      <c r="M124" s="49"/>
      <c r="N124" s="66" t="s">
        <v>225</v>
      </c>
      <c r="O124" s="65" t="str">
        <f>Development!$A$4</f>
        <v>4.01.2024</v>
      </c>
    </row>
    <row r="125" spans="1:15"/>
    <row r="126" spans="1:15" hidden="1"/>
    <row r="127" spans="1:15" hidden="1"/>
    <row r="128" spans="1:15" hidden="1"/>
    <row r="129" spans="15:15" hidden="1"/>
    <row r="130" spans="15:15" hidden="1"/>
    <row r="131" spans="15:15" hidden="1"/>
    <row r="132" spans="15:15" hidden="1"/>
    <row r="133" spans="15:15" hidden="1"/>
    <row r="134" spans="15:15" hidden="1"/>
    <row r="135" spans="15:15" hidden="1"/>
    <row r="136" spans="15:15" hidden="1"/>
    <row r="137" spans="15:15" hidden="1"/>
    <row r="138" spans="15:15" hidden="1"/>
    <row r="139" spans="15:15" hidden="1"/>
    <row r="140" spans="15:15" hidden="1"/>
    <row r="141" spans="15:15" hidden="1"/>
    <row r="142" spans="15:15" hidden="1"/>
    <row r="143" spans="15:15" hidden="1"/>
    <row r="144" spans="15:15" hidden="1">
      <c r="O144" s="60"/>
    </row>
  </sheetData>
  <sheetProtection algorithmName="SHA-512" hashValue="pJO3ydoAoOuPLZAoMvozOQhGRLTBMU4kkYRMtW62+PlE7OfFrABHgnRy4oK1zB75gkrI6Sx7hmQYgrLtWV//3A==" saltValue="qx0NIWbarfe400FJBtTL4A==" spinCount="100000" sheet="1" objects="1" scenarios="1"/>
  <mergeCells count="25">
    <mergeCell ref="A1:J1"/>
    <mergeCell ref="A2:J2"/>
    <mergeCell ref="C5:D5"/>
    <mergeCell ref="H5:I5"/>
    <mergeCell ref="H7:I7"/>
    <mergeCell ref="E15:F15"/>
    <mergeCell ref="M15:N15"/>
    <mergeCell ref="A18:D18"/>
    <mergeCell ref="E18:F18"/>
    <mergeCell ref="M18:N18"/>
    <mergeCell ref="E22:F22"/>
    <mergeCell ref="A29:M29"/>
    <mergeCell ref="C30:L30"/>
    <mergeCell ref="I38:J38"/>
    <mergeCell ref="E45:F45"/>
    <mergeCell ref="E25:F25"/>
    <mergeCell ref="M118:M119"/>
    <mergeCell ref="N118:N119"/>
    <mergeCell ref="E71:F71"/>
    <mergeCell ref="D124:F124"/>
    <mergeCell ref="G124:I124"/>
    <mergeCell ref="E99:F99"/>
    <mergeCell ref="A118:E119"/>
    <mergeCell ref="F118:K119"/>
    <mergeCell ref="A100:B101"/>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8609" r:id="rId4" name="OptionButton1">
          <controlPr defaultSize="0" autoLine="0" autoPict="0" r:id="rId5">
            <anchor moveWithCells="1">
              <from>
                <xdr:col>2</xdr:col>
                <xdr:colOff>1041400</xdr:colOff>
                <xdr:row>19</xdr:row>
                <xdr:rowOff>228600</xdr:rowOff>
              </from>
              <to>
                <xdr:col>5</xdr:col>
                <xdr:colOff>717550</xdr:colOff>
                <xdr:row>20</xdr:row>
                <xdr:rowOff>146050</xdr:rowOff>
              </to>
            </anchor>
          </controlPr>
        </control>
      </mc:Choice>
      <mc:Fallback>
        <control shapeId="68609" r:id="rId4" name="OptionButton1"/>
      </mc:Fallback>
    </mc:AlternateContent>
    <mc:AlternateContent xmlns:mc="http://schemas.openxmlformats.org/markup-compatibility/2006">
      <mc:Choice Requires="x14">
        <control shapeId="68610" r:id="rId6" name="OptionButton2">
          <controlPr defaultSize="0" autoLine="0" r:id="rId7">
            <anchor moveWithCells="1">
              <from>
                <xdr:col>6</xdr:col>
                <xdr:colOff>0</xdr:colOff>
                <xdr:row>19</xdr:row>
                <xdr:rowOff>222250</xdr:rowOff>
              </from>
              <to>
                <xdr:col>10</xdr:col>
                <xdr:colOff>266700</xdr:colOff>
                <xdr:row>20</xdr:row>
                <xdr:rowOff>215900</xdr:rowOff>
              </to>
            </anchor>
          </controlPr>
        </control>
      </mc:Choice>
      <mc:Fallback>
        <control shapeId="68610" r:id="rId6" name="OptionButton2"/>
      </mc:Fallback>
    </mc:AlternateContent>
    <mc:AlternateContent xmlns:mc="http://schemas.openxmlformats.org/markup-compatibility/2006">
      <mc:Choice Requires="x14">
        <control shapeId="68626" r:id="rId8" name="OptionButton7">
          <controlPr defaultSize="0" autoLine="0" r:id="rId9">
            <anchor moveWithCells="1">
              <from>
                <xdr:col>1</xdr:col>
                <xdr:colOff>107950</xdr:colOff>
                <xdr:row>70</xdr:row>
                <xdr:rowOff>0</xdr:rowOff>
              </from>
              <to>
                <xdr:col>2</xdr:col>
                <xdr:colOff>95250</xdr:colOff>
                <xdr:row>71</xdr:row>
                <xdr:rowOff>69850</xdr:rowOff>
              </to>
            </anchor>
          </controlPr>
        </control>
      </mc:Choice>
      <mc:Fallback>
        <control shapeId="68626" r:id="rId8" name="OptionButton7"/>
      </mc:Fallback>
    </mc:AlternateContent>
    <mc:AlternateContent xmlns:mc="http://schemas.openxmlformats.org/markup-compatibility/2006">
      <mc:Choice Requires="x14">
        <control shapeId="68635" r:id="rId10" name="OptionButton10">
          <controlPr defaultSize="0" autoLine="0" r:id="rId11">
            <anchor moveWithCells="1">
              <from>
                <xdr:col>1</xdr:col>
                <xdr:colOff>107950</xdr:colOff>
                <xdr:row>44</xdr:row>
                <xdr:rowOff>0</xdr:rowOff>
              </from>
              <to>
                <xdr:col>2</xdr:col>
                <xdr:colOff>101600</xdr:colOff>
                <xdr:row>45</xdr:row>
                <xdr:rowOff>69850</xdr:rowOff>
              </to>
            </anchor>
          </controlPr>
        </control>
      </mc:Choice>
      <mc:Fallback>
        <control shapeId="68635" r:id="rId10" name="OptionButton10"/>
      </mc:Fallback>
    </mc:AlternateContent>
    <mc:AlternateContent xmlns:mc="http://schemas.openxmlformats.org/markup-compatibility/2006">
      <mc:Choice Requires="x14">
        <control shapeId="68648" r:id="rId12" name="CommandButton1">
          <controlPr defaultSize="0" autoLine="0" r:id="rId13">
            <anchor moveWithCells="1">
              <from>
                <xdr:col>11</xdr:col>
                <xdr:colOff>336550</xdr:colOff>
                <xdr:row>119</xdr:row>
                <xdr:rowOff>114300</xdr:rowOff>
              </from>
              <to>
                <xdr:col>14</xdr:col>
                <xdr:colOff>533400</xdr:colOff>
                <xdr:row>122</xdr:row>
                <xdr:rowOff>101600</xdr:rowOff>
              </to>
            </anchor>
          </controlPr>
        </control>
      </mc:Choice>
      <mc:Fallback>
        <control shapeId="68648" r:id="rId12" name="CommandButton1"/>
      </mc:Fallback>
    </mc:AlternateContent>
    <mc:AlternateContent xmlns:mc="http://schemas.openxmlformats.org/markup-compatibility/2006">
      <mc:Choice Requires="x14">
        <control shapeId="68611" r:id="rId14" name="Group Box 3">
          <controlPr defaultSize="0" autoFill="0" autoPict="0">
            <anchor moveWithCells="1">
              <from>
                <xdr:col>0</xdr:col>
                <xdr:colOff>12700</xdr:colOff>
                <xdr:row>19</xdr:row>
                <xdr:rowOff>57150</xdr:rowOff>
              </from>
              <to>
                <xdr:col>6</xdr:col>
                <xdr:colOff>431800</xdr:colOff>
                <xdr:row>20</xdr:row>
                <xdr:rowOff>336550</xdr:rowOff>
              </to>
            </anchor>
          </controlPr>
        </control>
      </mc:Choice>
    </mc:AlternateContent>
    <mc:AlternateContent xmlns:mc="http://schemas.openxmlformats.org/markup-compatibility/2006">
      <mc:Choice Requires="x14">
        <control shapeId="68612" r:id="rId15" name="Check Box 4">
          <controlPr defaultSize="0" autoFill="0" autoLine="0" autoPict="0">
            <anchor moveWithCells="1">
              <from>
                <xdr:col>7</xdr:col>
                <xdr:colOff>533400</xdr:colOff>
                <xdr:row>21</xdr:row>
                <xdr:rowOff>127000</xdr:rowOff>
              </from>
              <to>
                <xdr:col>9</xdr:col>
                <xdr:colOff>50800</xdr:colOff>
                <xdr:row>21</xdr:row>
                <xdr:rowOff>438150</xdr:rowOff>
              </to>
            </anchor>
          </controlPr>
        </control>
      </mc:Choice>
    </mc:AlternateContent>
    <mc:AlternateContent xmlns:mc="http://schemas.openxmlformats.org/markup-compatibility/2006">
      <mc:Choice Requires="x14">
        <control shapeId="68613" r:id="rId16" name="Check Box 5">
          <controlPr defaultSize="0" autoFill="0" autoLine="0" autoPict="0">
            <anchor moveWithCells="1">
              <from>
                <xdr:col>9</xdr:col>
                <xdr:colOff>419100</xdr:colOff>
                <xdr:row>21</xdr:row>
                <xdr:rowOff>127000</xdr:rowOff>
              </from>
              <to>
                <xdr:col>10</xdr:col>
                <xdr:colOff>990600</xdr:colOff>
                <xdr:row>21</xdr:row>
                <xdr:rowOff>457200</xdr:rowOff>
              </to>
            </anchor>
          </controlPr>
        </control>
      </mc:Choice>
    </mc:AlternateContent>
    <mc:AlternateContent xmlns:mc="http://schemas.openxmlformats.org/markup-compatibility/2006">
      <mc:Choice Requires="x14">
        <control shapeId="68617" r:id="rId17" name="Group Box 9">
          <controlPr defaultSize="0" autoFill="0" autoPict="0">
            <anchor moveWithCells="1">
              <from>
                <xdr:col>0</xdr:col>
                <xdr:colOff>50800</xdr:colOff>
                <xdr:row>65</xdr:row>
                <xdr:rowOff>0</xdr:rowOff>
              </from>
              <to>
                <xdr:col>3</xdr:col>
                <xdr:colOff>1384300</xdr:colOff>
                <xdr:row>69</xdr:row>
                <xdr:rowOff>95250</xdr:rowOff>
              </to>
            </anchor>
          </controlPr>
        </control>
      </mc:Choice>
    </mc:AlternateContent>
    <mc:AlternateContent xmlns:mc="http://schemas.openxmlformats.org/markup-compatibility/2006">
      <mc:Choice Requires="x14">
        <control shapeId="68618" r:id="rId18"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8619" r:id="rId19"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8620" r:id="rId20"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68621" r:id="rId21" name="Group Box 13">
          <controlPr defaultSize="0" autoFill="0" autoPict="0">
            <anchor moveWithCells="1">
              <from>
                <xdr:col>0</xdr:col>
                <xdr:colOff>374650</xdr:colOff>
                <xdr:row>65</xdr:row>
                <xdr:rowOff>0</xdr:rowOff>
              </from>
              <to>
                <xdr:col>3</xdr:col>
                <xdr:colOff>1384300</xdr:colOff>
                <xdr:row>68</xdr:row>
                <xdr:rowOff>95250</xdr:rowOff>
              </to>
            </anchor>
          </controlPr>
        </control>
      </mc:Choice>
    </mc:AlternateContent>
    <mc:AlternateContent xmlns:mc="http://schemas.openxmlformats.org/markup-compatibility/2006">
      <mc:Choice Requires="x14">
        <control shapeId="68622" r:id="rId22"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8623" r:id="rId23"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8624" r:id="rId24"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68628" r:id="rId25" name="Group Box 20">
          <controlPr defaultSize="0" autoFill="0" autoPict="0">
            <anchor moveWithCells="1">
              <from>
                <xdr:col>0</xdr:col>
                <xdr:colOff>317500</xdr:colOff>
                <xdr:row>68</xdr:row>
                <xdr:rowOff>209550</xdr:rowOff>
              </from>
              <to>
                <xdr:col>3</xdr:col>
                <xdr:colOff>1384300</xdr:colOff>
                <xdr:row>72</xdr:row>
                <xdr:rowOff>12700</xdr:rowOff>
              </to>
            </anchor>
          </controlPr>
        </control>
      </mc:Choice>
    </mc:AlternateContent>
    <mc:AlternateContent xmlns:mc="http://schemas.openxmlformats.org/markup-compatibility/2006">
      <mc:Choice Requires="x14">
        <control shapeId="68629" r:id="rId26"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68630" r:id="rId27" name="Option Button 22">
          <controlPr defaultSize="0" autoFill="0" autoLine="0" autoPict="0">
            <anchor moveWithCells="1">
              <from>
                <xdr:col>2</xdr:col>
                <xdr:colOff>831850</xdr:colOff>
                <xdr:row>37</xdr:row>
                <xdr:rowOff>69850</xdr:rowOff>
              </from>
              <to>
                <xdr:col>3</xdr:col>
                <xdr:colOff>1060450</xdr:colOff>
                <xdr:row>38</xdr:row>
                <xdr:rowOff>69850</xdr:rowOff>
              </to>
            </anchor>
          </controlPr>
        </control>
      </mc:Choice>
    </mc:AlternateContent>
    <mc:AlternateContent xmlns:mc="http://schemas.openxmlformats.org/markup-compatibility/2006">
      <mc:Choice Requires="x14">
        <control shapeId="68631" r:id="rId28" name="Option Button 23">
          <controlPr defaultSize="0" autoFill="0" autoLine="0" autoPict="0">
            <anchor moveWithCells="1">
              <from>
                <xdr:col>4</xdr:col>
                <xdr:colOff>95250</xdr:colOff>
                <xdr:row>37</xdr:row>
                <xdr:rowOff>69850</xdr:rowOff>
              </from>
              <to>
                <xdr:col>5</xdr:col>
                <xdr:colOff>476250</xdr:colOff>
                <xdr:row>38</xdr:row>
                <xdr:rowOff>69850</xdr:rowOff>
              </to>
            </anchor>
          </controlPr>
        </control>
      </mc:Choice>
    </mc:AlternateContent>
    <mc:AlternateContent xmlns:mc="http://schemas.openxmlformats.org/markup-compatibility/2006">
      <mc:Choice Requires="x14">
        <control shapeId="68633" r:id="rId29"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68637" r:id="rId30" name="Group Box 29">
          <controlPr defaultSize="0" autoFill="0" autoPict="0">
            <anchor moveWithCells="1">
              <from>
                <xdr:col>0</xdr:col>
                <xdr:colOff>571500</xdr:colOff>
                <xdr:row>42</xdr:row>
                <xdr:rowOff>209550</xdr:rowOff>
              </from>
              <to>
                <xdr:col>3</xdr:col>
                <xdr:colOff>1384300</xdr:colOff>
                <xdr:row>46</xdr:row>
                <xdr:rowOff>12700</xdr:rowOff>
              </to>
            </anchor>
          </controlPr>
        </control>
      </mc:Choice>
    </mc:AlternateContent>
    <mc:AlternateContent xmlns:mc="http://schemas.openxmlformats.org/markup-compatibility/2006">
      <mc:Choice Requires="x14">
        <control shapeId="68710" r:id="rId31" name="Check Box 102">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68712" r:id="rId32" name="Check Box 104">
          <controlPr defaultSize="0" autoFill="0" autoLine="0" autoPict="0">
            <anchor moveWithCells="1">
              <from>
                <xdr:col>1</xdr:col>
                <xdr:colOff>0</xdr:colOff>
                <xdr:row>9</xdr:row>
                <xdr:rowOff>114300</xdr:rowOff>
              </from>
              <to>
                <xdr:col>1</xdr:col>
                <xdr:colOff>450850</xdr:colOff>
                <xdr:row>9</xdr:row>
                <xdr:rowOff>381000</xdr:rowOff>
              </to>
            </anchor>
          </controlPr>
        </control>
      </mc:Choice>
    </mc:AlternateContent>
    <mc:AlternateContent xmlns:mc="http://schemas.openxmlformats.org/markup-compatibility/2006">
      <mc:Choice Requires="x14">
        <control shapeId="68713" r:id="rId33" name="Check Box 105">
          <controlPr defaultSize="0" autoFill="0" autoLine="0" autoPict="0">
            <anchor moveWithCells="1">
              <from>
                <xdr:col>3</xdr:col>
                <xdr:colOff>1009650</xdr:colOff>
                <xdr:row>9</xdr:row>
                <xdr:rowOff>95250</xdr:rowOff>
              </from>
              <to>
                <xdr:col>4</xdr:col>
                <xdr:colOff>336550</xdr:colOff>
                <xdr:row>10</xdr:row>
                <xdr:rowOff>0</xdr:rowOff>
              </to>
            </anchor>
          </controlPr>
        </control>
      </mc:Choice>
    </mc:AlternateContent>
    <mc:AlternateContent xmlns:mc="http://schemas.openxmlformats.org/markup-compatibility/2006">
      <mc:Choice Requires="x14">
        <control shapeId="68714" r:id="rId34" name="Check Box 106">
          <controlPr defaultSize="0" autoFill="0" autoLine="0" autoPict="0">
            <anchor moveWithCells="1">
              <from>
                <xdr:col>3</xdr:col>
                <xdr:colOff>88900</xdr:colOff>
                <xdr:row>9</xdr:row>
                <xdr:rowOff>114300</xdr:rowOff>
              </from>
              <to>
                <xdr:col>3</xdr:col>
                <xdr:colOff>1028700</xdr:colOff>
                <xdr:row>9</xdr:row>
                <xdr:rowOff>381000</xdr:rowOff>
              </to>
            </anchor>
          </controlPr>
        </control>
      </mc:Choice>
    </mc:AlternateContent>
    <mc:AlternateContent xmlns:mc="http://schemas.openxmlformats.org/markup-compatibility/2006">
      <mc:Choice Requires="x14">
        <control shapeId="68715" r:id="rId35" name="Group Box 107">
          <controlPr defaultSize="0" autoFill="0" autoPict="0">
            <anchor moveWithCells="1">
              <from>
                <xdr:col>0</xdr:col>
                <xdr:colOff>50800</xdr:colOff>
                <xdr:row>96</xdr:row>
                <xdr:rowOff>0</xdr:rowOff>
              </from>
              <to>
                <xdr:col>3</xdr:col>
                <xdr:colOff>1384300</xdr:colOff>
                <xdr:row>100</xdr:row>
                <xdr:rowOff>146050</xdr:rowOff>
              </to>
            </anchor>
          </controlPr>
        </control>
      </mc:Choice>
    </mc:AlternateContent>
    <mc:AlternateContent xmlns:mc="http://schemas.openxmlformats.org/markup-compatibility/2006">
      <mc:Choice Requires="x14">
        <control shapeId="68716" r:id="rId36" name="Option Button 108">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68717" r:id="rId37" name="Option Button 109">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68718" r:id="rId38" name="Group Box 110">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68719" r:id="rId39" name="Group Box 111">
          <controlPr defaultSize="0" autoFill="0" autoPict="0">
            <anchor moveWithCells="1">
              <from>
                <xdr:col>0</xdr:col>
                <xdr:colOff>374650</xdr:colOff>
                <xdr:row>96</xdr:row>
                <xdr:rowOff>76200</xdr:rowOff>
              </from>
              <to>
                <xdr:col>3</xdr:col>
                <xdr:colOff>1384300</xdr:colOff>
                <xdr:row>100</xdr:row>
                <xdr:rowOff>38100</xdr:rowOff>
              </to>
            </anchor>
          </controlPr>
        </control>
      </mc:Choice>
    </mc:AlternateContent>
    <mc:AlternateContent xmlns:mc="http://schemas.openxmlformats.org/markup-compatibility/2006">
      <mc:Choice Requires="x14">
        <control shapeId="68720" r:id="rId40" name="Option Button 112">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68721" r:id="rId41" name="Option Button 113">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68722" r:id="rId42" name="Group Box 114">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0"/>
  <dimension ref="A1:O136"/>
  <sheetViews>
    <sheetView showGridLines="0" zoomScale="90" zoomScaleNormal="90" workbookViewId="0">
      <selection activeCell="B6" sqref="B6"/>
    </sheetView>
  </sheetViews>
  <sheetFormatPr defaultColWidth="0" defaultRowHeight="14.5" customHeight="1" zeroHeight="1"/>
  <cols>
    <col min="1" max="1" width="15" style="42" customWidth="1"/>
    <col min="2" max="2" width="9.54296875" style="42" customWidth="1"/>
    <col min="3" max="3" width="11.54296875" style="42" customWidth="1"/>
    <col min="4" max="4" width="22.81640625" style="42" customWidth="1"/>
    <col min="5" max="5" width="10.54296875" style="42" customWidth="1"/>
    <col min="6" max="6" width="12" style="42" customWidth="1"/>
    <col min="7" max="7" width="11.54296875" style="42" customWidth="1"/>
    <col min="8" max="10" width="10.54296875" style="42" customWidth="1"/>
    <col min="11" max="11" width="19.54296875" style="42" customWidth="1"/>
    <col min="12" max="13" width="10.54296875" style="42" customWidth="1"/>
    <col min="14" max="14" width="9.1796875" style="42" customWidth="1"/>
    <col min="15" max="15" width="16.81640625" style="42" customWidth="1"/>
    <col min="16" max="16384" width="16.81640625" style="42" hidden="1"/>
  </cols>
  <sheetData>
    <row r="1" spans="1:15" ht="55" customHeight="1">
      <c r="A1" s="2470" t="str">
        <f>Development!$A$3&amp;" Residential Efficiency Program"</f>
        <v>2024 Residential Efficiency Program</v>
      </c>
      <c r="B1" s="2470"/>
      <c r="C1" s="2470"/>
      <c r="D1" s="2470"/>
      <c r="E1" s="2470"/>
      <c r="F1" s="2470"/>
      <c r="G1" s="2470"/>
      <c r="H1" s="2470"/>
      <c r="I1" s="2470"/>
      <c r="J1" s="2470"/>
      <c r="K1" s="6"/>
      <c r="L1" s="6"/>
      <c r="M1" s="6"/>
      <c r="N1" s="6"/>
      <c r="O1" s="6"/>
    </row>
    <row r="2" spans="1:15" ht="55" customHeight="1">
      <c r="A2" s="2750" t="s">
        <v>132</v>
      </c>
      <c r="B2" s="2750"/>
      <c r="C2" s="2750"/>
      <c r="D2" s="2750"/>
      <c r="E2" s="2750"/>
      <c r="F2" s="2750"/>
      <c r="G2" s="2750"/>
      <c r="H2" s="2750"/>
      <c r="I2" s="2750"/>
      <c r="J2" s="2750"/>
      <c r="K2" s="7"/>
      <c r="L2" s="7"/>
      <c r="M2" s="7"/>
      <c r="N2" s="7"/>
      <c r="O2" s="7"/>
    </row>
    <row r="3" spans="1:15" ht="31" thickBot="1">
      <c r="A3" s="24" t="s">
        <v>134</v>
      </c>
      <c r="B3" s="24"/>
      <c r="C3" s="24"/>
      <c r="D3" s="24"/>
      <c r="E3" s="24"/>
      <c r="F3" s="24"/>
      <c r="G3" s="24"/>
      <c r="H3" s="24"/>
      <c r="I3" s="24"/>
      <c r="J3" s="24"/>
      <c r="K3" s="24"/>
      <c r="L3" s="24"/>
      <c r="M3" s="24"/>
      <c r="N3" s="24"/>
      <c r="O3" s="7"/>
    </row>
    <row r="4" spans="1:15" ht="18.75" customHeight="1">
      <c r="A4" s="25"/>
      <c r="B4" s="25"/>
      <c r="C4" s="25"/>
      <c r="D4" s="25"/>
      <c r="E4" s="25"/>
      <c r="F4" s="25"/>
      <c r="G4" s="25"/>
      <c r="H4" s="25"/>
      <c r="I4" s="25"/>
      <c r="J4" s="25"/>
      <c r="K4" s="25"/>
      <c r="L4" s="25"/>
      <c r="M4" s="25"/>
      <c r="N4" s="25"/>
      <c r="O4" s="7"/>
    </row>
    <row r="5" spans="1:15" ht="18" customHeight="1">
      <c r="A5" s="18" t="s">
        <v>136</v>
      </c>
      <c r="B5" s="97">
        <f>'In Unit HVAC Worksheet'!B91</f>
        <v>10</v>
      </c>
      <c r="C5" s="2767"/>
      <c r="D5" s="2767"/>
      <c r="E5" s="18"/>
      <c r="F5" s="18"/>
      <c r="G5" s="18" t="s">
        <v>80</v>
      </c>
      <c r="H5" s="2766" t="str">
        <f>IF('In Unit HVAC Worksheet'!C91="","",'In Unit HVAC Worksheet'!C91)</f>
        <v/>
      </c>
      <c r="I5" s="2766"/>
      <c r="J5" s="14"/>
      <c r="K5" s="7"/>
      <c r="L5" s="7"/>
      <c r="M5" s="7"/>
      <c r="N5" s="7"/>
      <c r="O5" s="7"/>
    </row>
    <row r="6" spans="1:15" ht="18" customHeight="1">
      <c r="A6" s="18"/>
      <c r="B6" s="18"/>
      <c r="C6" s="18"/>
      <c r="D6" s="18"/>
      <c r="E6" s="18"/>
      <c r="F6" s="18"/>
      <c r="G6" s="18"/>
      <c r="H6" s="18"/>
      <c r="I6" s="14"/>
      <c r="J6" s="14"/>
      <c r="K6" s="7"/>
      <c r="L6" s="7"/>
      <c r="M6" s="7"/>
      <c r="N6" s="7"/>
      <c r="O6" s="7"/>
    </row>
    <row r="7" spans="1:15" ht="18" customHeight="1">
      <c r="B7" s="18"/>
      <c r="D7" s="18"/>
      <c r="E7" s="18"/>
      <c r="F7" s="18"/>
      <c r="G7" s="18" t="s">
        <v>135</v>
      </c>
      <c r="H7" s="2766" t="str">
        <f>IF('In Unit HVAC Worksheet'!E91="","",'In Unit HVAC Worksheet'!E91)</f>
        <v/>
      </c>
      <c r="I7" s="2766"/>
      <c r="J7" s="14"/>
      <c r="K7" s="7"/>
      <c r="L7" s="7"/>
      <c r="M7" s="7"/>
      <c r="N7" s="7"/>
      <c r="O7" s="7"/>
    </row>
    <row r="8" spans="1:15" ht="23">
      <c r="A8" s="20" t="s">
        <v>133</v>
      </c>
      <c r="B8" s="19"/>
      <c r="C8" s="19"/>
      <c r="D8" s="19"/>
      <c r="E8" s="19"/>
      <c r="F8" s="19"/>
      <c r="G8" s="19"/>
      <c r="H8" s="19"/>
      <c r="I8" s="19"/>
      <c r="J8" s="19"/>
      <c r="K8" s="19"/>
      <c r="L8" s="19"/>
      <c r="M8" s="11"/>
      <c r="N8" s="19"/>
      <c r="O8" s="19"/>
    </row>
    <row r="9" spans="1:15" ht="30.5">
      <c r="A9" s="14"/>
      <c r="B9" s="70" t="s">
        <v>30</v>
      </c>
      <c r="C9" s="71"/>
      <c r="D9" s="70" t="s">
        <v>31</v>
      </c>
      <c r="E9" s="72"/>
      <c r="F9" s="14"/>
      <c r="G9" s="14"/>
      <c r="H9" s="14"/>
      <c r="I9" s="14"/>
      <c r="J9" s="14"/>
      <c r="K9" s="7"/>
      <c r="L9" s="7"/>
      <c r="M9" s="7"/>
      <c r="N9" s="7"/>
      <c r="O9" s="7"/>
    </row>
    <row r="10" spans="1:15" ht="24" customHeight="1">
      <c r="A10" s="7"/>
      <c r="B10" s="22"/>
      <c r="C10" s="22"/>
      <c r="D10" s="22"/>
      <c r="E10" s="22"/>
      <c r="G10" s="16"/>
      <c r="H10" s="16"/>
      <c r="J10" s="7"/>
      <c r="K10" s="7"/>
      <c r="L10" s="7"/>
      <c r="M10" s="7"/>
      <c r="N10" s="7"/>
      <c r="O10" s="7"/>
    </row>
    <row r="11" spans="1:15" ht="23.5" thickBot="1">
      <c r="A11" s="17" t="s">
        <v>67</v>
      </c>
      <c r="B11" s="17"/>
      <c r="C11" s="17"/>
      <c r="D11" s="17"/>
      <c r="E11" s="17"/>
      <c r="F11" s="17"/>
      <c r="G11" s="17"/>
      <c r="H11" s="17"/>
      <c r="I11" s="17"/>
      <c r="J11" s="17"/>
      <c r="K11" s="17"/>
      <c r="L11" s="17"/>
      <c r="M11" s="17"/>
      <c r="N11" s="17"/>
      <c r="O11" s="19"/>
    </row>
    <row r="12" spans="1:15" ht="6.75" customHeight="1">
      <c r="A12" s="4"/>
      <c r="B12" s="5"/>
      <c r="C12" s="5"/>
      <c r="D12" s="5"/>
      <c r="E12" s="5"/>
      <c r="F12" s="5"/>
      <c r="G12" s="5"/>
      <c r="H12" s="5"/>
      <c r="I12" s="5"/>
      <c r="J12" s="5"/>
      <c r="K12" s="5"/>
      <c r="L12" s="5"/>
      <c r="M12" s="5"/>
      <c r="N12" s="5"/>
      <c r="O12" s="5"/>
    </row>
    <row r="13" spans="1:15" ht="27.75" customHeight="1">
      <c r="A13" s="139" t="s">
        <v>443</v>
      </c>
      <c r="B13" s="5"/>
      <c r="C13" s="5"/>
      <c r="D13" s="5"/>
      <c r="E13" s="5"/>
      <c r="F13" s="5"/>
      <c r="G13" s="5"/>
      <c r="H13" s="5"/>
      <c r="I13" s="5"/>
      <c r="J13" s="5"/>
      <c r="K13" s="5"/>
      <c r="L13" s="5"/>
      <c r="M13" s="5"/>
      <c r="N13" s="5"/>
      <c r="O13" s="5"/>
    </row>
    <row r="14" spans="1:15" ht="27.75" customHeight="1">
      <c r="A14" s="139"/>
      <c r="B14" s="5"/>
      <c r="C14" s="5"/>
      <c r="D14" s="5"/>
      <c r="E14" s="5"/>
      <c r="F14" s="5"/>
      <c r="G14" s="5"/>
      <c r="H14" s="5"/>
      <c r="I14" s="5"/>
      <c r="J14" s="5"/>
      <c r="K14" s="5"/>
      <c r="L14" s="5"/>
      <c r="M14" s="5"/>
      <c r="N14" s="5"/>
      <c r="O14" s="5"/>
    </row>
    <row r="15" spans="1:15" ht="33.65" customHeight="1">
      <c r="A15" s="42" t="s">
        <v>525</v>
      </c>
      <c r="E15" s="2734"/>
      <c r="F15" s="2734"/>
      <c r="G15" s="42" t="str">
        <f>IF(OR(E15=""),"",'Air Flow References'!AT4)</f>
        <v/>
      </c>
      <c r="L15" s="43" t="s">
        <v>526</v>
      </c>
      <c r="M15" s="2731"/>
      <c r="N15" s="2731"/>
      <c r="O15" s="42" t="str">
        <f>IF(OR(M15=""),"",'Air Flow References'!AT6)</f>
        <v/>
      </c>
    </row>
    <row r="16" spans="1:15" ht="33.65" customHeight="1"/>
    <row r="17" spans="1:15" ht="33.65" customHeight="1">
      <c r="A17" s="138" t="s">
        <v>543</v>
      </c>
    </row>
    <row r="18" spans="1:15" ht="33.65" customHeight="1">
      <c r="A18" s="2318" t="s">
        <v>527</v>
      </c>
      <c r="B18" s="2318"/>
      <c r="C18" s="2318"/>
      <c r="D18" s="2318"/>
      <c r="E18" s="2736"/>
      <c r="F18" s="2736"/>
      <c r="G18" s="42" t="str">
        <f>IF(OR(E18=""),"",'Air Flow References'!AT5)</f>
        <v/>
      </c>
      <c r="H18" s="45"/>
      <c r="I18" s="45" t="s">
        <v>397</v>
      </c>
      <c r="L18" s="43" t="s">
        <v>528</v>
      </c>
      <c r="M18" s="2734"/>
      <c r="N18" s="2734"/>
      <c r="O18" s="42" t="str">
        <f>IF(OR(M18=""),"",'Air Flow References'!AT7)</f>
        <v/>
      </c>
    </row>
    <row r="19" spans="1:15" ht="33.65" customHeight="1"/>
    <row r="20" spans="1:15" ht="33.65" customHeight="1">
      <c r="A20" s="42" t="s">
        <v>531</v>
      </c>
    </row>
    <row r="21" spans="1:15" ht="33.65" customHeight="1"/>
    <row r="22" spans="1:15" ht="33.65" customHeight="1">
      <c r="A22" s="42" t="s">
        <v>532</v>
      </c>
      <c r="E22" s="2731"/>
      <c r="F22" s="2731"/>
      <c r="G22" s="42" t="str">
        <f>IF(OR(E22=""),"",'Air Flow References'!AT9)</f>
        <v/>
      </c>
      <c r="H22" s="73"/>
      <c r="I22" s="73"/>
      <c r="J22" s="73"/>
      <c r="K22" s="73"/>
    </row>
    <row r="23" spans="1:15" ht="33.65" customHeight="1">
      <c r="A23" s="162" t="s">
        <v>545</v>
      </c>
      <c r="E23" s="164"/>
      <c r="F23" s="164"/>
    </row>
    <row r="24" spans="1:15" ht="33.65" customHeight="1">
      <c r="E24" s="164"/>
      <c r="F24" s="164"/>
    </row>
    <row r="25" spans="1:15" ht="33.65" customHeight="1">
      <c r="A25" s="42" t="s">
        <v>533</v>
      </c>
      <c r="E25" s="2731"/>
      <c r="F25" s="2731"/>
      <c r="G25" s="42" t="str">
        <f>IF(OR(E25=""),"",'Air Flow References'!AT8)</f>
        <v/>
      </c>
    </row>
    <row r="26" spans="1:15" ht="33.65" customHeight="1">
      <c r="A26" s="162" t="s">
        <v>546</v>
      </c>
      <c r="E26" s="164"/>
      <c r="F26" s="164"/>
    </row>
    <row r="27" spans="1:15" ht="33.65" customHeight="1">
      <c r="E27" s="164"/>
      <c r="F27" s="164"/>
    </row>
    <row r="28" spans="1:15" ht="33.65" customHeight="1"/>
    <row r="29" spans="1:15">
      <c r="A29" s="2318" t="s">
        <v>62</v>
      </c>
      <c r="B29" s="2318"/>
      <c r="C29" s="2318"/>
      <c r="D29" s="2318"/>
      <c r="E29" s="2318"/>
      <c r="F29" s="2318"/>
      <c r="G29" s="2318"/>
      <c r="H29" s="2318"/>
      <c r="I29" s="2318"/>
      <c r="J29" s="2318"/>
      <c r="K29" s="2318"/>
      <c r="L29" s="2318"/>
      <c r="M29" s="2318"/>
    </row>
    <row r="30" spans="1:15" ht="33.65" customHeight="1">
      <c r="A30" s="42" t="s">
        <v>63</v>
      </c>
      <c r="C30" s="2733"/>
      <c r="D30" s="2733"/>
      <c r="E30" s="2733"/>
      <c r="F30" s="2733"/>
      <c r="G30" s="2733"/>
      <c r="H30" s="2733"/>
      <c r="I30" s="2733"/>
      <c r="J30" s="2733"/>
      <c r="K30" s="2733"/>
      <c r="L30" s="2733"/>
    </row>
    <row r="31" spans="1:15"/>
    <row r="32" spans="1:15">
      <c r="A32" s="45" t="s">
        <v>66</v>
      </c>
    </row>
    <row r="33" spans="1:15">
      <c r="A33" s="42" t="s">
        <v>65</v>
      </c>
    </row>
    <row r="34" spans="1:15">
      <c r="A34" s="42" t="s">
        <v>64</v>
      </c>
    </row>
    <row r="35" spans="1:15"/>
    <row r="36" spans="1:15" ht="23.5" thickBot="1">
      <c r="A36" s="17" t="s">
        <v>236</v>
      </c>
      <c r="B36" s="17"/>
      <c r="C36" s="17"/>
      <c r="D36" s="17"/>
      <c r="E36" s="17"/>
      <c r="F36" s="17"/>
      <c r="G36" s="17"/>
      <c r="H36" s="17"/>
      <c r="I36" s="17"/>
      <c r="J36" s="17"/>
      <c r="K36" s="17"/>
      <c r="L36" s="17"/>
      <c r="M36" s="17"/>
      <c r="N36" s="17"/>
      <c r="O36" s="19"/>
    </row>
    <row r="37" spans="1:15" ht="23">
      <c r="A37" s="4"/>
      <c r="B37" s="4"/>
      <c r="C37" s="4"/>
      <c r="D37" s="4"/>
      <c r="E37" s="4"/>
      <c r="F37" s="4"/>
      <c r="G37" s="4"/>
      <c r="H37" s="4"/>
      <c r="I37" s="4"/>
      <c r="J37" s="4"/>
      <c r="K37" s="4"/>
      <c r="L37" s="4"/>
      <c r="M37" s="4"/>
      <c r="N37" s="4"/>
      <c r="O37" s="4"/>
    </row>
    <row r="38" spans="1:15" ht="23">
      <c r="A38" s="3" t="s">
        <v>97</v>
      </c>
      <c r="B38" s="4"/>
      <c r="C38" s="4"/>
      <c r="D38" s="4"/>
      <c r="E38" s="4"/>
      <c r="F38" s="4"/>
      <c r="G38" s="4"/>
      <c r="H38" s="4"/>
      <c r="I38" s="2749"/>
      <c r="J38" s="2749"/>
      <c r="K38" s="4"/>
      <c r="L38" s="4"/>
      <c r="M38" s="4"/>
    </row>
    <row r="39" spans="1:15" ht="23">
      <c r="A39" s="4"/>
      <c r="B39" s="4"/>
      <c r="C39" s="4"/>
      <c r="D39" s="4"/>
      <c r="E39" s="4"/>
      <c r="F39" s="4"/>
      <c r="G39" s="4"/>
      <c r="H39" s="4"/>
      <c r="I39" s="4"/>
      <c r="J39" s="4"/>
      <c r="K39" s="4"/>
      <c r="L39" s="4"/>
      <c r="M39" s="4"/>
      <c r="N39" s="4"/>
      <c r="O39" s="4"/>
    </row>
    <row r="40" spans="1:15">
      <c r="A40" s="46" t="s">
        <v>221</v>
      </c>
      <c r="B40" s="46"/>
      <c r="C40" s="46"/>
      <c r="D40" s="46"/>
      <c r="E40" s="46"/>
      <c r="F40" s="46"/>
      <c r="G40" s="46"/>
      <c r="H40" s="46"/>
      <c r="I40" s="46"/>
      <c r="J40" s="46"/>
      <c r="K40" s="46"/>
      <c r="L40" s="46"/>
      <c r="M40" s="46"/>
      <c r="N40" s="46"/>
    </row>
    <row r="41" spans="1:15">
      <c r="A41" s="48"/>
      <c r="B41" s="49"/>
      <c r="C41" s="49"/>
      <c r="D41" s="49"/>
      <c r="E41" s="49"/>
      <c r="F41" s="49"/>
      <c r="G41" s="49"/>
      <c r="H41" s="49"/>
      <c r="I41" s="49"/>
      <c r="J41" s="49"/>
      <c r="K41" s="49"/>
      <c r="L41" s="49"/>
      <c r="M41" s="49"/>
      <c r="N41" s="49"/>
    </row>
    <row r="42" spans="1:15">
      <c r="A42" s="54" t="s">
        <v>95</v>
      </c>
    </row>
    <row r="43" spans="1:15">
      <c r="A43" s="50" t="s">
        <v>96</v>
      </c>
    </row>
    <row r="44" spans="1:15">
      <c r="A44" s="50"/>
    </row>
    <row r="45" spans="1:15">
      <c r="A45" s="50"/>
      <c r="E45" s="2747"/>
      <c r="F45" s="2747"/>
    </row>
    <row r="46" spans="1:15">
      <c r="A46" s="50"/>
    </row>
    <row r="47" spans="1:15">
      <c r="A47" s="50"/>
    </row>
    <row r="48" spans="1:15">
      <c r="A48" s="50"/>
    </row>
    <row r="49" spans="1:7">
      <c r="A49" s="50"/>
      <c r="B49" s="42" t="s">
        <v>110</v>
      </c>
      <c r="E49" s="96"/>
      <c r="F49" s="42" t="s">
        <v>101</v>
      </c>
      <c r="G49" s="42" t="str">
        <f>IF(OR(E49=""),"",'Air Flow References'!AT16)</f>
        <v/>
      </c>
    </row>
    <row r="50" spans="1:7">
      <c r="A50" s="50"/>
    </row>
    <row r="51" spans="1:7">
      <c r="A51" s="50"/>
      <c r="B51" s="42" t="s">
        <v>111</v>
      </c>
      <c r="E51" s="96"/>
      <c r="F51" s="56" t="s">
        <v>101</v>
      </c>
      <c r="G51" s="42" t="str">
        <f>IF(OR(E51=""),"",'Air Flow References'!AT17)</f>
        <v/>
      </c>
    </row>
    <row r="52" spans="1:7">
      <c r="A52" s="50"/>
    </row>
    <row r="53" spans="1:7">
      <c r="A53" s="54" t="s">
        <v>102</v>
      </c>
    </row>
    <row r="54" spans="1:7">
      <c r="A54" s="54"/>
    </row>
    <row r="55" spans="1:7">
      <c r="A55" s="50" t="s">
        <v>112</v>
      </c>
      <c r="E55" s="96"/>
      <c r="F55" s="42" t="s">
        <v>106</v>
      </c>
      <c r="G55" s="42" t="str">
        <f>IF(OR(E55=""),"",'Air Flow References'!AT18)</f>
        <v/>
      </c>
    </row>
    <row r="56" spans="1:7">
      <c r="A56" s="50"/>
    </row>
    <row r="57" spans="1:7">
      <c r="A57" s="50" t="s">
        <v>113</v>
      </c>
      <c r="E57" s="96"/>
      <c r="F57" s="42" t="s">
        <v>101</v>
      </c>
      <c r="G57" s="42" t="str">
        <f>IF(OR(E57=""),"",'Air Flow References'!AT19)</f>
        <v/>
      </c>
    </row>
    <row r="58" spans="1:7">
      <c r="A58" s="50"/>
    </row>
    <row r="59" spans="1:7">
      <c r="A59" s="50" t="s">
        <v>114</v>
      </c>
      <c r="E59" s="96"/>
      <c r="F59" s="42" t="s">
        <v>101</v>
      </c>
      <c r="G59" s="42" t="str">
        <f>IF(OR(E59=""),"",'Air Flow References'!AT20)</f>
        <v/>
      </c>
    </row>
    <row r="60" spans="1:7">
      <c r="A60" s="50"/>
    </row>
    <row r="61" spans="1:7">
      <c r="A61" s="50" t="s">
        <v>115</v>
      </c>
      <c r="E61" s="98" t="str">
        <f>IF(OR(E57="",E59=""),"",E57-E59)</f>
        <v/>
      </c>
      <c r="F61" s="42" t="s">
        <v>101</v>
      </c>
    </row>
    <row r="62" spans="1:7">
      <c r="A62" s="50"/>
    </row>
    <row r="63" spans="1:7">
      <c r="A63" s="57" t="s">
        <v>116</v>
      </c>
    </row>
    <row r="64" spans="1:7">
      <c r="A64" s="50"/>
    </row>
    <row r="65" spans="1:15">
      <c r="A65" s="58" t="s">
        <v>117</v>
      </c>
      <c r="B65" s="59"/>
      <c r="C65" s="59"/>
      <c r="D65" s="59"/>
      <c r="E65" s="59"/>
      <c r="F65" s="59"/>
      <c r="G65" s="59"/>
      <c r="H65" s="59"/>
      <c r="I65" s="59"/>
      <c r="J65" s="59"/>
      <c r="K65" s="59"/>
      <c r="L65" s="59"/>
      <c r="M65" s="59"/>
      <c r="N65" s="59"/>
    </row>
    <row r="66" spans="1:15">
      <c r="A66" s="46" t="s">
        <v>260</v>
      </c>
      <c r="B66" s="46"/>
      <c r="C66" s="46"/>
      <c r="D66" s="46"/>
      <c r="E66" s="46"/>
      <c r="F66" s="46"/>
      <c r="G66" s="46"/>
      <c r="H66" s="46"/>
      <c r="I66" s="46"/>
      <c r="J66" s="46"/>
      <c r="K66" s="46"/>
      <c r="L66" s="46"/>
      <c r="M66" s="46"/>
      <c r="N66" s="46"/>
      <c r="O66" s="47"/>
    </row>
    <row r="67" spans="1:15">
      <c r="A67" s="48"/>
      <c r="B67" s="49"/>
      <c r="C67" s="49"/>
      <c r="D67" s="49"/>
      <c r="E67" s="49"/>
      <c r="F67" s="49"/>
      <c r="G67" s="49"/>
      <c r="H67" s="49"/>
      <c r="I67" s="49"/>
      <c r="J67" s="49"/>
      <c r="K67" s="49"/>
      <c r="L67" s="49"/>
      <c r="M67" s="49"/>
      <c r="N67" s="49"/>
    </row>
    <row r="68" spans="1:15">
      <c r="A68" s="54" t="s">
        <v>95</v>
      </c>
    </row>
    <row r="69" spans="1:15">
      <c r="A69" s="50" t="s">
        <v>96</v>
      </c>
    </row>
    <row r="70" spans="1:15">
      <c r="A70" s="50"/>
    </row>
    <row r="71" spans="1:15">
      <c r="A71" s="50"/>
      <c r="E71" s="2747"/>
      <c r="F71" s="2747"/>
    </row>
    <row r="72" spans="1:15">
      <c r="A72" s="50"/>
    </row>
    <row r="73" spans="1:15">
      <c r="A73" s="50"/>
    </row>
    <row r="74" spans="1:15">
      <c r="A74" s="50"/>
      <c r="B74" s="42" t="s">
        <v>98</v>
      </c>
      <c r="E74" s="96"/>
      <c r="F74" s="42" t="s">
        <v>399</v>
      </c>
      <c r="G74" s="172" t="str">
        <f>IF(OR(E74=""),"",'Air Flow References'!AT28)</f>
        <v/>
      </c>
    </row>
    <row r="75" spans="1:15">
      <c r="A75" s="50"/>
      <c r="B75" s="42" t="s">
        <v>398</v>
      </c>
      <c r="E75" s="167"/>
      <c r="G75" s="55"/>
    </row>
    <row r="76" spans="1:15">
      <c r="A76" s="50"/>
    </row>
    <row r="77" spans="1:15">
      <c r="A77" s="50"/>
      <c r="B77" s="42" t="s">
        <v>99</v>
      </c>
      <c r="E77" s="96"/>
      <c r="F77" s="42" t="s">
        <v>101</v>
      </c>
      <c r="G77" s="42" t="str">
        <f>IF(OR(E77=""),"",'Air Flow References'!AT29)</f>
        <v/>
      </c>
    </row>
    <row r="78" spans="1:15">
      <c r="A78" s="50"/>
    </row>
    <row r="79" spans="1:15">
      <c r="A79" s="50"/>
      <c r="B79" s="42" t="s">
        <v>100</v>
      </c>
      <c r="E79" s="96"/>
      <c r="F79" s="56" t="s">
        <v>101</v>
      </c>
      <c r="G79" s="42" t="str">
        <f>IF(OR(E79=""),"",'Air Flow References'!AT30)</f>
        <v/>
      </c>
    </row>
    <row r="80" spans="1:15">
      <c r="A80" s="50"/>
    </row>
    <row r="81" spans="1:15">
      <c r="A81" s="50"/>
    </row>
    <row r="82" spans="1:15">
      <c r="A82" s="54" t="s">
        <v>102</v>
      </c>
    </row>
    <row r="83" spans="1:15">
      <c r="A83" s="50"/>
    </row>
    <row r="84" spans="1:15">
      <c r="A84" s="50" t="s">
        <v>103</v>
      </c>
      <c r="E84" s="96"/>
      <c r="F84" s="42" t="s">
        <v>106</v>
      </c>
      <c r="G84" s="42" t="str">
        <f>IF(OR(E84=""),"",'Air Flow References'!AT31)</f>
        <v/>
      </c>
    </row>
    <row r="85" spans="1:15">
      <c r="A85" s="50"/>
    </row>
    <row r="86" spans="1:15">
      <c r="A86" s="50" t="s">
        <v>104</v>
      </c>
      <c r="E86" s="96"/>
      <c r="F86" s="56" t="s">
        <v>101</v>
      </c>
      <c r="G86" s="42" t="str">
        <f>IF(OR(E86=""),"",'Air Flow References'!AT32)</f>
        <v/>
      </c>
    </row>
    <row r="87" spans="1:15">
      <c r="A87" s="50"/>
    </row>
    <row r="88" spans="1:15">
      <c r="A88" s="50" t="s">
        <v>105</v>
      </c>
      <c r="E88" s="96"/>
      <c r="F88" s="56" t="s">
        <v>101</v>
      </c>
      <c r="G88" s="42" t="str">
        <f>IF(OR(E88=""),"",'Air Flow References'!AT33)</f>
        <v/>
      </c>
    </row>
    <row r="89" spans="1:15">
      <c r="A89" s="50"/>
    </row>
    <row r="90" spans="1:15">
      <c r="A90" s="50" t="s">
        <v>107</v>
      </c>
      <c r="E90" s="98" t="str">
        <f>IF(OR(E86="",E88=""),"",E88-E86)</f>
        <v/>
      </c>
      <c r="F90" s="56" t="s">
        <v>101</v>
      </c>
    </row>
    <row r="91" spans="1:15">
      <c r="A91" s="50"/>
    </row>
    <row r="92" spans="1:15">
      <c r="A92" s="57" t="s">
        <v>108</v>
      </c>
    </row>
    <row r="93" spans="1:15">
      <c r="A93" s="50"/>
    </row>
    <row r="94" spans="1:15">
      <c r="A94" s="45" t="s">
        <v>109</v>
      </c>
    </row>
    <row r="95" spans="1:15">
      <c r="A95" s="46" t="s">
        <v>847</v>
      </c>
      <c r="B95" s="46"/>
      <c r="C95" s="46"/>
      <c r="D95" s="46"/>
      <c r="E95" s="46"/>
      <c r="F95" s="46"/>
      <c r="G95" s="46"/>
      <c r="H95" s="46"/>
      <c r="I95" s="46"/>
      <c r="J95" s="46"/>
      <c r="K95" s="46"/>
      <c r="L95" s="46"/>
      <c r="M95" s="46"/>
      <c r="N95" s="46"/>
      <c r="O95" s="47"/>
    </row>
    <row r="96" spans="1:15">
      <c r="A96" s="48"/>
      <c r="B96" s="49"/>
      <c r="C96" s="49"/>
      <c r="D96" s="49"/>
      <c r="E96" s="49"/>
      <c r="F96" s="49"/>
      <c r="G96" s="49"/>
      <c r="H96" s="49"/>
      <c r="I96" s="49"/>
      <c r="J96" s="49"/>
      <c r="K96" s="49"/>
      <c r="L96" s="49"/>
      <c r="M96" s="49"/>
      <c r="N96" s="49"/>
    </row>
    <row r="97" spans="1:14">
      <c r="A97" s="50" t="s">
        <v>68</v>
      </c>
    </row>
    <row r="98" spans="1:14" ht="9.75" customHeight="1">
      <c r="A98" s="50"/>
    </row>
    <row r="99" spans="1:14" ht="15.75" customHeight="1">
      <c r="A99" s="50"/>
      <c r="E99" s="2734"/>
      <c r="F99" s="2734"/>
      <c r="G99" s="42" t="s">
        <v>69</v>
      </c>
    </row>
    <row r="100" spans="1:14">
      <c r="A100" s="2742" t="s">
        <v>2014</v>
      </c>
      <c r="B100" s="2624"/>
    </row>
    <row r="101" spans="1:14">
      <c r="A101" s="2742"/>
      <c r="B101" s="2624"/>
      <c r="C101" s="663"/>
      <c r="E101" s="42" t="s">
        <v>71</v>
      </c>
      <c r="F101" s="663"/>
    </row>
    <row r="102" spans="1:14">
      <c r="A102" s="50"/>
    </row>
    <row r="103" spans="1:14">
      <c r="A103" s="50"/>
    </row>
    <row r="104" spans="1:14">
      <c r="A104" s="50" t="s">
        <v>81</v>
      </c>
      <c r="E104" s="74"/>
    </row>
    <row r="105" spans="1:14">
      <c r="A105" s="50"/>
    </row>
    <row r="106" spans="1:14">
      <c r="A106" s="50"/>
    </row>
    <row r="107" spans="1:14">
      <c r="A107" s="50" t="s">
        <v>82</v>
      </c>
      <c r="E107" s="74"/>
    </row>
    <row r="108" spans="1:14">
      <c r="A108" s="50"/>
    </row>
    <row r="109" spans="1:14">
      <c r="A109" s="50"/>
    </row>
    <row r="110" spans="1:14">
      <c r="A110" s="50" t="s">
        <v>2015</v>
      </c>
      <c r="C110" s="663"/>
      <c r="D110" s="42" t="s">
        <v>84</v>
      </c>
    </row>
    <row r="111" spans="1:14">
      <c r="A111" s="50"/>
    </row>
    <row r="112" spans="1:14">
      <c r="A112" s="50" t="s">
        <v>85</v>
      </c>
      <c r="D112" s="661"/>
      <c r="E112" s="42" t="s">
        <v>86</v>
      </c>
      <c r="F112" s="42" t="s">
        <v>87</v>
      </c>
      <c r="G112" s="661"/>
      <c r="H112" s="42" t="s">
        <v>84</v>
      </c>
      <c r="I112" s="42" t="s">
        <v>88</v>
      </c>
      <c r="J112" s="661"/>
      <c r="K112" s="42" t="s">
        <v>89</v>
      </c>
      <c r="L112" s="51" t="s">
        <v>90</v>
      </c>
      <c r="M112" s="661"/>
      <c r="N112" s="42" t="s">
        <v>91</v>
      </c>
    </row>
    <row r="113" spans="1:15">
      <c r="A113" s="50"/>
      <c r="L113" s="51"/>
    </row>
    <row r="114" spans="1:15">
      <c r="A114" s="50" t="s">
        <v>183</v>
      </c>
      <c r="D114" s="661"/>
      <c r="E114" s="42" t="s">
        <v>86</v>
      </c>
      <c r="F114" s="42" t="s">
        <v>87</v>
      </c>
      <c r="G114" s="661"/>
      <c r="H114" s="42" t="s">
        <v>84</v>
      </c>
      <c r="I114" s="42" t="s">
        <v>88</v>
      </c>
      <c r="J114" s="661"/>
      <c r="K114" s="42" t="s">
        <v>89</v>
      </c>
      <c r="L114" s="51" t="s">
        <v>90</v>
      </c>
      <c r="M114" s="661"/>
      <c r="N114" s="42" t="s">
        <v>91</v>
      </c>
    </row>
    <row r="115" spans="1:15">
      <c r="A115" s="50"/>
    </row>
    <row r="116" spans="1:15">
      <c r="A116" s="52" t="s">
        <v>242</v>
      </c>
      <c r="M116" s="661"/>
      <c r="N116" s="42" t="s">
        <v>91</v>
      </c>
    </row>
    <row r="117" spans="1:15">
      <c r="A117" s="50"/>
    </row>
    <row r="118" spans="1:15">
      <c r="A118" s="2745" t="s">
        <v>92</v>
      </c>
      <c r="B118" s="2738"/>
      <c r="C118" s="2738"/>
      <c r="D118" s="2738"/>
      <c r="E118" s="2746"/>
      <c r="F118" s="2743" t="s">
        <v>93</v>
      </c>
      <c r="G118" s="2743"/>
      <c r="H118" s="2743"/>
      <c r="I118" s="2743"/>
      <c r="J118" s="2743"/>
      <c r="K118" s="2743"/>
      <c r="L118" s="53"/>
      <c r="M118" s="2754" t="str">
        <f>IF(AND(M112="",M114="",M116=""),"",M112+M114+M116)</f>
        <v/>
      </c>
      <c r="N118" s="2738" t="s">
        <v>91</v>
      </c>
    </row>
    <row r="119" spans="1:15">
      <c r="A119" s="2745"/>
      <c r="B119" s="2738"/>
      <c r="C119" s="2738"/>
      <c r="D119" s="2738"/>
      <c r="E119" s="2746"/>
      <c r="F119" s="2743"/>
      <c r="G119" s="2743"/>
      <c r="H119" s="2743"/>
      <c r="I119" s="2743"/>
      <c r="J119" s="2743"/>
      <c r="K119" s="2743"/>
      <c r="L119" s="53"/>
      <c r="M119" s="2755"/>
      <c r="N119" s="2738"/>
    </row>
    <row r="120" spans="1:15">
      <c r="A120" s="50"/>
    </row>
    <row r="121" spans="1:15">
      <c r="A121" s="45" t="s">
        <v>94</v>
      </c>
    </row>
    <row r="122" spans="1:15"/>
    <row r="123" spans="1:15">
      <c r="A123" s="49" t="s">
        <v>223</v>
      </c>
      <c r="B123" s="49"/>
      <c r="C123" s="49" t="str">
        <f>Development!$A$4&amp;"_"&amp;Development!$A$2</f>
        <v>4.01.2024_2.0</v>
      </c>
      <c r="D123" s="49"/>
      <c r="E123" s="49"/>
      <c r="F123" s="49"/>
      <c r="G123" s="49"/>
      <c r="H123" s="49"/>
      <c r="I123" s="49"/>
      <c r="J123" s="49"/>
      <c r="K123" s="49"/>
      <c r="L123" s="49"/>
      <c r="M123" s="49"/>
      <c r="N123" s="49" t="s">
        <v>225</v>
      </c>
      <c r="O123" s="49" t="str">
        <f>Development!A4</f>
        <v>4.01.2024</v>
      </c>
    </row>
    <row r="124" spans="1:15"/>
    <row r="125" spans="1:15" hidden="1"/>
    <row r="126" spans="1:15" hidden="1"/>
    <row r="127" spans="1:15" hidden="1"/>
    <row r="128" spans="1:15" hidden="1"/>
    <row r="129" spans="15:15" hidden="1"/>
    <row r="130" spans="15:15" hidden="1"/>
    <row r="131" spans="15:15" hidden="1"/>
    <row r="132" spans="15:15" hidden="1"/>
    <row r="133" spans="15:15" hidden="1"/>
    <row r="134" spans="15:15" hidden="1"/>
    <row r="135" spans="15:15" hidden="1"/>
    <row r="136" spans="15:15" hidden="1">
      <c r="O136" s="60"/>
    </row>
  </sheetData>
  <sheetProtection algorithmName="SHA-512" hashValue="qA03CnIV9X9VErn6a2jw4mQ2BwMC7LsRzlvHqtjel9OOtWjNTdH4pNBGg9uQ+d8paLdhU4zJN31HN/pBx7meOg==" saltValue="BTAr3STogxVlNmukvVjKqw==" spinCount="100000" sheet="1" objects="1" scenarios="1"/>
  <dataConsolidate/>
  <mergeCells count="23">
    <mergeCell ref="A1:J1"/>
    <mergeCell ref="A2:J2"/>
    <mergeCell ref="C5:D5"/>
    <mergeCell ref="H5:I5"/>
    <mergeCell ref="H7:I7"/>
    <mergeCell ref="E15:F15"/>
    <mergeCell ref="M15:N15"/>
    <mergeCell ref="A18:D18"/>
    <mergeCell ref="E18:F18"/>
    <mergeCell ref="M18:N18"/>
    <mergeCell ref="E22:F22"/>
    <mergeCell ref="A29:M29"/>
    <mergeCell ref="C30:L30"/>
    <mergeCell ref="I38:J38"/>
    <mergeCell ref="E45:F45"/>
    <mergeCell ref="E25:F25"/>
    <mergeCell ref="A118:E119"/>
    <mergeCell ref="F118:K119"/>
    <mergeCell ref="M118:M119"/>
    <mergeCell ref="N118:N119"/>
    <mergeCell ref="E71:F71"/>
    <mergeCell ref="E99:F99"/>
    <mergeCell ref="A100:B101"/>
  </mergeCells>
  <pageMargins left="0.25" right="0.25" top="0.75" bottom="0.75" header="0.3" footer="0.3"/>
  <pageSetup scale="56" fitToHeight="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controls>
    <mc:AlternateContent xmlns:mc="http://schemas.openxmlformats.org/markup-compatibility/2006">
      <mc:Choice Requires="x14">
        <control shapeId="67585" r:id="rId4" name="OptionButton1">
          <controlPr defaultSize="0" autoLine="0" autoPict="0" r:id="rId5">
            <anchor moveWithCells="1">
              <from>
                <xdr:col>2</xdr:col>
                <xdr:colOff>698500</xdr:colOff>
                <xdr:row>19</xdr:row>
                <xdr:rowOff>279400</xdr:rowOff>
              </from>
              <to>
                <xdr:col>5</xdr:col>
                <xdr:colOff>431800</xdr:colOff>
                <xdr:row>20</xdr:row>
                <xdr:rowOff>146050</xdr:rowOff>
              </to>
            </anchor>
          </controlPr>
        </control>
      </mc:Choice>
      <mc:Fallback>
        <control shapeId="67585" r:id="rId4" name="OptionButton1"/>
      </mc:Fallback>
    </mc:AlternateContent>
    <mc:AlternateContent xmlns:mc="http://schemas.openxmlformats.org/markup-compatibility/2006">
      <mc:Choice Requires="x14">
        <control shapeId="67586" r:id="rId6" name="OptionButton2">
          <controlPr defaultSize="0" autoLine="0" autoPict="0" r:id="rId7">
            <anchor moveWithCells="1">
              <from>
                <xdr:col>5</xdr:col>
                <xdr:colOff>476250</xdr:colOff>
                <xdr:row>19</xdr:row>
                <xdr:rowOff>266700</xdr:rowOff>
              </from>
              <to>
                <xdr:col>10</xdr:col>
                <xdr:colOff>0</xdr:colOff>
                <xdr:row>20</xdr:row>
                <xdr:rowOff>241300</xdr:rowOff>
              </to>
            </anchor>
          </controlPr>
        </control>
      </mc:Choice>
      <mc:Fallback>
        <control shapeId="67586" r:id="rId6" name="OptionButton2"/>
      </mc:Fallback>
    </mc:AlternateContent>
    <mc:AlternateContent xmlns:mc="http://schemas.openxmlformats.org/markup-compatibility/2006">
      <mc:Choice Requires="x14">
        <control shapeId="67602" r:id="rId8" name="OptionButton7">
          <controlPr defaultSize="0" autoLine="0" r:id="rId9">
            <anchor moveWithCells="1">
              <from>
                <xdr:col>1</xdr:col>
                <xdr:colOff>95250</xdr:colOff>
                <xdr:row>70</xdr:row>
                <xdr:rowOff>0</xdr:rowOff>
              </from>
              <to>
                <xdr:col>2</xdr:col>
                <xdr:colOff>82550</xdr:colOff>
                <xdr:row>71</xdr:row>
                <xdr:rowOff>69850</xdr:rowOff>
              </to>
            </anchor>
          </controlPr>
        </control>
      </mc:Choice>
      <mc:Fallback>
        <control shapeId="67602" r:id="rId8" name="OptionButton7"/>
      </mc:Fallback>
    </mc:AlternateContent>
    <mc:AlternateContent xmlns:mc="http://schemas.openxmlformats.org/markup-compatibility/2006">
      <mc:Choice Requires="x14">
        <control shapeId="67611" r:id="rId10" name="OptionButton10">
          <controlPr defaultSize="0" autoLine="0" r:id="rId11">
            <anchor moveWithCells="1">
              <from>
                <xdr:col>1</xdr:col>
                <xdr:colOff>69850</xdr:colOff>
                <xdr:row>45</xdr:row>
                <xdr:rowOff>0</xdr:rowOff>
              </from>
              <to>
                <xdr:col>2</xdr:col>
                <xdr:colOff>57150</xdr:colOff>
                <xdr:row>46</xdr:row>
                <xdr:rowOff>69850</xdr:rowOff>
              </to>
            </anchor>
          </controlPr>
        </control>
      </mc:Choice>
      <mc:Fallback>
        <control shapeId="67611" r:id="rId10" name="OptionButton10"/>
      </mc:Fallback>
    </mc:AlternateContent>
    <mc:AlternateContent xmlns:mc="http://schemas.openxmlformats.org/markup-compatibility/2006">
      <mc:Choice Requires="x14">
        <control shapeId="67587" r:id="rId12" name="Group Box 3">
          <controlPr defaultSize="0" autoFill="0" autoPict="0">
            <anchor moveWithCells="1">
              <from>
                <xdr:col>0</xdr:col>
                <xdr:colOff>12700</xdr:colOff>
                <xdr:row>19</xdr:row>
                <xdr:rowOff>57150</xdr:rowOff>
              </from>
              <to>
                <xdr:col>6</xdr:col>
                <xdr:colOff>400050</xdr:colOff>
                <xdr:row>20</xdr:row>
                <xdr:rowOff>336550</xdr:rowOff>
              </to>
            </anchor>
          </controlPr>
        </control>
      </mc:Choice>
    </mc:AlternateContent>
    <mc:AlternateContent xmlns:mc="http://schemas.openxmlformats.org/markup-compatibility/2006">
      <mc:Choice Requires="x14">
        <control shapeId="67588" r:id="rId13" name="Check Box 4">
          <controlPr defaultSize="0" autoFill="0" autoLine="0" autoPict="0">
            <anchor moveWithCells="1">
              <from>
                <xdr:col>7</xdr:col>
                <xdr:colOff>533400</xdr:colOff>
                <xdr:row>21</xdr:row>
                <xdr:rowOff>146050</xdr:rowOff>
              </from>
              <to>
                <xdr:col>9</xdr:col>
                <xdr:colOff>50800</xdr:colOff>
                <xdr:row>21</xdr:row>
                <xdr:rowOff>450850</xdr:rowOff>
              </to>
            </anchor>
          </controlPr>
        </control>
      </mc:Choice>
    </mc:AlternateContent>
    <mc:AlternateContent xmlns:mc="http://schemas.openxmlformats.org/markup-compatibility/2006">
      <mc:Choice Requires="x14">
        <control shapeId="67589" r:id="rId14" name="Check Box 5">
          <controlPr defaultSize="0" autoFill="0" autoLine="0" autoPict="0">
            <anchor moveWithCells="1">
              <from>
                <xdr:col>9</xdr:col>
                <xdr:colOff>419100</xdr:colOff>
                <xdr:row>21</xdr:row>
                <xdr:rowOff>146050</xdr:rowOff>
              </from>
              <to>
                <xdr:col>10</xdr:col>
                <xdr:colOff>990600</xdr:colOff>
                <xdr:row>21</xdr:row>
                <xdr:rowOff>469900</xdr:rowOff>
              </to>
            </anchor>
          </controlPr>
        </control>
      </mc:Choice>
    </mc:AlternateContent>
    <mc:AlternateContent xmlns:mc="http://schemas.openxmlformats.org/markup-compatibility/2006">
      <mc:Choice Requires="x14">
        <control shapeId="67593" r:id="rId15" name="Group Box 9">
          <controlPr defaultSize="0" autoFill="0" autoPict="0">
            <anchor moveWithCells="1">
              <from>
                <xdr:col>0</xdr:col>
                <xdr:colOff>50800</xdr:colOff>
                <xdr:row>65</xdr:row>
                <xdr:rowOff>0</xdr:rowOff>
              </from>
              <to>
                <xdr:col>3</xdr:col>
                <xdr:colOff>1352550</xdr:colOff>
                <xdr:row>69</xdr:row>
                <xdr:rowOff>95250</xdr:rowOff>
              </to>
            </anchor>
          </controlPr>
        </control>
      </mc:Choice>
    </mc:AlternateContent>
    <mc:AlternateContent xmlns:mc="http://schemas.openxmlformats.org/markup-compatibility/2006">
      <mc:Choice Requires="x14">
        <control shapeId="67594" r:id="rId16" name="Option Button 10">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7595" r:id="rId17" name="Option Button 11">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7596" r:id="rId18" name="Group Box 12">
          <controlPr defaultSize="0" autoFill="0" autoPict="0">
            <anchor moveWithCells="1">
              <from>
                <xdr:col>4</xdr:col>
                <xdr:colOff>361950</xdr:colOff>
                <xdr:row>65</xdr:row>
                <xdr:rowOff>0</xdr:rowOff>
              </from>
              <to>
                <xdr:col>6</xdr:col>
                <xdr:colOff>533400</xdr:colOff>
                <xdr:row>67</xdr:row>
                <xdr:rowOff>152400</xdr:rowOff>
              </to>
            </anchor>
          </controlPr>
        </control>
      </mc:Choice>
    </mc:AlternateContent>
    <mc:AlternateContent xmlns:mc="http://schemas.openxmlformats.org/markup-compatibility/2006">
      <mc:Choice Requires="x14">
        <control shapeId="67597" r:id="rId19" name="Group Box 13">
          <controlPr defaultSize="0" autoFill="0" autoPict="0">
            <anchor moveWithCells="1">
              <from>
                <xdr:col>0</xdr:col>
                <xdr:colOff>374650</xdr:colOff>
                <xdr:row>65</xdr:row>
                <xdr:rowOff>0</xdr:rowOff>
              </from>
              <to>
                <xdr:col>3</xdr:col>
                <xdr:colOff>1352550</xdr:colOff>
                <xdr:row>68</xdr:row>
                <xdr:rowOff>95250</xdr:rowOff>
              </to>
            </anchor>
          </controlPr>
        </control>
      </mc:Choice>
    </mc:AlternateContent>
    <mc:AlternateContent xmlns:mc="http://schemas.openxmlformats.org/markup-compatibility/2006">
      <mc:Choice Requires="x14">
        <control shapeId="67598" r:id="rId20" name="Option Button 14">
          <controlPr defaultSize="0" autoFill="0" autoLine="0" autoPict="0">
            <anchor moveWithCells="1">
              <from>
                <xdr:col>4</xdr:col>
                <xdr:colOff>419100</xdr:colOff>
                <xdr:row>65</xdr:row>
                <xdr:rowOff>0</xdr:rowOff>
              </from>
              <to>
                <xdr:col>5</xdr:col>
                <xdr:colOff>50800</xdr:colOff>
                <xdr:row>66</xdr:row>
                <xdr:rowOff>50800</xdr:rowOff>
              </to>
            </anchor>
          </controlPr>
        </control>
      </mc:Choice>
    </mc:AlternateContent>
    <mc:AlternateContent xmlns:mc="http://schemas.openxmlformats.org/markup-compatibility/2006">
      <mc:Choice Requires="x14">
        <control shapeId="67599" r:id="rId21" name="Option Button 15">
          <controlPr defaultSize="0" autoFill="0" autoLine="0" autoPict="0">
            <anchor moveWithCells="1">
              <from>
                <xdr:col>5</xdr:col>
                <xdr:colOff>571500</xdr:colOff>
                <xdr:row>65</xdr:row>
                <xdr:rowOff>0</xdr:rowOff>
              </from>
              <to>
                <xdr:col>6</xdr:col>
                <xdr:colOff>0</xdr:colOff>
                <xdr:row>66</xdr:row>
                <xdr:rowOff>0</xdr:rowOff>
              </to>
            </anchor>
          </controlPr>
        </control>
      </mc:Choice>
    </mc:AlternateContent>
    <mc:AlternateContent xmlns:mc="http://schemas.openxmlformats.org/markup-compatibility/2006">
      <mc:Choice Requires="x14">
        <control shapeId="67600" r:id="rId22" name="Group Box 16">
          <controlPr defaultSize="0" autoFill="0" autoPict="0">
            <anchor moveWithCells="1">
              <from>
                <xdr:col>4</xdr:col>
                <xdr:colOff>266700</xdr:colOff>
                <xdr:row>65</xdr:row>
                <xdr:rowOff>0</xdr:rowOff>
              </from>
              <to>
                <xdr:col>6</xdr:col>
                <xdr:colOff>323850</xdr:colOff>
                <xdr:row>67</xdr:row>
                <xdr:rowOff>165100</xdr:rowOff>
              </to>
            </anchor>
          </controlPr>
        </control>
      </mc:Choice>
    </mc:AlternateContent>
    <mc:AlternateContent xmlns:mc="http://schemas.openxmlformats.org/markup-compatibility/2006">
      <mc:Choice Requires="x14">
        <control shapeId="67604" r:id="rId23" name="Group Box 20">
          <controlPr defaultSize="0" autoFill="0" autoPict="0">
            <anchor moveWithCells="1">
              <from>
                <xdr:col>0</xdr:col>
                <xdr:colOff>317500</xdr:colOff>
                <xdr:row>68</xdr:row>
                <xdr:rowOff>209550</xdr:rowOff>
              </from>
              <to>
                <xdr:col>3</xdr:col>
                <xdr:colOff>1352550</xdr:colOff>
                <xdr:row>72</xdr:row>
                <xdr:rowOff>12700</xdr:rowOff>
              </to>
            </anchor>
          </controlPr>
        </control>
      </mc:Choice>
    </mc:AlternateContent>
    <mc:AlternateContent xmlns:mc="http://schemas.openxmlformats.org/markup-compatibility/2006">
      <mc:Choice Requires="x14">
        <control shapeId="67605" r:id="rId24" name="Option Button 21">
          <controlPr defaultSize="0" autoFill="0" autoLine="0" autoPict="0">
            <anchor moveWithCells="1">
              <from>
                <xdr:col>2</xdr:col>
                <xdr:colOff>889000</xdr:colOff>
                <xdr:row>37</xdr:row>
                <xdr:rowOff>127000</xdr:rowOff>
              </from>
              <to>
                <xdr:col>3</xdr:col>
                <xdr:colOff>889000</xdr:colOff>
                <xdr:row>38</xdr:row>
                <xdr:rowOff>127000</xdr:rowOff>
              </to>
            </anchor>
          </controlPr>
        </control>
      </mc:Choice>
    </mc:AlternateContent>
    <mc:AlternateContent xmlns:mc="http://schemas.openxmlformats.org/markup-compatibility/2006">
      <mc:Choice Requires="x14">
        <control shapeId="67606" r:id="rId25" name="Option Button 22">
          <controlPr defaultSize="0" autoFill="0" autoLine="0" autoPict="0">
            <anchor moveWithCells="1">
              <from>
                <xdr:col>2</xdr:col>
                <xdr:colOff>1060450</xdr:colOff>
                <xdr:row>37</xdr:row>
                <xdr:rowOff>69850</xdr:rowOff>
              </from>
              <to>
                <xdr:col>3</xdr:col>
                <xdr:colOff>1308100</xdr:colOff>
                <xdr:row>38</xdr:row>
                <xdr:rowOff>69850</xdr:rowOff>
              </to>
            </anchor>
          </controlPr>
        </control>
      </mc:Choice>
    </mc:AlternateContent>
    <mc:AlternateContent xmlns:mc="http://schemas.openxmlformats.org/markup-compatibility/2006">
      <mc:Choice Requires="x14">
        <control shapeId="67607" r:id="rId26" name="Option Button 23">
          <controlPr defaultSize="0" autoFill="0" autoLine="0" autoPict="0">
            <anchor moveWithCells="1">
              <from>
                <xdr:col>4</xdr:col>
                <xdr:colOff>209550</xdr:colOff>
                <xdr:row>37</xdr:row>
                <xdr:rowOff>69850</xdr:rowOff>
              </from>
              <to>
                <xdr:col>5</xdr:col>
                <xdr:colOff>622300</xdr:colOff>
                <xdr:row>38</xdr:row>
                <xdr:rowOff>69850</xdr:rowOff>
              </to>
            </anchor>
          </controlPr>
        </control>
      </mc:Choice>
    </mc:AlternateContent>
    <mc:AlternateContent xmlns:mc="http://schemas.openxmlformats.org/markup-compatibility/2006">
      <mc:Choice Requires="x14">
        <control shapeId="67609" r:id="rId27" name="Group Box 25">
          <controlPr defaultSize="0" autoFill="0" autoPict="0">
            <anchor moveWithCells="1">
              <from>
                <xdr:col>2</xdr:col>
                <xdr:colOff>533400</xdr:colOff>
                <xdr:row>36</xdr:row>
                <xdr:rowOff>266700</xdr:rowOff>
              </from>
              <to>
                <xdr:col>14</xdr:col>
                <xdr:colOff>381000</xdr:colOff>
                <xdr:row>39</xdr:row>
                <xdr:rowOff>50800</xdr:rowOff>
              </to>
            </anchor>
          </controlPr>
        </control>
      </mc:Choice>
    </mc:AlternateContent>
    <mc:AlternateContent xmlns:mc="http://schemas.openxmlformats.org/markup-compatibility/2006">
      <mc:Choice Requires="x14">
        <control shapeId="67613" r:id="rId28" name="Group Box 29">
          <controlPr defaultSize="0" autoFill="0" autoPict="0">
            <anchor moveWithCells="1">
              <from>
                <xdr:col>0</xdr:col>
                <xdr:colOff>571500</xdr:colOff>
                <xdr:row>42</xdr:row>
                <xdr:rowOff>209550</xdr:rowOff>
              </from>
              <to>
                <xdr:col>3</xdr:col>
                <xdr:colOff>1352550</xdr:colOff>
                <xdr:row>46</xdr:row>
                <xdr:rowOff>12700</xdr:rowOff>
              </to>
            </anchor>
          </controlPr>
        </control>
      </mc:Choice>
    </mc:AlternateContent>
    <mc:AlternateContent xmlns:mc="http://schemas.openxmlformats.org/markup-compatibility/2006">
      <mc:Choice Requires="x14">
        <control shapeId="67679" r:id="rId29" name="Check Box 95">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67680" r:id="rId30" name="Check Box 96">
          <controlPr defaultSize="0" autoFill="0" autoLine="0" autoPict="0">
            <anchor moveWithCells="1">
              <from>
                <xdr:col>3</xdr:col>
                <xdr:colOff>1003300</xdr:colOff>
                <xdr:row>9</xdr:row>
                <xdr:rowOff>114300</xdr:rowOff>
              </from>
              <to>
                <xdr:col>4</xdr:col>
                <xdr:colOff>285750</xdr:colOff>
                <xdr:row>9</xdr:row>
                <xdr:rowOff>190500</xdr:rowOff>
              </to>
            </anchor>
          </controlPr>
        </control>
      </mc:Choice>
    </mc:AlternateContent>
    <mc:AlternateContent xmlns:mc="http://schemas.openxmlformats.org/markup-compatibility/2006">
      <mc:Choice Requires="x14">
        <control shapeId="67682" r:id="rId31" name="Check Box 98">
          <controlPr defaultSize="0" autoFill="0" autoLine="0" autoPict="0">
            <anchor moveWithCells="1">
              <from>
                <xdr:col>3</xdr:col>
                <xdr:colOff>31750</xdr:colOff>
                <xdr:row>9</xdr:row>
                <xdr:rowOff>127000</xdr:rowOff>
              </from>
              <to>
                <xdr:col>3</xdr:col>
                <xdr:colOff>1028700</xdr:colOff>
                <xdr:row>9</xdr:row>
                <xdr:rowOff>393700</xdr:rowOff>
              </to>
            </anchor>
          </controlPr>
        </control>
      </mc:Choice>
    </mc:AlternateContent>
    <mc:AlternateContent xmlns:mc="http://schemas.openxmlformats.org/markup-compatibility/2006">
      <mc:Choice Requires="x14">
        <control shapeId="67683" r:id="rId32" name="Check Box 99">
          <controlPr defaultSize="0" autoFill="0" autoLine="0" autoPict="0">
            <anchor moveWithCells="1">
              <from>
                <xdr:col>1</xdr:col>
                <xdr:colOff>927100</xdr:colOff>
                <xdr:row>9</xdr:row>
                <xdr:rowOff>114300</xdr:rowOff>
              </from>
              <to>
                <xdr:col>3</xdr:col>
                <xdr:colOff>0</xdr:colOff>
                <xdr:row>9</xdr:row>
                <xdr:rowOff>374650</xdr:rowOff>
              </to>
            </anchor>
          </controlPr>
        </control>
      </mc:Choice>
    </mc:AlternateContent>
    <mc:AlternateContent xmlns:mc="http://schemas.openxmlformats.org/markup-compatibility/2006">
      <mc:Choice Requires="x14">
        <control shapeId="67684" r:id="rId33" name="Check Box 100">
          <controlPr defaultSize="0" autoFill="0" autoLine="0" autoPict="0">
            <anchor moveWithCells="1">
              <from>
                <xdr:col>1</xdr:col>
                <xdr:colOff>38100</xdr:colOff>
                <xdr:row>9</xdr:row>
                <xdr:rowOff>114300</xdr:rowOff>
              </from>
              <to>
                <xdr:col>1</xdr:col>
                <xdr:colOff>450850</xdr:colOff>
                <xdr:row>9</xdr:row>
                <xdr:rowOff>381000</xdr:rowOff>
              </to>
            </anchor>
          </controlPr>
        </control>
      </mc:Choice>
    </mc:AlternateContent>
    <mc:AlternateContent xmlns:mc="http://schemas.openxmlformats.org/markup-compatibility/2006">
      <mc:Choice Requires="x14">
        <control shapeId="67685" r:id="rId34" name="Group Box 101">
          <controlPr defaultSize="0" autoFill="0" autoPict="0">
            <anchor moveWithCells="1">
              <from>
                <xdr:col>0</xdr:col>
                <xdr:colOff>50800</xdr:colOff>
                <xdr:row>96</xdr:row>
                <xdr:rowOff>0</xdr:rowOff>
              </from>
              <to>
                <xdr:col>3</xdr:col>
                <xdr:colOff>1352550</xdr:colOff>
                <xdr:row>100</xdr:row>
                <xdr:rowOff>146050</xdr:rowOff>
              </to>
            </anchor>
          </controlPr>
        </control>
      </mc:Choice>
    </mc:AlternateContent>
    <mc:AlternateContent xmlns:mc="http://schemas.openxmlformats.org/markup-compatibility/2006">
      <mc:Choice Requires="x14">
        <control shapeId="67686" r:id="rId35" name="Option Button 102">
          <controlPr defaultSize="0" autoFill="0" autoLine="0" autoPict="0">
            <anchor moveWithCells="1">
              <from>
                <xdr:col>4</xdr:col>
                <xdr:colOff>419100</xdr:colOff>
                <xdr:row>103</xdr:row>
                <xdr:rowOff>0</xdr:rowOff>
              </from>
              <to>
                <xdr:col>5</xdr:col>
                <xdr:colOff>50800</xdr:colOff>
                <xdr:row>104</xdr:row>
                <xdr:rowOff>50800</xdr:rowOff>
              </to>
            </anchor>
          </controlPr>
        </control>
      </mc:Choice>
    </mc:AlternateContent>
    <mc:AlternateContent xmlns:mc="http://schemas.openxmlformats.org/markup-compatibility/2006">
      <mc:Choice Requires="x14">
        <control shapeId="67687" r:id="rId36" name="Option Button 103">
          <controlPr defaultSize="0" autoFill="0" autoLine="0" autoPict="0">
            <anchor moveWithCells="1">
              <from>
                <xdr:col>5</xdr:col>
                <xdr:colOff>571500</xdr:colOff>
                <xdr:row>103</xdr:row>
                <xdr:rowOff>12700</xdr:rowOff>
              </from>
              <to>
                <xdr:col>6</xdr:col>
                <xdr:colOff>0</xdr:colOff>
                <xdr:row>104</xdr:row>
                <xdr:rowOff>12700</xdr:rowOff>
              </to>
            </anchor>
          </controlPr>
        </control>
      </mc:Choice>
    </mc:AlternateContent>
    <mc:AlternateContent xmlns:mc="http://schemas.openxmlformats.org/markup-compatibility/2006">
      <mc:Choice Requires="x14">
        <control shapeId="67688" r:id="rId37" name="Group Box 104">
          <controlPr defaultSize="0" autoFill="0" autoPict="0">
            <anchor moveWithCells="1">
              <from>
                <xdr:col>4</xdr:col>
                <xdr:colOff>361950</xdr:colOff>
                <xdr:row>102</xdr:row>
                <xdr:rowOff>12700</xdr:rowOff>
              </from>
              <to>
                <xdr:col>6</xdr:col>
                <xdr:colOff>533400</xdr:colOff>
                <xdr:row>104</xdr:row>
                <xdr:rowOff>165100</xdr:rowOff>
              </to>
            </anchor>
          </controlPr>
        </control>
      </mc:Choice>
    </mc:AlternateContent>
    <mc:AlternateContent xmlns:mc="http://schemas.openxmlformats.org/markup-compatibility/2006">
      <mc:Choice Requires="x14">
        <control shapeId="67689" r:id="rId38" name="Group Box 105">
          <controlPr defaultSize="0" autoFill="0" autoPict="0">
            <anchor moveWithCells="1">
              <from>
                <xdr:col>0</xdr:col>
                <xdr:colOff>374650</xdr:colOff>
                <xdr:row>96</xdr:row>
                <xdr:rowOff>76200</xdr:rowOff>
              </from>
              <to>
                <xdr:col>3</xdr:col>
                <xdr:colOff>1352550</xdr:colOff>
                <xdr:row>100</xdr:row>
                <xdr:rowOff>38100</xdr:rowOff>
              </to>
            </anchor>
          </controlPr>
        </control>
      </mc:Choice>
    </mc:AlternateContent>
    <mc:AlternateContent xmlns:mc="http://schemas.openxmlformats.org/markup-compatibility/2006">
      <mc:Choice Requires="x14">
        <control shapeId="67690" r:id="rId39" name="Option Button 106">
          <controlPr defaultSize="0" autoFill="0" autoLine="0" autoPict="0">
            <anchor moveWithCells="1">
              <from>
                <xdr:col>4</xdr:col>
                <xdr:colOff>419100</xdr:colOff>
                <xdr:row>106</xdr:row>
                <xdr:rowOff>0</xdr:rowOff>
              </from>
              <to>
                <xdr:col>5</xdr:col>
                <xdr:colOff>50800</xdr:colOff>
                <xdr:row>107</xdr:row>
                <xdr:rowOff>50800</xdr:rowOff>
              </to>
            </anchor>
          </controlPr>
        </control>
      </mc:Choice>
    </mc:AlternateContent>
    <mc:AlternateContent xmlns:mc="http://schemas.openxmlformats.org/markup-compatibility/2006">
      <mc:Choice Requires="x14">
        <control shapeId="67691" r:id="rId40" name="Option Button 107">
          <controlPr defaultSize="0" autoFill="0" autoLine="0" autoPict="0">
            <anchor moveWithCells="1">
              <from>
                <xdr:col>5</xdr:col>
                <xdr:colOff>571500</xdr:colOff>
                <xdr:row>106</xdr:row>
                <xdr:rowOff>12700</xdr:rowOff>
              </from>
              <to>
                <xdr:col>6</xdr:col>
                <xdr:colOff>0</xdr:colOff>
                <xdr:row>107</xdr:row>
                <xdr:rowOff>12700</xdr:rowOff>
              </to>
            </anchor>
          </controlPr>
        </control>
      </mc:Choice>
    </mc:AlternateContent>
    <mc:AlternateContent xmlns:mc="http://schemas.openxmlformats.org/markup-compatibility/2006">
      <mc:Choice Requires="x14">
        <control shapeId="67692" r:id="rId41" name="Group Box 108">
          <controlPr defaultSize="0" autoFill="0" autoPict="0">
            <anchor moveWithCells="1">
              <from>
                <xdr:col>4</xdr:col>
                <xdr:colOff>266700</xdr:colOff>
                <xdr:row>105</xdr:row>
                <xdr:rowOff>69850</xdr:rowOff>
              </from>
              <to>
                <xdr:col>6</xdr:col>
                <xdr:colOff>323850</xdr:colOff>
                <xdr:row>108</xdr:row>
                <xdr:rowOff>50800</xdr:rowOff>
              </to>
            </anchor>
          </controlPr>
        </control>
      </mc:Choice>
    </mc:AlternateContent>
  </control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7">
    <tabColor rgb="FF00B050"/>
    <pageSetUpPr fitToPage="1"/>
  </sheetPr>
  <dimension ref="A1:IV87"/>
  <sheetViews>
    <sheetView showGridLines="0" zoomScaleNormal="100" workbookViewId="0"/>
  </sheetViews>
  <sheetFormatPr defaultColWidth="0" defaultRowHeight="0" customHeight="1" zeroHeight="1"/>
  <cols>
    <col min="1" max="1" width="9.81640625" style="157" customWidth="1"/>
    <col min="2" max="2" width="12.453125" style="157" customWidth="1"/>
    <col min="3" max="3" width="13.54296875" style="157" customWidth="1"/>
    <col min="4" max="6" width="11.54296875" style="157" customWidth="1"/>
    <col min="7" max="7" width="1.54296875" style="157" customWidth="1"/>
    <col min="8" max="8" width="15.54296875" style="157" customWidth="1"/>
    <col min="9" max="11" width="11.54296875" style="157" customWidth="1"/>
    <col min="12" max="12" width="13.1796875" style="157" customWidth="1"/>
    <col min="13" max="16384" width="9.1796875" style="157" hidden="1"/>
  </cols>
  <sheetData>
    <row r="1" spans="1:256" s="42" customFormat="1" ht="60" customHeight="1">
      <c r="A1" s="1405" t="str">
        <f>Development!$A$3&amp;" Multi-Family Program"</f>
        <v>2024 Multi-Family Program</v>
      </c>
      <c r="B1" s="165"/>
      <c r="C1" s="1403"/>
      <c r="D1" s="1403"/>
      <c r="E1" s="1403"/>
      <c r="F1" s="1403"/>
      <c r="G1" s="1403"/>
      <c r="H1" s="1403"/>
      <c r="I1" s="1404"/>
      <c r="J1" s="1404"/>
      <c r="K1" s="1404"/>
      <c r="L1" s="1404"/>
      <c r="V1" s="2769"/>
      <c r="W1" s="2769"/>
      <c r="X1" s="2769"/>
      <c r="Y1" s="2769"/>
      <c r="Z1" s="2769"/>
      <c r="AA1" s="2769"/>
      <c r="AB1" s="2769"/>
      <c r="AC1" s="2769"/>
      <c r="AD1" s="2769"/>
      <c r="AE1" s="2769"/>
      <c r="AF1" s="2769"/>
      <c r="AG1" s="2769"/>
      <c r="AH1" s="2769"/>
      <c r="AI1" s="2769"/>
      <c r="AJ1" s="2769"/>
      <c r="AK1" s="2769"/>
      <c r="AL1" s="2769"/>
      <c r="AM1" s="2769"/>
      <c r="AN1" s="2769"/>
      <c r="AO1" s="2769"/>
      <c r="AP1" s="2769"/>
      <c r="AQ1" s="2769"/>
      <c r="AR1" s="2769"/>
      <c r="AS1" s="2769"/>
      <c r="AT1" s="2769"/>
      <c r="AU1" s="2769"/>
      <c r="AV1" s="2769"/>
      <c r="AW1" s="2769"/>
      <c r="AX1" s="2769"/>
      <c r="AY1" s="2769"/>
      <c r="AZ1" s="2769"/>
      <c r="BA1" s="2769"/>
      <c r="BB1" s="2769"/>
      <c r="BC1" s="2769"/>
      <c r="BD1" s="2769"/>
      <c r="BE1" s="2769"/>
      <c r="BF1" s="2769"/>
      <c r="BG1" s="2769"/>
      <c r="BH1" s="2769"/>
      <c r="BI1" s="2769"/>
      <c r="BJ1" s="2769"/>
      <c r="BK1" s="2769"/>
      <c r="BL1" s="2769"/>
      <c r="BM1" s="2769"/>
      <c r="BN1" s="2769"/>
      <c r="BO1" s="2769"/>
      <c r="BP1" s="2769"/>
      <c r="BQ1" s="2769"/>
      <c r="BR1" s="2769"/>
      <c r="BS1" s="2769"/>
      <c r="BT1" s="2769"/>
      <c r="BU1" s="2769"/>
      <c r="BV1" s="2769"/>
      <c r="BW1" s="2769"/>
      <c r="BX1" s="2769"/>
      <c r="BY1" s="2769"/>
      <c r="BZ1" s="2769"/>
      <c r="CA1" s="2769"/>
      <c r="CB1" s="2769"/>
      <c r="CC1" s="2769"/>
      <c r="CD1" s="2769"/>
      <c r="CE1" s="2769"/>
      <c r="CF1" s="2769"/>
      <c r="CG1" s="2769"/>
      <c r="CH1" s="2769"/>
      <c r="CI1" s="2769"/>
      <c r="CJ1" s="2769"/>
      <c r="CK1" s="2769"/>
      <c r="CL1" s="2769"/>
      <c r="CM1" s="2769"/>
      <c r="CN1" s="2769"/>
      <c r="CO1" s="2769"/>
      <c r="CP1" s="2769"/>
      <c r="CQ1" s="2769"/>
      <c r="CR1" s="2769"/>
      <c r="CS1" s="2769"/>
      <c r="CT1" s="2769"/>
      <c r="CU1" s="2769"/>
      <c r="CV1" s="2769"/>
      <c r="CW1" s="2769"/>
      <c r="CX1" s="2769"/>
      <c r="CY1" s="2769"/>
      <c r="CZ1" s="2769"/>
      <c r="DA1" s="2769"/>
      <c r="DB1" s="2769"/>
      <c r="DC1" s="2769"/>
      <c r="DD1" s="2769"/>
      <c r="DE1" s="2769"/>
      <c r="DF1" s="2769"/>
      <c r="DG1" s="2769"/>
      <c r="DH1" s="2769"/>
      <c r="DI1" s="2769"/>
      <c r="DJ1" s="2769"/>
      <c r="DK1" s="2769"/>
      <c r="DL1" s="2769"/>
      <c r="DM1" s="2769"/>
      <c r="DN1" s="2769"/>
      <c r="DO1" s="2769"/>
      <c r="DP1" s="2769"/>
      <c r="DQ1" s="2769"/>
      <c r="DR1" s="2769"/>
      <c r="DS1" s="2769"/>
      <c r="DT1" s="2769"/>
      <c r="DU1" s="2769"/>
      <c r="DV1" s="2769"/>
      <c r="DW1" s="2769"/>
      <c r="DX1" s="2769"/>
      <c r="DY1" s="2769"/>
      <c r="DZ1" s="2769"/>
      <c r="EA1" s="2769"/>
      <c r="EB1" s="2769"/>
      <c r="EC1" s="2769"/>
      <c r="ED1" s="2769"/>
      <c r="EE1" s="2769"/>
      <c r="EF1" s="2769"/>
      <c r="EG1" s="2769"/>
      <c r="EH1" s="2769"/>
      <c r="EI1" s="2769"/>
      <c r="EJ1" s="2769"/>
      <c r="EK1" s="2769"/>
      <c r="EL1" s="2769"/>
      <c r="EM1" s="2769"/>
      <c r="EN1" s="2769"/>
      <c r="EO1" s="2769"/>
      <c r="EP1" s="2769"/>
      <c r="EQ1" s="2769"/>
      <c r="ER1" s="2769"/>
      <c r="ES1" s="2769"/>
      <c r="ET1" s="2769"/>
      <c r="EU1" s="2769"/>
      <c r="EV1" s="2769"/>
      <c r="EW1" s="2769"/>
      <c r="EX1" s="2769"/>
      <c r="EY1" s="2769"/>
      <c r="EZ1" s="2769"/>
      <c r="FA1" s="2769"/>
      <c r="FB1" s="2769"/>
      <c r="FC1" s="2769"/>
      <c r="FD1" s="2769"/>
      <c r="FE1" s="2769"/>
      <c r="FF1" s="2769"/>
      <c r="FG1" s="2769"/>
      <c r="FH1" s="2769"/>
      <c r="FI1" s="2769"/>
      <c r="FJ1" s="2769"/>
      <c r="FK1" s="2769"/>
      <c r="FL1" s="2769"/>
      <c r="FM1" s="2769"/>
      <c r="FN1" s="2769"/>
      <c r="FO1" s="2769"/>
      <c r="FP1" s="2769"/>
      <c r="FQ1" s="2769"/>
      <c r="FR1" s="2769"/>
      <c r="FS1" s="2769"/>
      <c r="FT1" s="2769"/>
      <c r="FU1" s="2769"/>
      <c r="FV1" s="2769"/>
      <c r="FW1" s="2769"/>
      <c r="FX1" s="2769"/>
      <c r="FY1" s="2769"/>
      <c r="FZ1" s="2769"/>
      <c r="GA1" s="2769"/>
      <c r="GB1" s="2769"/>
      <c r="GC1" s="2769"/>
      <c r="GD1" s="2769"/>
      <c r="GE1" s="2769"/>
      <c r="GF1" s="2769"/>
      <c r="GG1" s="2769"/>
      <c r="GH1" s="2769"/>
      <c r="GI1" s="2769"/>
      <c r="GJ1" s="2769"/>
      <c r="GK1" s="2769"/>
      <c r="GL1" s="2769"/>
      <c r="GM1" s="2769"/>
      <c r="GN1" s="2769"/>
      <c r="GO1" s="2769"/>
      <c r="GP1" s="2769"/>
      <c r="GQ1" s="2769"/>
      <c r="GR1" s="2769"/>
      <c r="GS1" s="2769"/>
      <c r="GT1" s="2769"/>
      <c r="GU1" s="2769"/>
      <c r="GV1" s="2769"/>
      <c r="GW1" s="2769"/>
      <c r="GX1" s="2769"/>
      <c r="GY1" s="2769"/>
      <c r="GZ1" s="2769"/>
      <c r="HA1" s="2769"/>
      <c r="HB1" s="2769"/>
      <c r="HC1" s="2769"/>
      <c r="HD1" s="2769"/>
      <c r="HE1" s="2769"/>
      <c r="HF1" s="2769"/>
      <c r="HG1" s="2769"/>
      <c r="HH1" s="2769"/>
      <c r="HI1" s="2769"/>
      <c r="HJ1" s="2769"/>
      <c r="HK1" s="2769"/>
      <c r="HL1" s="2769"/>
      <c r="HM1" s="2769"/>
      <c r="HN1" s="2769"/>
      <c r="HO1" s="2769"/>
      <c r="HP1" s="2769"/>
      <c r="HQ1" s="2769"/>
      <c r="HR1" s="2769"/>
      <c r="HS1" s="2769"/>
      <c r="HT1" s="2769"/>
      <c r="HU1" s="2769"/>
      <c r="HV1" s="2769"/>
      <c r="HW1" s="2769"/>
      <c r="HX1" s="2769"/>
      <c r="HY1" s="2769"/>
      <c r="HZ1" s="2769"/>
      <c r="IA1" s="2769"/>
      <c r="IB1" s="2769"/>
      <c r="IC1" s="2769"/>
      <c r="ID1" s="2769"/>
      <c r="IE1" s="2769"/>
      <c r="IF1" s="2769"/>
      <c r="IG1" s="2769"/>
      <c r="IH1" s="2769"/>
      <c r="II1" s="2769"/>
      <c r="IJ1" s="2769"/>
      <c r="IK1" s="2769"/>
      <c r="IL1" s="2769"/>
      <c r="IM1" s="2769"/>
      <c r="IN1" s="2769"/>
      <c r="IO1" s="2769"/>
      <c r="IP1" s="2769"/>
      <c r="IQ1" s="2769"/>
      <c r="IR1" s="2769"/>
      <c r="IS1" s="2769"/>
      <c r="IT1" s="2769"/>
      <c r="IU1" s="2769"/>
      <c r="IV1" s="2769"/>
    </row>
    <row r="2" spans="1:256" s="59" customFormat="1" ht="60" customHeight="1">
      <c r="A2" s="1406" t="s">
        <v>162</v>
      </c>
      <c r="B2" s="1407"/>
      <c r="C2" s="1408"/>
      <c r="D2" s="1408"/>
      <c r="E2" s="1408"/>
      <c r="F2" s="1408"/>
      <c r="G2" s="1408"/>
      <c r="H2" s="1408"/>
      <c r="I2" s="1408"/>
      <c r="J2" s="1408"/>
      <c r="K2" s="1408"/>
      <c r="L2" s="1408"/>
      <c r="M2" s="1409"/>
      <c r="V2" s="2770"/>
      <c r="W2" s="2770"/>
      <c r="X2" s="2770"/>
      <c r="Y2" s="2770"/>
      <c r="Z2" s="2770"/>
      <c r="AA2" s="2770"/>
      <c r="AB2" s="2770"/>
      <c r="AC2" s="2770"/>
      <c r="AD2" s="2770"/>
      <c r="AE2" s="2770"/>
      <c r="AF2" s="2770"/>
      <c r="AG2" s="2770"/>
      <c r="AH2" s="2770"/>
      <c r="AI2" s="2770"/>
      <c r="AJ2" s="2770"/>
      <c r="AK2" s="2770"/>
      <c r="AL2" s="2770"/>
      <c r="AM2" s="2770"/>
      <c r="AN2" s="2770"/>
      <c r="AO2" s="2770"/>
      <c r="AP2" s="2770"/>
      <c r="AQ2" s="2770"/>
      <c r="AR2" s="2770"/>
      <c r="AS2" s="2770"/>
      <c r="AT2" s="2770"/>
      <c r="AU2" s="2770"/>
      <c r="AV2" s="2770"/>
      <c r="AW2" s="2770"/>
      <c r="AX2" s="2770"/>
      <c r="AY2" s="2770"/>
      <c r="AZ2" s="2770"/>
      <c r="BA2" s="2770"/>
      <c r="BB2" s="2770"/>
      <c r="BC2" s="2770"/>
      <c r="BD2" s="2770"/>
      <c r="BE2" s="2770"/>
      <c r="BF2" s="2770"/>
      <c r="BG2" s="2770"/>
      <c r="BH2" s="2770"/>
      <c r="BI2" s="2770"/>
      <c r="BJ2" s="2770"/>
      <c r="BK2" s="2770"/>
      <c r="BL2" s="2770"/>
      <c r="BM2" s="2770"/>
      <c r="BN2" s="2770"/>
      <c r="BO2" s="2770"/>
      <c r="BP2" s="2770"/>
      <c r="BQ2" s="2770"/>
      <c r="BR2" s="2770"/>
      <c r="BS2" s="2770"/>
      <c r="BT2" s="2770"/>
      <c r="BU2" s="2770"/>
      <c r="BV2" s="2770"/>
      <c r="BW2" s="2770"/>
      <c r="BX2" s="2770"/>
      <c r="BY2" s="2770"/>
      <c r="BZ2" s="2770"/>
      <c r="CA2" s="2770"/>
      <c r="CB2" s="2770"/>
      <c r="CC2" s="2770"/>
      <c r="CD2" s="2770"/>
      <c r="CE2" s="2770"/>
      <c r="CF2" s="2770"/>
      <c r="CG2" s="2770"/>
      <c r="CH2" s="2770"/>
      <c r="CI2" s="2770"/>
      <c r="CJ2" s="2770"/>
      <c r="CK2" s="2770"/>
      <c r="CL2" s="2770"/>
      <c r="CM2" s="2770"/>
      <c r="CN2" s="2770"/>
      <c r="CO2" s="2770"/>
      <c r="CP2" s="2770"/>
      <c r="CQ2" s="2770"/>
      <c r="CR2" s="2770"/>
      <c r="CS2" s="2770"/>
      <c r="CT2" s="2770"/>
      <c r="CU2" s="2770"/>
      <c r="CV2" s="2770"/>
      <c r="CW2" s="2770"/>
      <c r="CX2" s="2770"/>
      <c r="CY2" s="2770"/>
      <c r="CZ2" s="2770"/>
      <c r="DA2" s="2770"/>
      <c r="DB2" s="2770"/>
      <c r="DC2" s="2770"/>
      <c r="DD2" s="2770"/>
      <c r="DE2" s="2770"/>
      <c r="DF2" s="2770"/>
      <c r="DG2" s="2770"/>
      <c r="DH2" s="2770"/>
      <c r="DI2" s="2770"/>
      <c r="DJ2" s="2770"/>
      <c r="DK2" s="2770"/>
      <c r="DL2" s="2770"/>
      <c r="DM2" s="2770"/>
      <c r="DN2" s="2770"/>
      <c r="DO2" s="2770"/>
      <c r="DP2" s="2770"/>
      <c r="DQ2" s="2770"/>
      <c r="DR2" s="2770"/>
      <c r="DS2" s="2770"/>
      <c r="DT2" s="2770"/>
      <c r="DU2" s="2770"/>
      <c r="DV2" s="2770"/>
      <c r="DW2" s="2770"/>
      <c r="DX2" s="2770"/>
      <c r="DY2" s="2770"/>
      <c r="DZ2" s="2770"/>
      <c r="EA2" s="2770"/>
      <c r="EB2" s="2770"/>
      <c r="EC2" s="2770"/>
      <c r="ED2" s="2770"/>
      <c r="EE2" s="2770"/>
      <c r="EF2" s="2770"/>
      <c r="EG2" s="2770"/>
      <c r="EH2" s="2770"/>
      <c r="EI2" s="2770"/>
      <c r="EJ2" s="2770"/>
      <c r="EK2" s="2770"/>
      <c r="EL2" s="2770"/>
      <c r="EM2" s="2770"/>
      <c r="EN2" s="2770"/>
      <c r="EO2" s="2770"/>
      <c r="EP2" s="2770"/>
      <c r="EQ2" s="2770"/>
      <c r="ER2" s="2770"/>
      <c r="ES2" s="2770"/>
      <c r="ET2" s="2770"/>
      <c r="EU2" s="2770"/>
      <c r="EV2" s="2770"/>
      <c r="EW2" s="2770"/>
      <c r="EX2" s="2770"/>
      <c r="EY2" s="2770"/>
      <c r="EZ2" s="2770"/>
      <c r="FA2" s="2770"/>
      <c r="FB2" s="2770"/>
      <c r="FC2" s="2770"/>
      <c r="FD2" s="2770"/>
      <c r="FE2" s="2770"/>
      <c r="FF2" s="2770"/>
      <c r="FG2" s="2770"/>
      <c r="FH2" s="2770"/>
      <c r="FI2" s="2770"/>
      <c r="FJ2" s="2770"/>
      <c r="FK2" s="2770"/>
      <c r="FL2" s="2770"/>
      <c r="FM2" s="2770"/>
      <c r="FN2" s="2770"/>
      <c r="FO2" s="2770"/>
      <c r="FP2" s="2770"/>
      <c r="FQ2" s="2770"/>
      <c r="FR2" s="2770"/>
      <c r="FS2" s="2770"/>
      <c r="FT2" s="2770"/>
      <c r="FU2" s="2770"/>
      <c r="FV2" s="2770"/>
      <c r="FW2" s="2770"/>
      <c r="FX2" s="2770"/>
      <c r="FY2" s="2770"/>
      <c r="FZ2" s="2770"/>
      <c r="GA2" s="2770"/>
      <c r="GB2" s="2770"/>
      <c r="GC2" s="2770"/>
      <c r="GD2" s="2770"/>
      <c r="GE2" s="2770"/>
      <c r="GF2" s="2770"/>
      <c r="GG2" s="2770"/>
      <c r="GH2" s="2770"/>
      <c r="GI2" s="2770"/>
      <c r="GJ2" s="2770"/>
      <c r="GK2" s="2770"/>
      <c r="GL2" s="2770"/>
      <c r="GM2" s="2770"/>
      <c r="GN2" s="2770"/>
      <c r="GO2" s="2770"/>
      <c r="GP2" s="2770"/>
      <c r="GQ2" s="2770"/>
      <c r="GR2" s="2770"/>
      <c r="GS2" s="2770"/>
      <c r="GT2" s="2770"/>
      <c r="GU2" s="2770"/>
      <c r="GV2" s="2770"/>
      <c r="GW2" s="2770"/>
      <c r="GX2" s="2770"/>
      <c r="GY2" s="2770"/>
      <c r="GZ2" s="2770"/>
      <c r="HA2" s="2770"/>
      <c r="HB2" s="2770"/>
      <c r="HC2" s="2770"/>
      <c r="HD2" s="2770"/>
      <c r="HE2" s="2770"/>
      <c r="HF2" s="2770"/>
      <c r="HG2" s="2770"/>
      <c r="HH2" s="2770"/>
      <c r="HI2" s="2770"/>
      <c r="HJ2" s="2770"/>
      <c r="HK2" s="2770"/>
      <c r="HL2" s="2770"/>
      <c r="HM2" s="2770"/>
      <c r="HN2" s="2770"/>
      <c r="HO2" s="2770"/>
      <c r="HP2" s="2770"/>
      <c r="HQ2" s="2770"/>
      <c r="HR2" s="2770"/>
      <c r="HS2" s="2770"/>
      <c r="HT2" s="2770"/>
      <c r="HU2" s="2770"/>
      <c r="HV2" s="2770"/>
      <c r="HW2" s="2770"/>
      <c r="HX2" s="2770"/>
      <c r="HY2" s="2770"/>
      <c r="HZ2" s="2770"/>
      <c r="IA2" s="2770"/>
      <c r="IB2" s="2770"/>
      <c r="IC2" s="2770"/>
      <c r="ID2" s="2770"/>
      <c r="IE2" s="2770"/>
      <c r="IF2" s="2770"/>
      <c r="IG2" s="2770"/>
      <c r="IH2" s="2770"/>
      <c r="II2" s="2770"/>
      <c r="IJ2" s="2770"/>
      <c r="IK2" s="2770"/>
      <c r="IL2" s="2770"/>
      <c r="IM2" s="2770"/>
      <c r="IN2" s="2770"/>
      <c r="IO2" s="2770"/>
      <c r="IP2" s="2770"/>
      <c r="IQ2" s="2770"/>
      <c r="IR2" s="2770"/>
      <c r="IS2" s="2770"/>
      <c r="IT2" s="2770"/>
      <c r="IU2" s="2770"/>
      <c r="IV2" s="2770"/>
    </row>
    <row r="3" spans="1:256" ht="33" customHeight="1">
      <c r="A3" s="2771" t="s">
        <v>163</v>
      </c>
      <c r="B3" s="2771"/>
      <c r="C3" s="2771"/>
      <c r="D3" s="2771"/>
      <c r="E3" s="2771"/>
      <c r="F3" s="2771"/>
      <c r="G3" s="2771"/>
      <c r="H3" s="2771"/>
      <c r="I3" s="2771"/>
      <c r="J3" s="2771"/>
      <c r="K3" s="2771"/>
      <c r="L3" s="2771"/>
    </row>
    <row r="4" spans="1:256" s="87" customFormat="1" ht="18.5" thickBot="1">
      <c r="A4" s="2196" t="s">
        <v>164</v>
      </c>
      <c r="B4" s="2196"/>
      <c r="C4" s="2196"/>
      <c r="D4" s="2196"/>
      <c r="E4" s="2196"/>
      <c r="F4" s="2196"/>
      <c r="G4" s="2196"/>
      <c r="H4" s="2196"/>
      <c r="I4" s="2196"/>
      <c r="J4" s="2196"/>
      <c r="K4" s="2196"/>
      <c r="L4" s="2196"/>
    </row>
    <row r="5" spans="1:256" ht="36.75" customHeight="1">
      <c r="A5" s="2122" t="s">
        <v>220</v>
      </c>
      <c r="B5" s="2122"/>
      <c r="C5" s="2173" t="str">
        <f>IF('Customer Information'!C5="","",'Customer Information'!C5)</f>
        <v/>
      </c>
      <c r="D5" s="2173"/>
      <c r="E5" s="2173"/>
      <c r="F5" s="2173"/>
      <c r="I5" s="349" t="s">
        <v>212</v>
      </c>
      <c r="J5" s="1402" t="str">
        <f>IF('Customer Information'!K9="","",'Customer Information'!K9)</f>
        <v/>
      </c>
      <c r="K5" s="1402"/>
      <c r="L5" s="1402"/>
    </row>
    <row r="6" spans="1:256" ht="24.75" customHeight="1">
      <c r="A6" s="2122" t="s">
        <v>10</v>
      </c>
      <c r="B6" s="2122"/>
      <c r="C6" s="2127" t="str">
        <f>IF('Customer Information'!C6="","",'Customer Information'!C6)</f>
        <v/>
      </c>
      <c r="D6" s="2127"/>
      <c r="E6" s="2127"/>
      <c r="F6" s="2127"/>
      <c r="H6" s="2773" t="s">
        <v>214</v>
      </c>
      <c r="I6" s="2131"/>
      <c r="J6" s="1401" t="str">
        <f>IF('Customer Information'!K10="","",'Customer Information'!K10)</f>
        <v/>
      </c>
      <c r="K6" s="1401"/>
      <c r="L6" s="1401"/>
    </row>
    <row r="7" spans="1:256" ht="30" customHeight="1">
      <c r="A7" s="2122" t="s">
        <v>210</v>
      </c>
      <c r="B7" s="2122"/>
      <c r="C7" s="2176" t="str">
        <f>IF('Customer Information'!C7="","",'Customer Information'!C7)</f>
        <v/>
      </c>
      <c r="D7" s="2176"/>
      <c r="E7" s="2176"/>
      <c r="F7" s="2176"/>
    </row>
    <row r="8" spans="1:256" ht="34" customHeight="1">
      <c r="A8" s="2774" t="s">
        <v>227</v>
      </c>
      <c r="B8" s="2774"/>
      <c r="C8" s="2176" t="str">
        <f>IF('Customer Information'!C8="","",'Customer Information'!C8)</f>
        <v/>
      </c>
      <c r="D8" s="2176"/>
      <c r="E8" s="2176"/>
      <c r="F8" s="2176"/>
      <c r="H8" s="31"/>
      <c r="I8" s="32"/>
      <c r="J8" s="348"/>
      <c r="K8" s="348"/>
      <c r="L8" s="348"/>
    </row>
    <row r="9" spans="1:256" ht="34.5" customHeight="1">
      <c r="A9" s="2774" t="s">
        <v>1876</v>
      </c>
      <c r="B9" s="2774"/>
      <c r="C9" s="2176" t="str">
        <f>IF('EFS Pre-Approval'!C14="","",'EFS Pre-Approval'!C14)</f>
        <v/>
      </c>
      <c r="D9" s="2176"/>
      <c r="E9" s="2176"/>
      <c r="F9" s="2176"/>
      <c r="H9" s="31"/>
      <c r="I9" s="32"/>
      <c r="J9" s="348"/>
      <c r="K9" s="348"/>
      <c r="L9" s="348"/>
    </row>
    <row r="10" spans="1:256" ht="17.25" customHeight="1">
      <c r="A10" s="655"/>
      <c r="B10" s="33"/>
      <c r="C10" s="347"/>
      <c r="D10" s="347"/>
      <c r="E10" s="347"/>
      <c r="F10" s="347"/>
      <c r="G10" s="347"/>
      <c r="H10" s="347"/>
      <c r="I10" s="347"/>
      <c r="J10" s="348"/>
      <c r="K10" s="348"/>
      <c r="L10" s="348"/>
    </row>
    <row r="11" spans="1:256" ht="17.25" customHeight="1" thickBot="1">
      <c r="A11" s="2196" t="s">
        <v>67</v>
      </c>
      <c r="B11" s="2196"/>
      <c r="C11" s="2196"/>
      <c r="D11" s="2196"/>
      <c r="E11" s="2196"/>
      <c r="F11" s="2196"/>
      <c r="G11" s="2196"/>
      <c r="H11" s="2196"/>
      <c r="I11" s="2196"/>
      <c r="J11" s="2196"/>
      <c r="K11" s="2196"/>
      <c r="L11" s="2196"/>
    </row>
    <row r="12" spans="1:256" ht="17.25" customHeight="1">
      <c r="A12" s="33"/>
      <c r="B12" s="33"/>
      <c r="C12" s="347"/>
      <c r="D12" s="347"/>
      <c r="E12" s="347"/>
      <c r="F12" s="347"/>
      <c r="G12" s="347"/>
      <c r="H12" s="347"/>
      <c r="I12" s="347"/>
      <c r="J12" s="348"/>
      <c r="K12" s="348"/>
      <c r="L12" s="348"/>
    </row>
    <row r="13" spans="1:256" ht="17.25" customHeight="1">
      <c r="A13" s="33"/>
      <c r="B13" s="33"/>
      <c r="C13" s="347"/>
      <c r="D13" s="347"/>
      <c r="E13" s="347"/>
      <c r="F13" s="347"/>
      <c r="G13" s="347"/>
      <c r="H13" s="347"/>
      <c r="I13" s="347"/>
      <c r="J13" s="348"/>
      <c r="K13" s="348"/>
      <c r="L13" s="348"/>
    </row>
    <row r="14" spans="1:256" ht="17.25" customHeight="1">
      <c r="A14" s="34"/>
      <c r="B14" s="33"/>
      <c r="C14" s="347"/>
      <c r="D14" s="347"/>
      <c r="E14" s="347"/>
      <c r="F14" s="347"/>
      <c r="G14" s="347"/>
      <c r="H14" s="347"/>
      <c r="I14" s="347"/>
      <c r="J14" s="348"/>
      <c r="K14" s="348"/>
      <c r="L14" s="348"/>
    </row>
    <row r="15" spans="1:256" ht="17.25" customHeight="1">
      <c r="A15" s="33"/>
      <c r="B15" s="33"/>
      <c r="C15" s="347"/>
      <c r="D15" s="347"/>
      <c r="E15" s="347"/>
      <c r="F15" s="347"/>
      <c r="G15" s="347"/>
      <c r="H15" s="347"/>
      <c r="I15" s="347"/>
      <c r="J15" s="348"/>
      <c r="K15" s="348"/>
      <c r="L15" s="348"/>
    </row>
    <row r="16" spans="1:256" s="87" customFormat="1" ht="18.5" thickBot="1">
      <c r="A16" s="2196" t="s">
        <v>165</v>
      </c>
      <c r="B16" s="2196"/>
      <c r="C16" s="2196"/>
      <c r="D16" s="2196"/>
      <c r="E16" s="2196"/>
      <c r="F16" s="2196"/>
      <c r="G16" s="2196"/>
      <c r="H16" s="2196"/>
      <c r="I16" s="2196"/>
      <c r="J16" s="2196"/>
      <c r="K16" s="2196"/>
      <c r="L16" s="2196"/>
    </row>
    <row r="17" spans="1:12" ht="9" customHeight="1">
      <c r="A17" s="33"/>
      <c r="B17" s="33"/>
    </row>
    <row r="18" spans="1:12" ht="17.25" customHeight="1">
      <c r="A18" s="35"/>
      <c r="B18" s="35"/>
      <c r="C18" s="347"/>
      <c r="D18" s="347"/>
      <c r="E18" s="347"/>
      <c r="F18" s="347"/>
      <c r="G18" s="347"/>
      <c r="H18" s="347"/>
      <c r="I18" s="347"/>
      <c r="J18" s="348"/>
      <c r="K18" s="348"/>
      <c r="L18" s="348"/>
    </row>
    <row r="19" spans="1:12" ht="26.15" customHeight="1">
      <c r="A19" s="2131" t="s">
        <v>166</v>
      </c>
      <c r="B19" s="2131"/>
      <c r="C19" s="2131"/>
      <c r="D19" s="89"/>
      <c r="I19" s="76"/>
      <c r="J19" s="349" t="s">
        <v>167</v>
      </c>
      <c r="K19" s="1400"/>
      <c r="L19" s="1400"/>
    </row>
    <row r="20" spans="1:12" ht="26.15" customHeight="1">
      <c r="A20" s="346"/>
      <c r="B20" s="346"/>
      <c r="C20" s="346"/>
      <c r="D20" s="348"/>
      <c r="E20" s="348"/>
      <c r="F20" s="348"/>
      <c r="H20" s="346"/>
      <c r="I20" s="346"/>
      <c r="J20" s="346"/>
      <c r="K20" s="346"/>
      <c r="L20" s="36"/>
    </row>
    <row r="21" spans="1:12" ht="26.15" customHeight="1">
      <c r="K21" s="349" t="s">
        <v>168</v>
      </c>
      <c r="L21" s="1400"/>
    </row>
    <row r="22" spans="1:12" ht="18" customHeight="1"/>
    <row r="23" spans="1:12" ht="18" customHeight="1">
      <c r="A23" s="2772" t="s">
        <v>184</v>
      </c>
      <c r="B23" s="2772"/>
      <c r="C23" s="2772"/>
      <c r="D23" s="2772"/>
      <c r="E23" s="2772"/>
      <c r="F23" s="2772"/>
      <c r="G23" s="2772"/>
      <c r="H23" s="2772"/>
      <c r="I23" s="2772"/>
      <c r="J23" s="2772"/>
      <c r="K23" s="2772"/>
      <c r="L23" s="2772"/>
    </row>
    <row r="24" spans="1:12" ht="18" customHeight="1">
      <c r="A24" s="37"/>
      <c r="H24" s="37"/>
    </row>
    <row r="25" spans="1:12" ht="18" customHeight="1">
      <c r="A25" s="33"/>
      <c r="H25" s="33"/>
    </row>
    <row r="26" spans="1:12" ht="18" customHeight="1">
      <c r="B26" s="38" t="s">
        <v>177</v>
      </c>
      <c r="H26" s="39"/>
    </row>
    <row r="27" spans="1:12" ht="15" customHeight="1"/>
    <row r="28" spans="1:12" s="87" customFormat="1" ht="15" customHeight="1">
      <c r="A28" s="2776" t="s">
        <v>138</v>
      </c>
      <c r="B28" s="2776"/>
      <c r="C28" s="2776"/>
      <c r="D28" s="2776"/>
      <c r="E28" s="2776"/>
      <c r="F28" s="2776"/>
      <c r="G28" s="2776"/>
      <c r="H28" s="2776"/>
      <c r="I28" s="2776"/>
      <c r="J28" s="2776"/>
      <c r="K28" s="2776"/>
      <c r="L28" s="2776"/>
    </row>
    <row r="29" spans="1:12" ht="15" customHeight="1">
      <c r="A29" s="2781"/>
      <c r="B29" s="2781"/>
      <c r="C29" s="2781"/>
      <c r="D29" s="2781"/>
      <c r="E29" s="2781"/>
      <c r="F29" s="2781"/>
      <c r="G29" s="2781"/>
      <c r="H29" s="2781"/>
      <c r="I29" s="2781"/>
      <c r="J29" s="2781"/>
      <c r="K29" s="2781"/>
      <c r="L29" s="2781"/>
    </row>
    <row r="30" spans="1:12" ht="65.150000000000006" customHeight="1">
      <c r="A30" s="2779" t="s">
        <v>237</v>
      </c>
      <c r="B30" s="2780"/>
      <c r="C30" s="2780"/>
      <c r="D30" s="2780"/>
      <c r="E30" s="2780"/>
      <c r="F30" s="2780"/>
      <c r="G30" s="2780"/>
      <c r="H30" s="2780"/>
      <c r="I30" s="2780"/>
      <c r="J30" s="2780"/>
      <c r="K30" s="2780"/>
      <c r="L30" s="2780"/>
    </row>
    <row r="31" spans="1:12" ht="44.25" customHeight="1">
      <c r="A31" s="2775" t="s">
        <v>176</v>
      </c>
      <c r="B31" s="2775"/>
      <c r="C31" s="2775"/>
      <c r="D31" s="2775"/>
      <c r="E31" s="2775"/>
      <c r="F31" s="2775"/>
      <c r="G31" s="2775"/>
      <c r="H31" s="2775"/>
      <c r="I31" s="2775"/>
      <c r="J31" s="2775"/>
      <c r="K31" s="2775"/>
      <c r="L31" s="2775"/>
    </row>
    <row r="32" spans="1:12" ht="20.149999999999999" customHeight="1">
      <c r="A32" s="360"/>
      <c r="B32" s="40"/>
      <c r="C32" s="40"/>
      <c r="D32" s="40"/>
      <c r="E32" s="40"/>
      <c r="F32" s="40"/>
      <c r="G32" s="40"/>
      <c r="H32" s="40"/>
      <c r="I32" s="40"/>
      <c r="J32" s="40"/>
      <c r="K32" s="40"/>
      <c r="L32" s="40"/>
    </row>
    <row r="33" spans="1:13" ht="30" customHeight="1">
      <c r="A33" s="2141" t="s">
        <v>139</v>
      </c>
      <c r="B33" s="2141"/>
      <c r="C33" s="2108"/>
      <c r="D33" s="2108"/>
      <c r="E33" s="2108"/>
      <c r="F33" s="2108"/>
      <c r="G33" s="2108"/>
      <c r="H33" s="2108"/>
      <c r="I33" s="2108"/>
    </row>
    <row r="34" spans="1:13" ht="20.149999999999999" customHeight="1">
      <c r="A34" s="344"/>
      <c r="B34" s="345"/>
      <c r="C34" s="347"/>
      <c r="D34" s="347"/>
      <c r="E34" s="347"/>
      <c r="F34" s="347"/>
      <c r="G34" s="347"/>
      <c r="H34" s="347"/>
      <c r="I34" s="347"/>
    </row>
    <row r="35" spans="1:13" ht="34.5" customHeight="1">
      <c r="A35" s="2141" t="s">
        <v>140</v>
      </c>
      <c r="B35" s="2141"/>
      <c r="C35" s="2777"/>
      <c r="D35" s="2777"/>
      <c r="E35" s="2777"/>
      <c r="F35" s="2777"/>
      <c r="G35" s="2777"/>
      <c r="H35" s="2777"/>
      <c r="I35" s="2777"/>
      <c r="J35" s="76" t="s">
        <v>9</v>
      </c>
      <c r="K35" s="1399"/>
      <c r="L35" s="1399"/>
      <c r="M35" s="88"/>
    </row>
    <row r="36" spans="1:13" s="87" customFormat="1" ht="18" hidden="1">
      <c r="A36" s="2776"/>
      <c r="B36" s="2776"/>
      <c r="C36" s="2776"/>
      <c r="D36" s="2776"/>
      <c r="E36" s="2776"/>
      <c r="F36" s="2776"/>
      <c r="G36" s="2776"/>
      <c r="H36" s="2776"/>
      <c r="I36" s="2776"/>
      <c r="J36" s="2776"/>
      <c r="K36" s="2776"/>
      <c r="L36" s="2776"/>
    </row>
    <row r="37" spans="1:13" s="87" customFormat="1" ht="18" hidden="1">
      <c r="A37" s="2778" t="s">
        <v>169</v>
      </c>
      <c r="B37" s="2778"/>
      <c r="C37" s="2778"/>
      <c r="D37" s="2778"/>
      <c r="E37" s="2778"/>
      <c r="F37" s="2778"/>
      <c r="G37" s="2778"/>
      <c r="H37" s="2778"/>
      <c r="I37" s="2778"/>
      <c r="J37" s="2778"/>
      <c r="K37" s="2778"/>
      <c r="L37" s="2778"/>
    </row>
    <row r="38" spans="1:13" ht="87" customHeight="1">
      <c r="A38" s="2779" t="s">
        <v>238</v>
      </c>
      <c r="B38" s="2780"/>
      <c r="C38" s="2780"/>
      <c r="D38" s="2780"/>
      <c r="E38" s="2780"/>
      <c r="F38" s="2780"/>
      <c r="G38" s="2780"/>
      <c r="H38" s="2780"/>
      <c r="I38" s="2780"/>
      <c r="J38" s="2780"/>
      <c r="K38" s="2780"/>
      <c r="L38" s="2780"/>
    </row>
    <row r="39" spans="1:13" ht="20.149999999999999" customHeight="1">
      <c r="A39" s="360"/>
      <c r="B39" s="40"/>
      <c r="C39" s="40"/>
      <c r="D39" s="40"/>
      <c r="E39" s="40"/>
      <c r="F39" s="40"/>
      <c r="G39" s="40"/>
      <c r="H39" s="40"/>
      <c r="I39" s="40"/>
      <c r="J39" s="40"/>
      <c r="K39" s="40"/>
      <c r="L39" s="40"/>
    </row>
    <row r="40" spans="1:13" ht="20.149999999999999" customHeight="1">
      <c r="A40" s="360"/>
      <c r="B40" s="40"/>
      <c r="C40" s="40"/>
      <c r="D40" s="40"/>
      <c r="E40" s="40"/>
      <c r="F40" s="40"/>
      <c r="G40" s="40"/>
      <c r="H40" s="40"/>
      <c r="I40" s="40"/>
      <c r="J40" s="40"/>
      <c r="K40" s="40"/>
      <c r="L40" s="40"/>
    </row>
    <row r="41" spans="1:13" ht="30" customHeight="1">
      <c r="A41" s="346" t="s">
        <v>170</v>
      </c>
      <c r="C41" s="2388" t="str">
        <f>IF('Customer Information'!C23="","",'Customer Information'!C23)</f>
        <v/>
      </c>
      <c r="D41" s="2388"/>
      <c r="E41" s="2388"/>
      <c r="F41" s="2388"/>
      <c r="G41" s="2388"/>
      <c r="H41" s="2388"/>
      <c r="I41" s="2388"/>
    </row>
    <row r="42" spans="1:13" ht="20.149999999999999" customHeight="1">
      <c r="A42" s="346"/>
      <c r="C42" s="347"/>
      <c r="D42" s="347"/>
      <c r="E42" s="347"/>
      <c r="F42" s="347"/>
      <c r="G42" s="347"/>
      <c r="H42" s="347"/>
      <c r="I42" s="347"/>
    </row>
    <row r="43" spans="1:13" ht="34.5" customHeight="1">
      <c r="A43" s="346" t="s">
        <v>11</v>
      </c>
      <c r="C43" s="2777"/>
      <c r="D43" s="2777"/>
      <c r="E43" s="2777"/>
      <c r="F43" s="2777"/>
      <c r="G43" s="2777"/>
      <c r="H43" s="2777"/>
      <c r="I43" s="2777"/>
      <c r="J43" s="76" t="s">
        <v>9</v>
      </c>
      <c r="K43" s="1399"/>
      <c r="L43" s="1399"/>
      <c r="M43" s="88"/>
    </row>
    <row r="44" spans="1:13" ht="20.149999999999999" customHeight="1">
      <c r="A44" s="344"/>
      <c r="B44" s="344"/>
      <c r="J44" s="76"/>
      <c r="K44" s="76"/>
      <c r="L44" s="41"/>
    </row>
    <row r="45" spans="1:13" ht="20.149999999999999" customHeight="1">
      <c r="A45" s="76" t="s">
        <v>174</v>
      </c>
      <c r="C45" s="69"/>
      <c r="D45" s="201" t="s">
        <v>589</v>
      </c>
      <c r="E45" s="69"/>
      <c r="F45" s="69"/>
      <c r="G45" s="69"/>
      <c r="H45" s="69"/>
      <c r="I45" s="69"/>
      <c r="J45" s="69"/>
      <c r="K45" s="69"/>
      <c r="L45" s="69"/>
    </row>
    <row r="46" spans="1:13" ht="20.149999999999999" customHeight="1">
      <c r="A46" s="344"/>
      <c r="B46" s="344"/>
      <c r="J46" s="76"/>
      <c r="K46" s="76"/>
      <c r="L46" s="41"/>
    </row>
    <row r="47" spans="1:13" ht="14" hidden="1"/>
    <row r="48" spans="1:13" ht="14" hidden="1"/>
    <row r="49" ht="14" hidden="1"/>
    <row r="50" ht="14" hidden="1"/>
    <row r="51" ht="14" hidden="1"/>
    <row r="52" ht="14" hidden="1"/>
    <row r="53" ht="14" hidden="1"/>
    <row r="54" ht="16.5" hidden="1" customHeight="1"/>
    <row r="55" ht="16.5" hidden="1" customHeight="1"/>
    <row r="56" ht="16.5" hidden="1" customHeight="1"/>
    <row r="57" ht="16.5" hidden="1" customHeight="1"/>
    <row r="58" ht="16.5" hidden="1" customHeight="1"/>
    <row r="59" ht="16.5" hidden="1" customHeight="1"/>
    <row r="60" ht="16.5" hidden="1" customHeight="1"/>
    <row r="61" ht="16.5" hidden="1" customHeight="1"/>
    <row r="62" ht="16.5" hidden="1" customHeight="1"/>
    <row r="63" ht="16.5" hidden="1" customHeight="1"/>
    <row r="64" ht="16.5" hidden="1" customHeight="1"/>
    <row r="65" spans="2:11" ht="16.5" hidden="1" customHeight="1"/>
    <row r="66" spans="2:11" ht="16.5" hidden="1" customHeight="1"/>
    <row r="67" spans="2:11" ht="16.5" hidden="1" customHeight="1"/>
    <row r="68" spans="2:11" ht="16.5" hidden="1" customHeight="1"/>
    <row r="69" spans="2:11" ht="16.5" hidden="1" customHeight="1"/>
    <row r="70" spans="2:11" ht="16.5" hidden="1" customHeight="1"/>
    <row r="71" spans="2:11" ht="16.5" hidden="1" customHeight="1"/>
    <row r="72" spans="2:11" ht="16.5" hidden="1" customHeight="1"/>
    <row r="73" spans="2:11" ht="16.5" hidden="1" customHeight="1"/>
    <row r="74" spans="2:11" ht="16.5" hidden="1" customHeight="1"/>
    <row r="75" spans="2:11" ht="16.5" hidden="1" customHeight="1"/>
    <row r="76" spans="2:11" ht="16.5" hidden="1" customHeight="1"/>
    <row r="77" spans="2:11" ht="16.5" hidden="1" customHeight="1"/>
    <row r="78" spans="2:11" s="94" customFormat="1" ht="14" hidden="1"/>
    <row r="79" spans="2:11" ht="16.5" customHeight="1">
      <c r="B79" s="93" t="s">
        <v>223</v>
      </c>
      <c r="C79" s="676" t="str">
        <f>Development!$A$2</f>
        <v>2.0</v>
      </c>
      <c r="J79" s="93" t="s">
        <v>225</v>
      </c>
      <c r="K79" s="92" t="str">
        <f>Development!$A$4</f>
        <v>4.01.2024</v>
      </c>
    </row>
    <row r="80" spans="2:11" ht="16.5" customHeight="1"/>
    <row r="81" ht="16.5" customHeight="1"/>
    <row r="82" ht="16.5" customHeight="1"/>
    <row r="83" ht="16.5" customHeight="1"/>
    <row r="84" ht="16.5" customHeight="1"/>
    <row r="85" ht="16.5" customHeight="1"/>
    <row r="86" ht="16.5" customHeight="1"/>
    <row r="87" ht="16.5" customHeight="1"/>
  </sheetData>
  <sheetProtection algorithmName="SHA-512" hashValue="vF+3T8T3BSK8meVuhDxvh1186bcPIuT0zSvdD5FkroPHhpIiRgy2mPM/EmAoaUFlv5yXKnfb7QjgtDXh05kxEg==" saltValue="k1fK6vSFDUC/cD0s4ekJLg==" spinCount="100000" sheet="1" objects="1" scenarios="1"/>
  <mergeCells count="78">
    <mergeCell ref="A31:L31"/>
    <mergeCell ref="A28:L28"/>
    <mergeCell ref="C43:I43"/>
    <mergeCell ref="A33:B33"/>
    <mergeCell ref="C33:I33"/>
    <mergeCell ref="A35:B35"/>
    <mergeCell ref="A36:L36"/>
    <mergeCell ref="A37:L37"/>
    <mergeCell ref="A38:L38"/>
    <mergeCell ref="C41:I41"/>
    <mergeCell ref="C35:I35"/>
    <mergeCell ref="A29:L29"/>
    <mergeCell ref="A30:L30"/>
    <mergeCell ref="A16:L16"/>
    <mergeCell ref="C7:F7"/>
    <mergeCell ref="H6:I6"/>
    <mergeCell ref="A19:C19"/>
    <mergeCell ref="A8:B8"/>
    <mergeCell ref="C8:F8"/>
    <mergeCell ref="A11:L11"/>
    <mergeCell ref="C9:F9"/>
    <mergeCell ref="A9:B9"/>
    <mergeCell ref="A7:B7"/>
    <mergeCell ref="C6:F6"/>
    <mergeCell ref="A23:L23"/>
    <mergeCell ref="EL1:EU1"/>
    <mergeCell ref="BT1:CC1"/>
    <mergeCell ref="BJ1:BS1"/>
    <mergeCell ref="DH1:DQ1"/>
    <mergeCell ref="CD1:CM1"/>
    <mergeCell ref="CN1:CW1"/>
    <mergeCell ref="V1:AE1"/>
    <mergeCell ref="AF1:AO1"/>
    <mergeCell ref="AP1:AY1"/>
    <mergeCell ref="AZ1:BI1"/>
    <mergeCell ref="V2:AE2"/>
    <mergeCell ref="AP2:AY2"/>
    <mergeCell ref="A4:L4"/>
    <mergeCell ref="EL2:EU2"/>
    <mergeCell ref="A6:B6"/>
    <mergeCell ref="EB2:EK2"/>
    <mergeCell ref="BJ2:BS2"/>
    <mergeCell ref="A5:B5"/>
    <mergeCell ref="C5:F5"/>
    <mergeCell ref="DH2:DQ2"/>
    <mergeCell ref="DR2:EA2"/>
    <mergeCell ref="CN2:CW2"/>
    <mergeCell ref="AF2:AO2"/>
    <mergeCell ref="BT2:CC2"/>
    <mergeCell ref="AZ2:BI2"/>
    <mergeCell ref="A3:L3"/>
    <mergeCell ref="IR1:IV1"/>
    <mergeCell ref="IR2:IV2"/>
    <mergeCell ref="CX1:DG1"/>
    <mergeCell ref="CD2:CM2"/>
    <mergeCell ref="HD2:HM2"/>
    <mergeCell ref="CX2:DG2"/>
    <mergeCell ref="EB1:EK1"/>
    <mergeCell ref="FF1:FO1"/>
    <mergeCell ref="HD1:HM1"/>
    <mergeCell ref="FZ1:GI1"/>
    <mergeCell ref="EV1:FE1"/>
    <mergeCell ref="EV2:FE2"/>
    <mergeCell ref="FZ2:GI2"/>
    <mergeCell ref="FF2:FO2"/>
    <mergeCell ref="FP2:FY2"/>
    <mergeCell ref="DR1:EA1"/>
    <mergeCell ref="GJ1:GS1"/>
    <mergeCell ref="HN1:HW1"/>
    <mergeCell ref="IH2:IQ2"/>
    <mergeCell ref="FP1:FY1"/>
    <mergeCell ref="HX2:IG2"/>
    <mergeCell ref="GJ2:GS2"/>
    <mergeCell ref="HX1:IG1"/>
    <mergeCell ref="HN2:HW2"/>
    <mergeCell ref="IH1:IQ1"/>
    <mergeCell ref="GT1:HC1"/>
    <mergeCell ref="GT2:HC2"/>
  </mergeCells>
  <hyperlinks>
    <hyperlink ref="D45" r:id="rId1" xr:uid="{00000000-0004-0000-1800-000000000000}"/>
  </hyperlinks>
  <printOptions horizontalCentered="1"/>
  <pageMargins left="0.2" right="0.2" top="0.75" bottom="0.75" header="0.3" footer="0.3"/>
  <pageSetup scale="56" orientation="portrait" r:id="rId2"/>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26626" r:id="rId5" name="Check Box 2">
              <controlPr defaultSize="0" autoFill="0" autoLine="0" autoPict="0">
                <anchor moveWithCells="1">
                  <from>
                    <xdr:col>0</xdr:col>
                    <xdr:colOff>57150</xdr:colOff>
                    <xdr:row>12</xdr:row>
                    <xdr:rowOff>0</xdr:rowOff>
                  </from>
                  <to>
                    <xdr:col>4</xdr:col>
                    <xdr:colOff>495300</xdr:colOff>
                    <xdr:row>13</xdr:row>
                    <xdr:rowOff>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0</xdr:col>
                    <xdr:colOff>57150</xdr:colOff>
                    <xdr:row>12</xdr:row>
                    <xdr:rowOff>342900</xdr:rowOff>
                  </from>
                  <to>
                    <xdr:col>2</xdr:col>
                    <xdr:colOff>603250</xdr:colOff>
                    <xdr:row>14</xdr:row>
                    <xdr:rowOff>0</xdr:rowOff>
                  </to>
                </anchor>
              </controlPr>
            </control>
          </mc:Choice>
        </mc:AlternateContent>
        <mc:AlternateContent xmlns:mc="http://schemas.openxmlformats.org/markup-compatibility/2006">
          <mc:Choice Requires="x14">
            <control shapeId="26628" r:id="rId7" name="Option Button 4">
              <controlPr defaultSize="0" autoFill="0" autoLine="0" autoPict="0">
                <anchor moveWithCells="1">
                  <from>
                    <xdr:col>4</xdr:col>
                    <xdr:colOff>152400</xdr:colOff>
                    <xdr:row>23</xdr:row>
                    <xdr:rowOff>88900</xdr:rowOff>
                  </from>
                  <to>
                    <xdr:col>8</xdr:col>
                    <xdr:colOff>469900</xdr:colOff>
                    <xdr:row>24</xdr:row>
                    <xdr:rowOff>88900</xdr:rowOff>
                  </to>
                </anchor>
              </controlPr>
            </control>
          </mc:Choice>
        </mc:AlternateContent>
        <mc:AlternateContent xmlns:mc="http://schemas.openxmlformats.org/markup-compatibility/2006">
          <mc:Choice Requires="x14">
            <control shapeId="26629" r:id="rId8" name="Option Button 5">
              <controlPr defaultSize="0" autoFill="0" autoLine="0" autoPict="0">
                <anchor moveWithCells="1">
                  <from>
                    <xdr:col>1</xdr:col>
                    <xdr:colOff>0</xdr:colOff>
                    <xdr:row>24</xdr:row>
                    <xdr:rowOff>38100</xdr:rowOff>
                  </from>
                  <to>
                    <xdr:col>3</xdr:col>
                    <xdr:colOff>0</xdr:colOff>
                    <xdr:row>25</xdr:row>
                    <xdr:rowOff>69850</xdr:rowOff>
                  </to>
                </anchor>
              </controlPr>
            </control>
          </mc:Choice>
        </mc:AlternateContent>
        <mc:AlternateContent xmlns:mc="http://schemas.openxmlformats.org/markup-compatibility/2006">
          <mc:Choice Requires="x14">
            <control shapeId="26630" r:id="rId9" name="Option Button 6">
              <controlPr defaultSize="0" autoFill="0" autoLine="0" autoPict="0">
                <anchor moveWithCells="1">
                  <from>
                    <xdr:col>1</xdr:col>
                    <xdr:colOff>0</xdr:colOff>
                    <xdr:row>23</xdr:row>
                    <xdr:rowOff>114300</xdr:rowOff>
                  </from>
                  <to>
                    <xdr:col>4</xdr:col>
                    <xdr:colOff>12700</xdr:colOff>
                    <xdr:row>24</xdr:row>
                    <xdr:rowOff>57150</xdr:rowOff>
                  </to>
                </anchor>
              </controlPr>
            </control>
          </mc:Choice>
        </mc:AlternateContent>
      </controls>
    </mc:Choice>
  </mc:AlternateContent>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EF958-B761-4276-B168-6A9C2DF4A2A0}">
  <sheetPr codeName="Sheet32">
    <tabColor rgb="FF00B050"/>
    <pageSetUpPr fitToPage="1"/>
  </sheetPr>
  <dimension ref="A1:IV106"/>
  <sheetViews>
    <sheetView showGridLines="0" zoomScaleNormal="100" workbookViewId="0"/>
  </sheetViews>
  <sheetFormatPr defaultColWidth="0" defaultRowHeight="16.5" customHeight="1" zeroHeight="1"/>
  <cols>
    <col min="1" max="1" width="18.54296875" style="157" customWidth="1"/>
    <col min="2" max="2" width="12.7265625" style="157" customWidth="1"/>
    <col min="3" max="3" width="13.54296875" style="157" customWidth="1"/>
    <col min="4" max="6" width="11.54296875" style="157" customWidth="1"/>
    <col min="7" max="7" width="1.54296875" style="157" customWidth="1"/>
    <col min="8" max="8" width="15.54296875" style="157" customWidth="1"/>
    <col min="9" max="10" width="11.54296875" style="157" customWidth="1"/>
    <col min="11" max="11" width="12.81640625" style="157" customWidth="1"/>
    <col min="12" max="12" width="11.54296875" style="157" customWidth="1"/>
    <col min="13" max="16384" width="9.1796875" style="157" hidden="1"/>
  </cols>
  <sheetData>
    <row r="1" spans="1:256" s="42" customFormat="1" ht="60" customHeight="1">
      <c r="A1" s="350" t="str">
        <f>Development!$A$3&amp;" Residential Efficiency Program"</f>
        <v>2024 Residential Efficiency Program</v>
      </c>
      <c r="B1" s="350"/>
      <c r="C1" s="350"/>
      <c r="D1" s="350"/>
      <c r="E1" s="350"/>
      <c r="F1" s="350"/>
      <c r="G1" s="350"/>
      <c r="H1" s="10"/>
      <c r="I1" s="9"/>
      <c r="J1" s="9"/>
      <c r="K1" s="9"/>
      <c r="L1" s="9"/>
      <c r="V1" s="2769"/>
      <c r="W1" s="2769"/>
      <c r="X1" s="2769"/>
      <c r="Y1" s="2769"/>
      <c r="Z1" s="2769"/>
      <c r="AA1" s="2769"/>
      <c r="AB1" s="2769"/>
      <c r="AC1" s="2769"/>
      <c r="AD1" s="2769"/>
      <c r="AE1" s="2769"/>
      <c r="AF1" s="2769"/>
      <c r="AG1" s="2769"/>
      <c r="AH1" s="2769"/>
      <c r="AI1" s="2769"/>
      <c r="AJ1" s="2769"/>
      <c r="AK1" s="2769"/>
      <c r="AL1" s="2769"/>
      <c r="AM1" s="2769"/>
      <c r="AN1" s="2769"/>
      <c r="AO1" s="2769"/>
      <c r="AP1" s="2769"/>
      <c r="AQ1" s="2769"/>
      <c r="AR1" s="2769"/>
      <c r="AS1" s="2769"/>
      <c r="AT1" s="2769"/>
      <c r="AU1" s="2769"/>
      <c r="AV1" s="2769"/>
      <c r="AW1" s="2769"/>
      <c r="AX1" s="2769"/>
      <c r="AY1" s="2769"/>
      <c r="AZ1" s="2769"/>
      <c r="BA1" s="2769"/>
      <c r="BB1" s="2769"/>
      <c r="BC1" s="2769"/>
      <c r="BD1" s="2769"/>
      <c r="BE1" s="2769"/>
      <c r="BF1" s="2769"/>
      <c r="BG1" s="2769"/>
      <c r="BH1" s="2769"/>
      <c r="BI1" s="2769"/>
      <c r="BJ1" s="2769"/>
      <c r="BK1" s="2769"/>
      <c r="BL1" s="2769"/>
      <c r="BM1" s="2769"/>
      <c r="BN1" s="2769"/>
      <c r="BO1" s="2769"/>
      <c r="BP1" s="2769"/>
      <c r="BQ1" s="2769"/>
      <c r="BR1" s="2769"/>
      <c r="BS1" s="2769"/>
      <c r="BT1" s="2769"/>
      <c r="BU1" s="2769"/>
      <c r="BV1" s="2769"/>
      <c r="BW1" s="2769"/>
      <c r="BX1" s="2769"/>
      <c r="BY1" s="2769"/>
      <c r="BZ1" s="2769"/>
      <c r="CA1" s="2769"/>
      <c r="CB1" s="2769"/>
      <c r="CC1" s="2769"/>
      <c r="CD1" s="2769"/>
      <c r="CE1" s="2769"/>
      <c r="CF1" s="2769"/>
      <c r="CG1" s="2769"/>
      <c r="CH1" s="2769"/>
      <c r="CI1" s="2769"/>
      <c r="CJ1" s="2769"/>
      <c r="CK1" s="2769"/>
      <c r="CL1" s="2769"/>
      <c r="CM1" s="2769"/>
      <c r="CN1" s="2769"/>
      <c r="CO1" s="2769"/>
      <c r="CP1" s="2769"/>
      <c r="CQ1" s="2769"/>
      <c r="CR1" s="2769"/>
      <c r="CS1" s="2769"/>
      <c r="CT1" s="2769"/>
      <c r="CU1" s="2769"/>
      <c r="CV1" s="2769"/>
      <c r="CW1" s="2769"/>
      <c r="CX1" s="2769"/>
      <c r="CY1" s="2769"/>
      <c r="CZ1" s="2769"/>
      <c r="DA1" s="2769"/>
      <c r="DB1" s="2769"/>
      <c r="DC1" s="2769"/>
      <c r="DD1" s="2769"/>
      <c r="DE1" s="2769"/>
      <c r="DF1" s="2769"/>
      <c r="DG1" s="2769"/>
      <c r="DH1" s="2769"/>
      <c r="DI1" s="2769"/>
      <c r="DJ1" s="2769"/>
      <c r="DK1" s="2769"/>
      <c r="DL1" s="2769"/>
      <c r="DM1" s="2769"/>
      <c r="DN1" s="2769"/>
      <c r="DO1" s="2769"/>
      <c r="DP1" s="2769"/>
      <c r="DQ1" s="2769"/>
      <c r="DR1" s="2769"/>
      <c r="DS1" s="2769"/>
      <c r="DT1" s="2769"/>
      <c r="DU1" s="2769"/>
      <c r="DV1" s="2769"/>
      <c r="DW1" s="2769"/>
      <c r="DX1" s="2769"/>
      <c r="DY1" s="2769"/>
      <c r="DZ1" s="2769"/>
      <c r="EA1" s="2769"/>
      <c r="EB1" s="2769"/>
      <c r="EC1" s="2769"/>
      <c r="ED1" s="2769"/>
      <c r="EE1" s="2769"/>
      <c r="EF1" s="2769"/>
      <c r="EG1" s="2769"/>
      <c r="EH1" s="2769"/>
      <c r="EI1" s="2769"/>
      <c r="EJ1" s="2769"/>
      <c r="EK1" s="2769"/>
      <c r="EL1" s="2769"/>
      <c r="EM1" s="2769"/>
      <c r="EN1" s="2769"/>
      <c r="EO1" s="2769"/>
      <c r="EP1" s="2769"/>
      <c r="EQ1" s="2769"/>
      <c r="ER1" s="2769"/>
      <c r="ES1" s="2769"/>
      <c r="ET1" s="2769"/>
      <c r="EU1" s="2769"/>
      <c r="EV1" s="2769"/>
      <c r="EW1" s="2769"/>
      <c r="EX1" s="2769"/>
      <c r="EY1" s="2769"/>
      <c r="EZ1" s="2769"/>
      <c r="FA1" s="2769"/>
      <c r="FB1" s="2769"/>
      <c r="FC1" s="2769"/>
      <c r="FD1" s="2769"/>
      <c r="FE1" s="2769"/>
      <c r="FF1" s="2769"/>
      <c r="FG1" s="2769"/>
      <c r="FH1" s="2769"/>
      <c r="FI1" s="2769"/>
      <c r="FJ1" s="2769"/>
      <c r="FK1" s="2769"/>
      <c r="FL1" s="2769"/>
      <c r="FM1" s="2769"/>
      <c r="FN1" s="2769"/>
      <c r="FO1" s="2769"/>
      <c r="FP1" s="2769"/>
      <c r="FQ1" s="2769"/>
      <c r="FR1" s="2769"/>
      <c r="FS1" s="2769"/>
      <c r="FT1" s="2769"/>
      <c r="FU1" s="2769"/>
      <c r="FV1" s="2769"/>
      <c r="FW1" s="2769"/>
      <c r="FX1" s="2769"/>
      <c r="FY1" s="2769"/>
      <c r="FZ1" s="2769"/>
      <c r="GA1" s="2769"/>
      <c r="GB1" s="2769"/>
      <c r="GC1" s="2769"/>
      <c r="GD1" s="2769"/>
      <c r="GE1" s="2769"/>
      <c r="GF1" s="2769"/>
      <c r="GG1" s="2769"/>
      <c r="GH1" s="2769"/>
      <c r="GI1" s="2769"/>
      <c r="GJ1" s="2769"/>
      <c r="GK1" s="2769"/>
      <c r="GL1" s="2769"/>
      <c r="GM1" s="2769"/>
      <c r="GN1" s="2769"/>
      <c r="GO1" s="2769"/>
      <c r="GP1" s="2769"/>
      <c r="GQ1" s="2769"/>
      <c r="GR1" s="2769"/>
      <c r="GS1" s="2769"/>
      <c r="GT1" s="2769"/>
      <c r="GU1" s="2769"/>
      <c r="GV1" s="2769"/>
      <c r="GW1" s="2769"/>
      <c r="GX1" s="2769"/>
      <c r="GY1" s="2769"/>
      <c r="GZ1" s="2769"/>
      <c r="HA1" s="2769"/>
      <c r="HB1" s="2769"/>
      <c r="HC1" s="2769"/>
      <c r="HD1" s="2769"/>
      <c r="HE1" s="2769"/>
      <c r="HF1" s="2769"/>
      <c r="HG1" s="2769"/>
      <c r="HH1" s="2769"/>
      <c r="HI1" s="2769"/>
      <c r="HJ1" s="2769"/>
      <c r="HK1" s="2769"/>
      <c r="HL1" s="2769"/>
      <c r="HM1" s="2769"/>
      <c r="HN1" s="2769"/>
      <c r="HO1" s="2769"/>
      <c r="HP1" s="2769"/>
      <c r="HQ1" s="2769"/>
      <c r="HR1" s="2769"/>
      <c r="HS1" s="2769"/>
      <c r="HT1" s="2769"/>
      <c r="HU1" s="2769"/>
      <c r="HV1" s="2769"/>
      <c r="HW1" s="2769"/>
      <c r="HX1" s="2769"/>
      <c r="HY1" s="2769"/>
      <c r="HZ1" s="2769"/>
      <c r="IA1" s="2769"/>
      <c r="IB1" s="2769"/>
      <c r="IC1" s="2769"/>
      <c r="ID1" s="2769"/>
      <c r="IE1" s="2769"/>
      <c r="IF1" s="2769"/>
      <c r="IG1" s="2769"/>
      <c r="IH1" s="2769"/>
      <c r="II1" s="2769"/>
      <c r="IJ1" s="2769"/>
      <c r="IK1" s="2769"/>
      <c r="IL1" s="2769"/>
      <c r="IM1" s="2769"/>
      <c r="IN1" s="2769"/>
      <c r="IO1" s="2769"/>
      <c r="IP1" s="2769"/>
      <c r="IQ1" s="2769"/>
      <c r="IR1" s="2769"/>
      <c r="IS1" s="2769"/>
      <c r="IT1" s="2769"/>
      <c r="IU1" s="2769"/>
      <c r="IV1" s="2769"/>
    </row>
    <row r="2" spans="1:256" s="42" customFormat="1" ht="60" customHeight="1">
      <c r="A2" s="350"/>
      <c r="B2" s="350"/>
      <c r="C2" s="350"/>
      <c r="D2" s="350"/>
      <c r="E2" s="350"/>
      <c r="F2" s="350"/>
      <c r="G2" s="350"/>
      <c r="H2" s="10"/>
      <c r="I2" s="9"/>
      <c r="J2" s="9"/>
      <c r="K2" s="9"/>
      <c r="L2" s="9"/>
      <c r="V2" s="563"/>
      <c r="W2" s="563"/>
      <c r="X2" s="563"/>
      <c r="Y2" s="563"/>
      <c r="Z2" s="563"/>
      <c r="AA2" s="563"/>
      <c r="AB2" s="563"/>
      <c r="AC2" s="563"/>
      <c r="AD2" s="563"/>
      <c r="AE2" s="563"/>
      <c r="AF2" s="563"/>
      <c r="AG2" s="563"/>
      <c r="AH2" s="563"/>
      <c r="AI2" s="563"/>
      <c r="AJ2" s="563"/>
      <c r="AK2" s="563"/>
      <c r="AL2" s="563"/>
      <c r="AM2" s="563"/>
      <c r="AN2" s="563"/>
      <c r="AO2" s="563"/>
      <c r="AP2" s="563"/>
      <c r="AQ2" s="563"/>
      <c r="AR2" s="563"/>
      <c r="AS2" s="563"/>
      <c r="AT2" s="563"/>
      <c r="AU2" s="563"/>
      <c r="AV2" s="563"/>
      <c r="AW2" s="563"/>
      <c r="AX2" s="563"/>
      <c r="AY2" s="563"/>
      <c r="AZ2" s="563"/>
      <c r="BA2" s="563"/>
      <c r="BB2" s="563"/>
      <c r="BC2" s="563"/>
      <c r="BD2" s="563"/>
      <c r="BE2" s="563"/>
      <c r="BF2" s="563"/>
      <c r="BG2" s="563"/>
      <c r="BH2" s="563"/>
      <c r="BI2" s="563"/>
      <c r="BJ2" s="563"/>
      <c r="BK2" s="563"/>
      <c r="BL2" s="563"/>
      <c r="BM2" s="563"/>
      <c r="BN2" s="563"/>
      <c r="BO2" s="563"/>
      <c r="BP2" s="563"/>
      <c r="BQ2" s="563"/>
      <c r="BR2" s="563"/>
      <c r="BS2" s="563"/>
      <c r="BT2" s="563"/>
      <c r="BU2" s="563"/>
      <c r="BV2" s="563"/>
      <c r="BW2" s="563"/>
      <c r="BX2" s="563"/>
      <c r="BY2" s="563"/>
      <c r="BZ2" s="563"/>
      <c r="CA2" s="563"/>
      <c r="CB2" s="563"/>
      <c r="CC2" s="563"/>
      <c r="CD2" s="563"/>
      <c r="CE2" s="563"/>
      <c r="CF2" s="563"/>
      <c r="CG2" s="563"/>
      <c r="CH2" s="563"/>
      <c r="CI2" s="563"/>
      <c r="CJ2" s="563"/>
      <c r="CK2" s="563"/>
      <c r="CL2" s="563"/>
      <c r="CM2" s="563"/>
      <c r="CN2" s="563"/>
      <c r="CO2" s="563"/>
      <c r="CP2" s="563"/>
      <c r="CQ2" s="563"/>
      <c r="CR2" s="563"/>
      <c r="CS2" s="563"/>
      <c r="CT2" s="563"/>
      <c r="CU2" s="563"/>
      <c r="CV2" s="563"/>
      <c r="CW2" s="563"/>
      <c r="CX2" s="563"/>
      <c r="CY2" s="563"/>
      <c r="CZ2" s="563"/>
      <c r="DA2" s="563"/>
      <c r="DB2" s="563"/>
      <c r="DC2" s="563"/>
      <c r="DD2" s="563"/>
      <c r="DE2" s="563"/>
      <c r="DF2" s="563"/>
      <c r="DG2" s="563"/>
      <c r="DH2" s="563"/>
      <c r="DI2" s="563"/>
      <c r="DJ2" s="563"/>
      <c r="DK2" s="563"/>
      <c r="DL2" s="563"/>
      <c r="DM2" s="563"/>
      <c r="DN2" s="563"/>
      <c r="DO2" s="563"/>
      <c r="DP2" s="563"/>
      <c r="DQ2" s="563"/>
      <c r="DR2" s="563"/>
      <c r="DS2" s="563"/>
      <c r="DT2" s="563"/>
      <c r="DU2" s="563"/>
      <c r="DV2" s="563"/>
      <c r="DW2" s="563"/>
      <c r="DX2" s="563"/>
      <c r="DY2" s="563"/>
      <c r="DZ2" s="563"/>
      <c r="EA2" s="563"/>
      <c r="EB2" s="563"/>
      <c r="EC2" s="563"/>
      <c r="ED2" s="563"/>
      <c r="EE2" s="563"/>
      <c r="EF2" s="563"/>
      <c r="EG2" s="563"/>
      <c r="EH2" s="563"/>
      <c r="EI2" s="563"/>
      <c r="EJ2" s="563"/>
      <c r="EK2" s="563"/>
      <c r="EL2" s="563"/>
      <c r="EM2" s="563"/>
      <c r="EN2" s="563"/>
      <c r="EO2" s="563"/>
      <c r="EP2" s="563"/>
      <c r="EQ2" s="563"/>
      <c r="ER2" s="563"/>
      <c r="ES2" s="563"/>
      <c r="ET2" s="563"/>
      <c r="EU2" s="563"/>
      <c r="EV2" s="563"/>
      <c r="EW2" s="563"/>
      <c r="EX2" s="563"/>
      <c r="EY2" s="563"/>
      <c r="EZ2" s="563"/>
      <c r="FA2" s="563"/>
      <c r="FB2" s="563"/>
      <c r="FC2" s="563"/>
      <c r="FD2" s="563"/>
      <c r="FE2" s="563"/>
      <c r="FF2" s="563"/>
      <c r="FG2" s="563"/>
      <c r="FH2" s="563"/>
      <c r="FI2" s="563"/>
      <c r="FJ2" s="563"/>
      <c r="FK2" s="563"/>
      <c r="FL2" s="563"/>
      <c r="FM2" s="563"/>
      <c r="FN2" s="563"/>
      <c r="FO2" s="563"/>
      <c r="FP2" s="563"/>
      <c r="FQ2" s="563"/>
      <c r="FR2" s="563"/>
      <c r="FS2" s="563"/>
      <c r="FT2" s="563"/>
      <c r="FU2" s="563"/>
      <c r="FV2" s="563"/>
      <c r="FW2" s="563"/>
      <c r="FX2" s="563"/>
      <c r="FY2" s="563"/>
      <c r="FZ2" s="563"/>
      <c r="GA2" s="563"/>
      <c r="GB2" s="563"/>
      <c r="GC2" s="563"/>
      <c r="GD2" s="563"/>
      <c r="GE2" s="563"/>
      <c r="GF2" s="563"/>
      <c r="GG2" s="563"/>
      <c r="GH2" s="563"/>
      <c r="GI2" s="563"/>
      <c r="GJ2" s="563"/>
      <c r="GK2" s="563"/>
      <c r="GL2" s="563"/>
      <c r="GM2" s="563"/>
      <c r="GN2" s="563"/>
      <c r="GO2" s="563"/>
      <c r="GP2" s="563"/>
      <c r="GQ2" s="563"/>
      <c r="GR2" s="563"/>
      <c r="GS2" s="563"/>
      <c r="GT2" s="563"/>
      <c r="GU2" s="563"/>
      <c r="GV2" s="563"/>
      <c r="GW2" s="563"/>
      <c r="GX2" s="563"/>
      <c r="GY2" s="563"/>
      <c r="GZ2" s="563"/>
      <c r="HA2" s="563"/>
      <c r="HB2" s="563"/>
      <c r="HC2" s="563"/>
      <c r="HD2" s="563"/>
      <c r="HE2" s="563"/>
      <c r="HF2" s="563"/>
      <c r="HG2" s="563"/>
      <c r="HH2" s="563"/>
      <c r="HI2" s="563"/>
      <c r="HJ2" s="563"/>
      <c r="HK2" s="563"/>
      <c r="HL2" s="563"/>
      <c r="HM2" s="563"/>
      <c r="HN2" s="563"/>
      <c r="HO2" s="563"/>
      <c r="HP2" s="563"/>
      <c r="HQ2" s="563"/>
      <c r="HR2" s="563"/>
      <c r="HS2" s="563"/>
      <c r="HT2" s="563"/>
      <c r="HU2" s="563"/>
      <c r="HV2" s="563"/>
      <c r="HW2" s="563"/>
      <c r="HX2" s="563"/>
      <c r="HY2" s="563"/>
      <c r="HZ2" s="563"/>
      <c r="IA2" s="563"/>
      <c r="IB2" s="563"/>
      <c r="IC2" s="563"/>
      <c r="ID2" s="563"/>
      <c r="IE2" s="563"/>
      <c r="IF2" s="563"/>
      <c r="IG2" s="563"/>
      <c r="IH2" s="563"/>
      <c r="II2" s="563"/>
      <c r="IJ2" s="563"/>
      <c r="IK2" s="563"/>
      <c r="IL2" s="563"/>
      <c r="IM2" s="563"/>
      <c r="IN2" s="563"/>
      <c r="IO2" s="563"/>
      <c r="IP2" s="563"/>
      <c r="IQ2" s="563"/>
      <c r="IR2" s="563"/>
      <c r="IS2" s="563"/>
      <c r="IT2" s="563"/>
      <c r="IU2" s="563"/>
      <c r="IV2" s="563"/>
    </row>
    <row r="3" spans="1:256" s="45" customFormat="1" ht="28.5" customHeight="1" thickBot="1">
      <c r="A3" s="402" t="s">
        <v>1586</v>
      </c>
      <c r="B3" s="402"/>
      <c r="C3" s="402"/>
      <c r="D3" s="402"/>
      <c r="E3" s="402"/>
      <c r="F3" s="402"/>
      <c r="G3" s="402"/>
      <c r="H3" s="402"/>
      <c r="I3" s="402"/>
      <c r="J3" s="402"/>
      <c r="K3" s="402"/>
      <c r="L3" s="566"/>
      <c r="M3" s="86"/>
      <c r="V3" s="2789"/>
      <c r="W3" s="2789"/>
      <c r="X3" s="2789"/>
      <c r="Y3" s="2789"/>
      <c r="Z3" s="2789"/>
      <c r="AA3" s="2789"/>
      <c r="AB3" s="2789"/>
      <c r="AC3" s="2789"/>
      <c r="AD3" s="2789"/>
      <c r="AE3" s="2789"/>
      <c r="AF3" s="2789"/>
      <c r="AG3" s="2789"/>
      <c r="AH3" s="2789"/>
      <c r="AI3" s="2789"/>
      <c r="AJ3" s="2789"/>
      <c r="AK3" s="2789"/>
      <c r="AL3" s="2789"/>
      <c r="AM3" s="2789"/>
      <c r="AN3" s="2789"/>
      <c r="AO3" s="2789"/>
      <c r="AP3" s="2789"/>
      <c r="AQ3" s="2789"/>
      <c r="AR3" s="2789"/>
      <c r="AS3" s="2789"/>
      <c r="AT3" s="2789"/>
      <c r="AU3" s="2789"/>
      <c r="AV3" s="2789"/>
      <c r="AW3" s="2789"/>
      <c r="AX3" s="2789"/>
      <c r="AY3" s="2789"/>
      <c r="AZ3" s="2789"/>
      <c r="BA3" s="2789"/>
      <c r="BB3" s="2789"/>
      <c r="BC3" s="2789"/>
      <c r="BD3" s="2789"/>
      <c r="BE3" s="2789"/>
      <c r="BF3" s="2789"/>
      <c r="BG3" s="2789"/>
      <c r="BH3" s="2789"/>
      <c r="BI3" s="2789"/>
      <c r="BJ3" s="2789"/>
      <c r="BK3" s="2789"/>
      <c r="BL3" s="2789"/>
      <c r="BM3" s="2789"/>
      <c r="BN3" s="2789"/>
      <c r="BO3" s="2789"/>
      <c r="BP3" s="2789"/>
      <c r="BQ3" s="2789"/>
      <c r="BR3" s="2789"/>
      <c r="BS3" s="2789"/>
      <c r="BT3" s="2789"/>
      <c r="BU3" s="2789"/>
      <c r="BV3" s="2789"/>
      <c r="BW3" s="2789"/>
      <c r="BX3" s="2789"/>
      <c r="BY3" s="2789"/>
      <c r="BZ3" s="2789"/>
      <c r="CA3" s="2789"/>
      <c r="CB3" s="2789"/>
      <c r="CC3" s="2789"/>
      <c r="CD3" s="2789"/>
      <c r="CE3" s="2789"/>
      <c r="CF3" s="2789"/>
      <c r="CG3" s="2789"/>
      <c r="CH3" s="2789"/>
      <c r="CI3" s="2789"/>
      <c r="CJ3" s="2789"/>
      <c r="CK3" s="2789"/>
      <c r="CL3" s="2789"/>
      <c r="CM3" s="2789"/>
      <c r="CN3" s="2789"/>
      <c r="CO3" s="2789"/>
      <c r="CP3" s="2789"/>
      <c r="CQ3" s="2789"/>
      <c r="CR3" s="2789"/>
      <c r="CS3" s="2789"/>
      <c r="CT3" s="2789"/>
      <c r="CU3" s="2789"/>
      <c r="CV3" s="2789"/>
      <c r="CW3" s="2789"/>
      <c r="CX3" s="2789"/>
      <c r="CY3" s="2789"/>
      <c r="CZ3" s="2789"/>
      <c r="DA3" s="2789"/>
      <c r="DB3" s="2789"/>
      <c r="DC3" s="2789"/>
      <c r="DD3" s="2789"/>
      <c r="DE3" s="2789"/>
      <c r="DF3" s="2789"/>
      <c r="DG3" s="2789"/>
      <c r="DH3" s="2789"/>
      <c r="DI3" s="2789"/>
      <c r="DJ3" s="2789"/>
      <c r="DK3" s="2789"/>
      <c r="DL3" s="2789"/>
      <c r="DM3" s="2789"/>
      <c r="DN3" s="2789"/>
      <c r="DO3" s="2789"/>
      <c r="DP3" s="2789"/>
      <c r="DQ3" s="2789"/>
      <c r="DR3" s="2789"/>
      <c r="DS3" s="2789"/>
      <c r="DT3" s="2789"/>
      <c r="DU3" s="2789"/>
      <c r="DV3" s="2789"/>
      <c r="DW3" s="2789"/>
      <c r="DX3" s="2789"/>
      <c r="DY3" s="2789"/>
      <c r="DZ3" s="2789"/>
      <c r="EA3" s="2789"/>
      <c r="EB3" s="2789"/>
      <c r="EC3" s="2789"/>
      <c r="ED3" s="2789"/>
      <c r="EE3" s="2789"/>
      <c r="EF3" s="2789"/>
      <c r="EG3" s="2789"/>
      <c r="EH3" s="2789"/>
      <c r="EI3" s="2789"/>
      <c r="EJ3" s="2789"/>
      <c r="EK3" s="2789"/>
      <c r="EL3" s="2789"/>
      <c r="EM3" s="2789"/>
      <c r="EN3" s="2789"/>
      <c r="EO3" s="2789"/>
      <c r="EP3" s="2789"/>
      <c r="EQ3" s="2789"/>
      <c r="ER3" s="2789"/>
      <c r="ES3" s="2789"/>
      <c r="ET3" s="2789"/>
      <c r="EU3" s="2789"/>
      <c r="EV3" s="2789"/>
      <c r="EW3" s="2789"/>
      <c r="EX3" s="2789"/>
      <c r="EY3" s="2789"/>
      <c r="EZ3" s="2789"/>
      <c r="FA3" s="2789"/>
      <c r="FB3" s="2789"/>
      <c r="FC3" s="2789"/>
      <c r="FD3" s="2789"/>
      <c r="FE3" s="2789"/>
      <c r="FF3" s="2789"/>
      <c r="FG3" s="2789"/>
      <c r="FH3" s="2789"/>
      <c r="FI3" s="2789"/>
      <c r="FJ3" s="2789"/>
      <c r="FK3" s="2789"/>
      <c r="FL3" s="2789"/>
      <c r="FM3" s="2789"/>
      <c r="FN3" s="2789"/>
      <c r="FO3" s="2789"/>
      <c r="FP3" s="2789"/>
      <c r="FQ3" s="2789"/>
      <c r="FR3" s="2789"/>
      <c r="FS3" s="2789"/>
      <c r="FT3" s="2789"/>
      <c r="FU3" s="2789"/>
      <c r="FV3" s="2789"/>
      <c r="FW3" s="2789"/>
      <c r="FX3" s="2789"/>
      <c r="FY3" s="2789"/>
      <c r="FZ3" s="2789"/>
      <c r="GA3" s="2789"/>
      <c r="GB3" s="2789"/>
      <c r="GC3" s="2789"/>
      <c r="GD3" s="2789"/>
      <c r="GE3" s="2789"/>
      <c r="GF3" s="2789"/>
      <c r="GG3" s="2789"/>
      <c r="GH3" s="2789"/>
      <c r="GI3" s="2789"/>
      <c r="GJ3" s="2789"/>
      <c r="GK3" s="2789"/>
      <c r="GL3" s="2789"/>
      <c r="GM3" s="2789"/>
      <c r="GN3" s="2789"/>
      <c r="GO3" s="2789"/>
      <c r="GP3" s="2789"/>
      <c r="GQ3" s="2789"/>
      <c r="GR3" s="2789"/>
      <c r="GS3" s="2789"/>
      <c r="GT3" s="2789"/>
      <c r="GU3" s="2789"/>
      <c r="GV3" s="2789"/>
      <c r="GW3" s="2789"/>
      <c r="GX3" s="2789"/>
      <c r="GY3" s="2789"/>
      <c r="GZ3" s="2789"/>
      <c r="HA3" s="2789"/>
      <c r="HB3" s="2789"/>
      <c r="HC3" s="2789"/>
      <c r="HD3" s="2789"/>
      <c r="HE3" s="2789"/>
      <c r="HF3" s="2789"/>
      <c r="HG3" s="2789"/>
      <c r="HH3" s="2789"/>
      <c r="HI3" s="2789"/>
      <c r="HJ3" s="2789"/>
      <c r="HK3" s="2789"/>
      <c r="HL3" s="2789"/>
      <c r="HM3" s="2789"/>
      <c r="HN3" s="2789"/>
      <c r="HO3" s="2789"/>
      <c r="HP3" s="2789"/>
      <c r="HQ3" s="2789"/>
      <c r="HR3" s="2789"/>
      <c r="HS3" s="2789"/>
      <c r="HT3" s="2789"/>
      <c r="HU3" s="2789"/>
      <c r="HV3" s="2789"/>
      <c r="HW3" s="2789"/>
      <c r="HX3" s="2789"/>
      <c r="HY3" s="2789"/>
      <c r="HZ3" s="2789"/>
      <c r="IA3" s="2789"/>
      <c r="IB3" s="2789"/>
      <c r="IC3" s="2789"/>
      <c r="ID3" s="2789"/>
      <c r="IE3" s="2789"/>
      <c r="IF3" s="2789"/>
      <c r="IG3" s="2789"/>
      <c r="IH3" s="2789"/>
      <c r="II3" s="2789"/>
      <c r="IJ3" s="2789"/>
      <c r="IK3" s="2789"/>
      <c r="IL3" s="2789"/>
      <c r="IM3" s="2789"/>
      <c r="IN3" s="2789"/>
      <c r="IO3" s="2789"/>
      <c r="IP3" s="2789"/>
      <c r="IQ3" s="2789"/>
      <c r="IR3" s="2789"/>
      <c r="IS3" s="2789"/>
      <c r="IT3" s="2789"/>
      <c r="IU3" s="2789"/>
      <c r="IV3" s="2789"/>
    </row>
    <row r="4" spans="1:256" s="45" customFormat="1" ht="9.65" customHeight="1">
      <c r="A4" s="565"/>
      <c r="B4" s="565"/>
      <c r="C4" s="565"/>
      <c r="D4" s="565"/>
      <c r="E4" s="565"/>
      <c r="F4" s="565"/>
      <c r="G4" s="565"/>
      <c r="H4" s="565"/>
      <c r="I4" s="565"/>
      <c r="J4" s="565"/>
      <c r="K4" s="565"/>
      <c r="L4" s="566"/>
      <c r="M4" s="86"/>
      <c r="V4" s="564"/>
      <c r="W4" s="564"/>
      <c r="X4" s="564"/>
      <c r="Y4" s="564"/>
      <c r="Z4" s="564"/>
      <c r="AA4" s="564"/>
      <c r="AB4" s="564"/>
      <c r="AC4" s="564"/>
      <c r="AD4" s="564"/>
      <c r="AE4" s="564"/>
      <c r="AF4" s="564"/>
      <c r="AG4" s="564"/>
      <c r="AH4" s="564"/>
      <c r="AI4" s="564"/>
      <c r="AJ4" s="564"/>
      <c r="AK4" s="564"/>
      <c r="AL4" s="564"/>
      <c r="AM4" s="564"/>
      <c r="AN4" s="564"/>
      <c r="AO4" s="564"/>
      <c r="AP4" s="564"/>
      <c r="AQ4" s="564"/>
      <c r="AR4" s="564"/>
      <c r="AS4" s="564"/>
      <c r="AT4" s="564"/>
      <c r="AU4" s="564"/>
      <c r="AV4" s="564"/>
      <c r="AW4" s="564"/>
      <c r="AX4" s="564"/>
      <c r="AY4" s="564"/>
      <c r="AZ4" s="564"/>
      <c r="BA4" s="564"/>
      <c r="BB4" s="564"/>
      <c r="BC4" s="564"/>
      <c r="BD4" s="564"/>
      <c r="BE4" s="564"/>
      <c r="BF4" s="564"/>
      <c r="BG4" s="564"/>
      <c r="BH4" s="564"/>
      <c r="BI4" s="564"/>
      <c r="BJ4" s="564"/>
      <c r="BK4" s="564"/>
      <c r="BL4" s="564"/>
      <c r="BM4" s="564"/>
      <c r="BN4" s="564"/>
      <c r="BO4" s="564"/>
      <c r="BP4" s="564"/>
      <c r="BQ4" s="564"/>
      <c r="BR4" s="564"/>
      <c r="BS4" s="564"/>
      <c r="BT4" s="564"/>
      <c r="BU4" s="564"/>
      <c r="BV4" s="564"/>
      <c r="BW4" s="564"/>
      <c r="BX4" s="564"/>
      <c r="BY4" s="564"/>
      <c r="BZ4" s="564"/>
      <c r="CA4" s="564"/>
      <c r="CB4" s="564"/>
      <c r="CC4" s="564"/>
      <c r="CD4" s="564"/>
      <c r="CE4" s="564"/>
      <c r="CF4" s="564"/>
      <c r="CG4" s="564"/>
      <c r="CH4" s="564"/>
      <c r="CI4" s="564"/>
      <c r="CJ4" s="564"/>
      <c r="CK4" s="564"/>
      <c r="CL4" s="564"/>
      <c r="CM4" s="564"/>
      <c r="CN4" s="564"/>
      <c r="CO4" s="564"/>
      <c r="CP4" s="564"/>
      <c r="CQ4" s="564"/>
      <c r="CR4" s="564"/>
      <c r="CS4" s="564"/>
      <c r="CT4" s="564"/>
      <c r="CU4" s="564"/>
      <c r="CV4" s="564"/>
      <c r="CW4" s="564"/>
      <c r="CX4" s="564"/>
      <c r="CY4" s="564"/>
      <c r="CZ4" s="564"/>
      <c r="DA4" s="564"/>
      <c r="DB4" s="564"/>
      <c r="DC4" s="564"/>
      <c r="DD4" s="564"/>
      <c r="DE4" s="564"/>
      <c r="DF4" s="564"/>
      <c r="DG4" s="564"/>
      <c r="DH4" s="564"/>
      <c r="DI4" s="564"/>
      <c r="DJ4" s="564"/>
      <c r="DK4" s="564"/>
      <c r="DL4" s="564"/>
      <c r="DM4" s="564"/>
      <c r="DN4" s="564"/>
      <c r="DO4" s="564"/>
      <c r="DP4" s="564"/>
      <c r="DQ4" s="564"/>
      <c r="DR4" s="564"/>
      <c r="DS4" s="564"/>
      <c r="DT4" s="564"/>
      <c r="DU4" s="564"/>
      <c r="DV4" s="564"/>
      <c r="DW4" s="564"/>
      <c r="DX4" s="564"/>
      <c r="DY4" s="564"/>
      <c r="DZ4" s="564"/>
      <c r="EA4" s="564"/>
      <c r="EB4" s="564"/>
      <c r="EC4" s="564"/>
      <c r="ED4" s="564"/>
      <c r="EE4" s="564"/>
      <c r="EF4" s="564"/>
      <c r="EG4" s="564"/>
      <c r="EH4" s="564"/>
      <c r="EI4" s="564"/>
      <c r="EJ4" s="564"/>
      <c r="EK4" s="564"/>
      <c r="EL4" s="564"/>
      <c r="EM4" s="564"/>
      <c r="EN4" s="564"/>
      <c r="EO4" s="564"/>
      <c r="EP4" s="564"/>
      <c r="EQ4" s="564"/>
      <c r="ER4" s="564"/>
      <c r="ES4" s="564"/>
      <c r="ET4" s="564"/>
      <c r="EU4" s="564"/>
      <c r="EV4" s="564"/>
      <c r="EW4" s="564"/>
      <c r="EX4" s="564"/>
      <c r="EY4" s="564"/>
      <c r="EZ4" s="564"/>
      <c r="FA4" s="564"/>
      <c r="FB4" s="564"/>
      <c r="FC4" s="564"/>
      <c r="FD4" s="564"/>
      <c r="FE4" s="564"/>
      <c r="FF4" s="564"/>
      <c r="FG4" s="564"/>
      <c r="FH4" s="564"/>
      <c r="FI4" s="564"/>
      <c r="FJ4" s="564"/>
      <c r="FK4" s="564"/>
      <c r="FL4" s="564"/>
      <c r="FM4" s="564"/>
      <c r="FN4" s="564"/>
      <c r="FO4" s="564"/>
      <c r="FP4" s="564"/>
      <c r="FQ4" s="564"/>
      <c r="FR4" s="564"/>
      <c r="FS4" s="564"/>
      <c r="FT4" s="564"/>
      <c r="FU4" s="564"/>
      <c r="FV4" s="564"/>
      <c r="FW4" s="564"/>
      <c r="FX4" s="564"/>
      <c r="FY4" s="564"/>
      <c r="FZ4" s="564"/>
      <c r="GA4" s="564"/>
      <c r="GB4" s="564"/>
      <c r="GC4" s="564"/>
      <c r="GD4" s="564"/>
      <c r="GE4" s="564"/>
      <c r="GF4" s="564"/>
      <c r="GG4" s="564"/>
      <c r="GH4" s="564"/>
      <c r="GI4" s="564"/>
      <c r="GJ4" s="564"/>
      <c r="GK4" s="564"/>
      <c r="GL4" s="564"/>
      <c r="GM4" s="564"/>
      <c r="GN4" s="564"/>
      <c r="GO4" s="564"/>
      <c r="GP4" s="564"/>
      <c r="GQ4" s="564"/>
      <c r="GR4" s="564"/>
      <c r="GS4" s="564"/>
      <c r="GT4" s="564"/>
      <c r="GU4" s="564"/>
      <c r="GV4" s="564"/>
      <c r="GW4" s="564"/>
      <c r="GX4" s="564"/>
      <c r="GY4" s="564"/>
      <c r="GZ4" s="564"/>
      <c r="HA4" s="564"/>
      <c r="HB4" s="564"/>
      <c r="HC4" s="564"/>
      <c r="HD4" s="564"/>
      <c r="HE4" s="564"/>
      <c r="HF4" s="564"/>
      <c r="HG4" s="564"/>
      <c r="HH4" s="564"/>
      <c r="HI4" s="564"/>
      <c r="HJ4" s="564"/>
      <c r="HK4" s="564"/>
      <c r="HL4" s="564"/>
      <c r="HM4" s="564"/>
      <c r="HN4" s="564"/>
      <c r="HO4" s="564"/>
      <c r="HP4" s="564"/>
      <c r="HQ4" s="564"/>
      <c r="HR4" s="564"/>
      <c r="HS4" s="564"/>
      <c r="HT4" s="564"/>
      <c r="HU4" s="564"/>
      <c r="HV4" s="564"/>
      <c r="HW4" s="564"/>
      <c r="HX4" s="564"/>
      <c r="HY4" s="564"/>
      <c r="HZ4" s="564"/>
      <c r="IA4" s="564"/>
      <c r="IB4" s="564"/>
      <c r="IC4" s="564"/>
      <c r="ID4" s="564"/>
      <c r="IE4" s="564"/>
      <c r="IF4" s="564"/>
      <c r="IG4" s="564"/>
      <c r="IH4" s="564"/>
      <c r="II4" s="564"/>
      <c r="IJ4" s="564"/>
      <c r="IK4" s="564"/>
      <c r="IL4" s="564"/>
      <c r="IM4" s="564"/>
      <c r="IN4" s="564"/>
      <c r="IO4" s="564"/>
      <c r="IP4" s="564"/>
      <c r="IQ4" s="564"/>
      <c r="IR4" s="564"/>
      <c r="IS4" s="564"/>
      <c r="IT4" s="564"/>
      <c r="IU4" s="564"/>
      <c r="IV4" s="564"/>
    </row>
    <row r="5" spans="1:256" s="45" customFormat="1" ht="30" customHeight="1">
      <c r="A5" s="2786" t="s">
        <v>1587</v>
      </c>
      <c r="B5" s="2786"/>
      <c r="C5" s="2786"/>
      <c r="D5" s="2786"/>
      <c r="E5" s="2786"/>
      <c r="F5" s="2786"/>
      <c r="G5" s="2786"/>
      <c r="H5" s="2786"/>
      <c r="I5" s="2786"/>
      <c r="J5" s="2786"/>
      <c r="K5" s="2786"/>
      <c r="L5" s="2786"/>
      <c r="M5" s="86"/>
      <c r="V5" s="564"/>
      <c r="W5" s="564"/>
      <c r="X5" s="564"/>
      <c r="Y5" s="564"/>
      <c r="Z5" s="564"/>
      <c r="AA5" s="564"/>
      <c r="AB5" s="564"/>
      <c r="AC5" s="564"/>
      <c r="AD5" s="564"/>
      <c r="AE5" s="564"/>
      <c r="AF5" s="564"/>
      <c r="AG5" s="564"/>
      <c r="AH5" s="564"/>
      <c r="AI5" s="564"/>
      <c r="AJ5" s="564"/>
      <c r="AK5" s="564"/>
      <c r="AL5" s="564"/>
      <c r="AM5" s="564"/>
      <c r="AN5" s="564"/>
      <c r="AO5" s="564"/>
      <c r="AP5" s="564"/>
      <c r="AQ5" s="564"/>
      <c r="AR5" s="564"/>
      <c r="AS5" s="564"/>
      <c r="AT5" s="564"/>
      <c r="AU5" s="564"/>
      <c r="AV5" s="564"/>
      <c r="AW5" s="564"/>
      <c r="AX5" s="564"/>
      <c r="AY5" s="564"/>
      <c r="AZ5" s="564"/>
      <c r="BA5" s="564"/>
      <c r="BB5" s="564"/>
      <c r="BC5" s="564"/>
      <c r="BD5" s="564"/>
      <c r="BE5" s="564"/>
      <c r="BF5" s="564"/>
      <c r="BG5" s="564"/>
      <c r="BH5" s="564"/>
      <c r="BI5" s="564"/>
      <c r="BJ5" s="564"/>
      <c r="BK5" s="564"/>
      <c r="BL5" s="564"/>
      <c r="BM5" s="564"/>
      <c r="BN5" s="564"/>
      <c r="BO5" s="564"/>
      <c r="BP5" s="564"/>
      <c r="BQ5" s="564"/>
      <c r="BR5" s="564"/>
      <c r="BS5" s="564"/>
      <c r="BT5" s="564"/>
      <c r="BU5" s="564"/>
      <c r="BV5" s="564"/>
      <c r="BW5" s="564"/>
      <c r="BX5" s="564"/>
      <c r="BY5" s="564"/>
      <c r="BZ5" s="564"/>
      <c r="CA5" s="564"/>
      <c r="CB5" s="564"/>
      <c r="CC5" s="564"/>
      <c r="CD5" s="564"/>
      <c r="CE5" s="564"/>
      <c r="CF5" s="564"/>
      <c r="CG5" s="564"/>
      <c r="CH5" s="564"/>
      <c r="CI5" s="564"/>
      <c r="CJ5" s="564"/>
      <c r="CK5" s="564"/>
      <c r="CL5" s="564"/>
      <c r="CM5" s="564"/>
      <c r="CN5" s="564"/>
      <c r="CO5" s="564"/>
      <c r="CP5" s="564"/>
      <c r="CQ5" s="564"/>
      <c r="CR5" s="564"/>
      <c r="CS5" s="564"/>
      <c r="CT5" s="564"/>
      <c r="CU5" s="564"/>
      <c r="CV5" s="564"/>
      <c r="CW5" s="564"/>
      <c r="CX5" s="564"/>
      <c r="CY5" s="564"/>
      <c r="CZ5" s="564"/>
      <c r="DA5" s="564"/>
      <c r="DB5" s="564"/>
      <c r="DC5" s="564"/>
      <c r="DD5" s="564"/>
      <c r="DE5" s="564"/>
      <c r="DF5" s="564"/>
      <c r="DG5" s="564"/>
      <c r="DH5" s="564"/>
      <c r="DI5" s="564"/>
      <c r="DJ5" s="564"/>
      <c r="DK5" s="564"/>
      <c r="DL5" s="564"/>
      <c r="DM5" s="564"/>
      <c r="DN5" s="564"/>
      <c r="DO5" s="564"/>
      <c r="DP5" s="564"/>
      <c r="DQ5" s="564"/>
      <c r="DR5" s="564"/>
      <c r="DS5" s="564"/>
      <c r="DT5" s="564"/>
      <c r="DU5" s="564"/>
      <c r="DV5" s="564"/>
      <c r="DW5" s="564"/>
      <c r="DX5" s="564"/>
      <c r="DY5" s="564"/>
      <c r="DZ5" s="564"/>
      <c r="EA5" s="564"/>
      <c r="EB5" s="564"/>
      <c r="EC5" s="564"/>
      <c r="ED5" s="564"/>
      <c r="EE5" s="564"/>
      <c r="EF5" s="564"/>
      <c r="EG5" s="564"/>
      <c r="EH5" s="564"/>
      <c r="EI5" s="564"/>
      <c r="EJ5" s="564"/>
      <c r="EK5" s="564"/>
      <c r="EL5" s="564"/>
      <c r="EM5" s="564"/>
      <c r="EN5" s="564"/>
      <c r="EO5" s="564"/>
      <c r="EP5" s="564"/>
      <c r="EQ5" s="564"/>
      <c r="ER5" s="564"/>
      <c r="ES5" s="564"/>
      <c r="ET5" s="564"/>
      <c r="EU5" s="564"/>
      <c r="EV5" s="564"/>
      <c r="EW5" s="564"/>
      <c r="EX5" s="564"/>
      <c r="EY5" s="564"/>
      <c r="EZ5" s="564"/>
      <c r="FA5" s="564"/>
      <c r="FB5" s="564"/>
      <c r="FC5" s="564"/>
      <c r="FD5" s="564"/>
      <c r="FE5" s="564"/>
      <c r="FF5" s="564"/>
      <c r="FG5" s="564"/>
      <c r="FH5" s="564"/>
      <c r="FI5" s="564"/>
      <c r="FJ5" s="564"/>
      <c r="FK5" s="564"/>
      <c r="FL5" s="564"/>
      <c r="FM5" s="564"/>
      <c r="FN5" s="564"/>
      <c r="FO5" s="564"/>
      <c r="FP5" s="564"/>
      <c r="FQ5" s="564"/>
      <c r="FR5" s="564"/>
      <c r="FS5" s="564"/>
      <c r="FT5" s="564"/>
      <c r="FU5" s="564"/>
      <c r="FV5" s="564"/>
      <c r="FW5" s="564"/>
      <c r="FX5" s="564"/>
      <c r="FY5" s="564"/>
      <c r="FZ5" s="564"/>
      <c r="GA5" s="564"/>
      <c r="GB5" s="564"/>
      <c r="GC5" s="564"/>
      <c r="GD5" s="564"/>
      <c r="GE5" s="564"/>
      <c r="GF5" s="564"/>
      <c r="GG5" s="564"/>
      <c r="GH5" s="564"/>
      <c r="GI5" s="564"/>
      <c r="GJ5" s="564"/>
      <c r="GK5" s="564"/>
      <c r="GL5" s="564"/>
      <c r="GM5" s="564"/>
      <c r="GN5" s="564"/>
      <c r="GO5" s="564"/>
      <c r="GP5" s="564"/>
      <c r="GQ5" s="564"/>
      <c r="GR5" s="564"/>
      <c r="GS5" s="564"/>
      <c r="GT5" s="564"/>
      <c r="GU5" s="564"/>
      <c r="GV5" s="564"/>
      <c r="GW5" s="564"/>
      <c r="GX5" s="564"/>
      <c r="GY5" s="564"/>
      <c r="GZ5" s="564"/>
      <c r="HA5" s="564"/>
      <c r="HB5" s="564"/>
      <c r="HC5" s="564"/>
      <c r="HD5" s="564"/>
      <c r="HE5" s="564"/>
      <c r="HF5" s="564"/>
      <c r="HG5" s="564"/>
      <c r="HH5" s="564"/>
      <c r="HI5" s="564"/>
      <c r="HJ5" s="564"/>
      <c r="HK5" s="564"/>
      <c r="HL5" s="564"/>
      <c r="HM5" s="564"/>
      <c r="HN5" s="564"/>
      <c r="HO5" s="564"/>
      <c r="HP5" s="564"/>
      <c r="HQ5" s="564"/>
      <c r="HR5" s="564"/>
      <c r="HS5" s="564"/>
      <c r="HT5" s="564"/>
      <c r="HU5" s="564"/>
      <c r="HV5" s="564"/>
      <c r="HW5" s="564"/>
      <c r="HX5" s="564"/>
      <c r="HY5" s="564"/>
      <c r="HZ5" s="564"/>
      <c r="IA5" s="564"/>
      <c r="IB5" s="564"/>
      <c r="IC5" s="564"/>
      <c r="ID5" s="564"/>
      <c r="IE5" s="564"/>
      <c r="IF5" s="564"/>
      <c r="IG5" s="564"/>
      <c r="IH5" s="564"/>
      <c r="II5" s="564"/>
      <c r="IJ5" s="564"/>
      <c r="IK5" s="564"/>
      <c r="IL5" s="564"/>
      <c r="IM5" s="564"/>
      <c r="IN5" s="564"/>
      <c r="IO5" s="564"/>
      <c r="IP5" s="564"/>
      <c r="IQ5" s="564"/>
      <c r="IR5" s="564"/>
      <c r="IS5" s="564"/>
      <c r="IT5" s="564"/>
      <c r="IU5" s="564"/>
      <c r="IV5" s="564"/>
    </row>
    <row r="6" spans="1:256" s="45" customFormat="1" ht="28.5" customHeight="1">
      <c r="A6" s="2786"/>
      <c r="B6" s="2786"/>
      <c r="C6" s="2786"/>
      <c r="D6" s="2786"/>
      <c r="E6" s="2786"/>
      <c r="F6" s="2786"/>
      <c r="G6" s="2786"/>
      <c r="H6" s="2786"/>
      <c r="I6" s="2786"/>
      <c r="J6" s="2786"/>
      <c r="K6" s="2786"/>
      <c r="L6" s="2786"/>
      <c r="M6" s="86"/>
      <c r="V6" s="564"/>
      <c r="W6" s="564"/>
      <c r="X6" s="564"/>
      <c r="Y6" s="564"/>
      <c r="Z6" s="564"/>
      <c r="AA6" s="564"/>
      <c r="AB6" s="564"/>
      <c r="AC6" s="564"/>
      <c r="AD6" s="564"/>
      <c r="AE6" s="564"/>
      <c r="AF6" s="564"/>
      <c r="AG6" s="564"/>
      <c r="AH6" s="564"/>
      <c r="AI6" s="564"/>
      <c r="AJ6" s="564"/>
      <c r="AK6" s="564"/>
      <c r="AL6" s="564"/>
      <c r="AM6" s="564"/>
      <c r="AN6" s="564"/>
      <c r="AO6" s="564"/>
      <c r="AP6" s="564"/>
      <c r="AQ6" s="564"/>
      <c r="AR6" s="564"/>
      <c r="AS6" s="564"/>
      <c r="AT6" s="564"/>
      <c r="AU6" s="564"/>
      <c r="AV6" s="564"/>
      <c r="AW6" s="564"/>
      <c r="AX6" s="564"/>
      <c r="AY6" s="564"/>
      <c r="AZ6" s="564"/>
      <c r="BA6" s="564"/>
      <c r="BB6" s="564"/>
      <c r="BC6" s="564"/>
      <c r="BD6" s="564"/>
      <c r="BE6" s="564"/>
      <c r="BF6" s="564"/>
      <c r="BG6" s="564"/>
      <c r="BH6" s="564"/>
      <c r="BI6" s="564"/>
      <c r="BJ6" s="564"/>
      <c r="BK6" s="564"/>
      <c r="BL6" s="564"/>
      <c r="BM6" s="564"/>
      <c r="BN6" s="564"/>
      <c r="BO6" s="564"/>
      <c r="BP6" s="564"/>
      <c r="BQ6" s="564"/>
      <c r="BR6" s="564"/>
      <c r="BS6" s="564"/>
      <c r="BT6" s="564"/>
      <c r="BU6" s="564"/>
      <c r="BV6" s="564"/>
      <c r="BW6" s="564"/>
      <c r="BX6" s="564"/>
      <c r="BY6" s="564"/>
      <c r="BZ6" s="564"/>
      <c r="CA6" s="564"/>
      <c r="CB6" s="564"/>
      <c r="CC6" s="564"/>
      <c r="CD6" s="564"/>
      <c r="CE6" s="564"/>
      <c r="CF6" s="564"/>
      <c r="CG6" s="564"/>
      <c r="CH6" s="564"/>
      <c r="CI6" s="564"/>
      <c r="CJ6" s="564"/>
      <c r="CK6" s="564"/>
      <c r="CL6" s="564"/>
      <c r="CM6" s="564"/>
      <c r="CN6" s="564"/>
      <c r="CO6" s="564"/>
      <c r="CP6" s="564"/>
      <c r="CQ6" s="564"/>
      <c r="CR6" s="564"/>
      <c r="CS6" s="564"/>
      <c r="CT6" s="564"/>
      <c r="CU6" s="564"/>
      <c r="CV6" s="564"/>
      <c r="CW6" s="564"/>
      <c r="CX6" s="564"/>
      <c r="CY6" s="564"/>
      <c r="CZ6" s="564"/>
      <c r="DA6" s="564"/>
      <c r="DB6" s="564"/>
      <c r="DC6" s="564"/>
      <c r="DD6" s="564"/>
      <c r="DE6" s="564"/>
      <c r="DF6" s="564"/>
      <c r="DG6" s="564"/>
      <c r="DH6" s="564"/>
      <c r="DI6" s="564"/>
      <c r="DJ6" s="564"/>
      <c r="DK6" s="564"/>
      <c r="DL6" s="564"/>
      <c r="DM6" s="564"/>
      <c r="DN6" s="564"/>
      <c r="DO6" s="564"/>
      <c r="DP6" s="564"/>
      <c r="DQ6" s="564"/>
      <c r="DR6" s="564"/>
      <c r="DS6" s="564"/>
      <c r="DT6" s="564"/>
      <c r="DU6" s="564"/>
      <c r="DV6" s="564"/>
      <c r="DW6" s="564"/>
      <c r="DX6" s="564"/>
      <c r="DY6" s="564"/>
      <c r="DZ6" s="564"/>
      <c r="EA6" s="564"/>
      <c r="EB6" s="564"/>
      <c r="EC6" s="564"/>
      <c r="ED6" s="564"/>
      <c r="EE6" s="564"/>
      <c r="EF6" s="564"/>
      <c r="EG6" s="564"/>
      <c r="EH6" s="564"/>
      <c r="EI6" s="564"/>
      <c r="EJ6" s="564"/>
      <c r="EK6" s="564"/>
      <c r="EL6" s="564"/>
      <c r="EM6" s="564"/>
      <c r="EN6" s="564"/>
      <c r="EO6" s="564"/>
      <c r="EP6" s="564"/>
      <c r="EQ6" s="564"/>
      <c r="ER6" s="564"/>
      <c r="ES6" s="564"/>
      <c r="ET6" s="564"/>
      <c r="EU6" s="564"/>
      <c r="EV6" s="564"/>
      <c r="EW6" s="564"/>
      <c r="EX6" s="564"/>
      <c r="EY6" s="564"/>
      <c r="EZ6" s="564"/>
      <c r="FA6" s="564"/>
      <c r="FB6" s="564"/>
      <c r="FC6" s="564"/>
      <c r="FD6" s="564"/>
      <c r="FE6" s="564"/>
      <c r="FF6" s="564"/>
      <c r="FG6" s="564"/>
      <c r="FH6" s="564"/>
      <c r="FI6" s="564"/>
      <c r="FJ6" s="564"/>
      <c r="FK6" s="564"/>
      <c r="FL6" s="564"/>
      <c r="FM6" s="564"/>
      <c r="FN6" s="564"/>
      <c r="FO6" s="564"/>
      <c r="FP6" s="564"/>
      <c r="FQ6" s="564"/>
      <c r="FR6" s="564"/>
      <c r="FS6" s="564"/>
      <c r="FT6" s="564"/>
      <c r="FU6" s="564"/>
      <c r="FV6" s="564"/>
      <c r="FW6" s="564"/>
      <c r="FX6" s="564"/>
      <c r="FY6" s="564"/>
      <c r="FZ6" s="564"/>
      <c r="GA6" s="564"/>
      <c r="GB6" s="564"/>
      <c r="GC6" s="564"/>
      <c r="GD6" s="564"/>
      <c r="GE6" s="564"/>
      <c r="GF6" s="564"/>
      <c r="GG6" s="564"/>
      <c r="GH6" s="564"/>
      <c r="GI6" s="564"/>
      <c r="GJ6" s="564"/>
      <c r="GK6" s="564"/>
      <c r="GL6" s="564"/>
      <c r="GM6" s="564"/>
      <c r="GN6" s="564"/>
      <c r="GO6" s="564"/>
      <c r="GP6" s="564"/>
      <c r="GQ6" s="564"/>
      <c r="GR6" s="564"/>
      <c r="GS6" s="564"/>
      <c r="GT6" s="564"/>
      <c r="GU6" s="564"/>
      <c r="GV6" s="564"/>
      <c r="GW6" s="564"/>
      <c r="GX6" s="564"/>
      <c r="GY6" s="564"/>
      <c r="GZ6" s="564"/>
      <c r="HA6" s="564"/>
      <c r="HB6" s="564"/>
      <c r="HC6" s="564"/>
      <c r="HD6" s="564"/>
      <c r="HE6" s="564"/>
      <c r="HF6" s="564"/>
      <c r="HG6" s="564"/>
      <c r="HH6" s="564"/>
      <c r="HI6" s="564"/>
      <c r="HJ6" s="564"/>
      <c r="HK6" s="564"/>
      <c r="HL6" s="564"/>
      <c r="HM6" s="564"/>
      <c r="HN6" s="564"/>
      <c r="HO6" s="564"/>
      <c r="HP6" s="564"/>
      <c r="HQ6" s="564"/>
      <c r="HR6" s="564"/>
      <c r="HS6" s="564"/>
      <c r="HT6" s="564"/>
      <c r="HU6" s="564"/>
      <c r="HV6" s="564"/>
      <c r="HW6" s="564"/>
      <c r="HX6" s="564"/>
      <c r="HY6" s="564"/>
      <c r="HZ6" s="564"/>
      <c r="IA6" s="564"/>
      <c r="IB6" s="564"/>
      <c r="IC6" s="564"/>
      <c r="ID6" s="564"/>
      <c r="IE6" s="564"/>
      <c r="IF6" s="564"/>
      <c r="IG6" s="564"/>
      <c r="IH6" s="564"/>
      <c r="II6" s="564"/>
      <c r="IJ6" s="564"/>
      <c r="IK6" s="564"/>
      <c r="IL6" s="564"/>
      <c r="IM6" s="564"/>
      <c r="IN6" s="564"/>
      <c r="IO6" s="564"/>
      <c r="IP6" s="564"/>
      <c r="IQ6" s="564"/>
      <c r="IR6" s="564"/>
      <c r="IS6" s="564"/>
      <c r="IT6" s="564"/>
      <c r="IU6" s="564"/>
      <c r="IV6" s="564"/>
    </row>
    <row r="7" spans="1:256" ht="20.149999999999999" customHeight="1">
      <c r="A7" s="2790"/>
      <c r="B7" s="2790"/>
      <c r="C7" s="2790"/>
      <c r="D7" s="2790"/>
      <c r="E7" s="2790"/>
      <c r="F7" s="2790"/>
      <c r="G7" s="2790"/>
      <c r="H7" s="2790"/>
      <c r="I7" s="2790"/>
      <c r="J7" s="2790"/>
      <c r="K7" s="2790"/>
      <c r="L7" s="2790"/>
    </row>
    <row r="8" spans="1:256" customFormat="1" ht="15.5">
      <c r="A8" s="2786" t="s">
        <v>1588</v>
      </c>
      <c r="B8" s="2786"/>
      <c r="C8" s="2786"/>
      <c r="D8" s="2786"/>
      <c r="E8" s="2786"/>
      <c r="F8" s="2786"/>
      <c r="G8" s="2786"/>
      <c r="H8" s="2786"/>
      <c r="I8" s="2786"/>
      <c r="J8" s="2786"/>
      <c r="K8" s="2786"/>
    </row>
    <row r="9" spans="1:256" customFormat="1" ht="10" customHeight="1">
      <c r="A9" s="2791"/>
      <c r="B9" s="2791"/>
      <c r="C9" s="2791"/>
      <c r="D9" s="2791"/>
      <c r="E9" s="2791"/>
      <c r="F9" s="2791"/>
      <c r="G9" s="2791"/>
      <c r="H9" s="2791"/>
      <c r="I9" s="2791"/>
      <c r="J9" s="2791"/>
      <c r="K9" s="2791"/>
    </row>
    <row r="10" spans="1:256" customFormat="1" ht="24.75" customHeight="1">
      <c r="A10" s="2792"/>
      <c r="B10" s="2792"/>
      <c r="C10" s="2792"/>
      <c r="D10" s="2792"/>
      <c r="E10" s="2792"/>
      <c r="F10" s="2792"/>
      <c r="G10" s="2792"/>
      <c r="H10" s="2792"/>
      <c r="I10" s="2792"/>
      <c r="J10" s="2792"/>
      <c r="K10" s="2792"/>
    </row>
    <row r="11" spans="1:256" customFormat="1" ht="30" customHeight="1">
      <c r="A11" s="2792"/>
      <c r="B11" s="2792"/>
      <c r="C11" s="2792"/>
      <c r="D11" s="2792"/>
      <c r="E11" s="2792"/>
      <c r="F11" s="2792"/>
      <c r="G11" s="2792"/>
      <c r="H11" s="2792"/>
      <c r="I11" s="2792"/>
      <c r="J11" s="2792"/>
      <c r="K11" s="2792"/>
    </row>
    <row r="12" spans="1:256" customFormat="1" ht="13" customHeight="1"/>
    <row r="13" spans="1:256" customFormat="1" ht="30" customHeight="1">
      <c r="A13" s="2786" t="s">
        <v>1589</v>
      </c>
      <c r="B13" s="2786"/>
      <c r="C13" s="2786"/>
      <c r="D13" s="2786"/>
      <c r="E13" s="2786"/>
      <c r="F13" s="2786"/>
      <c r="G13" s="2786"/>
      <c r="H13" s="2786"/>
      <c r="I13" s="2786"/>
      <c r="J13" s="2786"/>
      <c r="K13" s="2786"/>
    </row>
    <row r="14" spans="1:256" customFormat="1" ht="14.5">
      <c r="A14" s="2786"/>
      <c r="B14" s="2786"/>
      <c r="C14" s="2786"/>
      <c r="D14" s="2786"/>
      <c r="E14" s="2786"/>
      <c r="F14" s="2786"/>
      <c r="G14" s="2786"/>
      <c r="H14" s="2786"/>
      <c r="I14" s="2786"/>
      <c r="J14" s="2786"/>
      <c r="K14" s="2786"/>
    </row>
    <row r="15" spans="1:256" customFormat="1" ht="21.65" customHeight="1">
      <c r="A15" s="2786" t="s">
        <v>1591</v>
      </c>
      <c r="B15" s="2786"/>
      <c r="C15" s="568"/>
      <c r="D15" s="567"/>
      <c r="E15" s="567"/>
      <c r="F15" s="567"/>
      <c r="G15" s="567"/>
      <c r="H15" s="567"/>
      <c r="I15" s="567"/>
      <c r="J15" s="567"/>
      <c r="K15" s="567"/>
    </row>
    <row r="16" spans="1:256" customFormat="1" ht="17.149999999999999" customHeight="1"/>
    <row r="17" spans="1:12" ht="17.25" customHeight="1">
      <c r="A17" s="2776" t="s">
        <v>1590</v>
      </c>
      <c r="B17" s="2776"/>
      <c r="C17" s="2776"/>
      <c r="D17" s="2776"/>
      <c r="E17" s="2776"/>
      <c r="F17" s="2776"/>
      <c r="G17" s="2776"/>
      <c r="H17" s="2776"/>
      <c r="I17" s="2776"/>
      <c r="J17" s="2776"/>
      <c r="K17" s="2776"/>
      <c r="L17" s="2776"/>
    </row>
    <row r="18" spans="1:12" ht="8.15" customHeight="1">
      <c r="A18" s="33"/>
      <c r="B18" s="33"/>
      <c r="C18" s="347"/>
      <c r="D18" s="347"/>
      <c r="E18" s="347"/>
      <c r="F18" s="347"/>
      <c r="G18" s="347"/>
      <c r="H18" s="347"/>
      <c r="I18" s="347"/>
      <c r="J18" s="348"/>
      <c r="K18" s="348"/>
      <c r="L18" s="348"/>
    </row>
    <row r="19" spans="1:12" ht="17.25" customHeight="1">
      <c r="A19" s="2786" t="s">
        <v>1593</v>
      </c>
      <c r="B19" s="2786"/>
      <c r="C19" s="2786"/>
      <c r="D19" s="2786"/>
      <c r="E19" s="2786"/>
      <c r="F19" s="2786"/>
      <c r="G19" s="2786"/>
      <c r="H19" s="2786"/>
      <c r="I19" s="2786"/>
      <c r="J19" s="2786"/>
      <c r="K19" s="2786"/>
      <c r="L19" s="348"/>
    </row>
    <row r="20" spans="1:12" ht="64.5" customHeight="1">
      <c r="A20" s="2786"/>
      <c r="B20" s="2786"/>
      <c r="C20" s="2786"/>
      <c r="D20" s="2786"/>
      <c r="E20" s="2786"/>
      <c r="F20" s="2786"/>
      <c r="G20" s="2786"/>
      <c r="H20" s="2786"/>
      <c r="I20" s="2786"/>
      <c r="J20" s="2786"/>
      <c r="K20" s="2786"/>
      <c r="L20" s="348"/>
    </row>
    <row r="21" spans="1:12" ht="28" customHeight="1">
      <c r="A21" s="2786"/>
      <c r="B21" s="2786"/>
      <c r="C21" s="2786"/>
      <c r="D21" s="2786"/>
      <c r="E21" s="2786"/>
      <c r="F21" s="2786"/>
      <c r="G21" s="2786"/>
      <c r="H21" s="2786"/>
      <c r="I21" s="2786"/>
      <c r="J21" s="2786"/>
      <c r="K21" s="2786"/>
      <c r="L21" s="348"/>
    </row>
    <row r="22" spans="1:12" s="87" customFormat="1" ht="18">
      <c r="A22" s="2776" t="s">
        <v>1592</v>
      </c>
      <c r="B22" s="2776"/>
      <c r="C22" s="2776"/>
      <c r="D22" s="2776"/>
      <c r="E22" s="2776"/>
      <c r="F22" s="2776"/>
      <c r="G22" s="2776"/>
      <c r="H22" s="2776"/>
      <c r="I22" s="2776"/>
      <c r="J22" s="2776"/>
      <c r="K22" s="2776"/>
      <c r="L22" s="2776"/>
    </row>
    <row r="23" spans="1:12" ht="9" customHeight="1">
      <c r="A23" s="33"/>
      <c r="B23" s="33"/>
    </row>
    <row r="24" spans="1:12" ht="17.25" customHeight="1">
      <c r="A24" s="2786" t="s">
        <v>1594</v>
      </c>
      <c r="B24" s="2786"/>
      <c r="C24" s="2786"/>
      <c r="D24" s="2786"/>
      <c r="E24" s="2786"/>
      <c r="F24" s="2786"/>
      <c r="G24" s="2786"/>
      <c r="H24" s="2786"/>
      <c r="I24" s="2786"/>
      <c r="J24" s="2786"/>
      <c r="K24" s="2786"/>
      <c r="L24" s="348"/>
    </row>
    <row r="25" spans="1:12" customFormat="1" ht="26.15" customHeight="1">
      <c r="A25" s="2786"/>
      <c r="B25" s="2786"/>
      <c r="C25" s="2786"/>
      <c r="D25" s="2786"/>
      <c r="E25" s="2786"/>
      <c r="F25" s="2786"/>
      <c r="G25" s="2786"/>
      <c r="H25" s="2786"/>
      <c r="I25" s="2786"/>
      <c r="J25" s="2786"/>
      <c r="K25" s="2786"/>
    </row>
    <row r="26" spans="1:12" customFormat="1" ht="13" customHeight="1"/>
    <row r="27" spans="1:12" customFormat="1" ht="26.15" customHeight="1">
      <c r="A27" s="2786" t="s">
        <v>1595</v>
      </c>
      <c r="B27" s="2786"/>
      <c r="C27" s="2786"/>
      <c r="D27" s="2786"/>
      <c r="E27" s="2786"/>
      <c r="F27" s="2786"/>
      <c r="G27" s="2786"/>
      <c r="H27" s="2786"/>
      <c r="I27" s="2786"/>
      <c r="J27" s="2786"/>
      <c r="K27" s="2786"/>
    </row>
    <row r="28" spans="1:12" customFormat="1" ht="56.15" customHeight="1">
      <c r="A28" s="2786"/>
      <c r="B28" s="2786"/>
      <c r="C28" s="2786"/>
      <c r="D28" s="2786"/>
      <c r="E28" s="2786"/>
      <c r="F28" s="2786"/>
      <c r="G28" s="2786"/>
      <c r="H28" s="2786"/>
      <c r="I28" s="2786"/>
      <c r="J28" s="2786"/>
      <c r="K28" s="2786"/>
    </row>
    <row r="29" spans="1:12" customFormat="1" ht="18" customHeight="1">
      <c r="A29" s="569"/>
      <c r="B29" s="569"/>
      <c r="C29" s="569"/>
      <c r="D29" s="569"/>
      <c r="E29" s="569"/>
      <c r="F29" s="569"/>
      <c r="G29" s="569"/>
      <c r="H29" s="569"/>
      <c r="I29" s="569"/>
      <c r="J29" s="569"/>
      <c r="K29" s="569"/>
    </row>
    <row r="30" spans="1:12" customFormat="1" ht="26.5" customHeight="1">
      <c r="A30" s="2776" t="s">
        <v>1596</v>
      </c>
      <c r="B30" s="2776"/>
      <c r="C30" s="569"/>
      <c r="D30" s="569"/>
      <c r="E30" s="569"/>
      <c r="F30" s="569"/>
      <c r="G30" s="569"/>
      <c r="H30" s="569"/>
      <c r="I30" s="569"/>
      <c r="J30" s="569"/>
      <c r="K30" s="569"/>
    </row>
    <row r="31" spans="1:12" customFormat="1" ht="18" customHeight="1"/>
    <row r="32" spans="1:12" customFormat="1" ht="18" customHeight="1">
      <c r="A32" s="2785" t="s">
        <v>1597</v>
      </c>
      <c r="B32" s="2785"/>
      <c r="C32" s="2785"/>
      <c r="D32" s="2785"/>
      <c r="E32" s="2785"/>
      <c r="F32" s="2785"/>
      <c r="G32" s="2785"/>
      <c r="H32" s="2785"/>
      <c r="I32" s="2785"/>
      <c r="J32" s="2785"/>
      <c r="K32" s="2785"/>
      <c r="L32" s="2785"/>
    </row>
    <row r="33" spans="1:12" customFormat="1" ht="10.5" customHeight="1">
      <c r="A33" s="2785"/>
      <c r="B33" s="2785"/>
      <c r="C33" s="2785"/>
      <c r="D33" s="2785"/>
      <c r="E33" s="2785"/>
      <c r="F33" s="2785"/>
      <c r="G33" s="2785"/>
      <c r="H33" s="2785"/>
      <c r="I33" s="2785"/>
      <c r="J33" s="2785"/>
      <c r="K33" s="2785"/>
      <c r="L33" s="2785"/>
    </row>
    <row r="34" spans="1:12" customFormat="1" ht="16" customHeight="1">
      <c r="A34" s="2786" t="s">
        <v>1598</v>
      </c>
      <c r="B34" s="2786"/>
      <c r="C34" s="2786"/>
      <c r="D34" s="2786"/>
      <c r="E34" s="2786"/>
      <c r="F34" s="2786"/>
      <c r="G34" s="2786"/>
      <c r="H34" s="2786"/>
      <c r="I34" s="2786"/>
      <c r="J34" s="2786"/>
      <c r="K34" s="2786"/>
    </row>
    <row r="35" spans="1:12" customFormat="1" ht="44.5" customHeight="1">
      <c r="A35" s="2786"/>
      <c r="B35" s="2786"/>
      <c r="C35" s="2786"/>
      <c r="D35" s="2786"/>
      <c r="E35" s="2786"/>
      <c r="F35" s="2786"/>
      <c r="G35" s="2786"/>
      <c r="H35" s="2786"/>
      <c r="I35" s="2786"/>
      <c r="J35" s="2786"/>
      <c r="K35" s="2786"/>
    </row>
    <row r="36" spans="1:12" customFormat="1" ht="16" customHeight="1">
      <c r="A36" s="570"/>
      <c r="B36" s="570"/>
      <c r="C36" s="570"/>
      <c r="D36" s="570"/>
      <c r="E36" s="570"/>
      <c r="F36" s="570"/>
      <c r="G36" s="570"/>
      <c r="H36" s="570"/>
      <c r="I36" s="570"/>
      <c r="J36" s="570"/>
      <c r="K36" s="570"/>
    </row>
    <row r="37" spans="1:12" customFormat="1" ht="16" customHeight="1">
      <c r="A37" s="2785" t="s">
        <v>1599</v>
      </c>
      <c r="B37" s="2785"/>
      <c r="C37" s="2785"/>
      <c r="D37" s="2785"/>
      <c r="E37" s="2785"/>
      <c r="F37" s="2785"/>
      <c r="G37" s="2785"/>
      <c r="H37" s="2785"/>
      <c r="I37" s="2785"/>
      <c r="J37" s="2785"/>
      <c r="K37" s="2785"/>
    </row>
    <row r="38" spans="1:12" customFormat="1" ht="8.15" customHeight="1"/>
    <row r="39" spans="1:12" customFormat="1" ht="16" customHeight="1">
      <c r="A39" s="2786" t="s">
        <v>1600</v>
      </c>
      <c r="B39" s="2786"/>
      <c r="C39" s="2786"/>
      <c r="D39" s="2786"/>
      <c r="E39" s="2786"/>
      <c r="F39" s="2786"/>
      <c r="G39" s="2786"/>
      <c r="H39" s="2786"/>
      <c r="I39" s="2786"/>
      <c r="J39" s="2786"/>
      <c r="K39" s="2786"/>
    </row>
    <row r="40" spans="1:12" customFormat="1" ht="50.5" customHeight="1">
      <c r="A40" s="2786"/>
      <c r="B40" s="2786"/>
      <c r="C40" s="2786"/>
      <c r="D40" s="2786"/>
      <c r="E40" s="2786"/>
      <c r="F40" s="2786"/>
      <c r="G40" s="2786"/>
      <c r="H40" s="2786"/>
      <c r="I40" s="2786"/>
      <c r="J40" s="2786"/>
      <c r="K40" s="2786"/>
    </row>
    <row r="41" spans="1:12" customFormat="1" ht="3.65" customHeight="1">
      <c r="A41" s="2786"/>
      <c r="B41" s="2786"/>
      <c r="C41" s="2786"/>
      <c r="D41" s="2786"/>
      <c r="E41" s="2786"/>
      <c r="F41" s="2786"/>
      <c r="G41" s="2786"/>
      <c r="H41" s="2786"/>
      <c r="I41" s="2786"/>
      <c r="J41" s="2786"/>
      <c r="K41" s="2786"/>
    </row>
    <row r="42" spans="1:12" customFormat="1" ht="16" customHeight="1">
      <c r="A42" s="2786" t="s">
        <v>1601</v>
      </c>
      <c r="B42" s="2786"/>
      <c r="C42" s="2786"/>
      <c r="D42" s="2786"/>
      <c r="E42" s="2786"/>
      <c r="F42" s="2786"/>
      <c r="G42" s="2786"/>
      <c r="H42" s="2786"/>
      <c r="I42" s="2786"/>
      <c r="J42" s="2786"/>
      <c r="K42" s="2786"/>
    </row>
    <row r="43" spans="1:12" customFormat="1" ht="37" customHeight="1">
      <c r="A43" s="2786"/>
      <c r="B43" s="2786"/>
      <c r="C43" s="2786"/>
      <c r="D43" s="2786"/>
      <c r="E43" s="2786"/>
      <c r="F43" s="2786"/>
      <c r="G43" s="2786"/>
      <c r="H43" s="2786"/>
      <c r="I43" s="2786"/>
      <c r="J43" s="2786"/>
      <c r="K43" s="2786"/>
    </row>
    <row r="44" spans="1:12" customFormat="1" ht="16" customHeight="1">
      <c r="A44" s="2786"/>
      <c r="B44" s="2786"/>
      <c r="C44" s="2786"/>
      <c r="D44" s="2786"/>
      <c r="E44" s="2786"/>
      <c r="F44" s="2786"/>
      <c r="G44" s="2786"/>
      <c r="H44" s="2786"/>
      <c r="I44" s="2786"/>
      <c r="J44" s="2786"/>
      <c r="K44" s="2786"/>
    </row>
    <row r="45" spans="1:12" customFormat="1" ht="16" customHeight="1">
      <c r="A45" s="2785" t="s">
        <v>1602</v>
      </c>
      <c r="B45" s="2785"/>
      <c r="C45" s="2785"/>
      <c r="D45" s="2785"/>
      <c r="E45" s="2785"/>
      <c r="F45" s="2785"/>
      <c r="G45" s="2785"/>
      <c r="H45" s="2785"/>
      <c r="I45" s="2785"/>
      <c r="J45" s="2785"/>
      <c r="K45" s="2785"/>
    </row>
    <row r="46" spans="1:12" customFormat="1" ht="8.15" customHeight="1"/>
    <row r="47" spans="1:12" customFormat="1" ht="16" customHeight="1">
      <c r="A47" s="2786" t="s">
        <v>1603</v>
      </c>
      <c r="B47" s="2786"/>
      <c r="C47" s="2786"/>
      <c r="D47" s="2786"/>
      <c r="E47" s="2786"/>
      <c r="F47" s="2786"/>
      <c r="G47" s="2786"/>
      <c r="H47" s="2786"/>
      <c r="I47" s="2786"/>
      <c r="J47" s="2786"/>
      <c r="K47" s="2786"/>
    </row>
    <row r="48" spans="1:12" customFormat="1" ht="78" customHeight="1">
      <c r="A48" s="2786"/>
      <c r="B48" s="2786"/>
      <c r="C48" s="2786"/>
      <c r="D48" s="2786"/>
      <c r="E48" s="2786"/>
      <c r="F48" s="2786"/>
      <c r="G48" s="2786"/>
      <c r="H48" s="2786"/>
      <c r="I48" s="2786"/>
      <c r="J48" s="2786"/>
      <c r="K48" s="2786"/>
    </row>
    <row r="49" spans="1:11" customFormat="1" ht="16" customHeight="1">
      <c r="A49" s="570"/>
      <c r="B49" s="570"/>
      <c r="C49" s="570"/>
      <c r="D49" s="570"/>
      <c r="E49" s="570"/>
      <c r="F49" s="570"/>
      <c r="G49" s="570"/>
      <c r="H49" s="570"/>
      <c r="I49" s="570"/>
      <c r="J49" s="570"/>
      <c r="K49" s="570"/>
    </row>
    <row r="50" spans="1:11" customFormat="1" ht="16" customHeight="1">
      <c r="A50" s="570"/>
      <c r="B50" s="570"/>
      <c r="C50" s="570"/>
      <c r="D50" s="570"/>
      <c r="E50" s="570"/>
      <c r="F50" s="570"/>
      <c r="G50" s="570"/>
      <c r="H50" s="570"/>
      <c r="I50" s="570"/>
      <c r="J50" s="570"/>
      <c r="K50" s="570"/>
    </row>
    <row r="51" spans="1:11" customFormat="1" ht="45.65" customHeight="1">
      <c r="A51" s="656" t="s">
        <v>1877</v>
      </c>
      <c r="B51" s="2787" t="str">
        <f>IF('EFS Pre-Approval'!C14="","",'EFS Pre-Approval'!C14)</f>
        <v/>
      </c>
      <c r="C51" s="2787"/>
      <c r="D51" s="570"/>
      <c r="E51" s="570"/>
      <c r="F51" s="570"/>
      <c r="G51" s="570"/>
      <c r="H51" s="570"/>
      <c r="I51" s="570"/>
      <c r="J51" s="570"/>
      <c r="K51" s="570"/>
    </row>
    <row r="52" spans="1:11" customFormat="1" ht="34.5" customHeight="1">
      <c r="A52" s="2788" t="s">
        <v>1878</v>
      </c>
      <c r="B52" s="2788"/>
      <c r="C52" s="2788"/>
      <c r="D52" s="2788"/>
      <c r="E52" s="2788"/>
      <c r="F52" s="2788"/>
      <c r="G52" s="570"/>
      <c r="H52" s="570"/>
      <c r="I52" s="570"/>
      <c r="J52" s="570"/>
      <c r="K52" s="570"/>
    </row>
    <row r="53" spans="1:11" customFormat="1" ht="45.65" customHeight="1">
      <c r="A53" s="656"/>
      <c r="B53" s="657"/>
      <c r="C53" s="657"/>
      <c r="D53" s="570"/>
      <c r="E53" s="570"/>
      <c r="F53" s="570"/>
      <c r="G53" s="570"/>
      <c r="H53" s="570"/>
      <c r="I53" s="570"/>
      <c r="J53" s="570"/>
      <c r="K53" s="570"/>
    </row>
    <row r="54" spans="1:11" customFormat="1" ht="20.149999999999999" customHeight="1">
      <c r="A54" s="571"/>
      <c r="B54" s="658" t="s">
        <v>1879</v>
      </c>
      <c r="C54" s="570"/>
      <c r="D54" s="570"/>
      <c r="E54" s="570"/>
      <c r="F54" s="570"/>
      <c r="G54" s="570"/>
      <c r="H54" s="570"/>
      <c r="I54" s="570"/>
      <c r="J54" s="570"/>
      <c r="K54" s="570"/>
    </row>
    <row r="55" spans="1:11" customFormat="1" ht="20.149999999999999" customHeight="1">
      <c r="A55" s="571"/>
      <c r="B55" s="658"/>
      <c r="C55" s="570"/>
      <c r="D55" s="570"/>
      <c r="E55" s="570"/>
      <c r="F55" s="570"/>
      <c r="G55" s="570"/>
      <c r="H55" s="570"/>
      <c r="I55" s="570"/>
      <c r="J55" s="570"/>
      <c r="K55" s="570"/>
    </row>
    <row r="56" spans="1:11" customFormat="1" ht="20.149999999999999" customHeight="1">
      <c r="A56" s="571"/>
      <c r="B56" s="570"/>
      <c r="C56" s="570"/>
      <c r="D56" s="570"/>
      <c r="E56" s="570"/>
      <c r="F56" s="570"/>
      <c r="G56" s="570"/>
      <c r="H56" s="570"/>
      <c r="I56" s="570"/>
      <c r="J56" s="570"/>
      <c r="K56" s="570"/>
    </row>
    <row r="57" spans="1:11" customFormat="1" ht="16" customHeight="1">
      <c r="A57" s="2784"/>
      <c r="B57" s="2784"/>
      <c r="C57" s="2784"/>
      <c r="D57" s="570"/>
      <c r="E57" s="2782"/>
      <c r="F57" s="2782"/>
      <c r="G57" s="2782"/>
      <c r="H57" s="2782"/>
      <c r="I57" s="570"/>
      <c r="J57" s="2784"/>
      <c r="K57" s="2784"/>
    </row>
    <row r="58" spans="1:11" customFormat="1" ht="16" customHeight="1">
      <c r="A58" s="571" t="s">
        <v>1604</v>
      </c>
      <c r="E58" s="571" t="s">
        <v>1606</v>
      </c>
      <c r="J58" s="571" t="s">
        <v>228</v>
      </c>
    </row>
    <row r="59" spans="1:11" customFormat="1" ht="16" customHeight="1"/>
    <row r="60" spans="1:11" customFormat="1" ht="16" customHeight="1">
      <c r="A60" s="2224"/>
      <c r="B60" s="2224"/>
      <c r="C60" s="2224"/>
      <c r="E60" s="2783"/>
      <c r="F60" s="2783"/>
      <c r="G60" s="2783"/>
      <c r="H60" s="2783"/>
      <c r="J60" s="2224"/>
      <c r="K60" s="2224"/>
    </row>
    <row r="61" spans="1:11" customFormat="1" ht="16" customHeight="1">
      <c r="A61" s="571" t="s">
        <v>1605</v>
      </c>
      <c r="E61" s="571" t="s">
        <v>1606</v>
      </c>
      <c r="J61" s="571" t="s">
        <v>228</v>
      </c>
    </row>
    <row r="62" spans="1:11" customFormat="1" ht="16" customHeight="1"/>
    <row r="63" spans="1:11" s="83" customFormat="1" ht="16.5" customHeight="1">
      <c r="A63" s="572" t="s">
        <v>223</v>
      </c>
      <c r="B63" s="677" t="str">
        <f>Development!$A$2</f>
        <v>2.0</v>
      </c>
      <c r="C63" s="573"/>
      <c r="J63" s="572" t="s">
        <v>225</v>
      </c>
      <c r="K63" s="573" t="str">
        <f>Development!$A$4</f>
        <v>4.01.2024</v>
      </c>
    </row>
    <row r="105" ht="16.5" customHeight="1"/>
    <row r="106" ht="16.5" customHeight="1"/>
  </sheetData>
  <sheetProtection algorithmName="SHA-512" hashValue="J8hLgv0S9DhziGB0rAaD6EQT/A/Km2fNcVCyBvljwMhIrFYoWdUFZMWN472A+iWkL2fVB6Z8BSOWOSxv3Rc3Vg==" saltValue="ohB61vRyABlbe000igIkDQ==" spinCount="100000" sheet="1" objects="1" scenarios="1"/>
  <mergeCells count="81">
    <mergeCell ref="A5:L6"/>
    <mergeCell ref="A8:K8"/>
    <mergeCell ref="A9:K9"/>
    <mergeCell ref="A10:K10"/>
    <mergeCell ref="A11:K11"/>
    <mergeCell ref="A13:K14"/>
    <mergeCell ref="A17:L17"/>
    <mergeCell ref="A22:L22"/>
    <mergeCell ref="A15:B15"/>
    <mergeCell ref="A19:K20"/>
    <mergeCell ref="A21:K21"/>
    <mergeCell ref="IR3:IV3"/>
    <mergeCell ref="A7:L7"/>
    <mergeCell ref="GJ3:GS3"/>
    <mergeCell ref="GT3:HC3"/>
    <mergeCell ref="HD3:HM3"/>
    <mergeCell ref="HN3:HW3"/>
    <mergeCell ref="HX3:IG3"/>
    <mergeCell ref="IH3:IQ3"/>
    <mergeCell ref="EB3:EK3"/>
    <mergeCell ref="EL3:EU3"/>
    <mergeCell ref="EV3:FE3"/>
    <mergeCell ref="FF3:FO3"/>
    <mergeCell ref="FP3:FY3"/>
    <mergeCell ref="FZ3:GI3"/>
    <mergeCell ref="BT3:CC3"/>
    <mergeCell ref="CD3:CM3"/>
    <mergeCell ref="CN3:CW3"/>
    <mergeCell ref="CX3:DG3"/>
    <mergeCell ref="DH3:DQ3"/>
    <mergeCell ref="DR3:EA3"/>
    <mergeCell ref="V3:AE3"/>
    <mergeCell ref="AF3:AO3"/>
    <mergeCell ref="AP3:AY3"/>
    <mergeCell ref="AZ3:BI3"/>
    <mergeCell ref="BJ3:BS3"/>
    <mergeCell ref="IR1:IV1"/>
    <mergeCell ref="EL1:EU1"/>
    <mergeCell ref="EV1:FE1"/>
    <mergeCell ref="FF1:FO1"/>
    <mergeCell ref="FP1:FY1"/>
    <mergeCell ref="FZ1:GI1"/>
    <mergeCell ref="GJ1:GS1"/>
    <mergeCell ref="GT1:HC1"/>
    <mergeCell ref="HD1:HM1"/>
    <mergeCell ref="HN1:HW1"/>
    <mergeCell ref="HX1:IG1"/>
    <mergeCell ref="IH1:IQ1"/>
    <mergeCell ref="EB1:EK1"/>
    <mergeCell ref="V1:AE1"/>
    <mergeCell ref="AF1:AO1"/>
    <mergeCell ref="AP1:AY1"/>
    <mergeCell ref="AZ1:BI1"/>
    <mergeCell ref="BJ1:BS1"/>
    <mergeCell ref="BT1:CC1"/>
    <mergeCell ref="CD1:CM1"/>
    <mergeCell ref="CN1:CW1"/>
    <mergeCell ref="CX1:DG1"/>
    <mergeCell ref="DH1:DQ1"/>
    <mergeCell ref="DR1:EA1"/>
    <mergeCell ref="A32:L32"/>
    <mergeCell ref="A34:K35"/>
    <mergeCell ref="A37:K37"/>
    <mergeCell ref="A33:L33"/>
    <mergeCell ref="A24:K25"/>
    <mergeCell ref="A27:K28"/>
    <mergeCell ref="A30:B30"/>
    <mergeCell ref="A45:K45"/>
    <mergeCell ref="A47:K48"/>
    <mergeCell ref="A57:C57"/>
    <mergeCell ref="A39:K40"/>
    <mergeCell ref="A41:K41"/>
    <mergeCell ref="A42:K43"/>
    <mergeCell ref="A44:K44"/>
    <mergeCell ref="B51:C51"/>
    <mergeCell ref="A52:F52"/>
    <mergeCell ref="A60:C60"/>
    <mergeCell ref="E57:H57"/>
    <mergeCell ref="E60:H60"/>
    <mergeCell ref="J57:K57"/>
    <mergeCell ref="J60:K60"/>
  </mergeCells>
  <printOptions horizontalCentered="1"/>
  <pageMargins left="0.2" right="0.2" top="0.75" bottom="0.75" header="0.3" footer="0.3"/>
  <pageSetup scale="4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3777" r:id="rId4" name="Check Box 1">
              <controlPr defaultSize="0" autoFill="0" autoLine="0" autoPict="0">
                <anchor moveWithCells="1">
                  <from>
                    <xdr:col>0</xdr:col>
                    <xdr:colOff>0</xdr:colOff>
                    <xdr:row>48</xdr:row>
                    <xdr:rowOff>165100</xdr:rowOff>
                  </from>
                  <to>
                    <xdr:col>4</xdr:col>
                    <xdr:colOff>304800</xdr:colOff>
                    <xdr:row>49</xdr:row>
                    <xdr:rowOff>190500</xdr:rowOff>
                  </to>
                </anchor>
              </controlPr>
            </control>
          </mc:Choice>
        </mc:AlternateContent>
        <mc:AlternateContent xmlns:mc="http://schemas.openxmlformats.org/markup-compatibility/2006">
          <mc:Choice Requires="x14">
            <control shapeId="203778" r:id="rId5" name="Option Button 2">
              <controlPr defaultSize="0" autoFill="0" autoLine="0" autoPict="0">
                <anchor moveWithCells="1">
                  <from>
                    <xdr:col>0</xdr:col>
                    <xdr:colOff>1289050</xdr:colOff>
                    <xdr:row>52</xdr:row>
                    <xdr:rowOff>88900</xdr:rowOff>
                  </from>
                  <to>
                    <xdr:col>4</xdr:col>
                    <xdr:colOff>304800</xdr:colOff>
                    <xdr:row>52</xdr:row>
                    <xdr:rowOff>393700</xdr:rowOff>
                  </to>
                </anchor>
              </controlPr>
            </control>
          </mc:Choice>
        </mc:AlternateContent>
        <mc:AlternateContent xmlns:mc="http://schemas.openxmlformats.org/markup-compatibility/2006">
          <mc:Choice Requires="x14">
            <control shapeId="203779" r:id="rId6" name="Option Button 3">
              <controlPr defaultSize="0" autoFill="0" autoLine="0" autoPict="0">
                <anchor moveWithCells="1">
                  <from>
                    <xdr:col>1</xdr:col>
                    <xdr:colOff>12700</xdr:colOff>
                    <xdr:row>52</xdr:row>
                    <xdr:rowOff>381000</xdr:rowOff>
                  </from>
                  <to>
                    <xdr:col>4</xdr:col>
                    <xdr:colOff>88900</xdr:colOff>
                    <xdr:row>53</xdr:row>
                    <xdr:rowOff>88900</xdr:rowOff>
                  </to>
                </anchor>
              </controlPr>
            </control>
          </mc:Choice>
        </mc:AlternateContent>
        <mc:AlternateContent xmlns:mc="http://schemas.openxmlformats.org/markup-compatibility/2006">
          <mc:Choice Requires="x14">
            <control shapeId="203780" r:id="rId7" name="Option Button 4">
              <controlPr defaultSize="0" autoFill="0" autoLine="0" autoPict="0">
                <anchor moveWithCells="1">
                  <from>
                    <xdr:col>4</xdr:col>
                    <xdr:colOff>241300</xdr:colOff>
                    <xdr:row>52</xdr:row>
                    <xdr:rowOff>133350</xdr:rowOff>
                  </from>
                  <to>
                    <xdr:col>8</xdr:col>
                    <xdr:colOff>114300</xdr:colOff>
                    <xdr:row>52</xdr:row>
                    <xdr:rowOff>336550</xdr:rowOff>
                  </to>
                </anchor>
              </controlPr>
            </control>
          </mc:Choice>
        </mc:AlternateContent>
      </controls>
    </mc:Choice>
  </mc:AlternateContent>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F09AF7-C084-47BB-8A23-C4D97B4DCD6C}">
  <sheetPr codeName="Sheet38">
    <tabColor rgb="FFCC0000"/>
  </sheetPr>
  <dimension ref="A1:EI1439"/>
  <sheetViews>
    <sheetView showGridLines="0" topLeftCell="BF1" zoomScale="90" zoomScaleNormal="90" workbookViewId="0">
      <selection activeCell="BO16" sqref="BO16:BO20"/>
    </sheetView>
  </sheetViews>
  <sheetFormatPr defaultColWidth="8.54296875" defaultRowHeight="14.5"/>
  <cols>
    <col min="1" max="1" width="11.81640625" hidden="1" customWidth="1"/>
    <col min="2" max="16" width="23.1796875" hidden="1" customWidth="1"/>
    <col min="17" max="17" width="13.1796875" hidden="1" customWidth="1"/>
    <col min="18" max="19" width="23.1796875" hidden="1" customWidth="1"/>
    <col min="20" max="20" width="23.1796875" style="793" customWidth="1"/>
    <col min="21" max="21" width="76.1796875" style="793" customWidth="1"/>
    <col min="22" max="22" width="23.1796875" style="793" customWidth="1"/>
    <col min="23" max="23" width="39" style="793" customWidth="1"/>
    <col min="24" max="24" width="23.1796875" style="793" customWidth="1"/>
    <col min="25" max="25" width="12" bestFit="1" customWidth="1"/>
    <col min="26" max="36" width="8.54296875" customWidth="1"/>
    <col min="37" max="37" width="19.1796875" bestFit="1" customWidth="1"/>
    <col min="38" max="38" width="12.26953125" bestFit="1" customWidth="1"/>
    <col min="39" max="39" width="8.54296875" customWidth="1"/>
    <col min="40" max="40" width="31.54296875" customWidth="1"/>
    <col min="41" max="41" width="23.7265625" bestFit="1" customWidth="1"/>
    <col min="42" max="42" width="31.1796875" bestFit="1" customWidth="1"/>
    <col min="43" max="43" width="19.54296875" bestFit="1" customWidth="1"/>
    <col min="44" max="44" width="14.26953125" bestFit="1" customWidth="1"/>
    <col min="45" max="45" width="12.81640625" bestFit="1" customWidth="1"/>
    <col min="46" max="57" width="14.54296875" customWidth="1"/>
    <col min="59" max="59" width="18.26953125" bestFit="1" customWidth="1"/>
    <col min="60" max="60" width="11.81640625" bestFit="1" customWidth="1"/>
    <col min="62" max="62" width="42" bestFit="1" customWidth="1"/>
    <col min="63" max="63" width="15.1796875" bestFit="1" customWidth="1"/>
    <col min="64" max="64" width="16.453125" bestFit="1" customWidth="1"/>
    <col min="65" max="65" width="19.1796875" bestFit="1" customWidth="1"/>
    <col min="66" max="66" width="20.453125" bestFit="1" customWidth="1"/>
    <col min="67" max="67" width="22.7265625" bestFit="1" customWidth="1"/>
    <col min="68" max="68" width="13.1796875" bestFit="1" customWidth="1"/>
    <col min="69" max="69" width="22.54296875" bestFit="1" customWidth="1"/>
    <col min="70" max="70" width="18.54296875" bestFit="1" customWidth="1"/>
    <col min="71" max="71" width="31.1796875" bestFit="1" customWidth="1"/>
    <col min="72" max="72" width="14" bestFit="1" customWidth="1"/>
    <col min="73" max="73" width="16.453125" bestFit="1" customWidth="1"/>
    <col min="74" max="74" width="19.1796875" bestFit="1" customWidth="1"/>
    <col min="75" max="75" width="20.453125" bestFit="1" customWidth="1"/>
    <col min="76" max="76" width="66" bestFit="1" customWidth="1"/>
    <col min="77" max="77" width="12.54296875" bestFit="1" customWidth="1"/>
    <col min="78" max="78" width="22.54296875" bestFit="1" customWidth="1"/>
    <col min="79" max="80" width="14.54296875" bestFit="1" customWidth="1"/>
    <col min="81" max="81" width="13.453125" bestFit="1" customWidth="1"/>
    <col min="82" max="82" width="8.7265625" bestFit="1" customWidth="1"/>
    <col min="83" max="84" width="6.54296875" bestFit="1" customWidth="1"/>
    <col min="85" max="85" width="29.81640625" bestFit="1" customWidth="1"/>
    <col min="86" max="86" width="30.7265625" bestFit="1" customWidth="1"/>
    <col min="87" max="87" width="8.54296875" bestFit="1" customWidth="1"/>
    <col min="88" max="93" width="15.453125" bestFit="1" customWidth="1"/>
    <col min="94" max="97" width="20.1796875" bestFit="1" customWidth="1"/>
    <col min="98" max="99" width="25.453125" bestFit="1" customWidth="1"/>
    <col min="100" max="103" width="24.81640625" bestFit="1" customWidth="1"/>
    <col min="104" max="105" width="16.26953125" bestFit="1" customWidth="1"/>
    <col min="106" max="107" width="16.453125" bestFit="1" customWidth="1"/>
    <col min="108" max="108" width="17.54296875" bestFit="1" customWidth="1"/>
    <col min="109" max="109" width="16.1796875" bestFit="1" customWidth="1"/>
    <col min="110" max="110" width="9.453125" bestFit="1" customWidth="1"/>
    <col min="111" max="112" width="18.54296875" bestFit="1" customWidth="1"/>
    <col min="113" max="114" width="14.54296875" bestFit="1" customWidth="1"/>
    <col min="115" max="115" width="13.453125" bestFit="1" customWidth="1"/>
    <col min="116" max="116" width="8.7265625" bestFit="1" customWidth="1"/>
    <col min="117" max="117" width="29.81640625" bestFit="1" customWidth="1"/>
    <col min="118" max="118" width="30.7265625" bestFit="1" customWidth="1"/>
    <col min="119" max="119" width="8.54296875" bestFit="1" customWidth="1"/>
    <col min="120" max="125" width="15.453125" bestFit="1" customWidth="1"/>
    <col min="126" max="129" width="20.1796875" bestFit="1" customWidth="1"/>
    <col min="130" max="131" width="25.453125" bestFit="1" customWidth="1"/>
    <col min="132" max="135" width="24.81640625" bestFit="1" customWidth="1"/>
    <col min="136" max="137" width="16.26953125" bestFit="1" customWidth="1"/>
    <col min="138" max="139" width="16.453125" bestFit="1" customWidth="1"/>
    <col min="143" max="218" width="16.81640625" customWidth="1"/>
    <col min="220" max="220" width="15.54296875" customWidth="1"/>
    <col min="221" max="221" width="23.26953125" customWidth="1"/>
    <col min="223" max="223" width="10.453125" bestFit="1" customWidth="1"/>
    <col min="225" max="225" width="31.1796875" bestFit="1" customWidth="1"/>
  </cols>
  <sheetData>
    <row r="1" spans="20:139">
      <c r="T1" s="795" t="s">
        <v>2644</v>
      </c>
      <c r="U1" s="746"/>
      <c r="V1" s="746"/>
      <c r="W1" s="746"/>
      <c r="X1" s="746"/>
      <c r="Y1" s="746"/>
      <c r="Z1" s="732"/>
      <c r="AA1" s="732"/>
    </row>
    <row r="2" spans="20:139" ht="12.65" customHeight="1">
      <c r="T2" s="745" t="s">
        <v>2645</v>
      </c>
      <c r="U2" s="732"/>
      <c r="V2" s="732"/>
      <c r="W2" s="732"/>
      <c r="X2" s="141" t="s">
        <v>193</v>
      </c>
      <c r="Y2" s="140" t="s">
        <v>694</v>
      </c>
      <c r="Z2" s="841"/>
      <c r="AA2" s="841"/>
      <c r="BJ2" s="801" t="s">
        <v>2827</v>
      </c>
      <c r="BK2" s="801"/>
      <c r="BL2" s="802"/>
      <c r="BM2" s="801"/>
      <c r="BN2" s="801"/>
      <c r="BO2" s="802"/>
      <c r="BP2" s="801"/>
      <c r="BQ2" s="803"/>
      <c r="BR2" s="804"/>
      <c r="BS2" s="803"/>
      <c r="BT2" s="803"/>
      <c r="BU2" s="803"/>
      <c r="BV2" s="803"/>
      <c r="BW2" s="803"/>
      <c r="BX2" s="803"/>
      <c r="BY2" s="803"/>
      <c r="BZ2" s="803"/>
      <c r="CA2" s="803"/>
      <c r="CB2" s="803"/>
      <c r="CC2" s="803"/>
      <c r="CD2" s="803"/>
      <c r="CE2" s="803"/>
      <c r="CF2" s="803"/>
      <c r="CG2" s="803"/>
      <c r="CH2" s="803"/>
      <c r="CI2" s="803"/>
      <c r="CJ2" s="803"/>
      <c r="CK2" s="803"/>
      <c r="CL2" s="803"/>
      <c r="CM2" s="803"/>
      <c r="CN2" s="803"/>
      <c r="CO2" s="803"/>
      <c r="CP2" s="803"/>
      <c r="CQ2" s="803"/>
      <c r="CR2" s="803"/>
      <c r="CS2" s="804"/>
      <c r="CT2" s="804"/>
      <c r="CU2" s="804"/>
      <c r="CV2" s="804"/>
      <c r="CW2" s="804"/>
      <c r="CX2" s="804"/>
      <c r="CY2" s="804"/>
      <c r="CZ2" s="804"/>
      <c r="DA2" s="804"/>
      <c r="DB2" s="804"/>
      <c r="DC2" s="804"/>
      <c r="DD2" s="804"/>
      <c r="DE2" s="804"/>
      <c r="DF2" s="804"/>
      <c r="DG2" s="804"/>
      <c r="DH2" s="804"/>
      <c r="DI2" s="804"/>
      <c r="DJ2" s="804"/>
      <c r="DK2" s="804"/>
      <c r="DL2" s="804"/>
      <c r="DM2" s="804"/>
      <c r="DN2" s="804"/>
      <c r="DO2" s="804"/>
      <c r="DP2" s="804"/>
      <c r="DQ2" s="804"/>
      <c r="DR2" s="804"/>
      <c r="DS2" s="804"/>
      <c r="DT2" s="804"/>
      <c r="DU2" s="804"/>
      <c r="DV2" s="804"/>
      <c r="DW2" s="804"/>
      <c r="DX2" s="804"/>
      <c r="DY2" s="804"/>
      <c r="DZ2" s="804"/>
      <c r="EA2" s="804"/>
      <c r="EB2" s="804"/>
      <c r="EC2" s="804"/>
      <c r="ED2" s="804"/>
      <c r="EE2" s="804"/>
      <c r="EF2" s="804"/>
      <c r="EG2" s="804"/>
      <c r="EH2" s="804"/>
      <c r="EI2" s="804"/>
    </row>
    <row r="3" spans="20:139" ht="12.65" customHeight="1">
      <c r="T3" t="s">
        <v>2646</v>
      </c>
      <c r="U3" t="str">
        <f>T3&amp;" &amp; "&amp;T3&amp;"-P - LED Architectural Flood and Spot Fixtures - Low, Mid  - $60 each"</f>
        <v>X900 &amp; X900-P - LED Architectural Flood and Spot Fixtures - Low, Mid  - $60 each</v>
      </c>
      <c r="V3" s="732"/>
      <c r="W3" s="732"/>
      <c r="X3" s="833" t="s">
        <v>2646</v>
      </c>
      <c r="Y3" s="834">
        <v>8.4000000000000005E-2</v>
      </c>
      <c r="Z3" s="843"/>
      <c r="AA3" s="843"/>
      <c r="BJ3" s="141" t="s">
        <v>2748</v>
      </c>
      <c r="BK3" s="805" t="s">
        <v>2750</v>
      </c>
      <c r="BL3" s="141" t="s">
        <v>2752</v>
      </c>
      <c r="BM3" s="141" t="s">
        <v>2754</v>
      </c>
      <c r="BN3" s="141" t="s">
        <v>2756</v>
      </c>
      <c r="BO3" s="805" t="s">
        <v>2758</v>
      </c>
      <c r="BP3" s="805" t="s">
        <v>2760</v>
      </c>
      <c r="BQ3" s="141" t="s">
        <v>2762</v>
      </c>
      <c r="BR3" s="61" t="s">
        <v>2828</v>
      </c>
      <c r="BS3" s="141" t="s">
        <v>2792</v>
      </c>
      <c r="BT3" s="141" t="s">
        <v>2793</v>
      </c>
      <c r="BU3" s="141" t="s">
        <v>2794</v>
      </c>
      <c r="BV3" s="141" t="s">
        <v>2795</v>
      </c>
      <c r="BW3" s="141" t="s">
        <v>2796</v>
      </c>
      <c r="BX3" s="141" t="s">
        <v>2797</v>
      </c>
      <c r="BY3" s="141" t="s">
        <v>2798</v>
      </c>
      <c r="BZ3" s="141" t="s">
        <v>2799</v>
      </c>
      <c r="CA3" s="806" t="s">
        <v>2764</v>
      </c>
      <c r="CB3" s="806" t="s">
        <v>2765</v>
      </c>
      <c r="CC3" s="806" t="s">
        <v>2829</v>
      </c>
      <c r="CD3" s="806" t="s">
        <v>2766</v>
      </c>
      <c r="CE3" s="806" t="s">
        <v>2830</v>
      </c>
      <c r="CF3" s="806" t="s">
        <v>2826</v>
      </c>
      <c r="CG3" s="806" t="s">
        <v>2767</v>
      </c>
      <c r="CH3" s="806" t="s">
        <v>2768</v>
      </c>
      <c r="CI3" s="806" t="s">
        <v>2769</v>
      </c>
      <c r="CJ3" s="806" t="s">
        <v>2770</v>
      </c>
      <c r="CK3" s="806" t="s">
        <v>2771</v>
      </c>
      <c r="CL3" s="806" t="s">
        <v>2772</v>
      </c>
      <c r="CM3" s="806" t="s">
        <v>2773</v>
      </c>
      <c r="CN3" s="806" t="s">
        <v>2774</v>
      </c>
      <c r="CO3" s="806" t="s">
        <v>2775</v>
      </c>
      <c r="CP3" s="806" t="s">
        <v>2776</v>
      </c>
      <c r="CQ3" s="806" t="s">
        <v>2777</v>
      </c>
      <c r="CR3" s="806" t="s">
        <v>2778</v>
      </c>
      <c r="CS3" s="806" t="s">
        <v>2779</v>
      </c>
      <c r="CT3" s="806" t="s">
        <v>2780</v>
      </c>
      <c r="CU3" s="806" t="s">
        <v>2781</v>
      </c>
      <c r="CV3" s="807" t="s">
        <v>2782</v>
      </c>
      <c r="CW3" s="807" t="s">
        <v>2783</v>
      </c>
      <c r="CX3" s="807" t="s">
        <v>2784</v>
      </c>
      <c r="CY3" s="807" t="s">
        <v>2785</v>
      </c>
      <c r="CZ3" s="807" t="s">
        <v>2786</v>
      </c>
      <c r="DA3" s="807" t="s">
        <v>2787</v>
      </c>
      <c r="DB3" s="807" t="s">
        <v>2788</v>
      </c>
      <c r="DC3" s="807" t="s">
        <v>2789</v>
      </c>
      <c r="DD3" s="808" t="s">
        <v>2831</v>
      </c>
      <c r="DE3" s="808" t="s">
        <v>2832</v>
      </c>
      <c r="DF3" s="807" t="s">
        <v>2833</v>
      </c>
      <c r="DG3" s="807" t="s">
        <v>2790</v>
      </c>
      <c r="DH3" s="807" t="s">
        <v>2791</v>
      </c>
      <c r="DI3" s="141" t="s">
        <v>2800</v>
      </c>
      <c r="DJ3" s="141" t="s">
        <v>2801</v>
      </c>
      <c r="DK3" s="141" t="s">
        <v>2834</v>
      </c>
      <c r="DL3" s="141" t="s">
        <v>2802</v>
      </c>
      <c r="DM3" s="141" t="s">
        <v>2803</v>
      </c>
      <c r="DN3" s="141" t="s">
        <v>2804</v>
      </c>
      <c r="DO3" s="141" t="s">
        <v>2805</v>
      </c>
      <c r="DP3" s="141" t="s">
        <v>2806</v>
      </c>
      <c r="DQ3" s="141" t="s">
        <v>2807</v>
      </c>
      <c r="DR3" s="141" t="s">
        <v>2808</v>
      </c>
      <c r="DS3" s="141" t="s">
        <v>2809</v>
      </c>
      <c r="DT3" s="141" t="s">
        <v>2810</v>
      </c>
      <c r="DU3" s="141" t="s">
        <v>2811</v>
      </c>
      <c r="DV3" s="141" t="s">
        <v>2812</v>
      </c>
      <c r="DW3" s="141" t="s">
        <v>2813</v>
      </c>
      <c r="DX3" s="141" t="s">
        <v>2814</v>
      </c>
      <c r="DY3" s="141" t="s">
        <v>2815</v>
      </c>
      <c r="DZ3" s="141" t="s">
        <v>2816</v>
      </c>
      <c r="EA3" s="141" t="s">
        <v>2817</v>
      </c>
      <c r="EB3" s="141" t="s">
        <v>2818</v>
      </c>
      <c r="EC3" s="141" t="s">
        <v>2819</v>
      </c>
      <c r="ED3" s="141" t="s">
        <v>2820</v>
      </c>
      <c r="EE3" s="141" t="s">
        <v>2821</v>
      </c>
      <c r="EF3" s="141" t="s">
        <v>2822</v>
      </c>
      <c r="EG3" s="141" t="s">
        <v>2823</v>
      </c>
      <c r="EH3" s="141" t="s">
        <v>2824</v>
      </c>
      <c r="EI3" s="141" t="s">
        <v>2825</v>
      </c>
    </row>
    <row r="4" spans="20:139" ht="12.65" customHeight="1">
      <c r="T4"/>
      <c r="U4"/>
      <c r="V4" s="732"/>
      <c r="W4" s="732"/>
      <c r="X4" s="835" t="s">
        <v>2647</v>
      </c>
      <c r="Y4" s="836">
        <v>8.4000000000000005E-2</v>
      </c>
      <c r="Z4" s="843"/>
      <c r="AA4" s="843"/>
      <c r="BJ4" s="740"/>
      <c r="BK4" s="809"/>
      <c r="BL4" s="740"/>
      <c r="BM4" s="740"/>
      <c r="BN4" s="740"/>
      <c r="BO4" s="810"/>
      <c r="BP4" s="810"/>
      <c r="BQ4" s="740"/>
      <c r="BR4" s="731"/>
      <c r="BS4" s="731"/>
      <c r="BT4" s="731"/>
      <c r="BU4" s="731"/>
      <c r="BV4" s="731"/>
      <c r="BW4" s="731"/>
      <c r="BX4" s="731"/>
      <c r="BY4" s="731"/>
      <c r="BZ4" s="731"/>
      <c r="CA4" s="731"/>
      <c r="CB4" s="731"/>
      <c r="CC4" s="731"/>
      <c r="CD4" s="731"/>
      <c r="CE4" s="731"/>
      <c r="CF4" s="731"/>
      <c r="CG4" s="731"/>
      <c r="CH4" s="731"/>
      <c r="CI4" s="731"/>
      <c r="CJ4" s="731"/>
      <c r="CK4" s="731"/>
      <c r="CL4" s="731"/>
      <c r="CM4" s="731"/>
      <c r="CN4" s="731"/>
      <c r="CO4" s="731"/>
      <c r="CP4" s="731"/>
      <c r="CQ4" s="731"/>
      <c r="CR4" s="731"/>
      <c r="CS4" s="731"/>
      <c r="CT4" s="731"/>
      <c r="CU4" s="731"/>
      <c r="CV4" s="740"/>
      <c r="CW4" s="740"/>
      <c r="CX4" s="740"/>
      <c r="CY4" s="740"/>
      <c r="CZ4" s="740"/>
      <c r="DA4" s="740"/>
      <c r="DB4" s="740"/>
      <c r="DC4" s="740"/>
      <c r="DD4" s="740"/>
      <c r="DE4" s="740"/>
      <c r="DF4" s="740"/>
      <c r="DG4" s="740"/>
      <c r="DH4" s="740"/>
      <c r="DI4" s="740"/>
      <c r="DJ4" s="740"/>
      <c r="DK4" s="740"/>
      <c r="DL4" s="740"/>
      <c r="DM4" s="740"/>
      <c r="DN4" s="740"/>
      <c r="DO4" s="740"/>
      <c r="DP4" s="740"/>
      <c r="DQ4" s="740"/>
      <c r="DR4" s="740"/>
      <c r="DS4" s="740"/>
      <c r="DT4" s="740"/>
      <c r="DU4" s="740"/>
      <c r="DV4" s="740"/>
      <c r="DW4" s="740"/>
      <c r="DX4" s="740"/>
      <c r="DY4" s="740"/>
      <c r="DZ4" s="740"/>
      <c r="EA4" s="740"/>
      <c r="EB4" s="740"/>
      <c r="EC4" s="740"/>
      <c r="ED4" s="740"/>
      <c r="EE4" s="740"/>
      <c r="EF4" s="740"/>
      <c r="EG4" s="740"/>
      <c r="EH4" s="740"/>
      <c r="EI4" s="740"/>
    </row>
    <row r="5" spans="20:139" ht="12.65" customHeight="1">
      <c r="T5" t="s">
        <v>2648</v>
      </c>
      <c r="U5" t="s">
        <v>2909</v>
      </c>
      <c r="V5" s="732"/>
      <c r="W5" s="732"/>
      <c r="X5" s="835" t="s">
        <v>2648</v>
      </c>
      <c r="Y5" s="837">
        <v>0.29680000000000001</v>
      </c>
      <c r="Z5" s="844"/>
      <c r="AA5" s="844"/>
      <c r="BJ5" s="798" t="s">
        <v>2749</v>
      </c>
      <c r="BK5" s="799" t="s">
        <v>2751</v>
      </c>
      <c r="BL5" s="740" t="s">
        <v>2753</v>
      </c>
      <c r="BM5" s="740" t="s">
        <v>2755</v>
      </c>
      <c r="BN5" s="740" t="s">
        <v>2757</v>
      </c>
      <c r="BO5" s="798" t="s">
        <v>2759</v>
      </c>
      <c r="BP5" s="798" t="s">
        <v>2761</v>
      </c>
      <c r="BQ5" s="811" t="s">
        <v>2763</v>
      </c>
      <c r="BR5" s="731" t="s">
        <v>2835</v>
      </c>
      <c r="BS5" s="731" t="s">
        <v>2749</v>
      </c>
      <c r="BT5" s="731" t="s">
        <v>2751</v>
      </c>
      <c r="BU5" s="731" t="s">
        <v>2753</v>
      </c>
      <c r="BV5" s="812" t="s">
        <v>2755</v>
      </c>
      <c r="BW5" s="731" t="s">
        <v>2757</v>
      </c>
      <c r="BX5" s="731" t="s">
        <v>2759</v>
      </c>
      <c r="BY5" s="731" t="s">
        <v>2761</v>
      </c>
      <c r="BZ5" s="731" t="s">
        <v>2763</v>
      </c>
      <c r="CA5" s="731" t="s">
        <v>2836</v>
      </c>
      <c r="CB5" s="731" t="s">
        <v>2836</v>
      </c>
      <c r="CC5" s="731" t="s">
        <v>2837</v>
      </c>
      <c r="CD5" s="731" t="s">
        <v>2751</v>
      </c>
      <c r="CE5" s="731" t="s">
        <v>2838</v>
      </c>
      <c r="CF5" s="731" t="s">
        <v>2838</v>
      </c>
      <c r="CG5" s="731" t="s">
        <v>2839</v>
      </c>
      <c r="CH5" s="731" t="s">
        <v>2840</v>
      </c>
      <c r="CI5" s="731" t="s">
        <v>2841</v>
      </c>
      <c r="CJ5" s="731" t="s">
        <v>2842</v>
      </c>
      <c r="CK5" s="731" t="s">
        <v>2842</v>
      </c>
      <c r="CL5" s="731" t="s">
        <v>2843</v>
      </c>
      <c r="CM5" s="731" t="s">
        <v>2843</v>
      </c>
      <c r="CN5" s="731" t="s">
        <v>2844</v>
      </c>
      <c r="CO5" s="731" t="s">
        <v>2844</v>
      </c>
      <c r="CP5" s="731" t="s">
        <v>2845</v>
      </c>
      <c r="CQ5" s="731" t="s">
        <v>2845</v>
      </c>
      <c r="CR5" s="731" t="s">
        <v>2846</v>
      </c>
      <c r="CS5" s="731" t="s">
        <v>2846</v>
      </c>
      <c r="CT5" s="731" t="s">
        <v>2847</v>
      </c>
      <c r="CU5" s="731" t="s">
        <v>2848</v>
      </c>
      <c r="CV5" s="740" t="s">
        <v>2849</v>
      </c>
      <c r="CW5" s="740" t="s">
        <v>2849</v>
      </c>
      <c r="CX5" s="740" t="s">
        <v>2850</v>
      </c>
      <c r="CY5" s="740" t="s">
        <v>2850</v>
      </c>
      <c r="CZ5" s="740" t="s">
        <v>2851</v>
      </c>
      <c r="DA5" s="740" t="s">
        <v>2851</v>
      </c>
      <c r="DB5" s="740" t="s">
        <v>2852</v>
      </c>
      <c r="DC5" s="740" t="s">
        <v>2852</v>
      </c>
      <c r="DD5" s="740" t="s">
        <v>2853</v>
      </c>
      <c r="DE5" s="740" t="s">
        <v>2854</v>
      </c>
      <c r="DF5" s="740" t="s">
        <v>2855</v>
      </c>
      <c r="DG5" s="740" t="s">
        <v>2835</v>
      </c>
      <c r="DH5" s="740" t="s">
        <v>2835</v>
      </c>
      <c r="DI5" s="740" t="s">
        <v>2836</v>
      </c>
      <c r="DJ5" s="740" t="s">
        <v>2836</v>
      </c>
      <c r="DK5" s="740" t="s">
        <v>2837</v>
      </c>
      <c r="DL5" s="740" t="s">
        <v>2751</v>
      </c>
      <c r="DM5" s="740" t="s">
        <v>2839</v>
      </c>
      <c r="DN5" s="740" t="s">
        <v>2840</v>
      </c>
      <c r="DO5" s="740" t="s">
        <v>2841</v>
      </c>
      <c r="DP5" s="740" t="s">
        <v>2842</v>
      </c>
      <c r="DQ5" s="740" t="s">
        <v>2842</v>
      </c>
      <c r="DR5" s="740" t="s">
        <v>2843</v>
      </c>
      <c r="DS5" s="740" t="s">
        <v>2843</v>
      </c>
      <c r="DT5" s="740" t="s">
        <v>2844</v>
      </c>
      <c r="DU5" s="740" t="s">
        <v>2844</v>
      </c>
      <c r="DV5" s="740" t="s">
        <v>2845</v>
      </c>
      <c r="DW5" s="740" t="s">
        <v>2845</v>
      </c>
      <c r="DX5" s="740" t="s">
        <v>2846</v>
      </c>
      <c r="DY5" s="740" t="s">
        <v>2846</v>
      </c>
      <c r="DZ5" s="740" t="s">
        <v>2847</v>
      </c>
      <c r="EA5" s="740" t="s">
        <v>2848</v>
      </c>
      <c r="EB5" s="740" t="s">
        <v>2849</v>
      </c>
      <c r="EC5" s="740" t="s">
        <v>2849</v>
      </c>
      <c r="ED5" s="740" t="s">
        <v>2850</v>
      </c>
      <c r="EE5" s="740" t="s">
        <v>2850</v>
      </c>
      <c r="EF5" s="740" t="s">
        <v>2851</v>
      </c>
      <c r="EG5" s="740" t="s">
        <v>2851</v>
      </c>
      <c r="EH5" s="740" t="s">
        <v>2852</v>
      </c>
      <c r="EI5" s="740" t="s">
        <v>2852</v>
      </c>
    </row>
    <row r="6" spans="20:139" ht="12.65" customHeight="1">
      <c r="T6"/>
      <c r="U6"/>
      <c r="V6" s="732"/>
      <c r="W6" s="732"/>
      <c r="X6" s="835" t="s">
        <v>2649</v>
      </c>
      <c r="Y6" s="836">
        <v>0.29680000000000001</v>
      </c>
      <c r="Z6" s="843"/>
      <c r="AA6" s="843"/>
      <c r="BJ6" s="740"/>
      <c r="BK6" s="809"/>
      <c r="BL6" s="740"/>
      <c r="BM6" s="740"/>
      <c r="BN6" s="740"/>
      <c r="BO6" s="740"/>
      <c r="BP6" s="740"/>
      <c r="BQ6" s="811"/>
      <c r="BR6" s="731"/>
      <c r="BS6" s="731"/>
      <c r="BT6" s="731"/>
      <c r="BU6" s="731"/>
      <c r="BV6" s="731"/>
      <c r="BW6" s="731"/>
      <c r="BX6" s="731"/>
      <c r="BY6" s="731"/>
      <c r="BZ6" s="731"/>
      <c r="CA6" s="731"/>
      <c r="CB6" s="731"/>
      <c r="CC6" s="731"/>
      <c r="CD6" s="731"/>
      <c r="CE6" s="731"/>
      <c r="CF6" s="731"/>
      <c r="CG6" s="731" t="s">
        <v>2856</v>
      </c>
      <c r="CH6" s="731" t="s">
        <v>2857</v>
      </c>
      <c r="CI6" s="731"/>
      <c r="CJ6" s="731"/>
      <c r="CK6" s="731"/>
      <c r="CL6" s="731"/>
      <c r="CM6" s="731"/>
      <c r="CN6" s="731"/>
      <c r="CO6" s="731"/>
      <c r="CP6" s="731"/>
      <c r="CQ6" s="731"/>
      <c r="CR6" s="731"/>
      <c r="CS6" s="731"/>
      <c r="CT6" s="731"/>
      <c r="CU6" s="731"/>
      <c r="CV6" s="740"/>
      <c r="CW6" s="740"/>
      <c r="CX6" s="740"/>
      <c r="CY6" s="740"/>
      <c r="CZ6" s="740"/>
      <c r="DA6" s="740"/>
      <c r="DB6" s="740"/>
      <c r="DC6" s="740"/>
      <c r="DD6" s="740"/>
      <c r="DE6" s="740"/>
      <c r="DF6" s="740"/>
      <c r="DG6" s="740"/>
      <c r="DH6" s="740"/>
      <c r="DI6" s="740"/>
      <c r="DJ6" s="740"/>
      <c r="DK6" s="740"/>
      <c r="DL6" s="740"/>
      <c r="DM6" s="740" t="s">
        <v>2856</v>
      </c>
      <c r="DN6" s="740" t="s">
        <v>2857</v>
      </c>
      <c r="DO6" s="740"/>
      <c r="DP6" s="740"/>
      <c r="DQ6" s="740"/>
      <c r="DR6" s="740"/>
      <c r="DS6" s="740"/>
      <c r="DT6" s="740"/>
      <c r="DU6" s="740"/>
      <c r="DV6" s="740"/>
      <c r="DW6" s="740"/>
      <c r="DX6" s="740"/>
      <c r="DY6" s="740"/>
      <c r="DZ6" s="740"/>
      <c r="EA6" s="740"/>
      <c r="EB6" s="740"/>
      <c r="EC6" s="740"/>
      <c r="ED6" s="740"/>
      <c r="EE6" s="740"/>
      <c r="EF6" s="740"/>
      <c r="EG6" s="740"/>
      <c r="EH6" s="740"/>
      <c r="EI6" s="740"/>
    </row>
    <row r="7" spans="20:139" ht="12.65" customHeight="1">
      <c r="T7" t="s">
        <v>2650</v>
      </c>
      <c r="U7" t="s">
        <v>2910</v>
      </c>
      <c r="V7" s="732"/>
      <c r="W7" s="732"/>
      <c r="X7" s="835" t="s">
        <v>2650</v>
      </c>
      <c r="Y7" s="837">
        <v>0.114</v>
      </c>
      <c r="Z7" s="844"/>
      <c r="AA7" s="844"/>
      <c r="BJ7" s="740"/>
      <c r="BK7" s="809"/>
      <c r="BL7" s="740"/>
      <c r="BM7" s="740"/>
      <c r="BN7" s="740"/>
      <c r="BO7" s="799"/>
      <c r="BP7" s="799"/>
      <c r="BQ7" s="740"/>
      <c r="BR7" s="731"/>
      <c r="BS7" s="731"/>
      <c r="BT7" s="731"/>
      <c r="BU7" s="731"/>
      <c r="BV7" s="731"/>
      <c r="BW7" s="731"/>
      <c r="BX7" s="731"/>
      <c r="BY7" s="731"/>
      <c r="BZ7" s="731"/>
      <c r="CA7" s="731"/>
      <c r="CB7" s="731"/>
      <c r="CC7" s="731"/>
      <c r="CD7" s="731"/>
      <c r="CE7" s="731"/>
      <c r="CF7" s="731"/>
      <c r="CG7" s="731"/>
      <c r="CH7" s="731"/>
      <c r="CI7" s="731"/>
      <c r="CJ7" s="731"/>
      <c r="CK7" s="731"/>
      <c r="CL7" s="731"/>
      <c r="CM7" s="731"/>
      <c r="CN7" s="731"/>
      <c r="CO7" s="731"/>
      <c r="CP7" s="731"/>
      <c r="CQ7" s="731"/>
      <c r="CR7" s="731"/>
      <c r="CS7" s="731"/>
      <c r="CT7" s="731"/>
      <c r="CU7" s="731"/>
      <c r="CV7" s="740"/>
      <c r="CW7" s="740"/>
      <c r="CX7" s="740"/>
      <c r="CY7" s="740"/>
      <c r="CZ7" s="740"/>
      <c r="DA7" s="740"/>
      <c r="DB7" s="740"/>
      <c r="DC7" s="740"/>
      <c r="DD7" s="740"/>
      <c r="DE7" s="740"/>
      <c r="DF7" s="740"/>
      <c r="DG7" s="740"/>
      <c r="DH7" s="740"/>
      <c r="DI7" s="740"/>
      <c r="DJ7" s="740"/>
      <c r="DK7" s="740"/>
      <c r="DL7" s="740"/>
      <c r="DM7" s="740"/>
      <c r="DN7" s="740"/>
      <c r="DO7" s="740"/>
      <c r="DP7" s="740"/>
      <c r="DQ7" s="740"/>
      <c r="DR7" s="740"/>
      <c r="DS7" s="740"/>
      <c r="DT7" s="740"/>
      <c r="DU7" s="740"/>
      <c r="DV7" s="740"/>
      <c r="DW7" s="740"/>
      <c r="DX7" s="740"/>
      <c r="DY7" s="740"/>
      <c r="DZ7" s="740"/>
      <c r="EA7" s="740"/>
      <c r="EB7" s="740"/>
      <c r="EC7" s="740"/>
      <c r="ED7" s="740"/>
      <c r="EE7" s="740"/>
      <c r="EF7" s="740"/>
      <c r="EG7" s="740"/>
      <c r="EH7" s="740"/>
      <c r="EI7" s="740"/>
    </row>
    <row r="8" spans="20:139" ht="12.65" customHeight="1">
      <c r="T8"/>
      <c r="U8"/>
      <c r="V8" s="732"/>
      <c r="W8" s="732"/>
      <c r="X8" s="835" t="s">
        <v>2651</v>
      </c>
      <c r="Y8" s="836">
        <v>0.114</v>
      </c>
      <c r="Z8" s="843"/>
      <c r="AA8" s="843"/>
      <c r="BJ8" s="740"/>
      <c r="BK8" s="809"/>
      <c r="BL8" s="740"/>
      <c r="BM8" s="740"/>
      <c r="BN8" s="740"/>
      <c r="BO8" s="740"/>
      <c r="BP8" s="740"/>
      <c r="BQ8" s="740"/>
      <c r="BR8" s="731"/>
      <c r="BS8" s="731"/>
      <c r="BT8" s="731"/>
      <c r="BU8" s="731"/>
      <c r="BV8" s="731"/>
      <c r="BW8" s="731"/>
      <c r="BX8" s="731"/>
      <c r="BY8" s="731"/>
      <c r="BZ8" s="731"/>
      <c r="CA8" s="731"/>
      <c r="CB8" s="731"/>
      <c r="CC8" s="731"/>
      <c r="CD8" s="731"/>
      <c r="CE8" s="731"/>
      <c r="CF8" s="731"/>
      <c r="CG8" s="731"/>
      <c r="CH8" s="731"/>
      <c r="CI8" s="731"/>
      <c r="CJ8" s="731"/>
      <c r="CK8" s="731"/>
      <c r="CL8" s="731"/>
      <c r="CM8" s="731"/>
      <c r="CN8" s="731"/>
      <c r="CO8" s="731"/>
      <c r="CP8" s="731"/>
      <c r="CQ8" s="731"/>
      <c r="CR8" s="731"/>
      <c r="CS8" s="731"/>
      <c r="CT8" s="731"/>
      <c r="CU8" s="731"/>
      <c r="CV8" s="740"/>
      <c r="CW8" s="740"/>
      <c r="CX8" s="740"/>
      <c r="CY8" s="740"/>
      <c r="CZ8" s="740"/>
      <c r="DA8" s="740"/>
      <c r="DB8" s="740"/>
      <c r="DC8" s="740"/>
      <c r="DD8" s="740"/>
      <c r="DE8" s="740"/>
      <c r="DF8" s="740"/>
      <c r="DG8" s="740"/>
      <c r="DH8" s="740"/>
      <c r="DI8" s="740"/>
      <c r="DJ8" s="740"/>
      <c r="DK8" s="740"/>
      <c r="DL8" s="740"/>
      <c r="DM8" s="740"/>
      <c r="DN8" s="740"/>
      <c r="DO8" s="740"/>
      <c r="DP8" s="740"/>
      <c r="DQ8" s="740"/>
      <c r="DR8" s="740"/>
      <c r="DS8" s="740"/>
      <c r="DT8" s="740"/>
      <c r="DU8" s="740"/>
      <c r="DV8" s="740"/>
      <c r="DW8" s="740"/>
      <c r="DX8" s="740"/>
      <c r="DY8" s="740"/>
      <c r="DZ8" s="740"/>
      <c r="EA8" s="740"/>
      <c r="EB8" s="740"/>
      <c r="EC8" s="740"/>
      <c r="ED8" s="740"/>
      <c r="EE8" s="740"/>
      <c r="EF8" s="740"/>
      <c r="EG8" s="740"/>
      <c r="EH8" s="740"/>
      <c r="EI8" s="740"/>
    </row>
    <row r="9" spans="20:139" ht="12.65" customHeight="1">
      <c r="T9" t="s">
        <v>2652</v>
      </c>
      <c r="U9" t="s">
        <v>2911</v>
      </c>
      <c r="V9" s="732"/>
      <c r="W9" s="732"/>
      <c r="X9" s="835" t="s">
        <v>2652</v>
      </c>
      <c r="Y9" s="837">
        <v>0.40799999999999997</v>
      </c>
      <c r="Z9" s="844"/>
      <c r="AA9" s="844"/>
      <c r="BJ9" s="740"/>
      <c r="BK9" s="813"/>
      <c r="BL9" s="740"/>
      <c r="BM9" s="794"/>
      <c r="BN9" s="800"/>
      <c r="BO9" s="800"/>
      <c r="BP9" s="800"/>
      <c r="BQ9" s="800"/>
      <c r="BR9" s="812"/>
      <c r="BS9" s="812"/>
      <c r="BT9" s="812"/>
      <c r="BU9" s="794"/>
      <c r="BV9" s="812"/>
      <c r="BW9" s="812"/>
      <c r="BX9" s="812"/>
      <c r="BY9" s="812"/>
      <c r="BZ9" s="812"/>
      <c r="CA9" s="812"/>
      <c r="CB9" s="812"/>
      <c r="CC9" s="812"/>
      <c r="CD9" s="812"/>
      <c r="CE9" s="812"/>
      <c r="CF9" s="812"/>
      <c r="CG9" s="812"/>
      <c r="CH9" s="812"/>
      <c r="CI9" s="812"/>
      <c r="CJ9" s="812"/>
      <c r="CK9" s="812"/>
      <c r="CL9" s="812"/>
      <c r="CM9" s="812"/>
      <c r="CN9" s="812"/>
      <c r="CO9" s="812"/>
      <c r="CP9" s="812"/>
      <c r="CQ9" s="812"/>
      <c r="CR9" s="812"/>
      <c r="CS9" s="812"/>
      <c r="CT9" s="812"/>
      <c r="CU9" s="812"/>
      <c r="CV9" s="800"/>
      <c r="CW9" s="800"/>
      <c r="CX9" s="800"/>
      <c r="CY9" s="800"/>
      <c r="CZ9" s="800"/>
      <c r="DA9" s="800"/>
      <c r="DB9" s="800"/>
      <c r="DC9" s="800"/>
      <c r="DD9" s="800"/>
      <c r="DE9" s="800"/>
      <c r="DF9" s="800"/>
      <c r="DG9" s="800"/>
      <c r="DH9" s="800"/>
      <c r="DI9" s="740"/>
      <c r="DJ9" s="740"/>
      <c r="DK9" s="740"/>
      <c r="DL9" s="740"/>
      <c r="DM9" s="740"/>
      <c r="DN9" s="740"/>
      <c r="DO9" s="740"/>
      <c r="DP9" s="740"/>
      <c r="DQ9" s="740"/>
      <c r="DR9" s="740"/>
      <c r="DS9" s="740"/>
      <c r="DT9" s="740"/>
      <c r="DU9" s="740"/>
      <c r="DV9" s="740"/>
      <c r="DW9" s="740"/>
      <c r="DX9" s="740"/>
      <c r="DY9" s="740"/>
      <c r="DZ9" s="740"/>
      <c r="EA9" s="740"/>
      <c r="EB9" s="740"/>
      <c r="EC9" s="740"/>
      <c r="ED9" s="740"/>
      <c r="EE9" s="740"/>
      <c r="EF9" s="740"/>
      <c r="EG9" s="740"/>
      <c r="EH9" s="740"/>
      <c r="EI9" s="740"/>
    </row>
    <row r="10" spans="20:139" ht="12.65" customHeight="1">
      <c r="T10"/>
      <c r="U10"/>
      <c r="V10" s="732"/>
      <c r="W10" s="732"/>
      <c r="X10" s="835" t="s">
        <v>2653</v>
      </c>
      <c r="Y10" s="836">
        <v>0.40799999999999997</v>
      </c>
      <c r="Z10" s="843"/>
      <c r="AA10" s="843"/>
      <c r="BJ10" s="740"/>
      <c r="BK10" s="813"/>
      <c r="BL10" s="800"/>
      <c r="BM10" s="800"/>
      <c r="BN10" s="800"/>
      <c r="BO10" s="800"/>
      <c r="BP10" s="800"/>
      <c r="BQ10" s="800"/>
      <c r="BR10" s="812"/>
      <c r="BS10" s="812"/>
      <c r="BT10" s="812"/>
      <c r="BU10" s="812"/>
      <c r="BV10" s="812"/>
      <c r="BW10" s="812"/>
      <c r="BX10" s="812"/>
      <c r="BY10" s="812"/>
      <c r="BZ10" s="812"/>
      <c r="CA10" s="812"/>
      <c r="CB10" s="812"/>
      <c r="CC10" s="812"/>
      <c r="CD10" s="812"/>
      <c r="CE10" s="812"/>
      <c r="CF10" s="812"/>
      <c r="CG10" s="812"/>
      <c r="CH10" s="812"/>
      <c r="CI10" s="812"/>
      <c r="CJ10" s="812"/>
      <c r="CK10" s="812"/>
      <c r="CL10" s="812"/>
      <c r="CM10" s="812"/>
      <c r="CN10" s="812"/>
      <c r="CO10" s="812"/>
      <c r="CP10" s="812"/>
      <c r="CQ10" s="812"/>
      <c r="CR10" s="812"/>
      <c r="CS10" s="812"/>
      <c r="CT10" s="812"/>
      <c r="CU10" s="812"/>
      <c r="CV10" s="800"/>
      <c r="CW10" s="800"/>
      <c r="CX10" s="800"/>
      <c r="CY10" s="800"/>
      <c r="CZ10" s="800"/>
      <c r="DA10" s="800"/>
      <c r="DB10" s="800"/>
      <c r="DC10" s="800"/>
      <c r="DD10" s="800"/>
      <c r="DE10" s="800"/>
      <c r="DF10" s="800"/>
      <c r="DG10" s="800"/>
      <c r="DH10" s="800"/>
      <c r="DI10" s="740"/>
      <c r="DJ10" s="740"/>
      <c r="DK10" s="740"/>
      <c r="DL10" s="740"/>
      <c r="DM10" s="740"/>
      <c r="DN10" s="740"/>
      <c r="DO10" s="740"/>
      <c r="DP10" s="740"/>
      <c r="DQ10" s="740"/>
      <c r="DR10" s="740"/>
      <c r="DS10" s="740"/>
      <c r="DT10" s="740"/>
      <c r="DU10" s="740"/>
      <c r="DV10" s="740"/>
      <c r="DW10" s="740"/>
      <c r="DX10" s="740"/>
      <c r="DY10" s="740"/>
      <c r="DZ10" s="740"/>
      <c r="EA10" s="740"/>
      <c r="EB10" s="740"/>
      <c r="EC10" s="740"/>
      <c r="ED10" s="740"/>
      <c r="EE10" s="740"/>
      <c r="EF10" s="740"/>
      <c r="EG10" s="740"/>
      <c r="EH10" s="740"/>
      <c r="EI10" s="740"/>
    </row>
    <row r="11" spans="20:139" ht="12.65" customHeight="1">
      <c r="T11" t="s">
        <v>2654</v>
      </c>
      <c r="U11" s="613" t="s">
        <v>2912</v>
      </c>
      <c r="V11" s="732"/>
      <c r="W11" s="732"/>
      <c r="X11" s="835" t="s">
        <v>2654</v>
      </c>
      <c r="Y11" s="837">
        <v>0.108</v>
      </c>
      <c r="Z11" s="844"/>
      <c r="AA11" s="844"/>
      <c r="BJ11" s="799"/>
      <c r="BK11" s="813"/>
      <c r="BL11" s="800"/>
      <c r="BM11" s="800"/>
      <c r="BN11" s="800"/>
      <c r="BO11" s="800"/>
      <c r="BP11" s="800"/>
      <c r="BQ11" s="800"/>
      <c r="BR11" s="812"/>
      <c r="BS11" s="812"/>
      <c r="BT11" s="812"/>
      <c r="BU11" s="812"/>
      <c r="BV11" s="812"/>
      <c r="BW11" s="812"/>
      <c r="BX11" s="812"/>
      <c r="BY11" s="812"/>
      <c r="BZ11" s="812"/>
      <c r="CA11" s="812"/>
      <c r="CB11" s="812"/>
      <c r="CC11" s="812"/>
      <c r="CD11" s="800"/>
      <c r="CE11" s="812"/>
      <c r="CF11" s="812"/>
      <c r="CG11" s="812"/>
      <c r="CH11" s="812"/>
      <c r="CI11" s="812"/>
      <c r="CJ11" s="812"/>
      <c r="CK11" s="812"/>
      <c r="CL11" s="812"/>
      <c r="CM11" s="812"/>
      <c r="CN11" s="812"/>
      <c r="CO11" s="812"/>
      <c r="CP11" s="812"/>
      <c r="CQ11" s="812"/>
      <c r="CR11" s="812"/>
      <c r="CS11" s="812"/>
      <c r="CT11" s="812"/>
      <c r="CU11" s="812"/>
      <c r="CV11" s="800"/>
      <c r="CW11" s="800"/>
      <c r="CX11" s="800"/>
      <c r="CY11" s="800"/>
      <c r="CZ11" s="800"/>
      <c r="DA11" s="800"/>
      <c r="DB11" s="800"/>
      <c r="DC11" s="800"/>
      <c r="DD11" s="800"/>
      <c r="DE11" s="800"/>
      <c r="DF11" s="800"/>
      <c r="DG11" s="800"/>
      <c r="DH11" s="800"/>
      <c r="DI11" s="799"/>
      <c r="DJ11" s="740"/>
      <c r="DK11" s="740"/>
      <c r="DL11" s="740"/>
      <c r="DM11" s="740"/>
      <c r="DN11" s="740"/>
      <c r="DO11" s="740"/>
      <c r="DP11" s="740"/>
      <c r="DQ11" s="740"/>
      <c r="DR11" s="740"/>
      <c r="DS11" s="740"/>
      <c r="DT11" s="740"/>
      <c r="DU11" s="740"/>
      <c r="DV11" s="740"/>
      <c r="DW11" s="740"/>
      <c r="DX11" s="740"/>
      <c r="DY11" s="740"/>
      <c r="DZ11" s="740"/>
      <c r="EA11" s="740"/>
      <c r="EB11" s="740"/>
      <c r="EC11" s="740"/>
      <c r="ED11" s="740"/>
      <c r="EE11" s="740"/>
      <c r="EF11" s="740"/>
      <c r="EG11" s="740"/>
      <c r="EH11" s="740"/>
      <c r="EI11" s="740"/>
    </row>
    <row r="12" spans="20:139" ht="12.65" customHeight="1">
      <c r="T12"/>
      <c r="U12" s="613"/>
      <c r="V12" s="732"/>
      <c r="W12" s="732"/>
      <c r="X12" s="835" t="s">
        <v>2655</v>
      </c>
      <c r="Y12" s="837">
        <v>0.24</v>
      </c>
      <c r="Z12" s="844"/>
      <c r="AA12" s="844"/>
      <c r="BJ12" s="741"/>
      <c r="BK12" s="814"/>
      <c r="BL12" s="741"/>
      <c r="BM12" s="741"/>
      <c r="BN12" s="741"/>
      <c r="BO12" s="741"/>
      <c r="BP12" s="741"/>
      <c r="BQ12" s="741"/>
      <c r="BR12" s="742"/>
      <c r="BS12" s="742"/>
      <c r="BT12" s="742"/>
      <c r="BU12" s="742"/>
      <c r="BV12" s="742"/>
      <c r="BW12" s="742"/>
      <c r="BX12" s="742"/>
      <c r="BY12" s="742"/>
      <c r="BZ12" s="742"/>
      <c r="CA12" s="742"/>
      <c r="CB12" s="742"/>
      <c r="CC12" s="742"/>
      <c r="CD12" s="741"/>
      <c r="CE12" s="731"/>
      <c r="CF12" s="731"/>
      <c r="CG12" s="731"/>
      <c r="CH12" s="731"/>
      <c r="CI12" s="731"/>
      <c r="CJ12" s="731"/>
      <c r="CK12" s="731"/>
      <c r="CL12" s="731"/>
      <c r="CM12" s="731"/>
      <c r="CN12" s="731"/>
      <c r="CO12" s="731"/>
      <c r="CP12" s="731"/>
      <c r="CQ12" s="731"/>
      <c r="CR12" s="731"/>
      <c r="CS12" s="731"/>
      <c r="CT12" s="731"/>
      <c r="CU12" s="731"/>
      <c r="CV12" s="740"/>
      <c r="CW12" s="740"/>
      <c r="CX12" s="740"/>
      <c r="CY12" s="740"/>
      <c r="CZ12" s="740"/>
      <c r="DA12" s="740"/>
      <c r="DB12" s="740"/>
      <c r="DC12" s="740"/>
      <c r="DD12" s="740"/>
      <c r="DE12" s="740"/>
      <c r="DF12" s="740"/>
      <c r="DG12" s="740"/>
      <c r="DH12" s="740"/>
      <c r="DI12" s="740"/>
      <c r="DJ12" s="740"/>
      <c r="DK12" s="740"/>
      <c r="DL12" s="740"/>
      <c r="DM12" s="740"/>
      <c r="DN12" s="740"/>
      <c r="DO12" s="740"/>
      <c r="DP12" s="740"/>
      <c r="DQ12" s="740"/>
      <c r="DR12" s="740"/>
      <c r="DS12" s="740"/>
      <c r="DT12" s="740"/>
      <c r="DU12" s="740"/>
      <c r="DV12" s="740"/>
      <c r="DW12" s="740"/>
      <c r="DX12" s="740"/>
      <c r="DY12" s="740"/>
      <c r="DZ12" s="740"/>
      <c r="EA12" s="740"/>
      <c r="EB12" s="740"/>
      <c r="EC12" s="740"/>
      <c r="ED12" s="740"/>
      <c r="EE12" s="740"/>
      <c r="EF12" s="740"/>
      <c r="EG12" s="740"/>
      <c r="EH12" s="740"/>
      <c r="EI12" s="740"/>
    </row>
    <row r="13" spans="20:139" ht="12.65" customHeight="1">
      <c r="T13" t="s">
        <v>2655</v>
      </c>
      <c r="U13" s="613" t="s">
        <v>2913</v>
      </c>
      <c r="V13" s="732"/>
      <c r="W13" s="732"/>
      <c r="X13" s="835" t="s">
        <v>2656</v>
      </c>
      <c r="Y13" s="837">
        <v>0.1178</v>
      </c>
      <c r="Z13" s="844"/>
      <c r="AA13" s="844"/>
      <c r="BJ13" s="794"/>
      <c r="BK13" s="794"/>
      <c r="BL13" s="794"/>
      <c r="BM13" s="794"/>
      <c r="BN13" s="794"/>
      <c r="BO13" s="794"/>
      <c r="BP13" s="794"/>
      <c r="BQ13" s="794"/>
      <c r="BR13" s="794"/>
      <c r="BS13" s="794"/>
      <c r="BT13" s="794"/>
      <c r="BU13" s="794"/>
      <c r="BV13" s="794"/>
      <c r="BW13" s="794"/>
      <c r="BX13" s="794"/>
      <c r="BY13" s="794"/>
      <c r="BZ13" s="794"/>
      <c r="CA13" s="794"/>
      <c r="CB13" s="794"/>
      <c r="CC13" s="794"/>
      <c r="CD13" s="794"/>
      <c r="CE13" s="794"/>
      <c r="CF13" s="794"/>
      <c r="CG13" s="794"/>
      <c r="CH13" s="794"/>
      <c r="CI13" s="794"/>
      <c r="CJ13" s="794"/>
      <c r="CK13" s="794"/>
      <c r="CL13" s="794"/>
      <c r="CM13" s="794"/>
      <c r="CN13" s="794"/>
      <c r="CO13" s="794"/>
      <c r="CP13" s="794"/>
      <c r="CQ13" s="794"/>
      <c r="CR13" s="794"/>
      <c r="CS13" s="815"/>
      <c r="CT13" s="815"/>
      <c r="CU13" s="815"/>
      <c r="CV13" s="815"/>
      <c r="CW13" s="815"/>
      <c r="CX13" s="815"/>
      <c r="CY13" s="815"/>
      <c r="CZ13" s="815"/>
      <c r="DA13" s="815"/>
      <c r="DB13" s="815"/>
      <c r="DC13" s="815"/>
      <c r="DD13" s="815"/>
      <c r="DE13" s="815"/>
      <c r="DF13" s="815"/>
      <c r="DG13" s="815"/>
      <c r="DH13" s="815"/>
      <c r="DI13" s="815"/>
      <c r="DJ13" s="815"/>
      <c r="DK13" s="815"/>
      <c r="DL13" s="815"/>
      <c r="DM13" s="815"/>
      <c r="DN13" s="815"/>
      <c r="DO13" s="815"/>
      <c r="DP13" s="815"/>
      <c r="DQ13" s="815"/>
      <c r="DR13" s="815"/>
      <c r="DS13" s="815"/>
      <c r="DT13" s="815"/>
      <c r="DU13" s="815"/>
      <c r="DV13" s="815"/>
      <c r="DW13" s="815"/>
      <c r="DX13" s="815"/>
      <c r="DY13" s="815"/>
      <c r="DZ13" s="815"/>
      <c r="EA13" s="815"/>
      <c r="EB13" s="815"/>
      <c r="EC13" s="815"/>
      <c r="ED13" s="815"/>
      <c r="EE13" s="815"/>
      <c r="EF13" s="815"/>
      <c r="EG13" s="815"/>
      <c r="EH13" s="815"/>
      <c r="EI13" s="815"/>
    </row>
    <row r="14" spans="20:139" ht="12.65" customHeight="1">
      <c r="T14"/>
      <c r="U14" s="613"/>
      <c r="V14" s="732"/>
      <c r="W14" s="732"/>
      <c r="X14" s="835" t="s">
        <v>2657</v>
      </c>
      <c r="Y14" s="836">
        <v>0.1178</v>
      </c>
      <c r="Z14" s="843"/>
      <c r="AA14" s="843"/>
      <c r="BJ14" s="2793" t="s">
        <v>2858</v>
      </c>
      <c r="BK14" s="2794"/>
      <c r="BL14" s="2794"/>
      <c r="BM14" s="2794"/>
      <c r="BN14" s="2794"/>
      <c r="BO14" s="2794"/>
      <c r="BP14" s="2794"/>
      <c r="BQ14" s="2794"/>
      <c r="BR14" s="2794"/>
      <c r="BS14" s="2794"/>
      <c r="BT14" s="2794"/>
      <c r="BU14" s="2795"/>
      <c r="BV14" s="820" t="s">
        <v>2063</v>
      </c>
    </row>
    <row r="15" spans="20:139" ht="12.65" customHeight="1">
      <c r="T15" t="s">
        <v>2656</v>
      </c>
      <c r="U15" s="613" t="s">
        <v>2914</v>
      </c>
      <c r="V15" s="732"/>
      <c r="W15" s="732"/>
      <c r="X15" s="835" t="s">
        <v>2658</v>
      </c>
      <c r="Y15" s="837">
        <v>0.436</v>
      </c>
      <c r="Z15" s="844"/>
      <c r="AA15" s="844"/>
      <c r="BJ15" s="816" t="s">
        <v>2859</v>
      </c>
      <c r="BK15" s="816" t="s">
        <v>2860</v>
      </c>
      <c r="BL15" s="816" t="s">
        <v>2688</v>
      </c>
      <c r="BM15" s="816" t="s">
        <v>2861</v>
      </c>
      <c r="BN15" s="816" t="s">
        <v>2862</v>
      </c>
      <c r="BO15" s="816" t="s">
        <v>2863</v>
      </c>
      <c r="BP15" s="816" t="s">
        <v>2864</v>
      </c>
      <c r="BQ15" s="816" t="s">
        <v>2700</v>
      </c>
      <c r="BR15" s="816" t="s">
        <v>2702</v>
      </c>
      <c r="BS15" s="816" t="s">
        <v>2708</v>
      </c>
      <c r="BT15" s="816" t="s">
        <v>605</v>
      </c>
      <c r="BU15" s="794"/>
      <c r="BV15" s="105" t="s">
        <v>2875</v>
      </c>
    </row>
    <row r="16" spans="20:139" ht="12.65" customHeight="1">
      <c r="T16"/>
      <c r="U16" s="613"/>
      <c r="V16" s="732"/>
      <c r="W16" s="732"/>
      <c r="X16" s="835" t="s">
        <v>2659</v>
      </c>
      <c r="Y16" s="836">
        <v>0.436</v>
      </c>
      <c r="Z16" s="843"/>
      <c r="AA16" s="843"/>
      <c r="BJ16" s="817" t="s">
        <v>2865</v>
      </c>
      <c r="BK16" s="817" t="s">
        <v>2866</v>
      </c>
      <c r="BL16" s="817" t="s">
        <v>2867</v>
      </c>
      <c r="BM16" s="817" t="s">
        <v>2867</v>
      </c>
      <c r="BN16" s="817" t="s">
        <v>2868</v>
      </c>
      <c r="BO16" s="817" t="s">
        <v>2868</v>
      </c>
      <c r="BP16" s="817" t="s">
        <v>2869</v>
      </c>
      <c r="BQ16" s="817" t="s">
        <v>2870</v>
      </c>
      <c r="BR16" s="817" t="s">
        <v>2866</v>
      </c>
      <c r="BS16" s="817" t="s">
        <v>2866</v>
      </c>
      <c r="BT16" s="817" t="s">
        <v>2871</v>
      </c>
      <c r="BU16" s="794"/>
      <c r="BV16" s="106" t="s">
        <v>2876</v>
      </c>
    </row>
    <row r="17" spans="20:73" ht="12.65" customHeight="1">
      <c r="T17" t="s">
        <v>2658</v>
      </c>
      <c r="U17" s="613" t="s">
        <v>2915</v>
      </c>
      <c r="V17" s="732"/>
      <c r="W17" s="732"/>
      <c r="X17" s="835" t="s">
        <v>2660</v>
      </c>
      <c r="Y17" s="837">
        <v>9.1999999999999998E-2</v>
      </c>
      <c r="Z17" s="844"/>
      <c r="AA17" s="844"/>
      <c r="BJ17" s="818" t="s">
        <v>2872</v>
      </c>
      <c r="BK17" s="818" t="s">
        <v>2873</v>
      </c>
      <c r="BL17" s="818" t="s">
        <v>2866</v>
      </c>
      <c r="BM17" s="818" t="s">
        <v>2866</v>
      </c>
      <c r="BN17" s="818" t="s">
        <v>2865</v>
      </c>
      <c r="BO17" s="818" t="s">
        <v>2865</v>
      </c>
      <c r="BP17" s="818" t="s">
        <v>2874</v>
      </c>
      <c r="BQ17" s="818" t="s">
        <v>2866</v>
      </c>
      <c r="BR17" s="818" t="s">
        <v>2873</v>
      </c>
      <c r="BS17" s="818" t="s">
        <v>2873</v>
      </c>
      <c r="BT17" s="818"/>
      <c r="BU17" s="794"/>
    </row>
    <row r="18" spans="20:73" ht="12.65" customHeight="1">
      <c r="T18"/>
      <c r="U18" s="613"/>
      <c r="V18" s="732"/>
      <c r="W18" s="732"/>
      <c r="X18" s="835" t="s">
        <v>2661</v>
      </c>
      <c r="Y18" s="836">
        <v>9.1999999999999998E-2</v>
      </c>
      <c r="Z18" s="843"/>
      <c r="AA18" s="843"/>
      <c r="BJ18" s="818" t="s">
        <v>2868</v>
      </c>
      <c r="BK18" s="818" t="s">
        <v>2871</v>
      </c>
      <c r="BL18" s="818" t="s">
        <v>2873</v>
      </c>
      <c r="BM18" s="818" t="s">
        <v>2873</v>
      </c>
      <c r="BN18" s="818" t="s">
        <v>2872</v>
      </c>
      <c r="BO18" s="818" t="s">
        <v>2872</v>
      </c>
      <c r="BP18" s="818" t="s">
        <v>2867</v>
      </c>
      <c r="BQ18" s="818" t="s">
        <v>2873</v>
      </c>
      <c r="BR18" s="818"/>
      <c r="BS18" s="818" t="s">
        <v>2871</v>
      </c>
      <c r="BT18" s="818"/>
      <c r="BU18" s="794"/>
    </row>
    <row r="19" spans="20:73" ht="12.65" customHeight="1">
      <c r="T19" t="s">
        <v>2660</v>
      </c>
      <c r="U19" s="613" t="s">
        <v>2916</v>
      </c>
      <c r="V19" s="732"/>
      <c r="W19" s="732"/>
      <c r="X19" s="835" t="s">
        <v>2662</v>
      </c>
      <c r="Y19" s="837">
        <v>0.252</v>
      </c>
      <c r="Z19" s="844"/>
      <c r="AA19" s="844"/>
      <c r="BJ19" s="818" t="s">
        <v>2871</v>
      </c>
      <c r="BK19" s="818"/>
      <c r="BL19" s="818" t="s">
        <v>2871</v>
      </c>
      <c r="BM19" s="818" t="s">
        <v>2870</v>
      </c>
      <c r="BN19" s="818" t="s">
        <v>2874</v>
      </c>
      <c r="BO19" s="818" t="s">
        <v>2874</v>
      </c>
      <c r="BP19" s="818" t="s">
        <v>2866</v>
      </c>
      <c r="BQ19" s="818"/>
      <c r="BR19" s="818"/>
      <c r="BS19" s="818"/>
      <c r="BT19" s="818"/>
      <c r="BU19" s="794"/>
    </row>
    <row r="20" spans="20:73" ht="12.65" customHeight="1">
      <c r="T20"/>
      <c r="U20" s="613"/>
      <c r="V20" s="732"/>
      <c r="W20" s="732"/>
      <c r="X20" s="835" t="s">
        <v>2663</v>
      </c>
      <c r="Y20" s="836">
        <v>0.252</v>
      </c>
      <c r="Z20" s="843"/>
      <c r="AA20" s="843"/>
      <c r="BJ20" s="818"/>
      <c r="BK20" s="818"/>
      <c r="BL20" s="818"/>
      <c r="BM20" s="818" t="s">
        <v>2871</v>
      </c>
      <c r="BN20" s="818" t="s">
        <v>2869</v>
      </c>
      <c r="BO20" s="818" t="s">
        <v>2869</v>
      </c>
      <c r="BP20" s="818" t="s">
        <v>2873</v>
      </c>
      <c r="BQ20" s="818"/>
      <c r="BR20" s="818"/>
      <c r="BS20" s="818"/>
      <c r="BT20" s="818"/>
      <c r="BU20" s="794"/>
    </row>
    <row r="21" spans="20:73" ht="12.65" customHeight="1">
      <c r="T21" t="s">
        <v>2662</v>
      </c>
      <c r="U21" s="613" t="s">
        <v>2917</v>
      </c>
      <c r="V21" s="732"/>
      <c r="W21" s="732"/>
      <c r="X21" s="835" t="s">
        <v>2664</v>
      </c>
      <c r="Y21" s="837">
        <v>7.8E-2</v>
      </c>
      <c r="Z21" s="844"/>
      <c r="AA21" s="844"/>
      <c r="BJ21" s="818"/>
      <c r="BK21" s="818"/>
      <c r="BL21" s="818"/>
      <c r="BM21" s="818"/>
      <c r="BN21" s="818" t="s">
        <v>2871</v>
      </c>
      <c r="BO21" s="818" t="s">
        <v>292</v>
      </c>
      <c r="BP21" s="818" t="s">
        <v>2871</v>
      </c>
      <c r="BQ21" s="818"/>
      <c r="BR21" s="818"/>
      <c r="BS21" s="818"/>
      <c r="BT21" s="818"/>
      <c r="BU21" s="794"/>
    </row>
    <row r="22" spans="20:73" ht="12.65" customHeight="1">
      <c r="T22"/>
      <c r="U22" s="613"/>
      <c r="V22" s="732"/>
      <c r="W22" s="732"/>
      <c r="X22" s="835" t="s">
        <v>2665</v>
      </c>
      <c r="Y22" s="837">
        <v>0.23</v>
      </c>
      <c r="Z22" s="844"/>
      <c r="AA22" s="844"/>
      <c r="BJ22" s="819"/>
      <c r="BK22" s="819"/>
      <c r="BL22" s="819"/>
      <c r="BM22" s="819"/>
      <c r="BN22" s="819"/>
      <c r="BO22" s="819" t="s">
        <v>2871</v>
      </c>
      <c r="BP22" s="819"/>
      <c r="BQ22" s="819"/>
      <c r="BR22" s="819"/>
      <c r="BS22" s="819"/>
      <c r="BT22" s="819"/>
      <c r="BU22" s="794"/>
    </row>
    <row r="23" spans="20:73" ht="12.65" customHeight="1">
      <c r="T23" t="s">
        <v>2664</v>
      </c>
      <c r="U23" s="613" t="s">
        <v>2918</v>
      </c>
      <c r="V23" s="732"/>
      <c r="W23" s="732"/>
      <c r="X23" s="835" t="s">
        <v>2666</v>
      </c>
      <c r="Y23" s="837">
        <v>0.1</v>
      </c>
      <c r="Z23" s="844"/>
      <c r="AA23" s="844"/>
    </row>
    <row r="24" spans="20:73" ht="12.65" customHeight="1">
      <c r="T24"/>
      <c r="U24" s="613"/>
      <c r="V24" s="732"/>
      <c r="W24" s="732"/>
      <c r="X24" s="835" t="s">
        <v>2667</v>
      </c>
      <c r="Y24" s="836">
        <v>0.1</v>
      </c>
      <c r="Z24" s="843"/>
      <c r="AA24" s="843"/>
    </row>
    <row r="25" spans="20:73" ht="12.65" customHeight="1">
      <c r="T25" t="s">
        <v>2665</v>
      </c>
      <c r="U25" s="613" t="s">
        <v>2919</v>
      </c>
      <c r="V25" s="732"/>
      <c r="W25" s="732"/>
      <c r="X25" s="835" t="s">
        <v>2668</v>
      </c>
      <c r="Y25" s="837">
        <v>0.20599999999999999</v>
      </c>
      <c r="Z25" s="844"/>
      <c r="AA25" s="844"/>
    </row>
    <row r="26" spans="20:73" ht="12.65" customHeight="1">
      <c r="T26"/>
      <c r="U26" s="613"/>
      <c r="V26" s="732"/>
      <c r="W26" s="732"/>
      <c r="X26" s="835" t="s">
        <v>2669</v>
      </c>
      <c r="Y26" s="836">
        <v>0.20599999999999999</v>
      </c>
      <c r="Z26" s="843"/>
      <c r="AA26" s="843"/>
    </row>
    <row r="27" spans="20:73" ht="12.65" customHeight="1">
      <c r="T27" t="s">
        <v>2666</v>
      </c>
      <c r="U27" s="613" t="s">
        <v>2920</v>
      </c>
      <c r="V27" s="732"/>
      <c r="W27" s="732"/>
      <c r="X27" s="835" t="s">
        <v>2670</v>
      </c>
      <c r="Y27" s="837">
        <v>0.11</v>
      </c>
      <c r="Z27" s="844"/>
      <c r="AA27" s="844"/>
    </row>
    <row r="28" spans="20:73" ht="12.65" customHeight="1">
      <c r="T28"/>
      <c r="U28" s="613"/>
      <c r="V28" s="732"/>
      <c r="W28" s="732"/>
      <c r="X28" s="835" t="s">
        <v>2671</v>
      </c>
      <c r="Y28" s="836">
        <v>0.11</v>
      </c>
      <c r="Z28" s="843"/>
      <c r="AA28" s="843"/>
    </row>
    <row r="29" spans="20:73" ht="12.65" customHeight="1">
      <c r="T29" t="s">
        <v>2668</v>
      </c>
      <c r="U29" s="613" t="s">
        <v>2921</v>
      </c>
      <c r="V29" s="732"/>
      <c r="W29" s="732"/>
      <c r="X29" s="835" t="s">
        <v>2672</v>
      </c>
      <c r="Y29" s="837">
        <v>0.29580000000000001</v>
      </c>
      <c r="Z29" s="844"/>
      <c r="AA29" s="844"/>
    </row>
    <row r="30" spans="20:73" ht="12.65" customHeight="1">
      <c r="T30"/>
      <c r="U30" s="613"/>
      <c r="V30" s="732"/>
      <c r="W30" s="732"/>
      <c r="X30" s="835" t="s">
        <v>2673</v>
      </c>
      <c r="Y30" s="836">
        <v>0.29580000000000001</v>
      </c>
      <c r="Z30" s="843"/>
      <c r="AA30" s="843"/>
    </row>
    <row r="31" spans="20:73" ht="12.65" customHeight="1">
      <c r="T31" t="s">
        <v>2670</v>
      </c>
      <c r="U31" s="613" t="s">
        <v>2922</v>
      </c>
      <c r="V31" s="732"/>
      <c r="W31" s="732"/>
      <c r="X31" s="835" t="s">
        <v>2674</v>
      </c>
      <c r="Y31" s="837">
        <v>0.104</v>
      </c>
      <c r="Z31" s="844"/>
      <c r="AA31" s="844"/>
    </row>
    <row r="32" spans="20:73" ht="12.65" customHeight="1">
      <c r="T32"/>
      <c r="U32" s="613"/>
      <c r="V32" s="732"/>
      <c r="W32" s="732"/>
      <c r="X32" s="835" t="s">
        <v>2675</v>
      </c>
      <c r="Y32" s="837">
        <v>0.21</v>
      </c>
      <c r="Z32" s="844"/>
      <c r="AA32" s="844"/>
    </row>
    <row r="33" spans="20:27" ht="12.65" customHeight="1">
      <c r="T33" t="s">
        <v>2672</v>
      </c>
      <c r="U33" s="613" t="s">
        <v>2923</v>
      </c>
      <c r="V33" s="732"/>
      <c r="W33" s="732"/>
      <c r="X33" s="835" t="s">
        <v>2676</v>
      </c>
      <c r="Y33" s="837">
        <v>0.09</v>
      </c>
      <c r="Z33" s="844"/>
      <c r="AA33" s="844"/>
    </row>
    <row r="34" spans="20:27" ht="12.65" customHeight="1">
      <c r="T34"/>
      <c r="U34" s="613"/>
      <c r="V34" s="732"/>
      <c r="W34" s="732"/>
      <c r="X34" s="835" t="s">
        <v>2677</v>
      </c>
      <c r="Y34" s="836">
        <v>0.09</v>
      </c>
      <c r="Z34" s="843"/>
      <c r="AA34" s="843"/>
    </row>
    <row r="35" spans="20:27" ht="12.65" customHeight="1">
      <c r="T35" t="s">
        <v>2674</v>
      </c>
      <c r="U35" s="613" t="s">
        <v>2924</v>
      </c>
      <c r="V35" s="732"/>
      <c r="W35" s="732"/>
      <c r="X35" s="835" t="s">
        <v>2678</v>
      </c>
      <c r="Y35" s="837">
        <v>0.22</v>
      </c>
      <c r="Z35" s="844"/>
      <c r="AA35" s="844"/>
    </row>
    <row r="36" spans="20:27" ht="12.65" customHeight="1">
      <c r="T36"/>
      <c r="U36" s="613"/>
      <c r="V36" s="732"/>
      <c r="W36" s="732"/>
      <c r="X36" s="835" t="s">
        <v>2679</v>
      </c>
      <c r="Y36" s="836">
        <v>0.22</v>
      </c>
      <c r="Z36" s="843"/>
      <c r="AA36" s="843"/>
    </row>
    <row r="37" spans="20:27" ht="12.65" customHeight="1">
      <c r="T37" t="s">
        <v>2675</v>
      </c>
      <c r="U37" s="613" t="s">
        <v>2925</v>
      </c>
      <c r="V37" s="732"/>
      <c r="W37" s="732"/>
      <c r="X37" s="835" t="s">
        <v>2680</v>
      </c>
      <c r="Y37" s="836">
        <v>1.2E-2</v>
      </c>
      <c r="Z37" s="843"/>
      <c r="AA37" s="843"/>
    </row>
    <row r="38" spans="20:27" ht="12.65" customHeight="1">
      <c r="T38"/>
      <c r="U38"/>
      <c r="V38" s="732"/>
      <c r="W38" s="732"/>
      <c r="X38" s="838" t="s">
        <v>2681</v>
      </c>
      <c r="Y38" s="839">
        <v>6.0299999999999999E-2</v>
      </c>
      <c r="Z38" s="843"/>
      <c r="AA38" s="843"/>
    </row>
    <row r="39" spans="20:27" ht="12.65" customHeight="1">
      <c r="T39" t="s">
        <v>2676</v>
      </c>
      <c r="U39" t="s">
        <v>2926</v>
      </c>
      <c r="V39" s="732"/>
      <c r="W39" s="732"/>
      <c r="X39" s="732"/>
      <c r="Y39" s="732"/>
      <c r="Z39" s="732"/>
      <c r="AA39" s="732"/>
    </row>
    <row r="40" spans="20:27" ht="12.65" customHeight="1">
      <c r="T40"/>
      <c r="U40"/>
      <c r="V40" s="732"/>
      <c r="W40" s="732"/>
      <c r="X40" s="732"/>
      <c r="Y40" s="732"/>
      <c r="Z40" s="732"/>
      <c r="AA40" s="732"/>
    </row>
    <row r="41" spans="20:27" ht="12.65" customHeight="1">
      <c r="T41" t="s">
        <v>2678</v>
      </c>
      <c r="U41" t="s">
        <v>2927</v>
      </c>
      <c r="V41" s="732"/>
      <c r="W41" s="732"/>
      <c r="X41" s="732"/>
      <c r="Y41" s="732"/>
      <c r="Z41" s="732"/>
      <c r="AA41" s="732"/>
    </row>
    <row r="42" spans="20:27" ht="12.65" customHeight="1">
      <c r="T42" s="732"/>
      <c r="U42" s="732"/>
      <c r="V42" s="732"/>
      <c r="W42" s="732"/>
      <c r="X42" s="732"/>
      <c r="Y42" s="732"/>
      <c r="Z42" s="732"/>
      <c r="AA42" s="732"/>
    </row>
    <row r="43" spans="20:27" ht="12.65" customHeight="1">
      <c r="T43" t="s">
        <v>2680</v>
      </c>
      <c r="U43" s="672" t="s">
        <v>2928</v>
      </c>
      <c r="V43" s="732"/>
      <c r="W43" s="732"/>
      <c r="X43" s="732"/>
      <c r="Y43" s="732"/>
      <c r="Z43" s="732"/>
      <c r="AA43" s="732"/>
    </row>
    <row r="44" spans="20:27" ht="12.65" customHeight="1">
      <c r="T44"/>
      <c r="U44"/>
      <c r="V44" s="732"/>
      <c r="W44" s="732"/>
      <c r="X44" s="732"/>
      <c r="Y44" s="732"/>
      <c r="Z44" s="732"/>
      <c r="AA44" s="732"/>
    </row>
    <row r="45" spans="20:27" ht="12.65" customHeight="1">
      <c r="T45" t="s">
        <v>2681</v>
      </c>
      <c r="U45" t="s">
        <v>2929</v>
      </c>
      <c r="V45" s="732"/>
      <c r="W45" s="732"/>
      <c r="X45" s="732"/>
      <c r="Y45" s="732"/>
      <c r="Z45" s="732"/>
      <c r="AA45" s="732"/>
    </row>
    <row r="46" spans="20:27" ht="12.65" customHeight="1">
      <c r="T46" s="108"/>
      <c r="U46" s="108"/>
      <c r="V46" s="108"/>
      <c r="W46" s="108"/>
      <c r="X46" s="108"/>
    </row>
    <row r="47" spans="20:27" ht="12.65" customHeight="1">
      <c r="T47" s="842"/>
      <c r="U47" s="842"/>
      <c r="V47" s="842"/>
      <c r="W47" s="842"/>
      <c r="X47" s="842"/>
    </row>
    <row r="48" spans="20:27" ht="12.65" customHeight="1">
      <c r="T48" s="769"/>
      <c r="U48" s="769"/>
      <c r="V48" s="769"/>
      <c r="W48" s="769"/>
      <c r="X48" s="769"/>
    </row>
    <row r="49" spans="2:26" ht="12.65" customHeight="1">
      <c r="T49" s="796"/>
      <c r="U49" s="823"/>
      <c r="V49" s="823"/>
      <c r="W49" s="823"/>
      <c r="X49" s="823"/>
      <c r="Y49" s="824"/>
      <c r="Z49" s="825" t="s">
        <v>3170</v>
      </c>
    </row>
    <row r="50" spans="2:26" ht="12.65" customHeight="1">
      <c r="T50" s="797" t="s">
        <v>193</v>
      </c>
      <c r="U50" s="826" t="s">
        <v>2747</v>
      </c>
      <c r="V50" s="90"/>
      <c r="W50" s="746"/>
      <c r="X50" s="746"/>
      <c r="Y50" s="826" t="s">
        <v>216</v>
      </c>
      <c r="Z50" s="827" t="s">
        <v>3171</v>
      </c>
    </row>
    <row r="51" spans="2:26" s="1525" customFormat="1" ht="12.65" customHeight="1">
      <c r="T51" s="1526" t="s">
        <v>2646</v>
      </c>
      <c r="U51" s="1527" t="s">
        <v>3172</v>
      </c>
      <c r="V51" s="1526" t="str">
        <f>U51&amp;" - "&amp;T51</f>
        <v>LED Architectural Flood and Spot Fixtures - Low, Mid  - X900</v>
      </c>
      <c r="W51" s="1528"/>
      <c r="X51" s="1528"/>
      <c r="Y51" s="1529">
        <v>60</v>
      </c>
      <c r="Z51" s="1530"/>
    </row>
    <row r="52" spans="2:26" s="1525" customFormat="1" ht="12.65" customHeight="1">
      <c r="T52" s="1526" t="s">
        <v>2647</v>
      </c>
      <c r="U52" s="1527" t="s">
        <v>3172</v>
      </c>
      <c r="V52" s="1526" t="str">
        <f t="shared" ref="V52:V121" si="0">U52&amp;" - "&amp;T52</f>
        <v>LED Architectural Flood and Spot Fixtures - Low, Mid  - X900-P</v>
      </c>
      <c r="W52" s="1528"/>
      <c r="X52" s="1528"/>
      <c r="Y52" s="1529">
        <v>60</v>
      </c>
      <c r="Z52" s="1530"/>
    </row>
    <row r="53" spans="2:26" s="1525" customFormat="1" ht="12.65" customHeight="1">
      <c r="T53" s="1526" t="s">
        <v>2648</v>
      </c>
      <c r="U53" s="1527" t="s">
        <v>3173</v>
      </c>
      <c r="V53" s="1526" t="str">
        <f t="shared" si="0"/>
        <v>LED Architectural Flood and Spot Fixtures - High - X901</v>
      </c>
      <c r="W53" s="1528"/>
      <c r="X53" s="1528"/>
      <c r="Y53" s="1529">
        <v>165</v>
      </c>
      <c r="Z53" s="1530"/>
    </row>
    <row r="54" spans="2:26" s="1525" customFormat="1" ht="12.65" customHeight="1">
      <c r="T54" s="1526" t="s">
        <v>2649</v>
      </c>
      <c r="U54" s="1527" t="s">
        <v>3174</v>
      </c>
      <c r="V54" s="1526" t="str">
        <f t="shared" si="0"/>
        <v>LED Architectural Flood and Spot Fixtures - High  - X901-P</v>
      </c>
      <c r="W54" s="1528"/>
      <c r="X54" s="1528"/>
      <c r="Y54" s="1529">
        <v>165</v>
      </c>
      <c r="Z54" s="1530"/>
    </row>
    <row r="55" spans="2:26" s="1525" customFormat="1" ht="12.65" customHeight="1">
      <c r="T55" s="1526" t="s">
        <v>2650</v>
      </c>
      <c r="U55" s="1527" t="s">
        <v>3175</v>
      </c>
      <c r="V55" s="1526" t="str">
        <f t="shared" si="0"/>
        <v>LED Area Lighting Fixtures - Low, Mid  - X910</v>
      </c>
      <c r="W55" s="1528"/>
      <c r="X55" s="1528"/>
      <c r="Y55" s="1529">
        <v>100</v>
      </c>
      <c r="Z55" s="1530"/>
    </row>
    <row r="56" spans="2:26" s="1525" customFormat="1" ht="12.65" customHeight="1">
      <c r="T56" s="1526" t="s">
        <v>2651</v>
      </c>
      <c r="U56" s="1527" t="s">
        <v>3176</v>
      </c>
      <c r="V56" s="1526" t="str">
        <f t="shared" si="0"/>
        <v>LED Area Lighting Fixtures - Low, Mid - X910-P</v>
      </c>
      <c r="W56" s="1528"/>
      <c r="X56" s="1528"/>
      <c r="Y56" s="1529">
        <v>100</v>
      </c>
      <c r="Z56" s="1530"/>
    </row>
    <row r="57" spans="2:26" s="1525" customFormat="1" ht="12.65" customHeight="1">
      <c r="T57" s="1526" t="s">
        <v>2652</v>
      </c>
      <c r="U57" s="1527" t="s">
        <v>3177</v>
      </c>
      <c r="V57" s="1526" t="str">
        <f t="shared" si="0"/>
        <v>LED Area Lighting Fixtures - High, Very High - X911</v>
      </c>
      <c r="W57" s="1528"/>
      <c r="X57" s="1528"/>
      <c r="Y57" s="1529">
        <v>200</v>
      </c>
      <c r="Z57" s="1530"/>
    </row>
    <row r="58" spans="2:26" s="1525" customFormat="1" ht="12.65" customHeight="1">
      <c r="T58" s="1526" t="s">
        <v>2653</v>
      </c>
      <c r="U58" s="1527" t="s">
        <v>3177</v>
      </c>
      <c r="V58" s="1526" t="str">
        <f t="shared" si="0"/>
        <v>LED Area Lighting Fixtures - High, Very High - X911-P</v>
      </c>
      <c r="W58" s="1528"/>
      <c r="X58" s="1528"/>
      <c r="Y58" s="1529">
        <v>200</v>
      </c>
      <c r="Z58" s="1530"/>
    </row>
    <row r="59" spans="2:26" s="1525" customFormat="1" ht="12.65" customHeight="1">
      <c r="T59" s="1526" t="s">
        <v>2654</v>
      </c>
      <c r="U59" s="1527" t="s">
        <v>3178</v>
      </c>
      <c r="V59" s="1526" t="str">
        <f t="shared" si="0"/>
        <v>LED Area Lighting Replacement Lamps, Types B&amp;C - Low, Mid - X912</v>
      </c>
      <c r="W59" s="1528"/>
      <c r="X59" s="1528"/>
      <c r="Y59" s="1529">
        <v>60</v>
      </c>
      <c r="Z59" s="1530"/>
    </row>
    <row r="60" spans="2:26" s="1525" customFormat="1" ht="12.65" customHeight="1">
      <c r="T60" s="1526" t="s">
        <v>2655</v>
      </c>
      <c r="U60" s="1527" t="s">
        <v>3179</v>
      </c>
      <c r="V60" s="1526" t="str">
        <f t="shared" si="0"/>
        <v>LED Area Lighting Replacement Lamps, Types B&amp;C - High, Very High  - X913</v>
      </c>
      <c r="W60" s="1528"/>
      <c r="X60" s="1528"/>
      <c r="Y60" s="1529">
        <v>130</v>
      </c>
      <c r="Z60" s="1530"/>
    </row>
    <row r="61" spans="2:26" s="1525" customFormat="1" ht="12.65" customHeight="1">
      <c r="T61" s="1526" t="s">
        <v>2656</v>
      </c>
      <c r="U61" s="1527" t="s">
        <v>3180</v>
      </c>
      <c r="V61" s="1526" t="str">
        <f t="shared" si="0"/>
        <v>LED Area Lighting Retrofit Kits - Low, Mid  - X914</v>
      </c>
      <c r="W61" s="1528"/>
      <c r="X61" s="1528"/>
      <c r="Y61" s="1529">
        <v>80</v>
      </c>
      <c r="Z61" s="1530"/>
    </row>
    <row r="62" spans="2:26" s="1525" customFormat="1" ht="12.65" customHeight="1">
      <c r="T62" s="1526" t="s">
        <v>2657</v>
      </c>
      <c r="U62" s="1527" t="s">
        <v>3180</v>
      </c>
      <c r="V62" s="1526" t="str">
        <f t="shared" si="0"/>
        <v>LED Area Lighting Retrofit Kits - Low, Mid  - X914-P</v>
      </c>
      <c r="W62" s="1528"/>
      <c r="X62" s="1528"/>
      <c r="Y62" s="1529">
        <v>80</v>
      </c>
      <c r="Z62" s="1530"/>
    </row>
    <row r="63" spans="2:26" s="1525" customFormat="1" ht="12.65" customHeight="1">
      <c r="T63" s="1526" t="s">
        <v>2658</v>
      </c>
      <c r="U63" s="1527" t="s">
        <v>3181</v>
      </c>
      <c r="V63" s="1526" t="str">
        <f t="shared" si="0"/>
        <v>LED Area Lighting Retrofit Kits - High, Very High - X915</v>
      </c>
      <c r="W63" s="1528"/>
      <c r="X63" s="1528"/>
      <c r="Y63" s="1529">
        <v>170</v>
      </c>
      <c r="Z63" s="1530"/>
    </row>
    <row r="64" spans="2:26" s="1525" customFormat="1" ht="12.65" customHeight="1">
      <c r="T64" s="1526" t="s">
        <v>2659</v>
      </c>
      <c r="U64" s="1527" t="s">
        <v>3182</v>
      </c>
      <c r="V64" s="1526" t="str">
        <f t="shared" si="0"/>
        <v>LED Area Lighting Retrofit Kits - High, Very High  - X915-P</v>
      </c>
      <c r="W64" s="1528"/>
      <c r="X64" s="1528"/>
      <c r="Y64" s="1529">
        <v>170</v>
      </c>
      <c r="Z64" s="1530"/>
    </row>
    <row r="65" spans="2:26" s="1525" customFormat="1" ht="12.65" customHeight="1">
      <c r="T65" s="1526" t="s">
        <v>2660</v>
      </c>
      <c r="U65" s="1527" t="s">
        <v>3183</v>
      </c>
      <c r="V65" s="1526" t="str">
        <f t="shared" si="0"/>
        <v>LED Wall Mounted Full-Cutoff, Fixtures - Low, Mid  - X920</v>
      </c>
      <c r="W65" s="1528"/>
      <c r="X65" s="1528"/>
      <c r="Y65" s="1529">
        <v>60</v>
      </c>
      <c r="Z65" s="1530"/>
    </row>
    <row r="66" spans="2:26" s="1525" customFormat="1" ht="12.65" customHeight="1">
      <c r="T66" s="1526" t="s">
        <v>2661</v>
      </c>
      <c r="U66" s="1527" t="s">
        <v>3183</v>
      </c>
      <c r="V66" s="1526" t="str">
        <f t="shared" si="0"/>
        <v>LED Wall Mounted Full-Cutoff, Fixtures - Low, Mid  - X920-P</v>
      </c>
      <c r="W66" s="1528"/>
      <c r="X66" s="1528"/>
      <c r="Y66" s="1529">
        <v>60</v>
      </c>
      <c r="Z66" s="1530"/>
    </row>
    <row r="67" spans="2:26" s="1525" customFormat="1" ht="12.65" customHeight="1">
      <c r="T67" s="1526" t="s">
        <v>2662</v>
      </c>
      <c r="U67" s="1527" t="s">
        <v>3184</v>
      </c>
      <c r="V67" s="1526" t="str">
        <f t="shared" si="0"/>
        <v>LED Wall Mounted Full-Cutoff, Fixtures - High, Very High - X921</v>
      </c>
      <c r="W67" s="1528"/>
      <c r="X67" s="1528"/>
      <c r="Y67" s="1529">
        <v>160</v>
      </c>
      <c r="Z67" s="1530"/>
    </row>
    <row r="68" spans="2:26" s="1525" customFormat="1" ht="12.65" customHeight="1">
      <c r="T68" s="1526" t="s">
        <v>2663</v>
      </c>
      <c r="U68" s="1527" t="s">
        <v>3184</v>
      </c>
      <c r="V68" s="1526" t="str">
        <f t="shared" si="0"/>
        <v>LED Wall Mounted Full-Cutoff, Fixtures - High, Very High - X921-P</v>
      </c>
      <c r="W68" s="1528"/>
      <c r="X68" s="1528"/>
      <c r="Y68" s="1529">
        <v>160</v>
      </c>
      <c r="Z68" s="1530"/>
    </row>
    <row r="69" spans="2:26" s="1525" customFormat="1" ht="12.65" customHeight="1">
      <c r="T69" s="1526" t="s">
        <v>2664</v>
      </c>
      <c r="U69" s="1527" t="s">
        <v>3185</v>
      </c>
      <c r="V69" s="1526" t="str">
        <f t="shared" si="0"/>
        <v>LED Wall Mounted Full-Cutoff, Replacement Lamps - Low, Mid  - X922</v>
      </c>
      <c r="W69" s="1528"/>
      <c r="X69" s="1528"/>
      <c r="Y69" s="1529">
        <v>50</v>
      </c>
      <c r="Z69" s="1530"/>
    </row>
    <row r="70" spans="2:26" s="1525" customFormat="1" ht="12.65" customHeight="1">
      <c r="T70" s="1526" t="s">
        <v>2665</v>
      </c>
      <c r="U70" s="1527" t="s">
        <v>3186</v>
      </c>
      <c r="V70" s="1526" t="str">
        <f t="shared" si="0"/>
        <v>LED Wall Mounted Full-Cutoff, Replacement Lamps - High, Very High  - X923</v>
      </c>
      <c r="W70" s="1528"/>
      <c r="X70" s="1528"/>
      <c r="Y70" s="1529">
        <v>100</v>
      </c>
      <c r="Z70" s="1530"/>
    </row>
    <row r="71" spans="2:26" s="1525" customFormat="1" ht="12.65" customHeight="1">
      <c r="T71" s="1526" t="s">
        <v>2666</v>
      </c>
      <c r="U71" s="1527" t="s">
        <v>3187</v>
      </c>
      <c r="V71" s="1526" t="str">
        <f t="shared" si="0"/>
        <v>LED Wall Mounted Full-Cutoff, Retrofit Kits - Low, Mid  - X924</v>
      </c>
      <c r="W71" s="1528"/>
      <c r="X71" s="1528"/>
      <c r="Y71" s="1529">
        <v>80</v>
      </c>
      <c r="Z71" s="1530"/>
    </row>
    <row r="72" spans="2:26" s="1525" customFormat="1">
      <c r="T72" s="1526" t="s">
        <v>2667</v>
      </c>
      <c r="U72" s="1527" t="s">
        <v>3187</v>
      </c>
      <c r="V72" s="1526" t="str">
        <f t="shared" si="0"/>
        <v>LED Wall Mounted Full-Cutoff, Retrofit Kits - Low, Mid  - X924-P</v>
      </c>
      <c r="W72" s="1528"/>
      <c r="X72" s="1528"/>
      <c r="Y72" s="1529">
        <v>80</v>
      </c>
      <c r="Z72" s="1530"/>
    </row>
    <row r="73" spans="2:26" s="1525" customFormat="1" ht="12.65" customHeight="1">
      <c r="T73" s="1526" t="s">
        <v>2668</v>
      </c>
      <c r="U73" s="1527" t="s">
        <v>3188</v>
      </c>
      <c r="V73" s="1526" t="str">
        <f t="shared" si="0"/>
        <v>LED Wall Mounted Full-Cutoff, Retrofit Kits - High, Very High - X925</v>
      </c>
      <c r="W73" s="1528"/>
      <c r="X73" s="1528"/>
      <c r="Y73" s="1529">
        <v>170</v>
      </c>
      <c r="Z73" s="1530"/>
    </row>
    <row r="74" spans="2:26" s="1525" customFormat="1" ht="12.65" customHeight="1">
      <c r="T74" s="1526" t="s">
        <v>2669</v>
      </c>
      <c r="U74" s="1527" t="s">
        <v>3188</v>
      </c>
      <c r="V74" s="1526" t="str">
        <f t="shared" si="0"/>
        <v>LED Wall Mounted Full-Cutoff, Retrofit Kits - High, Very High - X925-P</v>
      </c>
      <c r="W74" s="1528"/>
      <c r="X74" s="1528"/>
      <c r="Y74" s="1529">
        <v>170</v>
      </c>
      <c r="Z74" s="1530"/>
    </row>
    <row r="75" spans="2:26" s="1525" customFormat="1">
      <c r="T75" s="1526" t="s">
        <v>2670</v>
      </c>
      <c r="U75" s="1527" t="s">
        <v>3189</v>
      </c>
      <c r="V75" s="1526" t="str">
        <f t="shared" si="0"/>
        <v>LED Decorative Fixtures - Low, Mid - X930</v>
      </c>
      <c r="W75" s="1528"/>
      <c r="X75" s="1528"/>
      <c r="Y75" s="1529">
        <v>90</v>
      </c>
      <c r="Z75" s="1530"/>
    </row>
    <row r="76" spans="2:26" s="1525" customFormat="1" ht="12.65" customHeight="1">
      <c r="T76" s="1526" t="s">
        <v>2671</v>
      </c>
      <c r="U76" s="1527" t="s">
        <v>3189</v>
      </c>
      <c r="V76" s="1526" t="str">
        <f t="shared" si="0"/>
        <v>LED Decorative Fixtures - Low, Mid - X930-P</v>
      </c>
      <c r="W76" s="1528"/>
      <c r="X76" s="1528"/>
      <c r="Y76" s="1529">
        <v>90</v>
      </c>
      <c r="Z76" s="1530"/>
    </row>
    <row r="77" spans="2:26" s="1525" customFormat="1" ht="12.65" customHeight="1">
      <c r="T77" s="1526" t="s">
        <v>2672</v>
      </c>
      <c r="U77" s="1527" t="s">
        <v>3190</v>
      </c>
      <c r="V77" s="1526" t="str">
        <f t="shared" si="0"/>
        <v>LED Decorative Fixtures - High, Very High  - X931</v>
      </c>
      <c r="W77" s="1528"/>
      <c r="X77" s="1528"/>
      <c r="Y77" s="1529">
        <v>180</v>
      </c>
      <c r="Z77" s="1530"/>
    </row>
    <row r="78" spans="2:26" s="1525" customFormat="1">
      <c r="T78" s="1526" t="s">
        <v>2673</v>
      </c>
      <c r="U78" s="1527" t="s">
        <v>3191</v>
      </c>
      <c r="V78" s="1526" t="str">
        <f t="shared" si="0"/>
        <v>LED Decorative Fixtures - High, Very High - X931-P</v>
      </c>
      <c r="W78" s="1528"/>
      <c r="X78" s="1528"/>
      <c r="Y78" s="1529">
        <v>180</v>
      </c>
      <c r="Z78" s="1530"/>
    </row>
    <row r="79" spans="2:26" s="1525" customFormat="1" ht="12.65" customHeight="1">
      <c r="T79" s="1526" t="s">
        <v>2674</v>
      </c>
      <c r="U79" s="1527" t="s">
        <v>3192</v>
      </c>
      <c r="V79" s="1526" t="str">
        <f t="shared" si="0"/>
        <v>LED Decorative Replacement Lamps - Low, Mid  - X932</v>
      </c>
      <c r="W79" s="1528"/>
      <c r="X79" s="1528"/>
      <c r="Y79" s="1529">
        <v>60</v>
      </c>
      <c r="Z79" s="1530"/>
    </row>
    <row r="80" spans="2:26" s="1525" customFormat="1" ht="12.65" customHeight="1">
      <c r="T80" s="1526" t="s">
        <v>2675</v>
      </c>
      <c r="U80" s="1527" t="s">
        <v>3193</v>
      </c>
      <c r="V80" s="1526" t="str">
        <f t="shared" si="0"/>
        <v>LED Decorative Replacement Lamps - High, Very High - X933</v>
      </c>
      <c r="W80" s="1528"/>
      <c r="X80" s="1528"/>
      <c r="Y80" s="1529">
        <v>130</v>
      </c>
      <c r="Z80" s="1530"/>
    </row>
    <row r="81" spans="20:26" s="1525" customFormat="1" ht="12.65" customHeight="1">
      <c r="T81" s="1526" t="s">
        <v>2676</v>
      </c>
      <c r="U81" s="1527" t="s">
        <v>3194</v>
      </c>
      <c r="V81" s="1526" t="str">
        <f t="shared" si="0"/>
        <v>LED Decorative Retrofit Kits - Low, Mid  - X934</v>
      </c>
      <c r="W81" s="1528"/>
      <c r="X81" s="1528"/>
      <c r="Y81" s="1529">
        <v>80</v>
      </c>
      <c r="Z81" s="1530"/>
    </row>
    <row r="82" spans="20:26" s="1525" customFormat="1" ht="12.65" customHeight="1">
      <c r="T82" s="1526" t="s">
        <v>2677</v>
      </c>
      <c r="U82" s="1527" t="s">
        <v>3195</v>
      </c>
      <c r="V82" s="1526" t="str">
        <f t="shared" si="0"/>
        <v>LED Decorative Retrofit Kits - Low, Mid - X934-P</v>
      </c>
      <c r="W82" s="1528"/>
      <c r="X82" s="1528"/>
      <c r="Y82" s="1529">
        <v>80</v>
      </c>
      <c r="Z82" s="1530"/>
    </row>
    <row r="83" spans="20:26" s="1525" customFormat="1" ht="12.65" customHeight="1">
      <c r="T83" s="1526" t="s">
        <v>2678</v>
      </c>
      <c r="U83" s="1527" t="s">
        <v>3196</v>
      </c>
      <c r="V83" s="1526" t="str">
        <f t="shared" si="0"/>
        <v>LED Decorative Retrofit Kits - High, Very High  - X935</v>
      </c>
      <c r="W83" s="1528"/>
      <c r="X83" s="1528"/>
      <c r="Y83" s="1529">
        <v>170</v>
      </c>
      <c r="Z83" s="1530"/>
    </row>
    <row r="84" spans="20:26" s="1525" customFormat="1" ht="12.65" customHeight="1">
      <c r="T84" s="1526" t="s">
        <v>2679</v>
      </c>
      <c r="U84" s="1527" t="s">
        <v>3196</v>
      </c>
      <c r="V84" s="1526" t="str">
        <f t="shared" si="0"/>
        <v>LED Decorative Retrofit Kits - High, Very High  - X935-P</v>
      </c>
      <c r="W84" s="1528"/>
      <c r="X84" s="1528"/>
      <c r="Y84" s="1529">
        <v>170</v>
      </c>
      <c r="Z84" s="1530"/>
    </row>
    <row r="85" spans="20:26" s="1525" customFormat="1" ht="12.65" customHeight="1">
      <c r="T85" s="1526" t="s">
        <v>2680</v>
      </c>
      <c r="U85" s="1527" t="s">
        <v>3197</v>
      </c>
      <c r="V85" s="1526" t="str">
        <f t="shared" si="0"/>
        <v>LED Vapor Tight Replacement Tubes - X940</v>
      </c>
      <c r="W85" s="1528"/>
      <c r="X85" s="1528"/>
      <c r="Y85" s="1529">
        <v>5</v>
      </c>
      <c r="Z85" s="1530"/>
    </row>
    <row r="86" spans="20:26" s="1525" customFormat="1" ht="12.65" customHeight="1">
      <c r="T86" s="1526" t="s">
        <v>2681</v>
      </c>
      <c r="U86" s="1527" t="s">
        <v>2753</v>
      </c>
      <c r="V86" s="1526" t="str">
        <f t="shared" si="0"/>
        <v>LED Downlight Fixtures - X945</v>
      </c>
      <c r="W86" s="1528"/>
      <c r="X86" s="1528"/>
      <c r="Y86" s="1529">
        <v>35</v>
      </c>
      <c r="Z86" s="1530"/>
    </row>
    <row r="87" spans="20:26" s="1525" customFormat="1" ht="12.65" customHeight="1">
      <c r="T87" s="1526" t="s">
        <v>5246</v>
      </c>
      <c r="U87" s="1527" t="s">
        <v>5249</v>
      </c>
      <c r="V87" s="1526" t="str">
        <f t="shared" si="0"/>
        <v>LED Bollard Fixtures - X950</v>
      </c>
      <c r="W87" s="1528"/>
      <c r="X87" s="1528"/>
      <c r="Y87" s="1529">
        <v>35</v>
      </c>
      <c r="Z87" s="1530"/>
    </row>
    <row r="88" spans="20:26" s="1525" customFormat="1" ht="12.65" customHeight="1">
      <c r="T88" s="1526" t="s">
        <v>5247</v>
      </c>
      <c r="U88" s="1527" t="s">
        <v>5250</v>
      </c>
      <c r="V88" s="1526" t="str">
        <f t="shared" si="0"/>
        <v>LED Stairwell and Passageway Fixtures - X955</v>
      </c>
      <c r="W88" s="1528"/>
      <c r="X88" s="1528"/>
      <c r="Y88" s="1529">
        <v>40</v>
      </c>
      <c r="Z88" s="1530"/>
    </row>
    <row r="89" spans="20:26" s="1037" customFormat="1" ht="12.65" customHeight="1">
      <c r="T89" s="1517" t="s">
        <v>2682</v>
      </c>
      <c r="U89" s="1518" t="s">
        <v>2749</v>
      </c>
      <c r="V89" s="1517" t="str">
        <f t="shared" si="0"/>
        <v>LED Interior Parking Garage Lighting Fixtures - LR100</v>
      </c>
      <c r="W89" s="1519"/>
      <c r="X89" s="1519"/>
      <c r="Y89" s="1520">
        <v>100</v>
      </c>
      <c r="Z89" s="1521">
        <v>160</v>
      </c>
    </row>
    <row r="90" spans="20:26" s="1037" customFormat="1" ht="12.65" customHeight="1">
      <c r="T90" s="1517" t="s">
        <v>2683</v>
      </c>
      <c r="U90" s="1518" t="s">
        <v>2749</v>
      </c>
      <c r="V90" s="1517" t="str">
        <f t="shared" si="0"/>
        <v>LED Interior Parking Garage Lighting Fixtures - LR100-P</v>
      </c>
      <c r="W90" s="1519"/>
      <c r="X90" s="1519"/>
      <c r="Y90" s="1520">
        <v>100</v>
      </c>
      <c r="Z90" s="1521">
        <v>160</v>
      </c>
    </row>
    <row r="91" spans="20:26" s="1037" customFormat="1" ht="12.65" customHeight="1">
      <c r="T91" s="1517" t="s">
        <v>2684</v>
      </c>
      <c r="U91" s="1518" t="s">
        <v>2751</v>
      </c>
      <c r="V91" s="1517" t="str">
        <f t="shared" si="0"/>
        <v>LED Lamps - LR410</v>
      </c>
      <c r="W91" s="1519"/>
      <c r="X91" s="1519"/>
      <c r="Y91" s="1520">
        <v>4</v>
      </c>
      <c r="Z91" s="1521">
        <v>6</v>
      </c>
    </row>
    <row r="92" spans="20:26" s="1037" customFormat="1" ht="12.65" customHeight="1">
      <c r="T92" s="1517" t="s">
        <v>2685</v>
      </c>
      <c r="U92" s="1518" t="s">
        <v>3198</v>
      </c>
      <c r="V92" s="1517" t="str">
        <f t="shared" si="0"/>
        <v>LED Downlights &lt; 1,000 Lumens - LR600</v>
      </c>
      <c r="W92" s="1519"/>
      <c r="X92" s="1519"/>
      <c r="Y92" s="1520">
        <v>35</v>
      </c>
      <c r="Z92" s="1521">
        <v>60</v>
      </c>
    </row>
    <row r="93" spans="20:26" s="1037" customFormat="1" ht="12.65" customHeight="1">
      <c r="T93" s="1517" t="s">
        <v>2686</v>
      </c>
      <c r="U93" s="1518" t="s">
        <v>3199</v>
      </c>
      <c r="V93" s="1517" t="str">
        <f t="shared" si="0"/>
        <v>LED Downlights &gt; 1,000 Lumens - LR610</v>
      </c>
      <c r="W93" s="1519"/>
      <c r="X93" s="1519"/>
      <c r="Y93" s="1520">
        <v>35</v>
      </c>
      <c r="Z93" s="1521">
        <v>60</v>
      </c>
    </row>
    <row r="94" spans="20:26" s="1037" customFormat="1" ht="12.65" customHeight="1">
      <c r="T94" s="1517" t="s">
        <v>2687</v>
      </c>
      <c r="U94" s="1518" t="s">
        <v>3200</v>
      </c>
      <c r="V94" s="1517" t="str">
        <f t="shared" si="0"/>
        <v>Recessed LED Retrofit Kits - LR620</v>
      </c>
      <c r="W94" s="1519"/>
      <c r="X94" s="1519"/>
      <c r="Y94" s="1520">
        <v>20</v>
      </c>
      <c r="Z94" s="1521">
        <v>35</v>
      </c>
    </row>
    <row r="95" spans="20:26" s="1037" customFormat="1" ht="12.65" customHeight="1">
      <c r="T95" s="1517" t="s">
        <v>2688</v>
      </c>
      <c r="U95" s="1518" t="s">
        <v>3201</v>
      </c>
      <c r="V95" s="1517" t="str">
        <f t="shared" si="0"/>
        <v>LED 1 x 4 Linear Panel - LR700</v>
      </c>
      <c r="W95" s="1519"/>
      <c r="X95" s="1519"/>
      <c r="Y95" s="1520">
        <v>35</v>
      </c>
      <c r="Z95" s="1521">
        <v>60</v>
      </c>
    </row>
    <row r="96" spans="20:26" s="1037" customFormat="1" ht="12.65" customHeight="1">
      <c r="T96" s="1517" t="s">
        <v>2689</v>
      </c>
      <c r="U96" s="1518" t="s">
        <v>3201</v>
      </c>
      <c r="V96" s="1517" t="str">
        <f t="shared" si="0"/>
        <v>LED 1 x 4 Linear Panel - LR700-P</v>
      </c>
      <c r="W96" s="1519"/>
      <c r="X96" s="1519"/>
      <c r="Y96" s="1520">
        <v>35</v>
      </c>
      <c r="Z96" s="1521">
        <v>60</v>
      </c>
    </row>
    <row r="97" spans="20:26" s="1037" customFormat="1" ht="12.65" customHeight="1">
      <c r="T97" s="1517" t="s">
        <v>2690</v>
      </c>
      <c r="U97" s="1518" t="s">
        <v>3202</v>
      </c>
      <c r="V97" s="1517" t="str">
        <f t="shared" si="0"/>
        <v>LED 2 x 4 Linear Panel - LR710</v>
      </c>
      <c r="W97" s="1519"/>
      <c r="X97" s="1519"/>
      <c r="Y97" s="1520">
        <v>50</v>
      </c>
      <c r="Z97" s="1521">
        <v>80</v>
      </c>
    </row>
    <row r="98" spans="20:26" s="1037" customFormat="1" ht="12.65" customHeight="1">
      <c r="T98" s="1517" t="s">
        <v>2691</v>
      </c>
      <c r="U98" s="1518" t="s">
        <v>3202</v>
      </c>
      <c r="V98" s="1517" t="str">
        <f t="shared" si="0"/>
        <v>LED 2 x 4 Linear Panel - LR710-P</v>
      </c>
      <c r="W98" s="1519"/>
      <c r="X98" s="1519"/>
      <c r="Y98" s="1520">
        <v>50</v>
      </c>
      <c r="Z98" s="1521">
        <v>80</v>
      </c>
    </row>
    <row r="99" spans="20:26" s="1037" customFormat="1" ht="12.65" customHeight="1">
      <c r="T99" s="1517" t="s">
        <v>2692</v>
      </c>
      <c r="U99" s="1518" t="s">
        <v>3203</v>
      </c>
      <c r="V99" s="1517" t="str">
        <f t="shared" si="0"/>
        <v>LED 2 x 2 Linear Panel - LR720</v>
      </c>
      <c r="W99" s="1519"/>
      <c r="X99" s="1519"/>
      <c r="Y99" s="1520">
        <v>35</v>
      </c>
      <c r="Z99" s="1521">
        <v>60</v>
      </c>
    </row>
    <row r="100" spans="20:26" s="1037" customFormat="1" ht="12.65" customHeight="1">
      <c r="T100" s="1517" t="s">
        <v>2693</v>
      </c>
      <c r="U100" s="1518" t="s">
        <v>3203</v>
      </c>
      <c r="V100" s="1517" t="str">
        <f t="shared" si="0"/>
        <v>LED 2 x 2 Linear Panel - LR720-P</v>
      </c>
      <c r="W100" s="1519"/>
      <c r="X100" s="1519"/>
      <c r="Y100" s="1520">
        <v>35</v>
      </c>
      <c r="Z100" s="1521">
        <v>60</v>
      </c>
    </row>
    <row r="101" spans="20:26" s="1037" customFormat="1" ht="12.65" customHeight="1">
      <c r="T101" s="1517" t="s">
        <v>2694</v>
      </c>
      <c r="U101" s="1518" t="s">
        <v>3204</v>
      </c>
      <c r="V101" s="1517" t="str">
        <f t="shared" si="0"/>
        <v>2' Linear Ambient LED Luminaire - LR732</v>
      </c>
      <c r="W101" s="1519"/>
      <c r="X101" s="1519"/>
      <c r="Y101" s="1520">
        <v>15</v>
      </c>
      <c r="Z101" s="1521">
        <v>25</v>
      </c>
    </row>
    <row r="102" spans="20:26" s="1037" customFormat="1" ht="12.65" customHeight="1">
      <c r="T102" s="1517" t="s">
        <v>2695</v>
      </c>
      <c r="U102" s="1518" t="s">
        <v>3204</v>
      </c>
      <c r="V102" s="1517" t="str">
        <f t="shared" si="0"/>
        <v>2' Linear Ambient LED Luminaire - LR732-P</v>
      </c>
      <c r="W102" s="1519"/>
      <c r="X102" s="1519"/>
      <c r="Y102" s="1520">
        <v>15</v>
      </c>
      <c r="Z102" s="1521">
        <v>25</v>
      </c>
    </row>
    <row r="103" spans="20:26" s="1037" customFormat="1" ht="12.65" customHeight="1">
      <c r="T103" s="1517" t="s">
        <v>2696</v>
      </c>
      <c r="U103" s="1518" t="s">
        <v>3205</v>
      </c>
      <c r="V103" s="1517" t="str">
        <f t="shared" si="0"/>
        <v>4' Linear Ambient LED Luminaire - LR734</v>
      </c>
      <c r="W103" s="1519"/>
      <c r="X103" s="1519"/>
      <c r="Y103" s="1520">
        <v>30</v>
      </c>
      <c r="Z103" s="1521">
        <v>50</v>
      </c>
    </row>
    <row r="104" spans="20:26" s="1037" customFormat="1" ht="12.65" customHeight="1">
      <c r="T104" s="1517" t="s">
        <v>2697</v>
      </c>
      <c r="U104" s="1518" t="s">
        <v>3205</v>
      </c>
      <c r="V104" s="1517" t="str">
        <f t="shared" si="0"/>
        <v>4' Linear Ambient LED Luminaire - LR734-P</v>
      </c>
      <c r="W104" s="1519"/>
      <c r="X104" s="1519"/>
      <c r="Y104" s="1520">
        <v>30</v>
      </c>
      <c r="Z104" s="1521">
        <v>50</v>
      </c>
    </row>
    <row r="105" spans="20:26" s="1037" customFormat="1" ht="12.65" customHeight="1">
      <c r="T105" s="1517" t="s">
        <v>2698</v>
      </c>
      <c r="U105" s="1518" t="s">
        <v>2847</v>
      </c>
      <c r="V105" s="1517" t="str">
        <f t="shared" si="0"/>
        <v>LED Two Foot Linear Replacements - LR742</v>
      </c>
      <c r="W105" s="1519"/>
      <c r="X105" s="1519"/>
      <c r="Y105" s="1520">
        <v>4</v>
      </c>
      <c r="Z105" s="1521">
        <v>6</v>
      </c>
    </row>
    <row r="106" spans="20:26" s="1037" customFormat="1" ht="12.65" customHeight="1">
      <c r="T106" s="1517" t="s">
        <v>2699</v>
      </c>
      <c r="U106" s="1518" t="s">
        <v>2848</v>
      </c>
      <c r="V106" s="1517" t="str">
        <f t="shared" si="0"/>
        <v>LED Four Foot Linear Replacements - LR744</v>
      </c>
      <c r="W106" s="1519"/>
      <c r="X106" s="1519"/>
      <c r="Y106" s="1520">
        <v>5</v>
      </c>
      <c r="Z106" s="1521">
        <v>8</v>
      </c>
    </row>
    <row r="107" spans="20:26" s="1037" customFormat="1" ht="12.65" customHeight="1">
      <c r="T107" s="1517" t="s">
        <v>2700</v>
      </c>
      <c r="U107" s="1518" t="s">
        <v>3206</v>
      </c>
      <c r="V107" s="1517" t="str">
        <f t="shared" si="0"/>
        <v>Retrofit Kits for 2x2 Luminaires - LR750</v>
      </c>
      <c r="W107" s="1519"/>
      <c r="X107" s="1519"/>
      <c r="Y107" s="1520">
        <v>30</v>
      </c>
      <c r="Z107" s="1521">
        <v>50</v>
      </c>
    </row>
    <row r="108" spans="20:26" s="1037" customFormat="1" ht="12.65" customHeight="1">
      <c r="T108" s="1517" t="s">
        <v>2701</v>
      </c>
      <c r="U108" s="1518" t="s">
        <v>3206</v>
      </c>
      <c r="V108" s="1517" t="str">
        <f t="shared" si="0"/>
        <v>Retrofit Kits for 2x2 Luminaires - LR750-P</v>
      </c>
      <c r="W108" s="1519"/>
      <c r="X108" s="1519"/>
      <c r="Y108" s="1520">
        <v>30</v>
      </c>
      <c r="Z108" s="1521">
        <v>50</v>
      </c>
    </row>
    <row r="109" spans="20:26" s="1037" customFormat="1" ht="12.65" customHeight="1">
      <c r="T109" s="1517" t="s">
        <v>2702</v>
      </c>
      <c r="U109" s="1518" t="s">
        <v>3207</v>
      </c>
      <c r="V109" s="1517" t="str">
        <f t="shared" si="0"/>
        <v>Retrofit Kits for 2x4 Luminaires - LR760</v>
      </c>
      <c r="W109" s="1519"/>
      <c r="X109" s="1519"/>
      <c r="Y109" s="1520">
        <v>35</v>
      </c>
      <c r="Z109" s="1521">
        <v>60</v>
      </c>
    </row>
    <row r="110" spans="20:26" s="1037" customFormat="1" ht="12.65" customHeight="1">
      <c r="T110" s="1517" t="s">
        <v>2703</v>
      </c>
      <c r="U110" s="1518" t="s">
        <v>3207</v>
      </c>
      <c r="V110" s="1517" t="str">
        <f t="shared" si="0"/>
        <v>Retrofit Kits for 2x4 Luminaires - LR760-P</v>
      </c>
      <c r="W110" s="1519"/>
      <c r="X110" s="1519"/>
      <c r="Y110" s="1520">
        <v>35</v>
      </c>
      <c r="Z110" s="1521">
        <v>60</v>
      </c>
    </row>
    <row r="111" spans="20:26" s="1037" customFormat="1" ht="12.65" customHeight="1">
      <c r="T111" s="1517" t="s">
        <v>2704</v>
      </c>
      <c r="U111" s="1518" t="s">
        <v>3208</v>
      </c>
      <c r="V111" s="1517" t="str">
        <f t="shared" si="0"/>
        <v>LED  Low Bay Fixtures - LR810</v>
      </c>
      <c r="W111" s="1519"/>
      <c r="X111" s="1519"/>
      <c r="Y111" s="1520">
        <v>30</v>
      </c>
      <c r="Z111" s="1521">
        <v>150</v>
      </c>
    </row>
    <row r="112" spans="20:26" s="1037" customFormat="1" ht="12.65" customHeight="1">
      <c r="T112" s="1517" t="s">
        <v>2705</v>
      </c>
      <c r="U112" s="1518" t="s">
        <v>3208</v>
      </c>
      <c r="V112" s="1517" t="str">
        <f t="shared" si="0"/>
        <v>LED  Low Bay Fixtures - LR810-P</v>
      </c>
      <c r="W112" s="1519"/>
      <c r="X112" s="1519"/>
      <c r="Y112" s="1520">
        <v>30</v>
      </c>
      <c r="Z112" s="1521">
        <v>150</v>
      </c>
    </row>
    <row r="113" spans="20:26" s="1037" customFormat="1" ht="12.65" customHeight="1">
      <c r="T113" s="1517" t="s">
        <v>2706</v>
      </c>
      <c r="U113" s="1518" t="s">
        <v>3209</v>
      </c>
      <c r="V113" s="1517" t="str">
        <f t="shared" si="0"/>
        <v>LED High Bay Fixtures - LR820</v>
      </c>
      <c r="W113" s="1519"/>
      <c r="X113" s="1519"/>
      <c r="Y113" s="1520">
        <v>100</v>
      </c>
      <c r="Z113" s="1521">
        <v>175</v>
      </c>
    </row>
    <row r="114" spans="20:26" s="1037" customFormat="1" ht="12.65" customHeight="1">
      <c r="T114" s="1517" t="s">
        <v>2707</v>
      </c>
      <c r="U114" s="1518" t="s">
        <v>3209</v>
      </c>
      <c r="V114" s="1517" t="str">
        <f t="shared" si="0"/>
        <v>LED High Bay Fixtures - LR820-P</v>
      </c>
      <c r="W114" s="1519"/>
      <c r="X114" s="1519"/>
      <c r="Y114" s="1520">
        <v>100</v>
      </c>
      <c r="Z114" s="1521">
        <v>175</v>
      </c>
    </row>
    <row r="115" spans="20:26" s="1037" customFormat="1" ht="12.65" customHeight="1">
      <c r="T115" s="1517" t="s">
        <v>5237</v>
      </c>
      <c r="U115" s="1518" t="s">
        <v>5241</v>
      </c>
      <c r="V115" s="1517" t="str">
        <f t="shared" si="0"/>
        <v>LED Eight Foot Linear Replacements - LR748</v>
      </c>
      <c r="W115" s="1519"/>
      <c r="X115" s="1519"/>
      <c r="Y115" s="1520">
        <v>8</v>
      </c>
      <c r="Z115" s="1521"/>
    </row>
    <row r="116" spans="20:26" s="1037" customFormat="1" ht="12.65" customHeight="1">
      <c r="T116" s="1517" t="s">
        <v>5238</v>
      </c>
      <c r="U116" s="1518" t="s">
        <v>5241</v>
      </c>
      <c r="V116" s="1517" t="str">
        <f t="shared" si="0"/>
        <v>LED Eight Foot Linear Replacements - LR748-P</v>
      </c>
      <c r="W116" s="1519"/>
      <c r="X116" s="1519"/>
      <c r="Y116" s="1520">
        <v>8</v>
      </c>
      <c r="Z116" s="1521"/>
    </row>
    <row r="117" spans="20:26" s="1037" customFormat="1" ht="12.65" customHeight="1">
      <c r="T117" s="1517" t="s">
        <v>5239</v>
      </c>
      <c r="U117" s="1518" t="s">
        <v>5242</v>
      </c>
      <c r="V117" s="1517" t="str">
        <f t="shared" si="0"/>
        <v>8' Linear Ambient LED Luminaire - LR738</v>
      </c>
      <c r="W117" s="1519"/>
      <c r="X117" s="1519"/>
      <c r="Y117" s="1520">
        <v>40</v>
      </c>
      <c r="Z117" s="1521"/>
    </row>
    <row r="118" spans="20:26" s="1037" customFormat="1" ht="12.65" customHeight="1">
      <c r="T118" s="1517" t="s">
        <v>5240</v>
      </c>
      <c r="U118" s="1518" t="s">
        <v>5242</v>
      </c>
      <c r="V118" s="1517" t="str">
        <f t="shared" si="0"/>
        <v>8' Linear Ambient LED Luminaire - LR738-P</v>
      </c>
      <c r="W118" s="1519"/>
      <c r="X118" s="1519"/>
      <c r="Y118" s="1520">
        <v>40</v>
      </c>
      <c r="Z118" s="1521"/>
    </row>
    <row r="119" spans="20:26" s="1037" customFormat="1" ht="12.65" customHeight="1">
      <c r="T119" s="1517" t="s">
        <v>2708</v>
      </c>
      <c r="U119" s="1518" t="s">
        <v>2835</v>
      </c>
      <c r="V119" s="1517" t="str">
        <f t="shared" si="0"/>
        <v>Refrigerated Case Lighting - RC101</v>
      </c>
      <c r="W119" s="1519"/>
      <c r="X119" s="1519"/>
      <c r="Y119" s="1520">
        <v>30</v>
      </c>
      <c r="Z119" s="1521">
        <v>50</v>
      </c>
    </row>
    <row r="120" spans="20:26" s="1037" customFormat="1" ht="12.65" customHeight="1">
      <c r="T120" s="1517" t="s">
        <v>2709</v>
      </c>
      <c r="U120" s="1518" t="s">
        <v>2835</v>
      </c>
      <c r="V120" s="1517" t="str">
        <f t="shared" si="0"/>
        <v>Refrigerated Case Lighting - RC101-P</v>
      </c>
      <c r="W120" s="1519"/>
      <c r="X120" s="1519"/>
      <c r="Y120" s="1520">
        <v>30</v>
      </c>
      <c r="Z120" s="1521">
        <v>50</v>
      </c>
    </row>
    <row r="121" spans="20:26" s="1037" customFormat="1" ht="12.65" customHeight="1">
      <c r="T121" s="1517" t="s">
        <v>2710</v>
      </c>
      <c r="U121" s="1518" t="s">
        <v>3210</v>
      </c>
      <c r="V121" s="1517" t="str">
        <f t="shared" si="0"/>
        <v>Wall Mounted  - LRC100</v>
      </c>
      <c r="W121" s="1519"/>
      <c r="X121" s="1519"/>
      <c r="Y121" s="1520">
        <v>10</v>
      </c>
      <c r="Z121" s="1521">
        <v>15</v>
      </c>
    </row>
    <row r="122" spans="20:26" s="1037" customFormat="1" ht="12.65" customHeight="1">
      <c r="T122" s="1517" t="s">
        <v>2711</v>
      </c>
      <c r="U122" s="1518" t="s">
        <v>3211</v>
      </c>
      <c r="V122" s="1517" t="str">
        <f t="shared" ref="V122:V160" si="1">U122&amp;" - "&amp;T122</f>
        <v>Ceiling/Remote Mounted  - LRC200</v>
      </c>
      <c r="W122" s="1519"/>
      <c r="X122" s="1519"/>
      <c r="Y122" s="1520">
        <v>20</v>
      </c>
      <c r="Z122" s="1521">
        <v>35</v>
      </c>
    </row>
    <row r="123" spans="20:26" s="1037" customFormat="1" ht="12.65" customHeight="1">
      <c r="T123" s="1517" t="s">
        <v>2712</v>
      </c>
      <c r="U123" s="1518" t="s">
        <v>3212</v>
      </c>
      <c r="V123" s="1517" t="str">
        <f t="shared" si="1"/>
        <v>Fixture mounted - LRC300</v>
      </c>
      <c r="W123" s="1519"/>
      <c r="X123" s="1519"/>
      <c r="Y123" s="1520">
        <v>20</v>
      </c>
      <c r="Z123" s="1521">
        <v>35</v>
      </c>
    </row>
    <row r="124" spans="20:26" s="1037" customFormat="1" ht="12.65" customHeight="1">
      <c r="T124" s="1517" t="s">
        <v>2713</v>
      </c>
      <c r="U124" s="1518" t="s">
        <v>3213</v>
      </c>
      <c r="V124" s="1517" t="str">
        <f t="shared" si="1"/>
        <v>Day lighting Controlled Dimming  - LRC400</v>
      </c>
      <c r="W124" s="1519"/>
      <c r="X124" s="1519"/>
      <c r="Y124" s="1520">
        <v>25</v>
      </c>
      <c r="Z124" s="1521">
        <v>40</v>
      </c>
    </row>
    <row r="125" spans="20:26" s="1037" customFormat="1" ht="12.65" customHeight="1">
      <c r="T125" s="1517" t="s">
        <v>2714</v>
      </c>
      <c r="U125" s="1522"/>
      <c r="V125" s="1517" t="str">
        <f t="shared" si="1"/>
        <v xml:space="preserve"> - LRC600</v>
      </c>
      <c r="W125" s="1523"/>
      <c r="X125" s="1523"/>
      <c r="Y125" s="1520">
        <v>25</v>
      </c>
      <c r="Z125" s="1521">
        <v>40</v>
      </c>
    </row>
    <row r="126" spans="20:26" s="1037" customFormat="1" ht="12.65" customHeight="1">
      <c r="T126" s="1517" t="s">
        <v>2715</v>
      </c>
      <c r="U126" s="1518" t="s">
        <v>3214</v>
      </c>
      <c r="V126" s="1517" t="str">
        <f t="shared" si="1"/>
        <v>Fixture mounted daylight  - LRC700</v>
      </c>
      <c r="W126" s="1519"/>
      <c r="X126" s="1519"/>
      <c r="Y126" s="1520">
        <v>20</v>
      </c>
      <c r="Z126" s="1524">
        <v>30</v>
      </c>
    </row>
    <row r="127" spans="20:26" ht="12.65" customHeight="1">
      <c r="T127" s="99" t="s">
        <v>2716</v>
      </c>
      <c r="U127" s="100" t="s">
        <v>2749</v>
      </c>
      <c r="V127" s="99" t="str">
        <f t="shared" si="1"/>
        <v>LED Interior Parking Garage Lighting Fixtures - SSLR100</v>
      </c>
      <c r="W127" s="732"/>
      <c r="X127" s="732"/>
      <c r="Y127" s="829">
        <v>160</v>
      </c>
      <c r="Z127" s="831">
        <v>90</v>
      </c>
    </row>
    <row r="128" spans="20:26" ht="12.65" customHeight="1">
      <c r="T128" s="99" t="s">
        <v>2717</v>
      </c>
      <c r="U128" s="100" t="s">
        <v>2749</v>
      </c>
      <c r="V128" s="99" t="str">
        <f t="shared" si="1"/>
        <v>LED Interior Parking Garage Lighting Fixtures - SSLR100-P</v>
      </c>
      <c r="W128" s="732"/>
      <c r="X128" s="732"/>
      <c r="Y128" s="829">
        <v>160</v>
      </c>
      <c r="Z128" s="831">
        <v>90</v>
      </c>
    </row>
    <row r="129" spans="20:26" ht="12.65" customHeight="1">
      <c r="T129" s="99" t="s">
        <v>2718</v>
      </c>
      <c r="U129" s="100" t="s">
        <v>2751</v>
      </c>
      <c r="V129" s="99" t="str">
        <f t="shared" si="1"/>
        <v>LED Lamps - SSLR410</v>
      </c>
      <c r="W129" s="732"/>
      <c r="X129" s="732"/>
      <c r="Y129" s="829">
        <v>6</v>
      </c>
      <c r="Z129" s="831">
        <v>5</v>
      </c>
    </row>
    <row r="130" spans="20:26" ht="12.65" customHeight="1">
      <c r="T130" s="99" t="s">
        <v>2719</v>
      </c>
      <c r="U130" s="100" t="s">
        <v>3198</v>
      </c>
      <c r="V130" s="99" t="str">
        <f t="shared" si="1"/>
        <v>LED Downlights &lt; 1,000 Lumens - SSLR600</v>
      </c>
      <c r="W130" s="732"/>
      <c r="X130" s="732"/>
      <c r="Y130" s="829">
        <v>60</v>
      </c>
      <c r="Z130" s="831">
        <v>20</v>
      </c>
    </row>
    <row r="131" spans="20:26" ht="12.65" customHeight="1">
      <c r="T131" s="99" t="s">
        <v>2720</v>
      </c>
      <c r="U131" s="100" t="s">
        <v>3199</v>
      </c>
      <c r="V131" s="99" t="str">
        <f t="shared" si="1"/>
        <v>LED Downlights &gt; 1,000 Lumens - SSLR610</v>
      </c>
      <c r="W131" s="732"/>
      <c r="X131" s="732"/>
      <c r="Y131" s="829">
        <v>60</v>
      </c>
      <c r="Z131" s="831">
        <v>20</v>
      </c>
    </row>
    <row r="132" spans="20:26" ht="12.65" customHeight="1">
      <c r="T132" s="99" t="s">
        <v>2721</v>
      </c>
      <c r="U132" s="100" t="s">
        <v>3200</v>
      </c>
      <c r="V132" s="99" t="str">
        <f t="shared" si="1"/>
        <v>Recessed LED Retrofit Kits - SSLR620</v>
      </c>
      <c r="W132" s="732"/>
      <c r="X132" s="732"/>
      <c r="Y132" s="829">
        <v>35</v>
      </c>
      <c r="Z132" s="831">
        <v>25</v>
      </c>
    </row>
    <row r="133" spans="20:26" ht="12.65" customHeight="1">
      <c r="T133" s="99" t="s">
        <v>2722</v>
      </c>
      <c r="U133" s="100" t="s">
        <v>3201</v>
      </c>
      <c r="V133" s="99" t="str">
        <f t="shared" si="1"/>
        <v>LED 1 x 4 Linear Panel - SSLR700</v>
      </c>
      <c r="W133" s="732"/>
      <c r="X133" s="732"/>
      <c r="Y133" s="829">
        <v>60</v>
      </c>
      <c r="Z133" s="831">
        <v>40</v>
      </c>
    </row>
    <row r="134" spans="20:26" ht="12.65" customHeight="1">
      <c r="T134" s="99" t="s">
        <v>2723</v>
      </c>
      <c r="U134" s="100" t="s">
        <v>3201</v>
      </c>
      <c r="V134" s="99" t="str">
        <f t="shared" si="1"/>
        <v>LED 1 x 4 Linear Panel - SSLR700-P</v>
      </c>
      <c r="W134" s="732"/>
      <c r="X134" s="732"/>
      <c r="Y134" s="829">
        <v>60</v>
      </c>
      <c r="Z134" s="831">
        <v>40</v>
      </c>
    </row>
    <row r="135" spans="20:26" ht="12.65" customHeight="1">
      <c r="T135" s="99" t="s">
        <v>2724</v>
      </c>
      <c r="U135" s="100" t="s">
        <v>3202</v>
      </c>
      <c r="V135" s="99" t="str">
        <f t="shared" si="1"/>
        <v>LED 2 x 4 Linear Panel - SSLR710</v>
      </c>
      <c r="W135" s="732"/>
      <c r="X135" s="732"/>
      <c r="Y135" s="829">
        <v>80</v>
      </c>
      <c r="Z135" s="831">
        <v>40</v>
      </c>
    </row>
    <row r="136" spans="20:26" ht="12.65" customHeight="1">
      <c r="T136" s="99" t="s">
        <v>2725</v>
      </c>
      <c r="U136" s="100" t="s">
        <v>3202</v>
      </c>
      <c r="V136" s="99" t="str">
        <f t="shared" si="1"/>
        <v>LED 2 x 4 Linear Panel - SSLR710-P</v>
      </c>
      <c r="W136" s="732"/>
      <c r="X136" s="732"/>
      <c r="Y136" s="829">
        <v>80</v>
      </c>
      <c r="Z136" s="831">
        <v>40</v>
      </c>
    </row>
    <row r="137" spans="20:26" ht="12.65" customHeight="1">
      <c r="T137" s="99" t="s">
        <v>2726</v>
      </c>
      <c r="U137" s="100" t="s">
        <v>3203</v>
      </c>
      <c r="V137" s="99" t="str">
        <f t="shared" si="1"/>
        <v>LED 2 x 2 Linear Panel - SSLR720</v>
      </c>
      <c r="W137" s="732"/>
      <c r="X137" s="732"/>
      <c r="Y137" s="829">
        <v>60</v>
      </c>
      <c r="Z137" s="831">
        <v>40</v>
      </c>
    </row>
    <row r="138" spans="20:26" ht="12.65" customHeight="1">
      <c r="T138" s="99" t="s">
        <v>2727</v>
      </c>
      <c r="U138" s="100" t="s">
        <v>3203</v>
      </c>
      <c r="V138" s="99" t="str">
        <f t="shared" si="1"/>
        <v>LED 2 x 2 Linear Panel - SSLR720-P</v>
      </c>
      <c r="W138" s="732"/>
      <c r="X138" s="732"/>
      <c r="Y138" s="829">
        <v>60</v>
      </c>
      <c r="Z138" s="831">
        <v>40</v>
      </c>
    </row>
    <row r="139" spans="20:26" ht="12.65" customHeight="1">
      <c r="T139" s="99" t="s">
        <v>2728</v>
      </c>
      <c r="U139" s="100" t="s">
        <v>3204</v>
      </c>
      <c r="V139" s="99" t="str">
        <f t="shared" si="1"/>
        <v>2' Linear Ambient LED Luminaire - SSLR732</v>
      </c>
      <c r="W139" s="732"/>
      <c r="X139" s="732"/>
      <c r="Y139" s="829">
        <v>25</v>
      </c>
      <c r="Z139" s="831">
        <v>40</v>
      </c>
    </row>
    <row r="140" spans="20:26" ht="12.65" customHeight="1">
      <c r="T140" s="99" t="s">
        <v>2729</v>
      </c>
      <c r="U140" s="100" t="s">
        <v>3204</v>
      </c>
      <c r="V140" s="99" t="str">
        <f t="shared" si="1"/>
        <v>2' Linear Ambient LED Luminaire - SSLR732-P</v>
      </c>
      <c r="W140" s="732"/>
      <c r="X140" s="732"/>
      <c r="Y140" s="829">
        <v>25</v>
      </c>
      <c r="Z140" s="831">
        <v>40</v>
      </c>
    </row>
    <row r="141" spans="20:26" ht="12.65" customHeight="1">
      <c r="T141" s="99" t="s">
        <v>2730</v>
      </c>
      <c r="U141" s="100" t="s">
        <v>3205</v>
      </c>
      <c r="V141" s="99" t="str">
        <f t="shared" si="1"/>
        <v>4' Linear Ambient LED Luminaire - SSLR734</v>
      </c>
      <c r="W141" s="732"/>
      <c r="X141" s="732"/>
      <c r="Y141" s="829">
        <v>50</v>
      </c>
      <c r="Z141" s="831">
        <v>40</v>
      </c>
    </row>
    <row r="142" spans="20:26" ht="12.65" customHeight="1">
      <c r="T142" s="99" t="s">
        <v>2731</v>
      </c>
      <c r="U142" s="100" t="s">
        <v>3205</v>
      </c>
      <c r="V142" s="99" t="str">
        <f t="shared" si="1"/>
        <v>4' Linear Ambient LED Luminaire - SSLR734-P</v>
      </c>
      <c r="W142" s="732"/>
      <c r="X142" s="732"/>
      <c r="Y142" s="829">
        <v>50</v>
      </c>
      <c r="Z142" s="831">
        <v>40</v>
      </c>
    </row>
    <row r="143" spans="20:26" ht="12.65" customHeight="1">
      <c r="T143" s="99" t="s">
        <v>2732</v>
      </c>
      <c r="U143" s="100" t="s">
        <v>2847</v>
      </c>
      <c r="V143" s="99" t="str">
        <f t="shared" si="1"/>
        <v>LED Two Foot Linear Replacements - SSLR742</v>
      </c>
      <c r="W143" s="732"/>
      <c r="X143" s="732"/>
      <c r="Y143" s="829">
        <v>6</v>
      </c>
      <c r="Z143" s="831">
        <v>6</v>
      </c>
    </row>
    <row r="144" spans="20:26" ht="12.65" customHeight="1">
      <c r="T144" s="99" t="s">
        <v>2733</v>
      </c>
      <c r="U144" s="100" t="s">
        <v>2848</v>
      </c>
      <c r="V144" s="99" t="str">
        <f t="shared" si="1"/>
        <v>LED Four Foot Linear Replacements - SSLR744</v>
      </c>
      <c r="W144" s="732"/>
      <c r="X144" s="732"/>
      <c r="Y144" s="829">
        <v>8</v>
      </c>
      <c r="Z144" s="831">
        <v>6</v>
      </c>
    </row>
    <row r="145" spans="20:26" ht="12.65" customHeight="1">
      <c r="T145" s="99" t="s">
        <v>2734</v>
      </c>
      <c r="U145" s="100" t="s">
        <v>3206</v>
      </c>
      <c r="V145" s="99" t="str">
        <f t="shared" si="1"/>
        <v>Retrofit Kits for 2x2 Luminaires - SSLR750</v>
      </c>
      <c r="W145" s="732"/>
      <c r="X145" s="732"/>
      <c r="Y145" s="829">
        <v>50</v>
      </c>
      <c r="Z145" s="831">
        <v>40</v>
      </c>
    </row>
    <row r="146" spans="20:26" ht="12.65" customHeight="1">
      <c r="T146" s="99" t="s">
        <v>2735</v>
      </c>
      <c r="U146" s="100" t="s">
        <v>3206</v>
      </c>
      <c r="V146" s="99" t="str">
        <f t="shared" si="1"/>
        <v>Retrofit Kits for 2x2 Luminaires - SSLR750-P</v>
      </c>
      <c r="W146" s="732"/>
      <c r="X146" s="732"/>
      <c r="Y146" s="829">
        <v>50</v>
      </c>
      <c r="Z146" s="831">
        <v>40</v>
      </c>
    </row>
    <row r="147" spans="20:26" ht="12.65" customHeight="1">
      <c r="T147" s="99" t="s">
        <v>2736</v>
      </c>
      <c r="U147" s="100" t="s">
        <v>3207</v>
      </c>
      <c r="V147" s="99" t="str">
        <f t="shared" si="1"/>
        <v>Retrofit Kits for 2x4 Luminaires - SSLR760</v>
      </c>
      <c r="W147" s="732"/>
      <c r="X147" s="732"/>
      <c r="Y147" s="829">
        <v>60</v>
      </c>
      <c r="Z147" s="831">
        <v>40</v>
      </c>
    </row>
    <row r="148" spans="20:26" ht="12.65" customHeight="1">
      <c r="T148" s="99" t="s">
        <v>2737</v>
      </c>
      <c r="U148" s="100" t="s">
        <v>3207</v>
      </c>
      <c r="V148" s="99" t="str">
        <f t="shared" si="1"/>
        <v>Retrofit Kits for 2x4 Luminaires - SSLR760-P</v>
      </c>
      <c r="W148" s="732"/>
      <c r="X148" s="732"/>
      <c r="Y148" s="829">
        <v>60</v>
      </c>
      <c r="Z148" s="831">
        <v>40</v>
      </c>
    </row>
    <row r="149" spans="20:26" ht="12.65" customHeight="1">
      <c r="T149" s="99" t="s">
        <v>2738</v>
      </c>
      <c r="U149" s="100" t="s">
        <v>3208</v>
      </c>
      <c r="V149" s="99" t="str">
        <f t="shared" si="1"/>
        <v>LED  Low Bay Fixtures - SSLR810</v>
      </c>
      <c r="W149" s="732"/>
      <c r="X149" s="732"/>
      <c r="Y149" s="829">
        <v>150</v>
      </c>
      <c r="Z149" s="831">
        <v>75</v>
      </c>
    </row>
    <row r="150" spans="20:26" ht="12.65" customHeight="1">
      <c r="T150" s="99" t="s">
        <v>2739</v>
      </c>
      <c r="U150" s="100" t="s">
        <v>3208</v>
      </c>
      <c r="V150" s="99" t="str">
        <f t="shared" si="1"/>
        <v>LED  Low Bay Fixtures - SSLR810-P</v>
      </c>
      <c r="W150" s="732"/>
      <c r="X150" s="732"/>
      <c r="Y150" s="829">
        <v>150</v>
      </c>
      <c r="Z150" s="831">
        <v>75</v>
      </c>
    </row>
    <row r="151" spans="20:26" ht="12.65" customHeight="1">
      <c r="T151" s="99" t="s">
        <v>2740</v>
      </c>
      <c r="U151" s="100" t="s">
        <v>3209</v>
      </c>
      <c r="V151" s="99" t="str">
        <f t="shared" si="1"/>
        <v>LED High Bay Fixtures - SSLR820</v>
      </c>
      <c r="W151" s="732"/>
      <c r="X151" s="732"/>
      <c r="Y151" s="829">
        <v>175</v>
      </c>
      <c r="Z151" s="831">
        <v>100</v>
      </c>
    </row>
    <row r="152" spans="20:26" ht="12.65" customHeight="1">
      <c r="T152" s="99" t="s">
        <v>2741</v>
      </c>
      <c r="U152" s="100" t="s">
        <v>3209</v>
      </c>
      <c r="V152" s="99" t="str">
        <f t="shared" si="1"/>
        <v>LED High Bay Fixtures - SSLR820-P</v>
      </c>
      <c r="W152" s="732"/>
      <c r="X152" s="732"/>
      <c r="Y152" s="829">
        <v>175</v>
      </c>
      <c r="Z152" s="831">
        <v>100</v>
      </c>
    </row>
    <row r="153" spans="20:26" ht="12.65" customHeight="1">
      <c r="T153" s="99" t="s">
        <v>2708</v>
      </c>
      <c r="U153" s="100" t="s">
        <v>2835</v>
      </c>
      <c r="V153" s="99" t="str">
        <f t="shared" si="1"/>
        <v>Refrigerated Case Lighting - RC101</v>
      </c>
      <c r="W153" s="732"/>
      <c r="X153" s="732"/>
      <c r="Y153" s="829">
        <v>50</v>
      </c>
      <c r="Z153" s="831">
        <v>0</v>
      </c>
    </row>
    <row r="154" spans="20:26" ht="12.65" customHeight="1">
      <c r="T154" s="99" t="s">
        <v>2709</v>
      </c>
      <c r="U154" s="100" t="s">
        <v>2835</v>
      </c>
      <c r="V154" s="99" t="str">
        <f t="shared" si="1"/>
        <v>Refrigerated Case Lighting - RC101-P</v>
      </c>
      <c r="W154" s="732"/>
      <c r="X154" s="732"/>
      <c r="Y154" s="829">
        <v>50</v>
      </c>
      <c r="Z154" s="831">
        <v>0</v>
      </c>
    </row>
    <row r="155" spans="20:26" ht="12.65" customHeight="1">
      <c r="T155" s="99" t="s">
        <v>2742</v>
      </c>
      <c r="U155" s="100" t="s">
        <v>3210</v>
      </c>
      <c r="V155" s="99" t="str">
        <f t="shared" si="1"/>
        <v>Wall Mounted  - SSLRC100</v>
      </c>
      <c r="W155" s="732"/>
      <c r="X155" s="732"/>
      <c r="Y155" s="829">
        <v>15</v>
      </c>
      <c r="Z155" s="831">
        <v>0</v>
      </c>
    </row>
    <row r="156" spans="20:26" ht="12.65" customHeight="1">
      <c r="T156" s="99" t="s">
        <v>2743</v>
      </c>
      <c r="U156" s="100" t="s">
        <v>3211</v>
      </c>
      <c r="V156" s="99" t="str">
        <f t="shared" si="1"/>
        <v>Ceiling/Remote Mounted  - SSLRC200</v>
      </c>
      <c r="W156" s="732"/>
      <c r="X156" s="732"/>
      <c r="Y156" s="829">
        <v>35</v>
      </c>
      <c r="Z156" s="831">
        <v>0</v>
      </c>
    </row>
    <row r="157" spans="20:26" ht="12.65" customHeight="1">
      <c r="T157" s="99" t="s">
        <v>2744</v>
      </c>
      <c r="U157" s="100" t="s">
        <v>3212</v>
      </c>
      <c r="V157" s="99" t="str">
        <f t="shared" si="1"/>
        <v>Fixture mounted - SSLRC300</v>
      </c>
      <c r="W157" s="732"/>
      <c r="X157" s="732"/>
      <c r="Y157" s="829">
        <v>35</v>
      </c>
      <c r="Z157" s="831">
        <v>0</v>
      </c>
    </row>
    <row r="158" spans="20:26" ht="12.65" customHeight="1">
      <c r="T158" s="99" t="s">
        <v>2745</v>
      </c>
      <c r="U158" s="100" t="s">
        <v>3213</v>
      </c>
      <c r="V158" s="99" t="str">
        <f t="shared" si="1"/>
        <v>Day lighting Controlled Dimming  - SSLRC400</v>
      </c>
      <c r="W158" s="732"/>
      <c r="X158" s="732"/>
      <c r="Y158" s="829">
        <v>40</v>
      </c>
      <c r="Z158" s="831">
        <v>0</v>
      </c>
    </row>
    <row r="159" spans="20:26" ht="12.65" customHeight="1">
      <c r="T159" s="99" t="s">
        <v>3215</v>
      </c>
      <c r="U159" s="822"/>
      <c r="V159" s="99" t="str">
        <f t="shared" si="1"/>
        <v xml:space="preserve"> - SSLRC600</v>
      </c>
      <c r="W159" s="794"/>
      <c r="X159" s="794"/>
      <c r="Y159" s="829">
        <v>40</v>
      </c>
      <c r="Z159" s="831">
        <v>0</v>
      </c>
    </row>
    <row r="160" spans="20:26" ht="12.65" customHeight="1">
      <c r="T160" s="101" t="s">
        <v>2746</v>
      </c>
      <c r="U160" s="102" t="s">
        <v>3214</v>
      </c>
      <c r="V160" s="101" t="str">
        <f t="shared" si="1"/>
        <v>Fixture mounted daylight  - SSLRC700</v>
      </c>
      <c r="W160" s="746"/>
      <c r="X160" s="746"/>
      <c r="Y160" s="830">
        <v>30</v>
      </c>
      <c r="Z160" s="832">
        <v>0</v>
      </c>
    </row>
    <row r="161" spans="20:27" ht="12.65" customHeight="1">
      <c r="T161"/>
      <c r="U161"/>
      <c r="V161"/>
      <c r="W161"/>
      <c r="X161"/>
    </row>
    <row r="162" spans="20:27" ht="12.65" customHeight="1">
      <c r="T162"/>
      <c r="U162"/>
      <c r="V162"/>
      <c r="W162"/>
      <c r="X162"/>
    </row>
    <row r="163" spans="20:27" ht="12.65" customHeight="1">
      <c r="T163"/>
      <c r="U163"/>
      <c r="V163"/>
      <c r="W163"/>
      <c r="X163"/>
    </row>
    <row r="164" spans="20:27" ht="12.65" customHeight="1">
      <c r="T164" s="732"/>
      <c r="U164" s="732"/>
      <c r="V164" s="732"/>
      <c r="W164" s="732"/>
      <c r="X164" s="732"/>
    </row>
    <row r="165" spans="20:27" ht="12.65" customHeight="1">
      <c r="T165" s="794"/>
      <c r="U165" s="794"/>
      <c r="V165" s="794"/>
      <c r="W165" s="794"/>
      <c r="X165" s="794"/>
    </row>
    <row r="166" spans="20:27" ht="12.65" customHeight="1">
      <c r="T166" s="823"/>
      <c r="U166" s="823"/>
      <c r="V166" s="823"/>
      <c r="W166" s="823"/>
      <c r="X166" s="823"/>
      <c r="Y166" s="823"/>
      <c r="Z166" s="823"/>
      <c r="AA166" s="823"/>
    </row>
    <row r="167" spans="20:27" ht="12.65" customHeight="1">
      <c r="T167" s="826"/>
      <c r="U167" s="826"/>
      <c r="V167" s="826"/>
      <c r="W167" s="826"/>
      <c r="X167" s="826"/>
      <c r="Y167" s="826"/>
      <c r="Z167" s="826"/>
      <c r="AA167" s="826"/>
    </row>
    <row r="168" spans="20:27" ht="12.65" customHeight="1">
      <c r="T168"/>
      <c r="U168"/>
      <c r="V168"/>
      <c r="W168"/>
      <c r="X168"/>
      <c r="Y168" s="100"/>
    </row>
    <row r="169" spans="20:27" ht="12.65" customHeight="1">
      <c r="T169"/>
      <c r="U169"/>
      <c r="V169"/>
      <c r="W169"/>
      <c r="X169"/>
      <c r="Y169" s="100"/>
    </row>
    <row r="170" spans="20:27" ht="12.65" customHeight="1">
      <c r="T170"/>
      <c r="U170"/>
      <c r="V170"/>
      <c r="W170"/>
      <c r="X170"/>
      <c r="Y170" s="100"/>
    </row>
    <row r="171" spans="20:27" ht="12.65" customHeight="1">
      <c r="T171"/>
      <c r="U171"/>
      <c r="V171"/>
      <c r="W171"/>
      <c r="X171"/>
      <c r="Y171" s="100"/>
    </row>
    <row r="172" spans="20:27" ht="12.65" customHeight="1">
      <c r="T172"/>
      <c r="U172"/>
      <c r="V172"/>
      <c r="W172"/>
      <c r="X172"/>
      <c r="Y172" s="100"/>
    </row>
    <row r="173" spans="20:27" ht="12.65" customHeight="1">
      <c r="T173"/>
      <c r="U173"/>
      <c r="V173"/>
      <c r="W173"/>
      <c r="X173"/>
      <c r="Y173" s="100"/>
    </row>
    <row r="174" spans="20:27" ht="12.65" customHeight="1">
      <c r="T174"/>
      <c r="U174"/>
      <c r="V174"/>
      <c r="W174"/>
      <c r="X174"/>
      <c r="Y174" s="100"/>
    </row>
    <row r="175" spans="20:27" ht="12.65" customHeight="1">
      <c r="T175"/>
      <c r="U175"/>
      <c r="V175"/>
      <c r="W175"/>
      <c r="X175"/>
      <c r="Y175" s="100"/>
    </row>
    <row r="176" spans="20:27" ht="12.65" customHeight="1">
      <c r="T176"/>
      <c r="U176"/>
      <c r="V176"/>
      <c r="W176"/>
      <c r="X176"/>
      <c r="Y176" s="100"/>
    </row>
    <row r="177" spans="20:25" ht="12.65" customHeight="1">
      <c r="T177"/>
      <c r="U177"/>
      <c r="V177"/>
      <c r="W177"/>
      <c r="X177"/>
      <c r="Y177" s="100"/>
    </row>
    <row r="178" spans="20:25" ht="12.65" customHeight="1">
      <c r="T178"/>
      <c r="U178"/>
      <c r="V178"/>
      <c r="W178"/>
      <c r="X178"/>
      <c r="Y178" s="100"/>
    </row>
    <row r="179" spans="20:25" ht="12.65" customHeight="1">
      <c r="T179"/>
      <c r="U179"/>
      <c r="V179"/>
      <c r="W179"/>
      <c r="X179"/>
      <c r="Y179" s="100"/>
    </row>
    <row r="180" spans="20:25" ht="12.65" customHeight="1">
      <c r="T180"/>
      <c r="U180"/>
      <c r="V180"/>
      <c r="W180"/>
      <c r="X180"/>
      <c r="Y180" s="100"/>
    </row>
    <row r="181" spans="20:25" ht="12.65" customHeight="1">
      <c r="T181"/>
      <c r="U181"/>
      <c r="V181"/>
      <c r="W181"/>
      <c r="X181"/>
      <c r="Y181" s="100"/>
    </row>
    <row r="182" spans="20:25" ht="12.65" customHeight="1">
      <c r="T182"/>
      <c r="U182"/>
      <c r="V182"/>
      <c r="W182"/>
      <c r="X182"/>
      <c r="Y182" s="100"/>
    </row>
    <row r="183" spans="20:25" ht="12.65" customHeight="1">
      <c r="T183"/>
      <c r="U183"/>
      <c r="V183"/>
      <c r="W183"/>
      <c r="X183"/>
      <c r="Y183" s="100"/>
    </row>
    <row r="184" spans="20:25" ht="12.65" customHeight="1">
      <c r="T184"/>
      <c r="U184"/>
      <c r="V184"/>
      <c r="W184"/>
      <c r="X184"/>
      <c r="Y184" s="100"/>
    </row>
    <row r="185" spans="20:25" ht="12.65" customHeight="1">
      <c r="T185"/>
      <c r="U185"/>
      <c r="V185"/>
      <c r="W185"/>
      <c r="X185"/>
      <c r="Y185" s="100"/>
    </row>
    <row r="186" spans="20:25" ht="12.65" customHeight="1">
      <c r="T186"/>
      <c r="U186"/>
      <c r="V186"/>
      <c r="W186"/>
      <c r="X186"/>
      <c r="Y186" s="100"/>
    </row>
    <row r="187" spans="20:25" ht="12.65" customHeight="1">
      <c r="T187"/>
      <c r="U187"/>
      <c r="V187"/>
      <c r="W187"/>
      <c r="X187"/>
      <c r="Y187" s="100"/>
    </row>
    <row r="188" spans="20:25" ht="12.65" customHeight="1">
      <c r="T188"/>
      <c r="U188"/>
      <c r="V188"/>
      <c r="W188"/>
      <c r="X188"/>
      <c r="Y188" s="100"/>
    </row>
    <row r="189" spans="20:25" ht="12.65" customHeight="1">
      <c r="T189"/>
      <c r="U189"/>
      <c r="V189"/>
      <c r="W189"/>
      <c r="X189"/>
      <c r="Y189" s="100"/>
    </row>
    <row r="190" spans="20:25" ht="12.65" customHeight="1">
      <c r="T190"/>
      <c r="U190"/>
      <c r="V190"/>
      <c r="W190"/>
      <c r="X190"/>
      <c r="Y190" s="100"/>
    </row>
    <row r="191" spans="20:25" ht="12.65" customHeight="1">
      <c r="T191"/>
      <c r="U191"/>
      <c r="V191"/>
      <c r="W191"/>
      <c r="X191"/>
      <c r="Y191" s="100"/>
    </row>
    <row r="192" spans="20:25" ht="12.65" customHeight="1">
      <c r="T192"/>
      <c r="U192"/>
      <c r="V192"/>
      <c r="W192"/>
      <c r="X192"/>
      <c r="Y192" s="100"/>
    </row>
    <row r="193" spans="20:25" ht="12.65" customHeight="1">
      <c r="T193"/>
      <c r="U193"/>
      <c r="V193"/>
      <c r="W193"/>
      <c r="X193"/>
      <c r="Y193" s="100"/>
    </row>
    <row r="194" spans="20:25" ht="12.65" customHeight="1">
      <c r="T194"/>
      <c r="U194"/>
      <c r="V194"/>
      <c r="W194"/>
      <c r="X194"/>
      <c r="Y194" s="100"/>
    </row>
    <row r="195" spans="20:25" ht="12.65" customHeight="1">
      <c r="T195"/>
      <c r="U195"/>
      <c r="V195"/>
      <c r="W195"/>
      <c r="X195"/>
      <c r="Y195" s="100"/>
    </row>
    <row r="196" spans="20:25" ht="12.65" customHeight="1">
      <c r="T196"/>
      <c r="U196"/>
      <c r="V196"/>
      <c r="W196"/>
      <c r="X196"/>
      <c r="Y196" s="100"/>
    </row>
    <row r="197" spans="20:25" ht="12.65" customHeight="1">
      <c r="T197"/>
      <c r="U197"/>
      <c r="V197"/>
      <c r="W197"/>
      <c r="X197"/>
      <c r="Y197" s="100"/>
    </row>
    <row r="198" spans="20:25" ht="12.65" customHeight="1">
      <c r="T198"/>
      <c r="U198"/>
      <c r="V198"/>
      <c r="W198"/>
      <c r="X198"/>
      <c r="Y198" s="100"/>
    </row>
    <row r="199" spans="20:25" ht="12.65" customHeight="1">
      <c r="T199"/>
      <c r="U199"/>
      <c r="V199"/>
      <c r="W199"/>
      <c r="X199"/>
      <c r="Y199" s="100"/>
    </row>
    <row r="200" spans="20:25" ht="12.65" customHeight="1">
      <c r="T200"/>
      <c r="U200"/>
      <c r="V200"/>
      <c r="W200"/>
      <c r="X200"/>
      <c r="Y200" s="100"/>
    </row>
    <row r="201" spans="20:25" ht="12.65" customHeight="1">
      <c r="T201"/>
      <c r="U201"/>
      <c r="V201"/>
      <c r="W201"/>
      <c r="X201"/>
      <c r="Y201" s="100"/>
    </row>
    <row r="202" spans="20:25" ht="12.65" customHeight="1">
      <c r="T202"/>
      <c r="U202"/>
      <c r="V202"/>
      <c r="W202"/>
      <c r="X202"/>
      <c r="Y202" s="100"/>
    </row>
    <row r="203" spans="20:25" ht="12.65" customHeight="1">
      <c r="T203"/>
      <c r="U203"/>
      <c r="V203"/>
      <c r="W203"/>
      <c r="X203"/>
      <c r="Y203" s="100"/>
    </row>
    <row r="204" spans="20:25" ht="12.65" customHeight="1">
      <c r="T204"/>
      <c r="U204"/>
      <c r="V204"/>
      <c r="W204"/>
      <c r="X204"/>
      <c r="Y204" s="100"/>
    </row>
    <row r="205" spans="20:25" ht="12.65" customHeight="1">
      <c r="T205"/>
      <c r="U205"/>
      <c r="V205"/>
      <c r="W205"/>
      <c r="X205"/>
      <c r="Y205" s="100"/>
    </row>
    <row r="206" spans="20:25" ht="12.65" customHeight="1">
      <c r="T206"/>
      <c r="U206"/>
      <c r="V206"/>
      <c r="W206"/>
      <c r="X206"/>
      <c r="Y206" s="100"/>
    </row>
    <row r="207" spans="20:25" ht="12.65" customHeight="1">
      <c r="T207"/>
      <c r="U207"/>
      <c r="V207"/>
      <c r="W207"/>
      <c r="X207"/>
      <c r="Y207" s="100"/>
    </row>
    <row r="208" spans="20:25" ht="12.65" customHeight="1">
      <c r="T208"/>
      <c r="U208"/>
      <c r="V208"/>
      <c r="W208"/>
      <c r="X208"/>
      <c r="Y208" s="100"/>
    </row>
    <row r="209" spans="20:25" ht="12.65" customHeight="1">
      <c r="T209"/>
      <c r="U209"/>
      <c r="V209"/>
      <c r="W209"/>
      <c r="X209"/>
      <c r="Y209" s="100"/>
    </row>
    <row r="210" spans="20:25" ht="12.65" customHeight="1">
      <c r="T210"/>
      <c r="U210"/>
      <c r="V210"/>
      <c r="W210"/>
      <c r="X210"/>
      <c r="Y210" s="100"/>
    </row>
    <row r="211" spans="20:25" ht="12.65" customHeight="1">
      <c r="T211"/>
      <c r="U211"/>
      <c r="V211"/>
      <c r="W211"/>
      <c r="X211"/>
      <c r="Y211" s="100"/>
    </row>
    <row r="212" spans="20:25" ht="12.65" customHeight="1">
      <c r="T212"/>
      <c r="U212"/>
      <c r="V212"/>
      <c r="W212"/>
      <c r="X212"/>
      <c r="Y212" s="100"/>
    </row>
    <row r="213" spans="20:25" ht="12.65" customHeight="1">
      <c r="T213"/>
      <c r="U213"/>
      <c r="V213"/>
      <c r="W213"/>
      <c r="X213"/>
      <c r="Y213" s="100"/>
    </row>
    <row r="214" spans="20:25" ht="12.65" customHeight="1">
      <c r="T214"/>
      <c r="U214"/>
      <c r="V214"/>
      <c r="W214"/>
      <c r="X214"/>
      <c r="Y214" s="100"/>
    </row>
    <row r="215" spans="20:25" ht="12.65" customHeight="1">
      <c r="T215"/>
      <c r="U215"/>
      <c r="V215"/>
      <c r="W215"/>
      <c r="X215"/>
      <c r="Y215" s="100"/>
    </row>
    <row r="216" spans="20:25" ht="12.65" customHeight="1">
      <c r="T216"/>
      <c r="U216"/>
      <c r="V216"/>
      <c r="W216"/>
      <c r="X216"/>
      <c r="Y216" s="100"/>
    </row>
    <row r="217" spans="20:25" ht="12.65" customHeight="1">
      <c r="T217"/>
      <c r="U217"/>
      <c r="V217"/>
      <c r="W217"/>
      <c r="X217"/>
      <c r="Y217" s="100"/>
    </row>
    <row r="218" spans="20:25" ht="12.65" customHeight="1">
      <c r="T218"/>
      <c r="U218"/>
      <c r="V218"/>
      <c r="W218"/>
      <c r="X218"/>
      <c r="Y218" s="100"/>
    </row>
    <row r="219" spans="20:25" ht="12.65" customHeight="1">
      <c r="T219"/>
      <c r="U219"/>
      <c r="V219"/>
      <c r="W219"/>
      <c r="X219"/>
      <c r="Y219" s="100"/>
    </row>
    <row r="220" spans="20:25" ht="12.65" customHeight="1">
      <c r="T220"/>
      <c r="U220"/>
      <c r="V220"/>
      <c r="W220"/>
      <c r="X220"/>
      <c r="Y220" s="100"/>
    </row>
    <row r="221" spans="20:25" ht="12.65" customHeight="1">
      <c r="T221"/>
      <c r="U221"/>
      <c r="V221"/>
      <c r="W221"/>
      <c r="X221"/>
      <c r="Y221" s="100"/>
    </row>
    <row r="222" spans="20:25" ht="12.65" customHeight="1">
      <c r="T222"/>
      <c r="U222"/>
      <c r="V222"/>
      <c r="W222"/>
      <c r="X222"/>
      <c r="Y222" s="100"/>
    </row>
    <row r="223" spans="20:25" ht="12.65" customHeight="1">
      <c r="T223"/>
      <c r="U223"/>
      <c r="V223"/>
      <c r="W223"/>
      <c r="X223"/>
      <c r="Y223" s="100"/>
    </row>
    <row r="224" spans="20:25" ht="12.65" customHeight="1">
      <c r="T224"/>
      <c r="U224"/>
      <c r="V224"/>
      <c r="W224"/>
      <c r="X224"/>
      <c r="Y224" s="100"/>
    </row>
    <row r="225" spans="20:27" ht="12.65" customHeight="1">
      <c r="T225"/>
      <c r="U225"/>
      <c r="V225"/>
      <c r="W225"/>
      <c r="X225"/>
      <c r="Y225" s="100"/>
    </row>
    <row r="226" spans="20:27" ht="12.65" customHeight="1">
      <c r="T226"/>
      <c r="U226"/>
      <c r="V226"/>
      <c r="W226"/>
      <c r="X226"/>
      <c r="Y226" s="100"/>
    </row>
    <row r="227" spans="20:27" ht="12.65" customHeight="1">
      <c r="T227"/>
      <c r="U227"/>
      <c r="V227"/>
      <c r="W227"/>
      <c r="X227"/>
      <c r="Y227" s="100"/>
    </row>
    <row r="228" spans="20:27" ht="12.65" customHeight="1">
      <c r="T228"/>
      <c r="U228"/>
      <c r="V228"/>
      <c r="W228"/>
      <c r="X228"/>
      <c r="Y228" s="100"/>
    </row>
    <row r="229" spans="20:27" ht="12.65" customHeight="1">
      <c r="T229"/>
      <c r="U229"/>
      <c r="V229"/>
      <c r="W229"/>
      <c r="X229"/>
      <c r="Y229" s="100"/>
    </row>
    <row r="230" spans="20:27" ht="12.65" customHeight="1">
      <c r="T230"/>
      <c r="U230"/>
      <c r="V230"/>
      <c r="W230"/>
      <c r="X230"/>
      <c r="Y230" s="100"/>
    </row>
    <row r="231" spans="20:27" ht="12.65" customHeight="1">
      <c r="T231"/>
      <c r="U231"/>
      <c r="V231"/>
      <c r="W231"/>
      <c r="X231"/>
      <c r="Y231" s="100"/>
    </row>
    <row r="232" spans="20:27" ht="12.65" customHeight="1">
      <c r="T232"/>
      <c r="U232"/>
      <c r="V232"/>
      <c r="W232"/>
      <c r="X232"/>
      <c r="Y232" s="100"/>
    </row>
    <row r="233" spans="20:27" ht="12.65" customHeight="1">
      <c r="T233"/>
      <c r="U233"/>
      <c r="V233"/>
      <c r="W233"/>
      <c r="X233"/>
      <c r="Y233" s="100"/>
    </row>
    <row r="234" spans="20:27" ht="12.65" customHeight="1">
      <c r="T234"/>
      <c r="U234"/>
      <c r="V234"/>
      <c r="W234"/>
      <c r="X234"/>
      <c r="Y234" s="100"/>
    </row>
    <row r="235" spans="20:27" ht="12.65" customHeight="1">
      <c r="T235"/>
      <c r="U235"/>
      <c r="V235"/>
      <c r="W235"/>
      <c r="X235"/>
      <c r="Y235" s="100"/>
    </row>
    <row r="236" spans="20:27" ht="12.65" customHeight="1">
      <c r="T236"/>
      <c r="U236"/>
      <c r="V236"/>
      <c r="W236"/>
      <c r="X236"/>
      <c r="Y236" s="822"/>
      <c r="Z236" s="794"/>
      <c r="AA236" s="794"/>
    </row>
    <row r="237" spans="20:27" ht="12.65" customHeight="1">
      <c r="T237"/>
      <c r="U237"/>
      <c r="V237"/>
      <c r="W237"/>
      <c r="X237"/>
      <c r="Y237" s="100"/>
    </row>
    <row r="238" spans="20:27" ht="12.65" customHeight="1">
      <c r="T238"/>
      <c r="U238"/>
      <c r="V238"/>
      <c r="W238"/>
      <c r="X238"/>
      <c r="Y238" s="100"/>
    </row>
    <row r="239" spans="20:27" ht="12.65" customHeight="1">
      <c r="T239"/>
      <c r="U239"/>
      <c r="V239"/>
      <c r="W239"/>
      <c r="X239"/>
      <c r="Y239" s="100"/>
    </row>
    <row r="240" spans="20:27" ht="12.65" customHeight="1">
      <c r="T240"/>
      <c r="U240"/>
      <c r="V240"/>
      <c r="W240"/>
      <c r="X240"/>
      <c r="Y240" s="100"/>
    </row>
    <row r="241" spans="20:25" ht="12.65" customHeight="1">
      <c r="T241"/>
      <c r="U241"/>
      <c r="V241"/>
      <c r="W241"/>
      <c r="X241"/>
      <c r="Y241" s="100"/>
    </row>
    <row r="242" spans="20:25" ht="12.65" customHeight="1">
      <c r="T242"/>
      <c r="U242"/>
      <c r="V242"/>
      <c r="W242"/>
      <c r="X242"/>
      <c r="Y242" s="100"/>
    </row>
    <row r="243" spans="20:25" ht="12.65" customHeight="1">
      <c r="T243"/>
      <c r="U243"/>
      <c r="V243"/>
      <c r="W243"/>
      <c r="X243"/>
      <c r="Y243" s="100"/>
    </row>
    <row r="244" spans="20:25" ht="12.65" customHeight="1">
      <c r="T244"/>
      <c r="U244"/>
      <c r="V244"/>
      <c r="W244"/>
      <c r="X244"/>
      <c r="Y244" s="100"/>
    </row>
    <row r="245" spans="20:25" ht="12.65" customHeight="1">
      <c r="T245"/>
      <c r="U245"/>
      <c r="V245"/>
      <c r="W245"/>
      <c r="X245"/>
      <c r="Y245" s="100"/>
    </row>
    <row r="246" spans="20:25" ht="12.65" customHeight="1">
      <c r="T246"/>
      <c r="U246"/>
      <c r="V246"/>
      <c r="W246"/>
      <c r="X246"/>
      <c r="Y246" s="100"/>
    </row>
    <row r="247" spans="20:25" ht="12.65" customHeight="1">
      <c r="T247"/>
      <c r="U247"/>
      <c r="V247"/>
      <c r="W247"/>
      <c r="X247"/>
      <c r="Y247" s="100"/>
    </row>
    <row r="248" spans="20:25" ht="12.65" customHeight="1">
      <c r="T248"/>
      <c r="U248"/>
      <c r="V248"/>
      <c r="W248"/>
      <c r="X248"/>
      <c r="Y248" s="100"/>
    </row>
    <row r="249" spans="20:25" ht="12.65" customHeight="1">
      <c r="T249"/>
      <c r="U249"/>
      <c r="V249"/>
      <c r="W249"/>
      <c r="X249"/>
      <c r="Y249" s="100"/>
    </row>
    <row r="250" spans="20:25" ht="12.65" customHeight="1">
      <c r="T250"/>
      <c r="U250"/>
      <c r="V250"/>
      <c r="W250"/>
      <c r="X250"/>
      <c r="Y250" s="100"/>
    </row>
    <row r="251" spans="20:25" ht="12.65" customHeight="1">
      <c r="T251"/>
      <c r="U251"/>
      <c r="V251"/>
      <c r="W251"/>
      <c r="X251"/>
      <c r="Y251" s="100"/>
    </row>
    <row r="252" spans="20:25" ht="12.65" customHeight="1">
      <c r="T252"/>
      <c r="U252"/>
      <c r="V252"/>
      <c r="W252"/>
      <c r="X252"/>
      <c r="Y252" s="100"/>
    </row>
    <row r="253" spans="20:25" ht="12.65" customHeight="1">
      <c r="T253"/>
      <c r="U253"/>
      <c r="V253"/>
      <c r="W253"/>
      <c r="X253"/>
      <c r="Y253" s="100"/>
    </row>
    <row r="254" spans="20:25" ht="12.65" customHeight="1">
      <c r="T254"/>
      <c r="U254"/>
      <c r="V254"/>
      <c r="W254"/>
      <c r="X254"/>
      <c r="Y254" s="100"/>
    </row>
    <row r="255" spans="20:25" ht="12.65" customHeight="1">
      <c r="T255"/>
      <c r="U255"/>
      <c r="V255"/>
      <c r="W255"/>
      <c r="X255"/>
      <c r="Y255" s="100"/>
    </row>
    <row r="256" spans="20:25" ht="12.65" customHeight="1">
      <c r="T256"/>
      <c r="U256"/>
      <c r="V256"/>
      <c r="W256"/>
      <c r="X256"/>
      <c r="Y256" s="100"/>
    </row>
    <row r="257" spans="20:27" ht="12.65" customHeight="1">
      <c r="T257"/>
      <c r="U257"/>
      <c r="V257"/>
      <c r="W257"/>
      <c r="X257"/>
      <c r="Y257" s="100"/>
    </row>
    <row r="258" spans="20:27" ht="12.65" customHeight="1">
      <c r="T258"/>
      <c r="U258"/>
      <c r="V258"/>
      <c r="W258"/>
      <c r="X258"/>
      <c r="Y258" s="100"/>
    </row>
    <row r="259" spans="20:27" ht="12.65" customHeight="1">
      <c r="T259"/>
      <c r="U259"/>
      <c r="V259"/>
      <c r="W259"/>
      <c r="X259"/>
      <c r="Y259" s="100"/>
    </row>
    <row r="260" spans="20:27" ht="12.65" customHeight="1">
      <c r="T260"/>
      <c r="U260"/>
      <c r="V260"/>
      <c r="W260"/>
      <c r="X260"/>
      <c r="Y260" s="100"/>
    </row>
    <row r="261" spans="20:27" ht="12.65" customHeight="1">
      <c r="T261"/>
      <c r="U261"/>
      <c r="V261"/>
      <c r="W261"/>
      <c r="X261"/>
      <c r="Y261" s="100"/>
    </row>
    <row r="262" spans="20:27" ht="12.65" customHeight="1">
      <c r="T262"/>
      <c r="U262"/>
      <c r="V262"/>
      <c r="W262"/>
      <c r="X262"/>
      <c r="Y262" s="100"/>
    </row>
    <row r="263" spans="20:27" ht="12.65" customHeight="1">
      <c r="T263"/>
      <c r="U263"/>
      <c r="V263"/>
      <c r="W263"/>
      <c r="X263"/>
      <c r="Y263" s="100"/>
    </row>
    <row r="264" spans="20:27" ht="12.65" customHeight="1">
      <c r="T264"/>
      <c r="U264"/>
      <c r="V264"/>
      <c r="W264"/>
      <c r="X264"/>
      <c r="Y264" s="100"/>
    </row>
    <row r="265" spans="20:27" ht="12.65" customHeight="1">
      <c r="T265"/>
      <c r="U265"/>
      <c r="V265"/>
      <c r="W265"/>
      <c r="X265"/>
      <c r="Y265" s="100"/>
    </row>
    <row r="266" spans="20:27" ht="12.65" customHeight="1">
      <c r="T266"/>
      <c r="U266"/>
      <c r="V266"/>
      <c r="W266"/>
      <c r="X266"/>
      <c r="Y266" s="100"/>
    </row>
    <row r="267" spans="20:27" ht="12.65" customHeight="1">
      <c r="T267"/>
      <c r="U267"/>
      <c r="V267"/>
      <c r="W267"/>
      <c r="X267"/>
      <c r="Y267" s="100"/>
    </row>
    <row r="268" spans="20:27" ht="12.65" customHeight="1">
      <c r="T268"/>
      <c r="U268"/>
      <c r="V268"/>
      <c r="W268"/>
      <c r="X268"/>
      <c r="Y268" s="100"/>
    </row>
    <row r="269" spans="20:27" ht="12.65" customHeight="1">
      <c r="T269"/>
      <c r="U269"/>
      <c r="V269"/>
      <c r="W269"/>
      <c r="X269"/>
      <c r="Y269" s="100"/>
    </row>
    <row r="270" spans="20:27" ht="12.65" customHeight="1">
      <c r="T270"/>
      <c r="U270"/>
      <c r="V270"/>
      <c r="W270"/>
      <c r="X270"/>
      <c r="Y270" s="822"/>
      <c r="Z270" s="794"/>
      <c r="AA270" s="794"/>
    </row>
    <row r="271" spans="20:27" ht="12.65" customHeight="1">
      <c r="T271" s="90"/>
      <c r="U271" s="90"/>
      <c r="V271" s="90"/>
      <c r="W271" s="90"/>
      <c r="X271" s="90"/>
      <c r="Y271" s="102"/>
      <c r="Z271" s="90"/>
      <c r="AA271" s="90"/>
    </row>
    <row r="272" spans="20:27" ht="12.65" customHeight="1">
      <c r="T272" s="732"/>
      <c r="U272" s="732"/>
      <c r="V272" s="732"/>
      <c r="W272" s="732"/>
      <c r="X272" s="732"/>
    </row>
    <row r="273" spans="20:24" ht="12.65" customHeight="1">
      <c r="T273" s="732"/>
      <c r="U273" s="732"/>
      <c r="V273" s="732"/>
      <c r="W273" s="732"/>
      <c r="X273" s="732"/>
    </row>
    <row r="274" spans="20:24" ht="12.65" customHeight="1">
      <c r="T274" s="732"/>
      <c r="U274" s="732"/>
      <c r="V274" s="732"/>
      <c r="W274" s="732"/>
      <c r="X274" s="732"/>
    </row>
    <row r="275" spans="20:24" ht="12.65" customHeight="1">
      <c r="T275" s="732"/>
      <c r="U275" s="732"/>
      <c r="V275" s="732"/>
      <c r="W275" s="732"/>
      <c r="X275" s="732"/>
    </row>
    <row r="276" spans="20:24" ht="12.65" customHeight="1">
      <c r="T276" s="732"/>
      <c r="U276" s="732"/>
      <c r="V276" s="732"/>
      <c r="W276" s="732"/>
      <c r="X276" s="732"/>
    </row>
    <row r="277" spans="20:24" ht="12.65" customHeight="1">
      <c r="T277" s="732"/>
      <c r="U277" s="732"/>
      <c r="V277" s="732"/>
      <c r="W277" s="732"/>
      <c r="X277" s="732"/>
    </row>
    <row r="278" spans="20:24" ht="12.65" customHeight="1">
      <c r="T278" s="732"/>
      <c r="U278" s="732"/>
      <c r="V278" s="732"/>
      <c r="W278" s="732"/>
      <c r="X278" s="732"/>
    </row>
    <row r="279" spans="20:24" ht="12.65" customHeight="1">
      <c r="T279" s="732"/>
      <c r="U279" s="732"/>
      <c r="V279" s="732"/>
      <c r="W279" s="732"/>
      <c r="X279" s="732"/>
    </row>
    <row r="280" spans="20:24" ht="12.65" customHeight="1">
      <c r="T280" s="732"/>
      <c r="U280" s="732"/>
      <c r="V280" s="732"/>
      <c r="W280" s="732"/>
      <c r="X280" s="732"/>
    </row>
    <row r="281" spans="20:24" ht="12.65" customHeight="1">
      <c r="T281" s="732"/>
      <c r="U281" s="732"/>
      <c r="V281" s="732"/>
      <c r="W281" s="732"/>
      <c r="X281" s="732"/>
    </row>
    <row r="282" spans="20:24" ht="12.65" customHeight="1">
      <c r="T282" s="732"/>
      <c r="U282" s="732"/>
      <c r="V282" s="732"/>
      <c r="W282" s="732"/>
      <c r="X282" s="732"/>
    </row>
    <row r="283" spans="20:24" ht="12.65" customHeight="1">
      <c r="T283" s="732"/>
      <c r="U283" s="732"/>
      <c r="V283" s="732"/>
      <c r="W283" s="732"/>
      <c r="X283" s="732"/>
    </row>
    <row r="284" spans="20:24" ht="12.65" customHeight="1">
      <c r="T284" s="732"/>
      <c r="U284" s="732"/>
      <c r="V284" s="732"/>
      <c r="W284" s="732"/>
      <c r="X284" s="732"/>
    </row>
    <row r="285" spans="20:24" ht="12.65" customHeight="1">
      <c r="T285" s="732"/>
      <c r="U285" s="732"/>
      <c r="V285" s="732"/>
      <c r="W285" s="732"/>
      <c r="X285" s="732"/>
    </row>
    <row r="286" spans="20:24" ht="12.65" customHeight="1">
      <c r="T286" s="732"/>
      <c r="U286" s="732"/>
      <c r="V286" s="732"/>
      <c r="W286" s="732"/>
      <c r="X286" s="732"/>
    </row>
    <row r="287" spans="20:24" ht="12.65" customHeight="1">
      <c r="T287" s="732"/>
      <c r="U287" s="732"/>
      <c r="V287" s="732"/>
      <c r="W287" s="732"/>
      <c r="X287" s="732"/>
    </row>
    <row r="288" spans="20:24" ht="12.65" customHeight="1">
      <c r="T288" s="732"/>
      <c r="U288" s="732"/>
      <c r="V288" s="732"/>
      <c r="W288" s="732"/>
      <c r="X288" s="732"/>
    </row>
    <row r="289" spans="20:24" ht="12.65" customHeight="1">
      <c r="T289" s="732"/>
      <c r="U289" s="732"/>
      <c r="V289" s="732"/>
      <c r="W289" s="732"/>
      <c r="X289" s="732"/>
    </row>
    <row r="290" spans="20:24" ht="12.65" customHeight="1">
      <c r="T290" s="732"/>
      <c r="U290" s="732"/>
      <c r="V290" s="732"/>
      <c r="W290" s="732"/>
      <c r="X290" s="732"/>
    </row>
    <row r="291" spans="20:24" ht="12.65" customHeight="1">
      <c r="T291" s="732"/>
      <c r="U291" s="732"/>
      <c r="V291" s="732"/>
      <c r="W291" s="732"/>
      <c r="X291" s="732"/>
    </row>
    <row r="292" spans="20:24" ht="12.65" customHeight="1">
      <c r="T292" s="732"/>
      <c r="U292" s="732"/>
      <c r="V292" s="732"/>
      <c r="W292" s="732"/>
      <c r="X292" s="732"/>
    </row>
    <row r="293" spans="20:24" ht="12.65" customHeight="1">
      <c r="T293" s="732"/>
      <c r="U293" s="732"/>
      <c r="V293" s="732"/>
      <c r="W293" s="732"/>
      <c r="X293" s="732"/>
    </row>
    <row r="294" spans="20:24" ht="12.65" customHeight="1">
      <c r="T294" s="732"/>
      <c r="U294" s="732"/>
      <c r="V294" s="732"/>
      <c r="W294" s="732"/>
      <c r="X294" s="732"/>
    </row>
    <row r="295" spans="20:24" ht="12.65" customHeight="1">
      <c r="T295" s="732"/>
      <c r="U295" s="732"/>
      <c r="V295" s="732"/>
      <c r="W295" s="732"/>
      <c r="X295" s="732"/>
    </row>
    <row r="296" spans="20:24" ht="12.65" customHeight="1">
      <c r="T296" s="732"/>
      <c r="U296" s="732"/>
      <c r="V296" s="732"/>
      <c r="W296" s="732"/>
      <c r="X296" s="732"/>
    </row>
    <row r="297" spans="20:24" ht="12.65" customHeight="1">
      <c r="T297" s="732"/>
      <c r="U297" s="732"/>
      <c r="V297" s="732"/>
      <c r="W297" s="732"/>
      <c r="X297" s="732"/>
    </row>
    <row r="298" spans="20:24" ht="12.65" customHeight="1">
      <c r="T298" s="732"/>
      <c r="U298" s="732"/>
      <c r="V298" s="732"/>
      <c r="W298" s="732"/>
      <c r="X298" s="732"/>
    </row>
    <row r="299" spans="20:24" ht="12.65" customHeight="1">
      <c r="T299" s="732"/>
      <c r="U299" s="732"/>
      <c r="V299" s="732"/>
      <c r="W299" s="732"/>
      <c r="X299" s="732"/>
    </row>
    <row r="300" spans="20:24" ht="12.65" customHeight="1">
      <c r="T300" s="732"/>
      <c r="U300" s="732"/>
      <c r="V300" s="732"/>
      <c r="W300" s="732"/>
      <c r="X300" s="732"/>
    </row>
    <row r="301" spans="20:24" ht="12.65" customHeight="1">
      <c r="T301" s="732"/>
      <c r="U301" s="732"/>
      <c r="V301" s="732"/>
      <c r="W301" s="732"/>
      <c r="X301" s="732"/>
    </row>
    <row r="302" spans="20:24" ht="12.65" customHeight="1">
      <c r="T302" s="732"/>
      <c r="U302" s="732"/>
      <c r="V302" s="732"/>
      <c r="W302" s="732"/>
      <c r="X302" s="732"/>
    </row>
    <row r="303" spans="20:24" ht="12.65" customHeight="1">
      <c r="T303" s="732"/>
      <c r="U303" s="732"/>
      <c r="V303" s="732"/>
      <c r="W303" s="732"/>
      <c r="X303" s="732"/>
    </row>
    <row r="304" spans="20:24" ht="12.65" customHeight="1">
      <c r="T304" s="732"/>
      <c r="U304" s="732"/>
      <c r="V304" s="732"/>
      <c r="W304" s="732"/>
      <c r="X304" s="732"/>
    </row>
    <row r="305" spans="20:24" ht="12.65" customHeight="1">
      <c r="T305" s="732"/>
      <c r="U305" s="732"/>
      <c r="V305" s="732"/>
      <c r="W305" s="732"/>
      <c r="X305" s="732"/>
    </row>
    <row r="306" spans="20:24" ht="12.65" customHeight="1">
      <c r="T306" s="732"/>
      <c r="U306" s="732"/>
      <c r="V306" s="732"/>
      <c r="W306" s="732"/>
      <c r="X306" s="732"/>
    </row>
    <row r="307" spans="20:24" ht="12.65" customHeight="1">
      <c r="T307" s="732"/>
      <c r="U307" s="732"/>
      <c r="V307" s="732"/>
      <c r="W307" s="732"/>
      <c r="X307" s="732"/>
    </row>
    <row r="308" spans="20:24" ht="12.65" customHeight="1">
      <c r="T308" s="732"/>
      <c r="U308" s="732"/>
      <c r="V308" s="732"/>
      <c r="W308" s="732"/>
      <c r="X308" s="732"/>
    </row>
    <row r="309" spans="20:24" ht="12.65" customHeight="1">
      <c r="T309" s="732"/>
      <c r="U309" s="732"/>
      <c r="V309" s="732"/>
      <c r="W309" s="732"/>
      <c r="X309" s="732"/>
    </row>
    <row r="310" spans="20:24" ht="12.65" customHeight="1">
      <c r="T310" s="732"/>
      <c r="U310" s="732"/>
      <c r="V310" s="732"/>
      <c r="W310" s="732"/>
      <c r="X310" s="732"/>
    </row>
    <row r="311" spans="20:24" ht="12.65" customHeight="1">
      <c r="T311" s="732"/>
      <c r="U311" s="732"/>
      <c r="V311" s="732"/>
      <c r="W311" s="732"/>
      <c r="X311" s="732"/>
    </row>
    <row r="312" spans="20:24" ht="12.65" customHeight="1">
      <c r="T312" s="732"/>
      <c r="U312" s="732"/>
      <c r="V312" s="732"/>
      <c r="W312" s="732"/>
      <c r="X312" s="732"/>
    </row>
    <row r="313" spans="20:24" ht="12.65" customHeight="1">
      <c r="T313" s="732"/>
      <c r="U313" s="732"/>
      <c r="V313" s="732"/>
      <c r="W313" s="732"/>
      <c r="X313" s="732"/>
    </row>
    <row r="314" spans="20:24" ht="12.65" customHeight="1">
      <c r="T314" s="732"/>
      <c r="U314" s="732"/>
      <c r="V314" s="732"/>
      <c r="W314" s="732"/>
      <c r="X314" s="732"/>
    </row>
    <row r="315" spans="20:24" ht="12.65" customHeight="1">
      <c r="T315" s="732"/>
      <c r="U315" s="732"/>
      <c r="V315" s="732"/>
      <c r="W315" s="732"/>
      <c r="X315" s="732"/>
    </row>
    <row r="316" spans="20:24" ht="12.65" customHeight="1">
      <c r="T316" s="732"/>
      <c r="U316" s="732"/>
      <c r="V316" s="732"/>
      <c r="W316" s="732"/>
      <c r="X316" s="732"/>
    </row>
    <row r="317" spans="20:24" ht="12.65" customHeight="1">
      <c r="T317" s="732"/>
      <c r="U317" s="732"/>
      <c r="V317" s="732"/>
      <c r="W317" s="732"/>
      <c r="X317" s="732"/>
    </row>
    <row r="318" spans="20:24" ht="12.65" customHeight="1">
      <c r="T318" s="732"/>
      <c r="U318" s="732"/>
      <c r="V318" s="732"/>
      <c r="W318" s="732"/>
      <c r="X318" s="732"/>
    </row>
    <row r="319" spans="20:24" ht="12.65" customHeight="1">
      <c r="T319" s="732"/>
      <c r="U319" s="732"/>
      <c r="V319" s="732"/>
      <c r="W319" s="732"/>
      <c r="X319" s="732"/>
    </row>
    <row r="320" spans="20:24" ht="12.65" customHeight="1">
      <c r="T320" s="732"/>
      <c r="U320" s="732"/>
      <c r="V320" s="732"/>
      <c r="W320" s="732"/>
      <c r="X320" s="732"/>
    </row>
    <row r="321" spans="20:24" ht="12.65" customHeight="1">
      <c r="T321" s="732"/>
      <c r="U321" s="732"/>
      <c r="V321" s="732"/>
      <c r="W321" s="732"/>
      <c r="X321" s="732"/>
    </row>
    <row r="322" spans="20:24" ht="12.65" customHeight="1">
      <c r="T322" s="732"/>
      <c r="U322" s="732"/>
      <c r="V322" s="732"/>
      <c r="W322" s="732"/>
      <c r="X322" s="732"/>
    </row>
    <row r="323" spans="20:24" ht="12.65" customHeight="1">
      <c r="T323" s="732"/>
      <c r="U323" s="732"/>
      <c r="V323" s="732"/>
      <c r="W323" s="732"/>
      <c r="X323" s="732"/>
    </row>
    <row r="324" spans="20:24" ht="12.65" customHeight="1">
      <c r="T324" s="732"/>
      <c r="U324" s="732"/>
      <c r="V324" s="732"/>
      <c r="W324" s="732"/>
      <c r="X324" s="732"/>
    </row>
    <row r="325" spans="20:24" ht="12.65" customHeight="1">
      <c r="T325" s="732"/>
      <c r="U325" s="732"/>
      <c r="V325" s="732"/>
      <c r="W325" s="732"/>
      <c r="X325" s="732"/>
    </row>
    <row r="326" spans="20:24" ht="12.65" customHeight="1">
      <c r="T326" s="732"/>
      <c r="U326" s="732"/>
      <c r="V326" s="732"/>
      <c r="W326" s="732"/>
      <c r="X326" s="732"/>
    </row>
    <row r="327" spans="20:24" ht="12.65" customHeight="1">
      <c r="T327" s="732"/>
      <c r="U327" s="732"/>
      <c r="V327" s="732"/>
      <c r="W327" s="732"/>
      <c r="X327" s="732"/>
    </row>
    <row r="328" spans="20:24" ht="12.65" customHeight="1">
      <c r="T328" s="732"/>
      <c r="U328" s="732"/>
      <c r="V328" s="732"/>
      <c r="W328" s="732"/>
      <c r="X328" s="732"/>
    </row>
    <row r="329" spans="20:24" ht="12.65" customHeight="1">
      <c r="T329" s="732"/>
      <c r="U329" s="732"/>
      <c r="V329" s="732"/>
      <c r="W329" s="732"/>
      <c r="X329" s="732"/>
    </row>
    <row r="330" spans="20:24" ht="12.65" customHeight="1">
      <c r="T330" s="732"/>
      <c r="U330" s="732"/>
      <c r="V330" s="732"/>
      <c r="W330" s="732"/>
      <c r="X330" s="732"/>
    </row>
    <row r="331" spans="20:24" ht="12.65" customHeight="1">
      <c r="T331" s="732"/>
      <c r="U331" s="732"/>
      <c r="V331" s="732"/>
      <c r="W331" s="732"/>
      <c r="X331" s="732"/>
    </row>
    <row r="332" spans="20:24" ht="12.65" customHeight="1">
      <c r="T332" s="732"/>
      <c r="U332" s="732"/>
      <c r="V332" s="732"/>
      <c r="W332" s="732"/>
      <c r="X332" s="732"/>
    </row>
    <row r="333" spans="20:24" ht="12.65" customHeight="1">
      <c r="T333" s="732"/>
      <c r="U333" s="732"/>
      <c r="V333" s="732"/>
      <c r="W333" s="732"/>
      <c r="X333" s="732"/>
    </row>
    <row r="334" spans="20:24" ht="12.65" customHeight="1">
      <c r="T334" s="732"/>
      <c r="U334" s="732"/>
      <c r="V334" s="732"/>
      <c r="W334" s="732"/>
      <c r="X334" s="732"/>
    </row>
    <row r="335" spans="20:24" ht="12.65" customHeight="1">
      <c r="T335" s="732"/>
      <c r="U335" s="732"/>
      <c r="V335" s="732"/>
      <c r="W335" s="732"/>
      <c r="X335" s="732"/>
    </row>
    <row r="336" spans="20:24" ht="12.65" customHeight="1">
      <c r="T336" s="732"/>
      <c r="U336" s="732"/>
      <c r="V336" s="732"/>
      <c r="W336" s="732"/>
      <c r="X336" s="732"/>
    </row>
    <row r="337" spans="20:24" ht="12.65" customHeight="1">
      <c r="T337" s="732"/>
      <c r="U337" s="732"/>
      <c r="V337" s="732"/>
      <c r="W337" s="732"/>
      <c r="X337" s="732"/>
    </row>
    <row r="338" spans="20:24" ht="12.65" customHeight="1">
      <c r="T338" s="732"/>
      <c r="U338" s="732"/>
      <c r="V338" s="732"/>
      <c r="W338" s="732"/>
      <c r="X338" s="732"/>
    </row>
    <row r="339" spans="20:24" ht="12.65" customHeight="1">
      <c r="T339" s="732"/>
      <c r="U339" s="732"/>
      <c r="V339" s="732"/>
      <c r="W339" s="732"/>
      <c r="X339" s="732"/>
    </row>
    <row r="340" spans="20:24" ht="12.65" customHeight="1">
      <c r="T340" s="732"/>
      <c r="U340" s="732"/>
      <c r="V340" s="732"/>
      <c r="W340" s="732"/>
      <c r="X340" s="732"/>
    </row>
    <row r="341" spans="20:24" ht="12.65" customHeight="1">
      <c r="T341" s="732"/>
      <c r="U341" s="732"/>
      <c r="V341" s="732"/>
      <c r="W341" s="732"/>
      <c r="X341" s="732"/>
    </row>
    <row r="342" spans="20:24" ht="12.65" customHeight="1">
      <c r="T342" s="732"/>
      <c r="U342" s="732"/>
      <c r="V342" s="732"/>
      <c r="W342" s="732"/>
      <c r="X342" s="732"/>
    </row>
    <row r="343" spans="20:24" ht="12.65" customHeight="1">
      <c r="T343" s="732"/>
      <c r="U343" s="732"/>
      <c r="V343" s="732"/>
      <c r="W343" s="732"/>
      <c r="X343" s="732"/>
    </row>
    <row r="344" spans="20:24" ht="12.65" customHeight="1">
      <c r="T344" s="732"/>
      <c r="U344" s="732"/>
      <c r="V344" s="732"/>
      <c r="W344" s="732"/>
      <c r="X344" s="732"/>
    </row>
    <row r="345" spans="20:24" ht="12.65" customHeight="1">
      <c r="T345" s="732"/>
      <c r="U345" s="732"/>
      <c r="V345" s="732"/>
      <c r="W345" s="732"/>
      <c r="X345" s="732"/>
    </row>
    <row r="346" spans="20:24" ht="12.65" customHeight="1">
      <c r="T346" s="732"/>
      <c r="U346" s="732"/>
      <c r="V346" s="732"/>
      <c r="W346" s="732"/>
      <c r="X346" s="732"/>
    </row>
    <row r="347" spans="20:24" ht="12.65" customHeight="1">
      <c r="T347" s="732"/>
      <c r="U347" s="732"/>
      <c r="V347" s="732"/>
      <c r="W347" s="732"/>
      <c r="X347" s="732"/>
    </row>
    <row r="348" spans="20:24" ht="12.65" customHeight="1">
      <c r="T348" s="732"/>
      <c r="U348" s="732"/>
      <c r="V348" s="732"/>
      <c r="W348" s="732"/>
      <c r="X348" s="732"/>
    </row>
    <row r="349" spans="20:24" ht="12.65" customHeight="1">
      <c r="T349" s="732"/>
      <c r="U349" s="732"/>
      <c r="V349" s="732"/>
      <c r="W349" s="732"/>
      <c r="X349" s="732"/>
    </row>
    <row r="350" spans="20:24" ht="12.65" customHeight="1">
      <c r="T350" s="732"/>
      <c r="U350" s="732"/>
      <c r="V350" s="732"/>
      <c r="W350" s="732"/>
      <c r="X350" s="732"/>
    </row>
    <row r="351" spans="20:24" ht="12.65" customHeight="1">
      <c r="T351" s="732"/>
      <c r="U351" s="732"/>
      <c r="V351" s="732"/>
      <c r="W351" s="732"/>
      <c r="X351" s="732"/>
    </row>
    <row r="352" spans="20:24" ht="12.65" customHeight="1">
      <c r="T352" s="732"/>
      <c r="U352" s="732"/>
      <c r="V352" s="732"/>
      <c r="W352" s="732"/>
      <c r="X352" s="732"/>
    </row>
    <row r="353" spans="20:24" ht="12.65" customHeight="1">
      <c r="T353" s="732"/>
      <c r="U353" s="732"/>
      <c r="V353" s="732"/>
      <c r="W353" s="732"/>
      <c r="X353" s="732"/>
    </row>
    <row r="354" spans="20:24" ht="12.65" customHeight="1">
      <c r="T354" s="732"/>
      <c r="U354" s="732"/>
      <c r="V354" s="732"/>
      <c r="W354" s="732"/>
      <c r="X354" s="732"/>
    </row>
    <row r="355" spans="20:24" ht="12.65" customHeight="1">
      <c r="T355" s="732"/>
      <c r="U355" s="732"/>
      <c r="V355" s="732"/>
      <c r="W355" s="732"/>
      <c r="X355" s="732"/>
    </row>
    <row r="356" spans="20:24" ht="12.65" customHeight="1">
      <c r="T356" s="732"/>
      <c r="U356" s="732"/>
      <c r="V356" s="732"/>
      <c r="W356" s="732"/>
      <c r="X356" s="732"/>
    </row>
    <row r="357" spans="20:24" ht="12.65" customHeight="1">
      <c r="T357" s="732"/>
      <c r="U357" s="732"/>
      <c r="V357" s="732"/>
      <c r="W357" s="732"/>
      <c r="X357" s="732"/>
    </row>
    <row r="358" spans="20:24" ht="12.65" customHeight="1">
      <c r="T358" s="732"/>
      <c r="U358" s="732"/>
      <c r="V358" s="732"/>
      <c r="W358" s="732"/>
      <c r="X358" s="732"/>
    </row>
    <row r="359" spans="20:24" ht="12.65" customHeight="1">
      <c r="T359" s="732"/>
      <c r="U359" s="732"/>
      <c r="V359" s="732"/>
      <c r="W359" s="732"/>
      <c r="X359" s="732"/>
    </row>
    <row r="360" spans="20:24" ht="12.65" customHeight="1">
      <c r="T360" s="732"/>
      <c r="U360" s="732"/>
      <c r="V360" s="732"/>
      <c r="W360" s="732"/>
      <c r="X360" s="732"/>
    </row>
    <row r="361" spans="20:24" ht="12.65" customHeight="1">
      <c r="T361" s="732"/>
      <c r="U361" s="732"/>
      <c r="V361" s="732"/>
      <c r="W361" s="732"/>
      <c r="X361" s="732"/>
    </row>
    <row r="362" spans="20:24" ht="12.65" customHeight="1">
      <c r="T362" s="732"/>
      <c r="U362" s="732"/>
      <c r="V362" s="732"/>
      <c r="W362" s="732"/>
      <c r="X362" s="732"/>
    </row>
    <row r="363" spans="20:24" ht="12.65" customHeight="1">
      <c r="T363" s="732"/>
      <c r="U363" s="732"/>
      <c r="V363" s="732"/>
      <c r="W363" s="732"/>
      <c r="X363" s="732"/>
    </row>
    <row r="364" spans="20:24" ht="12.65" customHeight="1">
      <c r="T364" s="732"/>
      <c r="U364" s="732"/>
      <c r="V364" s="732"/>
      <c r="W364" s="732"/>
      <c r="X364" s="732"/>
    </row>
    <row r="365" spans="20:24" ht="12.65" customHeight="1">
      <c r="T365" s="732"/>
      <c r="U365" s="732"/>
      <c r="V365" s="732"/>
      <c r="W365" s="732"/>
      <c r="X365" s="732"/>
    </row>
    <row r="366" spans="20:24" ht="12.65" customHeight="1">
      <c r="T366" s="732"/>
      <c r="U366" s="732"/>
      <c r="V366" s="732"/>
      <c r="W366" s="732"/>
      <c r="X366" s="732"/>
    </row>
    <row r="367" spans="20:24" ht="12.65" customHeight="1">
      <c r="T367" s="732"/>
      <c r="U367" s="732"/>
      <c r="V367" s="732"/>
      <c r="W367" s="732"/>
      <c r="X367" s="732"/>
    </row>
    <row r="368" spans="20:24" ht="12.65" customHeight="1">
      <c r="T368" s="732"/>
      <c r="U368" s="732"/>
      <c r="V368" s="732"/>
      <c r="W368" s="732"/>
      <c r="X368" s="732"/>
    </row>
    <row r="369" spans="20:24" ht="12.65" customHeight="1">
      <c r="T369" s="732"/>
      <c r="U369" s="732"/>
      <c r="V369" s="732"/>
      <c r="W369" s="732"/>
      <c r="X369" s="732"/>
    </row>
    <row r="370" spans="20:24" ht="12.65" customHeight="1">
      <c r="T370" s="732"/>
      <c r="U370" s="732"/>
      <c r="V370" s="732"/>
      <c r="W370" s="732"/>
      <c r="X370" s="732"/>
    </row>
    <row r="371" spans="20:24" ht="12.65" customHeight="1">
      <c r="T371" s="732"/>
      <c r="U371" s="732"/>
      <c r="V371" s="732"/>
      <c r="W371" s="732"/>
      <c r="X371" s="732"/>
    </row>
    <row r="372" spans="20:24" ht="12.65" customHeight="1">
      <c r="T372" s="732"/>
      <c r="U372" s="732"/>
      <c r="V372" s="732"/>
      <c r="W372" s="732"/>
      <c r="X372" s="732"/>
    </row>
    <row r="373" spans="20:24" ht="12.65" customHeight="1">
      <c r="T373" s="732"/>
      <c r="U373" s="732"/>
      <c r="V373" s="732"/>
      <c r="W373" s="732"/>
      <c r="X373" s="732"/>
    </row>
    <row r="374" spans="20:24" ht="12.65" customHeight="1">
      <c r="T374" s="732"/>
      <c r="U374" s="732"/>
      <c r="V374" s="732"/>
      <c r="W374" s="732"/>
      <c r="X374" s="732"/>
    </row>
    <row r="375" spans="20:24" ht="12.65" customHeight="1">
      <c r="T375" s="732"/>
      <c r="U375" s="732"/>
      <c r="V375" s="732"/>
      <c r="W375" s="732"/>
      <c r="X375" s="732"/>
    </row>
    <row r="376" spans="20:24" ht="12.65" customHeight="1">
      <c r="T376" s="732"/>
      <c r="U376" s="732"/>
      <c r="V376" s="732"/>
      <c r="W376" s="732"/>
      <c r="X376" s="732"/>
    </row>
    <row r="377" spans="20:24" ht="12.65" customHeight="1">
      <c r="T377" s="732"/>
      <c r="U377" s="732"/>
      <c r="V377" s="732"/>
      <c r="W377" s="732"/>
      <c r="X377" s="732"/>
    </row>
    <row r="378" spans="20:24" ht="12.65" customHeight="1">
      <c r="T378" s="732"/>
      <c r="U378" s="732"/>
      <c r="V378" s="732"/>
      <c r="W378" s="732"/>
      <c r="X378" s="732"/>
    </row>
    <row r="379" spans="20:24" ht="12.65" customHeight="1">
      <c r="T379" s="732"/>
      <c r="U379" s="732"/>
      <c r="V379" s="732"/>
      <c r="W379" s="732"/>
      <c r="X379" s="732"/>
    </row>
    <row r="380" spans="20:24" ht="12.65" customHeight="1">
      <c r="T380" s="732"/>
      <c r="U380" s="732"/>
      <c r="V380" s="732"/>
      <c r="W380" s="732"/>
      <c r="X380" s="732"/>
    </row>
    <row r="381" spans="20:24" ht="12.65" customHeight="1">
      <c r="T381" s="732"/>
      <c r="U381" s="732"/>
      <c r="V381" s="732"/>
      <c r="W381" s="732"/>
      <c r="X381" s="732"/>
    </row>
    <row r="382" spans="20:24" ht="12.65" customHeight="1">
      <c r="T382" s="732"/>
      <c r="U382" s="732"/>
      <c r="V382" s="732"/>
      <c r="W382" s="732"/>
      <c r="X382" s="732"/>
    </row>
    <row r="383" spans="20:24" ht="12.65" customHeight="1">
      <c r="T383" s="732"/>
      <c r="U383" s="732"/>
      <c r="V383" s="732"/>
      <c r="W383" s="732"/>
      <c r="X383" s="732"/>
    </row>
    <row r="384" spans="20:24" ht="12.65" customHeight="1">
      <c r="T384" s="732"/>
      <c r="U384" s="732"/>
      <c r="V384" s="732"/>
      <c r="W384" s="732"/>
      <c r="X384" s="732"/>
    </row>
    <row r="385" spans="20:24" ht="12.65" customHeight="1">
      <c r="T385" s="732"/>
      <c r="U385" s="732"/>
      <c r="V385" s="732"/>
      <c r="W385" s="732"/>
      <c r="X385" s="732"/>
    </row>
    <row r="386" spans="20:24" ht="12.65" customHeight="1">
      <c r="T386" s="732"/>
      <c r="U386" s="732"/>
      <c r="V386" s="732"/>
      <c r="W386" s="732"/>
      <c r="X386" s="732"/>
    </row>
    <row r="387" spans="20:24" ht="12.65" customHeight="1">
      <c r="T387" s="732"/>
      <c r="U387" s="732"/>
      <c r="V387" s="732"/>
      <c r="W387" s="732"/>
      <c r="X387" s="732"/>
    </row>
    <row r="388" spans="20:24" ht="12.65" customHeight="1">
      <c r="T388" s="732"/>
      <c r="U388" s="732"/>
      <c r="V388" s="732"/>
      <c r="W388" s="732"/>
      <c r="X388" s="732"/>
    </row>
    <row r="389" spans="20:24" ht="12.65" customHeight="1">
      <c r="T389" s="732"/>
      <c r="U389" s="732"/>
      <c r="V389" s="732"/>
      <c r="W389" s="732"/>
      <c r="X389" s="732"/>
    </row>
    <row r="390" spans="20:24" ht="12.65" customHeight="1">
      <c r="T390" s="732"/>
      <c r="U390" s="732"/>
      <c r="V390" s="732"/>
      <c r="W390" s="732"/>
      <c r="X390" s="732"/>
    </row>
    <row r="391" spans="20:24" ht="12.65" customHeight="1">
      <c r="T391" s="732"/>
      <c r="U391" s="732"/>
      <c r="V391" s="732"/>
      <c r="W391" s="732"/>
      <c r="X391" s="732"/>
    </row>
    <row r="392" spans="20:24" ht="12.65" customHeight="1">
      <c r="T392" s="732"/>
      <c r="U392" s="732"/>
      <c r="V392" s="732"/>
      <c r="W392" s="732"/>
      <c r="X392" s="732"/>
    </row>
    <row r="393" spans="20:24" ht="12.65" customHeight="1">
      <c r="T393" s="732"/>
      <c r="U393" s="732"/>
      <c r="V393" s="732"/>
      <c r="W393" s="732"/>
      <c r="X393" s="732"/>
    </row>
    <row r="394" spans="20:24" ht="12.65" customHeight="1">
      <c r="T394" s="732"/>
      <c r="U394" s="732"/>
      <c r="V394" s="732"/>
      <c r="W394" s="732"/>
      <c r="X394" s="732"/>
    </row>
    <row r="395" spans="20:24" ht="12.65" customHeight="1">
      <c r="T395" s="732"/>
      <c r="U395" s="732"/>
      <c r="V395" s="732"/>
      <c r="W395" s="732"/>
      <c r="X395" s="732"/>
    </row>
    <row r="396" spans="20:24" ht="12.65" customHeight="1">
      <c r="T396" s="732"/>
      <c r="U396" s="732"/>
      <c r="V396" s="732"/>
      <c r="W396" s="732"/>
      <c r="X396" s="732"/>
    </row>
    <row r="397" spans="20:24" ht="12.65" customHeight="1">
      <c r="T397" s="732"/>
      <c r="U397" s="732"/>
      <c r="V397" s="732"/>
      <c r="W397" s="732"/>
      <c r="X397" s="732"/>
    </row>
    <row r="398" spans="20:24" ht="12.65" customHeight="1">
      <c r="T398" s="732"/>
      <c r="U398" s="732"/>
      <c r="V398" s="732"/>
      <c r="W398" s="732"/>
      <c r="X398" s="732"/>
    </row>
    <row r="399" spans="20:24" ht="12.65" customHeight="1">
      <c r="T399" s="732"/>
      <c r="U399" s="732"/>
      <c r="V399" s="732"/>
      <c r="W399" s="732"/>
      <c r="X399" s="732"/>
    </row>
    <row r="400" spans="20:24" ht="12.65" customHeight="1">
      <c r="T400" s="732"/>
      <c r="U400" s="732"/>
      <c r="V400" s="732"/>
      <c r="W400" s="732"/>
      <c r="X400" s="732"/>
    </row>
    <row r="401" spans="20:24" ht="12.65" customHeight="1">
      <c r="T401" s="732"/>
      <c r="U401" s="732"/>
      <c r="V401" s="732"/>
      <c r="W401" s="732"/>
      <c r="X401" s="732"/>
    </row>
    <row r="402" spans="20:24" ht="12.65" customHeight="1">
      <c r="T402" s="732"/>
      <c r="U402" s="732"/>
      <c r="V402" s="732"/>
      <c r="W402" s="732"/>
      <c r="X402" s="732"/>
    </row>
    <row r="403" spans="20:24" ht="12.65" customHeight="1">
      <c r="T403" s="732"/>
      <c r="U403" s="732"/>
      <c r="V403" s="732"/>
      <c r="W403" s="732"/>
      <c r="X403" s="732"/>
    </row>
    <row r="404" spans="20:24" ht="12.65" customHeight="1">
      <c r="T404" s="732"/>
      <c r="U404" s="732"/>
      <c r="V404" s="732"/>
      <c r="W404" s="732"/>
      <c r="X404" s="732"/>
    </row>
    <row r="405" spans="20:24" ht="12.65" customHeight="1">
      <c r="T405" s="732"/>
      <c r="U405" s="732"/>
      <c r="V405" s="732"/>
      <c r="W405" s="732"/>
      <c r="X405" s="732"/>
    </row>
    <row r="406" spans="20:24" ht="12.65" customHeight="1">
      <c r="T406" s="732"/>
      <c r="U406" s="732"/>
      <c r="V406" s="732"/>
      <c r="W406" s="732"/>
      <c r="X406" s="732"/>
    </row>
    <row r="407" spans="20:24" ht="12.65" customHeight="1">
      <c r="T407" s="732"/>
      <c r="U407" s="732"/>
      <c r="V407" s="732"/>
      <c r="W407" s="732"/>
      <c r="X407" s="732"/>
    </row>
    <row r="408" spans="20:24" ht="12.65" customHeight="1">
      <c r="T408" s="732"/>
      <c r="U408" s="732"/>
      <c r="V408" s="732"/>
      <c r="W408" s="732"/>
      <c r="X408" s="732"/>
    </row>
    <row r="409" spans="20:24" ht="12.65" customHeight="1">
      <c r="T409" s="732"/>
      <c r="U409" s="732"/>
      <c r="V409" s="732"/>
      <c r="W409" s="732"/>
      <c r="X409" s="732"/>
    </row>
    <row r="410" spans="20:24" ht="12.65" customHeight="1">
      <c r="T410" s="732"/>
      <c r="U410" s="732"/>
      <c r="V410" s="732"/>
      <c r="W410" s="732"/>
      <c r="X410" s="732"/>
    </row>
    <row r="411" spans="20:24" ht="12.65" customHeight="1">
      <c r="T411" s="732"/>
      <c r="U411" s="732"/>
      <c r="V411" s="732"/>
      <c r="W411" s="732"/>
      <c r="X411" s="732"/>
    </row>
    <row r="412" spans="20:24" ht="12.65" customHeight="1">
      <c r="T412" s="732"/>
      <c r="U412" s="732"/>
      <c r="V412" s="732"/>
      <c r="W412" s="732"/>
      <c r="X412" s="732"/>
    </row>
    <row r="413" spans="20:24" ht="12.65" customHeight="1">
      <c r="T413" s="732"/>
      <c r="U413" s="732"/>
      <c r="V413" s="732"/>
      <c r="W413" s="732"/>
      <c r="X413" s="732"/>
    </row>
    <row r="414" spans="20:24" ht="12.65" customHeight="1">
      <c r="T414" s="732"/>
      <c r="U414" s="732"/>
      <c r="V414" s="732"/>
      <c r="W414" s="732"/>
      <c r="X414" s="732"/>
    </row>
    <row r="415" spans="20:24" ht="12.65" customHeight="1">
      <c r="T415" s="732"/>
      <c r="U415" s="732"/>
      <c r="V415" s="732"/>
      <c r="W415" s="732"/>
      <c r="X415" s="732"/>
    </row>
    <row r="416" spans="20:24" ht="12.65" customHeight="1">
      <c r="T416" s="732"/>
      <c r="U416" s="732"/>
      <c r="V416" s="732"/>
      <c r="W416" s="732"/>
      <c r="X416" s="732"/>
    </row>
    <row r="417" spans="20:24" ht="12.65" customHeight="1">
      <c r="T417" s="732"/>
      <c r="U417" s="732"/>
      <c r="V417" s="732"/>
      <c r="W417" s="732"/>
      <c r="X417" s="732"/>
    </row>
    <row r="418" spans="20:24" ht="12.65" customHeight="1">
      <c r="T418" s="732"/>
      <c r="U418" s="732"/>
      <c r="V418" s="732"/>
      <c r="W418" s="732"/>
      <c r="X418" s="732"/>
    </row>
    <row r="419" spans="20:24" ht="12.65" customHeight="1">
      <c r="T419" s="732"/>
      <c r="U419" s="732"/>
      <c r="V419" s="732"/>
      <c r="W419" s="732"/>
      <c r="X419" s="732"/>
    </row>
    <row r="420" spans="20:24" ht="12.65" customHeight="1">
      <c r="T420" s="732"/>
      <c r="U420" s="732"/>
      <c r="V420" s="732"/>
      <c r="W420" s="732"/>
      <c r="X420" s="732"/>
    </row>
    <row r="421" spans="20:24" ht="12.65" customHeight="1">
      <c r="T421" s="732"/>
      <c r="U421" s="732"/>
      <c r="V421" s="732"/>
      <c r="W421" s="732"/>
      <c r="X421" s="732"/>
    </row>
    <row r="422" spans="20:24" ht="12.65" customHeight="1">
      <c r="T422" s="732"/>
      <c r="U422" s="732"/>
      <c r="V422" s="732"/>
      <c r="W422" s="732"/>
      <c r="X422" s="732"/>
    </row>
    <row r="423" spans="20:24" ht="12.65" customHeight="1">
      <c r="T423" s="732"/>
      <c r="U423" s="732"/>
      <c r="V423" s="732"/>
      <c r="W423" s="732"/>
      <c r="X423" s="732"/>
    </row>
    <row r="424" spans="20:24" ht="12.65" customHeight="1">
      <c r="T424" s="732"/>
      <c r="U424" s="732"/>
      <c r="V424" s="732"/>
      <c r="W424" s="732"/>
      <c r="X424" s="732"/>
    </row>
    <row r="425" spans="20:24" ht="12.65" customHeight="1">
      <c r="T425" s="732"/>
      <c r="U425" s="732"/>
      <c r="V425" s="732"/>
      <c r="W425" s="732"/>
      <c r="X425" s="732"/>
    </row>
    <row r="426" spans="20:24" ht="12.65" customHeight="1">
      <c r="T426" s="732"/>
      <c r="U426" s="732"/>
      <c r="V426" s="732"/>
      <c r="W426" s="732"/>
      <c r="X426" s="732"/>
    </row>
    <row r="427" spans="20:24" ht="12.65" customHeight="1">
      <c r="T427" s="732"/>
      <c r="U427" s="732"/>
      <c r="V427" s="732"/>
      <c r="W427" s="732"/>
      <c r="X427" s="732"/>
    </row>
    <row r="428" spans="20:24" ht="12.65" customHeight="1">
      <c r="T428" s="732"/>
      <c r="U428" s="732"/>
      <c r="V428" s="732"/>
      <c r="W428" s="732"/>
      <c r="X428" s="732"/>
    </row>
    <row r="429" spans="20:24" ht="12.65" customHeight="1">
      <c r="T429" s="732"/>
      <c r="U429" s="732"/>
      <c r="V429" s="732"/>
      <c r="W429" s="732"/>
      <c r="X429" s="732"/>
    </row>
    <row r="430" spans="20:24" ht="12.65" customHeight="1">
      <c r="T430" s="732"/>
      <c r="U430" s="732"/>
      <c r="V430" s="732"/>
      <c r="W430" s="732"/>
      <c r="X430" s="732"/>
    </row>
    <row r="431" spans="20:24" ht="12.65" customHeight="1">
      <c r="T431" s="732"/>
      <c r="U431" s="732"/>
      <c r="V431" s="732"/>
      <c r="W431" s="732"/>
      <c r="X431" s="732"/>
    </row>
    <row r="432" spans="20:24" ht="12.65" customHeight="1">
      <c r="T432" s="732"/>
      <c r="U432" s="732"/>
      <c r="V432" s="732"/>
      <c r="W432" s="732"/>
      <c r="X432" s="732"/>
    </row>
    <row r="433" spans="20:24" ht="12.65" customHeight="1">
      <c r="T433" s="732"/>
      <c r="U433" s="732"/>
      <c r="V433" s="732"/>
      <c r="W433" s="732"/>
      <c r="X433" s="732"/>
    </row>
    <row r="434" spans="20:24" ht="12.65" customHeight="1">
      <c r="T434" s="732"/>
      <c r="U434" s="732"/>
      <c r="V434" s="732"/>
      <c r="W434" s="732"/>
      <c r="X434" s="732"/>
    </row>
    <row r="435" spans="20:24" ht="12.65" customHeight="1">
      <c r="T435" s="732"/>
      <c r="U435" s="732"/>
      <c r="V435" s="732"/>
      <c r="W435" s="732"/>
      <c r="X435" s="732"/>
    </row>
    <row r="436" spans="20:24" ht="12.65" customHeight="1">
      <c r="T436" s="732"/>
      <c r="U436" s="732"/>
      <c r="V436" s="732"/>
      <c r="W436" s="732"/>
      <c r="X436" s="732"/>
    </row>
    <row r="437" spans="20:24" ht="12.65" customHeight="1">
      <c r="T437" s="732"/>
      <c r="U437" s="732"/>
      <c r="V437" s="732"/>
      <c r="W437" s="732"/>
      <c r="X437" s="732"/>
    </row>
    <row r="438" spans="20:24" ht="12.65" customHeight="1">
      <c r="T438" s="732"/>
      <c r="U438" s="732"/>
      <c r="V438" s="732"/>
      <c r="W438" s="732"/>
      <c r="X438" s="732"/>
    </row>
    <row r="439" spans="20:24" ht="12.65" customHeight="1">
      <c r="T439" s="732"/>
      <c r="U439" s="732"/>
      <c r="V439" s="732"/>
      <c r="W439" s="732"/>
      <c r="X439" s="732"/>
    </row>
    <row r="440" spans="20:24" ht="12.65" customHeight="1">
      <c r="T440" s="732"/>
      <c r="U440" s="732"/>
      <c r="V440" s="732"/>
      <c r="W440" s="732"/>
      <c r="X440" s="732"/>
    </row>
    <row r="441" spans="20:24" ht="12.65" customHeight="1">
      <c r="T441" s="732"/>
      <c r="U441" s="732"/>
      <c r="V441" s="732"/>
      <c r="W441" s="732"/>
      <c r="X441" s="732"/>
    </row>
    <row r="442" spans="20:24" ht="12.65" customHeight="1">
      <c r="T442" s="732"/>
      <c r="U442" s="732"/>
      <c r="V442" s="732"/>
      <c r="W442" s="732"/>
      <c r="X442" s="732"/>
    </row>
    <row r="443" spans="20:24" ht="12.65" customHeight="1">
      <c r="T443" s="732"/>
      <c r="U443" s="732"/>
      <c r="V443" s="732"/>
      <c r="W443" s="732"/>
      <c r="X443" s="732"/>
    </row>
    <row r="444" spans="20:24" ht="12.65" customHeight="1">
      <c r="T444" s="732"/>
      <c r="U444" s="732"/>
      <c r="V444" s="732"/>
      <c r="W444" s="732"/>
      <c r="X444" s="732"/>
    </row>
    <row r="445" spans="20:24" ht="12.65" customHeight="1">
      <c r="T445" s="732"/>
      <c r="U445" s="732"/>
      <c r="V445" s="732"/>
      <c r="W445" s="732"/>
      <c r="X445" s="732"/>
    </row>
    <row r="446" spans="20:24" ht="12.65" customHeight="1">
      <c r="T446" s="732"/>
      <c r="U446" s="732"/>
      <c r="V446" s="732"/>
      <c r="W446" s="732"/>
      <c r="X446" s="732"/>
    </row>
    <row r="447" spans="20:24" ht="12.65" customHeight="1">
      <c r="T447" s="732"/>
      <c r="U447" s="732"/>
      <c r="V447" s="732"/>
      <c r="W447" s="732"/>
      <c r="X447" s="732"/>
    </row>
    <row r="448" spans="20:24" ht="12.65" customHeight="1">
      <c r="T448" s="732"/>
      <c r="U448" s="732"/>
      <c r="V448" s="732"/>
      <c r="W448" s="732"/>
      <c r="X448" s="732"/>
    </row>
    <row r="449" spans="20:24" ht="12.65" customHeight="1">
      <c r="T449" s="732"/>
      <c r="U449" s="732"/>
      <c r="V449" s="732"/>
      <c r="W449" s="732"/>
      <c r="X449" s="732"/>
    </row>
    <row r="450" spans="20:24" ht="12.65" customHeight="1">
      <c r="T450" s="732"/>
      <c r="U450" s="732"/>
      <c r="V450" s="732"/>
      <c r="W450" s="732"/>
      <c r="X450" s="732"/>
    </row>
    <row r="451" spans="20:24" ht="12.65" customHeight="1">
      <c r="T451" s="732"/>
      <c r="U451" s="732"/>
      <c r="V451" s="732"/>
      <c r="W451" s="732"/>
      <c r="X451" s="732"/>
    </row>
    <row r="452" spans="20:24" ht="12.65" customHeight="1">
      <c r="T452" s="732"/>
      <c r="U452" s="732"/>
      <c r="V452" s="732"/>
      <c r="W452" s="732"/>
      <c r="X452" s="732"/>
    </row>
    <row r="453" spans="20:24" ht="12.65" customHeight="1">
      <c r="T453" s="732"/>
      <c r="U453" s="732"/>
      <c r="V453" s="732"/>
      <c r="W453" s="732"/>
      <c r="X453" s="732"/>
    </row>
    <row r="454" spans="20:24" ht="12.65" customHeight="1">
      <c r="T454" s="732"/>
      <c r="U454" s="732"/>
      <c r="V454" s="732"/>
      <c r="W454" s="732"/>
      <c r="X454" s="732"/>
    </row>
    <row r="455" spans="20:24" ht="12.65" customHeight="1">
      <c r="T455" s="732"/>
      <c r="U455" s="732"/>
      <c r="V455" s="732"/>
      <c r="W455" s="732"/>
      <c r="X455" s="732"/>
    </row>
    <row r="456" spans="20:24" ht="12.65" customHeight="1">
      <c r="T456" s="732"/>
      <c r="U456" s="732"/>
      <c r="V456" s="732"/>
      <c r="W456" s="732"/>
      <c r="X456" s="732"/>
    </row>
    <row r="457" spans="20:24" ht="12.65" customHeight="1">
      <c r="T457" s="732"/>
      <c r="U457" s="732"/>
      <c r="V457" s="732"/>
      <c r="W457" s="732"/>
      <c r="X457" s="732"/>
    </row>
    <row r="458" spans="20:24" ht="12.65" customHeight="1">
      <c r="T458" s="732"/>
      <c r="U458" s="732"/>
      <c r="V458" s="732"/>
      <c r="W458" s="732"/>
      <c r="X458" s="732"/>
    </row>
    <row r="459" spans="20:24" ht="12.65" customHeight="1">
      <c r="T459" s="732"/>
      <c r="U459" s="732"/>
      <c r="V459" s="732"/>
      <c r="W459" s="732"/>
      <c r="X459" s="732"/>
    </row>
    <row r="460" spans="20:24" ht="12.65" customHeight="1">
      <c r="T460" s="732"/>
      <c r="U460" s="732"/>
      <c r="V460" s="732"/>
      <c r="W460" s="732"/>
      <c r="X460" s="732"/>
    </row>
    <row r="461" spans="20:24" ht="12.65" customHeight="1">
      <c r="T461" s="732"/>
      <c r="U461" s="732"/>
      <c r="V461" s="732"/>
      <c r="W461" s="732"/>
      <c r="X461" s="732"/>
    </row>
    <row r="462" spans="20:24" ht="12.65" customHeight="1">
      <c r="T462" s="732"/>
      <c r="U462" s="732"/>
      <c r="V462" s="732"/>
      <c r="W462" s="732"/>
      <c r="X462" s="732"/>
    </row>
    <row r="463" spans="20:24" ht="12.65" customHeight="1">
      <c r="T463" s="732"/>
      <c r="U463" s="732"/>
      <c r="V463" s="732"/>
      <c r="W463" s="732"/>
      <c r="X463" s="732"/>
    </row>
    <row r="464" spans="20:24" ht="12.65" customHeight="1">
      <c r="T464" s="732"/>
      <c r="U464" s="732"/>
      <c r="V464" s="732"/>
      <c r="W464" s="732"/>
      <c r="X464" s="732"/>
    </row>
    <row r="465" spans="20:24" ht="12.65" customHeight="1">
      <c r="T465" s="732"/>
      <c r="U465" s="732"/>
      <c r="V465" s="732"/>
      <c r="W465" s="732"/>
      <c r="X465" s="732"/>
    </row>
    <row r="466" spans="20:24" ht="12.65" customHeight="1">
      <c r="T466" s="732"/>
      <c r="U466" s="732"/>
      <c r="V466" s="732"/>
      <c r="W466" s="732"/>
      <c r="X466" s="732"/>
    </row>
    <row r="467" spans="20:24" ht="12.65" customHeight="1">
      <c r="T467" s="732"/>
      <c r="U467" s="732"/>
      <c r="V467" s="732"/>
      <c r="W467" s="732"/>
      <c r="X467" s="732"/>
    </row>
    <row r="468" spans="20:24" ht="12.65" customHeight="1">
      <c r="T468" s="732"/>
      <c r="U468" s="732"/>
      <c r="V468" s="732"/>
      <c r="W468" s="732"/>
      <c r="X468" s="732"/>
    </row>
    <row r="469" spans="20:24" ht="12.65" customHeight="1">
      <c r="T469" s="732"/>
      <c r="U469" s="732"/>
      <c r="V469" s="732"/>
      <c r="W469" s="732"/>
      <c r="X469" s="732"/>
    </row>
    <row r="470" spans="20:24" ht="12.65" customHeight="1">
      <c r="T470" s="732"/>
      <c r="U470" s="732"/>
      <c r="V470" s="732"/>
      <c r="W470" s="732"/>
      <c r="X470" s="732"/>
    </row>
    <row r="471" spans="20:24" ht="12.65" customHeight="1">
      <c r="T471" s="732"/>
      <c r="U471" s="732"/>
      <c r="V471" s="732"/>
      <c r="W471" s="732"/>
      <c r="X471" s="732"/>
    </row>
    <row r="472" spans="20:24" ht="12.65" customHeight="1">
      <c r="T472" s="732"/>
      <c r="U472" s="732"/>
      <c r="V472" s="732"/>
      <c r="W472" s="732"/>
      <c r="X472" s="732"/>
    </row>
    <row r="473" spans="20:24" ht="12.65" customHeight="1">
      <c r="T473" s="732"/>
      <c r="U473" s="732"/>
      <c r="V473" s="732"/>
      <c r="W473" s="732"/>
      <c r="X473" s="732"/>
    </row>
    <row r="474" spans="20:24" ht="12.65" customHeight="1">
      <c r="T474" s="732"/>
      <c r="U474" s="732"/>
      <c r="V474" s="732"/>
      <c r="W474" s="732"/>
      <c r="X474" s="732"/>
    </row>
    <row r="475" spans="20:24" ht="12.65" customHeight="1">
      <c r="T475" s="732"/>
      <c r="U475" s="732"/>
      <c r="V475" s="732"/>
      <c r="W475" s="732"/>
      <c r="X475" s="732"/>
    </row>
    <row r="476" spans="20:24" ht="12.65" customHeight="1">
      <c r="T476" s="732"/>
      <c r="U476" s="732"/>
      <c r="V476" s="732"/>
      <c r="W476" s="732"/>
      <c r="X476" s="732"/>
    </row>
    <row r="477" spans="20:24" ht="12.65" customHeight="1">
      <c r="T477" s="732"/>
      <c r="U477" s="732"/>
      <c r="V477" s="732"/>
      <c r="W477" s="732"/>
      <c r="X477" s="732"/>
    </row>
    <row r="478" spans="20:24" ht="12.65" customHeight="1">
      <c r="T478" s="732"/>
      <c r="U478" s="732"/>
      <c r="V478" s="732"/>
      <c r="W478" s="732"/>
      <c r="X478" s="732"/>
    </row>
    <row r="479" spans="20:24" ht="12.65" customHeight="1">
      <c r="T479" s="732"/>
      <c r="U479" s="732"/>
      <c r="V479" s="732"/>
      <c r="W479" s="732"/>
      <c r="X479" s="732"/>
    </row>
    <row r="480" spans="20:24" ht="12.65" customHeight="1">
      <c r="T480" s="732"/>
      <c r="U480" s="732"/>
      <c r="V480" s="732"/>
      <c r="W480" s="732"/>
      <c r="X480" s="732"/>
    </row>
    <row r="481" spans="20:24" ht="12.65" customHeight="1">
      <c r="T481" s="732"/>
      <c r="U481" s="732"/>
      <c r="V481" s="732"/>
      <c r="W481" s="732"/>
      <c r="X481" s="732"/>
    </row>
    <row r="482" spans="20:24" ht="12.65" customHeight="1">
      <c r="T482" s="732"/>
      <c r="U482" s="732"/>
      <c r="V482" s="732"/>
      <c r="W482" s="732"/>
      <c r="X482" s="732"/>
    </row>
    <row r="483" spans="20:24" ht="12.65" customHeight="1">
      <c r="T483" s="732"/>
      <c r="U483" s="732"/>
      <c r="V483" s="732"/>
      <c r="W483" s="732"/>
      <c r="X483" s="732"/>
    </row>
    <row r="484" spans="20:24" ht="12.65" customHeight="1">
      <c r="T484" s="732"/>
      <c r="U484" s="732"/>
      <c r="V484" s="732"/>
      <c r="W484" s="732"/>
      <c r="X484" s="732"/>
    </row>
    <row r="485" spans="20:24" ht="12.65" customHeight="1">
      <c r="T485" s="732"/>
      <c r="U485" s="732"/>
      <c r="V485" s="732"/>
      <c r="W485" s="732"/>
      <c r="X485" s="732"/>
    </row>
    <row r="486" spans="20:24" ht="12.65" customHeight="1">
      <c r="T486" s="732"/>
      <c r="U486" s="732"/>
      <c r="V486" s="732"/>
      <c r="W486" s="732"/>
      <c r="X486" s="732"/>
    </row>
    <row r="487" spans="20:24" ht="12.65" customHeight="1">
      <c r="T487" s="732"/>
      <c r="U487" s="732"/>
      <c r="V487" s="732"/>
      <c r="W487" s="732"/>
      <c r="X487" s="732"/>
    </row>
    <row r="488" spans="20:24" ht="12.65" customHeight="1">
      <c r="T488" s="732"/>
      <c r="U488" s="732"/>
      <c r="V488" s="732"/>
      <c r="W488" s="732"/>
      <c r="X488" s="732"/>
    </row>
    <row r="489" spans="20:24" ht="12.65" customHeight="1">
      <c r="T489" s="732"/>
      <c r="U489" s="732"/>
      <c r="V489" s="732"/>
      <c r="W489" s="732"/>
      <c r="X489" s="732"/>
    </row>
    <row r="490" spans="20:24" ht="12.65" customHeight="1">
      <c r="T490" s="732"/>
      <c r="U490" s="732"/>
      <c r="V490" s="732"/>
      <c r="W490" s="732"/>
      <c r="X490" s="732"/>
    </row>
    <row r="491" spans="20:24" ht="12.65" customHeight="1">
      <c r="T491" s="732"/>
      <c r="U491" s="732"/>
      <c r="V491" s="732"/>
      <c r="W491" s="732"/>
      <c r="X491" s="732"/>
    </row>
    <row r="492" spans="20:24" ht="12.65" customHeight="1">
      <c r="T492" s="732"/>
      <c r="U492" s="732"/>
      <c r="V492" s="732"/>
      <c r="W492" s="732"/>
      <c r="X492" s="732"/>
    </row>
    <row r="493" spans="20:24" ht="12.65" customHeight="1">
      <c r="T493" s="732"/>
      <c r="U493" s="732"/>
      <c r="V493" s="732"/>
      <c r="W493" s="732"/>
      <c r="X493" s="732"/>
    </row>
    <row r="494" spans="20:24" ht="12.65" customHeight="1">
      <c r="T494" s="732"/>
      <c r="U494" s="732"/>
      <c r="V494" s="732"/>
      <c r="W494" s="732"/>
      <c r="X494" s="732"/>
    </row>
    <row r="495" spans="20:24" ht="12.65" customHeight="1">
      <c r="T495" s="732"/>
      <c r="U495" s="732"/>
      <c r="V495" s="732"/>
      <c r="W495" s="732"/>
      <c r="X495" s="732"/>
    </row>
    <row r="496" spans="20:24" ht="12.65" customHeight="1">
      <c r="T496" s="732"/>
      <c r="U496" s="732"/>
      <c r="V496" s="732"/>
      <c r="W496" s="732"/>
      <c r="X496" s="732"/>
    </row>
    <row r="497" spans="20:24" ht="12.65" customHeight="1">
      <c r="T497" s="732"/>
      <c r="U497" s="732"/>
      <c r="V497" s="732"/>
      <c r="W497" s="732"/>
      <c r="X497" s="732"/>
    </row>
    <row r="498" spans="20:24" ht="12.65" customHeight="1">
      <c r="T498" s="732"/>
      <c r="U498" s="732"/>
      <c r="V498" s="732"/>
      <c r="W498" s="732"/>
      <c r="X498" s="732"/>
    </row>
    <row r="499" spans="20:24" ht="12.65" customHeight="1">
      <c r="T499" s="732"/>
      <c r="U499" s="732"/>
      <c r="V499" s="732"/>
      <c r="W499" s="732"/>
      <c r="X499" s="732"/>
    </row>
    <row r="500" spans="20:24" ht="12.65" customHeight="1">
      <c r="T500" s="732"/>
      <c r="U500" s="732"/>
      <c r="V500" s="732"/>
      <c r="W500" s="732"/>
      <c r="X500" s="732"/>
    </row>
    <row r="501" spans="20:24" ht="12.65" customHeight="1">
      <c r="T501" s="732"/>
      <c r="U501" s="732"/>
      <c r="V501" s="732"/>
      <c r="W501" s="732"/>
      <c r="X501" s="732"/>
    </row>
    <row r="502" spans="20:24" ht="12.65" customHeight="1">
      <c r="T502" s="732"/>
      <c r="U502" s="732"/>
      <c r="V502" s="732"/>
      <c r="W502" s="732"/>
      <c r="X502" s="732"/>
    </row>
    <row r="503" spans="20:24" ht="12.65" customHeight="1">
      <c r="T503" s="732"/>
      <c r="U503" s="732"/>
      <c r="V503" s="732"/>
      <c r="W503" s="732"/>
      <c r="X503" s="732"/>
    </row>
    <row r="504" spans="20:24" ht="12.65" customHeight="1">
      <c r="T504" s="732"/>
      <c r="U504" s="732"/>
      <c r="V504" s="732"/>
      <c r="W504" s="732"/>
      <c r="X504" s="732"/>
    </row>
    <row r="505" spans="20:24" ht="12.65" customHeight="1">
      <c r="T505" s="732"/>
      <c r="U505" s="732"/>
      <c r="V505" s="732"/>
      <c r="W505" s="732"/>
      <c r="X505" s="732"/>
    </row>
    <row r="506" spans="20:24" ht="12.65" customHeight="1">
      <c r="T506" s="732"/>
      <c r="U506" s="732"/>
      <c r="V506" s="732"/>
      <c r="W506" s="732"/>
      <c r="X506" s="732"/>
    </row>
    <row r="507" spans="20:24" ht="12.65" customHeight="1">
      <c r="T507" s="732"/>
      <c r="U507" s="732"/>
      <c r="V507" s="732"/>
      <c r="W507" s="732"/>
      <c r="X507" s="732"/>
    </row>
    <row r="508" spans="20:24" ht="12.65" customHeight="1">
      <c r="T508" s="732"/>
      <c r="U508" s="732"/>
      <c r="V508" s="732"/>
      <c r="W508" s="732"/>
      <c r="X508" s="732"/>
    </row>
    <row r="509" spans="20:24" ht="12.65" customHeight="1">
      <c r="T509" s="732"/>
      <c r="U509" s="732"/>
      <c r="V509" s="732"/>
      <c r="W509" s="732"/>
      <c r="X509" s="732"/>
    </row>
    <row r="510" spans="20:24" ht="12.65" customHeight="1">
      <c r="T510" s="732"/>
      <c r="U510" s="732"/>
      <c r="V510" s="732"/>
      <c r="W510" s="732"/>
      <c r="X510" s="732"/>
    </row>
    <row r="511" spans="20:24" ht="12.65" customHeight="1">
      <c r="T511" s="732"/>
      <c r="U511" s="732"/>
      <c r="V511" s="732"/>
      <c r="W511" s="732"/>
      <c r="X511" s="732"/>
    </row>
    <row r="512" spans="20:24" ht="12.65" customHeight="1">
      <c r="T512" s="732"/>
      <c r="U512" s="732"/>
      <c r="V512" s="732"/>
      <c r="W512" s="732"/>
      <c r="X512" s="732"/>
    </row>
    <row r="513" spans="20:24" ht="12.65" customHeight="1">
      <c r="T513" s="732"/>
      <c r="U513" s="732"/>
      <c r="V513" s="732"/>
      <c r="W513" s="732"/>
      <c r="X513" s="732"/>
    </row>
    <row r="514" spans="20:24" ht="12.65" customHeight="1">
      <c r="T514" s="732"/>
      <c r="U514" s="732"/>
      <c r="V514" s="732"/>
      <c r="W514" s="732"/>
      <c r="X514" s="732"/>
    </row>
    <row r="515" spans="20:24" ht="12.65" customHeight="1">
      <c r="T515" s="732"/>
      <c r="U515" s="732"/>
      <c r="V515" s="732"/>
      <c r="W515" s="732"/>
      <c r="X515" s="732"/>
    </row>
    <row r="516" spans="20:24" ht="12.65" customHeight="1">
      <c r="T516" s="732"/>
      <c r="U516" s="732"/>
      <c r="V516" s="732"/>
      <c r="W516" s="732"/>
      <c r="X516" s="732"/>
    </row>
    <row r="517" spans="20:24" ht="12.65" customHeight="1">
      <c r="T517" s="732"/>
      <c r="U517" s="732"/>
      <c r="V517" s="732"/>
      <c r="W517" s="732"/>
      <c r="X517" s="732"/>
    </row>
    <row r="518" spans="20:24" ht="12.65" customHeight="1">
      <c r="T518" s="732"/>
      <c r="U518" s="732"/>
      <c r="V518" s="732"/>
      <c r="W518" s="732"/>
      <c r="X518" s="732"/>
    </row>
    <row r="519" spans="20:24" ht="12.65" customHeight="1">
      <c r="T519" s="732"/>
      <c r="U519" s="732"/>
      <c r="V519" s="732"/>
      <c r="W519" s="732"/>
      <c r="X519" s="732"/>
    </row>
    <row r="520" spans="20:24" ht="12.65" customHeight="1">
      <c r="T520" s="732"/>
      <c r="U520" s="732"/>
      <c r="V520" s="732"/>
      <c r="W520" s="732"/>
      <c r="X520" s="732"/>
    </row>
    <row r="521" spans="20:24" ht="12.65" customHeight="1">
      <c r="T521" s="732"/>
      <c r="U521" s="732"/>
      <c r="V521" s="732"/>
      <c r="W521" s="732"/>
      <c r="X521" s="732"/>
    </row>
    <row r="522" spans="20:24" ht="12.65" customHeight="1">
      <c r="T522" s="732"/>
      <c r="U522" s="732"/>
      <c r="V522" s="732"/>
      <c r="W522" s="732"/>
      <c r="X522" s="732"/>
    </row>
    <row r="523" spans="20:24" ht="12.65" customHeight="1">
      <c r="T523" s="732"/>
      <c r="U523" s="732"/>
      <c r="V523" s="732"/>
      <c r="W523" s="732"/>
      <c r="X523" s="732"/>
    </row>
    <row r="524" spans="20:24" ht="12.65" customHeight="1">
      <c r="T524" s="732"/>
      <c r="U524" s="732"/>
      <c r="V524" s="732"/>
      <c r="W524" s="732"/>
      <c r="X524" s="732"/>
    </row>
    <row r="525" spans="20:24" ht="12.65" customHeight="1">
      <c r="T525" s="732"/>
      <c r="U525" s="732"/>
      <c r="V525" s="732"/>
      <c r="W525" s="732"/>
      <c r="X525" s="732"/>
    </row>
    <row r="526" spans="20:24" ht="12.65" customHeight="1">
      <c r="T526" s="732"/>
      <c r="U526" s="732"/>
      <c r="V526" s="732"/>
      <c r="W526" s="732"/>
      <c r="X526" s="732"/>
    </row>
    <row r="527" spans="20:24" ht="12.65" customHeight="1">
      <c r="T527" s="732"/>
      <c r="U527" s="732"/>
      <c r="V527" s="732"/>
      <c r="W527" s="732"/>
      <c r="X527" s="732"/>
    </row>
    <row r="528" spans="20:24" ht="12.65" customHeight="1">
      <c r="T528" s="732"/>
      <c r="U528" s="732"/>
      <c r="V528" s="732"/>
      <c r="W528" s="732"/>
      <c r="X528" s="732"/>
    </row>
    <row r="529" spans="20:24" ht="12.65" customHeight="1">
      <c r="T529" s="732"/>
      <c r="U529" s="732"/>
      <c r="V529" s="732"/>
      <c r="W529" s="732"/>
      <c r="X529" s="732"/>
    </row>
    <row r="530" spans="20:24" ht="12.65" customHeight="1">
      <c r="T530" s="732"/>
      <c r="U530" s="732"/>
      <c r="V530" s="732"/>
      <c r="W530" s="732"/>
      <c r="X530" s="732"/>
    </row>
    <row r="531" spans="20:24" ht="12.65" customHeight="1">
      <c r="T531" s="732"/>
      <c r="U531" s="732"/>
      <c r="V531" s="732"/>
      <c r="W531" s="732"/>
      <c r="X531" s="732"/>
    </row>
    <row r="532" spans="20:24" ht="12.65" customHeight="1">
      <c r="T532" s="732"/>
      <c r="U532" s="732"/>
      <c r="V532" s="732"/>
      <c r="W532" s="732"/>
      <c r="X532" s="732"/>
    </row>
    <row r="533" spans="20:24" ht="12.65" customHeight="1">
      <c r="T533" s="732"/>
      <c r="U533" s="732"/>
      <c r="V533" s="732"/>
      <c r="W533" s="732"/>
      <c r="X533" s="732"/>
    </row>
    <row r="534" spans="20:24" ht="12.65" customHeight="1">
      <c r="T534" s="732"/>
      <c r="U534" s="732"/>
      <c r="V534" s="732"/>
      <c r="W534" s="732"/>
      <c r="X534" s="732"/>
    </row>
    <row r="535" spans="20:24" ht="12.65" customHeight="1">
      <c r="T535" s="732"/>
      <c r="U535" s="732"/>
      <c r="V535" s="732"/>
      <c r="W535" s="732"/>
      <c r="X535" s="732"/>
    </row>
    <row r="536" spans="20:24" ht="12.65" customHeight="1">
      <c r="T536" s="732"/>
      <c r="U536" s="732"/>
      <c r="V536" s="732"/>
      <c r="W536" s="732"/>
      <c r="X536" s="732"/>
    </row>
    <row r="537" spans="20:24" ht="12.65" customHeight="1">
      <c r="T537" s="732"/>
      <c r="U537" s="732"/>
      <c r="V537" s="732"/>
      <c r="W537" s="732"/>
      <c r="X537" s="732"/>
    </row>
    <row r="538" spans="20:24" ht="12.65" customHeight="1">
      <c r="T538" s="732"/>
      <c r="U538" s="732"/>
      <c r="V538" s="732"/>
      <c r="W538" s="732"/>
      <c r="X538" s="732"/>
    </row>
    <row r="539" spans="20:24" ht="12.65" customHeight="1">
      <c r="T539" s="732"/>
      <c r="U539" s="732"/>
      <c r="V539" s="732"/>
      <c r="W539" s="732"/>
      <c r="X539" s="732"/>
    </row>
    <row r="540" spans="20:24" ht="12.65" customHeight="1">
      <c r="T540" s="732"/>
      <c r="U540" s="732"/>
      <c r="V540" s="732"/>
      <c r="W540" s="732"/>
      <c r="X540" s="732"/>
    </row>
    <row r="541" spans="20:24" ht="12.65" customHeight="1">
      <c r="T541" s="732"/>
      <c r="U541" s="732"/>
      <c r="V541" s="732"/>
      <c r="W541" s="732"/>
      <c r="X541" s="732"/>
    </row>
    <row r="542" spans="20:24" ht="12.65" customHeight="1">
      <c r="T542" s="732"/>
      <c r="U542" s="732"/>
      <c r="V542" s="732"/>
      <c r="W542" s="732"/>
      <c r="X542" s="732"/>
    </row>
    <row r="543" spans="20:24" ht="12.65" customHeight="1">
      <c r="T543" s="732"/>
      <c r="U543" s="732"/>
      <c r="V543" s="732"/>
      <c r="W543" s="732"/>
      <c r="X543" s="732"/>
    </row>
    <row r="544" spans="20:24" ht="12.65" customHeight="1">
      <c r="T544" s="732"/>
      <c r="U544" s="732"/>
      <c r="V544" s="732"/>
      <c r="W544" s="732"/>
      <c r="X544" s="732"/>
    </row>
    <row r="545" spans="20:24" ht="12.65" customHeight="1">
      <c r="T545" s="732"/>
      <c r="U545" s="732"/>
      <c r="V545" s="732"/>
      <c r="W545" s="732"/>
      <c r="X545" s="732"/>
    </row>
    <row r="546" spans="20:24" ht="12.65" customHeight="1">
      <c r="T546" s="732"/>
      <c r="U546" s="732"/>
      <c r="V546" s="732"/>
      <c r="W546" s="732"/>
      <c r="X546" s="732"/>
    </row>
    <row r="547" spans="20:24" ht="12.65" customHeight="1">
      <c r="T547" s="732"/>
      <c r="U547" s="732"/>
      <c r="V547" s="732"/>
      <c r="W547" s="732"/>
      <c r="X547" s="732"/>
    </row>
    <row r="548" spans="20:24" ht="12.65" customHeight="1">
      <c r="T548" s="732"/>
      <c r="U548" s="732"/>
      <c r="V548" s="732"/>
      <c r="W548" s="732"/>
      <c r="X548" s="732"/>
    </row>
    <row r="549" spans="20:24" ht="12.65" customHeight="1">
      <c r="T549" s="732"/>
      <c r="U549" s="732"/>
      <c r="V549" s="732"/>
      <c r="W549" s="732"/>
      <c r="X549" s="732"/>
    </row>
    <row r="550" spans="20:24" ht="12.65" customHeight="1">
      <c r="T550" s="732"/>
      <c r="U550" s="732"/>
      <c r="V550" s="732"/>
      <c r="W550" s="732"/>
      <c r="X550" s="732"/>
    </row>
    <row r="551" spans="20:24" ht="12.65" customHeight="1">
      <c r="T551" s="732"/>
      <c r="U551" s="732"/>
      <c r="V551" s="732"/>
      <c r="W551" s="732"/>
      <c r="X551" s="732"/>
    </row>
    <row r="552" spans="20:24" ht="12.65" customHeight="1">
      <c r="T552" s="732"/>
      <c r="U552" s="732"/>
      <c r="V552" s="732"/>
      <c r="W552" s="732"/>
      <c r="X552" s="732"/>
    </row>
    <row r="553" spans="20:24" ht="12.65" customHeight="1">
      <c r="T553" s="732"/>
      <c r="U553" s="732"/>
      <c r="V553" s="732"/>
      <c r="W553" s="732"/>
      <c r="X553" s="732"/>
    </row>
    <row r="554" spans="20:24" ht="12.65" customHeight="1">
      <c r="T554" s="732"/>
      <c r="U554" s="732"/>
      <c r="V554" s="732"/>
      <c r="W554" s="732"/>
      <c r="X554" s="732"/>
    </row>
    <row r="555" spans="20:24" ht="12.65" customHeight="1">
      <c r="T555" s="732"/>
      <c r="U555" s="732"/>
      <c r="V555" s="732"/>
      <c r="W555" s="732"/>
      <c r="X555" s="732"/>
    </row>
    <row r="556" spans="20:24" ht="12.65" customHeight="1">
      <c r="T556" s="732"/>
      <c r="U556" s="732"/>
      <c r="V556" s="732"/>
      <c r="W556" s="732"/>
      <c r="X556" s="732"/>
    </row>
    <row r="557" spans="20:24" ht="12.65" customHeight="1">
      <c r="T557" s="732"/>
      <c r="U557" s="732"/>
      <c r="V557" s="732"/>
      <c r="W557" s="732"/>
      <c r="X557" s="732"/>
    </row>
    <row r="558" spans="20:24" ht="12.65" customHeight="1">
      <c r="T558" s="732"/>
      <c r="U558" s="732"/>
      <c r="V558" s="732"/>
      <c r="W558" s="732"/>
      <c r="X558" s="732"/>
    </row>
    <row r="559" spans="20:24" ht="12.65" customHeight="1">
      <c r="T559" s="732"/>
      <c r="U559" s="732"/>
      <c r="V559" s="732"/>
      <c r="W559" s="732"/>
      <c r="X559" s="732"/>
    </row>
    <row r="560" spans="20:24" ht="12.65" customHeight="1">
      <c r="T560" s="732"/>
      <c r="U560" s="732"/>
      <c r="V560" s="732"/>
      <c r="W560" s="732"/>
      <c r="X560" s="732"/>
    </row>
    <row r="561" spans="20:24" ht="12.65" customHeight="1">
      <c r="T561" s="732"/>
      <c r="U561" s="732"/>
      <c r="V561" s="732"/>
      <c r="W561" s="732"/>
      <c r="X561" s="732"/>
    </row>
    <row r="562" spans="20:24" ht="12.65" customHeight="1">
      <c r="T562" s="732"/>
      <c r="U562" s="732"/>
      <c r="V562" s="732"/>
      <c r="W562" s="732"/>
      <c r="X562" s="732"/>
    </row>
    <row r="563" spans="20:24" ht="12.65" customHeight="1">
      <c r="T563" s="732"/>
      <c r="U563" s="732"/>
      <c r="V563" s="732"/>
      <c r="W563" s="732"/>
      <c r="X563" s="732"/>
    </row>
    <row r="564" spans="20:24" ht="12.65" customHeight="1">
      <c r="T564" s="732"/>
      <c r="U564" s="732"/>
      <c r="V564" s="732"/>
      <c r="W564" s="732"/>
      <c r="X564" s="732"/>
    </row>
    <row r="565" spans="20:24" ht="12.65" customHeight="1">
      <c r="T565" s="732"/>
      <c r="U565" s="732"/>
      <c r="V565" s="732"/>
      <c r="W565" s="732"/>
      <c r="X565" s="732"/>
    </row>
    <row r="566" spans="20:24" ht="12.65" customHeight="1">
      <c r="T566" s="732"/>
      <c r="U566" s="732"/>
      <c r="V566" s="732"/>
      <c r="W566" s="732"/>
      <c r="X566" s="732"/>
    </row>
    <row r="567" spans="20:24" ht="12.65" customHeight="1">
      <c r="T567" s="732"/>
      <c r="U567" s="732"/>
      <c r="V567" s="732"/>
      <c r="W567" s="732"/>
      <c r="X567" s="732"/>
    </row>
    <row r="568" spans="20:24" ht="12.65" customHeight="1">
      <c r="T568" s="732"/>
      <c r="U568" s="732"/>
      <c r="V568" s="732"/>
      <c r="W568" s="732"/>
      <c r="X568" s="732"/>
    </row>
    <row r="569" spans="20:24" ht="12.65" customHeight="1">
      <c r="T569" s="732"/>
      <c r="U569" s="732"/>
      <c r="V569" s="732"/>
      <c r="W569" s="732"/>
      <c r="X569" s="732"/>
    </row>
    <row r="570" spans="20:24" ht="12.65" customHeight="1">
      <c r="T570" s="732"/>
      <c r="U570" s="732"/>
      <c r="V570" s="732"/>
      <c r="W570" s="732"/>
      <c r="X570" s="732"/>
    </row>
    <row r="571" spans="20:24" ht="12.65" customHeight="1">
      <c r="T571" s="732"/>
      <c r="U571" s="732"/>
      <c r="V571" s="732"/>
      <c r="W571" s="732"/>
      <c r="X571" s="732"/>
    </row>
    <row r="572" spans="20:24" ht="12.65" customHeight="1">
      <c r="T572" s="732"/>
      <c r="U572" s="732"/>
      <c r="V572" s="732"/>
      <c r="W572" s="732"/>
      <c r="X572" s="732"/>
    </row>
    <row r="573" spans="20:24" ht="12.65" customHeight="1">
      <c r="T573" s="732"/>
      <c r="U573" s="732"/>
      <c r="V573" s="732"/>
      <c r="W573" s="732"/>
      <c r="X573" s="732"/>
    </row>
    <row r="574" spans="20:24" ht="12.65" customHeight="1">
      <c r="T574" s="732"/>
      <c r="U574" s="732"/>
      <c r="V574" s="732"/>
      <c r="W574" s="732"/>
      <c r="X574" s="732"/>
    </row>
    <row r="575" spans="20:24" ht="12.65" customHeight="1">
      <c r="T575" s="732"/>
      <c r="U575" s="732"/>
      <c r="V575" s="732"/>
      <c r="W575" s="732"/>
      <c r="X575" s="732"/>
    </row>
    <row r="576" spans="20:24" ht="12.65" customHeight="1">
      <c r="T576" s="732"/>
      <c r="U576" s="732"/>
      <c r="V576" s="732"/>
      <c r="W576" s="732"/>
      <c r="X576" s="732"/>
    </row>
    <row r="577" spans="20:24" ht="12.65" customHeight="1">
      <c r="T577" s="732"/>
      <c r="U577" s="732"/>
      <c r="V577" s="732"/>
      <c r="W577" s="732"/>
      <c r="X577" s="732"/>
    </row>
    <row r="578" spans="20:24" ht="12.65" customHeight="1">
      <c r="T578" s="732"/>
      <c r="U578" s="732"/>
      <c r="V578" s="732"/>
      <c r="W578" s="732"/>
      <c r="X578" s="732"/>
    </row>
    <row r="579" spans="20:24" ht="12.65" customHeight="1">
      <c r="T579" s="732"/>
      <c r="U579" s="732"/>
      <c r="V579" s="732"/>
      <c r="W579" s="732"/>
      <c r="X579" s="732"/>
    </row>
    <row r="580" spans="20:24" ht="12.65" customHeight="1">
      <c r="T580" s="732"/>
      <c r="U580" s="732"/>
      <c r="V580" s="732"/>
      <c r="W580" s="732"/>
      <c r="X580" s="732"/>
    </row>
    <row r="581" spans="20:24" ht="12.65" customHeight="1">
      <c r="T581" s="732"/>
      <c r="U581" s="732"/>
      <c r="V581" s="732"/>
      <c r="W581" s="732"/>
      <c r="X581" s="732"/>
    </row>
    <row r="582" spans="20:24" ht="12.65" customHeight="1">
      <c r="T582" s="732"/>
      <c r="U582" s="732"/>
      <c r="V582" s="732"/>
      <c r="W582" s="732"/>
      <c r="X582" s="732"/>
    </row>
    <row r="583" spans="20:24" ht="12.65" customHeight="1">
      <c r="T583" s="732"/>
      <c r="U583" s="732"/>
      <c r="V583" s="732"/>
      <c r="W583" s="732"/>
      <c r="X583" s="732"/>
    </row>
    <row r="584" spans="20:24" ht="12.65" customHeight="1">
      <c r="T584" s="732"/>
      <c r="U584" s="732"/>
      <c r="V584" s="732"/>
      <c r="W584" s="732"/>
      <c r="X584" s="732"/>
    </row>
    <row r="585" spans="20:24" ht="12.65" customHeight="1">
      <c r="T585" s="732"/>
      <c r="U585" s="732"/>
      <c r="V585" s="732"/>
      <c r="W585" s="732"/>
      <c r="X585" s="732"/>
    </row>
    <row r="586" spans="20:24" ht="12.65" customHeight="1">
      <c r="T586" s="732"/>
      <c r="U586" s="732"/>
      <c r="V586" s="732"/>
      <c r="W586" s="732"/>
      <c r="X586" s="732"/>
    </row>
    <row r="587" spans="20:24" ht="12.65" customHeight="1">
      <c r="T587" s="732"/>
      <c r="U587" s="732"/>
      <c r="V587" s="732"/>
      <c r="W587" s="732"/>
      <c r="X587" s="732"/>
    </row>
    <row r="588" spans="20:24" ht="12.65" customHeight="1">
      <c r="T588" s="732"/>
      <c r="U588" s="732"/>
      <c r="V588" s="732"/>
      <c r="W588" s="732"/>
      <c r="X588" s="732"/>
    </row>
    <row r="589" spans="20:24" ht="12.65" customHeight="1">
      <c r="T589" s="732"/>
      <c r="U589" s="732"/>
      <c r="V589" s="732"/>
      <c r="W589" s="732"/>
      <c r="X589" s="732"/>
    </row>
    <row r="590" spans="20:24" ht="12.65" customHeight="1">
      <c r="T590" s="732"/>
      <c r="U590" s="732"/>
      <c r="V590" s="732"/>
      <c r="W590" s="732"/>
      <c r="X590" s="732"/>
    </row>
    <row r="591" spans="20:24" ht="12.65" customHeight="1">
      <c r="T591" s="732"/>
      <c r="U591" s="732"/>
      <c r="V591" s="732"/>
      <c r="W591" s="732"/>
      <c r="X591" s="732"/>
    </row>
    <row r="592" spans="20:24" ht="12.65" customHeight="1">
      <c r="T592" s="732"/>
      <c r="U592" s="732"/>
      <c r="V592" s="732"/>
      <c r="W592" s="732"/>
      <c r="X592" s="732"/>
    </row>
    <row r="593" spans="20:24" ht="12.65" customHeight="1">
      <c r="T593" s="732"/>
      <c r="U593" s="732"/>
      <c r="V593" s="732"/>
      <c r="W593" s="732"/>
      <c r="X593" s="732"/>
    </row>
    <row r="594" spans="20:24" ht="12.65" customHeight="1">
      <c r="T594" s="732"/>
      <c r="U594" s="732"/>
      <c r="V594" s="732"/>
      <c r="W594" s="732"/>
      <c r="X594" s="732"/>
    </row>
    <row r="595" spans="20:24" ht="12.65" customHeight="1">
      <c r="T595" s="732"/>
      <c r="U595" s="732"/>
      <c r="V595" s="732"/>
      <c r="W595" s="732"/>
      <c r="X595" s="732"/>
    </row>
    <row r="596" spans="20:24" ht="12.65" customHeight="1">
      <c r="T596" s="732"/>
      <c r="U596" s="732"/>
      <c r="V596" s="732"/>
      <c r="W596" s="732"/>
      <c r="X596" s="732"/>
    </row>
    <row r="597" spans="20:24" ht="12.65" customHeight="1">
      <c r="T597" s="732"/>
      <c r="U597" s="732"/>
      <c r="V597" s="732"/>
      <c r="W597" s="732"/>
      <c r="X597" s="732"/>
    </row>
    <row r="598" spans="20:24" ht="12.65" customHeight="1">
      <c r="T598" s="732"/>
      <c r="U598" s="732"/>
      <c r="V598" s="732"/>
      <c r="W598" s="732"/>
      <c r="X598" s="732"/>
    </row>
    <row r="599" spans="20:24" ht="12.65" customHeight="1">
      <c r="T599" s="732"/>
      <c r="U599" s="732"/>
      <c r="V599" s="732"/>
      <c r="W599" s="732"/>
      <c r="X599" s="732"/>
    </row>
    <row r="600" spans="20:24" ht="12.65" customHeight="1">
      <c r="T600" s="732"/>
      <c r="U600" s="732"/>
      <c r="V600" s="732"/>
      <c r="W600" s="732"/>
      <c r="X600" s="732"/>
    </row>
    <row r="601" spans="20:24" ht="12.65" customHeight="1">
      <c r="T601" s="732"/>
      <c r="U601" s="732"/>
      <c r="V601" s="732"/>
      <c r="W601" s="732"/>
      <c r="X601" s="732"/>
    </row>
    <row r="602" spans="20:24" ht="12.65" customHeight="1">
      <c r="T602" s="732"/>
      <c r="U602" s="732"/>
      <c r="V602" s="732"/>
      <c r="W602" s="732"/>
      <c r="X602" s="732"/>
    </row>
    <row r="603" spans="20:24" ht="12.65" customHeight="1">
      <c r="T603" s="732"/>
      <c r="U603" s="732"/>
      <c r="V603" s="732"/>
      <c r="W603" s="732"/>
      <c r="X603" s="732"/>
    </row>
    <row r="604" spans="20:24" ht="12.65" customHeight="1">
      <c r="T604" s="732"/>
      <c r="U604" s="732"/>
      <c r="V604" s="732"/>
      <c r="W604" s="732"/>
      <c r="X604" s="732"/>
    </row>
    <row r="605" spans="20:24" ht="12.65" customHeight="1">
      <c r="T605" s="732"/>
      <c r="U605" s="732"/>
      <c r="V605" s="732"/>
      <c r="W605" s="732"/>
      <c r="X605" s="732"/>
    </row>
    <row r="606" spans="20:24" ht="12.65" customHeight="1">
      <c r="T606" s="732"/>
      <c r="U606" s="732"/>
      <c r="V606" s="732"/>
      <c r="W606" s="732"/>
      <c r="X606" s="732"/>
    </row>
    <row r="607" spans="20:24" ht="12.65" customHeight="1">
      <c r="T607" s="732"/>
      <c r="U607" s="732"/>
      <c r="V607" s="732"/>
      <c r="W607" s="732"/>
      <c r="X607" s="732"/>
    </row>
    <row r="608" spans="20:24" ht="12.65" customHeight="1">
      <c r="T608" s="732"/>
      <c r="U608" s="732"/>
      <c r="V608" s="732"/>
      <c r="W608" s="732"/>
      <c r="X608" s="732"/>
    </row>
    <row r="609" spans="20:24" ht="12.65" customHeight="1">
      <c r="T609" s="732"/>
      <c r="U609" s="732"/>
      <c r="V609" s="732"/>
      <c r="W609" s="732"/>
      <c r="X609" s="732"/>
    </row>
    <row r="610" spans="20:24" ht="12.65" customHeight="1">
      <c r="T610" s="732"/>
      <c r="U610" s="732"/>
      <c r="V610" s="732"/>
      <c r="W610" s="732"/>
      <c r="X610" s="732"/>
    </row>
    <row r="611" spans="20:24" ht="12.65" customHeight="1">
      <c r="T611" s="732"/>
      <c r="U611" s="732"/>
      <c r="V611" s="732"/>
      <c r="W611" s="732"/>
      <c r="X611" s="732"/>
    </row>
    <row r="612" spans="20:24" ht="12.65" customHeight="1">
      <c r="T612" s="732"/>
      <c r="U612" s="732"/>
      <c r="V612" s="732"/>
      <c r="W612" s="732"/>
      <c r="X612" s="732"/>
    </row>
    <row r="613" spans="20:24" ht="12.65" customHeight="1">
      <c r="T613" s="732"/>
      <c r="U613" s="732"/>
      <c r="V613" s="732"/>
      <c r="W613" s="732"/>
      <c r="X613" s="732"/>
    </row>
    <row r="614" spans="20:24" ht="12.65" customHeight="1">
      <c r="T614" s="732"/>
      <c r="U614" s="732"/>
      <c r="V614" s="732"/>
      <c r="W614" s="732"/>
      <c r="X614" s="732"/>
    </row>
    <row r="615" spans="20:24" ht="12.65" customHeight="1">
      <c r="T615" s="732"/>
      <c r="U615" s="732"/>
      <c r="V615" s="732"/>
      <c r="W615" s="732"/>
      <c r="X615" s="732"/>
    </row>
    <row r="616" spans="20:24" ht="12.65" customHeight="1">
      <c r="T616" s="732"/>
      <c r="U616" s="732"/>
      <c r="V616" s="732"/>
      <c r="W616" s="732"/>
      <c r="X616" s="732"/>
    </row>
    <row r="617" spans="20:24" ht="12.65" customHeight="1">
      <c r="T617" s="732"/>
      <c r="U617" s="732"/>
      <c r="V617" s="732"/>
      <c r="W617" s="732"/>
      <c r="X617" s="732"/>
    </row>
    <row r="618" spans="20:24" ht="12.65" customHeight="1">
      <c r="T618" s="732"/>
      <c r="U618" s="732"/>
      <c r="V618" s="732"/>
      <c r="W618" s="732"/>
      <c r="X618" s="732"/>
    </row>
    <row r="619" spans="20:24" ht="12.65" customHeight="1">
      <c r="T619" s="732"/>
      <c r="U619" s="732"/>
      <c r="V619" s="732"/>
      <c r="W619" s="732"/>
      <c r="X619" s="732"/>
    </row>
    <row r="620" spans="20:24" ht="12.65" customHeight="1">
      <c r="T620" s="732"/>
      <c r="U620" s="732"/>
      <c r="V620" s="732"/>
      <c r="W620" s="732"/>
      <c r="X620" s="732"/>
    </row>
    <row r="621" spans="20:24" ht="12.65" customHeight="1">
      <c r="T621" s="732"/>
      <c r="U621" s="732"/>
      <c r="V621" s="732"/>
      <c r="W621" s="732"/>
      <c r="X621" s="732"/>
    </row>
    <row r="622" spans="20:24" ht="12.65" customHeight="1">
      <c r="T622" s="732"/>
      <c r="U622" s="732"/>
      <c r="V622" s="732"/>
      <c r="W622" s="732"/>
      <c r="X622" s="732"/>
    </row>
    <row r="623" spans="20:24" ht="12.65" customHeight="1">
      <c r="T623" s="732"/>
      <c r="U623" s="732"/>
      <c r="V623" s="732"/>
      <c r="W623" s="732"/>
      <c r="X623" s="732"/>
    </row>
    <row r="624" spans="20:24" ht="12.65" customHeight="1">
      <c r="T624" s="732"/>
      <c r="U624" s="732"/>
      <c r="V624" s="732"/>
      <c r="W624" s="732"/>
      <c r="X624" s="732"/>
    </row>
    <row r="625" spans="20:24" ht="12.65" customHeight="1">
      <c r="T625" s="732"/>
      <c r="U625" s="732"/>
      <c r="V625" s="732"/>
      <c r="W625" s="732"/>
      <c r="X625" s="732"/>
    </row>
    <row r="626" spans="20:24" ht="12.65" customHeight="1">
      <c r="T626" s="732"/>
      <c r="U626" s="732"/>
      <c r="V626" s="732"/>
      <c r="W626" s="732"/>
      <c r="X626" s="732"/>
    </row>
    <row r="627" spans="20:24" ht="12.65" customHeight="1">
      <c r="T627" s="732"/>
      <c r="U627" s="732"/>
      <c r="V627" s="732"/>
      <c r="W627" s="732"/>
      <c r="X627" s="732"/>
    </row>
    <row r="628" spans="20:24" ht="12.65" customHeight="1">
      <c r="T628" s="732"/>
      <c r="U628" s="732"/>
      <c r="V628" s="732"/>
      <c r="W628" s="732"/>
      <c r="X628" s="732"/>
    </row>
    <row r="629" spans="20:24" ht="12.65" customHeight="1">
      <c r="T629" s="732"/>
      <c r="U629" s="732"/>
      <c r="V629" s="732"/>
      <c r="W629" s="732"/>
      <c r="X629" s="732"/>
    </row>
    <row r="630" spans="20:24" ht="12.65" customHeight="1">
      <c r="T630" s="732"/>
      <c r="U630" s="732"/>
      <c r="V630" s="732"/>
      <c r="W630" s="732"/>
      <c r="X630" s="732"/>
    </row>
    <row r="631" spans="20:24" ht="12.65" customHeight="1">
      <c r="T631" s="732"/>
      <c r="U631" s="732"/>
      <c r="V631" s="732"/>
      <c r="W631" s="732"/>
      <c r="X631" s="732"/>
    </row>
    <row r="632" spans="20:24" ht="12.65" customHeight="1">
      <c r="T632" s="732"/>
      <c r="U632" s="732"/>
      <c r="V632" s="732"/>
      <c r="W632" s="732"/>
      <c r="X632" s="732"/>
    </row>
    <row r="633" spans="20:24" ht="12.65" customHeight="1">
      <c r="T633" s="732"/>
      <c r="U633" s="732"/>
      <c r="V633" s="732"/>
      <c r="W633" s="732"/>
      <c r="X633" s="732"/>
    </row>
    <row r="634" spans="20:24" ht="12.65" customHeight="1">
      <c r="T634" s="732"/>
      <c r="U634" s="732"/>
      <c r="V634" s="732"/>
      <c r="W634" s="732"/>
      <c r="X634" s="732"/>
    </row>
    <row r="635" spans="20:24" ht="12.65" customHeight="1">
      <c r="T635" s="732"/>
      <c r="U635" s="732"/>
      <c r="V635" s="732"/>
      <c r="W635" s="732"/>
      <c r="X635" s="732"/>
    </row>
    <row r="636" spans="20:24" ht="12.65" customHeight="1">
      <c r="T636" s="732"/>
      <c r="U636" s="732"/>
      <c r="V636" s="732"/>
      <c r="W636" s="732"/>
      <c r="X636" s="732"/>
    </row>
    <row r="637" spans="20:24" ht="12.65" customHeight="1">
      <c r="T637" s="732"/>
      <c r="U637" s="732"/>
      <c r="V637" s="732"/>
      <c r="W637" s="732"/>
      <c r="X637" s="732"/>
    </row>
    <row r="638" spans="20:24" ht="12.65" customHeight="1">
      <c r="T638" s="732"/>
      <c r="U638" s="732"/>
      <c r="V638" s="732"/>
      <c r="W638" s="732"/>
      <c r="X638" s="732"/>
    </row>
    <row r="639" spans="20:24" ht="12.65" customHeight="1">
      <c r="T639" s="732"/>
      <c r="U639" s="732"/>
      <c r="V639" s="732"/>
      <c r="W639" s="732"/>
      <c r="X639" s="732"/>
    </row>
    <row r="640" spans="20:24" ht="12.65" customHeight="1">
      <c r="T640" s="732"/>
      <c r="U640" s="732"/>
      <c r="V640" s="732"/>
      <c r="W640" s="732"/>
      <c r="X640" s="732"/>
    </row>
    <row r="641" spans="20:24" ht="12.65" customHeight="1">
      <c r="T641" s="732"/>
      <c r="U641" s="732"/>
      <c r="V641" s="732"/>
      <c r="W641" s="732"/>
      <c r="X641" s="732"/>
    </row>
    <row r="642" spans="20:24" ht="12.65" customHeight="1">
      <c r="T642" s="732"/>
      <c r="U642" s="732"/>
      <c r="V642" s="732"/>
      <c r="W642" s="732"/>
      <c r="X642" s="732"/>
    </row>
    <row r="643" spans="20:24" ht="12.65" customHeight="1">
      <c r="T643" s="732"/>
      <c r="U643" s="732"/>
      <c r="V643" s="732"/>
      <c r="W643" s="732"/>
      <c r="X643" s="732"/>
    </row>
    <row r="644" spans="20:24" ht="12.65" customHeight="1">
      <c r="T644" s="732"/>
      <c r="U644" s="732"/>
      <c r="V644" s="732"/>
      <c r="W644" s="732"/>
      <c r="X644" s="732"/>
    </row>
    <row r="645" spans="20:24" ht="12.65" customHeight="1">
      <c r="T645" s="732"/>
      <c r="U645" s="732"/>
      <c r="V645" s="732"/>
      <c r="W645" s="732"/>
      <c r="X645" s="732"/>
    </row>
    <row r="646" spans="20:24" ht="12.65" customHeight="1">
      <c r="T646" s="732"/>
      <c r="U646" s="732"/>
      <c r="V646" s="732"/>
      <c r="W646" s="732"/>
      <c r="X646" s="732"/>
    </row>
    <row r="647" spans="20:24" ht="12.65" customHeight="1">
      <c r="T647" s="732"/>
      <c r="U647" s="732"/>
      <c r="V647" s="732"/>
      <c r="W647" s="732"/>
      <c r="X647" s="732"/>
    </row>
    <row r="648" spans="20:24" ht="12.65" customHeight="1">
      <c r="T648" s="732"/>
      <c r="U648" s="732"/>
      <c r="V648" s="732"/>
      <c r="W648" s="732"/>
      <c r="X648" s="732"/>
    </row>
    <row r="649" spans="20:24" ht="12.65" customHeight="1">
      <c r="T649" s="732"/>
      <c r="U649" s="732"/>
      <c r="V649" s="732"/>
      <c r="W649" s="732"/>
      <c r="X649" s="732"/>
    </row>
    <row r="650" spans="20:24" ht="12.65" customHeight="1">
      <c r="T650" s="732"/>
      <c r="U650" s="732"/>
      <c r="V650" s="732"/>
      <c r="W650" s="732"/>
      <c r="X650" s="732"/>
    </row>
    <row r="651" spans="20:24" ht="12.65" customHeight="1">
      <c r="T651" s="732"/>
      <c r="U651" s="732"/>
      <c r="V651" s="732"/>
      <c r="W651" s="732"/>
      <c r="X651" s="732"/>
    </row>
    <row r="652" spans="20:24" ht="12.65" customHeight="1">
      <c r="T652" s="732"/>
      <c r="U652" s="732"/>
      <c r="V652" s="732"/>
      <c r="W652" s="732"/>
      <c r="X652" s="732"/>
    </row>
    <row r="653" spans="20:24" ht="12.65" customHeight="1">
      <c r="T653" s="732"/>
      <c r="U653" s="732"/>
      <c r="V653" s="732"/>
      <c r="W653" s="732"/>
      <c r="X653" s="732"/>
    </row>
    <row r="654" spans="20:24" ht="12.65" customHeight="1">
      <c r="T654" s="732"/>
      <c r="U654" s="732"/>
      <c r="V654" s="732"/>
      <c r="W654" s="732"/>
      <c r="X654" s="732"/>
    </row>
    <row r="655" spans="20:24" ht="12.65" customHeight="1">
      <c r="T655" s="732"/>
      <c r="U655" s="732"/>
      <c r="V655" s="732"/>
      <c r="W655" s="732"/>
      <c r="X655" s="732"/>
    </row>
    <row r="656" spans="20:24" ht="12.65" customHeight="1">
      <c r="T656" s="732"/>
      <c r="U656" s="732"/>
      <c r="V656" s="732"/>
      <c r="W656" s="732"/>
      <c r="X656" s="732"/>
    </row>
    <row r="657" spans="20:24" ht="12.65" customHeight="1">
      <c r="T657" s="732"/>
      <c r="U657" s="732"/>
      <c r="V657" s="732"/>
      <c r="W657" s="732"/>
      <c r="X657" s="732"/>
    </row>
    <row r="658" spans="20:24" ht="12.65" customHeight="1">
      <c r="T658" s="732"/>
      <c r="U658" s="732"/>
      <c r="V658" s="732"/>
      <c r="W658" s="732"/>
      <c r="X658" s="732"/>
    </row>
    <row r="659" spans="20:24" ht="12.65" customHeight="1">
      <c r="T659" s="732"/>
      <c r="U659" s="732"/>
      <c r="V659" s="732"/>
      <c r="W659" s="732"/>
      <c r="X659" s="732"/>
    </row>
    <row r="660" spans="20:24" ht="12.65" customHeight="1">
      <c r="T660" s="732"/>
      <c r="U660" s="732"/>
      <c r="V660" s="732"/>
      <c r="W660" s="732"/>
      <c r="X660" s="732"/>
    </row>
    <row r="661" spans="20:24" ht="12.65" customHeight="1">
      <c r="T661" s="732"/>
      <c r="U661" s="732"/>
      <c r="V661" s="732"/>
      <c r="W661" s="732"/>
      <c r="X661" s="732"/>
    </row>
    <row r="662" spans="20:24" ht="12.65" customHeight="1">
      <c r="T662" s="732"/>
      <c r="U662" s="732"/>
      <c r="V662" s="732"/>
      <c r="W662" s="732"/>
      <c r="X662" s="732"/>
    </row>
    <row r="663" spans="20:24" ht="12.65" customHeight="1">
      <c r="T663" s="732"/>
      <c r="U663" s="732"/>
      <c r="V663" s="732"/>
      <c r="W663" s="732"/>
      <c r="X663" s="732"/>
    </row>
    <row r="664" spans="20:24" ht="12.65" customHeight="1">
      <c r="T664" s="732"/>
      <c r="U664" s="732"/>
      <c r="V664" s="732"/>
      <c r="W664" s="732"/>
      <c r="X664" s="732"/>
    </row>
    <row r="665" spans="20:24" ht="12.65" customHeight="1">
      <c r="T665" s="732"/>
      <c r="U665" s="732"/>
      <c r="V665" s="732"/>
      <c r="W665" s="732"/>
      <c r="X665" s="732"/>
    </row>
    <row r="666" spans="20:24" ht="12.65" customHeight="1">
      <c r="T666" s="732"/>
      <c r="U666" s="732"/>
      <c r="V666" s="732"/>
      <c r="W666" s="732"/>
      <c r="X666" s="732"/>
    </row>
    <row r="667" spans="20:24" ht="12.65" customHeight="1">
      <c r="T667" s="732"/>
      <c r="U667" s="732"/>
      <c r="V667" s="732"/>
      <c r="W667" s="732"/>
      <c r="X667" s="732"/>
    </row>
    <row r="668" spans="20:24" ht="12.65" customHeight="1">
      <c r="T668" s="732"/>
      <c r="U668" s="732"/>
      <c r="V668" s="732"/>
      <c r="W668" s="732"/>
      <c r="X668" s="732"/>
    </row>
    <row r="669" spans="20:24" ht="12.65" customHeight="1">
      <c r="T669" s="732"/>
      <c r="U669" s="732"/>
      <c r="V669" s="732"/>
      <c r="W669" s="732"/>
      <c r="X669" s="732"/>
    </row>
    <row r="670" spans="20:24" ht="12.65" customHeight="1">
      <c r="T670" s="732"/>
      <c r="U670" s="732"/>
      <c r="V670" s="732"/>
      <c r="W670" s="732"/>
      <c r="X670" s="732"/>
    </row>
    <row r="671" spans="20:24" ht="12.65" customHeight="1">
      <c r="T671" s="732"/>
      <c r="U671" s="732"/>
      <c r="V671" s="732"/>
      <c r="W671" s="732"/>
      <c r="X671" s="732"/>
    </row>
    <row r="672" spans="20:24" ht="12.65" customHeight="1">
      <c r="T672" s="732"/>
      <c r="U672" s="732"/>
      <c r="V672" s="732"/>
      <c r="W672" s="732"/>
      <c r="X672" s="732"/>
    </row>
    <row r="673" spans="20:24" ht="12.65" customHeight="1">
      <c r="T673" s="732"/>
      <c r="U673" s="732"/>
      <c r="V673" s="732"/>
      <c r="W673" s="732"/>
      <c r="X673" s="732"/>
    </row>
    <row r="674" spans="20:24" ht="12.65" customHeight="1">
      <c r="T674" s="732"/>
      <c r="U674" s="732"/>
      <c r="V674" s="732"/>
      <c r="W674" s="732"/>
      <c r="X674" s="732"/>
    </row>
    <row r="675" spans="20:24" ht="12.65" customHeight="1">
      <c r="T675" s="732"/>
      <c r="U675" s="732"/>
      <c r="V675" s="732"/>
      <c r="W675" s="732"/>
      <c r="X675" s="732"/>
    </row>
    <row r="676" spans="20:24" ht="12.65" customHeight="1">
      <c r="T676" s="732"/>
      <c r="U676" s="732"/>
      <c r="V676" s="732"/>
      <c r="W676" s="732"/>
      <c r="X676" s="732"/>
    </row>
    <row r="677" spans="20:24" ht="12.65" customHeight="1">
      <c r="T677" s="732"/>
      <c r="U677" s="732"/>
      <c r="V677" s="732"/>
      <c r="W677" s="732"/>
      <c r="X677" s="732"/>
    </row>
    <row r="678" spans="20:24" ht="12.65" customHeight="1">
      <c r="T678" s="732"/>
      <c r="U678" s="732"/>
      <c r="V678" s="732"/>
      <c r="W678" s="732"/>
      <c r="X678" s="732"/>
    </row>
    <row r="679" spans="20:24" ht="12.65" customHeight="1">
      <c r="T679" s="732"/>
      <c r="U679" s="732"/>
      <c r="V679" s="732"/>
      <c r="W679" s="732"/>
      <c r="X679" s="732"/>
    </row>
    <row r="680" spans="20:24" ht="12.65" customHeight="1">
      <c r="T680" s="732"/>
      <c r="U680" s="732"/>
      <c r="V680" s="732"/>
      <c r="W680" s="732"/>
      <c r="X680" s="732"/>
    </row>
    <row r="681" spans="20:24" ht="12.65" customHeight="1">
      <c r="T681" s="732"/>
      <c r="U681" s="732"/>
      <c r="V681" s="732"/>
      <c r="W681" s="732"/>
      <c r="X681" s="732"/>
    </row>
    <row r="682" spans="20:24" ht="12.65" customHeight="1">
      <c r="T682" s="732"/>
      <c r="U682" s="732"/>
      <c r="V682" s="732"/>
      <c r="W682" s="732"/>
      <c r="X682" s="732"/>
    </row>
    <row r="683" spans="20:24" ht="12.65" customHeight="1">
      <c r="T683" s="732"/>
      <c r="U683" s="732"/>
      <c r="V683" s="732"/>
      <c r="W683" s="732"/>
      <c r="X683" s="732"/>
    </row>
    <row r="684" spans="20:24" ht="12.65" customHeight="1">
      <c r="T684" s="732"/>
      <c r="U684" s="732"/>
      <c r="V684" s="732"/>
      <c r="W684" s="732"/>
      <c r="X684" s="732"/>
    </row>
    <row r="685" spans="20:24" ht="12.65" customHeight="1">
      <c r="T685" s="732"/>
      <c r="U685" s="732"/>
      <c r="V685" s="732"/>
      <c r="W685" s="732"/>
      <c r="X685" s="732"/>
    </row>
    <row r="686" spans="20:24" ht="12.65" customHeight="1">
      <c r="T686" s="732"/>
      <c r="U686" s="732"/>
      <c r="V686" s="732"/>
      <c r="W686" s="732"/>
      <c r="X686" s="732"/>
    </row>
    <row r="687" spans="20:24" ht="12.65" customHeight="1">
      <c r="T687" s="732"/>
      <c r="U687" s="732"/>
      <c r="V687" s="732"/>
      <c r="W687" s="732"/>
      <c r="X687" s="732"/>
    </row>
    <row r="688" spans="20:24" ht="12.65" customHeight="1">
      <c r="T688" s="732"/>
      <c r="U688" s="732"/>
      <c r="V688" s="732"/>
      <c r="W688" s="732"/>
      <c r="X688" s="732"/>
    </row>
    <row r="689" spans="20:24" ht="12.65" customHeight="1">
      <c r="T689" s="732"/>
      <c r="U689" s="732"/>
      <c r="V689" s="732"/>
      <c r="W689" s="732"/>
      <c r="X689" s="732"/>
    </row>
    <row r="690" spans="20:24" ht="12.65" customHeight="1">
      <c r="T690" s="732"/>
      <c r="U690" s="732"/>
      <c r="V690" s="732"/>
      <c r="W690" s="732"/>
      <c r="X690" s="732"/>
    </row>
    <row r="691" spans="20:24" ht="12.65" customHeight="1">
      <c r="T691" s="732"/>
      <c r="U691" s="732"/>
      <c r="V691" s="732"/>
      <c r="W691" s="732"/>
      <c r="X691" s="732"/>
    </row>
    <row r="692" spans="20:24" ht="12.65" customHeight="1">
      <c r="T692" s="732"/>
      <c r="U692" s="732"/>
      <c r="V692" s="732"/>
      <c r="W692" s="732"/>
      <c r="X692" s="732"/>
    </row>
    <row r="693" spans="20:24" ht="12.65" customHeight="1">
      <c r="T693" s="732"/>
      <c r="U693" s="732"/>
      <c r="V693" s="732"/>
      <c r="W693" s="732"/>
      <c r="X693" s="732"/>
    </row>
    <row r="694" spans="20:24" ht="12.65" customHeight="1">
      <c r="T694" s="732"/>
      <c r="U694" s="732"/>
      <c r="V694" s="732"/>
      <c r="W694" s="732"/>
      <c r="X694" s="732"/>
    </row>
    <row r="695" spans="20:24" ht="12.65" customHeight="1">
      <c r="T695" s="732"/>
      <c r="U695" s="732"/>
      <c r="V695" s="732"/>
      <c r="W695" s="732"/>
      <c r="X695" s="732"/>
    </row>
    <row r="696" spans="20:24" ht="12.65" customHeight="1">
      <c r="T696" s="732"/>
      <c r="U696" s="732"/>
      <c r="V696" s="732"/>
      <c r="W696" s="732"/>
      <c r="X696" s="732"/>
    </row>
    <row r="697" spans="20:24" ht="12.65" customHeight="1">
      <c r="T697" s="732"/>
      <c r="U697" s="732"/>
      <c r="V697" s="732"/>
      <c r="W697" s="732"/>
      <c r="X697" s="732"/>
    </row>
    <row r="698" spans="20:24" ht="12.65" customHeight="1">
      <c r="T698" s="732"/>
      <c r="U698" s="732"/>
      <c r="V698" s="732"/>
      <c r="W698" s="732"/>
      <c r="X698" s="732"/>
    </row>
    <row r="699" spans="20:24" ht="12.65" customHeight="1">
      <c r="T699" s="732"/>
      <c r="U699" s="732"/>
      <c r="V699" s="732"/>
      <c r="W699" s="732"/>
      <c r="X699" s="732"/>
    </row>
    <row r="700" spans="20:24" ht="12.65" customHeight="1">
      <c r="T700" s="732"/>
      <c r="U700" s="732"/>
      <c r="V700" s="732"/>
      <c r="W700" s="732"/>
      <c r="X700" s="732"/>
    </row>
    <row r="701" spans="20:24" ht="12.65" customHeight="1">
      <c r="T701" s="732"/>
      <c r="U701" s="732"/>
      <c r="V701" s="732"/>
      <c r="W701" s="732"/>
      <c r="X701" s="732"/>
    </row>
    <row r="702" spans="20:24" ht="12.65" customHeight="1">
      <c r="T702" s="732"/>
      <c r="U702" s="732"/>
      <c r="V702" s="732"/>
      <c r="W702" s="732"/>
      <c r="X702" s="732"/>
    </row>
    <row r="703" spans="20:24" ht="12.65" customHeight="1">
      <c r="T703" s="732"/>
      <c r="U703" s="732"/>
      <c r="V703" s="732"/>
      <c r="W703" s="732"/>
      <c r="X703" s="732"/>
    </row>
    <row r="704" spans="20:24" ht="12.65" customHeight="1">
      <c r="T704" s="732"/>
      <c r="U704" s="732"/>
      <c r="V704" s="732"/>
      <c r="W704" s="732"/>
      <c r="X704" s="732"/>
    </row>
    <row r="705" spans="20:24" ht="12.65" customHeight="1">
      <c r="T705" s="732"/>
      <c r="U705" s="732"/>
      <c r="V705" s="732"/>
      <c r="W705" s="732"/>
      <c r="X705" s="732"/>
    </row>
    <row r="706" spans="20:24" ht="12.65" customHeight="1">
      <c r="T706" s="732"/>
      <c r="U706" s="732"/>
      <c r="V706" s="732"/>
      <c r="W706" s="732"/>
      <c r="X706" s="732"/>
    </row>
    <row r="707" spans="20:24" ht="12.65" customHeight="1">
      <c r="T707" s="732"/>
      <c r="U707" s="732"/>
      <c r="V707" s="732"/>
      <c r="W707" s="732"/>
      <c r="X707" s="732"/>
    </row>
    <row r="708" spans="20:24" ht="12.65" customHeight="1">
      <c r="T708" s="732"/>
      <c r="U708" s="732"/>
      <c r="V708" s="732"/>
      <c r="W708" s="732"/>
      <c r="X708" s="732"/>
    </row>
    <row r="709" spans="20:24" ht="12.65" customHeight="1">
      <c r="T709" s="732"/>
      <c r="U709" s="732"/>
      <c r="V709" s="732"/>
      <c r="W709" s="732"/>
      <c r="X709" s="732"/>
    </row>
    <row r="710" spans="20:24" ht="12.65" customHeight="1">
      <c r="T710" s="732"/>
      <c r="U710" s="732"/>
      <c r="V710" s="732"/>
      <c r="W710" s="732"/>
      <c r="X710" s="732"/>
    </row>
    <row r="711" spans="20:24" ht="12.65" customHeight="1">
      <c r="T711" s="732"/>
      <c r="U711" s="732"/>
      <c r="V711" s="732"/>
      <c r="W711" s="732"/>
      <c r="X711" s="732"/>
    </row>
    <row r="712" spans="20:24" ht="12.65" customHeight="1">
      <c r="T712" s="732"/>
      <c r="U712" s="732"/>
      <c r="V712" s="732"/>
      <c r="W712" s="732"/>
      <c r="X712" s="732"/>
    </row>
    <row r="713" spans="20:24" ht="12.65" customHeight="1">
      <c r="T713" s="732"/>
      <c r="U713" s="732"/>
      <c r="V713" s="732"/>
      <c r="W713" s="732"/>
      <c r="X713" s="732"/>
    </row>
    <row r="714" spans="20:24" ht="12.65" customHeight="1">
      <c r="T714" s="732"/>
      <c r="U714" s="732"/>
      <c r="V714" s="732"/>
      <c r="W714" s="732"/>
      <c r="X714" s="732"/>
    </row>
    <row r="715" spans="20:24" ht="12.65" customHeight="1">
      <c r="T715" s="732"/>
      <c r="U715" s="732"/>
      <c r="V715" s="732"/>
      <c r="W715" s="732"/>
      <c r="X715" s="732"/>
    </row>
    <row r="716" spans="20:24" ht="12.65" customHeight="1">
      <c r="T716" s="732"/>
      <c r="U716" s="732"/>
      <c r="V716" s="732"/>
      <c r="W716" s="732"/>
      <c r="X716" s="732"/>
    </row>
    <row r="717" spans="20:24" ht="12.65" customHeight="1">
      <c r="T717" s="732"/>
      <c r="U717" s="732"/>
      <c r="V717" s="732"/>
      <c r="W717" s="732"/>
      <c r="X717" s="732"/>
    </row>
    <row r="718" spans="20:24" ht="12.65" customHeight="1">
      <c r="T718" s="732"/>
      <c r="U718" s="732"/>
      <c r="V718" s="732"/>
      <c r="W718" s="732"/>
      <c r="X718" s="732"/>
    </row>
    <row r="719" spans="20:24" ht="12.65" customHeight="1">
      <c r="T719" s="732"/>
      <c r="U719" s="732"/>
      <c r="V719" s="732"/>
      <c r="W719" s="732"/>
      <c r="X719" s="732"/>
    </row>
    <row r="720" spans="20:24" ht="12.65" customHeight="1">
      <c r="T720" s="732"/>
      <c r="U720" s="732"/>
      <c r="V720" s="732"/>
      <c r="W720" s="732"/>
      <c r="X720" s="732"/>
    </row>
    <row r="721" spans="20:24" ht="12.65" customHeight="1">
      <c r="T721" s="732"/>
      <c r="U721" s="732"/>
      <c r="V721" s="732"/>
      <c r="W721" s="732"/>
      <c r="X721" s="732"/>
    </row>
    <row r="722" spans="20:24" ht="12.65" customHeight="1">
      <c r="T722" s="732"/>
      <c r="U722" s="732"/>
      <c r="V722" s="732"/>
      <c r="W722" s="732"/>
      <c r="X722" s="732"/>
    </row>
    <row r="723" spans="20:24" ht="12.65" customHeight="1">
      <c r="T723" s="732"/>
      <c r="U723" s="732"/>
      <c r="V723" s="732"/>
      <c r="W723" s="732"/>
      <c r="X723" s="732"/>
    </row>
    <row r="724" spans="20:24" ht="12.65" customHeight="1">
      <c r="T724" s="732"/>
      <c r="U724" s="732"/>
      <c r="V724" s="732"/>
      <c r="W724" s="732"/>
      <c r="X724" s="732"/>
    </row>
    <row r="725" spans="20:24" ht="12.65" customHeight="1">
      <c r="T725" s="732"/>
      <c r="U725" s="732"/>
      <c r="V725" s="732"/>
      <c r="W725" s="732"/>
      <c r="X725" s="732"/>
    </row>
    <row r="726" spans="20:24" ht="12.65" customHeight="1">
      <c r="T726" s="732"/>
      <c r="U726" s="732"/>
      <c r="V726" s="732"/>
      <c r="W726" s="732"/>
      <c r="X726" s="732"/>
    </row>
    <row r="727" spans="20:24" ht="12.65" customHeight="1">
      <c r="T727" s="732"/>
      <c r="U727" s="732"/>
      <c r="V727" s="732"/>
      <c r="W727" s="732"/>
      <c r="X727" s="732"/>
    </row>
    <row r="728" spans="20:24" ht="12.65" customHeight="1">
      <c r="T728" s="732"/>
      <c r="U728" s="732"/>
      <c r="V728" s="732"/>
      <c r="W728" s="732"/>
      <c r="X728" s="732"/>
    </row>
    <row r="729" spans="20:24" ht="12.65" customHeight="1">
      <c r="T729" s="732"/>
      <c r="U729" s="732"/>
      <c r="V729" s="732"/>
      <c r="W729" s="732"/>
      <c r="X729" s="732"/>
    </row>
    <row r="730" spans="20:24" ht="12.65" customHeight="1">
      <c r="T730" s="732"/>
      <c r="U730" s="732"/>
      <c r="V730" s="732"/>
      <c r="W730" s="732"/>
      <c r="X730" s="732"/>
    </row>
    <row r="731" spans="20:24" ht="12.65" customHeight="1">
      <c r="T731" s="732"/>
      <c r="U731" s="732"/>
      <c r="V731" s="732"/>
      <c r="W731" s="732"/>
      <c r="X731" s="732"/>
    </row>
    <row r="732" spans="20:24" ht="12.65" customHeight="1">
      <c r="T732" s="732"/>
      <c r="U732" s="732"/>
      <c r="V732" s="732"/>
      <c r="W732" s="732"/>
      <c r="X732" s="732"/>
    </row>
    <row r="733" spans="20:24" ht="12.65" customHeight="1">
      <c r="T733" s="732"/>
      <c r="U733" s="732"/>
      <c r="V733" s="732"/>
      <c r="W733" s="732"/>
      <c r="X733" s="732"/>
    </row>
    <row r="734" spans="20:24" ht="12.65" customHeight="1">
      <c r="T734" s="732"/>
      <c r="U734" s="732"/>
      <c r="V734" s="732"/>
      <c r="W734" s="732"/>
      <c r="X734" s="732"/>
    </row>
    <row r="735" spans="20:24" ht="12.65" customHeight="1">
      <c r="T735" s="732"/>
      <c r="U735" s="732"/>
      <c r="V735" s="732"/>
      <c r="W735" s="732"/>
      <c r="X735" s="732"/>
    </row>
    <row r="736" spans="20:24" ht="12.65" customHeight="1">
      <c r="T736" s="732"/>
      <c r="U736" s="732"/>
      <c r="V736" s="732"/>
      <c r="W736" s="732"/>
      <c r="X736" s="732"/>
    </row>
    <row r="737" spans="20:24" ht="12.65" customHeight="1">
      <c r="T737" s="732"/>
      <c r="U737" s="732"/>
      <c r="V737" s="732"/>
      <c r="W737" s="732"/>
      <c r="X737" s="732"/>
    </row>
    <row r="738" spans="20:24" ht="12.65" customHeight="1">
      <c r="T738" s="732"/>
      <c r="U738" s="732"/>
      <c r="V738" s="732"/>
      <c r="W738" s="732"/>
      <c r="X738" s="732"/>
    </row>
    <row r="739" spans="20:24" ht="12.65" customHeight="1">
      <c r="T739" s="732"/>
      <c r="U739" s="732"/>
      <c r="V739" s="732"/>
      <c r="W739" s="732"/>
      <c r="X739" s="732"/>
    </row>
    <row r="740" spans="20:24" ht="12.65" customHeight="1">
      <c r="T740" s="732"/>
      <c r="U740" s="732"/>
      <c r="V740" s="732"/>
      <c r="W740" s="732"/>
      <c r="X740" s="732"/>
    </row>
    <row r="741" spans="20:24" ht="12.65" customHeight="1">
      <c r="T741" s="732"/>
      <c r="U741" s="732"/>
      <c r="V741" s="732"/>
      <c r="W741" s="732"/>
      <c r="X741" s="732"/>
    </row>
    <row r="742" spans="20:24" ht="12.65" customHeight="1">
      <c r="T742" s="732"/>
      <c r="U742" s="732"/>
      <c r="V742" s="732"/>
      <c r="W742" s="732"/>
      <c r="X742" s="732"/>
    </row>
    <row r="743" spans="20:24" ht="12.65" customHeight="1">
      <c r="T743" s="732"/>
      <c r="U743" s="732"/>
      <c r="V743" s="732"/>
      <c r="W743" s="732"/>
      <c r="X743" s="732"/>
    </row>
    <row r="744" spans="20:24" ht="12.65" customHeight="1">
      <c r="T744" s="732"/>
      <c r="U744" s="732"/>
      <c r="V744" s="732"/>
      <c r="W744" s="732"/>
      <c r="X744" s="732"/>
    </row>
    <row r="745" spans="20:24" ht="12.65" customHeight="1">
      <c r="T745" s="732"/>
      <c r="U745" s="732"/>
      <c r="V745" s="732"/>
      <c r="W745" s="732"/>
      <c r="X745" s="732"/>
    </row>
    <row r="746" spans="20:24" ht="12.65" customHeight="1">
      <c r="T746" s="732"/>
      <c r="U746" s="732"/>
      <c r="V746" s="732"/>
      <c r="W746" s="732"/>
      <c r="X746" s="732"/>
    </row>
    <row r="747" spans="20:24" ht="12.65" customHeight="1">
      <c r="T747" s="732"/>
      <c r="U747" s="732"/>
      <c r="V747" s="732"/>
      <c r="W747" s="732"/>
      <c r="X747" s="732"/>
    </row>
    <row r="748" spans="20:24">
      <c r="T748" s="732"/>
      <c r="U748" s="732"/>
      <c r="V748" s="732"/>
      <c r="W748" s="732"/>
      <c r="X748" s="732"/>
    </row>
    <row r="749" spans="20:24">
      <c r="T749" s="732"/>
      <c r="U749" s="732"/>
      <c r="V749" s="732"/>
      <c r="W749" s="732"/>
      <c r="X749" s="732"/>
    </row>
    <row r="750" spans="20:24">
      <c r="T750" s="732"/>
      <c r="U750" s="732"/>
      <c r="V750" s="732"/>
      <c r="W750" s="732"/>
      <c r="X750" s="732"/>
    </row>
    <row r="751" spans="20:24">
      <c r="T751" s="732"/>
      <c r="U751" s="732"/>
      <c r="V751" s="732"/>
      <c r="W751" s="732"/>
      <c r="X751" s="732"/>
    </row>
    <row r="752" spans="20:24">
      <c r="T752" s="732"/>
      <c r="U752" s="732"/>
      <c r="V752" s="732"/>
      <c r="W752" s="732"/>
      <c r="X752" s="732"/>
    </row>
    <row r="753" spans="20:24">
      <c r="T753" s="732"/>
      <c r="U753" s="732"/>
      <c r="V753" s="732"/>
      <c r="W753" s="732"/>
      <c r="X753" s="732"/>
    </row>
    <row r="754" spans="20:24">
      <c r="T754" s="732"/>
      <c r="U754" s="732"/>
      <c r="V754" s="732"/>
      <c r="W754" s="732"/>
      <c r="X754" s="732"/>
    </row>
    <row r="755" spans="20:24">
      <c r="T755" s="732"/>
      <c r="U755" s="732"/>
      <c r="V755" s="732"/>
      <c r="W755" s="732"/>
      <c r="X755" s="732"/>
    </row>
    <row r="756" spans="20:24">
      <c r="T756" s="732"/>
      <c r="U756" s="732"/>
      <c r="V756" s="732"/>
      <c r="W756" s="732"/>
      <c r="X756" s="732"/>
    </row>
    <row r="757" spans="20:24">
      <c r="T757" s="732"/>
      <c r="U757" s="732"/>
      <c r="V757" s="732"/>
      <c r="W757" s="732"/>
      <c r="X757" s="732"/>
    </row>
    <row r="758" spans="20:24">
      <c r="T758" s="732"/>
      <c r="U758" s="732"/>
      <c r="V758" s="732"/>
      <c r="W758" s="732"/>
      <c r="X758" s="732"/>
    </row>
    <row r="759" spans="20:24">
      <c r="T759" s="732"/>
      <c r="U759" s="732"/>
      <c r="V759" s="732"/>
      <c r="W759" s="732"/>
      <c r="X759" s="732"/>
    </row>
    <row r="760" spans="20:24">
      <c r="T760" s="732"/>
      <c r="U760" s="732"/>
      <c r="V760" s="732"/>
      <c r="W760" s="732"/>
      <c r="X760" s="732"/>
    </row>
    <row r="761" spans="20:24">
      <c r="T761" s="732"/>
      <c r="U761" s="732"/>
      <c r="V761" s="732"/>
      <c r="W761" s="732"/>
      <c r="X761" s="732"/>
    </row>
    <row r="762" spans="20:24">
      <c r="T762" s="732"/>
      <c r="U762" s="732"/>
      <c r="V762" s="732"/>
      <c r="W762" s="732"/>
      <c r="X762" s="732"/>
    </row>
    <row r="763" spans="20:24">
      <c r="T763" s="732"/>
      <c r="U763" s="732"/>
      <c r="V763" s="732"/>
      <c r="W763" s="732"/>
      <c r="X763" s="732"/>
    </row>
    <row r="764" spans="20:24">
      <c r="T764" s="732"/>
      <c r="U764" s="732"/>
      <c r="V764" s="732"/>
      <c r="W764" s="732"/>
      <c r="X764" s="732"/>
    </row>
    <row r="765" spans="20:24">
      <c r="T765" s="732"/>
      <c r="U765" s="732"/>
      <c r="V765" s="732"/>
      <c r="W765" s="732"/>
      <c r="X765" s="732"/>
    </row>
    <row r="766" spans="20:24">
      <c r="T766" s="732"/>
      <c r="U766" s="732"/>
      <c r="V766" s="732"/>
      <c r="W766" s="732"/>
      <c r="X766" s="732"/>
    </row>
    <row r="767" spans="20:24">
      <c r="T767" s="732"/>
      <c r="U767" s="732"/>
      <c r="V767" s="732"/>
      <c r="W767" s="732"/>
      <c r="X767" s="732"/>
    </row>
    <row r="768" spans="20:24">
      <c r="T768" s="732"/>
      <c r="U768" s="732"/>
      <c r="V768" s="732"/>
      <c r="W768" s="732"/>
      <c r="X768" s="732"/>
    </row>
    <row r="769" spans="20:24">
      <c r="T769" s="732"/>
      <c r="U769" s="732"/>
      <c r="V769" s="732"/>
      <c r="W769" s="732"/>
      <c r="X769" s="732"/>
    </row>
    <row r="770" spans="20:24">
      <c r="T770" s="732"/>
      <c r="U770" s="732"/>
      <c r="V770" s="732"/>
      <c r="W770" s="732"/>
      <c r="X770" s="732"/>
    </row>
    <row r="771" spans="20:24">
      <c r="T771" s="732"/>
      <c r="U771" s="732"/>
      <c r="V771" s="732"/>
      <c r="W771" s="732"/>
      <c r="X771" s="732"/>
    </row>
    <row r="772" spans="20:24">
      <c r="T772" s="732"/>
      <c r="U772" s="732"/>
      <c r="V772" s="732"/>
      <c r="W772" s="732"/>
      <c r="X772" s="732"/>
    </row>
    <row r="773" spans="20:24">
      <c r="T773" s="732"/>
      <c r="U773" s="732"/>
      <c r="V773" s="732"/>
      <c r="W773" s="732"/>
      <c r="X773" s="732"/>
    </row>
    <row r="774" spans="20:24">
      <c r="T774" s="732"/>
      <c r="U774" s="732"/>
      <c r="V774" s="732"/>
      <c r="W774" s="732"/>
      <c r="X774" s="732"/>
    </row>
    <row r="775" spans="20:24">
      <c r="T775" s="732"/>
      <c r="U775" s="732"/>
      <c r="V775" s="732"/>
      <c r="W775" s="732"/>
      <c r="X775" s="732"/>
    </row>
    <row r="776" spans="20:24">
      <c r="T776" s="732"/>
      <c r="U776" s="732"/>
      <c r="V776" s="732"/>
      <c r="W776" s="732"/>
      <c r="X776" s="732"/>
    </row>
    <row r="777" spans="20:24">
      <c r="T777" s="732"/>
      <c r="U777" s="732"/>
      <c r="V777" s="732"/>
      <c r="W777" s="732"/>
      <c r="X777" s="732"/>
    </row>
    <row r="778" spans="20:24">
      <c r="T778" s="732"/>
      <c r="U778" s="732"/>
      <c r="V778" s="732"/>
      <c r="W778" s="732"/>
      <c r="X778" s="732"/>
    </row>
    <row r="779" spans="20:24">
      <c r="T779" s="732"/>
      <c r="U779" s="732"/>
      <c r="V779" s="732"/>
      <c r="W779" s="732"/>
      <c r="X779" s="732"/>
    </row>
    <row r="780" spans="20:24">
      <c r="T780" s="732"/>
      <c r="U780" s="732"/>
      <c r="V780" s="732"/>
      <c r="W780" s="732"/>
      <c r="X780" s="732"/>
    </row>
    <row r="781" spans="20:24">
      <c r="T781" s="732"/>
      <c r="U781" s="732"/>
      <c r="V781" s="732"/>
      <c r="W781" s="732"/>
      <c r="X781" s="732"/>
    </row>
    <row r="782" spans="20:24">
      <c r="T782" s="732"/>
      <c r="U782" s="732"/>
      <c r="V782" s="732"/>
      <c r="W782" s="732"/>
      <c r="X782" s="732"/>
    </row>
    <row r="783" spans="20:24">
      <c r="T783" s="732"/>
      <c r="U783" s="732"/>
      <c r="V783" s="732"/>
      <c r="W783" s="732"/>
      <c r="X783" s="732"/>
    </row>
    <row r="784" spans="20:24">
      <c r="T784" s="732"/>
      <c r="U784" s="732"/>
      <c r="V784" s="732"/>
      <c r="W784" s="732"/>
      <c r="X784" s="732"/>
    </row>
    <row r="785" spans="20:24">
      <c r="T785" s="732"/>
      <c r="U785" s="732"/>
      <c r="V785" s="732"/>
      <c r="W785" s="732"/>
      <c r="X785" s="732"/>
    </row>
    <row r="786" spans="20:24">
      <c r="T786" s="732"/>
      <c r="U786" s="732"/>
      <c r="V786" s="732"/>
      <c r="W786" s="732"/>
      <c r="X786" s="732"/>
    </row>
    <row r="787" spans="20:24">
      <c r="T787" s="732"/>
      <c r="U787" s="732"/>
      <c r="V787" s="732"/>
      <c r="W787" s="732"/>
      <c r="X787" s="732"/>
    </row>
    <row r="788" spans="20:24">
      <c r="T788" s="732"/>
      <c r="U788" s="732"/>
      <c r="V788" s="732"/>
      <c r="W788" s="732"/>
      <c r="X788" s="732"/>
    </row>
    <row r="789" spans="20:24">
      <c r="T789" s="732"/>
      <c r="U789" s="732"/>
      <c r="V789" s="732"/>
      <c r="W789" s="732"/>
      <c r="X789" s="732"/>
    </row>
    <row r="790" spans="20:24">
      <c r="T790" s="732"/>
      <c r="U790" s="732"/>
      <c r="V790" s="732"/>
      <c r="W790" s="732"/>
      <c r="X790" s="732"/>
    </row>
    <row r="791" spans="20:24">
      <c r="T791" s="732"/>
      <c r="U791" s="732"/>
      <c r="V791" s="732"/>
      <c r="W791" s="732"/>
      <c r="X791" s="732"/>
    </row>
    <row r="792" spans="20:24">
      <c r="T792" s="732"/>
      <c r="U792" s="732"/>
      <c r="V792" s="732"/>
      <c r="W792" s="732"/>
      <c r="X792" s="732"/>
    </row>
    <row r="793" spans="20:24">
      <c r="T793" s="732"/>
      <c r="U793" s="732"/>
      <c r="V793" s="732"/>
      <c r="W793" s="732"/>
      <c r="X793" s="732"/>
    </row>
    <row r="794" spans="20:24">
      <c r="T794" s="732"/>
      <c r="U794" s="732"/>
      <c r="V794" s="732"/>
      <c r="W794" s="732"/>
      <c r="X794" s="732"/>
    </row>
    <row r="795" spans="20:24">
      <c r="T795" s="732"/>
      <c r="U795" s="732"/>
      <c r="V795" s="732"/>
      <c r="W795" s="732"/>
      <c r="X795" s="732"/>
    </row>
    <row r="796" spans="20:24">
      <c r="T796" s="732"/>
      <c r="U796" s="732"/>
      <c r="V796" s="732"/>
      <c r="W796" s="732"/>
      <c r="X796" s="732"/>
    </row>
    <row r="797" spans="20:24">
      <c r="T797" s="732"/>
      <c r="U797" s="732"/>
      <c r="V797" s="732"/>
      <c r="W797" s="732"/>
      <c r="X797" s="732"/>
    </row>
    <row r="798" spans="20:24">
      <c r="T798" s="732"/>
      <c r="U798" s="732"/>
      <c r="V798" s="732"/>
      <c r="W798" s="732"/>
      <c r="X798" s="732"/>
    </row>
    <row r="799" spans="20:24">
      <c r="T799" s="732"/>
      <c r="U799" s="732"/>
      <c r="V799" s="732"/>
      <c r="W799" s="732"/>
      <c r="X799" s="732"/>
    </row>
    <row r="800" spans="20:24">
      <c r="T800" s="732"/>
      <c r="U800" s="732"/>
      <c r="V800" s="732"/>
      <c r="W800" s="732"/>
      <c r="X800" s="732"/>
    </row>
    <row r="801" spans="20:24">
      <c r="T801" s="732"/>
      <c r="U801" s="732"/>
      <c r="V801" s="732"/>
      <c r="W801" s="732"/>
      <c r="X801" s="732"/>
    </row>
    <row r="802" spans="20:24">
      <c r="T802" s="732"/>
      <c r="U802" s="732"/>
      <c r="V802" s="732"/>
      <c r="W802" s="732"/>
      <c r="X802" s="732"/>
    </row>
    <row r="803" spans="20:24">
      <c r="T803" s="732"/>
      <c r="U803" s="732"/>
      <c r="V803" s="732"/>
      <c r="W803" s="732"/>
      <c r="X803" s="732"/>
    </row>
    <row r="804" spans="20:24">
      <c r="T804" s="732"/>
      <c r="U804" s="732"/>
      <c r="V804" s="732"/>
      <c r="W804" s="732"/>
      <c r="X804" s="732"/>
    </row>
    <row r="805" spans="20:24">
      <c r="T805" s="732"/>
      <c r="U805" s="732"/>
      <c r="V805" s="732"/>
      <c r="W805" s="732"/>
      <c r="X805" s="732"/>
    </row>
    <row r="806" spans="20:24">
      <c r="T806" s="732"/>
      <c r="U806" s="732"/>
      <c r="V806" s="732"/>
      <c r="W806" s="732"/>
      <c r="X806" s="732"/>
    </row>
    <row r="807" spans="20:24">
      <c r="T807" s="732"/>
      <c r="U807" s="732"/>
      <c r="V807" s="732"/>
      <c r="W807" s="732"/>
      <c r="X807" s="732"/>
    </row>
    <row r="808" spans="20:24">
      <c r="T808" s="732"/>
      <c r="U808" s="732"/>
      <c r="V808" s="732"/>
      <c r="W808" s="732"/>
      <c r="X808" s="732"/>
    </row>
    <row r="809" spans="20:24">
      <c r="T809" s="732"/>
      <c r="U809" s="732"/>
      <c r="V809" s="732"/>
      <c r="W809" s="732"/>
      <c r="X809" s="732"/>
    </row>
    <row r="810" spans="20:24">
      <c r="T810" s="732"/>
      <c r="U810" s="732"/>
      <c r="V810" s="732"/>
      <c r="W810" s="732"/>
      <c r="X810" s="732"/>
    </row>
    <row r="811" spans="20:24">
      <c r="T811" s="732"/>
      <c r="U811" s="732"/>
      <c r="V811" s="732"/>
      <c r="W811" s="732"/>
      <c r="X811" s="732"/>
    </row>
    <row r="812" spans="20:24">
      <c r="T812" s="732"/>
      <c r="U812" s="732"/>
      <c r="V812" s="732"/>
      <c r="W812" s="732"/>
      <c r="X812" s="732"/>
    </row>
    <row r="813" spans="20:24">
      <c r="T813" s="732"/>
      <c r="U813" s="732"/>
      <c r="V813" s="732"/>
      <c r="W813" s="732"/>
      <c r="X813" s="732"/>
    </row>
    <row r="814" spans="20:24">
      <c r="T814" s="732"/>
      <c r="U814" s="732"/>
      <c r="V814" s="732"/>
      <c r="W814" s="732"/>
      <c r="X814" s="732"/>
    </row>
    <row r="815" spans="20:24">
      <c r="T815" s="732"/>
      <c r="U815" s="732"/>
      <c r="V815" s="732"/>
      <c r="W815" s="732"/>
      <c r="X815" s="732"/>
    </row>
    <row r="816" spans="20:24">
      <c r="T816" s="732"/>
      <c r="U816" s="732"/>
      <c r="V816" s="732"/>
      <c r="W816" s="732"/>
      <c r="X816" s="732"/>
    </row>
    <row r="817" spans="20:24">
      <c r="T817" s="732"/>
      <c r="U817" s="732"/>
      <c r="V817" s="732"/>
      <c r="W817" s="732"/>
      <c r="X817" s="732"/>
    </row>
    <row r="818" spans="20:24">
      <c r="T818" s="732"/>
      <c r="U818" s="732"/>
      <c r="V818" s="732"/>
      <c r="W818" s="732"/>
      <c r="X818" s="732"/>
    </row>
    <row r="819" spans="20:24">
      <c r="T819" s="732"/>
      <c r="U819" s="732"/>
      <c r="V819" s="732"/>
      <c r="W819" s="732"/>
      <c r="X819" s="732"/>
    </row>
    <row r="820" spans="20:24">
      <c r="T820" s="732"/>
      <c r="U820" s="732"/>
      <c r="V820" s="732"/>
      <c r="W820" s="732"/>
      <c r="X820" s="732"/>
    </row>
    <row r="821" spans="20:24">
      <c r="T821" s="732"/>
      <c r="U821" s="732"/>
      <c r="V821" s="732"/>
      <c r="W821" s="732"/>
      <c r="X821" s="732"/>
    </row>
    <row r="822" spans="20:24">
      <c r="T822" s="732"/>
      <c r="U822" s="732"/>
      <c r="V822" s="732"/>
      <c r="W822" s="732"/>
      <c r="X822" s="732"/>
    </row>
    <row r="823" spans="20:24">
      <c r="T823" s="732"/>
      <c r="U823" s="732"/>
      <c r="V823" s="732"/>
      <c r="W823" s="732"/>
      <c r="X823" s="732"/>
    </row>
    <row r="824" spans="20:24">
      <c r="T824" s="732"/>
      <c r="U824" s="732"/>
      <c r="V824" s="732"/>
      <c r="W824" s="732"/>
      <c r="X824" s="732"/>
    </row>
    <row r="825" spans="20:24">
      <c r="T825" s="732"/>
      <c r="U825" s="732"/>
      <c r="V825" s="732"/>
      <c r="W825" s="732"/>
      <c r="X825" s="732"/>
    </row>
    <row r="826" spans="20:24">
      <c r="T826" s="732"/>
      <c r="U826" s="732"/>
      <c r="V826" s="732"/>
      <c r="W826" s="732"/>
      <c r="X826" s="732"/>
    </row>
    <row r="827" spans="20:24">
      <c r="T827" s="732"/>
      <c r="U827" s="732"/>
      <c r="V827" s="732"/>
      <c r="W827" s="732"/>
      <c r="X827" s="732"/>
    </row>
    <row r="828" spans="20:24">
      <c r="T828" s="732"/>
      <c r="U828" s="732"/>
      <c r="V828" s="732"/>
      <c r="W828" s="732"/>
      <c r="X828" s="732"/>
    </row>
    <row r="829" spans="20:24">
      <c r="T829" s="732"/>
      <c r="U829" s="732"/>
      <c r="V829" s="732"/>
      <c r="W829" s="732"/>
      <c r="X829" s="732"/>
    </row>
    <row r="830" spans="20:24">
      <c r="T830" s="732"/>
      <c r="U830" s="732"/>
      <c r="V830" s="732"/>
      <c r="W830" s="732"/>
      <c r="X830" s="732"/>
    </row>
    <row r="831" spans="20:24">
      <c r="T831" s="732"/>
      <c r="U831" s="732"/>
      <c r="V831" s="732"/>
      <c r="W831" s="732"/>
      <c r="X831" s="732"/>
    </row>
    <row r="832" spans="20:24">
      <c r="T832" s="732"/>
      <c r="U832" s="732"/>
      <c r="V832" s="732"/>
      <c r="W832" s="732"/>
      <c r="X832" s="732"/>
    </row>
    <row r="833" spans="20:24">
      <c r="T833" s="732"/>
      <c r="U833" s="732"/>
      <c r="V833" s="732"/>
      <c r="W833" s="732"/>
      <c r="X833" s="732"/>
    </row>
    <row r="834" spans="20:24">
      <c r="T834" s="732"/>
      <c r="U834" s="732"/>
      <c r="V834" s="732"/>
      <c r="W834" s="732"/>
      <c r="X834" s="732"/>
    </row>
    <row r="835" spans="20:24">
      <c r="T835" s="732"/>
      <c r="U835" s="732"/>
      <c r="V835" s="732"/>
      <c r="W835" s="732"/>
      <c r="X835" s="732"/>
    </row>
    <row r="836" spans="20:24">
      <c r="T836" s="732"/>
      <c r="U836" s="732"/>
      <c r="V836" s="732"/>
      <c r="W836" s="732"/>
      <c r="X836" s="732"/>
    </row>
    <row r="837" spans="20:24">
      <c r="T837" s="732"/>
      <c r="U837" s="732"/>
      <c r="V837" s="732"/>
      <c r="W837" s="732"/>
      <c r="X837" s="732"/>
    </row>
    <row r="838" spans="20:24">
      <c r="T838" s="732"/>
      <c r="U838" s="732"/>
      <c r="V838" s="732"/>
      <c r="W838" s="732"/>
      <c r="X838" s="732"/>
    </row>
    <row r="839" spans="20:24">
      <c r="T839" s="732"/>
      <c r="U839" s="732"/>
      <c r="V839" s="732"/>
      <c r="W839" s="732"/>
      <c r="X839" s="732"/>
    </row>
    <row r="840" spans="20:24">
      <c r="T840" s="732"/>
      <c r="U840" s="732"/>
      <c r="V840" s="732"/>
      <c r="W840" s="732"/>
      <c r="X840" s="732"/>
    </row>
    <row r="841" spans="20:24">
      <c r="T841" s="732"/>
      <c r="U841" s="732"/>
      <c r="V841" s="732"/>
      <c r="W841" s="732"/>
      <c r="X841" s="732"/>
    </row>
    <row r="842" spans="20:24">
      <c r="T842" s="732"/>
      <c r="U842" s="732"/>
      <c r="V842" s="732"/>
      <c r="W842" s="732"/>
      <c r="X842" s="732"/>
    </row>
    <row r="843" spans="20:24">
      <c r="T843" s="732"/>
      <c r="U843" s="732"/>
      <c r="V843" s="732"/>
      <c r="W843" s="732"/>
      <c r="X843" s="732"/>
    </row>
    <row r="844" spans="20:24">
      <c r="T844" s="732"/>
      <c r="U844" s="732"/>
      <c r="V844" s="732"/>
      <c r="W844" s="732"/>
      <c r="X844" s="732"/>
    </row>
    <row r="845" spans="20:24">
      <c r="T845" s="732"/>
      <c r="U845" s="732"/>
      <c r="V845" s="732"/>
      <c r="W845" s="732"/>
      <c r="X845" s="732"/>
    </row>
    <row r="846" spans="20:24">
      <c r="T846" s="732"/>
      <c r="U846" s="732"/>
      <c r="V846" s="732"/>
      <c r="W846" s="732"/>
      <c r="X846" s="732"/>
    </row>
    <row r="847" spans="20:24">
      <c r="T847" s="732"/>
      <c r="U847" s="732"/>
      <c r="V847" s="732"/>
      <c r="W847" s="732"/>
      <c r="X847" s="732"/>
    </row>
    <row r="848" spans="20:24">
      <c r="T848" s="732"/>
      <c r="U848" s="732"/>
      <c r="V848" s="732"/>
      <c r="W848" s="732"/>
      <c r="X848" s="732"/>
    </row>
    <row r="849" spans="20:24">
      <c r="T849" s="732"/>
      <c r="U849" s="732"/>
      <c r="V849" s="732"/>
      <c r="W849" s="732"/>
      <c r="X849" s="732"/>
    </row>
    <row r="850" spans="20:24">
      <c r="T850" s="732"/>
      <c r="U850" s="732"/>
      <c r="V850" s="732"/>
      <c r="W850" s="732"/>
      <c r="X850" s="732"/>
    </row>
    <row r="851" spans="20:24">
      <c r="T851" s="732"/>
      <c r="U851" s="732"/>
      <c r="V851" s="732"/>
      <c r="W851" s="732"/>
      <c r="X851" s="732"/>
    </row>
    <row r="852" spans="20:24">
      <c r="T852" s="732"/>
      <c r="U852" s="732"/>
      <c r="V852" s="732"/>
      <c r="W852" s="732"/>
      <c r="X852" s="732"/>
    </row>
    <row r="853" spans="20:24">
      <c r="T853" s="732"/>
      <c r="U853" s="732"/>
      <c r="V853" s="732"/>
      <c r="W853" s="732"/>
      <c r="X853" s="732"/>
    </row>
    <row r="854" spans="20:24">
      <c r="T854" s="732"/>
      <c r="U854" s="732"/>
      <c r="V854" s="732"/>
      <c r="W854" s="732"/>
      <c r="X854" s="732"/>
    </row>
    <row r="855" spans="20:24">
      <c r="T855" s="732"/>
      <c r="U855" s="732"/>
      <c r="V855" s="732"/>
      <c r="W855" s="732"/>
      <c r="X855" s="732"/>
    </row>
    <row r="856" spans="20:24">
      <c r="T856" s="732"/>
      <c r="U856" s="732"/>
      <c r="V856" s="732"/>
      <c r="W856" s="732"/>
      <c r="X856" s="732"/>
    </row>
    <row r="857" spans="20:24">
      <c r="T857" s="732"/>
      <c r="U857" s="732"/>
      <c r="V857" s="732"/>
      <c r="W857" s="732"/>
      <c r="X857" s="732"/>
    </row>
    <row r="858" spans="20:24">
      <c r="T858" s="732"/>
      <c r="U858" s="732"/>
      <c r="V858" s="732"/>
      <c r="W858" s="732"/>
      <c r="X858" s="732"/>
    </row>
    <row r="859" spans="20:24">
      <c r="T859" s="732"/>
      <c r="U859" s="732"/>
      <c r="V859" s="732"/>
      <c r="W859" s="732"/>
      <c r="X859" s="732"/>
    </row>
    <row r="860" spans="20:24">
      <c r="T860" s="732"/>
      <c r="U860" s="732"/>
      <c r="V860" s="732"/>
      <c r="W860" s="732"/>
      <c r="X860" s="732"/>
    </row>
    <row r="861" spans="20:24">
      <c r="T861" s="732"/>
      <c r="U861" s="732"/>
      <c r="V861" s="732"/>
      <c r="W861" s="732"/>
      <c r="X861" s="732"/>
    </row>
    <row r="862" spans="20:24">
      <c r="T862" s="732"/>
      <c r="U862" s="732"/>
      <c r="V862" s="732"/>
      <c r="W862" s="732"/>
      <c r="X862" s="732"/>
    </row>
    <row r="863" spans="20:24">
      <c r="T863" s="732"/>
      <c r="U863" s="732"/>
      <c r="V863" s="732"/>
      <c r="W863" s="732"/>
      <c r="X863" s="732"/>
    </row>
    <row r="864" spans="20:24">
      <c r="T864" s="732"/>
      <c r="U864" s="732"/>
      <c r="V864" s="732"/>
      <c r="W864" s="732"/>
      <c r="X864" s="732"/>
    </row>
    <row r="865" spans="20:24">
      <c r="T865" s="732"/>
      <c r="U865" s="732"/>
      <c r="V865" s="732"/>
      <c r="W865" s="732"/>
      <c r="X865" s="732"/>
    </row>
    <row r="866" spans="20:24">
      <c r="T866" s="732"/>
      <c r="U866" s="732"/>
      <c r="V866" s="732"/>
      <c r="W866" s="732"/>
      <c r="X866" s="732"/>
    </row>
    <row r="867" spans="20:24">
      <c r="T867" s="732"/>
      <c r="U867" s="732"/>
      <c r="V867" s="732"/>
      <c r="W867" s="732"/>
      <c r="X867" s="732"/>
    </row>
    <row r="868" spans="20:24">
      <c r="T868" s="732"/>
      <c r="U868" s="732"/>
      <c r="V868" s="732"/>
      <c r="W868" s="732"/>
      <c r="X868" s="732"/>
    </row>
    <row r="869" spans="20:24">
      <c r="T869" s="732"/>
      <c r="U869" s="732"/>
      <c r="V869" s="732"/>
      <c r="W869" s="732"/>
      <c r="X869" s="732"/>
    </row>
    <row r="870" spans="20:24">
      <c r="T870" s="732"/>
      <c r="U870" s="732"/>
      <c r="V870" s="732"/>
      <c r="W870" s="732"/>
      <c r="X870" s="732"/>
    </row>
    <row r="871" spans="20:24">
      <c r="T871" s="732"/>
      <c r="U871" s="732"/>
      <c r="V871" s="732"/>
      <c r="W871" s="732"/>
      <c r="X871" s="732"/>
    </row>
    <row r="872" spans="20:24">
      <c r="T872" s="732"/>
      <c r="U872" s="732"/>
      <c r="V872" s="732"/>
      <c r="W872" s="732"/>
      <c r="X872" s="732"/>
    </row>
    <row r="873" spans="20:24">
      <c r="T873" s="732"/>
      <c r="U873" s="732"/>
      <c r="V873" s="732"/>
      <c r="W873" s="732"/>
      <c r="X873" s="732"/>
    </row>
    <row r="874" spans="20:24">
      <c r="T874" s="732"/>
      <c r="U874" s="732"/>
      <c r="V874" s="732"/>
      <c r="W874" s="732"/>
      <c r="X874" s="732"/>
    </row>
    <row r="875" spans="20:24">
      <c r="T875" s="732"/>
      <c r="U875" s="732"/>
      <c r="V875" s="732"/>
      <c r="W875" s="732"/>
      <c r="X875" s="732"/>
    </row>
    <row r="876" spans="20:24">
      <c r="T876" s="732"/>
      <c r="U876" s="732"/>
      <c r="V876" s="732"/>
      <c r="W876" s="732"/>
      <c r="X876" s="732"/>
    </row>
    <row r="877" spans="20:24">
      <c r="T877" s="732"/>
      <c r="U877" s="732"/>
      <c r="V877" s="732"/>
      <c r="W877" s="732"/>
      <c r="X877" s="732"/>
    </row>
    <row r="878" spans="20:24">
      <c r="T878" s="732"/>
      <c r="U878" s="732"/>
      <c r="V878" s="732"/>
      <c r="W878" s="732"/>
      <c r="X878" s="732"/>
    </row>
    <row r="879" spans="20:24">
      <c r="T879" s="732"/>
      <c r="U879" s="732"/>
      <c r="V879" s="732"/>
      <c r="W879" s="732"/>
      <c r="X879" s="732"/>
    </row>
    <row r="880" spans="20:24">
      <c r="T880" s="732"/>
      <c r="U880" s="732"/>
      <c r="V880" s="732"/>
      <c r="W880" s="732"/>
      <c r="X880" s="732"/>
    </row>
    <row r="881" spans="20:24">
      <c r="T881" s="732"/>
      <c r="U881" s="732"/>
      <c r="V881" s="732"/>
      <c r="W881" s="732"/>
      <c r="X881" s="732"/>
    </row>
    <row r="882" spans="20:24">
      <c r="T882" s="732"/>
      <c r="U882" s="732"/>
      <c r="V882" s="732"/>
      <c r="W882" s="732"/>
      <c r="X882" s="732"/>
    </row>
    <row r="883" spans="20:24">
      <c r="T883" s="732"/>
      <c r="U883" s="732"/>
      <c r="V883" s="732"/>
      <c r="W883" s="732"/>
      <c r="X883" s="732"/>
    </row>
    <row r="884" spans="20:24">
      <c r="T884" s="732"/>
      <c r="U884" s="732"/>
      <c r="V884" s="732"/>
      <c r="W884" s="732"/>
      <c r="X884" s="732"/>
    </row>
    <row r="885" spans="20:24">
      <c r="T885" s="732"/>
      <c r="U885" s="732"/>
      <c r="V885" s="732"/>
      <c r="W885" s="732"/>
      <c r="X885" s="732"/>
    </row>
    <row r="886" spans="20:24">
      <c r="T886" s="732"/>
      <c r="U886" s="732"/>
      <c r="V886" s="732"/>
      <c r="W886" s="732"/>
      <c r="X886" s="732"/>
    </row>
    <row r="887" spans="20:24">
      <c r="T887" s="732"/>
      <c r="U887" s="732"/>
      <c r="V887" s="732"/>
      <c r="W887" s="732"/>
      <c r="X887" s="732"/>
    </row>
    <row r="888" spans="20:24">
      <c r="T888" s="732"/>
      <c r="U888" s="732"/>
      <c r="V888" s="732"/>
      <c r="W888" s="732"/>
      <c r="X888" s="732"/>
    </row>
    <row r="889" spans="20:24">
      <c r="T889" s="732"/>
      <c r="U889" s="732"/>
      <c r="V889" s="732"/>
      <c r="W889" s="732"/>
      <c r="X889" s="732"/>
    </row>
    <row r="890" spans="20:24">
      <c r="T890" s="732"/>
      <c r="U890" s="732"/>
      <c r="V890" s="732"/>
      <c r="W890" s="732"/>
      <c r="X890" s="732"/>
    </row>
    <row r="891" spans="20:24">
      <c r="T891" s="732"/>
      <c r="U891" s="732"/>
      <c r="V891" s="732"/>
      <c r="W891" s="732"/>
      <c r="X891" s="732"/>
    </row>
    <row r="892" spans="20:24">
      <c r="T892" s="732"/>
      <c r="U892" s="732"/>
      <c r="V892" s="732"/>
      <c r="W892" s="732"/>
      <c r="X892" s="732"/>
    </row>
    <row r="893" spans="20:24">
      <c r="T893" s="732"/>
      <c r="U893" s="732"/>
      <c r="V893" s="732"/>
      <c r="W893" s="732"/>
      <c r="X893" s="732"/>
    </row>
    <row r="894" spans="20:24">
      <c r="T894" s="732"/>
      <c r="U894" s="732"/>
      <c r="V894" s="732"/>
      <c r="W894" s="732"/>
      <c r="X894" s="732"/>
    </row>
    <row r="895" spans="20:24">
      <c r="T895" s="732"/>
      <c r="U895" s="732"/>
      <c r="V895" s="732"/>
      <c r="W895" s="732"/>
      <c r="X895" s="732"/>
    </row>
    <row r="896" spans="20:24">
      <c r="T896" s="732"/>
      <c r="U896" s="732"/>
      <c r="V896" s="732"/>
      <c r="W896" s="732"/>
      <c r="X896" s="732"/>
    </row>
    <row r="897" spans="20:24">
      <c r="T897" s="732"/>
      <c r="U897" s="732"/>
      <c r="V897" s="732"/>
      <c r="W897" s="732"/>
      <c r="X897" s="732"/>
    </row>
    <row r="898" spans="20:24">
      <c r="T898" s="732"/>
      <c r="U898" s="732"/>
      <c r="V898" s="732"/>
      <c r="W898" s="732"/>
      <c r="X898" s="732"/>
    </row>
    <row r="899" spans="20:24">
      <c r="T899" s="732"/>
      <c r="U899" s="732"/>
      <c r="V899" s="732"/>
      <c r="W899" s="732"/>
      <c r="X899" s="732"/>
    </row>
    <row r="900" spans="20:24">
      <c r="T900" s="732"/>
      <c r="U900" s="732"/>
      <c r="V900" s="732"/>
      <c r="W900" s="732"/>
      <c r="X900" s="732"/>
    </row>
    <row r="901" spans="20:24">
      <c r="T901" s="732"/>
      <c r="U901" s="732"/>
      <c r="V901" s="732"/>
      <c r="W901" s="732"/>
      <c r="X901" s="732"/>
    </row>
    <row r="902" spans="20:24">
      <c r="T902" s="732"/>
      <c r="U902" s="732"/>
      <c r="V902" s="732"/>
      <c r="W902" s="732"/>
      <c r="X902" s="732"/>
    </row>
    <row r="903" spans="20:24">
      <c r="T903" s="732"/>
      <c r="U903" s="732"/>
      <c r="V903" s="732"/>
      <c r="W903" s="732"/>
      <c r="X903" s="732"/>
    </row>
    <row r="904" spans="20:24">
      <c r="T904" s="732"/>
      <c r="U904" s="732"/>
      <c r="V904" s="732"/>
      <c r="W904" s="732"/>
      <c r="X904" s="732"/>
    </row>
    <row r="905" spans="20:24">
      <c r="T905" s="732"/>
      <c r="U905" s="732"/>
      <c r="V905" s="732"/>
      <c r="W905" s="732"/>
      <c r="X905" s="732"/>
    </row>
    <row r="906" spans="20:24">
      <c r="T906" s="732"/>
      <c r="U906" s="732"/>
      <c r="V906" s="732"/>
      <c r="W906" s="732"/>
      <c r="X906" s="732"/>
    </row>
    <row r="907" spans="20:24">
      <c r="T907" s="732"/>
      <c r="U907" s="732"/>
      <c r="V907" s="732"/>
      <c r="W907" s="732"/>
      <c r="X907" s="732"/>
    </row>
    <row r="908" spans="20:24">
      <c r="T908" s="732"/>
      <c r="U908" s="732"/>
      <c r="V908" s="732"/>
      <c r="W908" s="732"/>
      <c r="X908" s="732"/>
    </row>
    <row r="909" spans="20:24">
      <c r="T909" s="732"/>
      <c r="U909" s="732"/>
      <c r="V909" s="732"/>
      <c r="W909" s="732"/>
      <c r="X909" s="732"/>
    </row>
    <row r="910" spans="20:24">
      <c r="T910" s="732"/>
      <c r="U910" s="732"/>
      <c r="V910" s="732"/>
      <c r="W910" s="732"/>
      <c r="X910" s="732"/>
    </row>
    <row r="911" spans="20:24">
      <c r="T911" s="732"/>
      <c r="U911" s="732"/>
      <c r="V911" s="732"/>
      <c r="W911" s="732"/>
      <c r="X911" s="732"/>
    </row>
    <row r="912" spans="20:24">
      <c r="T912" s="732"/>
      <c r="U912" s="732"/>
      <c r="V912" s="732"/>
      <c r="W912" s="732"/>
      <c r="X912" s="732"/>
    </row>
    <row r="913" spans="20:24">
      <c r="T913" s="732"/>
      <c r="U913" s="732"/>
      <c r="V913" s="732"/>
      <c r="W913" s="732"/>
      <c r="X913" s="732"/>
    </row>
    <row r="914" spans="20:24">
      <c r="T914" s="732"/>
      <c r="U914" s="732"/>
      <c r="V914" s="732"/>
      <c r="W914" s="732"/>
      <c r="X914" s="732"/>
    </row>
    <row r="915" spans="20:24">
      <c r="T915" s="732"/>
      <c r="U915" s="732"/>
      <c r="V915" s="732"/>
      <c r="W915" s="732"/>
      <c r="X915" s="732"/>
    </row>
    <row r="916" spans="20:24">
      <c r="T916" s="732"/>
      <c r="U916" s="732"/>
      <c r="V916" s="732"/>
      <c r="W916" s="732"/>
      <c r="X916" s="732"/>
    </row>
    <row r="917" spans="20:24">
      <c r="T917" s="732"/>
      <c r="U917" s="732"/>
      <c r="V917" s="732"/>
      <c r="W917" s="732"/>
      <c r="X917" s="732"/>
    </row>
    <row r="918" spans="20:24">
      <c r="T918" s="732"/>
      <c r="U918" s="732"/>
      <c r="V918" s="732"/>
      <c r="W918" s="732"/>
      <c r="X918" s="732"/>
    </row>
    <row r="919" spans="20:24">
      <c r="T919" s="732"/>
      <c r="U919" s="732"/>
      <c r="V919" s="732"/>
      <c r="W919" s="732"/>
      <c r="X919" s="732"/>
    </row>
    <row r="920" spans="20:24">
      <c r="T920" s="732"/>
      <c r="U920" s="732"/>
      <c r="V920" s="732"/>
      <c r="W920" s="732"/>
      <c r="X920" s="732"/>
    </row>
    <row r="921" spans="20:24">
      <c r="T921" s="732"/>
      <c r="U921" s="732"/>
      <c r="V921" s="732"/>
      <c r="W921" s="732"/>
      <c r="X921" s="732"/>
    </row>
    <row r="922" spans="20:24">
      <c r="T922" s="732"/>
      <c r="U922" s="732"/>
      <c r="V922" s="732"/>
      <c r="W922" s="732"/>
      <c r="X922" s="732"/>
    </row>
    <row r="923" spans="20:24">
      <c r="T923" s="732"/>
      <c r="U923" s="732"/>
      <c r="V923" s="732"/>
      <c r="W923" s="732"/>
      <c r="X923" s="732"/>
    </row>
    <row r="924" spans="20:24">
      <c r="T924" s="732"/>
      <c r="U924" s="732"/>
      <c r="V924" s="732"/>
      <c r="W924" s="732"/>
      <c r="X924" s="732"/>
    </row>
    <row r="925" spans="20:24">
      <c r="T925" s="732"/>
      <c r="U925" s="732"/>
      <c r="V925" s="732"/>
      <c r="W925" s="732"/>
      <c r="X925" s="732"/>
    </row>
    <row r="926" spans="20:24">
      <c r="T926" s="732"/>
      <c r="U926" s="732"/>
      <c r="V926" s="732"/>
      <c r="W926" s="732"/>
      <c r="X926" s="732"/>
    </row>
    <row r="927" spans="20:24">
      <c r="T927" s="732"/>
      <c r="U927" s="732"/>
      <c r="V927" s="732"/>
      <c r="W927" s="732"/>
      <c r="X927" s="732"/>
    </row>
    <row r="928" spans="20:24">
      <c r="T928" s="732"/>
      <c r="U928" s="732"/>
      <c r="V928" s="732"/>
      <c r="W928" s="732"/>
      <c r="X928" s="732"/>
    </row>
    <row r="929" spans="20:24">
      <c r="T929" s="732"/>
      <c r="U929" s="732"/>
      <c r="V929" s="732"/>
      <c r="W929" s="732"/>
      <c r="X929" s="732"/>
    </row>
    <row r="930" spans="20:24">
      <c r="T930" s="732"/>
      <c r="U930" s="732"/>
      <c r="V930" s="732"/>
      <c r="W930" s="732"/>
      <c r="X930" s="732"/>
    </row>
    <row r="931" spans="20:24">
      <c r="T931" s="732"/>
      <c r="U931" s="732"/>
      <c r="V931" s="732"/>
      <c r="W931" s="732"/>
      <c r="X931" s="732"/>
    </row>
    <row r="932" spans="20:24">
      <c r="T932" s="732"/>
      <c r="U932" s="732"/>
      <c r="V932" s="732"/>
      <c r="W932" s="732"/>
      <c r="X932" s="732"/>
    </row>
    <row r="933" spans="20:24">
      <c r="T933" s="732"/>
      <c r="U933" s="732"/>
      <c r="V933" s="732"/>
      <c r="W933" s="732"/>
      <c r="X933" s="732"/>
    </row>
    <row r="934" spans="20:24">
      <c r="T934" s="732"/>
      <c r="U934" s="732"/>
      <c r="V934" s="732"/>
      <c r="W934" s="732"/>
      <c r="X934" s="732"/>
    </row>
    <row r="935" spans="20:24">
      <c r="T935" s="732"/>
      <c r="U935" s="732"/>
      <c r="V935" s="732"/>
      <c r="W935" s="732"/>
      <c r="X935" s="732"/>
    </row>
    <row r="936" spans="20:24">
      <c r="T936" s="732"/>
      <c r="U936" s="732"/>
      <c r="V936" s="732"/>
      <c r="W936" s="732"/>
      <c r="X936" s="732"/>
    </row>
    <row r="937" spans="20:24">
      <c r="T937" s="732"/>
      <c r="U937" s="732"/>
      <c r="V937" s="732"/>
      <c r="W937" s="732"/>
      <c r="X937" s="732"/>
    </row>
    <row r="938" spans="20:24">
      <c r="T938" s="732"/>
      <c r="U938" s="732"/>
      <c r="V938" s="732"/>
      <c r="W938" s="732"/>
      <c r="X938" s="732"/>
    </row>
    <row r="939" spans="20:24">
      <c r="T939" s="732"/>
      <c r="U939" s="732"/>
      <c r="V939" s="732"/>
      <c r="W939" s="732"/>
      <c r="X939" s="732"/>
    </row>
    <row r="940" spans="20:24">
      <c r="T940" s="732"/>
      <c r="U940" s="732"/>
      <c r="V940" s="732"/>
      <c r="W940" s="732"/>
      <c r="X940" s="732"/>
    </row>
    <row r="941" spans="20:24">
      <c r="T941" s="732"/>
      <c r="U941" s="732"/>
      <c r="V941" s="732"/>
      <c r="W941" s="732"/>
      <c r="X941" s="732"/>
    </row>
    <row r="942" spans="20:24">
      <c r="T942" s="732"/>
      <c r="U942" s="732"/>
      <c r="V942" s="732"/>
      <c r="W942" s="732"/>
      <c r="X942" s="732"/>
    </row>
    <row r="943" spans="20:24">
      <c r="T943" s="732"/>
      <c r="U943" s="732"/>
      <c r="V943" s="732"/>
      <c r="W943" s="732"/>
      <c r="X943" s="732"/>
    </row>
    <row r="944" spans="20:24">
      <c r="T944" s="732"/>
      <c r="U944" s="732"/>
      <c r="V944" s="732"/>
      <c r="W944" s="732"/>
      <c r="X944" s="732"/>
    </row>
    <row r="945" spans="20:24">
      <c r="T945" s="732"/>
      <c r="U945" s="732"/>
      <c r="V945" s="732"/>
      <c r="W945" s="732"/>
      <c r="X945" s="732"/>
    </row>
    <row r="946" spans="20:24">
      <c r="T946" s="732"/>
      <c r="U946" s="732"/>
      <c r="V946" s="732"/>
      <c r="W946" s="732"/>
      <c r="X946" s="732"/>
    </row>
    <row r="947" spans="20:24">
      <c r="T947" s="732"/>
      <c r="U947" s="732"/>
      <c r="V947" s="732"/>
      <c r="W947" s="732"/>
      <c r="X947" s="732"/>
    </row>
    <row r="948" spans="20:24">
      <c r="T948" s="732"/>
      <c r="U948" s="732"/>
      <c r="V948" s="732"/>
      <c r="W948" s="732"/>
      <c r="X948" s="732"/>
    </row>
    <row r="949" spans="20:24">
      <c r="T949" s="732"/>
      <c r="U949" s="732"/>
      <c r="V949" s="732"/>
      <c r="W949" s="732"/>
      <c r="X949" s="732"/>
    </row>
    <row r="950" spans="20:24">
      <c r="T950" s="732"/>
      <c r="U950" s="732"/>
      <c r="V950" s="732"/>
      <c r="W950" s="732"/>
      <c r="X950" s="732"/>
    </row>
    <row r="951" spans="20:24">
      <c r="T951" s="732"/>
      <c r="U951" s="732"/>
      <c r="V951" s="732"/>
      <c r="W951" s="732"/>
      <c r="X951" s="732"/>
    </row>
    <row r="952" spans="20:24">
      <c r="T952" s="732"/>
      <c r="U952" s="732"/>
      <c r="V952" s="732"/>
      <c r="W952" s="732"/>
      <c r="X952" s="732"/>
    </row>
    <row r="953" spans="20:24">
      <c r="T953" s="732"/>
      <c r="U953" s="732"/>
      <c r="V953" s="732"/>
      <c r="W953" s="732"/>
      <c r="X953" s="732"/>
    </row>
    <row r="954" spans="20:24">
      <c r="T954" s="732"/>
      <c r="U954" s="732"/>
      <c r="V954" s="732"/>
      <c r="W954" s="732"/>
      <c r="X954" s="732"/>
    </row>
    <row r="955" spans="20:24">
      <c r="T955" s="732"/>
      <c r="U955" s="732"/>
      <c r="V955" s="732"/>
      <c r="W955" s="732"/>
      <c r="X955" s="732"/>
    </row>
    <row r="956" spans="20:24">
      <c r="T956" s="732"/>
      <c r="U956" s="732"/>
      <c r="V956" s="732"/>
      <c r="W956" s="732"/>
      <c r="X956" s="732"/>
    </row>
    <row r="957" spans="20:24">
      <c r="T957" s="732"/>
      <c r="U957" s="732"/>
      <c r="V957" s="732"/>
      <c r="W957" s="732"/>
      <c r="X957" s="732"/>
    </row>
    <row r="958" spans="20:24">
      <c r="T958" s="732"/>
      <c r="U958" s="732"/>
      <c r="V958" s="732"/>
      <c r="W958" s="732"/>
      <c r="X958" s="732"/>
    </row>
    <row r="959" spans="20:24">
      <c r="T959" s="732"/>
      <c r="U959" s="732"/>
      <c r="V959" s="732"/>
      <c r="W959" s="732"/>
      <c r="X959" s="732"/>
    </row>
    <row r="960" spans="20:24">
      <c r="T960" s="732"/>
      <c r="U960" s="732"/>
      <c r="V960" s="732"/>
      <c r="W960" s="732"/>
      <c r="X960" s="732"/>
    </row>
    <row r="961" spans="20:24">
      <c r="T961" s="732"/>
      <c r="U961" s="732"/>
      <c r="V961" s="732"/>
      <c r="W961" s="732"/>
      <c r="X961" s="732"/>
    </row>
    <row r="962" spans="20:24">
      <c r="T962" s="732"/>
      <c r="U962" s="732"/>
      <c r="V962" s="732"/>
      <c r="W962" s="732"/>
      <c r="X962" s="732"/>
    </row>
    <row r="963" spans="20:24">
      <c r="T963" s="732"/>
      <c r="U963" s="732"/>
      <c r="V963" s="732"/>
      <c r="W963" s="732"/>
      <c r="X963" s="732"/>
    </row>
    <row r="964" spans="20:24">
      <c r="T964" s="732"/>
      <c r="U964" s="732"/>
      <c r="V964" s="732"/>
      <c r="W964" s="732"/>
      <c r="X964" s="732"/>
    </row>
    <row r="965" spans="20:24">
      <c r="T965" s="732"/>
      <c r="U965" s="732"/>
      <c r="V965" s="732"/>
      <c r="W965" s="732"/>
      <c r="X965" s="732"/>
    </row>
    <row r="966" spans="20:24">
      <c r="T966" s="732"/>
      <c r="U966" s="732"/>
      <c r="V966" s="732"/>
      <c r="W966" s="732"/>
      <c r="X966" s="732"/>
    </row>
    <row r="967" spans="20:24">
      <c r="T967" s="732"/>
      <c r="U967" s="732"/>
      <c r="V967" s="732"/>
      <c r="W967" s="732"/>
      <c r="X967" s="732"/>
    </row>
    <row r="968" spans="20:24">
      <c r="T968" s="732"/>
      <c r="U968" s="732"/>
      <c r="V968" s="732"/>
      <c r="W968" s="732"/>
      <c r="X968" s="732"/>
    </row>
    <row r="969" spans="20:24">
      <c r="T969" s="732"/>
      <c r="U969" s="732"/>
      <c r="V969" s="732"/>
      <c r="W969" s="732"/>
      <c r="X969" s="732"/>
    </row>
    <row r="970" spans="20:24">
      <c r="T970" s="732"/>
      <c r="U970" s="732"/>
      <c r="V970" s="732"/>
      <c r="W970" s="732"/>
      <c r="X970" s="732"/>
    </row>
    <row r="971" spans="20:24">
      <c r="T971" s="732"/>
      <c r="U971" s="732"/>
      <c r="V971" s="732"/>
      <c r="W971" s="732"/>
      <c r="X971" s="732"/>
    </row>
    <row r="972" spans="20:24">
      <c r="T972" s="732"/>
      <c r="U972" s="732"/>
      <c r="V972" s="732"/>
      <c r="W972" s="732"/>
      <c r="X972" s="732"/>
    </row>
    <row r="973" spans="20:24">
      <c r="T973" s="732"/>
      <c r="U973" s="732"/>
      <c r="V973" s="732"/>
      <c r="W973" s="732"/>
      <c r="X973" s="732"/>
    </row>
    <row r="974" spans="20:24">
      <c r="T974" s="732"/>
      <c r="U974" s="732"/>
      <c r="V974" s="732"/>
      <c r="W974" s="732"/>
      <c r="X974" s="732"/>
    </row>
    <row r="975" spans="20:24">
      <c r="T975" s="732"/>
      <c r="U975" s="732"/>
      <c r="V975" s="732"/>
      <c r="W975" s="732"/>
      <c r="X975" s="732"/>
    </row>
    <row r="976" spans="20:24">
      <c r="T976" s="732"/>
      <c r="U976" s="732"/>
      <c r="V976" s="732"/>
      <c r="W976" s="732"/>
      <c r="X976" s="732"/>
    </row>
    <row r="977" spans="20:24">
      <c r="T977" s="732"/>
      <c r="U977" s="732"/>
      <c r="V977" s="732"/>
      <c r="W977" s="732"/>
      <c r="X977" s="732"/>
    </row>
    <row r="978" spans="20:24">
      <c r="T978" s="732"/>
      <c r="U978" s="732"/>
      <c r="V978" s="732"/>
      <c r="W978" s="732"/>
      <c r="X978" s="732"/>
    </row>
    <row r="979" spans="20:24">
      <c r="T979" s="732"/>
      <c r="U979" s="732"/>
      <c r="V979" s="732"/>
      <c r="W979" s="732"/>
      <c r="X979" s="732"/>
    </row>
    <row r="980" spans="20:24">
      <c r="T980" s="732"/>
      <c r="U980" s="732"/>
      <c r="V980" s="732"/>
      <c r="W980" s="732"/>
      <c r="X980" s="732"/>
    </row>
    <row r="981" spans="20:24">
      <c r="T981" s="732"/>
      <c r="U981" s="732"/>
      <c r="V981" s="732"/>
      <c r="W981" s="732"/>
      <c r="X981" s="732"/>
    </row>
    <row r="982" spans="20:24">
      <c r="T982" s="732"/>
      <c r="U982" s="732"/>
      <c r="V982" s="732"/>
      <c r="W982" s="732"/>
      <c r="X982" s="732"/>
    </row>
    <row r="983" spans="20:24">
      <c r="T983" s="732"/>
      <c r="U983" s="732"/>
      <c r="V983" s="732"/>
      <c r="W983" s="732"/>
      <c r="X983" s="732"/>
    </row>
    <row r="984" spans="20:24">
      <c r="T984" s="732"/>
      <c r="U984" s="732"/>
      <c r="V984" s="732"/>
      <c r="W984" s="732"/>
      <c r="X984" s="732"/>
    </row>
    <row r="985" spans="20:24">
      <c r="T985" s="732"/>
      <c r="U985" s="732"/>
      <c r="V985" s="732"/>
      <c r="W985" s="732"/>
      <c r="X985" s="732"/>
    </row>
    <row r="986" spans="20:24">
      <c r="T986" s="732"/>
      <c r="U986" s="732"/>
      <c r="V986" s="732"/>
      <c r="W986" s="732"/>
      <c r="X986" s="732"/>
    </row>
    <row r="987" spans="20:24">
      <c r="T987" s="732"/>
      <c r="U987" s="732"/>
      <c r="V987" s="732"/>
      <c r="W987" s="732"/>
      <c r="X987" s="732"/>
    </row>
    <row r="988" spans="20:24">
      <c r="T988" s="732"/>
      <c r="U988" s="732"/>
      <c r="V988" s="732"/>
      <c r="W988" s="732"/>
      <c r="X988" s="732"/>
    </row>
    <row r="989" spans="20:24">
      <c r="T989" s="732"/>
      <c r="U989" s="732"/>
      <c r="V989" s="732"/>
      <c r="W989" s="732"/>
      <c r="X989" s="732"/>
    </row>
    <row r="990" spans="20:24">
      <c r="T990" s="732"/>
      <c r="U990" s="732"/>
      <c r="V990" s="732"/>
      <c r="W990" s="732"/>
      <c r="X990" s="732"/>
    </row>
    <row r="991" spans="20:24">
      <c r="T991" s="732"/>
      <c r="U991" s="732"/>
      <c r="V991" s="732"/>
      <c r="W991" s="732"/>
      <c r="X991" s="732"/>
    </row>
    <row r="992" spans="20:24">
      <c r="T992" s="732"/>
      <c r="U992" s="732"/>
      <c r="V992" s="732"/>
      <c r="W992" s="732"/>
      <c r="X992" s="732"/>
    </row>
    <row r="993" spans="20:24">
      <c r="T993" s="732"/>
      <c r="U993" s="732"/>
      <c r="V993" s="732"/>
      <c r="W993" s="732"/>
      <c r="X993" s="732"/>
    </row>
    <row r="994" spans="20:24">
      <c r="T994" s="732"/>
      <c r="U994" s="732"/>
      <c r="V994" s="732"/>
      <c r="W994" s="732"/>
      <c r="X994" s="732"/>
    </row>
    <row r="995" spans="20:24">
      <c r="T995" s="732"/>
      <c r="U995" s="732"/>
      <c r="V995" s="732"/>
      <c r="W995" s="732"/>
      <c r="X995" s="732"/>
    </row>
    <row r="996" spans="20:24">
      <c r="T996" s="732"/>
      <c r="U996" s="732"/>
      <c r="V996" s="732"/>
      <c r="W996" s="732"/>
      <c r="X996" s="732"/>
    </row>
    <row r="997" spans="20:24">
      <c r="T997" s="732"/>
      <c r="U997" s="732"/>
      <c r="V997" s="732"/>
      <c r="W997" s="732"/>
      <c r="X997" s="732"/>
    </row>
    <row r="998" spans="20:24">
      <c r="T998" s="732"/>
      <c r="U998" s="732"/>
      <c r="V998" s="732"/>
      <c r="W998" s="732"/>
      <c r="X998" s="732"/>
    </row>
    <row r="999" spans="20:24">
      <c r="T999" s="732"/>
      <c r="U999" s="732"/>
      <c r="V999" s="732"/>
      <c r="W999" s="732"/>
      <c r="X999" s="732"/>
    </row>
    <row r="1000" spans="20:24">
      <c r="T1000" s="732"/>
      <c r="U1000" s="732"/>
      <c r="V1000" s="732"/>
      <c r="W1000" s="732"/>
      <c r="X1000" s="732"/>
    </row>
    <row r="1001" spans="20:24">
      <c r="T1001" s="732"/>
      <c r="U1001" s="732"/>
      <c r="V1001" s="732"/>
      <c r="W1001" s="732"/>
      <c r="X1001" s="732"/>
    </row>
    <row r="1002" spans="20:24">
      <c r="T1002" s="732"/>
      <c r="U1002" s="732"/>
      <c r="V1002" s="732"/>
      <c r="W1002" s="732"/>
      <c r="X1002" s="732"/>
    </row>
    <row r="1003" spans="20:24">
      <c r="T1003" s="732"/>
      <c r="U1003" s="732"/>
      <c r="V1003" s="732"/>
      <c r="W1003" s="732"/>
      <c r="X1003" s="732"/>
    </row>
    <row r="1004" spans="20:24">
      <c r="T1004" s="732"/>
      <c r="U1004" s="732"/>
      <c r="V1004" s="732"/>
      <c r="W1004" s="732"/>
      <c r="X1004" s="732"/>
    </row>
    <row r="1005" spans="20:24">
      <c r="T1005" s="732"/>
      <c r="U1005" s="732"/>
      <c r="V1005" s="732"/>
      <c r="W1005" s="732"/>
      <c r="X1005" s="732"/>
    </row>
    <row r="1006" spans="20:24">
      <c r="T1006" s="732"/>
      <c r="U1006" s="732"/>
      <c r="V1006" s="732"/>
      <c r="W1006" s="732"/>
      <c r="X1006" s="732"/>
    </row>
    <row r="1007" spans="20:24">
      <c r="T1007" s="732"/>
      <c r="U1007" s="732"/>
      <c r="V1007" s="732"/>
      <c r="W1007" s="732"/>
      <c r="X1007" s="732"/>
    </row>
    <row r="1008" spans="20:24">
      <c r="T1008" s="732"/>
      <c r="U1008" s="732"/>
      <c r="V1008" s="732"/>
      <c r="W1008" s="732"/>
      <c r="X1008" s="732"/>
    </row>
    <row r="1009" spans="20:24">
      <c r="T1009" s="732"/>
      <c r="U1009" s="732"/>
      <c r="V1009" s="732"/>
      <c r="W1009" s="732"/>
      <c r="X1009" s="732"/>
    </row>
    <row r="1010" spans="20:24">
      <c r="T1010" s="732"/>
      <c r="U1010" s="732"/>
      <c r="V1010" s="732"/>
      <c r="W1010" s="732"/>
      <c r="X1010" s="732"/>
    </row>
    <row r="1011" spans="20:24">
      <c r="T1011" s="732"/>
      <c r="U1011" s="732"/>
      <c r="V1011" s="732"/>
      <c r="W1011" s="732"/>
      <c r="X1011" s="732"/>
    </row>
    <row r="1012" spans="20:24">
      <c r="T1012" s="732"/>
      <c r="U1012" s="732"/>
      <c r="V1012" s="732"/>
      <c r="W1012" s="732"/>
      <c r="X1012" s="732"/>
    </row>
    <row r="1013" spans="20:24">
      <c r="T1013" s="732"/>
      <c r="U1013" s="732"/>
      <c r="V1013" s="732"/>
      <c r="W1013" s="732"/>
      <c r="X1013" s="732"/>
    </row>
    <row r="1014" spans="20:24">
      <c r="T1014" s="732"/>
      <c r="U1014" s="732"/>
      <c r="V1014" s="732"/>
      <c r="W1014" s="732"/>
      <c r="X1014" s="732"/>
    </row>
    <row r="1015" spans="20:24">
      <c r="T1015" s="732"/>
      <c r="U1015" s="732"/>
      <c r="V1015" s="732"/>
      <c r="W1015" s="732"/>
      <c r="X1015" s="732"/>
    </row>
    <row r="1016" spans="20:24">
      <c r="T1016" s="732"/>
      <c r="U1016" s="732"/>
      <c r="V1016" s="732"/>
      <c r="W1016" s="732"/>
      <c r="X1016" s="732"/>
    </row>
    <row r="1017" spans="20:24">
      <c r="T1017" s="732"/>
      <c r="U1017" s="732"/>
      <c r="V1017" s="732"/>
      <c r="W1017" s="732"/>
      <c r="X1017" s="732"/>
    </row>
    <row r="1018" spans="20:24">
      <c r="T1018" s="732"/>
      <c r="U1018" s="732"/>
      <c r="V1018" s="732"/>
      <c r="W1018" s="732"/>
      <c r="X1018" s="732"/>
    </row>
    <row r="1019" spans="20:24">
      <c r="T1019" s="732"/>
      <c r="U1019" s="732"/>
      <c r="V1019" s="732"/>
      <c r="W1019" s="732"/>
      <c r="X1019" s="732"/>
    </row>
    <row r="1020" spans="20:24">
      <c r="T1020" s="732"/>
      <c r="U1020" s="732"/>
      <c r="V1020" s="732"/>
      <c r="W1020" s="732"/>
      <c r="X1020" s="732"/>
    </row>
    <row r="1021" spans="20:24">
      <c r="T1021" s="732"/>
      <c r="U1021" s="732"/>
      <c r="V1021" s="732"/>
      <c r="W1021" s="732"/>
      <c r="X1021" s="732"/>
    </row>
    <row r="1022" spans="20:24">
      <c r="T1022" s="732"/>
      <c r="U1022" s="732"/>
      <c r="V1022" s="732"/>
      <c r="W1022" s="732"/>
      <c r="X1022" s="732"/>
    </row>
    <row r="1023" spans="20:24">
      <c r="T1023" s="732"/>
      <c r="U1023" s="732"/>
      <c r="V1023" s="732"/>
      <c r="W1023" s="732"/>
      <c r="X1023" s="732"/>
    </row>
    <row r="1024" spans="20:24">
      <c r="T1024" s="732"/>
      <c r="U1024" s="732"/>
      <c r="V1024" s="732"/>
      <c r="W1024" s="732"/>
      <c r="X1024" s="732"/>
    </row>
    <row r="1025" spans="20:24">
      <c r="T1025" s="732"/>
      <c r="U1025" s="732"/>
      <c r="V1025" s="732"/>
      <c r="W1025" s="732"/>
      <c r="X1025" s="732"/>
    </row>
    <row r="1026" spans="20:24">
      <c r="T1026" s="732"/>
      <c r="U1026" s="732"/>
      <c r="V1026" s="732"/>
      <c r="W1026" s="732"/>
      <c r="X1026" s="732"/>
    </row>
    <row r="1027" spans="20:24">
      <c r="T1027" s="732"/>
      <c r="U1027" s="732"/>
      <c r="V1027" s="732"/>
      <c r="W1027" s="732"/>
      <c r="X1027" s="732"/>
    </row>
    <row r="1028" spans="20:24">
      <c r="T1028" s="732"/>
      <c r="U1028" s="732"/>
      <c r="V1028" s="732"/>
      <c r="W1028" s="732"/>
      <c r="X1028" s="732"/>
    </row>
    <row r="1029" spans="20:24">
      <c r="T1029" s="732"/>
      <c r="U1029" s="732"/>
      <c r="V1029" s="732"/>
      <c r="W1029" s="732"/>
      <c r="X1029" s="732"/>
    </row>
    <row r="1030" spans="20:24">
      <c r="T1030" s="732"/>
      <c r="U1030" s="732"/>
      <c r="V1030" s="732"/>
      <c r="W1030" s="732"/>
      <c r="X1030" s="732"/>
    </row>
    <row r="1031" spans="20:24">
      <c r="T1031" s="732"/>
      <c r="U1031" s="732"/>
      <c r="V1031" s="732"/>
      <c r="W1031" s="732"/>
      <c r="X1031" s="732"/>
    </row>
    <row r="1032" spans="20:24">
      <c r="T1032" s="732"/>
      <c r="U1032" s="732"/>
      <c r="V1032" s="732"/>
      <c r="W1032" s="732"/>
      <c r="X1032" s="732"/>
    </row>
    <row r="1033" spans="20:24">
      <c r="T1033" s="732"/>
      <c r="U1033" s="732"/>
      <c r="V1033" s="732"/>
      <c r="W1033" s="732"/>
      <c r="X1033" s="732"/>
    </row>
    <row r="1034" spans="20:24">
      <c r="T1034" s="732"/>
      <c r="U1034" s="732"/>
      <c r="V1034" s="732"/>
      <c r="W1034" s="732"/>
      <c r="X1034" s="732"/>
    </row>
    <row r="1035" spans="20:24">
      <c r="T1035" s="732"/>
      <c r="U1035" s="732"/>
      <c r="V1035" s="732"/>
      <c r="W1035" s="732"/>
      <c r="X1035" s="732"/>
    </row>
    <row r="1036" spans="20:24">
      <c r="T1036" s="732"/>
      <c r="U1036" s="732"/>
      <c r="V1036" s="732"/>
      <c r="W1036" s="732"/>
      <c r="X1036" s="732"/>
    </row>
    <row r="1037" spans="20:24">
      <c r="T1037" s="732"/>
      <c r="U1037" s="732"/>
      <c r="V1037" s="732"/>
      <c r="W1037" s="732"/>
      <c r="X1037" s="732"/>
    </row>
    <row r="1038" spans="20:24">
      <c r="T1038" s="732"/>
      <c r="U1038" s="732"/>
      <c r="V1038" s="732"/>
      <c r="W1038" s="732"/>
      <c r="X1038" s="732"/>
    </row>
    <row r="1039" spans="20:24">
      <c r="T1039" s="732"/>
      <c r="U1039" s="732"/>
      <c r="V1039" s="732"/>
      <c r="W1039" s="732"/>
      <c r="X1039" s="732"/>
    </row>
    <row r="1040" spans="20:24">
      <c r="T1040" s="732"/>
      <c r="U1040" s="732"/>
      <c r="V1040" s="732"/>
      <c r="W1040" s="732"/>
      <c r="X1040" s="732"/>
    </row>
    <row r="1041" spans="20:24">
      <c r="T1041" s="732"/>
      <c r="U1041" s="732"/>
      <c r="V1041" s="732"/>
      <c r="W1041" s="732"/>
      <c r="X1041" s="732"/>
    </row>
    <row r="1042" spans="20:24">
      <c r="T1042" s="732"/>
      <c r="U1042" s="732"/>
      <c r="V1042" s="732"/>
      <c r="W1042" s="732"/>
      <c r="X1042" s="732"/>
    </row>
    <row r="1043" spans="20:24">
      <c r="T1043" s="732"/>
      <c r="U1043" s="732"/>
      <c r="V1043" s="732"/>
      <c r="W1043" s="732"/>
      <c r="X1043" s="732"/>
    </row>
    <row r="1044" spans="20:24">
      <c r="T1044" s="732"/>
      <c r="U1044" s="732"/>
      <c r="V1044" s="732"/>
      <c r="W1044" s="732"/>
      <c r="X1044" s="732"/>
    </row>
    <row r="1045" spans="20:24">
      <c r="T1045" s="732"/>
      <c r="U1045" s="732"/>
      <c r="V1045" s="732"/>
      <c r="W1045" s="732"/>
      <c r="X1045" s="732"/>
    </row>
    <row r="1046" spans="20:24">
      <c r="T1046" s="732"/>
      <c r="U1046" s="732"/>
      <c r="V1046" s="732"/>
      <c r="W1046" s="732"/>
      <c r="X1046" s="732"/>
    </row>
    <row r="1047" spans="20:24">
      <c r="T1047" s="732"/>
      <c r="U1047" s="732"/>
      <c r="V1047" s="732"/>
      <c r="W1047" s="732"/>
      <c r="X1047" s="732"/>
    </row>
    <row r="1048" spans="20:24">
      <c r="T1048" s="732"/>
      <c r="U1048" s="732"/>
      <c r="V1048" s="732"/>
      <c r="W1048" s="732"/>
      <c r="X1048" s="732"/>
    </row>
    <row r="1049" spans="20:24">
      <c r="T1049" s="732"/>
      <c r="U1049" s="732"/>
      <c r="V1049" s="732"/>
      <c r="W1049" s="732"/>
      <c r="X1049" s="732"/>
    </row>
    <row r="1050" spans="20:24">
      <c r="T1050" s="732"/>
      <c r="U1050" s="732"/>
      <c r="V1050" s="732"/>
      <c r="W1050" s="732"/>
      <c r="X1050" s="732"/>
    </row>
    <row r="1051" spans="20:24">
      <c r="T1051" s="732"/>
      <c r="U1051" s="732"/>
      <c r="V1051" s="732"/>
      <c r="W1051" s="732"/>
      <c r="X1051" s="732"/>
    </row>
    <row r="1052" spans="20:24">
      <c r="T1052" s="732"/>
      <c r="U1052" s="732"/>
      <c r="V1052" s="732"/>
      <c r="W1052" s="732"/>
      <c r="X1052" s="732"/>
    </row>
    <row r="1053" spans="20:24">
      <c r="T1053" s="732"/>
      <c r="U1053" s="732"/>
      <c r="V1053" s="732"/>
      <c r="W1053" s="732"/>
      <c r="X1053" s="732"/>
    </row>
    <row r="1054" spans="20:24">
      <c r="T1054" s="732"/>
      <c r="U1054" s="732"/>
      <c r="V1054" s="732"/>
      <c r="W1054" s="732"/>
      <c r="X1054" s="732"/>
    </row>
    <row r="1055" spans="20:24">
      <c r="T1055" s="732"/>
      <c r="U1055" s="732"/>
      <c r="V1055" s="732"/>
      <c r="W1055" s="732"/>
      <c r="X1055" s="732"/>
    </row>
    <row r="1056" spans="20:24">
      <c r="T1056" s="732"/>
      <c r="U1056" s="732"/>
      <c r="V1056" s="732"/>
      <c r="W1056" s="732"/>
      <c r="X1056" s="732"/>
    </row>
    <row r="1057" spans="20:24">
      <c r="T1057" s="732"/>
      <c r="U1057" s="732"/>
      <c r="V1057" s="732"/>
      <c r="W1057" s="732"/>
      <c r="X1057" s="732"/>
    </row>
    <row r="1058" spans="20:24">
      <c r="T1058" s="732"/>
      <c r="U1058" s="732"/>
      <c r="V1058" s="732"/>
      <c r="W1058" s="732"/>
      <c r="X1058" s="732"/>
    </row>
    <row r="1059" spans="20:24">
      <c r="T1059" s="732"/>
      <c r="U1059" s="732"/>
      <c r="V1059" s="732"/>
      <c r="W1059" s="732"/>
      <c r="X1059" s="732"/>
    </row>
    <row r="1060" spans="20:24">
      <c r="T1060" s="732"/>
      <c r="U1060" s="732"/>
      <c r="V1060" s="732"/>
      <c r="W1060" s="732"/>
      <c r="X1060" s="732"/>
    </row>
    <row r="1061" spans="20:24">
      <c r="T1061" s="732"/>
      <c r="U1061" s="732"/>
      <c r="V1061" s="732"/>
      <c r="W1061" s="732"/>
      <c r="X1061" s="732"/>
    </row>
    <row r="1062" spans="20:24">
      <c r="T1062" s="732"/>
      <c r="U1062" s="732"/>
      <c r="V1062" s="732"/>
      <c r="W1062" s="732"/>
      <c r="X1062" s="732"/>
    </row>
    <row r="1063" spans="20:24">
      <c r="T1063" s="732"/>
      <c r="U1063" s="732"/>
      <c r="V1063" s="732"/>
      <c r="W1063" s="732"/>
      <c r="X1063" s="732"/>
    </row>
    <row r="1064" spans="20:24">
      <c r="T1064" s="732"/>
      <c r="U1064" s="732"/>
      <c r="V1064" s="732"/>
      <c r="W1064" s="732"/>
      <c r="X1064" s="732"/>
    </row>
    <row r="1065" spans="20:24">
      <c r="T1065" s="732"/>
      <c r="U1065" s="732"/>
      <c r="V1065" s="732"/>
      <c r="W1065" s="732"/>
      <c r="X1065" s="732"/>
    </row>
    <row r="1066" spans="20:24">
      <c r="T1066" s="732"/>
      <c r="U1066" s="732"/>
      <c r="V1066" s="732"/>
      <c r="W1066" s="732"/>
      <c r="X1066" s="732"/>
    </row>
    <row r="1067" spans="20:24">
      <c r="T1067" s="732"/>
      <c r="U1067" s="732"/>
      <c r="V1067" s="732"/>
      <c r="W1067" s="732"/>
      <c r="X1067" s="732"/>
    </row>
    <row r="1068" spans="20:24">
      <c r="T1068" s="732"/>
      <c r="U1068" s="732"/>
      <c r="V1068" s="732"/>
      <c r="W1068" s="732"/>
      <c r="X1068" s="732"/>
    </row>
    <row r="1069" spans="20:24">
      <c r="T1069" s="732"/>
      <c r="U1069" s="732"/>
      <c r="V1069" s="732"/>
      <c r="W1069" s="732"/>
      <c r="X1069" s="732"/>
    </row>
    <row r="1070" spans="20:24">
      <c r="T1070" s="732"/>
      <c r="U1070" s="732"/>
      <c r="V1070" s="732"/>
      <c r="W1070" s="732"/>
      <c r="X1070" s="732"/>
    </row>
    <row r="1071" spans="20:24">
      <c r="T1071" s="732"/>
      <c r="U1071" s="732"/>
      <c r="V1071" s="732"/>
      <c r="W1071" s="732"/>
      <c r="X1071" s="732"/>
    </row>
    <row r="1072" spans="20:24">
      <c r="T1072" s="732"/>
      <c r="U1072" s="732"/>
      <c r="V1072" s="732"/>
      <c r="W1072" s="732"/>
      <c r="X1072" s="732"/>
    </row>
    <row r="1073" spans="20:24">
      <c r="T1073" s="732"/>
      <c r="U1073" s="732"/>
      <c r="V1073" s="732"/>
      <c r="W1073" s="732"/>
      <c r="X1073" s="732"/>
    </row>
    <row r="1074" spans="20:24">
      <c r="T1074" s="732"/>
      <c r="U1074" s="732"/>
      <c r="V1074" s="732"/>
      <c r="W1074" s="732"/>
      <c r="X1074" s="732"/>
    </row>
    <row r="1075" spans="20:24">
      <c r="T1075" s="732"/>
      <c r="U1075" s="732"/>
      <c r="V1075" s="732"/>
      <c r="W1075" s="732"/>
      <c r="X1075" s="732"/>
    </row>
    <row r="1076" spans="20:24">
      <c r="T1076" s="732"/>
      <c r="U1076" s="732"/>
      <c r="V1076" s="732"/>
      <c r="W1076" s="732"/>
      <c r="X1076" s="732"/>
    </row>
    <row r="1077" spans="20:24">
      <c r="T1077" s="732"/>
      <c r="U1077" s="732"/>
      <c r="V1077" s="732"/>
      <c r="W1077" s="732"/>
      <c r="X1077" s="732"/>
    </row>
    <row r="1078" spans="20:24">
      <c r="T1078" s="732"/>
      <c r="U1078" s="732"/>
      <c r="V1078" s="732"/>
      <c r="W1078" s="732"/>
      <c r="X1078" s="732"/>
    </row>
    <row r="1079" spans="20:24">
      <c r="T1079" s="732"/>
      <c r="U1079" s="732"/>
      <c r="V1079" s="732"/>
      <c r="W1079" s="732"/>
      <c r="X1079" s="732"/>
    </row>
    <row r="1080" spans="20:24">
      <c r="T1080" s="732"/>
      <c r="U1080" s="732"/>
      <c r="V1080" s="732"/>
      <c r="W1080" s="732"/>
      <c r="X1080" s="732"/>
    </row>
    <row r="1081" spans="20:24">
      <c r="T1081" s="732"/>
      <c r="U1081" s="732"/>
      <c r="V1081" s="732"/>
      <c r="W1081" s="732"/>
      <c r="X1081" s="732"/>
    </row>
    <row r="1082" spans="20:24">
      <c r="T1082" s="732"/>
      <c r="U1082" s="732"/>
      <c r="V1082" s="732"/>
      <c r="W1082" s="732"/>
      <c r="X1082" s="732"/>
    </row>
    <row r="1083" spans="20:24">
      <c r="T1083" s="732"/>
      <c r="U1083" s="732"/>
      <c r="V1083" s="732"/>
      <c r="W1083" s="732"/>
      <c r="X1083" s="732"/>
    </row>
    <row r="1084" spans="20:24">
      <c r="T1084" s="732"/>
      <c r="U1084" s="732"/>
      <c r="V1084" s="732"/>
      <c r="W1084" s="732"/>
      <c r="X1084" s="732"/>
    </row>
    <row r="1085" spans="20:24">
      <c r="T1085" s="732"/>
      <c r="U1085" s="732"/>
      <c r="V1085" s="732"/>
      <c r="W1085" s="732"/>
      <c r="X1085" s="732"/>
    </row>
    <row r="1086" spans="20:24">
      <c r="T1086" s="732"/>
      <c r="U1086" s="732"/>
      <c r="V1086" s="732"/>
      <c r="W1086" s="732"/>
      <c r="X1086" s="732"/>
    </row>
    <row r="1087" spans="20:24">
      <c r="T1087" s="732"/>
      <c r="U1087" s="732"/>
      <c r="V1087" s="732"/>
      <c r="W1087" s="732"/>
      <c r="X1087" s="732"/>
    </row>
    <row r="1088" spans="20:24">
      <c r="T1088" s="732"/>
      <c r="U1088" s="732"/>
      <c r="V1088" s="732"/>
      <c r="W1088" s="732"/>
      <c r="X1088" s="732"/>
    </row>
    <row r="1089" spans="20:24">
      <c r="T1089" s="732"/>
      <c r="U1089" s="732"/>
      <c r="V1089" s="732"/>
      <c r="W1089" s="732"/>
      <c r="X1089" s="732"/>
    </row>
    <row r="1090" spans="20:24">
      <c r="T1090" s="732"/>
      <c r="U1090" s="732"/>
      <c r="V1090" s="732"/>
      <c r="W1090" s="732"/>
      <c r="X1090" s="732"/>
    </row>
    <row r="1091" spans="20:24">
      <c r="T1091" s="732"/>
      <c r="U1091" s="732"/>
      <c r="V1091" s="732"/>
      <c r="W1091" s="732"/>
      <c r="X1091" s="732"/>
    </row>
    <row r="1092" spans="20:24">
      <c r="T1092" s="732"/>
      <c r="U1092" s="732"/>
      <c r="V1092" s="732"/>
      <c r="W1092" s="732"/>
      <c r="X1092" s="732"/>
    </row>
    <row r="1093" spans="20:24">
      <c r="T1093" s="732"/>
      <c r="U1093" s="732"/>
      <c r="V1093" s="732"/>
      <c r="W1093" s="732"/>
      <c r="X1093" s="732"/>
    </row>
    <row r="1094" spans="20:24">
      <c r="T1094" s="732"/>
      <c r="U1094" s="732"/>
      <c r="V1094" s="732"/>
      <c r="W1094" s="732"/>
      <c r="X1094" s="732"/>
    </row>
    <row r="1095" spans="20:24">
      <c r="T1095" s="732"/>
      <c r="U1095" s="732"/>
      <c r="V1095" s="732"/>
      <c r="W1095" s="732"/>
      <c r="X1095" s="732"/>
    </row>
    <row r="1096" spans="20:24">
      <c r="T1096" s="732"/>
      <c r="U1096" s="732"/>
      <c r="V1096" s="732"/>
      <c r="W1096" s="732"/>
      <c r="X1096" s="732"/>
    </row>
    <row r="1097" spans="20:24">
      <c r="T1097" s="732"/>
      <c r="U1097" s="732"/>
      <c r="V1097" s="732"/>
      <c r="W1097" s="732"/>
      <c r="X1097" s="732"/>
    </row>
    <row r="1098" spans="20:24">
      <c r="T1098" s="732"/>
      <c r="U1098" s="732"/>
      <c r="V1098" s="732"/>
      <c r="W1098" s="732"/>
      <c r="X1098" s="732"/>
    </row>
    <row r="1099" spans="20:24">
      <c r="T1099" s="732"/>
      <c r="U1099" s="732"/>
      <c r="V1099" s="732"/>
      <c r="W1099" s="732"/>
      <c r="X1099" s="732"/>
    </row>
    <row r="1100" spans="20:24">
      <c r="T1100" s="732"/>
      <c r="U1100" s="732"/>
      <c r="V1100" s="732"/>
      <c r="W1100" s="732"/>
      <c r="X1100" s="732"/>
    </row>
    <row r="1101" spans="20:24">
      <c r="T1101" s="732"/>
      <c r="U1101" s="732"/>
      <c r="V1101" s="732"/>
      <c r="W1101" s="732"/>
      <c r="X1101" s="732"/>
    </row>
    <row r="1102" spans="20:24">
      <c r="T1102" s="732"/>
      <c r="U1102" s="732"/>
      <c r="V1102" s="732"/>
      <c r="W1102" s="732"/>
      <c r="X1102" s="732"/>
    </row>
    <row r="1103" spans="20:24">
      <c r="T1103" s="732"/>
      <c r="U1103" s="732"/>
      <c r="V1103" s="732"/>
      <c r="W1103" s="732"/>
      <c r="X1103" s="732"/>
    </row>
    <row r="1104" spans="20:24">
      <c r="T1104" s="732"/>
      <c r="U1104" s="732"/>
      <c r="V1104" s="732"/>
      <c r="W1104" s="732"/>
      <c r="X1104" s="732"/>
    </row>
    <row r="1105" spans="20:24">
      <c r="T1105" s="732"/>
      <c r="U1105" s="732"/>
      <c r="V1105" s="732"/>
      <c r="W1105" s="732"/>
      <c r="X1105" s="732"/>
    </row>
    <row r="1106" spans="20:24">
      <c r="T1106" s="732"/>
      <c r="U1106" s="732"/>
      <c r="V1106" s="732"/>
      <c r="W1106" s="732"/>
      <c r="X1106" s="732"/>
    </row>
    <row r="1107" spans="20:24">
      <c r="T1107" s="732"/>
      <c r="U1107" s="732"/>
      <c r="V1107" s="732"/>
      <c r="W1107" s="732"/>
      <c r="X1107" s="732"/>
    </row>
    <row r="1108" spans="20:24">
      <c r="T1108" s="732"/>
      <c r="U1108" s="732"/>
      <c r="V1108" s="732"/>
      <c r="W1108" s="732"/>
      <c r="X1108" s="732"/>
    </row>
    <row r="1109" spans="20:24">
      <c r="T1109" s="732"/>
      <c r="U1109" s="732"/>
      <c r="V1109" s="732"/>
      <c r="W1109" s="732"/>
      <c r="X1109" s="732"/>
    </row>
    <row r="1110" spans="20:24">
      <c r="T1110" s="732"/>
      <c r="U1110" s="732"/>
      <c r="V1110" s="732"/>
      <c r="W1110" s="732"/>
      <c r="X1110" s="732"/>
    </row>
    <row r="1111" spans="20:24">
      <c r="T1111" s="732"/>
      <c r="U1111" s="732"/>
      <c r="V1111" s="732"/>
      <c r="W1111" s="732"/>
      <c r="X1111" s="732"/>
    </row>
    <row r="1112" spans="20:24">
      <c r="T1112" s="732"/>
      <c r="U1112" s="732"/>
      <c r="V1112" s="732"/>
      <c r="W1112" s="732"/>
      <c r="X1112" s="732"/>
    </row>
    <row r="1113" spans="20:24">
      <c r="T1113" s="732"/>
      <c r="U1113" s="732"/>
      <c r="V1113" s="732"/>
      <c r="W1113" s="732"/>
      <c r="X1113" s="732"/>
    </row>
    <row r="1114" spans="20:24">
      <c r="T1114" s="732"/>
      <c r="U1114" s="732"/>
      <c r="V1114" s="732"/>
      <c r="W1114" s="732"/>
      <c r="X1114" s="732"/>
    </row>
    <row r="1115" spans="20:24">
      <c r="T1115" s="732"/>
      <c r="U1115" s="732"/>
      <c r="V1115" s="732"/>
      <c r="W1115" s="732"/>
      <c r="X1115" s="732"/>
    </row>
    <row r="1116" spans="20:24">
      <c r="T1116" s="732"/>
      <c r="U1116" s="732"/>
      <c r="V1116" s="732"/>
      <c r="W1116" s="732"/>
      <c r="X1116" s="732"/>
    </row>
    <row r="1117" spans="20:24">
      <c r="T1117" s="732"/>
      <c r="U1117" s="732"/>
      <c r="V1117" s="732"/>
      <c r="W1117" s="732"/>
      <c r="X1117" s="732"/>
    </row>
    <row r="1118" spans="20:24">
      <c r="T1118" s="732"/>
      <c r="U1118" s="732"/>
      <c r="V1118" s="732"/>
      <c r="W1118" s="732"/>
      <c r="X1118" s="732"/>
    </row>
    <row r="1119" spans="20:24">
      <c r="T1119" s="732"/>
      <c r="U1119" s="732"/>
      <c r="V1119" s="732"/>
      <c r="W1119" s="732"/>
      <c r="X1119" s="732"/>
    </row>
    <row r="1120" spans="20:24">
      <c r="T1120" s="732"/>
      <c r="U1120" s="732"/>
      <c r="V1120" s="732"/>
      <c r="W1120" s="732"/>
      <c r="X1120" s="732"/>
    </row>
    <row r="1121" spans="20:24">
      <c r="T1121" s="732"/>
      <c r="U1121" s="732"/>
      <c r="V1121" s="732"/>
      <c r="W1121" s="732"/>
      <c r="X1121" s="732"/>
    </row>
    <row r="1122" spans="20:24">
      <c r="T1122" s="732"/>
      <c r="U1122" s="732"/>
      <c r="V1122" s="732"/>
      <c r="W1122" s="732"/>
      <c r="X1122" s="732"/>
    </row>
    <row r="1123" spans="20:24">
      <c r="T1123" s="732"/>
      <c r="U1123" s="732"/>
      <c r="V1123" s="732"/>
      <c r="W1123" s="732"/>
      <c r="X1123" s="732"/>
    </row>
    <row r="1124" spans="20:24">
      <c r="T1124" s="732"/>
      <c r="U1124" s="732"/>
      <c r="V1124" s="732"/>
      <c r="W1124" s="732"/>
      <c r="X1124" s="732"/>
    </row>
    <row r="1125" spans="20:24">
      <c r="T1125" s="732"/>
      <c r="U1125" s="732"/>
      <c r="V1125" s="732"/>
      <c r="W1125" s="732"/>
      <c r="X1125" s="732"/>
    </row>
    <row r="1126" spans="20:24">
      <c r="T1126" s="732"/>
      <c r="U1126" s="732"/>
      <c r="V1126" s="732"/>
      <c r="W1126" s="732"/>
      <c r="X1126" s="732"/>
    </row>
    <row r="1127" spans="20:24">
      <c r="T1127" s="732"/>
      <c r="U1127" s="732"/>
      <c r="V1127" s="732"/>
      <c r="W1127" s="732"/>
      <c r="X1127" s="732"/>
    </row>
    <row r="1128" spans="20:24">
      <c r="T1128" s="732"/>
      <c r="U1128" s="732"/>
      <c r="V1128" s="732"/>
      <c r="W1128" s="732"/>
      <c r="X1128" s="732"/>
    </row>
    <row r="1129" spans="20:24">
      <c r="T1129" s="732"/>
      <c r="U1129" s="732"/>
      <c r="V1129" s="732"/>
      <c r="W1129" s="732"/>
      <c r="X1129" s="732"/>
    </row>
    <row r="1130" spans="20:24">
      <c r="T1130" s="732"/>
      <c r="U1130" s="732"/>
      <c r="V1130" s="732"/>
      <c r="W1130" s="732"/>
      <c r="X1130" s="732"/>
    </row>
    <row r="1131" spans="20:24">
      <c r="T1131" s="732"/>
      <c r="U1131" s="732"/>
      <c r="V1131" s="732"/>
      <c r="W1131" s="732"/>
      <c r="X1131" s="732"/>
    </row>
    <row r="1132" spans="20:24">
      <c r="T1132" s="732"/>
      <c r="U1132" s="732"/>
      <c r="V1132" s="732"/>
      <c r="W1132" s="732"/>
      <c r="X1132" s="732"/>
    </row>
    <row r="1133" spans="20:24">
      <c r="T1133" s="732"/>
      <c r="U1133" s="732"/>
      <c r="V1133" s="732"/>
      <c r="W1133" s="732"/>
      <c r="X1133" s="732"/>
    </row>
    <row r="1134" spans="20:24">
      <c r="T1134" s="732"/>
      <c r="U1134" s="732"/>
      <c r="V1134" s="732"/>
      <c r="W1134" s="732"/>
      <c r="X1134" s="732"/>
    </row>
    <row r="1135" spans="20:24">
      <c r="T1135" s="732"/>
      <c r="U1135" s="732"/>
      <c r="V1135" s="732"/>
      <c r="W1135" s="732"/>
      <c r="X1135" s="732"/>
    </row>
    <row r="1136" spans="20:24">
      <c r="T1136" s="732"/>
      <c r="U1136" s="732"/>
      <c r="V1136" s="732"/>
      <c r="W1136" s="732"/>
      <c r="X1136" s="732"/>
    </row>
    <row r="1137" spans="20:24">
      <c r="T1137" s="732"/>
      <c r="U1137" s="732"/>
      <c r="V1137" s="732"/>
      <c r="W1137" s="732"/>
      <c r="X1137" s="732"/>
    </row>
    <row r="1138" spans="20:24">
      <c r="T1138" s="732"/>
      <c r="U1138" s="732"/>
      <c r="V1138" s="732"/>
      <c r="W1138" s="732"/>
      <c r="X1138" s="732"/>
    </row>
    <row r="1139" spans="20:24">
      <c r="T1139" s="732"/>
      <c r="U1139" s="732"/>
      <c r="V1139" s="732"/>
      <c r="W1139" s="732"/>
      <c r="X1139" s="732"/>
    </row>
    <row r="1140" spans="20:24">
      <c r="T1140" s="732"/>
      <c r="U1140" s="732"/>
      <c r="V1140" s="732"/>
      <c r="W1140" s="732"/>
      <c r="X1140" s="732"/>
    </row>
    <row r="1141" spans="20:24">
      <c r="T1141" s="732"/>
      <c r="U1141" s="732"/>
      <c r="V1141" s="732"/>
      <c r="W1141" s="732"/>
      <c r="X1141" s="732"/>
    </row>
    <row r="1142" spans="20:24">
      <c r="T1142" s="732"/>
      <c r="U1142" s="732"/>
      <c r="V1142" s="732"/>
      <c r="W1142" s="732"/>
      <c r="X1142" s="732"/>
    </row>
    <row r="1143" spans="20:24">
      <c r="T1143" s="732"/>
      <c r="U1143" s="732"/>
      <c r="V1143" s="732"/>
      <c r="W1143" s="732"/>
      <c r="X1143" s="732"/>
    </row>
    <row r="1144" spans="20:24">
      <c r="T1144" s="732"/>
      <c r="U1144" s="732"/>
      <c r="V1144" s="732"/>
      <c r="W1144" s="732"/>
      <c r="X1144" s="732"/>
    </row>
    <row r="1145" spans="20:24">
      <c r="T1145" s="732"/>
      <c r="U1145" s="732"/>
      <c r="V1145" s="732"/>
      <c r="W1145" s="732"/>
      <c r="X1145" s="732"/>
    </row>
    <row r="1146" spans="20:24">
      <c r="T1146" s="732"/>
      <c r="U1146" s="732"/>
      <c r="V1146" s="732"/>
      <c r="W1146" s="732"/>
      <c r="X1146" s="732"/>
    </row>
    <row r="1147" spans="20:24">
      <c r="T1147" s="732"/>
      <c r="U1147" s="732"/>
      <c r="V1147" s="732"/>
      <c r="W1147" s="732"/>
      <c r="X1147" s="732"/>
    </row>
    <row r="1148" spans="20:24">
      <c r="T1148" s="732"/>
      <c r="U1148" s="732"/>
      <c r="V1148" s="732"/>
      <c r="W1148" s="732"/>
      <c r="X1148" s="732"/>
    </row>
    <row r="1149" spans="20:24">
      <c r="T1149" s="732"/>
      <c r="U1149" s="732"/>
      <c r="V1149" s="732"/>
      <c r="W1149" s="732"/>
      <c r="X1149" s="732"/>
    </row>
    <row r="1150" spans="20:24">
      <c r="T1150" s="732"/>
      <c r="U1150" s="732"/>
      <c r="V1150" s="732"/>
      <c r="W1150" s="732"/>
      <c r="X1150" s="732"/>
    </row>
    <row r="1151" spans="20:24">
      <c r="T1151" s="732"/>
      <c r="U1151" s="732"/>
      <c r="V1151" s="732"/>
      <c r="W1151" s="732"/>
      <c r="X1151" s="732"/>
    </row>
    <row r="1152" spans="20:24">
      <c r="T1152" s="732"/>
      <c r="U1152" s="732"/>
      <c r="V1152" s="732"/>
      <c r="W1152" s="732"/>
      <c r="X1152" s="732"/>
    </row>
    <row r="1153" spans="20:24">
      <c r="T1153" s="732"/>
      <c r="U1153" s="732"/>
      <c r="V1153" s="732"/>
      <c r="W1153" s="732"/>
      <c r="X1153" s="732"/>
    </row>
    <row r="1154" spans="20:24">
      <c r="T1154" s="732"/>
      <c r="U1154" s="732"/>
      <c r="V1154" s="732"/>
      <c r="W1154" s="732"/>
      <c r="X1154" s="732"/>
    </row>
    <row r="1155" spans="20:24">
      <c r="T1155" s="732"/>
      <c r="U1155" s="732"/>
      <c r="V1155" s="732"/>
      <c r="W1155" s="732"/>
      <c r="X1155" s="732"/>
    </row>
    <row r="1156" spans="20:24">
      <c r="T1156" s="732"/>
      <c r="U1156" s="732"/>
      <c r="V1156" s="732"/>
      <c r="W1156" s="732"/>
      <c r="X1156" s="732"/>
    </row>
    <row r="1157" spans="20:24">
      <c r="T1157" s="732"/>
      <c r="U1157" s="732"/>
      <c r="V1157" s="732"/>
      <c r="W1157" s="732"/>
      <c r="X1157" s="732"/>
    </row>
    <row r="1158" spans="20:24">
      <c r="T1158" s="732"/>
      <c r="U1158" s="732"/>
      <c r="V1158" s="732"/>
      <c r="W1158" s="732"/>
      <c r="X1158" s="732"/>
    </row>
    <row r="1159" spans="20:24">
      <c r="T1159" s="732"/>
      <c r="U1159" s="732"/>
      <c r="V1159" s="732"/>
      <c r="W1159" s="732"/>
      <c r="X1159" s="732"/>
    </row>
    <row r="1160" spans="20:24">
      <c r="T1160" s="732"/>
      <c r="U1160" s="732"/>
      <c r="V1160" s="732"/>
      <c r="W1160" s="732"/>
      <c r="X1160" s="732"/>
    </row>
    <row r="1161" spans="20:24">
      <c r="T1161" s="732"/>
      <c r="U1161" s="732"/>
      <c r="V1161" s="732"/>
      <c r="W1161" s="732"/>
      <c r="X1161" s="732"/>
    </row>
    <row r="1162" spans="20:24">
      <c r="T1162" s="732"/>
      <c r="U1162" s="732"/>
      <c r="V1162" s="732"/>
      <c r="W1162" s="732"/>
      <c r="X1162" s="732"/>
    </row>
    <row r="1163" spans="20:24">
      <c r="T1163" s="732"/>
      <c r="U1163" s="732"/>
      <c r="V1163" s="732"/>
      <c r="W1163" s="732"/>
      <c r="X1163" s="732"/>
    </row>
    <row r="1164" spans="20:24">
      <c r="T1164" s="732"/>
      <c r="U1164" s="732"/>
      <c r="V1164" s="732"/>
      <c r="W1164" s="732"/>
      <c r="X1164" s="732"/>
    </row>
    <row r="1165" spans="20:24">
      <c r="T1165" s="732"/>
      <c r="U1165" s="732"/>
      <c r="V1165" s="732"/>
      <c r="W1165" s="732"/>
      <c r="X1165" s="732"/>
    </row>
    <row r="1166" spans="20:24">
      <c r="T1166" s="732"/>
      <c r="U1166" s="732"/>
      <c r="V1166" s="732"/>
      <c r="W1166" s="732"/>
      <c r="X1166" s="732"/>
    </row>
    <row r="1167" spans="20:24">
      <c r="T1167" s="732"/>
      <c r="U1167" s="732"/>
      <c r="V1167" s="732"/>
      <c r="W1167" s="732"/>
      <c r="X1167" s="732"/>
    </row>
    <row r="1168" spans="20:24">
      <c r="T1168" s="732"/>
      <c r="U1168" s="732"/>
      <c r="V1168" s="732"/>
      <c r="W1168" s="732"/>
      <c r="X1168" s="732"/>
    </row>
    <row r="1169" spans="20:24">
      <c r="T1169" s="732"/>
      <c r="U1169" s="732"/>
      <c r="V1169" s="732"/>
      <c r="W1169" s="732"/>
      <c r="X1169" s="732"/>
    </row>
    <row r="1170" spans="20:24">
      <c r="T1170" s="732"/>
      <c r="U1170" s="732"/>
      <c r="V1170" s="732"/>
      <c r="W1170" s="732"/>
      <c r="X1170" s="732"/>
    </row>
    <row r="1171" spans="20:24">
      <c r="T1171" s="732"/>
      <c r="U1171" s="732"/>
      <c r="V1171" s="732"/>
      <c r="W1171" s="732"/>
      <c r="X1171" s="732"/>
    </row>
    <row r="1172" spans="20:24">
      <c r="T1172" s="732"/>
      <c r="U1172" s="732"/>
      <c r="V1172" s="732"/>
      <c r="W1172" s="732"/>
      <c r="X1172" s="732"/>
    </row>
    <row r="1173" spans="20:24">
      <c r="T1173" s="732"/>
      <c r="U1173" s="732"/>
      <c r="V1173" s="732"/>
      <c r="W1173" s="732"/>
      <c r="X1173" s="732"/>
    </row>
    <row r="1174" spans="20:24">
      <c r="T1174" s="732"/>
      <c r="U1174" s="732"/>
      <c r="V1174" s="732"/>
      <c r="W1174" s="732"/>
      <c r="X1174" s="732"/>
    </row>
    <row r="1175" spans="20:24">
      <c r="T1175" s="732"/>
      <c r="U1175" s="732"/>
      <c r="V1175" s="732"/>
      <c r="W1175" s="732"/>
      <c r="X1175" s="732"/>
    </row>
    <row r="1176" spans="20:24">
      <c r="T1176" s="732"/>
      <c r="U1176" s="732"/>
      <c r="V1176" s="732"/>
      <c r="W1176" s="732"/>
      <c r="X1176" s="732"/>
    </row>
    <row r="1177" spans="20:24">
      <c r="T1177" s="732"/>
      <c r="U1177" s="732"/>
      <c r="V1177" s="732"/>
      <c r="W1177" s="732"/>
      <c r="X1177" s="732"/>
    </row>
    <row r="1178" spans="20:24">
      <c r="T1178" s="732"/>
      <c r="U1178" s="732"/>
      <c r="V1178" s="732"/>
      <c r="W1178" s="732"/>
      <c r="X1178" s="732"/>
    </row>
    <row r="1179" spans="20:24">
      <c r="T1179" s="732"/>
      <c r="U1179" s="732"/>
      <c r="V1179" s="732"/>
      <c r="W1179" s="732"/>
      <c r="X1179" s="732"/>
    </row>
    <row r="1180" spans="20:24">
      <c r="T1180" s="732"/>
      <c r="U1180" s="732"/>
      <c r="V1180" s="732"/>
      <c r="W1180" s="732"/>
      <c r="X1180" s="732"/>
    </row>
    <row r="1181" spans="20:24">
      <c r="T1181" s="732"/>
      <c r="U1181" s="732"/>
      <c r="V1181" s="732"/>
      <c r="W1181" s="732"/>
      <c r="X1181" s="732"/>
    </row>
    <row r="1182" spans="20:24">
      <c r="T1182" s="732"/>
      <c r="U1182" s="732"/>
      <c r="V1182" s="732"/>
      <c r="W1182" s="732"/>
      <c r="X1182" s="732"/>
    </row>
    <row r="1183" spans="20:24">
      <c r="T1183" s="732"/>
      <c r="U1183" s="732"/>
      <c r="V1183" s="732"/>
      <c r="W1183" s="732"/>
      <c r="X1183" s="732"/>
    </row>
    <row r="1184" spans="20:24">
      <c r="T1184" s="732"/>
      <c r="U1184" s="732"/>
      <c r="V1184" s="732"/>
      <c r="W1184" s="732"/>
      <c r="X1184" s="732"/>
    </row>
    <row r="1185" spans="20:24">
      <c r="T1185" s="732"/>
      <c r="U1185" s="732"/>
      <c r="V1185" s="732"/>
      <c r="W1185" s="732"/>
      <c r="X1185" s="732"/>
    </row>
    <row r="1186" spans="20:24">
      <c r="T1186" s="732"/>
      <c r="U1186" s="732"/>
      <c r="V1186" s="732"/>
      <c r="W1186" s="732"/>
      <c r="X1186" s="732"/>
    </row>
    <row r="1187" spans="20:24">
      <c r="T1187" s="732"/>
      <c r="U1187" s="732"/>
      <c r="V1187" s="732"/>
      <c r="W1187" s="732"/>
      <c r="X1187" s="732"/>
    </row>
    <row r="1188" spans="20:24">
      <c r="T1188" s="732"/>
      <c r="U1188" s="732"/>
      <c r="V1188" s="732"/>
      <c r="W1188" s="732"/>
      <c r="X1188" s="732"/>
    </row>
    <row r="1189" spans="20:24">
      <c r="T1189" s="732"/>
      <c r="U1189" s="732"/>
      <c r="V1189" s="732"/>
      <c r="W1189" s="732"/>
      <c r="X1189" s="732"/>
    </row>
    <row r="1190" spans="20:24">
      <c r="T1190" s="732"/>
      <c r="U1190" s="732"/>
      <c r="V1190" s="732"/>
      <c r="W1190" s="732"/>
      <c r="X1190" s="732"/>
    </row>
    <row r="1191" spans="20:24">
      <c r="T1191" s="732"/>
      <c r="U1191" s="732"/>
      <c r="V1191" s="732"/>
      <c r="W1191" s="732"/>
      <c r="X1191" s="732"/>
    </row>
    <row r="1192" spans="20:24">
      <c r="T1192" s="732"/>
      <c r="U1192" s="732"/>
      <c r="V1192" s="732"/>
      <c r="W1192" s="732"/>
      <c r="X1192" s="732"/>
    </row>
    <row r="1193" spans="20:24">
      <c r="T1193" s="732"/>
      <c r="U1193" s="732"/>
      <c r="V1193" s="732"/>
      <c r="W1193" s="732"/>
      <c r="X1193" s="732"/>
    </row>
    <row r="1194" spans="20:24">
      <c r="T1194" s="732"/>
      <c r="U1194" s="732"/>
      <c r="V1194" s="732"/>
      <c r="W1194" s="732"/>
      <c r="X1194" s="732"/>
    </row>
    <row r="1195" spans="20:24">
      <c r="T1195" s="732"/>
      <c r="U1195" s="732"/>
      <c r="V1195" s="732"/>
      <c r="W1195" s="732"/>
      <c r="X1195" s="732"/>
    </row>
    <row r="1196" spans="20:24">
      <c r="T1196" s="732"/>
      <c r="U1196" s="732"/>
      <c r="V1196" s="732"/>
      <c r="W1196" s="732"/>
      <c r="X1196" s="732"/>
    </row>
    <row r="1197" spans="20:24">
      <c r="T1197" s="732"/>
      <c r="U1197" s="732"/>
      <c r="V1197" s="732"/>
      <c r="W1197" s="732"/>
      <c r="X1197" s="732"/>
    </row>
    <row r="1198" spans="20:24">
      <c r="T1198" s="732"/>
      <c r="U1198" s="732"/>
      <c r="V1198" s="732"/>
      <c r="W1198" s="732"/>
      <c r="X1198" s="732"/>
    </row>
    <row r="1199" spans="20:24">
      <c r="T1199" s="732"/>
      <c r="U1199" s="732"/>
      <c r="V1199" s="732"/>
      <c r="W1199" s="732"/>
      <c r="X1199" s="732"/>
    </row>
    <row r="1200" spans="20:24">
      <c r="T1200" s="732"/>
      <c r="U1200" s="732"/>
      <c r="V1200" s="732"/>
      <c r="W1200" s="732"/>
      <c r="X1200" s="732"/>
    </row>
    <row r="1201" spans="20:24">
      <c r="T1201" s="732"/>
      <c r="U1201" s="732"/>
      <c r="V1201" s="732"/>
      <c r="W1201" s="732"/>
      <c r="X1201" s="732"/>
    </row>
    <row r="1202" spans="20:24">
      <c r="T1202" s="732"/>
      <c r="U1202" s="732"/>
      <c r="V1202" s="732"/>
      <c r="W1202" s="732"/>
      <c r="X1202" s="732"/>
    </row>
    <row r="1203" spans="20:24">
      <c r="T1203" s="732"/>
      <c r="U1203" s="732"/>
      <c r="V1203" s="732"/>
      <c r="W1203" s="732"/>
      <c r="X1203" s="732"/>
    </row>
    <row r="1204" spans="20:24">
      <c r="T1204" s="732"/>
      <c r="U1204" s="732"/>
      <c r="V1204" s="732"/>
      <c r="W1204" s="732"/>
      <c r="X1204" s="732"/>
    </row>
    <row r="1205" spans="20:24">
      <c r="T1205" s="732"/>
      <c r="U1205" s="732"/>
      <c r="V1205" s="732"/>
      <c r="W1205" s="732"/>
      <c r="X1205" s="732"/>
    </row>
    <row r="1206" spans="20:24">
      <c r="T1206" s="732"/>
      <c r="U1206" s="732"/>
      <c r="V1206" s="732"/>
      <c r="W1206" s="732"/>
      <c r="X1206" s="732"/>
    </row>
    <row r="1207" spans="20:24">
      <c r="T1207" s="732"/>
      <c r="U1207" s="732"/>
      <c r="V1207" s="732"/>
      <c r="W1207" s="732"/>
      <c r="X1207" s="732"/>
    </row>
    <row r="1208" spans="20:24">
      <c r="T1208" s="732"/>
      <c r="U1208" s="732"/>
      <c r="V1208" s="732"/>
      <c r="W1208" s="732"/>
      <c r="X1208" s="732"/>
    </row>
    <row r="1209" spans="20:24">
      <c r="T1209" s="732"/>
      <c r="U1209" s="732"/>
      <c r="V1209" s="732"/>
      <c r="W1209" s="732"/>
      <c r="X1209" s="732"/>
    </row>
    <row r="1210" spans="20:24">
      <c r="T1210" s="732"/>
      <c r="U1210" s="732"/>
      <c r="V1210" s="732"/>
      <c r="W1210" s="732"/>
      <c r="X1210" s="732"/>
    </row>
    <row r="1211" spans="20:24">
      <c r="T1211" s="732"/>
      <c r="U1211" s="732"/>
      <c r="V1211" s="732"/>
      <c r="W1211" s="732"/>
      <c r="X1211" s="732"/>
    </row>
    <row r="1212" spans="20:24">
      <c r="T1212" s="732"/>
      <c r="U1212" s="732"/>
      <c r="V1212" s="732"/>
      <c r="W1212" s="732"/>
      <c r="X1212" s="732"/>
    </row>
    <row r="1213" spans="20:24">
      <c r="T1213" s="732"/>
      <c r="U1213" s="732"/>
      <c r="V1213" s="732"/>
      <c r="W1213" s="732"/>
      <c r="X1213" s="732"/>
    </row>
    <row r="1214" spans="20:24">
      <c r="T1214" s="732"/>
      <c r="U1214" s="732"/>
      <c r="V1214" s="732"/>
      <c r="W1214" s="732"/>
      <c r="X1214" s="732"/>
    </row>
    <row r="1215" spans="20:24">
      <c r="T1215" s="732"/>
      <c r="U1215" s="732"/>
      <c r="V1215" s="732"/>
      <c r="W1215" s="732"/>
      <c r="X1215" s="732"/>
    </row>
    <row r="1216" spans="20:24">
      <c r="T1216" s="732"/>
      <c r="U1216" s="732"/>
      <c r="V1216" s="732"/>
      <c r="W1216" s="732"/>
      <c r="X1216" s="732"/>
    </row>
    <row r="1217" spans="20:24">
      <c r="T1217" s="732"/>
      <c r="U1217" s="732"/>
      <c r="V1217" s="732"/>
      <c r="W1217" s="732"/>
      <c r="X1217" s="732"/>
    </row>
    <row r="1218" spans="20:24">
      <c r="T1218" s="732"/>
      <c r="U1218" s="732"/>
      <c r="V1218" s="732"/>
      <c r="W1218" s="732"/>
      <c r="X1218" s="732"/>
    </row>
    <row r="1219" spans="20:24">
      <c r="T1219" s="732"/>
      <c r="U1219" s="732"/>
      <c r="V1219" s="732"/>
      <c r="W1219" s="732"/>
      <c r="X1219" s="732"/>
    </row>
    <row r="1220" spans="20:24">
      <c r="T1220" s="732"/>
      <c r="U1220" s="732"/>
      <c r="V1220" s="732"/>
      <c r="W1220" s="732"/>
      <c r="X1220" s="732"/>
    </row>
    <row r="1221" spans="20:24">
      <c r="T1221" s="732"/>
      <c r="U1221" s="732"/>
      <c r="V1221" s="732"/>
      <c r="W1221" s="732"/>
      <c r="X1221" s="732"/>
    </row>
    <row r="1222" spans="20:24">
      <c r="T1222" s="732"/>
      <c r="U1222" s="732"/>
      <c r="V1222" s="732"/>
      <c r="W1222" s="732"/>
      <c r="X1222" s="732"/>
    </row>
    <row r="1223" spans="20:24">
      <c r="T1223" s="732"/>
      <c r="U1223" s="732"/>
      <c r="V1223" s="732"/>
      <c r="W1223" s="732"/>
      <c r="X1223" s="732"/>
    </row>
    <row r="1224" spans="20:24">
      <c r="T1224" s="732"/>
      <c r="U1224" s="732"/>
      <c r="V1224" s="732"/>
      <c r="W1224" s="732"/>
      <c r="X1224" s="732"/>
    </row>
    <row r="1225" spans="20:24">
      <c r="T1225" s="732"/>
      <c r="U1225" s="732"/>
      <c r="V1225" s="732"/>
      <c r="W1225" s="732"/>
      <c r="X1225" s="732"/>
    </row>
    <row r="1226" spans="20:24">
      <c r="T1226" s="732"/>
      <c r="U1226" s="732"/>
      <c r="V1226" s="732"/>
      <c r="W1226" s="732"/>
      <c r="X1226" s="732"/>
    </row>
    <row r="1227" spans="20:24">
      <c r="T1227" s="732"/>
      <c r="U1227" s="732"/>
      <c r="V1227" s="732"/>
      <c r="W1227" s="732"/>
      <c r="X1227" s="732"/>
    </row>
    <row r="1228" spans="20:24">
      <c r="T1228" s="732"/>
      <c r="U1228" s="732"/>
      <c r="V1228" s="732"/>
      <c r="W1228" s="732"/>
      <c r="X1228" s="732"/>
    </row>
    <row r="1229" spans="20:24">
      <c r="T1229" s="732"/>
      <c r="U1229" s="732"/>
      <c r="V1229" s="732"/>
      <c r="W1229" s="732"/>
      <c r="X1229" s="732"/>
    </row>
    <row r="1230" spans="20:24">
      <c r="T1230" s="732"/>
      <c r="U1230" s="732"/>
      <c r="V1230" s="732"/>
      <c r="W1230" s="732"/>
      <c r="X1230" s="732"/>
    </row>
    <row r="1231" spans="20:24">
      <c r="T1231" s="732"/>
      <c r="U1231" s="732"/>
      <c r="V1231" s="732"/>
      <c r="W1231" s="732"/>
      <c r="X1231" s="732"/>
    </row>
    <row r="1232" spans="20:24">
      <c r="T1232" s="732"/>
      <c r="U1232" s="732"/>
      <c r="V1232" s="732"/>
      <c r="W1232" s="732"/>
      <c r="X1232" s="732"/>
    </row>
    <row r="1233" spans="20:24">
      <c r="T1233" s="732"/>
      <c r="U1233" s="732"/>
      <c r="V1233" s="732"/>
      <c r="W1233" s="732"/>
      <c r="X1233" s="732"/>
    </row>
    <row r="1234" spans="20:24">
      <c r="T1234" s="732"/>
      <c r="U1234" s="732"/>
      <c r="V1234" s="732"/>
      <c r="W1234" s="732"/>
      <c r="X1234" s="732"/>
    </row>
    <row r="1235" spans="20:24">
      <c r="T1235" s="732"/>
      <c r="U1235" s="732"/>
      <c r="V1235" s="732"/>
      <c r="W1235" s="732"/>
      <c r="X1235" s="732"/>
    </row>
    <row r="1236" spans="20:24">
      <c r="T1236" s="732"/>
      <c r="U1236" s="732"/>
      <c r="V1236" s="732"/>
      <c r="W1236" s="732"/>
      <c r="X1236" s="732"/>
    </row>
    <row r="1237" spans="20:24">
      <c r="T1237" s="732"/>
      <c r="U1237" s="732"/>
      <c r="V1237" s="732"/>
      <c r="W1237" s="732"/>
      <c r="X1237" s="732"/>
    </row>
    <row r="1238" spans="20:24">
      <c r="T1238" s="732"/>
      <c r="U1238" s="732"/>
      <c r="V1238" s="732"/>
      <c r="W1238" s="732"/>
      <c r="X1238" s="732"/>
    </row>
    <row r="1239" spans="20:24">
      <c r="T1239" s="732"/>
      <c r="U1239" s="732"/>
      <c r="V1239" s="732"/>
      <c r="W1239" s="732"/>
      <c r="X1239" s="732"/>
    </row>
    <row r="1240" spans="20:24">
      <c r="T1240" s="732"/>
      <c r="U1240" s="732"/>
      <c r="V1240" s="732"/>
      <c r="W1240" s="732"/>
      <c r="X1240" s="732"/>
    </row>
    <row r="1241" spans="20:24">
      <c r="T1241" s="732"/>
      <c r="U1241" s="732"/>
      <c r="V1241" s="732"/>
      <c r="W1241" s="732"/>
      <c r="X1241" s="732"/>
    </row>
    <row r="1242" spans="20:24">
      <c r="T1242" s="732"/>
      <c r="U1242" s="732"/>
      <c r="V1242" s="732"/>
      <c r="W1242" s="732"/>
      <c r="X1242" s="732"/>
    </row>
    <row r="1243" spans="20:24">
      <c r="T1243" s="732"/>
      <c r="U1243" s="732"/>
      <c r="V1243" s="732"/>
      <c r="W1243" s="732"/>
      <c r="X1243" s="732"/>
    </row>
    <row r="1244" spans="20:24">
      <c r="T1244" s="732"/>
      <c r="U1244" s="732"/>
      <c r="V1244" s="732"/>
      <c r="W1244" s="732"/>
      <c r="X1244" s="732"/>
    </row>
    <row r="1245" spans="20:24">
      <c r="T1245" s="732"/>
      <c r="U1245" s="732"/>
      <c r="V1245" s="732"/>
      <c r="W1245" s="732"/>
      <c r="X1245" s="732"/>
    </row>
    <row r="1246" spans="20:24">
      <c r="T1246" s="732"/>
      <c r="U1246" s="732"/>
      <c r="V1246" s="732"/>
      <c r="W1246" s="732"/>
      <c r="X1246" s="732"/>
    </row>
    <row r="1247" spans="20:24">
      <c r="T1247" s="732"/>
      <c r="U1247" s="732"/>
      <c r="V1247" s="732"/>
      <c r="W1247" s="732"/>
      <c r="X1247" s="732"/>
    </row>
    <row r="1248" spans="20:24">
      <c r="T1248" s="732"/>
      <c r="U1248" s="732"/>
      <c r="V1248" s="732"/>
      <c r="W1248" s="732"/>
      <c r="X1248" s="732"/>
    </row>
    <row r="1249" spans="20:24">
      <c r="T1249" s="732"/>
      <c r="U1249" s="732"/>
      <c r="V1249" s="732"/>
      <c r="W1249" s="732"/>
      <c r="X1249" s="732"/>
    </row>
    <row r="1250" spans="20:24">
      <c r="T1250" s="732"/>
      <c r="U1250" s="732"/>
      <c r="V1250" s="732"/>
      <c r="W1250" s="732"/>
      <c r="X1250" s="732"/>
    </row>
    <row r="1251" spans="20:24">
      <c r="T1251" s="732"/>
      <c r="U1251" s="732"/>
      <c r="V1251" s="732"/>
      <c r="W1251" s="732"/>
      <c r="X1251" s="732"/>
    </row>
    <row r="1252" spans="20:24">
      <c r="T1252" s="732"/>
      <c r="U1252" s="732"/>
      <c r="V1252" s="732"/>
      <c r="W1252" s="732"/>
      <c r="X1252" s="732"/>
    </row>
    <row r="1253" spans="20:24">
      <c r="T1253" s="732"/>
      <c r="U1253" s="732"/>
      <c r="V1253" s="732"/>
      <c r="W1253" s="732"/>
      <c r="X1253" s="732"/>
    </row>
    <row r="1254" spans="20:24">
      <c r="T1254" s="732"/>
      <c r="U1254" s="732"/>
      <c r="V1254" s="732"/>
      <c r="W1254" s="732"/>
      <c r="X1254" s="732"/>
    </row>
    <row r="1255" spans="20:24">
      <c r="T1255" s="732"/>
      <c r="U1255" s="732"/>
      <c r="V1255" s="732"/>
      <c r="W1255" s="732"/>
      <c r="X1255" s="732"/>
    </row>
    <row r="1256" spans="20:24">
      <c r="T1256" s="732"/>
      <c r="U1256" s="732"/>
      <c r="V1256" s="732"/>
      <c r="W1256" s="732"/>
      <c r="X1256" s="732"/>
    </row>
    <row r="1257" spans="20:24">
      <c r="T1257" s="732"/>
      <c r="U1257" s="732"/>
      <c r="V1257" s="732"/>
      <c r="W1257" s="732"/>
      <c r="X1257" s="732"/>
    </row>
    <row r="1258" spans="20:24">
      <c r="T1258" s="732"/>
      <c r="U1258" s="732"/>
      <c r="V1258" s="732"/>
      <c r="W1258" s="732"/>
      <c r="X1258" s="732"/>
    </row>
    <row r="1259" spans="20:24">
      <c r="T1259" s="732"/>
      <c r="U1259" s="732"/>
      <c r="V1259" s="732"/>
      <c r="W1259" s="732"/>
      <c r="X1259" s="732"/>
    </row>
    <row r="1260" spans="20:24">
      <c r="T1260" s="732"/>
      <c r="U1260" s="732"/>
      <c r="V1260" s="732"/>
      <c r="W1260" s="732"/>
      <c r="X1260" s="732"/>
    </row>
    <row r="1261" spans="20:24">
      <c r="T1261" s="732"/>
      <c r="U1261" s="732"/>
      <c r="V1261" s="732"/>
      <c r="W1261" s="732"/>
      <c r="X1261" s="732"/>
    </row>
    <row r="1262" spans="20:24">
      <c r="T1262" s="732"/>
      <c r="U1262" s="732"/>
      <c r="V1262" s="732"/>
      <c r="W1262" s="732"/>
      <c r="X1262" s="732"/>
    </row>
    <row r="1263" spans="20:24">
      <c r="T1263" s="732"/>
      <c r="U1263" s="732"/>
      <c r="V1263" s="732"/>
      <c r="W1263" s="732"/>
      <c r="X1263" s="732"/>
    </row>
    <row r="1264" spans="20:24">
      <c r="T1264" s="732"/>
      <c r="U1264" s="732"/>
      <c r="V1264" s="732"/>
      <c r="W1264" s="732"/>
      <c r="X1264" s="732"/>
    </row>
    <row r="1265" spans="20:24">
      <c r="T1265" s="732"/>
      <c r="U1265" s="732"/>
      <c r="V1265" s="732"/>
      <c r="W1265" s="732"/>
      <c r="X1265" s="732"/>
    </row>
    <row r="1266" spans="20:24">
      <c r="T1266" s="732"/>
      <c r="U1266" s="732"/>
      <c r="V1266" s="732"/>
      <c r="W1266" s="732"/>
      <c r="X1266" s="732"/>
    </row>
    <row r="1267" spans="20:24">
      <c r="T1267" s="732"/>
      <c r="U1267" s="732"/>
      <c r="V1267" s="732"/>
      <c r="W1267" s="732"/>
      <c r="X1267" s="732"/>
    </row>
    <row r="1268" spans="20:24">
      <c r="T1268" s="732"/>
      <c r="U1268" s="732"/>
      <c r="V1268" s="732"/>
      <c r="W1268" s="732"/>
      <c r="X1268" s="732"/>
    </row>
    <row r="1269" spans="20:24">
      <c r="T1269" s="732"/>
      <c r="U1269" s="732"/>
      <c r="V1269" s="732"/>
      <c r="W1269" s="732"/>
      <c r="X1269" s="732"/>
    </row>
    <row r="1270" spans="20:24">
      <c r="T1270" s="732"/>
      <c r="U1270" s="732"/>
      <c r="V1270" s="732"/>
      <c r="W1270" s="732"/>
      <c r="X1270" s="732"/>
    </row>
    <row r="1271" spans="20:24">
      <c r="T1271" s="732"/>
      <c r="U1271" s="732"/>
      <c r="V1271" s="732"/>
      <c r="W1271" s="732"/>
      <c r="X1271" s="732"/>
    </row>
    <row r="1272" spans="20:24">
      <c r="T1272" s="732"/>
      <c r="U1272" s="732"/>
      <c r="V1272" s="732"/>
      <c r="W1272" s="732"/>
      <c r="X1272" s="732"/>
    </row>
    <row r="1273" spans="20:24">
      <c r="T1273" s="732"/>
      <c r="U1273" s="732"/>
      <c r="V1273" s="732"/>
      <c r="W1273" s="732"/>
      <c r="X1273" s="732"/>
    </row>
    <row r="1274" spans="20:24">
      <c r="T1274" s="732"/>
      <c r="U1274" s="732"/>
      <c r="V1274" s="732"/>
      <c r="W1274" s="732"/>
      <c r="X1274" s="732"/>
    </row>
    <row r="1275" spans="20:24">
      <c r="T1275" s="732"/>
      <c r="U1275" s="732"/>
      <c r="V1275" s="732"/>
      <c r="W1275" s="732"/>
      <c r="X1275" s="732"/>
    </row>
    <row r="1276" spans="20:24">
      <c r="T1276" s="732"/>
      <c r="U1276" s="732"/>
      <c r="V1276" s="732"/>
      <c r="W1276" s="732"/>
      <c r="X1276" s="732"/>
    </row>
    <row r="1277" spans="20:24">
      <c r="T1277" s="732"/>
      <c r="U1277" s="732"/>
      <c r="V1277" s="732"/>
      <c r="W1277" s="732"/>
      <c r="X1277" s="732"/>
    </row>
    <row r="1278" spans="20:24">
      <c r="T1278" s="732"/>
      <c r="U1278" s="732"/>
      <c r="V1278" s="732"/>
      <c r="W1278" s="732"/>
      <c r="X1278" s="732"/>
    </row>
    <row r="1279" spans="20:24">
      <c r="T1279" s="732"/>
      <c r="U1279" s="732"/>
      <c r="V1279" s="732"/>
      <c r="W1279" s="732"/>
      <c r="X1279" s="732"/>
    </row>
    <row r="1280" spans="20:24">
      <c r="T1280" s="732"/>
      <c r="U1280" s="732"/>
      <c r="V1280" s="732"/>
      <c r="W1280" s="732"/>
      <c r="X1280" s="732"/>
    </row>
    <row r="1281" spans="20:24">
      <c r="T1281" s="732"/>
      <c r="U1281" s="732"/>
      <c r="V1281" s="732"/>
      <c r="W1281" s="732"/>
      <c r="X1281" s="732"/>
    </row>
    <row r="1282" spans="20:24">
      <c r="T1282" s="732"/>
      <c r="U1282" s="732"/>
      <c r="V1282" s="732"/>
      <c r="W1282" s="732"/>
      <c r="X1282" s="732"/>
    </row>
    <row r="1283" spans="20:24">
      <c r="T1283" s="732"/>
      <c r="U1283" s="732"/>
      <c r="V1283" s="732"/>
      <c r="W1283" s="732"/>
      <c r="X1283" s="732"/>
    </row>
    <row r="1284" spans="20:24">
      <c r="T1284" s="732"/>
      <c r="U1284" s="732"/>
      <c r="V1284" s="732"/>
      <c r="W1284" s="732"/>
      <c r="X1284" s="732"/>
    </row>
    <row r="1285" spans="20:24">
      <c r="T1285" s="732"/>
      <c r="U1285" s="732"/>
      <c r="V1285" s="732"/>
      <c r="W1285" s="732"/>
      <c r="X1285" s="732"/>
    </row>
    <row r="1286" spans="20:24">
      <c r="T1286" s="732"/>
      <c r="U1286" s="732"/>
      <c r="V1286" s="732"/>
      <c r="W1286" s="732"/>
      <c r="X1286" s="732"/>
    </row>
    <row r="1287" spans="20:24">
      <c r="T1287" s="732"/>
      <c r="U1287" s="732"/>
      <c r="V1287" s="732"/>
      <c r="W1287" s="732"/>
      <c r="X1287" s="732"/>
    </row>
    <row r="1288" spans="20:24">
      <c r="T1288" s="732"/>
      <c r="U1288" s="732"/>
      <c r="V1288" s="732"/>
      <c r="W1288" s="732"/>
      <c r="X1288" s="732"/>
    </row>
    <row r="1289" spans="20:24">
      <c r="T1289" s="732"/>
      <c r="U1289" s="732"/>
      <c r="V1289" s="732"/>
      <c r="W1289" s="732"/>
      <c r="X1289" s="732"/>
    </row>
    <row r="1290" spans="20:24">
      <c r="T1290" s="732"/>
      <c r="U1290" s="732"/>
      <c r="V1290" s="732"/>
      <c r="W1290" s="732"/>
      <c r="X1290" s="732"/>
    </row>
    <row r="1291" spans="20:24">
      <c r="T1291" s="732"/>
      <c r="U1291" s="732"/>
      <c r="V1291" s="732"/>
      <c r="W1291" s="732"/>
      <c r="X1291" s="732"/>
    </row>
    <row r="1292" spans="20:24">
      <c r="T1292" s="732"/>
      <c r="U1292" s="732"/>
      <c r="V1292" s="732"/>
      <c r="W1292" s="732"/>
      <c r="X1292" s="732"/>
    </row>
    <row r="1293" spans="20:24">
      <c r="T1293" s="732"/>
      <c r="U1293" s="732"/>
      <c r="V1293" s="732"/>
      <c r="W1293" s="732"/>
      <c r="X1293" s="732"/>
    </row>
    <row r="1294" spans="20:24">
      <c r="T1294" s="732"/>
      <c r="U1294" s="732"/>
      <c r="V1294" s="732"/>
      <c r="W1294" s="732"/>
      <c r="X1294" s="732"/>
    </row>
    <row r="1295" spans="20:24">
      <c r="T1295" s="732"/>
      <c r="U1295" s="732"/>
      <c r="V1295" s="732"/>
      <c r="W1295" s="732"/>
      <c r="X1295" s="732"/>
    </row>
    <row r="1296" spans="20:24">
      <c r="T1296" s="732"/>
      <c r="U1296" s="732"/>
      <c r="V1296" s="732"/>
      <c r="W1296" s="732"/>
      <c r="X1296" s="732"/>
    </row>
    <row r="1297" spans="20:24">
      <c r="T1297" s="732"/>
      <c r="U1297" s="732"/>
      <c r="V1297" s="732"/>
      <c r="W1297" s="732"/>
      <c r="X1297" s="732"/>
    </row>
    <row r="1298" spans="20:24">
      <c r="T1298" s="732"/>
      <c r="U1298" s="732"/>
      <c r="V1298" s="732"/>
      <c r="W1298" s="732"/>
      <c r="X1298" s="732"/>
    </row>
    <row r="1299" spans="20:24">
      <c r="T1299" s="732"/>
      <c r="U1299" s="732"/>
      <c r="V1299" s="732"/>
      <c r="W1299" s="732"/>
      <c r="X1299" s="732"/>
    </row>
    <row r="1300" spans="20:24">
      <c r="T1300" s="732"/>
      <c r="U1300" s="732"/>
      <c r="V1300" s="732"/>
      <c r="W1300" s="732"/>
      <c r="X1300" s="732"/>
    </row>
    <row r="1301" spans="20:24">
      <c r="T1301" s="732"/>
      <c r="U1301" s="732"/>
      <c r="V1301" s="732"/>
      <c r="W1301" s="732"/>
      <c r="X1301" s="732"/>
    </row>
    <row r="1302" spans="20:24">
      <c r="T1302" s="732"/>
      <c r="U1302" s="732"/>
      <c r="V1302" s="732"/>
      <c r="W1302" s="732"/>
      <c r="X1302" s="732"/>
    </row>
    <row r="1303" spans="20:24">
      <c r="T1303" s="732"/>
      <c r="U1303" s="732"/>
      <c r="V1303" s="732"/>
      <c r="W1303" s="732"/>
      <c r="X1303" s="732"/>
    </row>
    <row r="1304" spans="20:24">
      <c r="T1304" s="732"/>
      <c r="U1304" s="732"/>
      <c r="V1304" s="732"/>
      <c r="W1304" s="732"/>
      <c r="X1304" s="732"/>
    </row>
    <row r="1305" spans="20:24">
      <c r="T1305" s="732"/>
      <c r="U1305" s="732"/>
      <c r="V1305" s="732"/>
      <c r="W1305" s="732"/>
      <c r="X1305" s="732"/>
    </row>
    <row r="1306" spans="20:24">
      <c r="T1306" s="732"/>
      <c r="U1306" s="732"/>
      <c r="V1306" s="732"/>
      <c r="W1306" s="732"/>
      <c r="X1306" s="732"/>
    </row>
    <row r="1307" spans="20:24">
      <c r="T1307" s="732"/>
      <c r="U1307" s="732"/>
      <c r="V1307" s="732"/>
      <c r="W1307" s="732"/>
      <c r="X1307" s="732"/>
    </row>
    <row r="1308" spans="20:24">
      <c r="T1308" s="732"/>
      <c r="U1308" s="732"/>
      <c r="V1308" s="732"/>
      <c r="W1308" s="732"/>
      <c r="X1308" s="732"/>
    </row>
    <row r="1309" spans="20:24">
      <c r="T1309" s="732"/>
      <c r="U1309" s="732"/>
      <c r="V1309" s="732"/>
      <c r="W1309" s="732"/>
      <c r="X1309" s="732"/>
    </row>
    <row r="1310" spans="20:24">
      <c r="T1310" s="732"/>
      <c r="U1310" s="732"/>
      <c r="V1310" s="732"/>
      <c r="W1310" s="732"/>
      <c r="X1310" s="732"/>
    </row>
    <row r="1311" spans="20:24">
      <c r="T1311" s="732"/>
      <c r="U1311" s="732"/>
      <c r="V1311" s="732"/>
      <c r="W1311" s="732"/>
      <c r="X1311" s="732"/>
    </row>
    <row r="1312" spans="20:24">
      <c r="T1312" s="732"/>
      <c r="U1312" s="732"/>
      <c r="V1312" s="732"/>
      <c r="W1312" s="732"/>
      <c r="X1312" s="732"/>
    </row>
    <row r="1313" spans="20:24">
      <c r="T1313" s="732"/>
      <c r="U1313" s="732"/>
      <c r="V1313" s="732"/>
      <c r="W1313" s="732"/>
      <c r="X1313" s="732"/>
    </row>
    <row r="1314" spans="20:24">
      <c r="T1314" s="732"/>
      <c r="U1314" s="732"/>
      <c r="V1314" s="732"/>
      <c r="W1314" s="732"/>
      <c r="X1314" s="732"/>
    </row>
    <row r="1315" spans="20:24">
      <c r="T1315" s="732"/>
      <c r="U1315" s="732"/>
      <c r="V1315" s="732"/>
      <c r="W1315" s="732"/>
      <c r="X1315" s="732"/>
    </row>
    <row r="1316" spans="20:24">
      <c r="T1316" s="732"/>
      <c r="U1316" s="732"/>
      <c r="V1316" s="732"/>
      <c r="W1316" s="732"/>
      <c r="X1316" s="732"/>
    </row>
    <row r="1317" spans="20:24">
      <c r="T1317" s="732"/>
      <c r="U1317" s="732"/>
      <c r="V1317" s="732"/>
      <c r="W1317" s="732"/>
      <c r="X1317" s="732"/>
    </row>
    <row r="1318" spans="20:24">
      <c r="T1318" s="732"/>
      <c r="U1318" s="732"/>
      <c r="V1318" s="732"/>
      <c r="W1318" s="732"/>
      <c r="X1318" s="732"/>
    </row>
    <row r="1319" spans="20:24">
      <c r="T1319" s="732"/>
      <c r="U1319" s="732"/>
      <c r="V1319" s="732"/>
      <c r="W1319" s="732"/>
      <c r="X1319" s="732"/>
    </row>
    <row r="1320" spans="20:24">
      <c r="T1320" s="732"/>
      <c r="U1320" s="732"/>
      <c r="V1320" s="732"/>
      <c r="W1320" s="732"/>
      <c r="X1320" s="732"/>
    </row>
    <row r="1321" spans="20:24">
      <c r="T1321" s="732"/>
      <c r="U1321" s="732"/>
      <c r="V1321" s="732"/>
      <c r="W1321" s="732"/>
      <c r="X1321" s="732"/>
    </row>
    <row r="1322" spans="20:24">
      <c r="T1322" s="732"/>
      <c r="U1322" s="732"/>
      <c r="V1322" s="732"/>
      <c r="W1322" s="732"/>
      <c r="X1322" s="732"/>
    </row>
    <row r="1323" spans="20:24">
      <c r="T1323" s="732"/>
      <c r="U1323" s="732"/>
      <c r="V1323" s="732"/>
      <c r="W1323" s="732"/>
      <c r="X1323" s="732"/>
    </row>
    <row r="1324" spans="20:24">
      <c r="T1324" s="732"/>
      <c r="U1324" s="732"/>
      <c r="V1324" s="732"/>
      <c r="W1324" s="732"/>
      <c r="X1324" s="732"/>
    </row>
    <row r="1325" spans="20:24">
      <c r="T1325" s="732"/>
      <c r="U1325" s="732"/>
      <c r="V1325" s="732"/>
      <c r="W1325" s="732"/>
      <c r="X1325" s="732"/>
    </row>
    <row r="1326" spans="20:24">
      <c r="T1326" s="732"/>
      <c r="U1326" s="732"/>
      <c r="V1326" s="732"/>
      <c r="W1326" s="732"/>
      <c r="X1326" s="732"/>
    </row>
    <row r="1327" spans="20:24">
      <c r="T1327" s="732"/>
      <c r="U1327" s="732"/>
      <c r="V1327" s="732"/>
      <c r="W1327" s="732"/>
      <c r="X1327" s="732"/>
    </row>
    <row r="1328" spans="20:24">
      <c r="T1328" s="732"/>
      <c r="U1328" s="732"/>
      <c r="V1328" s="732"/>
      <c r="W1328" s="732"/>
      <c r="X1328" s="732"/>
    </row>
    <row r="1329" spans="20:24">
      <c r="T1329" s="732"/>
      <c r="U1329" s="732"/>
      <c r="V1329" s="732"/>
      <c r="W1329" s="732"/>
      <c r="X1329" s="732"/>
    </row>
    <row r="1330" spans="20:24">
      <c r="T1330" s="732"/>
      <c r="U1330" s="732"/>
      <c r="V1330" s="732"/>
      <c r="W1330" s="732"/>
      <c r="X1330" s="732"/>
    </row>
    <row r="1331" spans="20:24">
      <c r="T1331" s="732"/>
      <c r="U1331" s="732"/>
      <c r="V1331" s="732"/>
      <c r="W1331" s="732"/>
      <c r="X1331" s="732"/>
    </row>
    <row r="1332" spans="20:24">
      <c r="T1332" s="732"/>
      <c r="U1332" s="732"/>
      <c r="V1332" s="732"/>
      <c r="W1332" s="732"/>
      <c r="X1332" s="732"/>
    </row>
    <row r="1333" spans="20:24">
      <c r="T1333" s="732"/>
      <c r="U1333" s="732"/>
      <c r="V1333" s="732"/>
      <c r="W1333" s="732"/>
      <c r="X1333" s="732"/>
    </row>
    <row r="1334" spans="20:24">
      <c r="T1334" s="732"/>
      <c r="U1334" s="732"/>
      <c r="V1334" s="732"/>
      <c r="W1334" s="732"/>
      <c r="X1334" s="732"/>
    </row>
    <row r="1335" spans="20:24">
      <c r="T1335" s="732"/>
      <c r="U1335" s="732"/>
      <c r="V1335" s="732"/>
      <c r="W1335" s="732"/>
      <c r="X1335" s="732"/>
    </row>
    <row r="1336" spans="20:24">
      <c r="T1336" s="732"/>
      <c r="U1336" s="732"/>
      <c r="V1336" s="732"/>
      <c r="W1336" s="732"/>
      <c r="X1336" s="732"/>
    </row>
    <row r="1337" spans="20:24">
      <c r="T1337" s="732"/>
      <c r="U1337" s="732"/>
      <c r="V1337" s="732"/>
      <c r="W1337" s="732"/>
      <c r="X1337" s="732"/>
    </row>
    <row r="1338" spans="20:24">
      <c r="T1338" s="732"/>
      <c r="U1338" s="732"/>
      <c r="V1338" s="732"/>
      <c r="W1338" s="732"/>
      <c r="X1338" s="732"/>
    </row>
    <row r="1339" spans="20:24">
      <c r="T1339" s="732"/>
      <c r="U1339" s="732"/>
      <c r="V1339" s="732"/>
      <c r="W1339" s="732"/>
      <c r="X1339" s="732"/>
    </row>
    <row r="1340" spans="20:24">
      <c r="T1340" s="732"/>
      <c r="U1340" s="732"/>
      <c r="V1340" s="732"/>
      <c r="W1340" s="732"/>
      <c r="X1340" s="732"/>
    </row>
    <row r="1341" spans="20:24">
      <c r="T1341" s="732"/>
      <c r="U1341" s="732"/>
      <c r="V1341" s="732"/>
      <c r="W1341" s="732"/>
      <c r="X1341" s="732"/>
    </row>
    <row r="1342" spans="20:24">
      <c r="T1342" s="732"/>
      <c r="U1342" s="732"/>
      <c r="V1342" s="732"/>
      <c r="W1342" s="732"/>
      <c r="X1342" s="732"/>
    </row>
    <row r="1343" spans="20:24">
      <c r="T1343" s="732"/>
      <c r="U1343" s="732"/>
      <c r="V1343" s="732"/>
      <c r="W1343" s="732"/>
      <c r="X1343" s="732"/>
    </row>
    <row r="1344" spans="20:24">
      <c r="T1344" s="732"/>
      <c r="U1344" s="732"/>
      <c r="V1344" s="732"/>
      <c r="W1344" s="732"/>
      <c r="X1344" s="732"/>
    </row>
    <row r="1345" spans="20:24">
      <c r="T1345" s="732"/>
      <c r="U1345" s="732"/>
      <c r="V1345" s="732"/>
      <c r="W1345" s="732"/>
      <c r="X1345" s="732"/>
    </row>
    <row r="1346" spans="20:24">
      <c r="T1346" s="732"/>
      <c r="U1346" s="732"/>
      <c r="V1346" s="732"/>
      <c r="W1346" s="732"/>
      <c r="X1346" s="732"/>
    </row>
    <row r="1347" spans="20:24">
      <c r="T1347" s="732"/>
      <c r="U1347" s="732"/>
      <c r="V1347" s="732"/>
      <c r="W1347" s="732"/>
      <c r="X1347" s="732"/>
    </row>
    <row r="1348" spans="20:24">
      <c r="T1348" s="732"/>
      <c r="U1348" s="732"/>
      <c r="V1348" s="732"/>
      <c r="W1348" s="732"/>
      <c r="X1348" s="732"/>
    </row>
    <row r="1349" spans="20:24">
      <c r="T1349" s="732"/>
      <c r="U1349" s="732"/>
      <c r="V1349" s="732"/>
      <c r="W1349" s="732"/>
      <c r="X1349" s="732"/>
    </row>
    <row r="1350" spans="20:24">
      <c r="T1350" s="732"/>
      <c r="U1350" s="732"/>
      <c r="V1350" s="732"/>
      <c r="W1350" s="732"/>
      <c r="X1350" s="732"/>
    </row>
    <row r="1351" spans="20:24">
      <c r="T1351" s="732"/>
      <c r="U1351" s="732"/>
      <c r="V1351" s="732"/>
      <c r="W1351" s="732"/>
      <c r="X1351" s="732"/>
    </row>
    <row r="1352" spans="20:24">
      <c r="T1352" s="732"/>
      <c r="U1352" s="732"/>
      <c r="V1352" s="732"/>
      <c r="W1352" s="732"/>
      <c r="X1352" s="732"/>
    </row>
    <row r="1353" spans="20:24">
      <c r="T1353" s="732"/>
      <c r="U1353" s="732"/>
      <c r="V1353" s="732"/>
      <c r="W1353" s="732"/>
      <c r="X1353" s="732"/>
    </row>
    <row r="1354" spans="20:24">
      <c r="T1354" s="732"/>
      <c r="U1354" s="732"/>
      <c r="V1354" s="732"/>
      <c r="W1354" s="732"/>
      <c r="X1354" s="732"/>
    </row>
    <row r="1355" spans="20:24">
      <c r="T1355" s="732"/>
      <c r="U1355" s="732"/>
      <c r="V1355" s="732"/>
      <c r="W1355" s="732"/>
      <c r="X1355" s="732"/>
    </row>
    <row r="1356" spans="20:24">
      <c r="T1356" s="732"/>
      <c r="U1356" s="732"/>
      <c r="V1356" s="732"/>
      <c r="W1356" s="732"/>
      <c r="X1356" s="732"/>
    </row>
    <row r="1357" spans="20:24">
      <c r="T1357" s="732"/>
      <c r="U1357" s="732"/>
      <c r="V1357" s="732"/>
      <c r="W1357" s="732"/>
      <c r="X1357" s="732"/>
    </row>
    <row r="1358" spans="20:24">
      <c r="T1358" s="732"/>
      <c r="U1358" s="732"/>
      <c r="V1358" s="732"/>
      <c r="W1358" s="732"/>
      <c r="X1358" s="732"/>
    </row>
    <row r="1359" spans="20:24">
      <c r="T1359" s="732"/>
      <c r="U1359" s="732"/>
      <c r="V1359" s="732"/>
      <c r="W1359" s="732"/>
      <c r="X1359" s="732"/>
    </row>
    <row r="1360" spans="20:24">
      <c r="T1360" s="732"/>
      <c r="U1360" s="732"/>
      <c r="V1360" s="732"/>
      <c r="W1360" s="732"/>
      <c r="X1360" s="732"/>
    </row>
    <row r="1361" spans="20:24">
      <c r="T1361" s="732"/>
      <c r="U1361" s="732"/>
      <c r="V1361" s="732"/>
      <c r="W1361" s="732"/>
      <c r="X1361" s="732"/>
    </row>
    <row r="1362" spans="20:24">
      <c r="T1362" s="732"/>
      <c r="U1362" s="732"/>
      <c r="V1362" s="732"/>
      <c r="W1362" s="732"/>
      <c r="X1362" s="732"/>
    </row>
    <row r="1363" spans="20:24">
      <c r="T1363" s="732"/>
      <c r="U1363" s="732"/>
      <c r="V1363" s="732"/>
      <c r="W1363" s="732"/>
      <c r="X1363" s="732"/>
    </row>
    <row r="1364" spans="20:24">
      <c r="T1364" s="732"/>
      <c r="U1364" s="732"/>
      <c r="V1364" s="732"/>
      <c r="W1364" s="732"/>
      <c r="X1364" s="732"/>
    </row>
    <row r="1365" spans="20:24">
      <c r="T1365" s="732"/>
      <c r="U1365" s="732"/>
      <c r="V1365" s="732"/>
      <c r="W1365" s="732"/>
      <c r="X1365" s="732"/>
    </row>
    <row r="1366" spans="20:24">
      <c r="T1366" s="732"/>
      <c r="U1366" s="732"/>
      <c r="V1366" s="732"/>
      <c r="W1366" s="732"/>
      <c r="X1366" s="732"/>
    </row>
    <row r="1367" spans="20:24">
      <c r="T1367" s="732"/>
      <c r="U1367" s="732"/>
      <c r="V1367" s="732"/>
      <c r="W1367" s="732"/>
      <c r="X1367" s="732"/>
    </row>
    <row r="1368" spans="20:24">
      <c r="T1368" s="732"/>
      <c r="U1368" s="732"/>
      <c r="V1368" s="732"/>
      <c r="W1368" s="732"/>
      <c r="X1368" s="732"/>
    </row>
    <row r="1369" spans="20:24">
      <c r="T1369" s="732"/>
      <c r="U1369" s="732"/>
      <c r="V1369" s="732"/>
      <c r="W1369" s="732"/>
      <c r="X1369" s="732"/>
    </row>
    <row r="1370" spans="20:24">
      <c r="T1370" s="732"/>
      <c r="U1370" s="732"/>
      <c r="V1370" s="732"/>
      <c r="W1370" s="732"/>
      <c r="X1370" s="732"/>
    </row>
    <row r="1371" spans="20:24">
      <c r="T1371" s="732"/>
      <c r="U1371" s="732"/>
      <c r="V1371" s="732"/>
      <c r="W1371" s="732"/>
      <c r="X1371" s="732"/>
    </row>
    <row r="1372" spans="20:24">
      <c r="T1372" s="732"/>
      <c r="U1372" s="732"/>
      <c r="V1372" s="732"/>
      <c r="W1372" s="732"/>
      <c r="X1372" s="732"/>
    </row>
    <row r="1373" spans="20:24">
      <c r="T1373" s="732"/>
      <c r="U1373" s="732"/>
      <c r="V1373" s="732"/>
      <c r="W1373" s="732"/>
      <c r="X1373" s="732"/>
    </row>
    <row r="1374" spans="20:24">
      <c r="T1374" s="732"/>
      <c r="U1374" s="732"/>
      <c r="V1374" s="732"/>
      <c r="W1374" s="732"/>
      <c r="X1374" s="732"/>
    </row>
    <row r="1375" spans="20:24">
      <c r="T1375" s="732"/>
      <c r="U1375" s="732"/>
      <c r="V1375" s="732"/>
      <c r="W1375" s="732"/>
      <c r="X1375" s="732"/>
    </row>
    <row r="1376" spans="20:24">
      <c r="T1376" s="732"/>
      <c r="U1376" s="732"/>
      <c r="V1376" s="732"/>
      <c r="W1376" s="732"/>
      <c r="X1376" s="732"/>
    </row>
    <row r="1377" spans="20:24">
      <c r="T1377" s="732"/>
      <c r="U1377" s="732"/>
      <c r="V1377" s="732"/>
      <c r="W1377" s="732"/>
      <c r="X1377" s="732"/>
    </row>
    <row r="1378" spans="20:24">
      <c r="T1378" s="732"/>
      <c r="U1378" s="732"/>
      <c r="V1378" s="732"/>
      <c r="W1378" s="732"/>
      <c r="X1378" s="732"/>
    </row>
    <row r="1379" spans="20:24">
      <c r="T1379" s="732"/>
      <c r="U1379" s="732"/>
      <c r="V1379" s="732"/>
      <c r="W1379" s="732"/>
      <c r="X1379" s="732"/>
    </row>
    <row r="1380" spans="20:24">
      <c r="T1380" s="732"/>
      <c r="U1380" s="732"/>
      <c r="V1380" s="732"/>
      <c r="W1380" s="732"/>
      <c r="X1380" s="732"/>
    </row>
    <row r="1381" spans="20:24">
      <c r="T1381" s="732"/>
      <c r="U1381" s="732"/>
      <c r="V1381" s="732"/>
      <c r="W1381" s="732"/>
      <c r="X1381" s="732"/>
    </row>
    <row r="1382" spans="20:24">
      <c r="T1382" s="732"/>
      <c r="U1382" s="732"/>
      <c r="V1382" s="732"/>
      <c r="W1382" s="732"/>
      <c r="X1382" s="732"/>
    </row>
    <row r="1383" spans="20:24">
      <c r="T1383" s="732"/>
      <c r="U1383" s="732"/>
      <c r="V1383" s="732"/>
      <c r="W1383" s="732"/>
      <c r="X1383" s="732"/>
    </row>
    <row r="1384" spans="20:24">
      <c r="T1384" s="732"/>
      <c r="U1384" s="732"/>
      <c r="V1384" s="732"/>
      <c r="W1384" s="732"/>
      <c r="X1384" s="732"/>
    </row>
    <row r="1385" spans="20:24">
      <c r="T1385" s="732"/>
      <c r="U1385" s="732"/>
      <c r="V1385" s="732"/>
      <c r="W1385" s="732"/>
      <c r="X1385" s="732"/>
    </row>
    <row r="1386" spans="20:24">
      <c r="T1386" s="732"/>
      <c r="U1386" s="732"/>
      <c r="V1386" s="732"/>
      <c r="W1386" s="732"/>
      <c r="X1386" s="732"/>
    </row>
    <row r="1387" spans="20:24">
      <c r="T1387" s="732"/>
      <c r="U1387" s="732"/>
      <c r="V1387" s="732"/>
      <c r="W1387" s="732"/>
      <c r="X1387" s="732"/>
    </row>
    <row r="1388" spans="20:24">
      <c r="T1388" s="732"/>
      <c r="U1388" s="732"/>
      <c r="V1388" s="732"/>
      <c r="W1388" s="732"/>
      <c r="X1388" s="732"/>
    </row>
    <row r="1389" spans="20:24">
      <c r="T1389" s="732"/>
      <c r="U1389" s="732"/>
      <c r="V1389" s="732"/>
      <c r="W1389" s="732"/>
      <c r="X1389" s="732"/>
    </row>
    <row r="1390" spans="20:24">
      <c r="T1390" s="732"/>
      <c r="U1390" s="732"/>
      <c r="V1390" s="732"/>
      <c r="W1390" s="732"/>
      <c r="X1390" s="732"/>
    </row>
    <row r="1391" spans="20:24">
      <c r="T1391" s="732"/>
      <c r="U1391" s="732"/>
      <c r="V1391" s="732"/>
      <c r="W1391" s="732"/>
      <c r="X1391" s="732"/>
    </row>
    <row r="1392" spans="20:24">
      <c r="T1392" s="732"/>
      <c r="U1392" s="732"/>
      <c r="V1392" s="732"/>
      <c r="W1392" s="732"/>
      <c r="X1392" s="732"/>
    </row>
    <row r="1393" spans="20:24">
      <c r="T1393" s="732"/>
      <c r="U1393" s="732"/>
      <c r="V1393" s="732"/>
      <c r="W1393" s="732"/>
      <c r="X1393" s="732"/>
    </row>
    <row r="1394" spans="20:24">
      <c r="T1394" s="732"/>
      <c r="U1394" s="732"/>
      <c r="V1394" s="732"/>
      <c r="W1394" s="732"/>
      <c r="X1394" s="732"/>
    </row>
    <row r="1395" spans="20:24">
      <c r="T1395" s="732"/>
      <c r="U1395" s="732"/>
      <c r="V1395" s="732"/>
      <c r="W1395" s="732"/>
      <c r="X1395" s="732"/>
    </row>
    <row r="1396" spans="20:24">
      <c r="T1396" s="732"/>
      <c r="U1396" s="732"/>
      <c r="V1396" s="732"/>
      <c r="W1396" s="732"/>
      <c r="X1396" s="732"/>
    </row>
    <row r="1397" spans="20:24">
      <c r="T1397" s="732"/>
      <c r="U1397" s="732"/>
      <c r="V1397" s="732"/>
      <c r="W1397" s="732"/>
      <c r="X1397" s="732"/>
    </row>
    <row r="1398" spans="20:24">
      <c r="T1398" s="732"/>
      <c r="U1398" s="732"/>
      <c r="V1398" s="732"/>
      <c r="W1398" s="732"/>
      <c r="X1398" s="732"/>
    </row>
    <row r="1399" spans="20:24">
      <c r="T1399" s="732"/>
      <c r="U1399" s="732"/>
      <c r="V1399" s="732"/>
      <c r="W1399" s="732"/>
      <c r="X1399" s="732"/>
    </row>
    <row r="1400" spans="20:24">
      <c r="T1400" s="732"/>
      <c r="U1400" s="732"/>
      <c r="V1400" s="732"/>
      <c r="W1400" s="732"/>
      <c r="X1400" s="732"/>
    </row>
    <row r="1401" spans="20:24">
      <c r="T1401" s="732"/>
      <c r="U1401" s="732"/>
      <c r="V1401" s="732"/>
      <c r="W1401" s="732"/>
      <c r="X1401" s="732"/>
    </row>
    <row r="1402" spans="20:24">
      <c r="T1402" s="732"/>
      <c r="U1402" s="732"/>
      <c r="V1402" s="732"/>
      <c r="W1402" s="732"/>
      <c r="X1402" s="732"/>
    </row>
    <row r="1403" spans="20:24">
      <c r="T1403" s="732"/>
      <c r="U1403" s="732"/>
      <c r="V1403" s="732"/>
      <c r="W1403" s="732"/>
      <c r="X1403" s="732"/>
    </row>
    <row r="1404" spans="20:24">
      <c r="T1404" s="732"/>
      <c r="U1404" s="732"/>
      <c r="V1404" s="732"/>
      <c r="W1404" s="732"/>
      <c r="X1404" s="732"/>
    </row>
    <row r="1405" spans="20:24">
      <c r="T1405" s="732"/>
      <c r="U1405" s="732"/>
      <c r="V1405" s="732"/>
      <c r="W1405" s="732"/>
      <c r="X1405" s="732"/>
    </row>
    <row r="1406" spans="20:24">
      <c r="T1406" s="732"/>
      <c r="U1406" s="732"/>
      <c r="V1406" s="732"/>
      <c r="W1406" s="732"/>
      <c r="X1406" s="732"/>
    </row>
    <row r="1407" spans="20:24">
      <c r="T1407" s="732"/>
      <c r="U1407" s="732"/>
      <c r="V1407" s="732"/>
      <c r="W1407" s="732"/>
      <c r="X1407" s="732"/>
    </row>
    <row r="1408" spans="20:24">
      <c r="T1408" s="732"/>
      <c r="U1408" s="732"/>
      <c r="V1408" s="732"/>
      <c r="W1408" s="732"/>
      <c r="X1408" s="732"/>
    </row>
    <row r="1409" spans="20:24">
      <c r="T1409" s="732"/>
      <c r="U1409" s="732"/>
      <c r="V1409" s="732"/>
      <c r="W1409" s="732"/>
      <c r="X1409" s="732"/>
    </row>
    <row r="1410" spans="20:24">
      <c r="T1410" s="732"/>
      <c r="U1410" s="732"/>
      <c r="V1410" s="732"/>
      <c r="W1410" s="732"/>
      <c r="X1410" s="732"/>
    </row>
    <row r="1411" spans="20:24">
      <c r="T1411" s="732"/>
      <c r="U1411" s="732"/>
      <c r="V1411" s="732"/>
      <c r="W1411" s="732"/>
      <c r="X1411" s="732"/>
    </row>
    <row r="1412" spans="20:24">
      <c r="T1412" s="732"/>
      <c r="U1412" s="732"/>
      <c r="V1412" s="732"/>
      <c r="W1412" s="732"/>
      <c r="X1412" s="732"/>
    </row>
    <row r="1413" spans="20:24">
      <c r="T1413" s="732"/>
      <c r="U1413" s="732"/>
      <c r="V1413" s="732"/>
      <c r="W1413" s="732"/>
      <c r="X1413" s="732"/>
    </row>
    <row r="1414" spans="20:24">
      <c r="T1414" s="732"/>
      <c r="U1414" s="732"/>
      <c r="V1414" s="732"/>
      <c r="W1414" s="732"/>
      <c r="X1414" s="732"/>
    </row>
    <row r="1415" spans="20:24">
      <c r="T1415" s="732"/>
      <c r="U1415" s="732"/>
      <c r="V1415" s="732"/>
      <c r="W1415" s="732"/>
      <c r="X1415" s="732"/>
    </row>
    <row r="1416" spans="20:24">
      <c r="T1416" s="732"/>
      <c r="U1416" s="732"/>
      <c r="V1416" s="732"/>
      <c r="W1416" s="732"/>
      <c r="X1416" s="732"/>
    </row>
    <row r="1417" spans="20:24">
      <c r="T1417" s="732"/>
      <c r="U1417" s="732"/>
      <c r="V1417" s="732"/>
      <c r="W1417" s="732"/>
      <c r="X1417" s="732"/>
    </row>
    <row r="1418" spans="20:24">
      <c r="T1418" s="732"/>
      <c r="U1418" s="732"/>
      <c r="V1418" s="732"/>
      <c r="W1418" s="732"/>
      <c r="X1418" s="732"/>
    </row>
    <row r="1419" spans="20:24">
      <c r="T1419" s="732"/>
      <c r="U1419" s="732"/>
      <c r="V1419" s="732"/>
      <c r="W1419" s="732"/>
      <c r="X1419" s="732"/>
    </row>
    <row r="1420" spans="20:24">
      <c r="T1420" s="732"/>
      <c r="U1420" s="732"/>
      <c r="V1420" s="732"/>
      <c r="W1420" s="732"/>
      <c r="X1420" s="732"/>
    </row>
    <row r="1421" spans="20:24">
      <c r="T1421" s="732"/>
      <c r="U1421" s="732"/>
      <c r="V1421" s="732"/>
      <c r="W1421" s="732"/>
      <c r="X1421" s="732"/>
    </row>
    <row r="1422" spans="20:24">
      <c r="T1422" s="732"/>
      <c r="U1422" s="732"/>
      <c r="V1422" s="732"/>
      <c r="W1422" s="732"/>
      <c r="X1422" s="732"/>
    </row>
    <row r="1423" spans="20:24">
      <c r="T1423" s="732"/>
      <c r="U1423" s="732"/>
      <c r="V1423" s="732"/>
      <c r="W1423" s="732"/>
      <c r="X1423" s="732"/>
    </row>
    <row r="1424" spans="20:24">
      <c r="T1424" s="732"/>
      <c r="U1424" s="732"/>
      <c r="V1424" s="732"/>
      <c r="W1424" s="732"/>
      <c r="X1424" s="732"/>
    </row>
    <row r="1425" spans="20:24">
      <c r="T1425" s="732"/>
      <c r="U1425" s="732"/>
      <c r="V1425" s="732"/>
      <c r="W1425" s="732"/>
      <c r="X1425" s="732"/>
    </row>
    <row r="1426" spans="20:24">
      <c r="T1426" s="732"/>
      <c r="U1426" s="732"/>
      <c r="V1426" s="732"/>
      <c r="W1426" s="732"/>
      <c r="X1426" s="732"/>
    </row>
    <row r="1427" spans="20:24">
      <c r="T1427" s="732"/>
      <c r="U1427" s="732"/>
      <c r="V1427" s="732"/>
      <c r="W1427" s="732"/>
      <c r="X1427" s="732"/>
    </row>
    <row r="1428" spans="20:24">
      <c r="T1428" s="732"/>
      <c r="U1428" s="732"/>
      <c r="V1428" s="732"/>
      <c r="W1428" s="732"/>
      <c r="X1428" s="732"/>
    </row>
    <row r="1429" spans="20:24">
      <c r="T1429" s="732"/>
      <c r="U1429" s="732"/>
      <c r="V1429" s="732"/>
      <c r="W1429" s="732"/>
      <c r="X1429" s="732"/>
    </row>
    <row r="1430" spans="20:24">
      <c r="T1430" s="732"/>
      <c r="U1430" s="732"/>
      <c r="V1430" s="732"/>
      <c r="W1430" s="732"/>
      <c r="X1430" s="732"/>
    </row>
    <row r="1431" spans="20:24">
      <c r="T1431" s="732"/>
      <c r="U1431" s="732"/>
      <c r="V1431" s="732"/>
      <c r="W1431" s="732"/>
      <c r="X1431" s="732"/>
    </row>
    <row r="1432" spans="20:24">
      <c r="T1432" s="732"/>
      <c r="U1432" s="732"/>
      <c r="V1432" s="732"/>
      <c r="W1432" s="732"/>
      <c r="X1432" s="732"/>
    </row>
    <row r="1433" spans="20:24">
      <c r="T1433" s="732"/>
      <c r="U1433" s="732"/>
      <c r="V1433" s="732"/>
      <c r="W1433" s="732"/>
      <c r="X1433" s="732"/>
    </row>
    <row r="1434" spans="20:24">
      <c r="T1434" s="732"/>
      <c r="U1434" s="732"/>
      <c r="V1434" s="732"/>
      <c r="W1434" s="732"/>
      <c r="X1434" s="732"/>
    </row>
    <row r="1435" spans="20:24">
      <c r="T1435" s="732"/>
      <c r="U1435" s="732"/>
      <c r="V1435" s="732"/>
      <c r="W1435" s="732"/>
      <c r="X1435" s="732"/>
    </row>
    <row r="1436" spans="20:24">
      <c r="T1436" s="732"/>
      <c r="U1436" s="732"/>
      <c r="V1436" s="732"/>
      <c r="W1436" s="732"/>
      <c r="X1436" s="732"/>
    </row>
    <row r="1437" spans="20:24">
      <c r="T1437" s="732"/>
      <c r="U1437" s="732"/>
      <c r="V1437" s="732"/>
      <c r="W1437" s="732"/>
      <c r="X1437" s="732"/>
    </row>
    <row r="1438" spans="20:24">
      <c r="T1438" s="732"/>
      <c r="U1438" s="732"/>
      <c r="V1438" s="732"/>
      <c r="W1438" s="732"/>
      <c r="X1438" s="732"/>
    </row>
    <row r="1439" spans="20:24">
      <c r="T1439" s="732"/>
      <c r="U1439" s="732"/>
      <c r="V1439" s="732"/>
      <c r="W1439" s="732"/>
      <c r="X1439" s="732"/>
    </row>
  </sheetData>
  <mergeCells count="1">
    <mergeCell ref="BJ14:BU14"/>
  </mergeCells>
  <pageMargins left="0.7" right="0.7" top="0.75" bottom="0.75" header="0.3" footer="0.3"/>
  <pageSetup paperSize="0" orientation="portrait" horizontalDpi="0" verticalDpi="0" copies="0"/>
  <legacy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66A3C8-B4DE-4CB1-8E19-16DA0D653A40}">
  <sheetPr codeName="Sheet48">
    <tabColor rgb="FFFF0000"/>
  </sheetPr>
  <dimension ref="B1:BT65"/>
  <sheetViews>
    <sheetView showGridLines="0" topLeftCell="AZ1" zoomScale="80" zoomScaleNormal="80" workbookViewId="0">
      <selection activeCell="BL54" sqref="BL54"/>
    </sheetView>
  </sheetViews>
  <sheetFormatPr defaultColWidth="9.1796875" defaultRowHeight="13"/>
  <cols>
    <col min="1" max="1" width="3.453125" style="761" customWidth="1"/>
    <col min="2" max="2" width="4" style="761" customWidth="1"/>
    <col min="3" max="3" width="37" style="761" customWidth="1"/>
    <col min="4" max="4" width="11.453125" style="761" bestFit="1" customWidth="1"/>
    <col min="5" max="6" width="15.26953125" style="761" customWidth="1"/>
    <col min="7" max="7" width="18.453125" style="761" bestFit="1" customWidth="1"/>
    <col min="8" max="8" width="46.81640625" style="761" bestFit="1" customWidth="1"/>
    <col min="9" max="9" width="9.54296875" style="761" customWidth="1"/>
    <col min="10" max="10" width="12.7265625" style="761" customWidth="1"/>
    <col min="11" max="11" width="12.7265625" style="926" customWidth="1"/>
    <col min="12" max="13" width="12.7265625" style="761" customWidth="1"/>
    <col min="14" max="24" width="9.1796875" style="761" customWidth="1"/>
    <col min="25" max="25" width="11.26953125" style="761" bestFit="1" customWidth="1"/>
    <col min="26" max="26" width="11.1796875" style="761" bestFit="1" customWidth="1"/>
    <col min="27" max="30" width="13.26953125" style="761" customWidth="1"/>
    <col min="31" max="31" width="9.81640625" style="761" bestFit="1" customWidth="1"/>
    <col min="32" max="32" width="3.1796875" style="761" bestFit="1" customWidth="1"/>
    <col min="33" max="33" width="49.54296875" style="761" bestFit="1" customWidth="1"/>
    <col min="34" max="35" width="31.81640625" style="761" bestFit="1" customWidth="1"/>
    <col min="36" max="36" width="22.453125" style="761" customWidth="1"/>
    <col min="37" max="37" width="12.81640625" style="761" bestFit="1" customWidth="1"/>
    <col min="38" max="41" width="16.54296875" style="761" customWidth="1"/>
    <col min="42" max="42" width="16" style="761" customWidth="1"/>
    <col min="43" max="43" width="17.453125" style="761" customWidth="1"/>
    <col min="44" max="44" width="15.453125" style="761" customWidth="1"/>
    <col min="45" max="48" width="15.1796875" style="761" customWidth="1"/>
    <col min="49" max="49" width="12.81640625" style="761" bestFit="1" customWidth="1"/>
    <col min="50" max="51" width="12.81640625" style="761" customWidth="1"/>
    <col min="52" max="52" width="12.81640625" style="761" bestFit="1" customWidth="1"/>
    <col min="53" max="53" width="13.54296875" style="761" customWidth="1"/>
    <col min="54" max="54" width="12.7265625" style="761" customWidth="1"/>
    <col min="55" max="59" width="14.453125" style="761" customWidth="1"/>
    <col min="60" max="61" width="12.81640625" style="761" bestFit="1" customWidth="1"/>
    <col min="62" max="62" width="11" style="761" customWidth="1"/>
    <col min="63" max="63" width="41" style="761" bestFit="1" customWidth="1"/>
    <col min="64" max="64" width="26.54296875" style="761" customWidth="1"/>
    <col min="65" max="65" width="46.81640625" style="761" bestFit="1" customWidth="1"/>
    <col min="66" max="66" width="10.54296875" style="761" customWidth="1"/>
    <col min="67" max="67" width="51.453125" style="761" bestFit="1" customWidth="1"/>
    <col min="68" max="68" width="7.7265625" style="761" bestFit="1" customWidth="1"/>
    <col min="69" max="69" width="34.54296875" style="761" customWidth="1"/>
    <col min="70" max="70" width="9.1796875" style="761"/>
    <col min="71" max="72" width="16.7265625" style="761" bestFit="1" customWidth="1"/>
    <col min="73" max="73" width="9.1796875" style="761"/>
    <col min="74" max="74" width="12.1796875" style="761" customWidth="1"/>
    <col min="75" max="75" width="9.1796875" style="761"/>
    <col min="76" max="76" width="5.453125" style="761" customWidth="1"/>
    <col min="77" max="16384" width="9.1796875" style="761"/>
  </cols>
  <sheetData>
    <row r="1" spans="2:72">
      <c r="BK1" s="761">
        <f>INDEX('Common HVAC References'!$BL$5:$BL$41,MATCH(BO7,'Common HVAC References'!$AX$5:$AX$41,0))</f>
        <v>11.2</v>
      </c>
    </row>
    <row r="2" spans="2:72">
      <c r="B2" s="978" t="s">
        <v>3234</v>
      </c>
      <c r="I2" s="761">
        <f>IF(LEFT('Worksheet Common HVAC'!B23,4)="Room",1,2)</f>
        <v>2</v>
      </c>
      <c r="L2" s="978"/>
      <c r="BA2" s="144" t="s">
        <v>3272</v>
      </c>
      <c r="BC2" s="977">
        <v>0.3</v>
      </c>
      <c r="BD2" s="977"/>
      <c r="BE2" s="977"/>
      <c r="BF2" s="977"/>
      <c r="BG2" s="977"/>
      <c r="BI2" s="761">
        <f>13.5*I7</f>
        <v>13.5</v>
      </c>
      <c r="BK2" s="977" t="e">
        <f>#REF!-BK1</f>
        <v>#REF!</v>
      </c>
    </row>
    <row r="3" spans="2:72">
      <c r="AL3" s="761" t="s">
        <v>5512</v>
      </c>
    </row>
    <row r="4" spans="2:72" ht="27" customHeight="1">
      <c r="C4" s="885"/>
      <c r="D4" s="958"/>
      <c r="E4" s="968"/>
      <c r="F4" s="2798" t="s">
        <v>617</v>
      </c>
      <c r="G4" s="2798" t="s">
        <v>2201</v>
      </c>
      <c r="H4" s="889"/>
      <c r="I4" s="885"/>
      <c r="J4" s="967"/>
      <c r="K4" s="963" t="s">
        <v>2620</v>
      </c>
      <c r="L4" s="960"/>
      <c r="M4" s="960"/>
      <c r="N4" s="960"/>
      <c r="O4" s="963" t="s">
        <v>3226</v>
      </c>
      <c r="P4" s="960"/>
      <c r="Q4" s="960"/>
      <c r="R4" s="960"/>
      <c r="S4" s="966"/>
      <c r="T4" s="963" t="s">
        <v>1425</v>
      </c>
      <c r="U4" s="960"/>
      <c r="V4" s="960"/>
      <c r="W4" s="960"/>
      <c r="X4" s="966"/>
      <c r="Y4" s="965"/>
      <c r="Z4" s="963" t="s">
        <v>3227</v>
      </c>
      <c r="AA4" s="958"/>
      <c r="AB4" s="967"/>
      <c r="AF4" s="926"/>
      <c r="AG4" s="964"/>
      <c r="AH4" s="962" t="s">
        <v>3244</v>
      </c>
      <c r="AI4" s="779"/>
      <c r="AJ4" s="963" t="s">
        <v>3245</v>
      </c>
      <c r="AK4" s="960"/>
      <c r="AL4" s="960"/>
      <c r="AM4" s="960"/>
      <c r="AN4" s="960"/>
      <c r="AO4" s="963"/>
      <c r="AP4" s="779" t="s">
        <v>3246</v>
      </c>
      <c r="AQ4" s="962" t="s">
        <v>503</v>
      </c>
      <c r="AR4" s="779" t="s">
        <v>503</v>
      </c>
      <c r="AS4" s="779" t="s">
        <v>3247</v>
      </c>
      <c r="AT4" s="779" t="s">
        <v>3247</v>
      </c>
      <c r="AU4" s="961" t="s">
        <v>3248</v>
      </c>
      <c r="AV4" s="962" t="s">
        <v>504</v>
      </c>
      <c r="AW4" s="779" t="s">
        <v>504</v>
      </c>
      <c r="AX4" s="961" t="s">
        <v>3248</v>
      </c>
      <c r="AY4" s="779" t="s">
        <v>3249</v>
      </c>
      <c r="AZ4" s="779" t="s">
        <v>3250</v>
      </c>
      <c r="BA4" s="961" t="s">
        <v>3251</v>
      </c>
      <c r="BB4" s="961" t="s">
        <v>3252</v>
      </c>
      <c r="BC4" s="779" t="s">
        <v>3253</v>
      </c>
      <c r="BD4" s="779" t="s">
        <v>503</v>
      </c>
      <c r="BE4" s="779" t="s">
        <v>504</v>
      </c>
      <c r="BF4" s="779" t="s">
        <v>3254</v>
      </c>
      <c r="BG4" s="779" t="s">
        <v>503</v>
      </c>
      <c r="BH4" s="779" t="s">
        <v>504</v>
      </c>
      <c r="BI4" s="959" t="s">
        <v>3254</v>
      </c>
      <c r="BJ4" s="779" t="s">
        <v>3255</v>
      </c>
      <c r="BK4" s="779" t="s">
        <v>3256</v>
      </c>
      <c r="BL4" s="960"/>
      <c r="BM4" s="959"/>
      <c r="BO4" s="964"/>
      <c r="BP4" s="976"/>
      <c r="BQ4" s="958"/>
      <c r="BR4" s="958"/>
      <c r="BS4" s="779" t="s">
        <v>821</v>
      </c>
      <c r="BT4" s="779" t="s">
        <v>822</v>
      </c>
    </row>
    <row r="5" spans="2:72">
      <c r="C5" s="886" t="s">
        <v>470</v>
      </c>
      <c r="D5" s="951" t="s">
        <v>2152</v>
      </c>
      <c r="E5" s="954" t="s">
        <v>2153</v>
      </c>
      <c r="F5" s="2799"/>
      <c r="G5" s="2799"/>
      <c r="H5" s="890" t="s">
        <v>3228</v>
      </c>
      <c r="I5" s="886" t="s">
        <v>3229</v>
      </c>
      <c r="J5" s="952" t="s">
        <v>2624</v>
      </c>
      <c r="K5" s="886" t="s">
        <v>12</v>
      </c>
      <c r="L5" s="951" t="s">
        <v>13</v>
      </c>
      <c r="M5" s="951" t="s">
        <v>14</v>
      </c>
      <c r="N5" s="951" t="s">
        <v>2202</v>
      </c>
      <c r="O5" s="886" t="s">
        <v>12</v>
      </c>
      <c r="P5" s="951" t="s">
        <v>13</v>
      </c>
      <c r="Q5" s="951" t="s">
        <v>14</v>
      </c>
      <c r="R5" s="951" t="s">
        <v>2202</v>
      </c>
      <c r="S5" s="951" t="s">
        <v>3230</v>
      </c>
      <c r="T5" s="886" t="s">
        <v>12</v>
      </c>
      <c r="U5" s="951" t="s">
        <v>13</v>
      </c>
      <c r="V5" s="951" t="s">
        <v>14</v>
      </c>
      <c r="W5" s="951" t="s">
        <v>2202</v>
      </c>
      <c r="X5" s="951" t="s">
        <v>3231</v>
      </c>
      <c r="Y5" s="890" t="s">
        <v>505</v>
      </c>
      <c r="Z5" s="886" t="s">
        <v>240</v>
      </c>
      <c r="AA5" s="951" t="s">
        <v>3232</v>
      </c>
      <c r="AB5" s="952" t="s">
        <v>3233</v>
      </c>
      <c r="AF5" s="926"/>
      <c r="AG5" s="957" t="s">
        <v>3228</v>
      </c>
      <c r="AH5" s="957" t="s">
        <v>3257</v>
      </c>
      <c r="AI5" s="956" t="s">
        <v>3258</v>
      </c>
      <c r="AJ5" s="886" t="s">
        <v>12</v>
      </c>
      <c r="AK5" s="951" t="s">
        <v>13</v>
      </c>
      <c r="AL5" s="951" t="s">
        <v>14</v>
      </c>
      <c r="AM5" s="951" t="s">
        <v>2202</v>
      </c>
      <c r="AN5" s="951" t="s">
        <v>3259</v>
      </c>
      <c r="AO5" s="886" t="s">
        <v>2326</v>
      </c>
      <c r="AP5" s="952" t="s">
        <v>3260</v>
      </c>
      <c r="AQ5" s="955" t="s">
        <v>3261</v>
      </c>
      <c r="AR5" s="954" t="s">
        <v>3262</v>
      </c>
      <c r="AS5" s="954" t="s">
        <v>3263</v>
      </c>
      <c r="AT5" s="954" t="s">
        <v>3264</v>
      </c>
      <c r="AU5" s="954" t="s">
        <v>3265</v>
      </c>
      <c r="AV5" s="955" t="s">
        <v>3261</v>
      </c>
      <c r="AW5" s="954" t="s">
        <v>3262</v>
      </c>
      <c r="AX5" s="954" t="s">
        <v>3266</v>
      </c>
      <c r="AY5" s="954" t="s">
        <v>3263</v>
      </c>
      <c r="AZ5" s="954" t="s">
        <v>3263</v>
      </c>
      <c r="BA5" s="954" t="s">
        <v>3265</v>
      </c>
      <c r="BB5" s="954" t="s">
        <v>3265</v>
      </c>
      <c r="BC5" s="954" t="s">
        <v>3263</v>
      </c>
      <c r="BD5" s="954" t="s">
        <v>3267</v>
      </c>
      <c r="BE5" s="954" t="s">
        <v>3267</v>
      </c>
      <c r="BF5" s="954" t="s">
        <v>3267</v>
      </c>
      <c r="BG5" s="954" t="s">
        <v>3268</v>
      </c>
      <c r="BH5" s="954" t="s">
        <v>3268</v>
      </c>
      <c r="BI5" s="953" t="s">
        <v>3268</v>
      </c>
      <c r="BJ5" s="951" t="s">
        <v>3269</v>
      </c>
      <c r="BK5" s="951" t="s">
        <v>3015</v>
      </c>
      <c r="BL5" s="951" t="s">
        <v>216</v>
      </c>
      <c r="BM5" s="952" t="s">
        <v>3270</v>
      </c>
      <c r="BO5" s="957" t="s">
        <v>3228</v>
      </c>
      <c r="BP5" s="886" t="s">
        <v>22</v>
      </c>
      <c r="BQ5" s="951" t="s">
        <v>3228</v>
      </c>
      <c r="BR5" s="951" t="s">
        <v>2164</v>
      </c>
      <c r="BS5" s="951" t="s">
        <v>3271</v>
      </c>
      <c r="BT5" s="951" t="s">
        <v>3271</v>
      </c>
    </row>
    <row r="6" spans="2:72">
      <c r="B6" s="761" t="s">
        <v>2638</v>
      </c>
      <c r="C6" s="887"/>
      <c r="D6" s="944"/>
      <c r="E6" s="944"/>
      <c r="F6" s="944"/>
      <c r="G6" s="944"/>
      <c r="H6" s="891"/>
      <c r="I6" s="887"/>
      <c r="J6" s="943"/>
      <c r="K6" s="887"/>
      <c r="L6" s="944"/>
      <c r="M6" s="944"/>
      <c r="N6" s="944"/>
      <c r="O6" s="887"/>
      <c r="P6" s="944"/>
      <c r="Q6" s="944"/>
      <c r="R6" s="944"/>
      <c r="S6" s="944"/>
      <c r="T6" s="887"/>
      <c r="U6" s="944"/>
      <c r="V6" s="944"/>
      <c r="W6" s="944"/>
      <c r="X6" s="944"/>
      <c r="Y6" s="891"/>
      <c r="Z6" s="887"/>
      <c r="AA6" s="944"/>
      <c r="AB6" s="943"/>
      <c r="AF6" s="950" t="s">
        <v>2638</v>
      </c>
      <c r="AG6" s="949"/>
      <c r="AH6" s="949"/>
      <c r="AI6" s="948"/>
      <c r="AJ6" s="887"/>
      <c r="AK6" s="944"/>
      <c r="AL6" s="944"/>
      <c r="AM6" s="944"/>
      <c r="AN6" s="944"/>
      <c r="AO6" s="887"/>
      <c r="AP6" s="943"/>
      <c r="AQ6" s="887"/>
      <c r="AR6" s="947"/>
      <c r="AS6" s="947"/>
      <c r="AT6" s="947"/>
      <c r="AU6" s="947"/>
      <c r="AV6" s="887"/>
      <c r="AW6" s="947"/>
      <c r="AX6" s="947"/>
      <c r="AY6" s="947"/>
      <c r="AZ6" s="947"/>
      <c r="BA6" s="947"/>
      <c r="BB6" s="947"/>
      <c r="BC6" s="947"/>
      <c r="BD6" s="945"/>
      <c r="BE6" s="945"/>
      <c r="BF6" s="945"/>
      <c r="BG6" s="945"/>
      <c r="BH6" s="945"/>
      <c r="BI6" s="946"/>
      <c r="BJ6" s="945"/>
      <c r="BK6" s="945"/>
      <c r="BL6" s="944"/>
      <c r="BM6" s="943"/>
      <c r="BN6" s="950" t="s">
        <v>2638</v>
      </c>
      <c r="BO6" s="975"/>
      <c r="BP6" s="974"/>
      <c r="BQ6" s="942"/>
      <c r="BR6" s="942"/>
      <c r="BS6" s="942"/>
      <c r="BT6" s="942"/>
    </row>
    <row r="7" spans="2:72">
      <c r="B7" s="761">
        <v>1</v>
      </c>
      <c r="C7" s="888" t="str">
        <f>IF('Worksheet Common HVAC'!B16="","",'Worksheet Common HVAC'!B16)</f>
        <v>Ductless Mini-Split Heat Pumps</v>
      </c>
      <c r="D7" s="940" t="str">
        <f>IF('Worksheet Common HVAC'!C16="","",'Worksheet Common HVAC'!C16)</f>
        <v>&lt; 5.4 Tons</v>
      </c>
      <c r="E7" s="940" t="str">
        <f>IF('Worksheet Common HVAC'!E16="","",'Worksheet Common HVAC'!E16)</f>
        <v>All Types</v>
      </c>
      <c r="F7" s="940" t="str">
        <f>IF('Worksheet Common HVAC'!T16="","",'Worksheet Common HVAC'!T16)</f>
        <v>None</v>
      </c>
      <c r="G7" s="973">
        <f>IF('Worksheet Common HVAC'!V16="","",'Worksheet Common HVAC'!V16)</f>
        <v>3</v>
      </c>
      <c r="H7" s="892" t="str">
        <f t="shared" ref="H7:H31" si="0">C7&amp;" "&amp;D7&amp;" "&amp;E7</f>
        <v>Ductless Mini-Split Heat Pumps &lt; 5.4 Tons All Types</v>
      </c>
      <c r="I7" s="888">
        <f>IF('Worksheet Common HVAC'!H16="","",'Worksheet Common HVAC'!H16)</f>
        <v>1</v>
      </c>
      <c r="J7" s="941">
        <f>IF('Worksheet Common HVAC'!I16="","",'Worksheet Common HVAC'!I16)</f>
        <v>1</v>
      </c>
      <c r="K7" s="888">
        <f>IF(LEFT('Worksheet Common HVAC'!B16,4)="Room",'Common HVAC Calculation'!L7,IF('Worksheet Common HVAC'!J16="","",'Worksheet Common HVAC'!J16))</f>
        <v>20</v>
      </c>
      <c r="L7" s="940">
        <f>IF('Worksheet Common HVAC'!K16="","",'Worksheet Common HVAC'!K16)</f>
        <v>16</v>
      </c>
      <c r="M7" s="940">
        <f>IF($H7="  ","",IF('Worksheet Common HVAC'!L16="",0,'Worksheet Common HVAC'!L16))</f>
        <v>10</v>
      </c>
      <c r="N7" s="940">
        <f>IF($H7="  ","",IF('Worksheet Common HVAC'!M16="",0,'Worksheet Common HVAC'!M16))</f>
        <v>0</v>
      </c>
      <c r="O7" s="888">
        <f>IF(H7="  ","",INDEX(HVAC_T1T2ReferenceTable,MATCH(H7,'Common HVAC References'!$AX$4:$AX$45,0),2))</f>
        <v>15</v>
      </c>
      <c r="P7" s="940">
        <f t="shared" ref="P7:P31" si="1">IF($H7="  ","",VLOOKUP($H7,HVAC_T1T2ReferenceTable,3,FALSE))</f>
        <v>12.5</v>
      </c>
      <c r="Q7" s="940">
        <f t="shared" ref="Q7:Q31" si="2">IF($H7="  ","",VLOOKUP($H7,HVAC_T1T2ReferenceTable,4,FALSE))</f>
        <v>8.5</v>
      </c>
      <c r="R7" s="940">
        <f t="shared" ref="R7:R31" si="3">IF($H7="  ","",VLOOKUP($H7,HVAC_T1T2ReferenceTable,5,FALSE))</f>
        <v>0</v>
      </c>
      <c r="S7" s="940" t="str">
        <f>IF(LEFT(H7,4)="Room",'Common HVAC References'!$AT$4,"")</f>
        <v/>
      </c>
      <c r="T7" s="888" t="str">
        <f t="shared" ref="T7:T31" si="4">IF(AND(K7="",O7&lt;&gt;0),"",IF(K7&gt;=O7,"PASS","FAIL"))</f>
        <v>PASS</v>
      </c>
      <c r="U7" s="940" t="str">
        <f t="shared" ref="U7:U31" si="5">IF(AND(L7="",P7&lt;&gt;0),"",IF(L7&gt;=P7,"PASS","FAIL"))</f>
        <v>PASS</v>
      </c>
      <c r="V7" s="940" t="str">
        <f t="shared" ref="V7:V31" si="6">IF(AND(M7="",Q7&lt;&gt;0),"",IF(M7&gt;=Q7,"PASS","FAIL"))</f>
        <v>PASS</v>
      </c>
      <c r="W7" s="940" t="str">
        <f t="shared" ref="W7:W31" si="7">IF(AND(N7="",R7&lt;&gt;0),"",IF(N7&gt;=R7,"PASS","FAIL"))</f>
        <v>PASS</v>
      </c>
      <c r="X7" s="940" t="str">
        <f>IF(AND(N7="",R7&lt;&gt;0),"",IF(LEFT(H7,4)&lt;&gt;"Room","PASS",IF(LEFT(F7,4)&lt;&gt;"Room","FAIL",IF('Worksheet Common HVAC'!X16&lt;=S7,"PASS","FAIL"))))</f>
        <v>PASS</v>
      </c>
      <c r="Y7" s="892" t="str">
        <f t="shared" ref="Y7:Y31" si="8">IF(AND(T7="PASS",U7="PASS",V7="PASS",W7="PASS",X7="PASS"),"PASS","FAIL")</f>
        <v>PASS</v>
      </c>
      <c r="Z7" s="888" t="str">
        <f>'Common HVAC References'!$G$43</f>
        <v>Multifamily</v>
      </c>
      <c r="AA7" s="939">
        <f>IF(OR(Z7="",Z7="… please select …"),0,INDEX('Common HVAC References'!$H$22:$H$44,MATCH(Z7,'Common HVAC References'!$G$22:$G$44,0)))</f>
        <v>736</v>
      </c>
      <c r="AB7" s="938">
        <f>IF(OR(Z7="",Z7="… please select …"),0,INDEX('Common HVAC References'!$I$22:$I$44,MATCH(Z7,'Common HVAC References'!$G$22:$G$44,0)))</f>
        <v>681</v>
      </c>
      <c r="AF7" s="761">
        <v>1</v>
      </c>
      <c r="AG7" s="937" t="str">
        <f t="shared" ref="AG7:AG31" si="9">C7&amp;" "&amp;D7&amp;" "&amp;E7&amp;" "&amp;F7</f>
        <v>Ductless Mini-Split Heat Pumps &lt; 5.4 Tons All Types None</v>
      </c>
      <c r="AH7" s="937" t="str">
        <f>IF(OR('Worksheet Common HVAC'!$T16="",'Worksheet Common HVAC'!T16="None"),IF($H7="  ","","Baseline "&amp;INDEX('Common HVAC References'!$V$4:$V$44,MATCH($H7,'Common HVAC References'!$S$4:$S$44,0))),"Existing "&amp;'Worksheet Common HVAC'!$T16)</f>
        <v>Baseline Ductless Mini -Split Heat Pumps</v>
      </c>
      <c r="AI7" s="927" t="str">
        <f>IF(OR('Worksheet Common HVAC'!U16="",'Worksheet Common HVAC'!U16="None"),IF(I7="","","Baseline "&amp;INDEX('Common HVAC References'!$W$4:$W$44,MATCH($H7,'Common HVAC References'!$S$4:$S$44,0))),"Existing "&amp;'Worksheet Common HVAC'!U16)</f>
        <v>Baseline New Construction</v>
      </c>
      <c r="AJ7" s="936">
        <f>_xlfn.IFNA(IF(OR('Worksheet Common HVAC'!W16=0,'Worksheet Common HVAC'!W16=""),IF(OR(LEFT(H7,3)="pac",LEFT(H7,4)="Room"),0,INDEX('Common HVAC References'!$BK$5:$BK$44,MATCH(H7,'Common HVAC References'!$AX$5:$AX$44,0))),'Worksheet Common HVAC'!W16),"")</f>
        <v>13</v>
      </c>
      <c r="AK7" s="929">
        <f>IF(H7="  ","",IF('Worksheet Common HVAC'!X16="",IF(LEFT(H7,3)="Pac",(INDEX('Common HVAC References'!$BL$4:$BL$44,MATCH(H7,'Common HVAC References'!$AX$4:$AX$44,0)))-(0.3*I7*12000/1000),INDEX('Common HVAC References'!$BL$4:$BL$44,MATCH(H7,'Common HVAC References'!$AX$4:$AX$44,0))),'Worksheet Common HVAC'!X16))</f>
        <v>11.2</v>
      </c>
      <c r="AL7" s="1644">
        <f>IF(H7="  ","",IF(OR($AI7="Existing Gas",$AI7="Existing Oil",$AI7="Existing Propane",$AI7="Baseline New Construction"),0,IF(AND('Worksheet Common HVAC'!Z16=0,'Worksheet Common HVAC'!Y16=0),IF(LEFT(H7,3)="pac",0,INDEX('Common HVAC References'!$BM$4:$BM$44,MATCH(H7,'Common HVAC References'!$AX$4:$AX$44,0))),IF(AND('Worksheet Common HVAC'!Z16&gt;0,'Worksheet Common HVAC'!Y16=0),'Worksheet Common HVAC'!Z16*'Common HVAC References'!$B$45,'Worksheet Common HVAC'!Y16))))</f>
        <v>0</v>
      </c>
      <c r="AM7" s="1644">
        <f>IF($H7="  ","",IF(OR($AI7="Existing Gas",$AI7="Existing Oil",$AI7="Existing Propane",$AI7="Baseline New Construction"),0,IF(OR('Worksheet Common HVAC'!Z16="",'Worksheet Common HVAC'!Z16=0),IF(LEFT(H7,3)="Pac",(INDEX('Common HVAC References'!$BM$4:$BM$44,MATCH(H7,'Common HVAC References'!$AX$4:$AX$44,0)))-INDEX('Common HVAC References'!$BN$4:$BN$44,MATCH(H7,'Common HVAC References'!$AX$4:$AX$44,0))*I7*12000/1000,INDEX('Common HVAC References'!$BN$4:$BN$44,MATCH(H7,'Common HVAC References'!$AX$4:$AX$44,0))),'Worksheet Common HVAC'!Z16)))</f>
        <v>0</v>
      </c>
      <c r="AN7" s="1645">
        <f>IF($H7="  ","",IF(OR($AI7="Existing Gas",$AI7="Existing Oil",$AI7="Existing Propane", $AI7="Baseline New Construction"),IF(OR('Worksheet Common HVAC'!AA16="",'Worksheet Common HVAC'!AA16=0),INDEX('Common HVAC References'!$E$134:$E$138,MATCH(AI7,'Common HVAC References'!$D$134:$D$138,0)),'Worksheet Common HVAC'!AA16),0))</f>
        <v>0.8</v>
      </c>
      <c r="AO7" s="934">
        <f>IF(OR(LEFT(AI7,8)="Existing",RIGHT(AI7,16)="New Construction"),'Common HVAC References'!$B$29,1)</f>
        <v>0.8</v>
      </c>
      <c r="AP7" s="933">
        <f>'Common HVAC References'!$B$33</f>
        <v>15</v>
      </c>
      <c r="AQ7" s="932">
        <f>IF(AND(AK7&gt;0,L7&gt;0),ROUND((I7*12)*((1/AK7)-(1/L7)),'Common HVAC References'!$B$36),0)</f>
        <v>0.32142860000000001</v>
      </c>
      <c r="AR7" s="931">
        <f>IF(AND(AK7&gt;0,L7&gt;0),ROUND((J7*I7*12)*((1/AK7)-(1/L7)),'Common HVAC References'!$B$36),0)</f>
        <v>0.32142860000000001</v>
      </c>
      <c r="AS7" s="931">
        <f>IF(AND(AJ7=0,AK7=0),0,IF(AJ7&gt;0,ROUND((I7*12)*((1/AJ7)-(1/K7))*AA7,'Common HVAC References'!$B$39),ROUND((I7*12)*((1/AK7)-(1/L7))*AA7,'Common HVAC References'!$B$39)))</f>
        <v>237.78461999999999</v>
      </c>
      <c r="AT7" s="931">
        <f>AS7*'Common HVAC References'!$B$25</f>
        <v>0.81132112343999996</v>
      </c>
      <c r="AU7" s="931">
        <f t="shared" ref="AU7:AU31" si="10">IF(OR(AN7=0,G7=1,G7=2),0,(I7*12000/AN7)*AB7*AO7/1000000)</f>
        <v>8.1720000000000006</v>
      </c>
      <c r="AV7" s="932">
        <f>IF(AND(N7&gt;0,AM7&gt;0,N7&lt;&gt;""),ROUND((I7*12)*((1/(AM7))-(1/(N7))),'Common HVAC References'!$B$36),IF(AND(M7&gt;0,AL7&gt;0,M7&lt;&gt;""),ROUND((I7*12)*(1/(AL7/3.412))-(1/(M7/3.412)),'Common HVAC References'!$B$36),IF(AND(N7&gt;0,N7&lt;&gt;""),ROUND((I7*12)*-(1/(N7/3.412)),'Common HVAC References'!$B$36),IF(AND(M7&gt;0,M7&lt;&gt;""),ROUND((I7*12)*-(1/(M7/3.412)),'Common HVAC References'!$B$36),0))))</f>
        <v>-4.0944000000000003</v>
      </c>
      <c r="AW7" s="931">
        <f t="shared" ref="AW7:AW31" si="11">AV7*J7</f>
        <v>-4.0944000000000003</v>
      </c>
      <c r="AX7" s="931">
        <f>ROUND(AU7*AN7*AP7,'Common HVAC References'!$B$39)</f>
        <v>98.063999999999993</v>
      </c>
      <c r="AY7" s="931">
        <f>IF(AND(AL7&gt;0,M7&gt;0),ROUND((I7*12)*((1/AL7)-(1/M7))*AB7*AO7,'Common HVAC References'!$B$39),IF(AND(AM7&gt;0,N7&gt;0),ROUND((I7*12)*((1/AM7)-(1/N7))*AB7*AO7/3.413,'Common HVAC References'!$B$39),0))</f>
        <v>0</v>
      </c>
      <c r="AZ7" s="931">
        <f>IF(AND(OR($AI7="Existing Gas",$AI7="Existing Oil",$AI7="Existing Propane",$AI7="Baseline New Construction"),RIGHT(C7,10)="Heat Pumps"),IF(AND(M7&gt;0,M7&lt;&gt;""),ROUND(((I7*12)*((1/M7))*AB7*AO7)-AX7,'Common HVAC References'!$B$39),IF(AND(N7&gt;0,N7&lt;&gt;""),ROUND(((I7*12)*((1/N7))*AB7*AO7/3.412)-AX7,'Common HVAC References'!$B$39),0)),0)</f>
        <v>555.69600000000003</v>
      </c>
      <c r="BA7" s="931">
        <f>(AY7*'Common HVAC References'!$B$25)-(AZ7*'Common HVAC References'!$B$25)</f>
        <v>-1.896034752</v>
      </c>
      <c r="BB7" s="931">
        <f t="shared" ref="BB7:BB31" si="12">BA7+AU7</f>
        <v>6.2759652480000003</v>
      </c>
      <c r="BC7" s="931">
        <f t="shared" ref="BC7:BC31" si="13">AS7+AY7-AZ7</f>
        <v>-317.91138000000001</v>
      </c>
      <c r="BD7" s="929">
        <f>AS7*J7</f>
        <v>237.78461999999999</v>
      </c>
      <c r="BE7" s="929">
        <f t="shared" ref="BE7:BE31" si="14">(AY7-AZ7)*J7</f>
        <v>-555.69600000000003</v>
      </c>
      <c r="BF7" s="929">
        <f t="shared" ref="BF7:BF31" si="15">BD7+BE7</f>
        <v>-317.91138000000001</v>
      </c>
      <c r="BG7" s="929">
        <f t="shared" ref="BG7:BG31" si="16">AT7*J7</f>
        <v>0.81132112343999996</v>
      </c>
      <c r="BH7" s="929">
        <f t="shared" ref="BH7:BH31" si="17">BB7*J7</f>
        <v>6.2759652480000003</v>
      </c>
      <c r="BI7" s="930">
        <f t="shared" ref="BI7:BI31" si="18">BG7+BH7</f>
        <v>7.0872863714400003</v>
      </c>
      <c r="BJ7" s="929">
        <f t="shared" ref="BJ7:BJ31" si="19">AS7+IF(AY7&gt;0,AY7,0)</f>
        <v>237.78461999999999</v>
      </c>
      <c r="BK7" s="929">
        <f t="shared" ref="BK7:BK31" si="20">BD7+IF(BE7&gt;0,BE7,0)</f>
        <v>237.78461999999999</v>
      </c>
      <c r="BL7" s="972">
        <f>IF(Y7="FAIL",0,VLOOKUP(H7,T1T2_ReferenceTable,6,FALSE)*BJ7)</f>
        <v>475.56923999999998</v>
      </c>
      <c r="BM7" s="928">
        <f t="shared" ref="BM7:BM31" si="21">IF(Y7="PASS",BL7*J7,0)</f>
        <v>475.56923999999998</v>
      </c>
      <c r="BN7" s="761">
        <v>1</v>
      </c>
      <c r="BO7" s="971" t="str">
        <f t="shared" ref="BO7:BO31" si="22">H7</f>
        <v>Ductless Mini-Split Heat Pumps &lt; 5.4 Tons All Types</v>
      </c>
      <c r="BP7" s="970" t="str">
        <f t="shared" ref="BP7:BP31" si="23">IF(AND(Y7="PASS",AND(RIGHT(C7,18)&lt;&gt;"Climate Heat Pumps",LEFT(C7,4)&lt;&gt;"Cold")),IF(LEFT(H7,4)="Room","Tier 0","Tier 1"),"")</f>
        <v>Tier 1</v>
      </c>
      <c r="BQ7" s="927" t="str">
        <f t="shared" ref="BQ7:BQ31" si="24">BO7&amp;" "&amp;BP7</f>
        <v>Ductless Mini-Split Heat Pumps &lt; 5.4 Tons All Types Tier 1</v>
      </c>
      <c r="BR7" s="927" t="str">
        <f>IF(Y7="FAIL","",INDEX('Common HVAC References'!$AG$4:$AG$82,MATCH('Common HVAC Calculation'!BQ7,'Common HVAC References'!$AF$4:$AF$82,0)))</f>
        <v>HP101</v>
      </c>
      <c r="BS7" s="969">
        <f>BK7*'Common HVAC References'!$F$137</f>
        <v>27851.807178878757</v>
      </c>
      <c r="BT7" s="969" t="e">
        <f>-AZ7*'Common HVAC References'!$F$137+AU7*INDEX('Common HVAC References'!$F$134:$F$140,MATCH(IF(LEFT(AI7,8)="Baseline",LEFT(AI7,8),AI7),'Common HVAC References'!$D$134:$D$140,0))</f>
        <v>#N/A</v>
      </c>
    </row>
    <row r="8" spans="2:72">
      <c r="B8" s="761">
        <v>2</v>
      </c>
      <c r="C8" s="888" t="str">
        <f>IF('Worksheet Common HVAC'!B17="","",'Worksheet Common HVAC'!B17)</f>
        <v/>
      </c>
      <c r="D8" s="940" t="str">
        <f>IF('Worksheet Common HVAC'!C17="","",'Worksheet Common HVAC'!C17)</f>
        <v/>
      </c>
      <c r="E8" s="940" t="str">
        <f>IF('Worksheet Common HVAC'!E17="","",'Worksheet Common HVAC'!E17)</f>
        <v/>
      </c>
      <c r="F8" s="940" t="str">
        <f>IF('Worksheet Common HVAC'!T17="","",'Worksheet Common HVAC'!T17)</f>
        <v/>
      </c>
      <c r="G8" s="973" t="str">
        <f>IF('Worksheet Common HVAC'!V17="","",'Worksheet Common HVAC'!V17)</f>
        <v/>
      </c>
      <c r="H8" s="892" t="str">
        <f t="shared" si="0"/>
        <v xml:space="preserve">  </v>
      </c>
      <c r="I8" s="888" t="str">
        <f>IF('Worksheet Common HVAC'!H17="","",'Worksheet Common HVAC'!H17)</f>
        <v/>
      </c>
      <c r="J8" s="941" t="str">
        <f>IF('Worksheet Common HVAC'!I17="","",'Worksheet Common HVAC'!I17)</f>
        <v/>
      </c>
      <c r="K8" s="888" t="str">
        <f>IF(LEFT('Worksheet Common HVAC'!B17,4)="Room",'Common HVAC Calculation'!L8,IF('Worksheet Common HVAC'!J17="","",'Worksheet Common HVAC'!J17))</f>
        <v/>
      </c>
      <c r="L8" s="940" t="str">
        <f>IF('Worksheet Common HVAC'!K17="","",'Worksheet Common HVAC'!K17)</f>
        <v/>
      </c>
      <c r="M8" s="940" t="str">
        <f>IF($H8="  ","",IF('Worksheet Common HVAC'!L17="",0,'Worksheet Common HVAC'!L17))</f>
        <v/>
      </c>
      <c r="N8" s="940" t="str">
        <f>IF($H8="  ","",IF('Worksheet Common HVAC'!M17="",0,'Worksheet Common HVAC'!M17))</f>
        <v/>
      </c>
      <c r="O8" s="888" t="str">
        <f>IF(H8="  ","",INDEX(HVAC_T1T2ReferenceTable,MATCH(H8,'Common HVAC References'!$AX$4:$AX$45,0),2))</f>
        <v/>
      </c>
      <c r="P8" s="940" t="str">
        <f t="shared" si="1"/>
        <v/>
      </c>
      <c r="Q8" s="940" t="str">
        <f t="shared" si="2"/>
        <v/>
      </c>
      <c r="R8" s="940" t="str">
        <f t="shared" si="3"/>
        <v/>
      </c>
      <c r="S8" s="940" t="str">
        <f>IF(LEFT(H8,4)="Room",'Common HVAC References'!$AT$4,"")</f>
        <v/>
      </c>
      <c r="T8" s="888" t="str">
        <f t="shared" si="4"/>
        <v/>
      </c>
      <c r="U8" s="940" t="str">
        <f t="shared" si="5"/>
        <v/>
      </c>
      <c r="V8" s="940" t="str">
        <f t="shared" si="6"/>
        <v/>
      </c>
      <c r="W8" s="940" t="str">
        <f t="shared" si="7"/>
        <v/>
      </c>
      <c r="X8" s="940" t="str">
        <f>IF(AND(N8="",R8&lt;&gt;0),"",IF(LEFT(H8,4)&lt;&gt;"Room","PASS",IF(LEFT(F8,4)&lt;&gt;"Room","FAIL",IF('Worksheet Common HVAC'!X17&lt;=S8,"PASS","FAIL"))))</f>
        <v/>
      </c>
      <c r="Y8" s="892" t="str">
        <f t="shared" si="8"/>
        <v>FAIL</v>
      </c>
      <c r="Z8" s="888" t="str">
        <f>'Common HVAC References'!$G$43</f>
        <v>Multifamily</v>
      </c>
      <c r="AA8" s="939">
        <f>IF(OR(Z8="",Z8="… please select …"),0,INDEX('Common HVAC References'!$H$22:$H$44,MATCH(Z8,'Common HVAC References'!$G$22:$G$44,0)))</f>
        <v>736</v>
      </c>
      <c r="AB8" s="938">
        <f>IF(OR(Z8="",Z8="… please select …"),0,INDEX('Common HVAC References'!$I$22:$I$44,MATCH(Z8,'Common HVAC References'!$G$22:$G$44,0)))</f>
        <v>681</v>
      </c>
      <c r="AF8" s="926">
        <v>2</v>
      </c>
      <c r="AG8" s="937" t="str">
        <f t="shared" si="9"/>
        <v xml:space="preserve">   </v>
      </c>
      <c r="AH8" s="937" t="str">
        <f>IF(OR('Worksheet Common HVAC'!$T17="",'Worksheet Common HVAC'!T17="None"),IF($H8="  ","","Baseline "&amp;INDEX('Common HVAC References'!$V$4:$V$43,MATCH($H8,'Common HVAC References'!$S$4:$S$43,0))),"Existing "&amp;'Worksheet Common HVAC'!$T17)</f>
        <v/>
      </c>
      <c r="AI8" s="927" t="str">
        <f>IF(OR('Worksheet Common HVAC'!U17="",'Worksheet Common HVAC'!U17="None"),IF(I8="","","Baseline "&amp;INDEX('Common HVAC References'!$W$4:$W$44,MATCH($H8,'Common HVAC References'!$S$4:$S$44,0))),"Existing "&amp;'Worksheet Common HVAC'!U17)</f>
        <v/>
      </c>
      <c r="AJ8" s="936" t="str">
        <f>_xlfn.IFNA(IF(OR('Worksheet Common HVAC'!W17=0,'Worksheet Common HVAC'!W17=""),IF(OR(LEFT(H8,3)="pac",LEFT(H8,4)="Room"),0,INDEX('Common HVAC References'!$BK$5:$BK$44,MATCH(H8,'Common HVAC References'!$AX$5:$AX$44,0))),'Worksheet Common HVAC'!W17),"")</f>
        <v/>
      </c>
      <c r="AK8" s="929" t="str">
        <f>IF(H8="  ","",IF('Worksheet Common HVAC'!X17="",IF(LEFT(H8,3)="Pac",(INDEX('Common HVAC References'!$BL$4:$BL$44,MATCH(H8,'Common HVAC References'!$AX$4:$AX$44,0)))-(0.3*I8*12000/1000),INDEX('Common HVAC References'!$BL$4:$BL$44,MATCH(H8,'Common HVAC References'!$AX$4:$AX$44,0))),'Worksheet Common HVAC'!X17))</f>
        <v/>
      </c>
      <c r="AL8" s="1644" t="str">
        <f>IF(H8="  ","",IF(OR($AI8="Existing Gas",$AI8="Existing Oil",$AI8="Existing Propane",$AI8="New Construction"),0,IF(AND('Worksheet Common HVAC'!Z17=0,'Worksheet Common HVAC'!Y17=0),IF(LEFT(H8,3)="pac",0,INDEX('Common HVAC References'!$BM$4:$BM$44,MATCH(H8,'Common HVAC References'!$AX$4:$AX$44,0))),IF(AND('Worksheet Common HVAC'!Z17&gt;0,'Worksheet Common HVAC'!Y17=0),'Worksheet Common HVAC'!Z17*'Common HVAC References'!$B$45,'Worksheet Common HVAC'!Y17))))</f>
        <v/>
      </c>
      <c r="AM8" s="929" t="str">
        <f>IF($H8="  ","",IF(OR($AI8="Existing Gas",$AI8="Existing Oil",$AI8="Existing Propane",$AI8="Baseline New Construction"),0,IF(OR('Worksheet Common HVAC'!Z17="",'Worksheet Common HVAC'!Z17=0),IF(LEFT(H8,3)="Pac",(INDEX('Common HVAC References'!$BM$4:$BM$44,MATCH(H8,'Common HVAC References'!$AX$4:$AX$44,0)))-INDEX('Common HVAC References'!$BN$4:$BN$44,MATCH(H8,'Common HVAC References'!$AX$4:$AX$44,0))*I8*12000/1000,INDEX('Common HVAC References'!$BN$4:$BN$44,MATCH(H8,'Common HVAC References'!$AX$4:$AX$44,0))),'Worksheet Common HVAC'!Z17)))</f>
        <v/>
      </c>
      <c r="AN8" s="935" t="str">
        <f>IF($H8="  ","",IF(OR($AI8="Existing Gas",$AI8="Existing Oil",$AI8="Existing Propane", $AI8="Baseline New Construction"),IF(OR('Worksheet Common HVAC'!AA17="",'Worksheet Common HVAC'!AA17=0),INDEX('Common HVAC References'!$E$134:$E$138,MATCH(AI8,'Common HVAC References'!$D$134:$D$138,0)),'Worksheet Common HVAC'!AA17),0))</f>
        <v/>
      </c>
      <c r="AO8" s="934">
        <f>IF(OR(LEFT(AI8,8)="Existing",RIGHT(AI8,16)="New Construction"),'Common HVAC References'!$B$29,1)</f>
        <v>1</v>
      </c>
      <c r="AP8" s="933">
        <f>'Common HVAC References'!$B$33</f>
        <v>15</v>
      </c>
      <c r="AQ8" s="932" t="e">
        <f>IF(AND(AK8&gt;0,L8&gt;0),ROUND((I8*12)*((1/AK8)-(1/L8)),'Common HVAC References'!$B$36),0)</f>
        <v>#VALUE!</v>
      </c>
      <c r="AR8" s="931" t="e">
        <f>IF(AND(AK8&gt;0,L8&gt;0),ROUND((J8*I8*12)*((1/AK8)-(1/L8)),'Common HVAC References'!$B$36),0)</f>
        <v>#VALUE!</v>
      </c>
      <c r="AS8" s="931" t="e">
        <f>IF(AND(AJ8=0,AK8=0),0,IF(AJ8&gt;0,ROUND((I8*12)*((1/AJ8)-(1/K8))*AA8,'Common HVAC References'!$B$39),ROUND((I8*12)*((1/AK8)-(1/L8))*AA8,'Common HVAC References'!$B$39)))</f>
        <v>#VALUE!</v>
      </c>
      <c r="AT8" s="931" t="e">
        <f>AS8*'Common HVAC References'!$B$25</f>
        <v>#VALUE!</v>
      </c>
      <c r="AU8" s="931" t="e">
        <f t="shared" si="10"/>
        <v>#VALUE!</v>
      </c>
      <c r="AV8" s="932">
        <f>IF(AND(N8&gt;0,AM8&gt;0,N8&lt;&gt;""),ROUND((I8*12)*((1/(AM8))-(1/(N8))),'Common HVAC References'!$B$36),IF(AND(M8&gt;0,AL8&gt;0,M8&lt;&gt;""),ROUND((I8*12)*(1/(AL8/3.412))-(1/(M8/3.412)),'Common HVAC References'!$B$36),IF(AND(N8&gt;0,N8&lt;&gt;""),ROUND((I8*12)*-(1/(N8/3.412)),'Common HVAC References'!$B$36),IF(AND(M8&gt;0,M8&lt;&gt;""),ROUND((I8*12)*-(1/(M8/3.412)),'Common HVAC References'!$B$36),0))))</f>
        <v>0</v>
      </c>
      <c r="AW8" s="931" t="e">
        <f t="shared" si="11"/>
        <v>#VALUE!</v>
      </c>
      <c r="AX8" s="931" t="e">
        <f>ROUND(AU8*AN8*AP8,'Common HVAC References'!$B$39)</f>
        <v>#VALUE!</v>
      </c>
      <c r="AY8" s="931" t="e">
        <f>IF(AND(AL8&gt;0,M8&gt;0),ROUND((I8*12)*((1/AL8)-(1/M8))*AB8*AO8,'Common HVAC References'!$B$39),IF(AND(AM8&gt;0,N8&gt;0),ROUND((I8*12)*((1/AM8)-(1/N8))*AB8*AO8/3.413,'Common HVAC References'!$B$39),0))</f>
        <v>#VALUE!</v>
      </c>
      <c r="AZ8" s="931">
        <f>IF(AND(OR($AI8="Existing Gas",$AI8="Existing Oil",$AI8="Existing Propane",$AI8="Baseline New Construction"),RIGHT(C8,10)="Heat Pumps"),IF(AND(M8&gt;0,M8&lt;&gt;""),ROUND(((I8*12)*((1/M8))*AB8*AO8)-AX8,'Common HVAC References'!$B$39),IF(AND(N8&gt;0,N8&lt;&gt;""),ROUND(((I8*12)*((1/N8))*AB8*AO8/3.412)-AX8,'Common HVAC References'!$B$39),0)),0)</f>
        <v>0</v>
      </c>
      <c r="BA8" s="931" t="e">
        <f>(AY8*'Common HVAC References'!$B$25)-(AZ8*'Common HVAC References'!$B$25)</f>
        <v>#VALUE!</v>
      </c>
      <c r="BB8" s="931" t="e">
        <f t="shared" si="12"/>
        <v>#VALUE!</v>
      </c>
      <c r="BC8" s="931" t="e">
        <f t="shared" si="13"/>
        <v>#VALUE!</v>
      </c>
      <c r="BD8" s="929" t="e">
        <f t="shared" ref="BD8:BD31" si="25">IF(AND(AJ8&gt;0,K8&gt;0),ROUND((J8*I8*12)*((1/AJ8)-(1/K8))*AA8,1),IF(AND(AK8&gt;0,L8&gt;0),ROUND((J8*I8*12)*((1/AK8)-(1/L8))*AA8,1),0))</f>
        <v>#VALUE!</v>
      </c>
      <c r="BE8" s="929" t="e">
        <f t="shared" si="14"/>
        <v>#VALUE!</v>
      </c>
      <c r="BF8" s="929" t="e">
        <f t="shared" si="15"/>
        <v>#VALUE!</v>
      </c>
      <c r="BG8" s="929" t="e">
        <f t="shared" si="16"/>
        <v>#VALUE!</v>
      </c>
      <c r="BH8" s="929" t="e">
        <f t="shared" si="17"/>
        <v>#VALUE!</v>
      </c>
      <c r="BI8" s="930" t="e">
        <f t="shared" si="18"/>
        <v>#VALUE!</v>
      </c>
      <c r="BJ8" s="929" t="e">
        <f t="shared" si="19"/>
        <v>#VALUE!</v>
      </c>
      <c r="BK8" s="929" t="e">
        <f t="shared" si="20"/>
        <v>#VALUE!</v>
      </c>
      <c r="BL8" s="972">
        <f t="shared" ref="BL8:BL31" si="26">IF(Y8="FAIL",0,VLOOKUP(H8,T1T2_ReferenceTable,6,FALSE)*BJ8)</f>
        <v>0</v>
      </c>
      <c r="BM8" s="928">
        <f t="shared" si="21"/>
        <v>0</v>
      </c>
      <c r="BN8" s="926">
        <v>2</v>
      </c>
      <c r="BO8" s="971" t="str">
        <f t="shared" si="22"/>
        <v xml:space="preserve">  </v>
      </c>
      <c r="BP8" s="970" t="str">
        <f t="shared" si="23"/>
        <v/>
      </c>
      <c r="BQ8" s="927" t="str">
        <f t="shared" si="24"/>
        <v xml:space="preserve">   </v>
      </c>
      <c r="BR8" s="927" t="str">
        <f>IF(Y8="FAIL","",INDEX('Common HVAC References'!$AG$4:$AG$82,MATCH('Common HVAC Calculation'!BQ8,'Common HVAC References'!$AF$4:$AF$82,0)))</f>
        <v/>
      </c>
      <c r="BS8" s="969" t="e">
        <f>BK8*'Common HVAC References'!$F$137</f>
        <v>#VALUE!</v>
      </c>
      <c r="BT8" s="969" t="e">
        <f>-AZ8*'Common HVAC References'!$F$137+AU8*INDEX('Common HVAC References'!$F$134:$F$140,MATCH(IF(LEFT(AI8,8)="Baseline",LEFT(AI8,8),AI8),'Common HVAC References'!$D$134:$D$140,0))</f>
        <v>#VALUE!</v>
      </c>
    </row>
    <row r="9" spans="2:72">
      <c r="B9" s="761">
        <v>3</v>
      </c>
      <c r="C9" s="888" t="str">
        <f>IF('Worksheet Common HVAC'!B18="","",'Worksheet Common HVAC'!B18)</f>
        <v/>
      </c>
      <c r="D9" s="940" t="str">
        <f>IF('Worksheet Common HVAC'!C18="","",'Worksheet Common HVAC'!C18)</f>
        <v/>
      </c>
      <c r="E9" s="940" t="str">
        <f>IF('Worksheet Common HVAC'!E18="","",'Worksheet Common HVAC'!E18)</f>
        <v/>
      </c>
      <c r="F9" s="940" t="str">
        <f>IF('Worksheet Common HVAC'!T18="","",'Worksheet Common HVAC'!T18)</f>
        <v/>
      </c>
      <c r="G9" s="973" t="str">
        <f>IF('Worksheet Common HVAC'!V18="","",'Worksheet Common HVAC'!V18)</f>
        <v/>
      </c>
      <c r="H9" s="892" t="str">
        <f t="shared" si="0"/>
        <v xml:space="preserve">  </v>
      </c>
      <c r="I9" s="888" t="str">
        <f>IF('Worksheet Common HVAC'!H18="","",'Worksheet Common HVAC'!H18)</f>
        <v/>
      </c>
      <c r="J9" s="941" t="str">
        <f>IF('Worksheet Common HVAC'!I18="","",'Worksheet Common HVAC'!I18)</f>
        <v/>
      </c>
      <c r="K9" s="888" t="str">
        <f>IF(LEFT('Worksheet Common HVAC'!B18,4)="Room",'Common HVAC Calculation'!L9,IF('Worksheet Common HVAC'!J18="","",'Worksheet Common HVAC'!J18))</f>
        <v/>
      </c>
      <c r="L9" s="940" t="str">
        <f>IF('Worksheet Common HVAC'!K18="","",'Worksheet Common HVAC'!K18)</f>
        <v/>
      </c>
      <c r="M9" s="940" t="str">
        <f>IF($H9="  ","",IF('Worksheet Common HVAC'!L18="",0,'Worksheet Common HVAC'!L18))</f>
        <v/>
      </c>
      <c r="N9" s="940" t="str">
        <f>IF($H9="  ","",IF('Worksheet Common HVAC'!M18="",0,'Worksheet Common HVAC'!M18))</f>
        <v/>
      </c>
      <c r="O9" s="888" t="str">
        <f>IF(H9="  ","",INDEX(HVAC_T1T2ReferenceTable,MATCH(H9,'Common HVAC References'!$AX$4:$AX$45,0),2))</f>
        <v/>
      </c>
      <c r="P9" s="940" t="str">
        <f t="shared" si="1"/>
        <v/>
      </c>
      <c r="Q9" s="940" t="str">
        <f t="shared" si="2"/>
        <v/>
      </c>
      <c r="R9" s="940" t="str">
        <f t="shared" si="3"/>
        <v/>
      </c>
      <c r="S9" s="940" t="str">
        <f>IF(LEFT(H9,4)="Room",'Common HVAC References'!$AT$4,"")</f>
        <v/>
      </c>
      <c r="T9" s="888" t="str">
        <f t="shared" si="4"/>
        <v/>
      </c>
      <c r="U9" s="940" t="str">
        <f t="shared" si="5"/>
        <v/>
      </c>
      <c r="V9" s="940" t="str">
        <f t="shared" si="6"/>
        <v/>
      </c>
      <c r="W9" s="940" t="str">
        <f t="shared" si="7"/>
        <v/>
      </c>
      <c r="X9" s="940" t="str">
        <f>IF(AND(N9="",R9&lt;&gt;0),"",IF(LEFT(H9,4)&lt;&gt;"Room","PASS",IF(LEFT(F9,4)&lt;&gt;"Room","FAIL",IF('Worksheet Common HVAC'!X18&lt;=S9,"PASS","FAIL"))))</f>
        <v/>
      </c>
      <c r="Y9" s="892" t="str">
        <f t="shared" si="8"/>
        <v>FAIL</v>
      </c>
      <c r="Z9" s="888" t="str">
        <f>'Common HVAC References'!$G$43</f>
        <v>Multifamily</v>
      </c>
      <c r="AA9" s="939">
        <f>IF(OR(Z9="",Z9="… please select …"),0,INDEX('Common HVAC References'!$H$22:$H$44,MATCH(Z9,'Common HVAC References'!$G$22:$G$44,0)))</f>
        <v>736</v>
      </c>
      <c r="AB9" s="938">
        <f>IF(OR(Z9="",Z9="… please select …"),0,INDEX('Common HVAC References'!$I$22:$I$44,MATCH(Z9,'Common HVAC References'!$G$22:$G$44,0)))</f>
        <v>681</v>
      </c>
      <c r="AF9" s="926">
        <v>3</v>
      </c>
      <c r="AG9" s="937" t="str">
        <f t="shared" si="9"/>
        <v xml:space="preserve">   </v>
      </c>
      <c r="AH9" s="937" t="str">
        <f>IF(OR('Worksheet Common HVAC'!$T18="",'Worksheet Common HVAC'!T18="None"),IF($H9="  ","","Baseline "&amp;INDEX('Common HVAC References'!$V$4:$V$43,MATCH($H9,'Common HVAC References'!$S$4:$S$43,0))),"Existing "&amp;'Worksheet Common HVAC'!$T18)</f>
        <v/>
      </c>
      <c r="AI9" s="927" t="str">
        <f>IF(OR('Worksheet Common HVAC'!U18="",'Worksheet Common HVAC'!U18="None"),IF(I9="","","Baseline "&amp;INDEX('Common HVAC References'!$W$4:$W$44,MATCH($H9,'Common HVAC References'!$S$4:$S$44,0))),"Existing "&amp;'Worksheet Common HVAC'!U18)</f>
        <v/>
      </c>
      <c r="AJ9" s="936" t="str">
        <f>_xlfn.IFNA(IF(OR('Worksheet Common HVAC'!W18=0,'Worksheet Common HVAC'!W18=""),IF(OR(LEFT(H9,3)="pac",LEFT(H9,4)="Room"),0,INDEX('Common HVAC References'!$BK$5:$BK$44,MATCH(H9,'Common HVAC References'!$AX$5:$AX$44,0))),'Worksheet Common HVAC'!W18),"")</f>
        <v/>
      </c>
      <c r="AK9" s="929" t="str">
        <f>IF(H9="  ","",IF('Worksheet Common HVAC'!X18="",IF(LEFT(H9,3)="Pac",(INDEX('Common HVAC References'!$BL$4:$BL$44,MATCH(H9,'Common HVAC References'!$AX$4:$AX$44,0)))-(0.3*I9*12000/1000),INDEX('Common HVAC References'!$BL$4:$BL$44,MATCH(H9,'Common HVAC References'!$AX$4:$AX$44,0))),'Worksheet Common HVAC'!X18))</f>
        <v/>
      </c>
      <c r="AL9" s="1644" t="str">
        <f>IF(H9="  ","",IF(OR($AI9="Existing Gas",$AI9="Existing Oil",$AI9="Existing Propane",$AI9="New Construction"),0,IF(AND('Worksheet Common HVAC'!Z18=0,'Worksheet Common HVAC'!Y18=0),IF(LEFT(H9,3)="pac",0,INDEX('Common HVAC References'!$BM$4:$BM$44,MATCH(H9,'Common HVAC References'!$AX$4:$AX$44,0))),IF(AND('Worksheet Common HVAC'!Z18&gt;0,'Worksheet Common HVAC'!Y18=0),'Worksheet Common HVAC'!Z18*'Common HVAC References'!$B$45,'Worksheet Common HVAC'!Y18))))</f>
        <v/>
      </c>
      <c r="AM9" s="929" t="str">
        <f>IF($H9="  ","",IF(OR($AI9="Existing Gas",$AI9="Existing Oil",$AI9="Existing Propane",$AI9="Baseline New Construction"),0,IF(OR('Worksheet Common HVAC'!Z18="",'Worksheet Common HVAC'!Z18=0),IF(LEFT(H9,3)="Pac",(INDEX('Common HVAC References'!$BM$4:$BM$44,MATCH(H9,'Common HVAC References'!$AX$4:$AX$44,0)))-INDEX('Common HVAC References'!$BN$4:$BN$44,MATCH(H9,'Common HVAC References'!$AX$4:$AX$44,0))*I9*12000/1000,INDEX('Common HVAC References'!$BN$4:$BN$44,MATCH(H9,'Common HVAC References'!$AX$4:$AX$44,0))),'Worksheet Common HVAC'!Z18)))</f>
        <v/>
      </c>
      <c r="AN9" s="935" t="str">
        <f>IF($H9="  ","",IF(OR($AI9="Existing Gas",$AI9="Existing Oil",$AI9="Existing Propane", $AI9="Baseline New Construction"),IF(OR('Worksheet Common HVAC'!AA18="",'Worksheet Common HVAC'!AA18=0),INDEX('Common HVAC References'!$E$134:$E$138,MATCH(AI9,'Common HVAC References'!$D$134:$D$138,0)),'Worksheet Common HVAC'!AA18),0))</f>
        <v/>
      </c>
      <c r="AO9" s="934">
        <f>IF(OR(LEFT(AI9,8)="Existing",RIGHT(AI9,16)="New Construction"),'Common HVAC References'!$B$29,1)</f>
        <v>1</v>
      </c>
      <c r="AP9" s="933">
        <f>'Common HVAC References'!$B$33</f>
        <v>15</v>
      </c>
      <c r="AQ9" s="932" t="e">
        <f>IF(AND(AK9&gt;0,L9&gt;0),ROUND((I9*12)*((1/AK9)-(1/L9)),'Common HVAC References'!$B$36),0)</f>
        <v>#VALUE!</v>
      </c>
      <c r="AR9" s="931" t="e">
        <f>IF(AND(AK9&gt;0,L9&gt;0),ROUND((J9*I9*12)*((1/AK9)-(1/L9)),'Common HVAC References'!$B$36),0)</f>
        <v>#VALUE!</v>
      </c>
      <c r="AS9" s="931" t="e">
        <f>IF(AND(AJ9=0,AK9=0),0,IF(AJ9&gt;0,ROUND((I9*12)*((1/AJ9)-(1/K9))*AA9,'Common HVAC References'!$B$39),ROUND((I9*12)*((1/AK9)-(1/L9))*AA9,'Common HVAC References'!$B$39)))</f>
        <v>#VALUE!</v>
      </c>
      <c r="AT9" s="931" t="e">
        <f>AS9*'Common HVAC References'!$B$25</f>
        <v>#VALUE!</v>
      </c>
      <c r="AU9" s="931" t="e">
        <f t="shared" si="10"/>
        <v>#VALUE!</v>
      </c>
      <c r="AV9" s="932">
        <f>IF(AND(N9&gt;0,AM9&gt;0,N9&lt;&gt;""),ROUND((I9*12)*((1/(AM9))-(1/(N9))),'Common HVAC References'!$B$36),IF(AND(M9&gt;0,AL9&gt;0,M9&lt;&gt;""),ROUND((I9*12)*(1/(AL9/3.412))-(1/(M9/3.412)),'Common HVAC References'!$B$36),IF(AND(N9&gt;0,N9&lt;&gt;""),ROUND((I9*12)*-(1/(N9/3.412)),'Common HVAC References'!$B$36),IF(AND(M9&gt;0,M9&lt;&gt;""),ROUND((I9*12)*-(1/(M9/3.412)),'Common HVAC References'!$B$36),0))))</f>
        <v>0</v>
      </c>
      <c r="AW9" s="931" t="e">
        <f t="shared" si="11"/>
        <v>#VALUE!</v>
      </c>
      <c r="AX9" s="931" t="e">
        <f>ROUND(AU9*AN9*AP9,'Common HVAC References'!$B$39)</f>
        <v>#VALUE!</v>
      </c>
      <c r="AY9" s="931" t="e">
        <f>IF(AND(AL9&gt;0,M9&gt;0),ROUND((I9*12)*((1/AL9)-(1/M9))*AB9*AO9,'Common HVAC References'!$B$39),IF(AND(AM9&gt;0,N9&gt;0),ROUND((I9*12)*((1/AM9)-(1/N9))*AB9*AO9/3.413,'Common HVAC References'!$B$39),0))</f>
        <v>#VALUE!</v>
      </c>
      <c r="AZ9" s="931">
        <f>IF(AND(OR($AI9="Existing Gas",$AI9="Existing Oil",$AI9="Existing Propane",$AI9="Baseline New Construction"),RIGHT(C9,10)="Heat Pumps"),IF(AND(M9&gt;0,M9&lt;&gt;""),ROUND(((I9*12)*((1/M9))*AB9*AO9)-AX9,'Common HVAC References'!$B$39),IF(AND(N9&gt;0,N9&lt;&gt;""),ROUND(((I9*12)*((1/N9))*AB9*AO9/3.412)-AX9,'Common HVAC References'!$B$39),0)),0)</f>
        <v>0</v>
      </c>
      <c r="BA9" s="931" t="e">
        <f>(AY9*'Common HVAC References'!$B$25)-(AZ9*'Common HVAC References'!$B$25)</f>
        <v>#VALUE!</v>
      </c>
      <c r="BB9" s="931" t="e">
        <f t="shared" si="12"/>
        <v>#VALUE!</v>
      </c>
      <c r="BC9" s="931" t="e">
        <f t="shared" si="13"/>
        <v>#VALUE!</v>
      </c>
      <c r="BD9" s="929" t="e">
        <f t="shared" si="25"/>
        <v>#VALUE!</v>
      </c>
      <c r="BE9" s="929" t="e">
        <f t="shared" si="14"/>
        <v>#VALUE!</v>
      </c>
      <c r="BF9" s="929" t="e">
        <f t="shared" si="15"/>
        <v>#VALUE!</v>
      </c>
      <c r="BG9" s="929" t="e">
        <f t="shared" si="16"/>
        <v>#VALUE!</v>
      </c>
      <c r="BH9" s="929" t="e">
        <f t="shared" si="17"/>
        <v>#VALUE!</v>
      </c>
      <c r="BI9" s="930" t="e">
        <f t="shared" si="18"/>
        <v>#VALUE!</v>
      </c>
      <c r="BJ9" s="929" t="e">
        <f t="shared" si="19"/>
        <v>#VALUE!</v>
      </c>
      <c r="BK9" s="929" t="e">
        <f t="shared" si="20"/>
        <v>#VALUE!</v>
      </c>
      <c r="BL9" s="972">
        <f t="shared" si="26"/>
        <v>0</v>
      </c>
      <c r="BM9" s="928">
        <f t="shared" si="21"/>
        <v>0</v>
      </c>
      <c r="BN9" s="926">
        <v>3</v>
      </c>
      <c r="BO9" s="971" t="str">
        <f t="shared" si="22"/>
        <v xml:space="preserve">  </v>
      </c>
      <c r="BP9" s="970" t="str">
        <f t="shared" si="23"/>
        <v/>
      </c>
      <c r="BQ9" s="927" t="str">
        <f t="shared" si="24"/>
        <v xml:space="preserve">   </v>
      </c>
      <c r="BR9" s="927" t="str">
        <f>IF(Y9="FAIL","",INDEX('Common HVAC References'!$AG$4:$AG$82,MATCH('Common HVAC Calculation'!BQ9,'Common HVAC References'!$AF$4:$AF$82,0)))</f>
        <v/>
      </c>
      <c r="BS9" s="969" t="e">
        <f>BK9*'Common HVAC References'!$F$137</f>
        <v>#VALUE!</v>
      </c>
      <c r="BT9" s="969" t="e">
        <f>-AZ9*'Common HVAC References'!$F$137+AU9*INDEX('Common HVAC References'!$F$134:$F$140,MATCH(IF(LEFT(AI9,8)="Baseline",LEFT(AI9,8),AI9),'Common HVAC References'!$D$134:$D$140,0))</f>
        <v>#VALUE!</v>
      </c>
    </row>
    <row r="10" spans="2:72">
      <c r="B10" s="761">
        <v>4</v>
      </c>
      <c r="C10" s="888" t="str">
        <f>IF('Worksheet Common HVAC'!B19="","",'Worksheet Common HVAC'!B19)</f>
        <v/>
      </c>
      <c r="D10" s="940" t="str">
        <f>IF('Worksheet Common HVAC'!C19="","",'Worksheet Common HVAC'!C19)</f>
        <v/>
      </c>
      <c r="E10" s="940" t="str">
        <f>IF('Worksheet Common HVAC'!E19="","",'Worksheet Common HVAC'!E19)</f>
        <v/>
      </c>
      <c r="F10" s="940" t="str">
        <f>IF('Worksheet Common HVAC'!T19="","",'Worksheet Common HVAC'!T19)</f>
        <v/>
      </c>
      <c r="G10" s="973" t="str">
        <f>IF('Worksheet Common HVAC'!V19="","",'Worksheet Common HVAC'!V19)</f>
        <v/>
      </c>
      <c r="H10" s="892" t="str">
        <f t="shared" si="0"/>
        <v xml:space="preserve">  </v>
      </c>
      <c r="I10" s="888" t="str">
        <f>IF('Worksheet Common HVAC'!H19="","",'Worksheet Common HVAC'!H19)</f>
        <v/>
      </c>
      <c r="J10" s="941" t="str">
        <f>IF('Worksheet Common HVAC'!I19="","",'Worksheet Common HVAC'!I19)</f>
        <v/>
      </c>
      <c r="K10" s="888" t="str">
        <f>IF(LEFT('Worksheet Common HVAC'!B19,4)="Room",'Common HVAC Calculation'!L10,IF('Worksheet Common HVAC'!J19="","",'Worksheet Common HVAC'!J19))</f>
        <v/>
      </c>
      <c r="L10" s="940" t="str">
        <f>IF('Worksheet Common HVAC'!K19="","",'Worksheet Common HVAC'!K19)</f>
        <v/>
      </c>
      <c r="M10" s="940" t="str">
        <f>IF($H10="  ","",IF('Worksheet Common HVAC'!L19="",0,'Worksheet Common HVAC'!L19))</f>
        <v/>
      </c>
      <c r="N10" s="940" t="str">
        <f>IF($H10="  ","",IF('Worksheet Common HVAC'!M19="",0,'Worksheet Common HVAC'!M19))</f>
        <v/>
      </c>
      <c r="O10" s="888" t="str">
        <f>IF(H10="  ","",INDEX(HVAC_T1T2ReferenceTable,MATCH(H10,'Common HVAC References'!$AX$4:$AX$45,0),2))</f>
        <v/>
      </c>
      <c r="P10" s="940" t="str">
        <f t="shared" si="1"/>
        <v/>
      </c>
      <c r="Q10" s="940" t="str">
        <f t="shared" si="2"/>
        <v/>
      </c>
      <c r="R10" s="940" t="str">
        <f t="shared" si="3"/>
        <v/>
      </c>
      <c r="S10" s="940" t="str">
        <f>IF(LEFT(H10,4)="Room",'Common HVAC References'!$AT$4,"")</f>
        <v/>
      </c>
      <c r="T10" s="888" t="str">
        <f t="shared" si="4"/>
        <v/>
      </c>
      <c r="U10" s="940" t="str">
        <f t="shared" si="5"/>
        <v/>
      </c>
      <c r="V10" s="940" t="str">
        <f t="shared" si="6"/>
        <v/>
      </c>
      <c r="W10" s="940" t="str">
        <f t="shared" si="7"/>
        <v/>
      </c>
      <c r="X10" s="940" t="str">
        <f>IF(AND(N10="",R10&lt;&gt;0),"",IF(LEFT(H10,4)&lt;&gt;"Room","PASS",IF(LEFT(F10,4)&lt;&gt;"Room","FAIL",IF('Worksheet Common HVAC'!X19&lt;=S10,"PASS","FAIL"))))</f>
        <v/>
      </c>
      <c r="Y10" s="892" t="str">
        <f t="shared" si="8"/>
        <v>FAIL</v>
      </c>
      <c r="Z10" s="888" t="str">
        <f>'Common HVAC References'!$G$43</f>
        <v>Multifamily</v>
      </c>
      <c r="AA10" s="939">
        <f>IF(OR(Z10="",Z10="… please select …"),0,INDEX('Common HVAC References'!$H$22:$H$44,MATCH(Z10,'Common HVAC References'!$G$22:$G$44,0)))</f>
        <v>736</v>
      </c>
      <c r="AB10" s="938">
        <f>IF(OR(Z10="",Z10="… please select …"),0,INDEX('Common HVAC References'!$I$22:$I$44,MATCH(Z10,'Common HVAC References'!$G$22:$G$44,0)))</f>
        <v>681</v>
      </c>
      <c r="AF10" s="926">
        <v>4</v>
      </c>
      <c r="AG10" s="937" t="str">
        <f t="shared" si="9"/>
        <v xml:space="preserve">   </v>
      </c>
      <c r="AH10" s="937" t="str">
        <f>IF(OR('Worksheet Common HVAC'!$T19="",'Worksheet Common HVAC'!T19="None"),IF($H10="  ","","Baseline "&amp;INDEX('Common HVAC References'!$V$4:$V$43,MATCH($H10,'Common HVAC References'!$S$4:$S$43,0))),"Existing "&amp;'Worksheet Common HVAC'!$T19)</f>
        <v/>
      </c>
      <c r="AI10" s="927" t="str">
        <f>IF(OR('Worksheet Common HVAC'!U19="",'Worksheet Common HVAC'!U19="None"),IF(I10="","","Baseline "&amp;INDEX('Common HVAC References'!$W$4:$W$44,MATCH($H10,'Common HVAC References'!$S$4:$S$44,0))),"Existing "&amp;'Worksheet Common HVAC'!U19)</f>
        <v/>
      </c>
      <c r="AJ10" s="936" t="str">
        <f>_xlfn.IFNA(IF(OR('Worksheet Common HVAC'!W19=0,'Worksheet Common HVAC'!W19=""),IF(OR(LEFT(H10,3)="pac",LEFT(H10,4)="Room"),0,INDEX('Common HVAC References'!$BK$5:$BK$44,MATCH(H10,'Common HVAC References'!$AX$5:$AX$44,0))),'Worksheet Common HVAC'!W19),"")</f>
        <v/>
      </c>
      <c r="AK10" s="929" t="str">
        <f>IF(H10="  ","",IF('Worksheet Common HVAC'!X19="",IF(LEFT(H10,3)="Pac",(INDEX('Common HVAC References'!$BL$4:$BL$44,MATCH(H10,'Common HVAC References'!$AX$4:$AX$44,0)))-(0.3*I10*12000/1000),INDEX('Common HVAC References'!$BL$4:$BL$44,MATCH(H10,'Common HVAC References'!$AX$4:$AX$44,0))),'Worksheet Common HVAC'!X19))</f>
        <v/>
      </c>
      <c r="AL10" s="1644" t="str">
        <f>IF(H10="  ","",IF(OR($AI10="Existing Gas",$AI10="Existing Oil",$AI10="Existing Propane",$AI10="New Construction"),0,IF(AND('Worksheet Common HVAC'!Z19=0,'Worksheet Common HVAC'!Y19=0),IF(LEFT(H10,3)="pac",0,INDEX('Common HVAC References'!$BM$4:$BM$44,MATCH(H10,'Common HVAC References'!$AX$4:$AX$44,0))),IF(AND('Worksheet Common HVAC'!Z19&gt;0,'Worksheet Common HVAC'!Y19=0),'Worksheet Common HVAC'!Z19*'Common HVAC References'!$B$45,'Worksheet Common HVAC'!Y19))))</f>
        <v/>
      </c>
      <c r="AM10" s="929" t="str">
        <f>IF($H10="  ","",IF(OR($AI10="Existing Gas",$AI10="Existing Oil",$AI10="Existing Propane",$AI10="Baseline New Construction"),0,IF(OR('Worksheet Common HVAC'!Z19="",'Worksheet Common HVAC'!Z19=0),IF(LEFT(H10,3)="Pac",(INDEX('Common HVAC References'!$BM$4:$BM$44,MATCH(H10,'Common HVAC References'!$AX$4:$AX$44,0)))-INDEX('Common HVAC References'!$BN$4:$BN$44,MATCH(H10,'Common HVAC References'!$AX$4:$AX$44,0))*I10*12000/1000,INDEX('Common HVAC References'!$BN$4:$BN$44,MATCH(H10,'Common HVAC References'!$AX$4:$AX$44,0))),'Worksheet Common HVAC'!Z19)))</f>
        <v/>
      </c>
      <c r="AN10" s="935" t="str">
        <f>IF($H10="  ","",IF(OR($AI10="Existing Gas",$AI10="Existing Oil",$AI10="Existing Propane", $AI10="Baseline New Construction"),IF(OR('Worksheet Common HVAC'!AA19="",'Worksheet Common HVAC'!AA19=0),INDEX('Common HVAC References'!$E$134:$E$138,MATCH(AI10,'Common HVAC References'!$D$134:$D$138,0)),'Worksheet Common HVAC'!AA19),0))</f>
        <v/>
      </c>
      <c r="AO10" s="934">
        <f>IF(OR(LEFT(AI10,8)="Existing",RIGHT(AI10,16)="New Construction"),'Common HVAC References'!$B$29,1)</f>
        <v>1</v>
      </c>
      <c r="AP10" s="933">
        <f>'Common HVAC References'!$B$33</f>
        <v>15</v>
      </c>
      <c r="AQ10" s="932" t="e">
        <f>IF(AND(AK10&gt;0,L10&gt;0),ROUND((I10*12)*((1/AK10)-(1/L10)),'Common HVAC References'!$B$36),0)</f>
        <v>#VALUE!</v>
      </c>
      <c r="AR10" s="931" t="e">
        <f>IF(AND(AK10&gt;0,L10&gt;0),ROUND((J10*I10*12)*((1/AK10)-(1/L10)),'Common HVAC References'!$B$36),0)</f>
        <v>#VALUE!</v>
      </c>
      <c r="AS10" s="931" t="e">
        <f>IF(AND(AJ10=0,AK10=0),0,IF(AJ10&gt;0,ROUND((I10*12)*((1/AJ10)-(1/K10))*AA10,'Common HVAC References'!$B$39),ROUND((I10*12)*((1/AK10)-(1/L10))*AA10,'Common HVAC References'!$B$39)))</f>
        <v>#VALUE!</v>
      </c>
      <c r="AT10" s="931" t="e">
        <f>AS10*'Common HVAC References'!$B$25</f>
        <v>#VALUE!</v>
      </c>
      <c r="AU10" s="931" t="e">
        <f t="shared" si="10"/>
        <v>#VALUE!</v>
      </c>
      <c r="AV10" s="932">
        <f>IF(AND(N10&gt;0,AM10&gt;0,N10&lt;&gt;""),ROUND((I10*12)*((1/(AM10))-(1/(N10))),'Common HVAC References'!$B$36),IF(AND(M10&gt;0,AL10&gt;0,M10&lt;&gt;""),ROUND((I10*12)*(1/(AL10/3.412))-(1/(M10/3.412)),'Common HVAC References'!$B$36),IF(AND(N10&gt;0,N10&lt;&gt;""),ROUND((I10*12)*-(1/(N10/3.412)),'Common HVAC References'!$B$36),IF(AND(M10&gt;0,M10&lt;&gt;""),ROUND((I10*12)*-(1/(M10/3.412)),'Common HVAC References'!$B$36),0))))</f>
        <v>0</v>
      </c>
      <c r="AW10" s="931" t="e">
        <f t="shared" si="11"/>
        <v>#VALUE!</v>
      </c>
      <c r="AX10" s="931" t="e">
        <f>ROUND(AU10*AN10*AP10,'Common HVAC References'!$B$39)</f>
        <v>#VALUE!</v>
      </c>
      <c r="AY10" s="931" t="e">
        <f>IF(AND(AL10&gt;0,M10&gt;0),ROUND((I10*12)*((1/AL10)-(1/M10))*AB10*AO10,'Common HVAC References'!$B$39),IF(AND(AM10&gt;0,N10&gt;0),ROUND((I10*12)*((1/AM10)-(1/N10))*AB10*AO10/3.413,'Common HVAC References'!$B$39),0))</f>
        <v>#VALUE!</v>
      </c>
      <c r="AZ10" s="931">
        <f>IF(AND(OR($AI10="Existing Gas",$AI10="Existing Oil",$AI10="Existing Propane",$AI10="Baseline New Construction"),RIGHT(C10,10)="Heat Pumps"),IF(AND(M10&gt;0,M10&lt;&gt;""),ROUND(((I10*12)*((1/M10))*AB10*AO10)-AX10,'Common HVAC References'!$B$39),IF(AND(N10&gt;0,N10&lt;&gt;""),ROUND(((I10*12)*((1/N10))*AB10*AO10/3.412)-AX10,'Common HVAC References'!$B$39),0)),0)</f>
        <v>0</v>
      </c>
      <c r="BA10" s="931" t="e">
        <f>(AY10*'Common HVAC References'!$B$25)-(AZ10*'Common HVAC References'!$B$25)</f>
        <v>#VALUE!</v>
      </c>
      <c r="BB10" s="931" t="e">
        <f t="shared" si="12"/>
        <v>#VALUE!</v>
      </c>
      <c r="BC10" s="931" t="e">
        <f t="shared" si="13"/>
        <v>#VALUE!</v>
      </c>
      <c r="BD10" s="929" t="e">
        <f t="shared" si="25"/>
        <v>#VALUE!</v>
      </c>
      <c r="BE10" s="929" t="e">
        <f t="shared" si="14"/>
        <v>#VALUE!</v>
      </c>
      <c r="BF10" s="929" t="e">
        <f t="shared" si="15"/>
        <v>#VALUE!</v>
      </c>
      <c r="BG10" s="929" t="e">
        <f t="shared" si="16"/>
        <v>#VALUE!</v>
      </c>
      <c r="BH10" s="929" t="e">
        <f t="shared" si="17"/>
        <v>#VALUE!</v>
      </c>
      <c r="BI10" s="930" t="e">
        <f t="shared" si="18"/>
        <v>#VALUE!</v>
      </c>
      <c r="BJ10" s="929" t="e">
        <f t="shared" si="19"/>
        <v>#VALUE!</v>
      </c>
      <c r="BK10" s="929" t="e">
        <f t="shared" si="20"/>
        <v>#VALUE!</v>
      </c>
      <c r="BL10" s="972">
        <f t="shared" si="26"/>
        <v>0</v>
      </c>
      <c r="BM10" s="928">
        <f t="shared" si="21"/>
        <v>0</v>
      </c>
      <c r="BN10" s="926">
        <v>4</v>
      </c>
      <c r="BO10" s="971" t="str">
        <f t="shared" si="22"/>
        <v xml:space="preserve">  </v>
      </c>
      <c r="BP10" s="970" t="str">
        <f t="shared" si="23"/>
        <v/>
      </c>
      <c r="BQ10" s="927" t="str">
        <f t="shared" si="24"/>
        <v xml:space="preserve">   </v>
      </c>
      <c r="BR10" s="927" t="str">
        <f>IF(Y10="FAIL","",INDEX('Common HVAC References'!$AG$4:$AG$82,MATCH('Common HVAC Calculation'!BQ10,'Common HVAC References'!$AF$4:$AF$82,0)))</f>
        <v/>
      </c>
      <c r="BS10" s="969" t="e">
        <f>BK10*'Common HVAC References'!$F$137</f>
        <v>#VALUE!</v>
      </c>
      <c r="BT10" s="969" t="e">
        <f>-AZ10*'Common HVAC References'!$F$137+AU10*INDEX('Common HVAC References'!$F$134:$F$140,MATCH(IF(LEFT(AI10,8)="Baseline",LEFT(AI10,8),AI10),'Common HVAC References'!$D$134:$D$140,0))</f>
        <v>#VALUE!</v>
      </c>
    </row>
    <row r="11" spans="2:72">
      <c r="B11" s="761">
        <v>5</v>
      </c>
      <c r="C11" s="888" t="str">
        <f>IF('Worksheet Common HVAC'!B20="","",'Worksheet Common HVAC'!B20)</f>
        <v/>
      </c>
      <c r="D11" s="940" t="str">
        <f>IF('Worksheet Common HVAC'!C20="","",'Worksheet Common HVAC'!C20)</f>
        <v/>
      </c>
      <c r="E11" s="940" t="str">
        <f>IF('Worksheet Common HVAC'!E20="","",'Worksheet Common HVAC'!E20)</f>
        <v/>
      </c>
      <c r="F11" s="940" t="str">
        <f>IF('Worksheet Common HVAC'!T20="","",'Worksheet Common HVAC'!T20)</f>
        <v/>
      </c>
      <c r="G11" s="973" t="str">
        <f>IF('Worksheet Common HVAC'!V20="","",'Worksheet Common HVAC'!V20)</f>
        <v/>
      </c>
      <c r="H11" s="892" t="str">
        <f t="shared" si="0"/>
        <v xml:space="preserve">  </v>
      </c>
      <c r="I11" s="888" t="str">
        <f>IF('Worksheet Common HVAC'!H20="","",'Worksheet Common HVAC'!H20)</f>
        <v/>
      </c>
      <c r="J11" s="941" t="str">
        <f>IF('Worksheet Common HVAC'!I20="","",'Worksheet Common HVAC'!I20)</f>
        <v/>
      </c>
      <c r="K11" s="888" t="str">
        <f>IF(LEFT('Worksheet Common HVAC'!B20,4)="Room",'Common HVAC Calculation'!L11,IF('Worksheet Common HVAC'!J20="","",'Worksheet Common HVAC'!J20))</f>
        <v/>
      </c>
      <c r="L11" s="940" t="str">
        <f>IF('Worksheet Common HVAC'!K20="","",'Worksheet Common HVAC'!K20)</f>
        <v/>
      </c>
      <c r="M11" s="940" t="str">
        <f>IF($H11="  ","",IF('Worksheet Common HVAC'!L20="",0,'Worksheet Common HVAC'!L20))</f>
        <v/>
      </c>
      <c r="N11" s="940" t="str">
        <f>IF($H11="  ","",IF('Worksheet Common HVAC'!M20="",0,'Worksheet Common HVAC'!M20))</f>
        <v/>
      </c>
      <c r="O11" s="888" t="str">
        <f>IF(H11="  ","",INDEX(HVAC_T1T2ReferenceTable,MATCH(H11,'Common HVAC References'!$AX$4:$AX$45,0),2))</f>
        <v/>
      </c>
      <c r="P11" s="940" t="str">
        <f t="shared" si="1"/>
        <v/>
      </c>
      <c r="Q11" s="940" t="str">
        <f t="shared" si="2"/>
        <v/>
      </c>
      <c r="R11" s="940" t="str">
        <f t="shared" si="3"/>
        <v/>
      </c>
      <c r="S11" s="940" t="str">
        <f>IF(LEFT(H11,4)="Room",'Common HVAC References'!$AT$4,"")</f>
        <v/>
      </c>
      <c r="T11" s="888" t="str">
        <f t="shared" si="4"/>
        <v/>
      </c>
      <c r="U11" s="940" t="str">
        <f t="shared" si="5"/>
        <v/>
      </c>
      <c r="V11" s="940" t="str">
        <f t="shared" si="6"/>
        <v/>
      </c>
      <c r="W11" s="940" t="str">
        <f t="shared" si="7"/>
        <v/>
      </c>
      <c r="X11" s="940" t="str">
        <f>IF(AND(N11="",R11&lt;&gt;0),"",IF(LEFT(H11,4)&lt;&gt;"Room","PASS",IF(LEFT(F11,4)&lt;&gt;"Room","FAIL",IF('Worksheet Common HVAC'!X20&lt;=S11,"PASS","FAIL"))))</f>
        <v/>
      </c>
      <c r="Y11" s="892" t="str">
        <f t="shared" si="8"/>
        <v>FAIL</v>
      </c>
      <c r="Z11" s="888" t="str">
        <f>'Common HVAC References'!$G$43</f>
        <v>Multifamily</v>
      </c>
      <c r="AA11" s="939">
        <f>IF(OR(Z11="",Z11="… please select …"),0,INDEX('Common HVAC References'!$H$22:$H$44,MATCH(Z11,'Common HVAC References'!$G$22:$G$44,0)))</f>
        <v>736</v>
      </c>
      <c r="AB11" s="938">
        <f>IF(OR(Z11="",Z11="… please select …"),0,INDEX('Common HVAC References'!$I$22:$I$44,MATCH(Z11,'Common HVAC References'!$G$22:$G$44,0)))</f>
        <v>681</v>
      </c>
      <c r="AF11" s="926">
        <v>5</v>
      </c>
      <c r="AG11" s="937" t="str">
        <f t="shared" si="9"/>
        <v xml:space="preserve">   </v>
      </c>
      <c r="AH11" s="937" t="str">
        <f>IF(OR('Worksheet Common HVAC'!$T20="",'Worksheet Common HVAC'!T20="None"),IF($H11="  ","","Baseline "&amp;INDEX('Common HVAC References'!$V$4:$V$43,MATCH($H11,'Common HVAC References'!$S$4:$S$43,0))),"Existing "&amp;'Worksheet Common HVAC'!$T20)</f>
        <v/>
      </c>
      <c r="AI11" s="927" t="str">
        <f>IF(OR('Worksheet Common HVAC'!U20="",'Worksheet Common HVAC'!U20="None"),IF(I11="","","Baseline "&amp;INDEX('Common HVAC References'!$W$4:$W$44,MATCH($H11,'Common HVAC References'!$S$4:$S$44,0))),"Existing "&amp;'Worksheet Common HVAC'!U20)</f>
        <v/>
      </c>
      <c r="AJ11" s="936" t="str">
        <f>_xlfn.IFNA(IF(OR('Worksheet Common HVAC'!W20=0,'Worksheet Common HVAC'!W20=""),IF(OR(LEFT(H11,3)="pac",LEFT(H11,4)="Room"),0,INDEX('Common HVAC References'!$BK$5:$BK$44,MATCH(H11,'Common HVAC References'!$AX$5:$AX$44,0))),'Worksheet Common HVAC'!W20),"")</f>
        <v/>
      </c>
      <c r="AK11" s="929" t="str">
        <f>IF(H11="  ","",IF('Worksheet Common HVAC'!X20="",IF(LEFT(H11,3)="Pac",(INDEX('Common HVAC References'!$BL$4:$BL$44,MATCH(H11,'Common HVAC References'!$AX$4:$AX$44,0)))-(0.3*I11*12000/1000),INDEX('Common HVAC References'!$BL$4:$BL$44,MATCH(H11,'Common HVAC References'!$AX$4:$AX$44,0))),'Worksheet Common HVAC'!X20))</f>
        <v/>
      </c>
      <c r="AL11" s="1644" t="str">
        <f>IF(H11="  ","",IF(OR($AI11="Existing Gas",$AI11="Existing Oil",$AI11="Existing Propane",$AI11="New Construction"),0,IF(AND('Worksheet Common HVAC'!Z20=0,'Worksheet Common HVAC'!Y20=0),IF(LEFT(H11,3)="pac",0,INDEX('Common HVAC References'!$BM$4:$BM$44,MATCH(H11,'Common HVAC References'!$AX$4:$AX$44,0))),IF(AND('Worksheet Common HVAC'!Z20&gt;0,'Worksheet Common HVAC'!Y20=0),'Worksheet Common HVAC'!Z20*'Common HVAC References'!$B$45,'Worksheet Common HVAC'!Y20))))</f>
        <v/>
      </c>
      <c r="AM11" s="929" t="str">
        <f>IF($H11="  ","",IF(OR($AI11="Existing Gas",$AI11="Existing Oil",$AI11="Existing Propane",$AI11="Baseline New Construction"),0,IF(OR('Worksheet Common HVAC'!Z20="",'Worksheet Common HVAC'!Z20=0),IF(LEFT(H11,3)="Pac",(INDEX('Common HVAC References'!$BM$4:$BM$44,MATCH(H11,'Common HVAC References'!$AX$4:$AX$44,0)))-INDEX('Common HVAC References'!$BN$4:$BN$44,MATCH(H11,'Common HVAC References'!$AX$4:$AX$44,0))*I11*12000/1000,INDEX('Common HVAC References'!$BN$4:$BN$44,MATCH(H11,'Common HVAC References'!$AX$4:$AX$44,0))),'Worksheet Common HVAC'!Z20)))</f>
        <v/>
      </c>
      <c r="AN11" s="935" t="str">
        <f>IF($H11="  ","",IF(OR($AI11="Existing Gas",$AI11="Existing Oil",$AI11="Existing Propane", $AI11="Baseline New Construction"),IF(OR('Worksheet Common HVAC'!AA20="",'Worksheet Common HVAC'!AA20=0),INDEX('Common HVAC References'!$E$134:$E$138,MATCH(AI11,'Common HVAC References'!$D$134:$D$138,0)),'Worksheet Common HVAC'!AA20),0))</f>
        <v/>
      </c>
      <c r="AO11" s="934">
        <f>IF(OR(LEFT(AI11,8)="Existing",RIGHT(AI11,16)="New Construction"),'Common HVAC References'!$B$29,1)</f>
        <v>1</v>
      </c>
      <c r="AP11" s="933">
        <f>'Common HVAC References'!$B$33</f>
        <v>15</v>
      </c>
      <c r="AQ11" s="932" t="e">
        <f>IF(AND(AK11&gt;0,L11&gt;0),ROUND((I11*12)*((1/AK11)-(1/L11)),'Common HVAC References'!$B$36),0)</f>
        <v>#VALUE!</v>
      </c>
      <c r="AR11" s="931" t="e">
        <f>IF(AND(AK11&gt;0,L11&gt;0),ROUND((J11*I11*12)*((1/AK11)-(1/L11)),'Common HVAC References'!$B$36),0)</f>
        <v>#VALUE!</v>
      </c>
      <c r="AS11" s="931" t="e">
        <f>IF(AND(AJ11=0,AK11=0),0,IF(AJ11&gt;0,ROUND((I11*12)*((1/AJ11)-(1/K11))*AA11,'Common HVAC References'!$B$39),ROUND((I11*12)*((1/AK11)-(1/L11))*AA11,'Common HVAC References'!$B$39)))</f>
        <v>#VALUE!</v>
      </c>
      <c r="AT11" s="931" t="e">
        <f>AS11*'Common HVAC References'!$B$25</f>
        <v>#VALUE!</v>
      </c>
      <c r="AU11" s="931" t="e">
        <f t="shared" si="10"/>
        <v>#VALUE!</v>
      </c>
      <c r="AV11" s="932">
        <f>IF(AND(N11&gt;0,AM11&gt;0,N11&lt;&gt;""),ROUND((I11*12)*((1/(AM11))-(1/(N11))),'Common HVAC References'!$B$36),IF(AND(M11&gt;0,AL11&gt;0,M11&lt;&gt;""),ROUND((I11*12)*(1/(AL11/3.412))-(1/(M11/3.412)),'Common HVAC References'!$B$36),IF(AND(N11&gt;0,N11&lt;&gt;""),ROUND((I11*12)*-(1/(N11/3.412)),'Common HVAC References'!$B$36),IF(AND(M11&gt;0,M11&lt;&gt;""),ROUND((I11*12)*-(1/(M11/3.412)),'Common HVAC References'!$B$36),0))))</f>
        <v>0</v>
      </c>
      <c r="AW11" s="931" t="e">
        <f t="shared" si="11"/>
        <v>#VALUE!</v>
      </c>
      <c r="AX11" s="931" t="e">
        <f>ROUND(AU11*AN11*AP11,'Common HVAC References'!$B$39)</f>
        <v>#VALUE!</v>
      </c>
      <c r="AY11" s="931" t="e">
        <f>IF(AND(AL11&gt;0,M11&gt;0),ROUND((I11*12)*((1/AL11)-(1/M11))*AB11*AO11,'Common HVAC References'!$B$39),IF(AND(AM11&gt;0,N11&gt;0),ROUND((I11*12)*((1/AM11)-(1/N11))*AB11*AO11/3.413,'Common HVAC References'!$B$39),0))</f>
        <v>#VALUE!</v>
      </c>
      <c r="AZ11" s="931">
        <f>IF(AND(OR($AI11="Existing Gas",$AI11="Existing Oil",$AI11="Existing Propane",$AI11="Baseline New Construction"),RIGHT(C11,10)="Heat Pumps"),IF(AND(M11&gt;0,M11&lt;&gt;""),ROUND(((I11*12)*((1/M11))*AB11*AO11)-AX11,'Common HVAC References'!$B$39),IF(AND(N11&gt;0,N11&lt;&gt;""),ROUND(((I11*12)*((1/N11))*AB11*AO11/3.412)-AX11,'Common HVAC References'!$B$39),0)),0)</f>
        <v>0</v>
      </c>
      <c r="BA11" s="931" t="e">
        <f>(AY11*'Common HVAC References'!$B$25)-(AZ11*'Common HVAC References'!$B$25)</f>
        <v>#VALUE!</v>
      </c>
      <c r="BB11" s="931" t="e">
        <f t="shared" si="12"/>
        <v>#VALUE!</v>
      </c>
      <c r="BC11" s="931" t="e">
        <f t="shared" si="13"/>
        <v>#VALUE!</v>
      </c>
      <c r="BD11" s="929" t="e">
        <f t="shared" si="25"/>
        <v>#VALUE!</v>
      </c>
      <c r="BE11" s="929" t="e">
        <f t="shared" si="14"/>
        <v>#VALUE!</v>
      </c>
      <c r="BF11" s="929" t="e">
        <f t="shared" si="15"/>
        <v>#VALUE!</v>
      </c>
      <c r="BG11" s="929" t="e">
        <f t="shared" si="16"/>
        <v>#VALUE!</v>
      </c>
      <c r="BH11" s="929" t="e">
        <f t="shared" si="17"/>
        <v>#VALUE!</v>
      </c>
      <c r="BI11" s="930" t="e">
        <f t="shared" si="18"/>
        <v>#VALUE!</v>
      </c>
      <c r="BJ11" s="929" t="e">
        <f t="shared" si="19"/>
        <v>#VALUE!</v>
      </c>
      <c r="BK11" s="929" t="e">
        <f t="shared" si="20"/>
        <v>#VALUE!</v>
      </c>
      <c r="BL11" s="972">
        <f t="shared" si="26"/>
        <v>0</v>
      </c>
      <c r="BM11" s="928">
        <f t="shared" si="21"/>
        <v>0</v>
      </c>
      <c r="BN11" s="926">
        <v>5</v>
      </c>
      <c r="BO11" s="971" t="str">
        <f t="shared" si="22"/>
        <v xml:space="preserve">  </v>
      </c>
      <c r="BP11" s="970" t="str">
        <f t="shared" si="23"/>
        <v/>
      </c>
      <c r="BQ11" s="927" t="str">
        <f t="shared" si="24"/>
        <v xml:space="preserve">   </v>
      </c>
      <c r="BR11" s="927" t="str">
        <f>IF(Y11="FAIL","",INDEX('Common HVAC References'!$AG$4:$AG$82,MATCH('Common HVAC Calculation'!BQ11,'Common HVAC References'!$AF$4:$AF$82,0)))</f>
        <v/>
      </c>
      <c r="BS11" s="969" t="e">
        <f>BK11*'Common HVAC References'!$F$137</f>
        <v>#VALUE!</v>
      </c>
      <c r="BT11" s="969" t="e">
        <f>-AZ11*'Common HVAC References'!$F$137+AU11*INDEX('Common HVAC References'!$F$134:$F$140,MATCH(IF(LEFT(AI11,8)="Baseline",LEFT(AI11,8),AI11),'Common HVAC References'!$D$134:$D$140,0))</f>
        <v>#VALUE!</v>
      </c>
    </row>
    <row r="12" spans="2:72">
      <c r="B12" s="761">
        <v>6</v>
      </c>
      <c r="C12" s="888" t="str">
        <f>IF('Worksheet Common HVAC'!B21="","",'Worksheet Common HVAC'!B21)</f>
        <v/>
      </c>
      <c r="D12" s="940" t="str">
        <f>IF('Worksheet Common HVAC'!C21="","",'Worksheet Common HVAC'!C21)</f>
        <v/>
      </c>
      <c r="E12" s="940" t="str">
        <f>IF('Worksheet Common HVAC'!E21="","",'Worksheet Common HVAC'!E21)</f>
        <v/>
      </c>
      <c r="F12" s="940" t="str">
        <f>IF('Worksheet Common HVAC'!T21="","",'Worksheet Common HVAC'!T21)</f>
        <v/>
      </c>
      <c r="G12" s="973" t="str">
        <f>IF('Worksheet Common HVAC'!V21="","",'Worksheet Common HVAC'!V21)</f>
        <v/>
      </c>
      <c r="H12" s="892" t="str">
        <f t="shared" si="0"/>
        <v xml:space="preserve">  </v>
      </c>
      <c r="I12" s="888" t="str">
        <f>IF('Worksheet Common HVAC'!H21="","",'Worksheet Common HVAC'!H21)</f>
        <v/>
      </c>
      <c r="J12" s="941" t="str">
        <f>IF('Worksheet Common HVAC'!I21="","",'Worksheet Common HVAC'!I21)</f>
        <v/>
      </c>
      <c r="K12" s="888" t="str">
        <f>IF(LEFT('Worksheet Common HVAC'!B21,4)="Room",'Common HVAC Calculation'!L12,IF('Worksheet Common HVAC'!J21="","",'Worksheet Common HVAC'!J21))</f>
        <v/>
      </c>
      <c r="L12" s="940" t="str">
        <f>IF('Worksheet Common HVAC'!K21="","",'Worksheet Common HVAC'!K21)</f>
        <v/>
      </c>
      <c r="M12" s="940" t="str">
        <f>IF($H12="  ","",IF('Worksheet Common HVAC'!L21="",0,'Worksheet Common HVAC'!L21))</f>
        <v/>
      </c>
      <c r="N12" s="940" t="str">
        <f>IF($H12="  ","",IF('Worksheet Common HVAC'!M21="",0,'Worksheet Common HVAC'!M21))</f>
        <v/>
      </c>
      <c r="O12" s="888" t="str">
        <f>IF(H12="  ","",INDEX(HVAC_T1T2ReferenceTable,MATCH(H12,'Common HVAC References'!$AX$4:$AX$45,0),2))</f>
        <v/>
      </c>
      <c r="P12" s="940" t="str">
        <f t="shared" si="1"/>
        <v/>
      </c>
      <c r="Q12" s="940" t="str">
        <f t="shared" si="2"/>
        <v/>
      </c>
      <c r="R12" s="940" t="str">
        <f t="shared" si="3"/>
        <v/>
      </c>
      <c r="S12" s="940" t="str">
        <f>IF(LEFT(H12,4)="Room",'Common HVAC References'!$AT$4,"")</f>
        <v/>
      </c>
      <c r="T12" s="888" t="str">
        <f t="shared" si="4"/>
        <v/>
      </c>
      <c r="U12" s="940" t="str">
        <f t="shared" si="5"/>
        <v/>
      </c>
      <c r="V12" s="940" t="str">
        <f t="shared" si="6"/>
        <v/>
      </c>
      <c r="W12" s="940" t="str">
        <f t="shared" si="7"/>
        <v/>
      </c>
      <c r="X12" s="940" t="str">
        <f>IF(AND(N12="",R12&lt;&gt;0),"",IF(LEFT(H12,4)&lt;&gt;"Room","PASS",IF(LEFT(F12,4)&lt;&gt;"Room","FAIL",IF('Worksheet Common HVAC'!X21&lt;=S12,"PASS","FAIL"))))</f>
        <v/>
      </c>
      <c r="Y12" s="892" t="str">
        <f t="shared" si="8"/>
        <v>FAIL</v>
      </c>
      <c r="Z12" s="888" t="str">
        <f>'Common HVAC References'!$G$43</f>
        <v>Multifamily</v>
      </c>
      <c r="AA12" s="939">
        <f>IF(OR(Z12="",Z12="… please select …"),0,INDEX('Common HVAC References'!$H$22:$H$44,MATCH(Z12,'Common HVAC References'!$G$22:$G$44,0)))</f>
        <v>736</v>
      </c>
      <c r="AB12" s="938">
        <f>IF(OR(Z12="",Z12="… please select …"),0,INDEX('Common HVAC References'!$I$22:$I$44,MATCH(Z12,'Common HVAC References'!$G$22:$G$44,0)))</f>
        <v>681</v>
      </c>
      <c r="AF12" s="926">
        <v>6</v>
      </c>
      <c r="AG12" s="937" t="str">
        <f t="shared" si="9"/>
        <v xml:space="preserve">   </v>
      </c>
      <c r="AH12" s="937" t="str">
        <f>IF(OR('Worksheet Common HVAC'!$T21="",'Worksheet Common HVAC'!T21="None"),IF($H12="  ","","Baseline "&amp;INDEX('Common HVAC References'!$V$4:$V$43,MATCH($H12,'Common HVAC References'!$S$4:$S$43,0))),"Existing "&amp;'Worksheet Common HVAC'!$T21)</f>
        <v/>
      </c>
      <c r="AI12" s="927" t="str">
        <f>IF(OR('Worksheet Common HVAC'!U21="",'Worksheet Common HVAC'!U21="None"),IF(I12="","","Baseline "&amp;INDEX('Common HVAC References'!$W$4:$W$44,MATCH($H12,'Common HVAC References'!$S$4:$S$44,0))),"Existing "&amp;'Worksheet Common HVAC'!U21)</f>
        <v/>
      </c>
      <c r="AJ12" s="936" t="str">
        <f>_xlfn.IFNA(IF(OR('Worksheet Common HVAC'!W21=0,'Worksheet Common HVAC'!W21=""),IF(OR(LEFT(H12,3)="pac",LEFT(H12,4)="Room"),0,INDEX('Common HVAC References'!$BK$5:$BK$44,MATCH(H12,'Common HVAC References'!$AX$5:$AX$44,0))),'Worksheet Common HVAC'!W21),"")</f>
        <v/>
      </c>
      <c r="AK12" s="929" t="str">
        <f>IF(H12="  ","",IF('Worksheet Common HVAC'!X21="",IF(LEFT(H12,3)="Pac",(INDEX('Common HVAC References'!$BL$4:$BL$44,MATCH(H12,'Common HVAC References'!$AX$4:$AX$44,0)))-(0.3*I12*12000/1000),INDEX('Common HVAC References'!$BL$4:$BL$44,MATCH(H12,'Common HVAC References'!$AX$4:$AX$44,0))),'Worksheet Common HVAC'!X21))</f>
        <v/>
      </c>
      <c r="AL12" s="1644" t="str">
        <f>IF(H12="  ","",IF(OR($AI12="Existing Gas",$AI12="Existing Oil",$AI12="Existing Propane",$AI12="New Construction"),0,IF(AND('Worksheet Common HVAC'!Z21=0,'Worksheet Common HVAC'!Y21=0),IF(LEFT(H12,3)="pac",0,INDEX('Common HVAC References'!$BM$4:$BM$44,MATCH(H12,'Common HVAC References'!$AX$4:$AX$44,0))),IF(AND('Worksheet Common HVAC'!Z21&gt;0,'Worksheet Common HVAC'!Y21=0),'Worksheet Common HVAC'!Z21*'Common HVAC References'!$B$45,'Worksheet Common HVAC'!Y21))))</f>
        <v/>
      </c>
      <c r="AM12" s="929" t="str">
        <f>IF($H12="  ","",IF(OR($AI12="Existing Gas",$AI12="Existing Oil",$AI12="Existing Propane",$AI12="Baseline New Construction"),0,IF(OR('Worksheet Common HVAC'!Z21="",'Worksheet Common HVAC'!Z21=0),IF(LEFT(H12,3)="Pac",(INDEX('Common HVAC References'!$BM$4:$BM$44,MATCH(H12,'Common HVAC References'!$AX$4:$AX$44,0)))-INDEX('Common HVAC References'!$BN$4:$BN$44,MATCH(H12,'Common HVAC References'!$AX$4:$AX$44,0))*I12*12000/1000,INDEX('Common HVAC References'!$BN$4:$BN$44,MATCH(H12,'Common HVAC References'!$AX$4:$AX$44,0))),'Worksheet Common HVAC'!Z21)))</f>
        <v/>
      </c>
      <c r="AN12" s="935" t="str">
        <f>IF($H12="  ","",IF(OR($AI12="Existing Gas",$AI12="Existing Oil",$AI12="Existing Propane", $AI12="Baseline New Construction"),IF(OR('Worksheet Common HVAC'!AA21="",'Worksheet Common HVAC'!AA21=0),INDEX('Common HVAC References'!$E$134:$E$138,MATCH(AI12,'Common HVAC References'!$D$134:$D$138,0)),'Worksheet Common HVAC'!AA21),0))</f>
        <v/>
      </c>
      <c r="AO12" s="934">
        <f>IF(OR(LEFT(AI12,8)="Existing",RIGHT(AI12,16)="New Construction"),'Common HVAC References'!$B$29,1)</f>
        <v>1</v>
      </c>
      <c r="AP12" s="933">
        <f>'Common HVAC References'!$B$33</f>
        <v>15</v>
      </c>
      <c r="AQ12" s="932" t="e">
        <f>IF(AND(AK12&gt;0,L12&gt;0),ROUND((I12*12)*((1/AK12)-(1/L12)),'Common HVAC References'!$B$36),0)</f>
        <v>#VALUE!</v>
      </c>
      <c r="AR12" s="931" t="e">
        <f>IF(AND(AK12&gt;0,L12&gt;0),ROUND((J12*I12*12)*((1/AK12)-(1/L12)),'Common HVAC References'!$B$36),0)</f>
        <v>#VALUE!</v>
      </c>
      <c r="AS12" s="931" t="e">
        <f>IF(AND(AJ12=0,AK12=0),0,IF(AJ12&gt;0,ROUND((I12*12)*((1/AJ12)-(1/K12))*AA12,'Common HVAC References'!$B$39),ROUND((I12*12)*((1/AK12)-(1/L12))*AA12,'Common HVAC References'!$B$39)))</f>
        <v>#VALUE!</v>
      </c>
      <c r="AT12" s="931" t="e">
        <f>AS12*'Common HVAC References'!$B$25</f>
        <v>#VALUE!</v>
      </c>
      <c r="AU12" s="931" t="e">
        <f t="shared" si="10"/>
        <v>#VALUE!</v>
      </c>
      <c r="AV12" s="932">
        <f>IF(AND(N12&gt;0,AM12&gt;0,N12&lt;&gt;""),ROUND((I12*12)*((1/(AM12))-(1/(N12))),'Common HVAC References'!$B$36),IF(AND(M12&gt;0,AL12&gt;0,M12&lt;&gt;""),ROUND((I12*12)*(1/(AL12/3.412))-(1/(M12/3.412)),'Common HVAC References'!$B$36),IF(AND(N12&gt;0,N12&lt;&gt;""),ROUND((I12*12)*-(1/(N12/3.412)),'Common HVAC References'!$B$36),IF(AND(M12&gt;0,M12&lt;&gt;""),ROUND((I12*12)*-(1/(M12/3.412)),'Common HVAC References'!$B$36),0))))</f>
        <v>0</v>
      </c>
      <c r="AW12" s="931" t="e">
        <f t="shared" si="11"/>
        <v>#VALUE!</v>
      </c>
      <c r="AX12" s="931" t="e">
        <f>ROUND(AU12*AN12*AP12,'Common HVAC References'!$B$39)</f>
        <v>#VALUE!</v>
      </c>
      <c r="AY12" s="931" t="e">
        <f>IF(AND(AL12&gt;0,M12&gt;0),ROUND((I12*12)*((1/AL12)-(1/M12))*AB12*AO12,'Common HVAC References'!$B$39),IF(AND(AM12&gt;0,N12&gt;0),ROUND((I12*12)*((1/AM12)-(1/N12))*AB12*AO12/3.413,'Common HVAC References'!$B$39),0))</f>
        <v>#VALUE!</v>
      </c>
      <c r="AZ12" s="931">
        <f>IF(AND(OR($AI12="Existing Gas",$AI12="Existing Oil",$AI12="Existing Propane",$AI12="Baseline New Construction"),RIGHT(C12,10)="Heat Pumps"),IF(AND(M12&gt;0,M12&lt;&gt;""),ROUND(((I12*12)*((1/M12))*AB12*AO12)-AX12,'Common HVAC References'!$B$39),IF(AND(N12&gt;0,N12&lt;&gt;""),ROUND(((I12*12)*((1/N12))*AB12*AO12/3.412)-AX12,'Common HVAC References'!$B$39),0)),0)</f>
        <v>0</v>
      </c>
      <c r="BA12" s="931" t="e">
        <f>(AY12*'Common HVAC References'!$B$25)-(AZ12*'Common HVAC References'!$B$25)</f>
        <v>#VALUE!</v>
      </c>
      <c r="BB12" s="931" t="e">
        <f t="shared" si="12"/>
        <v>#VALUE!</v>
      </c>
      <c r="BC12" s="931" t="e">
        <f t="shared" si="13"/>
        <v>#VALUE!</v>
      </c>
      <c r="BD12" s="929" t="e">
        <f t="shared" si="25"/>
        <v>#VALUE!</v>
      </c>
      <c r="BE12" s="929" t="e">
        <f t="shared" si="14"/>
        <v>#VALUE!</v>
      </c>
      <c r="BF12" s="929" t="e">
        <f t="shared" si="15"/>
        <v>#VALUE!</v>
      </c>
      <c r="BG12" s="929" t="e">
        <f t="shared" si="16"/>
        <v>#VALUE!</v>
      </c>
      <c r="BH12" s="929" t="e">
        <f t="shared" si="17"/>
        <v>#VALUE!</v>
      </c>
      <c r="BI12" s="930" t="e">
        <f t="shared" si="18"/>
        <v>#VALUE!</v>
      </c>
      <c r="BJ12" s="929" t="e">
        <f t="shared" si="19"/>
        <v>#VALUE!</v>
      </c>
      <c r="BK12" s="929" t="e">
        <f t="shared" si="20"/>
        <v>#VALUE!</v>
      </c>
      <c r="BL12" s="972">
        <f t="shared" si="26"/>
        <v>0</v>
      </c>
      <c r="BM12" s="928">
        <f t="shared" si="21"/>
        <v>0</v>
      </c>
      <c r="BN12" s="926">
        <v>6</v>
      </c>
      <c r="BO12" s="971" t="str">
        <f t="shared" si="22"/>
        <v xml:space="preserve">  </v>
      </c>
      <c r="BP12" s="970" t="str">
        <f t="shared" si="23"/>
        <v/>
      </c>
      <c r="BQ12" s="927" t="str">
        <f t="shared" si="24"/>
        <v xml:space="preserve">   </v>
      </c>
      <c r="BR12" s="927" t="str">
        <f>IF(Y12="FAIL","",INDEX('Common HVAC References'!$AG$4:$AG$82,MATCH('Common HVAC Calculation'!BQ12,'Common HVAC References'!$AF$4:$AF$82,0)))</f>
        <v/>
      </c>
      <c r="BS12" s="969" t="e">
        <f>BK12*'Common HVAC References'!$F$137</f>
        <v>#VALUE!</v>
      </c>
      <c r="BT12" s="969" t="e">
        <f>-AZ12*'Common HVAC References'!$F$137+AU12*INDEX('Common HVAC References'!$F$134:$F$140,MATCH(IF(LEFT(AI12,8)="Baseline",LEFT(AI12,8),AI12),'Common HVAC References'!$D$134:$D$140,0))</f>
        <v>#VALUE!</v>
      </c>
    </row>
    <row r="13" spans="2:72">
      <c r="B13" s="761">
        <v>7</v>
      </c>
      <c r="C13" s="888" t="str">
        <f>IF('Worksheet Common HVAC'!B22="","",'Worksheet Common HVAC'!B22)</f>
        <v/>
      </c>
      <c r="D13" s="940" t="str">
        <f>IF('Worksheet Common HVAC'!C22="","",'Worksheet Common HVAC'!C22)</f>
        <v/>
      </c>
      <c r="E13" s="940" t="str">
        <f>IF('Worksheet Common HVAC'!E22="","",'Worksheet Common HVAC'!E22)</f>
        <v/>
      </c>
      <c r="F13" s="940" t="str">
        <f>IF('Worksheet Common HVAC'!T22="","",'Worksheet Common HVAC'!T22)</f>
        <v/>
      </c>
      <c r="G13" s="973" t="str">
        <f>IF('Worksheet Common HVAC'!V22="","",'Worksheet Common HVAC'!V22)</f>
        <v/>
      </c>
      <c r="H13" s="892" t="str">
        <f t="shared" si="0"/>
        <v xml:space="preserve">  </v>
      </c>
      <c r="I13" s="888" t="str">
        <f>IF('Worksheet Common HVAC'!H22="","",'Worksheet Common HVAC'!H22)</f>
        <v/>
      </c>
      <c r="J13" s="941" t="str">
        <f>IF('Worksheet Common HVAC'!I22="","",'Worksheet Common HVAC'!I22)</f>
        <v/>
      </c>
      <c r="K13" s="888" t="str">
        <f>IF(LEFT('Worksheet Common HVAC'!B22,4)="Room",'Common HVAC Calculation'!L13,IF('Worksheet Common HVAC'!J22="","",'Worksheet Common HVAC'!J22))</f>
        <v/>
      </c>
      <c r="L13" s="940" t="str">
        <f>IF('Worksheet Common HVAC'!K22="","",'Worksheet Common HVAC'!K22)</f>
        <v/>
      </c>
      <c r="M13" s="940" t="str">
        <f>IF($H13="  ","",IF('Worksheet Common HVAC'!L22="",0,'Worksheet Common HVAC'!L22))</f>
        <v/>
      </c>
      <c r="N13" s="940" t="str">
        <f>IF($H13="  ","",IF('Worksheet Common HVAC'!M22="",0,'Worksheet Common HVAC'!M22))</f>
        <v/>
      </c>
      <c r="O13" s="888" t="str">
        <f>IF(H13="  ","",INDEX(HVAC_T1T2ReferenceTable,MATCH(H13,'Common HVAC References'!$AX$4:$AX$45,0),2))</f>
        <v/>
      </c>
      <c r="P13" s="940" t="str">
        <f t="shared" si="1"/>
        <v/>
      </c>
      <c r="Q13" s="940" t="str">
        <f t="shared" si="2"/>
        <v/>
      </c>
      <c r="R13" s="940" t="str">
        <f t="shared" si="3"/>
        <v/>
      </c>
      <c r="S13" s="940" t="str">
        <f>IF(LEFT(H13,4)="Room",'Common HVAC References'!$AT$4,"")</f>
        <v/>
      </c>
      <c r="T13" s="888" t="str">
        <f t="shared" si="4"/>
        <v/>
      </c>
      <c r="U13" s="940" t="str">
        <f t="shared" si="5"/>
        <v/>
      </c>
      <c r="V13" s="940" t="str">
        <f t="shared" si="6"/>
        <v/>
      </c>
      <c r="W13" s="940" t="str">
        <f t="shared" si="7"/>
        <v/>
      </c>
      <c r="X13" s="940" t="str">
        <f>IF(AND(N13="",R13&lt;&gt;0),"",IF(LEFT(H13,4)&lt;&gt;"Room","PASS",IF(LEFT(F13,4)&lt;&gt;"Room","FAIL",IF('Worksheet Common HVAC'!X22&lt;=S13,"PASS","FAIL"))))</f>
        <v/>
      </c>
      <c r="Y13" s="892" t="str">
        <f t="shared" si="8"/>
        <v>FAIL</v>
      </c>
      <c r="Z13" s="888" t="str">
        <f>'Common HVAC References'!$G$43</f>
        <v>Multifamily</v>
      </c>
      <c r="AA13" s="939">
        <f>IF(OR(Z13="",Z13="… please select …"),0,INDEX('Common HVAC References'!$H$22:$H$44,MATCH(Z13,'Common HVAC References'!$G$22:$G$44,0)))</f>
        <v>736</v>
      </c>
      <c r="AB13" s="938">
        <f>IF(OR(Z13="",Z13="… please select …"),0,INDEX('Common HVAC References'!$I$22:$I$44,MATCH(Z13,'Common HVAC References'!$G$22:$G$44,0)))</f>
        <v>681</v>
      </c>
      <c r="AF13" s="926">
        <v>7</v>
      </c>
      <c r="AG13" s="937" t="str">
        <f t="shared" si="9"/>
        <v xml:space="preserve">   </v>
      </c>
      <c r="AH13" s="937" t="str">
        <f>IF(OR('Worksheet Common HVAC'!$T22="",'Worksheet Common HVAC'!T22="None"),IF($H13="  ","","Baseline "&amp;INDEX('Common HVAC References'!$V$4:$V$43,MATCH($H13,'Common HVAC References'!$S$4:$S$43,0))),"Existing "&amp;'Worksheet Common HVAC'!$T22)</f>
        <v/>
      </c>
      <c r="AI13" s="927" t="str">
        <f>IF(OR('Worksheet Common HVAC'!U22="",'Worksheet Common HVAC'!U22="None"),IF(I13="","","Baseline "&amp;INDEX('Common HVAC References'!$W$4:$W$44,MATCH($H13,'Common HVAC References'!$S$4:$S$44,0))),"Existing "&amp;'Worksheet Common HVAC'!U22)</f>
        <v/>
      </c>
      <c r="AJ13" s="936" t="str">
        <f>_xlfn.IFNA(IF(OR('Worksheet Common HVAC'!W22=0,'Worksheet Common HVAC'!W22=""),IF(OR(LEFT(H13,3)="pac",LEFT(H13,4)="Room"),0,INDEX('Common HVAC References'!$BK$5:$BK$44,MATCH(H13,'Common HVAC References'!$AX$5:$AX$44,0))),'Worksheet Common HVAC'!W22),"")</f>
        <v/>
      </c>
      <c r="AK13" s="929" t="str">
        <f>IF(H13="  ","",IF('Worksheet Common HVAC'!X22="",IF(LEFT(H13,3)="Pac",(INDEX('Common HVAC References'!$BL$4:$BL$44,MATCH(H13,'Common HVAC References'!$AX$4:$AX$44,0)))-(0.3*I13*12000/1000),INDEX('Common HVAC References'!$BL$4:$BL$44,MATCH(H13,'Common HVAC References'!$AX$4:$AX$44,0))),'Worksheet Common HVAC'!X22))</f>
        <v/>
      </c>
      <c r="AL13" s="1644" t="str">
        <f>IF(H13="  ","",IF(OR($AI13="Existing Gas",$AI13="Existing Oil",$AI13="Existing Propane",$AI13="New Construction"),0,IF(AND('Worksheet Common HVAC'!Z22=0,'Worksheet Common HVAC'!Y22=0),IF(LEFT(H13,3)="pac",0,INDEX('Common HVAC References'!$BM$4:$BM$44,MATCH(H13,'Common HVAC References'!$AX$4:$AX$44,0))),IF(AND('Worksheet Common HVAC'!Z22&gt;0,'Worksheet Common HVAC'!Y22=0),'Worksheet Common HVAC'!Z22*'Common HVAC References'!$B$45,'Worksheet Common HVAC'!Y22))))</f>
        <v/>
      </c>
      <c r="AM13" s="929" t="str">
        <f>IF($H13="  ","",IF(OR($AI13="Existing Gas",$AI13="Existing Oil",$AI13="Existing Propane",$AI13="Baseline New Construction"),0,IF(OR('Worksheet Common HVAC'!Z22="",'Worksheet Common HVAC'!Z22=0),IF(LEFT(H13,3)="Pac",(INDEX('Common HVAC References'!$BM$4:$BM$44,MATCH(H13,'Common HVAC References'!$AX$4:$AX$44,0)))-INDEX('Common HVAC References'!$BN$4:$BN$44,MATCH(H13,'Common HVAC References'!$AX$4:$AX$44,0))*I13*12000/1000,INDEX('Common HVAC References'!$BN$4:$BN$44,MATCH(H13,'Common HVAC References'!$AX$4:$AX$44,0))),'Worksheet Common HVAC'!Z22)))</f>
        <v/>
      </c>
      <c r="AN13" s="935" t="str">
        <f>IF($H13="  ","",IF(OR($AI13="Existing Gas",$AI13="Existing Oil",$AI13="Existing Propane", $AI13="Baseline New Construction"),IF(OR('Worksheet Common HVAC'!AA22="",'Worksheet Common HVAC'!AA22=0),INDEX('Common HVAC References'!$E$134:$E$138,MATCH(AI13,'Common HVAC References'!$D$134:$D$138,0)),'Worksheet Common HVAC'!AA22),0))</f>
        <v/>
      </c>
      <c r="AO13" s="934">
        <f>IF(OR(LEFT(AI13,8)="Existing",RIGHT(AI13,16)="New Construction"),'Common HVAC References'!$B$29,1)</f>
        <v>1</v>
      </c>
      <c r="AP13" s="933">
        <f>'Common HVAC References'!$B$33</f>
        <v>15</v>
      </c>
      <c r="AQ13" s="932" t="e">
        <f>IF(AND(AK13&gt;0,L13&gt;0),ROUND((I13*12)*((1/AK13)-(1/L13)),'Common HVAC References'!$B$36),0)</f>
        <v>#VALUE!</v>
      </c>
      <c r="AR13" s="931" t="e">
        <f>IF(AND(AK13&gt;0,L13&gt;0),ROUND((J13*I13*12)*((1/AK13)-(1/L13)),'Common HVAC References'!$B$36),0)</f>
        <v>#VALUE!</v>
      </c>
      <c r="AS13" s="931" t="e">
        <f>IF(AND(AJ13=0,AK13=0),0,IF(AJ13&gt;0,ROUND((I13*12)*((1/AJ13)-(1/K13))*AA13,'Common HVAC References'!$B$39),ROUND((I13*12)*((1/AK13)-(1/L13))*AA13,'Common HVAC References'!$B$39)))</f>
        <v>#VALUE!</v>
      </c>
      <c r="AT13" s="931" t="e">
        <f>AS13*'Common HVAC References'!$B$25</f>
        <v>#VALUE!</v>
      </c>
      <c r="AU13" s="931" t="e">
        <f t="shared" si="10"/>
        <v>#VALUE!</v>
      </c>
      <c r="AV13" s="932">
        <f>IF(AND(N13&gt;0,AM13&gt;0,N13&lt;&gt;""),ROUND((I13*12)*((1/(AM13))-(1/(N13))),'Common HVAC References'!$B$36),IF(AND(M13&gt;0,AL13&gt;0,M13&lt;&gt;""),ROUND((I13*12)*(1/(AL13/3.412))-(1/(M13/3.412)),'Common HVAC References'!$B$36),IF(AND(N13&gt;0,N13&lt;&gt;""),ROUND((I13*12)*-(1/(N13/3.412)),'Common HVAC References'!$B$36),IF(AND(M13&gt;0,M13&lt;&gt;""),ROUND((I13*12)*-(1/(M13/3.412)),'Common HVAC References'!$B$36),0))))</f>
        <v>0</v>
      </c>
      <c r="AW13" s="931" t="e">
        <f t="shared" si="11"/>
        <v>#VALUE!</v>
      </c>
      <c r="AX13" s="931" t="e">
        <f>ROUND(AU13*AN13*AP13,'Common HVAC References'!$B$39)</f>
        <v>#VALUE!</v>
      </c>
      <c r="AY13" s="931" t="e">
        <f>IF(AND(AL13&gt;0,M13&gt;0),ROUND((I13*12)*((1/AL13)-(1/M13))*AB13*AO13,'Common HVAC References'!$B$39),IF(AND(AM13&gt;0,N13&gt;0),ROUND((I13*12)*((1/AM13)-(1/N13))*AB13*AO13/3.413,'Common HVAC References'!$B$39),0))</f>
        <v>#VALUE!</v>
      </c>
      <c r="AZ13" s="931">
        <f>IF(AND(OR($AI13="Existing Gas",$AI13="Existing Oil",$AI13="Existing Propane",$AI13="Baseline New Construction"),RIGHT(C13,10)="Heat Pumps"),IF(AND(M13&gt;0,M13&lt;&gt;""),ROUND(((I13*12)*((1/M13))*AB13*AO13)-AX13,'Common HVAC References'!$B$39),IF(AND(N13&gt;0,N13&lt;&gt;""),ROUND(((I13*12)*((1/N13))*AB13*AO13/3.412)-AX13,'Common HVAC References'!$B$39),0)),0)</f>
        <v>0</v>
      </c>
      <c r="BA13" s="931" t="e">
        <f>(AY13*'Common HVAC References'!$B$25)-(AZ13*'Common HVAC References'!$B$25)</f>
        <v>#VALUE!</v>
      </c>
      <c r="BB13" s="931" t="e">
        <f t="shared" si="12"/>
        <v>#VALUE!</v>
      </c>
      <c r="BC13" s="931" t="e">
        <f t="shared" si="13"/>
        <v>#VALUE!</v>
      </c>
      <c r="BD13" s="929" t="e">
        <f t="shared" si="25"/>
        <v>#VALUE!</v>
      </c>
      <c r="BE13" s="929" t="e">
        <f t="shared" si="14"/>
        <v>#VALUE!</v>
      </c>
      <c r="BF13" s="929" t="e">
        <f t="shared" si="15"/>
        <v>#VALUE!</v>
      </c>
      <c r="BG13" s="929" t="e">
        <f t="shared" si="16"/>
        <v>#VALUE!</v>
      </c>
      <c r="BH13" s="929" t="e">
        <f t="shared" si="17"/>
        <v>#VALUE!</v>
      </c>
      <c r="BI13" s="930" t="e">
        <f t="shared" si="18"/>
        <v>#VALUE!</v>
      </c>
      <c r="BJ13" s="929" t="e">
        <f t="shared" si="19"/>
        <v>#VALUE!</v>
      </c>
      <c r="BK13" s="929" t="e">
        <f t="shared" si="20"/>
        <v>#VALUE!</v>
      </c>
      <c r="BL13" s="972">
        <f t="shared" si="26"/>
        <v>0</v>
      </c>
      <c r="BM13" s="928">
        <f t="shared" si="21"/>
        <v>0</v>
      </c>
      <c r="BN13" s="926">
        <v>7</v>
      </c>
      <c r="BO13" s="971" t="str">
        <f t="shared" si="22"/>
        <v xml:space="preserve">  </v>
      </c>
      <c r="BP13" s="970" t="str">
        <f t="shared" si="23"/>
        <v/>
      </c>
      <c r="BQ13" s="927" t="str">
        <f t="shared" si="24"/>
        <v xml:space="preserve">   </v>
      </c>
      <c r="BR13" s="927" t="str">
        <f>IF(Y13="FAIL","",INDEX('Common HVAC References'!$AG$4:$AG$82,MATCH('Common HVAC Calculation'!BQ13,'Common HVAC References'!$AF$4:$AF$82,0)))</f>
        <v/>
      </c>
      <c r="BS13" s="969" t="e">
        <f>BK13*'Common HVAC References'!$F$137</f>
        <v>#VALUE!</v>
      </c>
      <c r="BT13" s="969" t="e">
        <f>-AZ13*'Common HVAC References'!$F$137+AU13*INDEX('Common HVAC References'!$F$134:$F$140,MATCH(IF(LEFT(AI13,8)="Baseline",LEFT(AI13,8),AI13),'Common HVAC References'!$D$134:$D$140,0))</f>
        <v>#VALUE!</v>
      </c>
    </row>
    <row r="14" spans="2:72">
      <c r="B14" s="761">
        <v>8</v>
      </c>
      <c r="C14" s="888" t="str">
        <f>IF('Worksheet Common HVAC'!B23="","",'Worksheet Common HVAC'!B23)</f>
        <v/>
      </c>
      <c r="D14" s="940" t="str">
        <f>IF('Worksheet Common HVAC'!C23="","",'Worksheet Common HVAC'!C23)</f>
        <v/>
      </c>
      <c r="E14" s="940" t="str">
        <f>IF('Worksheet Common HVAC'!E23="","",'Worksheet Common HVAC'!E23)</f>
        <v/>
      </c>
      <c r="F14" s="940" t="str">
        <f>IF('Worksheet Common HVAC'!T23="","",'Worksheet Common HVAC'!T23)</f>
        <v/>
      </c>
      <c r="G14" s="973" t="str">
        <f>IF('Worksheet Common HVAC'!V23="","",'Worksheet Common HVAC'!V23)</f>
        <v/>
      </c>
      <c r="H14" s="892" t="str">
        <f t="shared" si="0"/>
        <v xml:space="preserve">  </v>
      </c>
      <c r="I14" s="888" t="str">
        <f>IF('Worksheet Common HVAC'!H23="","",'Worksheet Common HVAC'!H23)</f>
        <v/>
      </c>
      <c r="J14" s="941" t="str">
        <f>IF('Worksheet Common HVAC'!I23="","",'Worksheet Common HVAC'!I23)</f>
        <v/>
      </c>
      <c r="K14" s="888" t="str">
        <f>IF(LEFT('Worksheet Common HVAC'!B23,4)="Room",'Common HVAC Calculation'!L14,IF('Worksheet Common HVAC'!J23="","",'Worksheet Common HVAC'!J23))</f>
        <v/>
      </c>
      <c r="L14" s="940" t="str">
        <f>IF('Worksheet Common HVAC'!K23="","",'Worksheet Common HVAC'!K23)</f>
        <v/>
      </c>
      <c r="M14" s="940" t="str">
        <f>IF($H14="  ","",IF('Worksheet Common HVAC'!L23="",0,'Worksheet Common HVAC'!L23))</f>
        <v/>
      </c>
      <c r="N14" s="940" t="str">
        <f>IF($H14="  ","",IF('Worksheet Common HVAC'!M23="",0,'Worksheet Common HVAC'!M23))</f>
        <v/>
      </c>
      <c r="O14" s="888" t="str">
        <f>IF(H14="  ","",INDEX(HVAC_T1T2ReferenceTable,MATCH(H14,'Common HVAC References'!$AX$4:$AX$45,0),2))</f>
        <v/>
      </c>
      <c r="P14" s="940" t="str">
        <f t="shared" si="1"/>
        <v/>
      </c>
      <c r="Q14" s="940" t="str">
        <f t="shared" si="2"/>
        <v/>
      </c>
      <c r="R14" s="940" t="str">
        <f t="shared" si="3"/>
        <v/>
      </c>
      <c r="S14" s="940" t="str">
        <f>IF(LEFT(H14,4)="Room",'Common HVAC References'!$AT$4,"")</f>
        <v/>
      </c>
      <c r="T14" s="888" t="str">
        <f t="shared" si="4"/>
        <v/>
      </c>
      <c r="U14" s="940" t="str">
        <f t="shared" si="5"/>
        <v/>
      </c>
      <c r="V14" s="940" t="str">
        <f t="shared" si="6"/>
        <v/>
      </c>
      <c r="W14" s="940" t="str">
        <f t="shared" si="7"/>
        <v/>
      </c>
      <c r="X14" s="940" t="str">
        <f>IF(AND(N14="",R14&lt;&gt;0),"",IF(LEFT(H14,4)&lt;&gt;"Room","PASS",IF(LEFT(F14,4)&lt;&gt;"Room","FAIL",IF('Worksheet Common HVAC'!X23&lt;=S14,"PASS","FAIL"))))</f>
        <v/>
      </c>
      <c r="Y14" s="892" t="str">
        <f t="shared" si="8"/>
        <v>FAIL</v>
      </c>
      <c r="Z14" s="888" t="str">
        <f>'Common HVAC References'!$G$43</f>
        <v>Multifamily</v>
      </c>
      <c r="AA14" s="939">
        <f>IF(OR(Z14="",Z14="… please select …"),0,INDEX('Common HVAC References'!$H$22:$H$44,MATCH(Z14,'Common HVAC References'!$G$22:$G$44,0)))</f>
        <v>736</v>
      </c>
      <c r="AB14" s="938">
        <f>IF(OR(Z14="",Z14="… please select …"),0,INDEX('Common HVAC References'!$I$22:$I$44,MATCH(Z14,'Common HVAC References'!$G$22:$G$44,0)))</f>
        <v>681</v>
      </c>
      <c r="AF14" s="926">
        <v>8</v>
      </c>
      <c r="AG14" s="937" t="str">
        <f t="shared" si="9"/>
        <v xml:space="preserve">   </v>
      </c>
      <c r="AH14" s="937" t="str">
        <f>IF(OR('Worksheet Common HVAC'!$T23="",'Worksheet Common HVAC'!T23="None"),IF($H14="  ","","Baseline "&amp;INDEX('Common HVAC References'!$V$4:$V$43,MATCH($H14,'Common HVAC References'!$S$4:$S$43,0))),"Existing "&amp;'Worksheet Common HVAC'!$T23)</f>
        <v/>
      </c>
      <c r="AI14" s="927" t="str">
        <f>IF(OR('Worksheet Common HVAC'!U23="",'Worksheet Common HVAC'!U23="None"),IF(I14="","","Baseline "&amp;INDEX('Common HVAC References'!$W$4:$W$44,MATCH($H14,'Common HVAC References'!$S$4:$S$44,0))),"Existing "&amp;'Worksheet Common HVAC'!U23)</f>
        <v/>
      </c>
      <c r="AJ14" s="936" t="str">
        <f>_xlfn.IFNA(IF(OR('Worksheet Common HVAC'!W23=0,'Worksheet Common HVAC'!W23=""),IF(OR(LEFT(H14,3)="pac",LEFT(H14,4)="Room"),0,INDEX('Common HVAC References'!$BK$5:$BK$44,MATCH(H14,'Common HVAC References'!$AX$5:$AX$44,0))),'Worksheet Common HVAC'!W23),"")</f>
        <v/>
      </c>
      <c r="AK14" s="929" t="str">
        <f>IF(H14="  ","",IF('Worksheet Common HVAC'!X23="",IF(LEFT(H14,3)="Pac",(INDEX('Common HVAC References'!$BL$4:$BL$44,MATCH(H14,'Common HVAC References'!$AX$4:$AX$44,0)))-(0.3*I14*12000/1000),INDEX('Common HVAC References'!$BL$4:$BL$44,MATCH(H14,'Common HVAC References'!$AX$4:$AX$44,0))),'Worksheet Common HVAC'!X23))</f>
        <v/>
      </c>
      <c r="AL14" s="1644" t="str">
        <f>IF(H14="  ","",IF(OR($AI14="Existing Gas",$AI14="Existing Oil",$AI14="Existing Propane",$AI14="New Construction"),0,IF(AND('Worksheet Common HVAC'!Z23=0,'Worksheet Common HVAC'!Y23=0),IF(LEFT(H14,3)="pac",0,INDEX('Common HVAC References'!$BM$4:$BM$44,MATCH(H14,'Common HVAC References'!$AX$4:$AX$44,0))),IF(AND('Worksheet Common HVAC'!Z23&gt;0,'Worksheet Common HVAC'!Y23=0),'Worksheet Common HVAC'!Z23*'Common HVAC References'!$B$45,'Worksheet Common HVAC'!Y23))))</f>
        <v/>
      </c>
      <c r="AM14" s="929" t="str">
        <f>IF($H14="  ","",IF(OR($AI14="Existing Gas",$AI14="Existing Oil",$AI14="Existing Propane",$AI14="Baseline New Construction"),0,IF(OR('Worksheet Common HVAC'!Z23="",'Worksheet Common HVAC'!Z23=0),IF(LEFT(H14,3)="Pac",(INDEX('Common HVAC References'!$BM$4:$BM$44,MATCH(H14,'Common HVAC References'!$AX$4:$AX$44,0)))-INDEX('Common HVAC References'!$BN$4:$BN$44,MATCH(H14,'Common HVAC References'!$AX$4:$AX$44,0))*I14*12000/1000,INDEX('Common HVAC References'!$BN$4:$BN$44,MATCH(H14,'Common HVAC References'!$AX$4:$AX$44,0))),'Worksheet Common HVAC'!Z23)))</f>
        <v/>
      </c>
      <c r="AN14" s="935" t="str">
        <f>IF($H14="  ","",IF(OR($AI14="Existing Gas",$AI14="Existing Oil",$AI14="Existing Propane", $AI14="Baseline New Construction"),IF(OR('Worksheet Common HVAC'!AA23="",'Worksheet Common HVAC'!AA23=0),INDEX('Common HVAC References'!$E$134:$E$138,MATCH(AI14,'Common HVAC References'!$D$134:$D$138,0)),'Worksheet Common HVAC'!AA23),0))</f>
        <v/>
      </c>
      <c r="AO14" s="934">
        <f>IF(OR(LEFT(AI14,8)="Existing",RIGHT(AI14,16)="New Construction"),'Common HVAC References'!$B$29,1)</f>
        <v>1</v>
      </c>
      <c r="AP14" s="933">
        <f>'Common HVAC References'!$B$33</f>
        <v>15</v>
      </c>
      <c r="AQ14" s="932" t="e">
        <f>IF(AND(AK14&gt;0,L14&gt;0),ROUND((I14*12)*((1/AK14)-(1/L14)),'Common HVAC References'!$B$36),0)</f>
        <v>#VALUE!</v>
      </c>
      <c r="AR14" s="931" t="e">
        <f>IF(AND(AK14&gt;0,L14&gt;0),ROUND((J14*I14*12)*((1/AK14)-(1/L14)),'Common HVAC References'!$B$36),0)</f>
        <v>#VALUE!</v>
      </c>
      <c r="AS14" s="931" t="e">
        <f>IF(AND(AJ14=0,AK14=0),0,IF(AJ14&gt;0,ROUND((I14*12)*((1/AJ14)-(1/K14))*AA14,'Common HVAC References'!$B$39),ROUND((I14*12)*((1/AK14)-(1/L14))*AA14,'Common HVAC References'!$B$39)))</f>
        <v>#VALUE!</v>
      </c>
      <c r="AT14" s="931" t="e">
        <f>AS14*'Common HVAC References'!$B$25</f>
        <v>#VALUE!</v>
      </c>
      <c r="AU14" s="931" t="e">
        <f t="shared" si="10"/>
        <v>#VALUE!</v>
      </c>
      <c r="AV14" s="932">
        <f>IF(AND(N14&gt;0,AM14&gt;0,N14&lt;&gt;""),ROUND((I14*12)*((1/(AM14))-(1/(N14))),'Common HVAC References'!$B$36),IF(AND(M14&gt;0,AL14&gt;0,M14&lt;&gt;""),ROUND((I14*12)*(1/(AL14/3.412))-(1/(M14/3.412)),'Common HVAC References'!$B$36),IF(AND(N14&gt;0,N14&lt;&gt;""),ROUND((I14*12)*-(1/(N14/3.412)),'Common HVAC References'!$B$36),IF(AND(M14&gt;0,M14&lt;&gt;""),ROUND((I14*12)*-(1/(M14/3.412)),'Common HVAC References'!$B$36),0))))</f>
        <v>0</v>
      </c>
      <c r="AW14" s="931" t="e">
        <f t="shared" si="11"/>
        <v>#VALUE!</v>
      </c>
      <c r="AX14" s="931" t="e">
        <f>ROUND(AU14*AN14*AP14,'Common HVAC References'!$B$39)</f>
        <v>#VALUE!</v>
      </c>
      <c r="AY14" s="931" t="e">
        <f>IF(AND(AL14&gt;0,M14&gt;0),ROUND((I14*12)*((1/AL14)-(1/M14))*AB14*AO14,'Common HVAC References'!$B$39),IF(AND(AM14&gt;0,N14&gt;0),ROUND((I14*12)*((1/AM14)-(1/N14))*AB14*AO14/3.413,'Common HVAC References'!$B$39),0))</f>
        <v>#VALUE!</v>
      </c>
      <c r="AZ14" s="931">
        <f>IF(AND(OR($AI14="Existing Gas",$AI14="Existing Oil",$AI14="Existing Propane",$AI14="Baseline New Construction"),RIGHT(C14,10)="Heat Pumps"),IF(AND(M14&gt;0,M14&lt;&gt;""),ROUND(((I14*12)*((1/M14))*AB14*AO14)-AX14,'Common HVAC References'!$B$39),IF(AND(N14&gt;0,N14&lt;&gt;""),ROUND(((I14*12)*((1/N14))*AB14*AO14/3.412)-AX14,'Common HVAC References'!$B$39),0)),0)</f>
        <v>0</v>
      </c>
      <c r="BA14" s="931" t="e">
        <f>(AY14*'Common HVAC References'!$B$25)-(AZ14*'Common HVAC References'!$B$25)</f>
        <v>#VALUE!</v>
      </c>
      <c r="BB14" s="931" t="e">
        <f t="shared" si="12"/>
        <v>#VALUE!</v>
      </c>
      <c r="BC14" s="931" t="e">
        <f t="shared" si="13"/>
        <v>#VALUE!</v>
      </c>
      <c r="BD14" s="929" t="e">
        <f t="shared" si="25"/>
        <v>#VALUE!</v>
      </c>
      <c r="BE14" s="929" t="e">
        <f t="shared" si="14"/>
        <v>#VALUE!</v>
      </c>
      <c r="BF14" s="929" t="e">
        <f t="shared" si="15"/>
        <v>#VALUE!</v>
      </c>
      <c r="BG14" s="929" t="e">
        <f t="shared" si="16"/>
        <v>#VALUE!</v>
      </c>
      <c r="BH14" s="929" t="e">
        <f t="shared" si="17"/>
        <v>#VALUE!</v>
      </c>
      <c r="BI14" s="930" t="e">
        <f t="shared" si="18"/>
        <v>#VALUE!</v>
      </c>
      <c r="BJ14" s="929" t="e">
        <f t="shared" si="19"/>
        <v>#VALUE!</v>
      </c>
      <c r="BK14" s="929" t="e">
        <f t="shared" si="20"/>
        <v>#VALUE!</v>
      </c>
      <c r="BL14" s="972">
        <f t="shared" si="26"/>
        <v>0</v>
      </c>
      <c r="BM14" s="928">
        <f t="shared" si="21"/>
        <v>0</v>
      </c>
      <c r="BN14" s="926">
        <v>8</v>
      </c>
      <c r="BO14" s="971" t="str">
        <f t="shared" si="22"/>
        <v xml:space="preserve">  </v>
      </c>
      <c r="BP14" s="970" t="str">
        <f t="shared" si="23"/>
        <v/>
      </c>
      <c r="BQ14" s="927" t="str">
        <f t="shared" si="24"/>
        <v xml:space="preserve">   </v>
      </c>
      <c r="BR14" s="927" t="str">
        <f>IF(Y14="FAIL","",INDEX('Common HVAC References'!$AG$4:$AG$82,MATCH('Common HVAC Calculation'!BQ14,'Common HVAC References'!$AF$4:$AF$82,0)))</f>
        <v/>
      </c>
      <c r="BS14" s="969" t="e">
        <f>BK14*'Common HVAC References'!$F$137</f>
        <v>#VALUE!</v>
      </c>
      <c r="BT14" s="969" t="e">
        <f>-AZ14*'Common HVAC References'!$F$137+AU14*INDEX('Common HVAC References'!$F$134:$F$140,MATCH(IF(LEFT(AI14,8)="Baseline",LEFT(AI14,8),AI14),'Common HVAC References'!$D$134:$D$140,0))</f>
        <v>#VALUE!</v>
      </c>
    </row>
    <row r="15" spans="2:72">
      <c r="B15" s="761">
        <v>9</v>
      </c>
      <c r="C15" s="888" t="str">
        <f>IF('Worksheet Common HVAC'!B24="","",'Worksheet Common HVAC'!B24)</f>
        <v/>
      </c>
      <c r="D15" s="940" t="str">
        <f>IF('Worksheet Common HVAC'!C24="","",'Worksheet Common HVAC'!C24)</f>
        <v/>
      </c>
      <c r="E15" s="940" t="str">
        <f>IF('Worksheet Common HVAC'!E24="","",'Worksheet Common HVAC'!E24)</f>
        <v/>
      </c>
      <c r="F15" s="940" t="str">
        <f>IF('Worksheet Common HVAC'!T24="","",'Worksheet Common HVAC'!T24)</f>
        <v/>
      </c>
      <c r="G15" s="973" t="str">
        <f>IF('Worksheet Common HVAC'!V24="","",'Worksheet Common HVAC'!V24)</f>
        <v/>
      </c>
      <c r="H15" s="892" t="str">
        <f t="shared" si="0"/>
        <v xml:space="preserve">  </v>
      </c>
      <c r="I15" s="888" t="str">
        <f>IF('Worksheet Common HVAC'!H24="","",'Worksheet Common HVAC'!H24)</f>
        <v/>
      </c>
      <c r="J15" s="941" t="str">
        <f>IF('Worksheet Common HVAC'!I24="","",'Worksheet Common HVAC'!I24)</f>
        <v/>
      </c>
      <c r="K15" s="888" t="str">
        <f>IF(LEFT('Worksheet Common HVAC'!B24,4)="Room",'Common HVAC Calculation'!L15,IF('Worksheet Common HVAC'!J24="","",'Worksheet Common HVAC'!J24))</f>
        <v/>
      </c>
      <c r="L15" s="940" t="str">
        <f>IF('Worksheet Common HVAC'!K24="","",'Worksheet Common HVAC'!K24)</f>
        <v/>
      </c>
      <c r="M15" s="940" t="str">
        <f>IF($H15="  ","",IF('Worksheet Common HVAC'!L24="",0,'Worksheet Common HVAC'!L24))</f>
        <v/>
      </c>
      <c r="N15" s="940" t="str">
        <f>IF($H15="  ","",IF('Worksheet Common HVAC'!M24="",0,'Worksheet Common HVAC'!M24))</f>
        <v/>
      </c>
      <c r="O15" s="888" t="str">
        <f>IF(H15="  ","",INDEX(HVAC_T1T2ReferenceTable,MATCH(H15,'Common HVAC References'!$AX$4:$AX$45,0),2))</f>
        <v/>
      </c>
      <c r="P15" s="940" t="str">
        <f t="shared" si="1"/>
        <v/>
      </c>
      <c r="Q15" s="940" t="str">
        <f t="shared" si="2"/>
        <v/>
      </c>
      <c r="R15" s="940" t="str">
        <f t="shared" si="3"/>
        <v/>
      </c>
      <c r="S15" s="940" t="str">
        <f>IF(LEFT(H15,4)="Room",'Common HVAC References'!$AT$4,"")</f>
        <v/>
      </c>
      <c r="T15" s="888" t="str">
        <f t="shared" si="4"/>
        <v/>
      </c>
      <c r="U15" s="940" t="str">
        <f t="shared" si="5"/>
        <v/>
      </c>
      <c r="V15" s="940" t="str">
        <f t="shared" si="6"/>
        <v/>
      </c>
      <c r="W15" s="940" t="str">
        <f t="shared" si="7"/>
        <v/>
      </c>
      <c r="X15" s="940" t="str">
        <f>IF(AND(N15="",R15&lt;&gt;0),"",IF(LEFT(H15,4)&lt;&gt;"Room","PASS",IF(LEFT(F15,4)&lt;&gt;"Room","FAIL",IF('Worksheet Common HVAC'!X24&lt;=S15,"PASS","FAIL"))))</f>
        <v/>
      </c>
      <c r="Y15" s="892" t="str">
        <f t="shared" si="8"/>
        <v>FAIL</v>
      </c>
      <c r="Z15" s="888" t="str">
        <f>'Common HVAC References'!$G$43</f>
        <v>Multifamily</v>
      </c>
      <c r="AA15" s="939">
        <f>IF(OR(Z15="",Z15="… please select …"),0,INDEX('Common HVAC References'!$H$22:$H$44,MATCH(Z15,'Common HVAC References'!$G$22:$G$44,0)))</f>
        <v>736</v>
      </c>
      <c r="AB15" s="938">
        <f>IF(OR(Z15="",Z15="… please select …"),0,INDEX('Common HVAC References'!$I$22:$I$44,MATCH(Z15,'Common HVAC References'!$G$22:$G$44,0)))</f>
        <v>681</v>
      </c>
      <c r="AF15" s="926">
        <v>9</v>
      </c>
      <c r="AG15" s="937" t="str">
        <f t="shared" si="9"/>
        <v xml:space="preserve">   </v>
      </c>
      <c r="AH15" s="937" t="str">
        <f>IF(OR('Worksheet Common HVAC'!$T24="",'Worksheet Common HVAC'!T24="None"),IF($H15="  ","","Baseline "&amp;INDEX('Common HVAC References'!$V$4:$V$43,MATCH($H15,'Common HVAC References'!$S$4:$S$43,0))),"Existing "&amp;'Worksheet Common HVAC'!$T24)</f>
        <v/>
      </c>
      <c r="AI15" s="927" t="str">
        <f>IF(OR('Worksheet Common HVAC'!U24="",'Worksheet Common HVAC'!U24="None"),IF(I15="","","Baseline "&amp;INDEX('Common HVAC References'!$W$4:$W$44,MATCH($H15,'Common HVAC References'!$S$4:$S$44,0))),"Existing "&amp;'Worksheet Common HVAC'!U24)</f>
        <v/>
      </c>
      <c r="AJ15" s="936" t="str">
        <f>_xlfn.IFNA(IF(OR('Worksheet Common HVAC'!W24=0,'Worksheet Common HVAC'!W24=""),IF(OR(LEFT(H15,3)="pac",LEFT(H15,4)="Room"),0,INDEX('Common HVAC References'!$BK$5:$BK$44,MATCH(H15,'Common HVAC References'!$AX$5:$AX$44,0))),'Worksheet Common HVAC'!W24),"")</f>
        <v/>
      </c>
      <c r="AK15" s="929" t="str">
        <f>IF(H15="  ","",IF('Worksheet Common HVAC'!X24="",IF(LEFT(H15,3)="Pac",(INDEX('Common HVAC References'!$BL$4:$BL$44,MATCH(H15,'Common HVAC References'!$AX$4:$AX$44,0)))-(0.3*I15*12000/1000),INDEX('Common HVAC References'!$BL$4:$BL$44,MATCH(H15,'Common HVAC References'!$AX$4:$AX$44,0))),'Worksheet Common HVAC'!X24))</f>
        <v/>
      </c>
      <c r="AL15" s="1644" t="str">
        <f>IF(H15="  ","",IF(OR($AI15="Existing Gas",$AI15="Existing Oil",$AI15="Existing Propane",$AI15="New Construction"),0,IF(AND('Worksheet Common HVAC'!Z24=0,'Worksheet Common HVAC'!Y24=0),IF(LEFT(H15,3)="pac",0,INDEX('Common HVAC References'!$BM$4:$BM$44,MATCH(H15,'Common HVAC References'!$AX$4:$AX$44,0))),IF(AND('Worksheet Common HVAC'!Z24&gt;0,'Worksheet Common HVAC'!Y24=0),'Worksheet Common HVAC'!Z24*'Common HVAC References'!$B$45,'Worksheet Common HVAC'!Y24))))</f>
        <v/>
      </c>
      <c r="AM15" s="929" t="str">
        <f>IF($H15="  ","",IF(OR($AI15="Existing Gas",$AI15="Existing Oil",$AI15="Existing Propane",$AI15="Baseline New Construction"),0,IF(OR('Worksheet Common HVAC'!Z24="",'Worksheet Common HVAC'!Z24=0),IF(LEFT(H15,3)="Pac",(INDEX('Common HVAC References'!$BM$4:$BM$44,MATCH(H15,'Common HVAC References'!$AX$4:$AX$44,0)))-INDEX('Common HVAC References'!$BN$4:$BN$44,MATCH(H15,'Common HVAC References'!$AX$4:$AX$44,0))*I15*12000/1000,INDEX('Common HVAC References'!$BN$4:$BN$44,MATCH(H15,'Common HVAC References'!$AX$4:$AX$44,0))),'Worksheet Common HVAC'!Z24)))</f>
        <v/>
      </c>
      <c r="AN15" s="935" t="str">
        <f>IF($H15="  ","",IF(OR($AI15="Existing Gas",$AI15="Existing Oil",$AI15="Existing Propane", $AI15="Baseline New Construction"),IF(OR('Worksheet Common HVAC'!AA24="",'Worksheet Common HVAC'!AA24=0),INDEX('Common HVAC References'!$E$134:$E$138,MATCH(AI15,'Common HVAC References'!$D$134:$D$138,0)),'Worksheet Common HVAC'!AA24),0))</f>
        <v/>
      </c>
      <c r="AO15" s="934">
        <f>IF(OR(LEFT(AI15,8)="Existing",RIGHT(AI15,16)="New Construction"),'Common HVAC References'!$B$29,1)</f>
        <v>1</v>
      </c>
      <c r="AP15" s="933">
        <f>'Common HVAC References'!$B$33</f>
        <v>15</v>
      </c>
      <c r="AQ15" s="932" t="e">
        <f>IF(AND(AK15&gt;0,L15&gt;0),ROUND((I15*12)*((1/AK15)-(1/L15)),'Common HVAC References'!$B$36),0)</f>
        <v>#VALUE!</v>
      </c>
      <c r="AR15" s="931" t="e">
        <f>IF(AND(AK15&gt;0,L15&gt;0),ROUND((J15*I15*12)*((1/AK15)-(1/L15)),'Common HVAC References'!$B$36),0)</f>
        <v>#VALUE!</v>
      </c>
      <c r="AS15" s="931" t="e">
        <f>IF(AND(AJ15=0,AK15=0),0,IF(AJ15&gt;0,ROUND((I15*12)*((1/AJ15)-(1/K15))*AA15,'Common HVAC References'!$B$39),ROUND((I15*12)*((1/AK15)-(1/L15))*AA15,'Common HVAC References'!$B$39)))</f>
        <v>#VALUE!</v>
      </c>
      <c r="AT15" s="931" t="e">
        <f>AS15*'Common HVAC References'!$B$25</f>
        <v>#VALUE!</v>
      </c>
      <c r="AU15" s="931" t="e">
        <f t="shared" si="10"/>
        <v>#VALUE!</v>
      </c>
      <c r="AV15" s="932">
        <f>IF(AND(N15&gt;0,AM15&gt;0,N15&lt;&gt;""),ROUND((I15*12)*((1/(AM15))-(1/(N15))),'Common HVAC References'!$B$36),IF(AND(M15&gt;0,AL15&gt;0,M15&lt;&gt;""),ROUND((I15*12)*(1/(AL15/3.412))-(1/(M15/3.412)),'Common HVAC References'!$B$36),IF(AND(N15&gt;0,N15&lt;&gt;""),ROUND((I15*12)*-(1/(N15/3.412)),'Common HVAC References'!$B$36),IF(AND(M15&gt;0,M15&lt;&gt;""),ROUND((I15*12)*-(1/(M15/3.412)),'Common HVAC References'!$B$36),0))))</f>
        <v>0</v>
      </c>
      <c r="AW15" s="931" t="e">
        <f t="shared" si="11"/>
        <v>#VALUE!</v>
      </c>
      <c r="AX15" s="931" t="e">
        <f>ROUND(AU15*AN15*AP15,'Common HVAC References'!$B$39)</f>
        <v>#VALUE!</v>
      </c>
      <c r="AY15" s="931" t="e">
        <f>IF(AND(AL15&gt;0,M15&gt;0),ROUND((I15*12)*((1/AL15)-(1/M15))*AB15*AO15,'Common HVAC References'!$B$39),IF(AND(AM15&gt;0,N15&gt;0),ROUND((I15*12)*((1/AM15)-(1/N15))*AB15*AO15/3.413,'Common HVAC References'!$B$39),0))</f>
        <v>#VALUE!</v>
      </c>
      <c r="AZ15" s="931">
        <f>IF(AND(OR($AI15="Existing Gas",$AI15="Existing Oil",$AI15="Existing Propane",$AI15="Baseline New Construction"),RIGHT(C15,10)="Heat Pumps"),IF(AND(M15&gt;0,M15&lt;&gt;""),ROUND(((I15*12)*((1/M15))*AB15*AO15)-AX15,'Common HVAC References'!$B$39),IF(AND(N15&gt;0,N15&lt;&gt;""),ROUND(((I15*12)*((1/N15))*AB15*AO15/3.412)-AX15,'Common HVAC References'!$B$39),0)),0)</f>
        <v>0</v>
      </c>
      <c r="BA15" s="931" t="e">
        <f>(AY15*'Common HVAC References'!$B$25)-(AZ15*'Common HVAC References'!$B$25)</f>
        <v>#VALUE!</v>
      </c>
      <c r="BB15" s="931" t="e">
        <f t="shared" si="12"/>
        <v>#VALUE!</v>
      </c>
      <c r="BC15" s="931" t="e">
        <f t="shared" si="13"/>
        <v>#VALUE!</v>
      </c>
      <c r="BD15" s="929" t="e">
        <f t="shared" si="25"/>
        <v>#VALUE!</v>
      </c>
      <c r="BE15" s="929" t="e">
        <f t="shared" si="14"/>
        <v>#VALUE!</v>
      </c>
      <c r="BF15" s="929" t="e">
        <f t="shared" si="15"/>
        <v>#VALUE!</v>
      </c>
      <c r="BG15" s="929" t="e">
        <f t="shared" si="16"/>
        <v>#VALUE!</v>
      </c>
      <c r="BH15" s="929" t="e">
        <f t="shared" si="17"/>
        <v>#VALUE!</v>
      </c>
      <c r="BI15" s="930" t="e">
        <f t="shared" si="18"/>
        <v>#VALUE!</v>
      </c>
      <c r="BJ15" s="929" t="e">
        <f t="shared" si="19"/>
        <v>#VALUE!</v>
      </c>
      <c r="BK15" s="929" t="e">
        <f t="shared" si="20"/>
        <v>#VALUE!</v>
      </c>
      <c r="BL15" s="972">
        <f t="shared" si="26"/>
        <v>0</v>
      </c>
      <c r="BM15" s="928">
        <f t="shared" si="21"/>
        <v>0</v>
      </c>
      <c r="BN15" s="926">
        <v>9</v>
      </c>
      <c r="BO15" s="971" t="str">
        <f t="shared" si="22"/>
        <v xml:space="preserve">  </v>
      </c>
      <c r="BP15" s="970" t="str">
        <f t="shared" si="23"/>
        <v/>
      </c>
      <c r="BQ15" s="927" t="str">
        <f t="shared" si="24"/>
        <v xml:space="preserve">   </v>
      </c>
      <c r="BR15" s="927" t="str">
        <f>IF(Y15="FAIL","",INDEX('Common HVAC References'!$AG$4:$AG$82,MATCH('Common HVAC Calculation'!BQ15,'Common HVAC References'!$AF$4:$AF$82,0)))</f>
        <v/>
      </c>
      <c r="BS15" s="969" t="e">
        <f>BK15*'Common HVAC References'!$F$137</f>
        <v>#VALUE!</v>
      </c>
      <c r="BT15" s="969" t="e">
        <f>-AZ15*'Common HVAC References'!$F$137+AU15*INDEX('Common HVAC References'!$F$134:$F$140,MATCH(IF(LEFT(AI15,8)="Baseline",LEFT(AI15,8),AI15),'Common HVAC References'!$D$134:$D$140,0))</f>
        <v>#VALUE!</v>
      </c>
    </row>
    <row r="16" spans="2:72">
      <c r="B16" s="761">
        <v>10</v>
      </c>
      <c r="C16" s="888" t="str">
        <f>IF('Worksheet Common HVAC'!B25="","",'Worksheet Common HVAC'!B25)</f>
        <v/>
      </c>
      <c r="D16" s="940" t="str">
        <f>IF('Worksheet Common HVAC'!C25="","",'Worksheet Common HVAC'!C25)</f>
        <v/>
      </c>
      <c r="E16" s="940" t="str">
        <f>IF('Worksheet Common HVAC'!E25="","",'Worksheet Common HVAC'!E25)</f>
        <v/>
      </c>
      <c r="F16" s="940" t="str">
        <f>IF('Worksheet Common HVAC'!T25="","",'Worksheet Common HVAC'!T25)</f>
        <v/>
      </c>
      <c r="G16" s="973" t="str">
        <f>IF('Worksheet Common HVAC'!V25="","",'Worksheet Common HVAC'!V25)</f>
        <v/>
      </c>
      <c r="H16" s="892" t="str">
        <f t="shared" si="0"/>
        <v xml:space="preserve">  </v>
      </c>
      <c r="I16" s="888" t="str">
        <f>IF('Worksheet Common HVAC'!H25="","",'Worksheet Common HVAC'!H25)</f>
        <v/>
      </c>
      <c r="J16" s="941" t="str">
        <f>IF('Worksheet Common HVAC'!I25="","",'Worksheet Common HVAC'!I25)</f>
        <v/>
      </c>
      <c r="K16" s="888" t="str">
        <f>IF(LEFT('Worksheet Common HVAC'!B25,4)="Room",'Common HVAC Calculation'!L16,IF('Worksheet Common HVAC'!J25="","",'Worksheet Common HVAC'!J25))</f>
        <v/>
      </c>
      <c r="L16" s="940" t="str">
        <f>IF('Worksheet Common HVAC'!K25="","",'Worksheet Common HVAC'!K25)</f>
        <v/>
      </c>
      <c r="M16" s="940" t="str">
        <f>IF($H16="  ","",IF('Worksheet Common HVAC'!L25="",0,'Worksheet Common HVAC'!L25))</f>
        <v/>
      </c>
      <c r="N16" s="940" t="str">
        <f>IF($H16="  ","",IF('Worksheet Common HVAC'!M25="",0,'Worksheet Common HVAC'!M25))</f>
        <v/>
      </c>
      <c r="O16" s="888" t="str">
        <f>IF(H16="  ","",INDEX(HVAC_T1T2ReferenceTable,MATCH(H16,'Common HVAC References'!$AX$4:$AX$45,0),2))</f>
        <v/>
      </c>
      <c r="P16" s="940" t="str">
        <f t="shared" si="1"/>
        <v/>
      </c>
      <c r="Q16" s="940" t="str">
        <f t="shared" si="2"/>
        <v/>
      </c>
      <c r="R16" s="940" t="str">
        <f t="shared" si="3"/>
        <v/>
      </c>
      <c r="S16" s="940" t="str">
        <f>IF(LEFT(H16,4)="Room",'Common HVAC References'!$AT$4,"")</f>
        <v/>
      </c>
      <c r="T16" s="888" t="str">
        <f t="shared" si="4"/>
        <v/>
      </c>
      <c r="U16" s="940" t="str">
        <f t="shared" si="5"/>
        <v/>
      </c>
      <c r="V16" s="940" t="str">
        <f t="shared" si="6"/>
        <v/>
      </c>
      <c r="W16" s="940" t="str">
        <f t="shared" si="7"/>
        <v/>
      </c>
      <c r="X16" s="940" t="str">
        <f>IF(AND(N16="",R16&lt;&gt;0),"",IF(LEFT(H16,4)&lt;&gt;"Room","PASS",IF(LEFT(F16,4)&lt;&gt;"Room","FAIL",IF('Worksheet Common HVAC'!X25&lt;=S16,"PASS","FAIL"))))</f>
        <v/>
      </c>
      <c r="Y16" s="892" t="str">
        <f t="shared" si="8"/>
        <v>FAIL</v>
      </c>
      <c r="Z16" s="888" t="str">
        <f>'Common HVAC References'!$G$43</f>
        <v>Multifamily</v>
      </c>
      <c r="AA16" s="939">
        <f>IF(OR(Z16="",Z16="… please select …"),0,INDEX('Common HVAC References'!$H$22:$H$44,MATCH(Z16,'Common HVAC References'!$G$22:$G$44,0)))</f>
        <v>736</v>
      </c>
      <c r="AB16" s="938">
        <f>IF(OR(Z16="",Z16="… please select …"),0,INDEX('Common HVAC References'!$I$22:$I$44,MATCH(Z16,'Common HVAC References'!$G$22:$G$44,0)))</f>
        <v>681</v>
      </c>
      <c r="AF16" s="926">
        <v>10</v>
      </c>
      <c r="AG16" s="937" t="str">
        <f t="shared" si="9"/>
        <v xml:space="preserve">   </v>
      </c>
      <c r="AH16" s="937" t="str">
        <f>IF(OR('Worksheet Common HVAC'!$T25="",'Worksheet Common HVAC'!T25="None"),IF($H16="  ","","Baseline "&amp;INDEX('Common HVAC References'!$V$4:$V$43,MATCH($H16,'Common HVAC References'!$S$4:$S$43,0))),"Existing "&amp;'Worksheet Common HVAC'!$T25)</f>
        <v/>
      </c>
      <c r="AI16" s="927" t="str">
        <f>IF(OR('Worksheet Common HVAC'!U25="",'Worksheet Common HVAC'!U25="None"),IF(I16="","","Baseline "&amp;INDEX('Common HVAC References'!$W$4:$W$44,MATCH($H16,'Common HVAC References'!$S$4:$S$44,0))),"Existing "&amp;'Worksheet Common HVAC'!U25)</f>
        <v/>
      </c>
      <c r="AJ16" s="936" t="str">
        <f>_xlfn.IFNA(IF(OR('Worksheet Common HVAC'!W25=0,'Worksheet Common HVAC'!W25=""),IF(OR(LEFT(H16,3)="pac",LEFT(H16,4)="Room"),0,INDEX('Common HVAC References'!$BK$5:$BK$44,MATCH(H16,'Common HVAC References'!$AX$5:$AX$44,0))),'Worksheet Common HVAC'!W25),"")</f>
        <v/>
      </c>
      <c r="AK16" s="929" t="str">
        <f>IF(H16="  ","",IF('Worksheet Common HVAC'!X25="",IF(LEFT(H16,3)="Pac",(INDEX('Common HVAC References'!$BL$4:$BL$44,MATCH(H16,'Common HVAC References'!$AX$4:$AX$44,0)))-(0.3*I16*12000/1000),INDEX('Common HVAC References'!$BL$4:$BL$44,MATCH(H16,'Common HVAC References'!$AX$4:$AX$44,0))),'Worksheet Common HVAC'!X25))</f>
        <v/>
      </c>
      <c r="AL16" s="1644" t="str">
        <f>IF(H16="  ","",IF(OR($AI16="Existing Gas",$AI16="Existing Oil",$AI16="Existing Propane",$AI16="New Construction"),0,IF(AND('Worksheet Common HVAC'!Z25=0,'Worksheet Common HVAC'!Y25=0),IF(LEFT(H16,3)="pac",0,INDEX('Common HVAC References'!$BM$4:$BM$44,MATCH(H16,'Common HVAC References'!$AX$4:$AX$44,0))),IF(AND('Worksheet Common HVAC'!Z25&gt;0,'Worksheet Common HVAC'!Y25=0),'Worksheet Common HVAC'!Z25*'Common HVAC References'!$B$45,'Worksheet Common HVAC'!Y25))))</f>
        <v/>
      </c>
      <c r="AM16" s="929" t="str">
        <f>IF($H16="  ","",IF(OR($AI16="Existing Gas",$AI16="Existing Oil",$AI16="Existing Propane",$AI16="Baseline New Construction"),0,IF(OR('Worksheet Common HVAC'!Z25="",'Worksheet Common HVAC'!Z25=0),IF(LEFT(H16,3)="Pac",(INDEX('Common HVAC References'!$BM$4:$BM$44,MATCH(H16,'Common HVAC References'!$AX$4:$AX$44,0)))-INDEX('Common HVAC References'!$BN$4:$BN$44,MATCH(H16,'Common HVAC References'!$AX$4:$AX$44,0))*I16*12000/1000,INDEX('Common HVAC References'!$BN$4:$BN$44,MATCH(H16,'Common HVAC References'!$AX$4:$AX$44,0))),'Worksheet Common HVAC'!Z25)))</f>
        <v/>
      </c>
      <c r="AN16" s="935" t="str">
        <f>IF($H16="  ","",IF(OR($AI16="Existing Gas",$AI16="Existing Oil",$AI16="Existing Propane", $AI16="Baseline New Construction"),IF(OR('Worksheet Common HVAC'!AA25="",'Worksheet Common HVAC'!AA25=0),INDEX('Common HVAC References'!$E$134:$E$138,MATCH(AI16,'Common HVAC References'!$D$134:$D$138,0)),'Worksheet Common HVAC'!AA25),0))</f>
        <v/>
      </c>
      <c r="AO16" s="934">
        <f>IF(OR(LEFT(AI16,8)="Existing",RIGHT(AI16,16)="New Construction"),'Common HVAC References'!$B$29,1)</f>
        <v>1</v>
      </c>
      <c r="AP16" s="933">
        <f>'Common HVAC References'!$B$33</f>
        <v>15</v>
      </c>
      <c r="AQ16" s="932" t="e">
        <f>IF(AND(AK16&gt;0,L16&gt;0),ROUND((I16*12)*((1/AK16)-(1/L16)),'Common HVAC References'!$B$36),0)</f>
        <v>#VALUE!</v>
      </c>
      <c r="AR16" s="931" t="e">
        <f>IF(AND(AK16&gt;0,L16&gt;0),ROUND((J16*I16*12)*((1/AK16)-(1/L16)),'Common HVAC References'!$B$36),0)</f>
        <v>#VALUE!</v>
      </c>
      <c r="AS16" s="931" t="e">
        <f>IF(AND(AJ16=0,AK16=0),0,IF(AJ16&gt;0,ROUND((I16*12)*((1/AJ16)-(1/K16))*AA16,'Common HVAC References'!$B$39),ROUND((I16*12)*((1/AK16)-(1/L16))*AA16,'Common HVAC References'!$B$39)))</f>
        <v>#VALUE!</v>
      </c>
      <c r="AT16" s="931" t="e">
        <f>AS16*'Common HVAC References'!$B$25</f>
        <v>#VALUE!</v>
      </c>
      <c r="AU16" s="931" t="e">
        <f t="shared" si="10"/>
        <v>#VALUE!</v>
      </c>
      <c r="AV16" s="932">
        <f>IF(AND(N16&gt;0,AM16&gt;0,N16&lt;&gt;""),ROUND((I16*12)*((1/(AM16))-(1/(N16))),'Common HVAC References'!$B$36),IF(AND(M16&gt;0,AL16&gt;0,M16&lt;&gt;""),ROUND((I16*12)*(1/(AL16/3.412))-(1/(M16/3.412)),'Common HVAC References'!$B$36),IF(AND(N16&gt;0,N16&lt;&gt;""),ROUND((I16*12)*-(1/(N16/3.412)),'Common HVAC References'!$B$36),IF(AND(M16&gt;0,M16&lt;&gt;""),ROUND((I16*12)*-(1/(M16/3.412)),'Common HVAC References'!$B$36),0))))</f>
        <v>0</v>
      </c>
      <c r="AW16" s="931" t="e">
        <f t="shared" si="11"/>
        <v>#VALUE!</v>
      </c>
      <c r="AX16" s="931" t="e">
        <f>ROUND(AU16*AN16*AP16,'Common HVAC References'!$B$39)</f>
        <v>#VALUE!</v>
      </c>
      <c r="AY16" s="931" t="e">
        <f>IF(AND(AL16&gt;0,M16&gt;0),ROUND((I16*12)*((1/AL16)-(1/M16))*AB16*AO16,'Common HVAC References'!$B$39),IF(AND(AM16&gt;0,N16&gt;0),ROUND((I16*12)*((1/AM16)-(1/N16))*AB16*AO16/3.413,'Common HVAC References'!$B$39),0))</f>
        <v>#VALUE!</v>
      </c>
      <c r="AZ16" s="931">
        <f>IF(AND(OR($AI16="Existing Gas",$AI16="Existing Oil",$AI16="Existing Propane",$AI16="Baseline New Construction"),RIGHT(C16,10)="Heat Pumps"),IF(AND(M16&gt;0,M16&lt;&gt;""),ROUND(((I16*12)*((1/M16))*AB16*AO16)-AX16,'Common HVAC References'!$B$39),IF(AND(N16&gt;0,N16&lt;&gt;""),ROUND(((I16*12)*((1/N16))*AB16*AO16/3.412)-AX16,'Common HVAC References'!$B$39),0)),0)</f>
        <v>0</v>
      </c>
      <c r="BA16" s="931" t="e">
        <f>(AY16*'Common HVAC References'!$B$25)-(AZ16*'Common HVAC References'!$B$25)</f>
        <v>#VALUE!</v>
      </c>
      <c r="BB16" s="931" t="e">
        <f t="shared" si="12"/>
        <v>#VALUE!</v>
      </c>
      <c r="BC16" s="931" t="e">
        <f t="shared" si="13"/>
        <v>#VALUE!</v>
      </c>
      <c r="BD16" s="929" t="e">
        <f t="shared" si="25"/>
        <v>#VALUE!</v>
      </c>
      <c r="BE16" s="929" t="e">
        <f t="shared" si="14"/>
        <v>#VALUE!</v>
      </c>
      <c r="BF16" s="929" t="e">
        <f t="shared" si="15"/>
        <v>#VALUE!</v>
      </c>
      <c r="BG16" s="929" t="e">
        <f t="shared" si="16"/>
        <v>#VALUE!</v>
      </c>
      <c r="BH16" s="929" t="e">
        <f t="shared" si="17"/>
        <v>#VALUE!</v>
      </c>
      <c r="BI16" s="930" t="e">
        <f t="shared" si="18"/>
        <v>#VALUE!</v>
      </c>
      <c r="BJ16" s="929" t="e">
        <f t="shared" si="19"/>
        <v>#VALUE!</v>
      </c>
      <c r="BK16" s="929" t="e">
        <f t="shared" si="20"/>
        <v>#VALUE!</v>
      </c>
      <c r="BL16" s="972">
        <f t="shared" si="26"/>
        <v>0</v>
      </c>
      <c r="BM16" s="928">
        <f t="shared" si="21"/>
        <v>0</v>
      </c>
      <c r="BN16" s="926">
        <v>10</v>
      </c>
      <c r="BO16" s="971" t="str">
        <f t="shared" si="22"/>
        <v xml:space="preserve">  </v>
      </c>
      <c r="BP16" s="970" t="str">
        <f t="shared" si="23"/>
        <v/>
      </c>
      <c r="BQ16" s="927" t="str">
        <f t="shared" si="24"/>
        <v xml:space="preserve">   </v>
      </c>
      <c r="BR16" s="927" t="str">
        <f>IF(Y16="FAIL","",INDEX('Common HVAC References'!$AG$4:$AG$82,MATCH('Common HVAC Calculation'!BQ16,'Common HVAC References'!$AF$4:$AF$82,0)))</f>
        <v/>
      </c>
      <c r="BS16" s="969" t="e">
        <f>BK16*'Common HVAC References'!$F$137</f>
        <v>#VALUE!</v>
      </c>
      <c r="BT16" s="969" t="e">
        <f>-AZ16*'Common HVAC References'!$F$137+AU16*INDEX('Common HVAC References'!$F$134:$F$140,MATCH(IF(LEFT(AI16,8)="Baseline",LEFT(AI16,8),AI16),'Common HVAC References'!$D$134:$D$140,0))</f>
        <v>#VALUE!</v>
      </c>
    </row>
    <row r="17" spans="2:72">
      <c r="B17" s="761">
        <v>11</v>
      </c>
      <c r="C17" s="888" t="str">
        <f>IF('Worksheet Common HVAC'!B26="","",'Worksheet Common HVAC'!B26)</f>
        <v/>
      </c>
      <c r="D17" s="940" t="str">
        <f>IF('Worksheet Common HVAC'!C26="","",'Worksheet Common HVAC'!C26)</f>
        <v/>
      </c>
      <c r="E17" s="940" t="str">
        <f>IF('Worksheet Common HVAC'!E26="","",'Worksheet Common HVAC'!E26)</f>
        <v/>
      </c>
      <c r="F17" s="940" t="str">
        <f>IF('Worksheet Common HVAC'!T26="","",'Worksheet Common HVAC'!T26)</f>
        <v/>
      </c>
      <c r="G17" s="973" t="str">
        <f>IF('Worksheet Common HVAC'!V26="","",'Worksheet Common HVAC'!V26)</f>
        <v/>
      </c>
      <c r="H17" s="892" t="str">
        <f t="shared" si="0"/>
        <v xml:space="preserve">  </v>
      </c>
      <c r="I17" s="888" t="str">
        <f>IF('Worksheet Common HVAC'!H26="","",'Worksheet Common HVAC'!H26)</f>
        <v/>
      </c>
      <c r="J17" s="941" t="str">
        <f>IF('Worksheet Common HVAC'!I26="","",'Worksheet Common HVAC'!I26)</f>
        <v/>
      </c>
      <c r="K17" s="888" t="str">
        <f>IF(LEFT('Worksheet Common HVAC'!B26,4)="Room",'Common HVAC Calculation'!L17,IF('Worksheet Common HVAC'!J26="","",'Worksheet Common HVAC'!J26))</f>
        <v/>
      </c>
      <c r="L17" s="940" t="str">
        <f>IF('Worksheet Common HVAC'!K26="","",'Worksheet Common HVAC'!K26)</f>
        <v/>
      </c>
      <c r="M17" s="940" t="str">
        <f>IF($H17="  ","",IF('Worksheet Common HVAC'!L26="",0,'Worksheet Common HVAC'!L26))</f>
        <v/>
      </c>
      <c r="N17" s="940" t="str">
        <f>IF($H17="  ","",IF('Worksheet Common HVAC'!M26="",0,'Worksheet Common HVAC'!M26))</f>
        <v/>
      </c>
      <c r="O17" s="888" t="str">
        <f>IF(H17="  ","",INDEX(HVAC_T1T2ReferenceTable,MATCH(H17,'Common HVAC References'!$AX$4:$AX$45,0),2))</f>
        <v/>
      </c>
      <c r="P17" s="940" t="str">
        <f t="shared" si="1"/>
        <v/>
      </c>
      <c r="Q17" s="940" t="str">
        <f t="shared" si="2"/>
        <v/>
      </c>
      <c r="R17" s="940" t="str">
        <f t="shared" si="3"/>
        <v/>
      </c>
      <c r="S17" s="940" t="str">
        <f>IF(LEFT(H17,4)="Room",'Common HVAC References'!$AT$4,"")</f>
        <v/>
      </c>
      <c r="T17" s="888" t="str">
        <f t="shared" si="4"/>
        <v/>
      </c>
      <c r="U17" s="940" t="str">
        <f t="shared" si="5"/>
        <v/>
      </c>
      <c r="V17" s="940" t="str">
        <f t="shared" si="6"/>
        <v/>
      </c>
      <c r="W17" s="940" t="str">
        <f t="shared" si="7"/>
        <v/>
      </c>
      <c r="X17" s="940" t="str">
        <f>IF(AND(N17="",R17&lt;&gt;0),"",IF(LEFT(H17,4)&lt;&gt;"Room","PASS",IF(LEFT(F17,4)&lt;&gt;"Room","FAIL",IF('Worksheet Common HVAC'!X26&lt;=S17,"PASS","FAIL"))))</f>
        <v/>
      </c>
      <c r="Y17" s="892" t="str">
        <f t="shared" si="8"/>
        <v>FAIL</v>
      </c>
      <c r="Z17" s="888" t="str">
        <f>'Common HVAC References'!$G$43</f>
        <v>Multifamily</v>
      </c>
      <c r="AA17" s="939">
        <f>IF(OR(Z17="",Z17="… please select …"),0,INDEX('Common HVAC References'!$H$22:$H$44,MATCH(Z17,'Common HVAC References'!$G$22:$G$44,0)))</f>
        <v>736</v>
      </c>
      <c r="AB17" s="938">
        <f>IF(OR(Z17="",Z17="… please select …"),0,INDEX('Common HVAC References'!$I$22:$I$44,MATCH(Z17,'Common HVAC References'!$G$22:$G$44,0)))</f>
        <v>681</v>
      </c>
      <c r="AF17" s="926">
        <v>11</v>
      </c>
      <c r="AG17" s="937" t="str">
        <f t="shared" si="9"/>
        <v xml:space="preserve">   </v>
      </c>
      <c r="AH17" s="937" t="str">
        <f>IF(OR('Worksheet Common HVAC'!$T26="",'Worksheet Common HVAC'!T26="None"),IF($H17="  ","","Baseline "&amp;INDEX('Common HVAC References'!$V$4:$V$43,MATCH($H17,'Common HVAC References'!$S$4:$S$43,0))),"Existing "&amp;'Worksheet Common HVAC'!$T26)</f>
        <v/>
      </c>
      <c r="AI17" s="927" t="str">
        <f>IF(OR('Worksheet Common HVAC'!U26="",'Worksheet Common HVAC'!U26="None"),IF(I17="","","Baseline "&amp;INDEX('Common HVAC References'!$W$4:$W$44,MATCH($H17,'Common HVAC References'!$S$4:$S$44,0))),"Existing "&amp;'Worksheet Common HVAC'!U26)</f>
        <v/>
      </c>
      <c r="AJ17" s="936" t="str">
        <f>_xlfn.IFNA(IF(OR('Worksheet Common HVAC'!W26=0,'Worksheet Common HVAC'!W26=""),IF(OR(LEFT(H17,3)="pac",LEFT(H17,4)="Room"),0,INDEX('Common HVAC References'!$BK$5:$BK$44,MATCH(H17,'Common HVAC References'!$AX$5:$AX$44,0))),'Worksheet Common HVAC'!W26),"")</f>
        <v/>
      </c>
      <c r="AK17" s="929" t="str">
        <f>IF(H17="  ","",IF('Worksheet Common HVAC'!X26="",IF(LEFT(H17,3)="Pac",(INDEX('Common HVAC References'!$BL$4:$BL$44,MATCH(H17,'Common HVAC References'!$AX$4:$AX$44,0)))-(0.3*I17*12000/1000),INDEX('Common HVAC References'!$BL$4:$BL$44,MATCH(H17,'Common HVAC References'!$AX$4:$AX$44,0))),'Worksheet Common HVAC'!X26))</f>
        <v/>
      </c>
      <c r="AL17" s="1644" t="str">
        <f>IF(H17="  ","",IF(OR($AI17="Existing Gas",$AI17="Existing Oil",$AI17="Existing Propane",$AI17="New Construction"),0,IF(AND('Worksheet Common HVAC'!Z26=0,'Worksheet Common HVAC'!Y26=0),IF(LEFT(H17,3)="pac",0,INDEX('Common HVAC References'!$BM$4:$BM$44,MATCH(H17,'Common HVAC References'!$AX$4:$AX$44,0))),IF(AND('Worksheet Common HVAC'!Z26&gt;0,'Worksheet Common HVAC'!Y26=0),'Worksheet Common HVAC'!Z26*'Common HVAC References'!$B$45,'Worksheet Common HVAC'!Y26))))</f>
        <v/>
      </c>
      <c r="AM17" s="929" t="str">
        <f>IF($H17="  ","",IF(OR($AI17="Existing Gas",$AI17="Existing Oil",$AI17="Existing Propane",$AI17="Baseline New Construction"),0,IF(OR('Worksheet Common HVAC'!Z26="",'Worksheet Common HVAC'!Z26=0),IF(LEFT(H17,3)="Pac",(INDEX('Common HVAC References'!$BM$4:$BM$44,MATCH(H17,'Common HVAC References'!$AX$4:$AX$44,0)))-INDEX('Common HVAC References'!$BN$4:$BN$44,MATCH(H17,'Common HVAC References'!$AX$4:$AX$44,0))*I17*12000/1000,INDEX('Common HVAC References'!$BN$4:$BN$44,MATCH(H17,'Common HVAC References'!$AX$4:$AX$44,0))),'Worksheet Common HVAC'!Z26)))</f>
        <v/>
      </c>
      <c r="AN17" s="935" t="str">
        <f>IF($H17="  ","",IF(OR($AI17="Existing Gas",$AI17="Existing Oil",$AI17="Existing Propane", $AI17="Baseline New Construction"),IF(OR('Worksheet Common HVAC'!AA26="",'Worksheet Common HVAC'!AA26=0),INDEX('Common HVAC References'!$E$134:$E$138,MATCH(AI17,'Common HVAC References'!$D$134:$D$138,0)),'Worksheet Common HVAC'!AA26),0))</f>
        <v/>
      </c>
      <c r="AO17" s="934">
        <f>IF(OR(LEFT(AI17,8)="Existing",RIGHT(AI17,16)="New Construction"),'Common HVAC References'!$B$29,1)</f>
        <v>1</v>
      </c>
      <c r="AP17" s="933">
        <f>'Common HVAC References'!$B$33</f>
        <v>15</v>
      </c>
      <c r="AQ17" s="932" t="e">
        <f>IF(AND(AK17&gt;0,L17&gt;0),ROUND((I17*12)*((1/AK17)-(1/L17)),'Common HVAC References'!$B$36),0)</f>
        <v>#VALUE!</v>
      </c>
      <c r="AR17" s="931" t="e">
        <f>IF(AND(AK17&gt;0,L17&gt;0),ROUND((J17*I17*12)*((1/AK17)-(1/L17)),'Common HVAC References'!$B$36),0)</f>
        <v>#VALUE!</v>
      </c>
      <c r="AS17" s="931" t="e">
        <f>IF(AND(AJ17=0,AK17=0),0,IF(AJ17&gt;0,ROUND((I17*12)*((1/AJ17)-(1/K17))*AA17,'Common HVAC References'!$B$39),ROUND((I17*12)*((1/AK17)-(1/L17))*AA17,'Common HVAC References'!$B$39)))</f>
        <v>#VALUE!</v>
      </c>
      <c r="AT17" s="931" t="e">
        <f>AS17*'Common HVAC References'!$B$25</f>
        <v>#VALUE!</v>
      </c>
      <c r="AU17" s="931" t="e">
        <f t="shared" si="10"/>
        <v>#VALUE!</v>
      </c>
      <c r="AV17" s="932">
        <f>IF(AND(N17&gt;0,AM17&gt;0,N17&lt;&gt;""),ROUND((I17*12)*((1/(AM17))-(1/(N17))),'Common HVAC References'!$B$36),IF(AND(M17&gt;0,AL17&gt;0,M17&lt;&gt;""),ROUND((I17*12)*(1/(AL17/3.412))-(1/(M17/3.412)),'Common HVAC References'!$B$36),IF(AND(N17&gt;0,N17&lt;&gt;""),ROUND((I17*12)*-(1/(N17/3.412)),'Common HVAC References'!$B$36),IF(AND(M17&gt;0,M17&lt;&gt;""),ROUND((I17*12)*-(1/(M17/3.412)),'Common HVAC References'!$B$36),0))))</f>
        <v>0</v>
      </c>
      <c r="AW17" s="931" t="e">
        <f t="shared" si="11"/>
        <v>#VALUE!</v>
      </c>
      <c r="AX17" s="931" t="e">
        <f>ROUND(AU17*AN17*AP17,'Common HVAC References'!$B$39)</f>
        <v>#VALUE!</v>
      </c>
      <c r="AY17" s="931" t="e">
        <f>IF(AND(AL17&gt;0,M17&gt;0),ROUND((I17*12)*((1/AL17)-(1/M17))*AB17*AO17,'Common HVAC References'!$B$39),IF(AND(AM17&gt;0,N17&gt;0),ROUND((I17*12)*((1/AM17)-(1/N17))*AB17*AO17/3.413,'Common HVAC References'!$B$39),0))</f>
        <v>#VALUE!</v>
      </c>
      <c r="AZ17" s="931">
        <f>IF(AND(OR($AI17="Existing Gas",$AI17="Existing Oil",$AI17="Existing Propane",$AI17="Baseline New Construction"),RIGHT(C17,10)="Heat Pumps"),IF(AND(M17&gt;0,M17&lt;&gt;""),ROUND(((I17*12)*((1/M17))*AB17*AO17)-AX17,'Common HVAC References'!$B$39),IF(AND(N17&gt;0,N17&lt;&gt;""),ROUND(((I17*12)*((1/N17))*AB17*AO17/3.412)-AX17,'Common HVAC References'!$B$39),0)),0)</f>
        <v>0</v>
      </c>
      <c r="BA17" s="931" t="e">
        <f>(AY17*'Common HVAC References'!$B$25)-(AZ17*'Common HVAC References'!$B$25)</f>
        <v>#VALUE!</v>
      </c>
      <c r="BB17" s="931" t="e">
        <f t="shared" si="12"/>
        <v>#VALUE!</v>
      </c>
      <c r="BC17" s="931" t="e">
        <f t="shared" si="13"/>
        <v>#VALUE!</v>
      </c>
      <c r="BD17" s="929" t="e">
        <f t="shared" si="25"/>
        <v>#VALUE!</v>
      </c>
      <c r="BE17" s="929" t="e">
        <f t="shared" si="14"/>
        <v>#VALUE!</v>
      </c>
      <c r="BF17" s="929" t="e">
        <f t="shared" si="15"/>
        <v>#VALUE!</v>
      </c>
      <c r="BG17" s="929" t="e">
        <f t="shared" si="16"/>
        <v>#VALUE!</v>
      </c>
      <c r="BH17" s="929" t="e">
        <f t="shared" si="17"/>
        <v>#VALUE!</v>
      </c>
      <c r="BI17" s="930" t="e">
        <f t="shared" si="18"/>
        <v>#VALUE!</v>
      </c>
      <c r="BJ17" s="929" t="e">
        <f t="shared" si="19"/>
        <v>#VALUE!</v>
      </c>
      <c r="BK17" s="929" t="e">
        <f t="shared" si="20"/>
        <v>#VALUE!</v>
      </c>
      <c r="BL17" s="972">
        <f t="shared" si="26"/>
        <v>0</v>
      </c>
      <c r="BM17" s="928">
        <f t="shared" si="21"/>
        <v>0</v>
      </c>
      <c r="BN17" s="926">
        <v>11</v>
      </c>
      <c r="BO17" s="971" t="str">
        <f t="shared" si="22"/>
        <v xml:space="preserve">  </v>
      </c>
      <c r="BP17" s="970" t="str">
        <f t="shared" si="23"/>
        <v/>
      </c>
      <c r="BQ17" s="927" t="str">
        <f t="shared" si="24"/>
        <v xml:space="preserve">   </v>
      </c>
      <c r="BR17" s="927" t="str">
        <f>IF(Y17="FAIL","",INDEX('Common HVAC References'!$AG$4:$AG$82,MATCH('Common HVAC Calculation'!BQ17,'Common HVAC References'!$AF$4:$AF$82,0)))</f>
        <v/>
      </c>
      <c r="BS17" s="969" t="e">
        <f>BK17*'Common HVAC References'!$F$137</f>
        <v>#VALUE!</v>
      </c>
      <c r="BT17" s="969" t="e">
        <f>-AZ17*'Common HVAC References'!$F$137+AU17*INDEX('Common HVAC References'!$F$134:$F$140,MATCH(IF(LEFT(AI17,8)="Baseline",LEFT(AI17,8),AI17),'Common HVAC References'!$D$134:$D$140,0))</f>
        <v>#VALUE!</v>
      </c>
    </row>
    <row r="18" spans="2:72">
      <c r="B18" s="761">
        <v>12</v>
      </c>
      <c r="C18" s="888" t="str">
        <f>IF('Worksheet Common HVAC'!B27="","",'Worksheet Common HVAC'!B27)</f>
        <v/>
      </c>
      <c r="D18" s="940" t="str">
        <f>IF('Worksheet Common HVAC'!C27="","",'Worksheet Common HVAC'!C27)</f>
        <v/>
      </c>
      <c r="E18" s="940" t="str">
        <f>IF('Worksheet Common HVAC'!E27="","",'Worksheet Common HVAC'!E27)</f>
        <v/>
      </c>
      <c r="F18" s="940" t="str">
        <f>IF('Worksheet Common HVAC'!T27="","",'Worksheet Common HVAC'!T27)</f>
        <v/>
      </c>
      <c r="G18" s="973" t="str">
        <f>IF('Worksheet Common HVAC'!V27="","",'Worksheet Common HVAC'!V27)</f>
        <v/>
      </c>
      <c r="H18" s="892" t="str">
        <f t="shared" si="0"/>
        <v xml:space="preserve">  </v>
      </c>
      <c r="I18" s="888" t="str">
        <f>IF('Worksheet Common HVAC'!H27="","",'Worksheet Common HVAC'!H27)</f>
        <v/>
      </c>
      <c r="J18" s="941" t="str">
        <f>IF('Worksheet Common HVAC'!I27="","",'Worksheet Common HVAC'!I27)</f>
        <v/>
      </c>
      <c r="K18" s="888" t="str">
        <f>IF(LEFT('Worksheet Common HVAC'!B27,4)="Room",'Common HVAC Calculation'!L18,IF('Worksheet Common HVAC'!J27="","",'Worksheet Common HVAC'!J27))</f>
        <v/>
      </c>
      <c r="L18" s="940" t="str">
        <f>IF('Worksheet Common HVAC'!K27="","",'Worksheet Common HVAC'!K27)</f>
        <v/>
      </c>
      <c r="M18" s="940" t="str">
        <f>IF($H18="  ","",IF('Worksheet Common HVAC'!L27="",0,'Worksheet Common HVAC'!L27))</f>
        <v/>
      </c>
      <c r="N18" s="940" t="str">
        <f>IF($H18="  ","",IF('Worksheet Common HVAC'!M27="",0,'Worksheet Common HVAC'!M27))</f>
        <v/>
      </c>
      <c r="O18" s="888" t="str">
        <f>IF(H18="  ","",INDEX(HVAC_T1T2ReferenceTable,MATCH(H18,'Common HVAC References'!$AX$4:$AX$45,0),2))</f>
        <v/>
      </c>
      <c r="P18" s="940" t="str">
        <f t="shared" si="1"/>
        <v/>
      </c>
      <c r="Q18" s="940" t="str">
        <f t="shared" si="2"/>
        <v/>
      </c>
      <c r="R18" s="940" t="str">
        <f t="shared" si="3"/>
        <v/>
      </c>
      <c r="S18" s="940" t="str">
        <f>IF(LEFT(H18,4)="Room",'Common HVAC References'!$AT$4,"")</f>
        <v/>
      </c>
      <c r="T18" s="888" t="str">
        <f t="shared" si="4"/>
        <v/>
      </c>
      <c r="U18" s="940" t="str">
        <f t="shared" si="5"/>
        <v/>
      </c>
      <c r="V18" s="940" t="str">
        <f t="shared" si="6"/>
        <v/>
      </c>
      <c r="W18" s="940" t="str">
        <f t="shared" si="7"/>
        <v/>
      </c>
      <c r="X18" s="940" t="str">
        <f>IF(AND(N18="",R18&lt;&gt;0),"",IF(LEFT(H18,4)&lt;&gt;"Room","PASS",IF(LEFT(F18,4)&lt;&gt;"Room","FAIL",IF('Worksheet Common HVAC'!X27&lt;=S18,"PASS","FAIL"))))</f>
        <v/>
      </c>
      <c r="Y18" s="892" t="str">
        <f t="shared" si="8"/>
        <v>FAIL</v>
      </c>
      <c r="Z18" s="888" t="str">
        <f>'Common HVAC References'!$G$43</f>
        <v>Multifamily</v>
      </c>
      <c r="AA18" s="939">
        <f>IF(OR(Z18="",Z18="… please select …"),0,INDEX('Common HVAC References'!$H$22:$H$44,MATCH(Z18,'Common HVAC References'!$G$22:$G$44,0)))</f>
        <v>736</v>
      </c>
      <c r="AB18" s="938">
        <f>IF(OR(Z18="",Z18="… please select …"),0,INDEX('Common HVAC References'!$I$22:$I$44,MATCH(Z18,'Common HVAC References'!$G$22:$G$44,0)))</f>
        <v>681</v>
      </c>
      <c r="AF18" s="926">
        <v>12</v>
      </c>
      <c r="AG18" s="937" t="str">
        <f t="shared" si="9"/>
        <v xml:space="preserve">   </v>
      </c>
      <c r="AH18" s="937" t="str">
        <f>IF(OR('Worksheet Common HVAC'!$T27="",'Worksheet Common HVAC'!T27="None"),IF($H18="  ","","Baseline "&amp;INDEX('Common HVAC References'!$V$4:$V$43,MATCH($H18,'Common HVAC References'!$S$4:$S$43,0))),"Existing "&amp;'Worksheet Common HVAC'!$T27)</f>
        <v/>
      </c>
      <c r="AI18" s="927" t="str">
        <f>IF(OR('Worksheet Common HVAC'!U27="",'Worksheet Common HVAC'!U27="None"),IF(I18="","","Baseline "&amp;INDEX('Common HVAC References'!$W$4:$W$44,MATCH($H18,'Common HVAC References'!$S$4:$S$44,0))),"Existing "&amp;'Worksheet Common HVAC'!U27)</f>
        <v/>
      </c>
      <c r="AJ18" s="936" t="str">
        <f>_xlfn.IFNA(IF(OR('Worksheet Common HVAC'!W27=0,'Worksheet Common HVAC'!W27=""),IF(OR(LEFT(H18,3)="pac",LEFT(H18,4)="Room"),0,INDEX('Common HVAC References'!$BK$5:$BK$44,MATCH(H18,'Common HVAC References'!$AX$5:$AX$44,0))),'Worksheet Common HVAC'!W27),"")</f>
        <v/>
      </c>
      <c r="AK18" s="929" t="str">
        <f>IF(H18="  ","",IF('Worksheet Common HVAC'!X27="",IF(LEFT(H18,3)="Pac",(INDEX('Common HVAC References'!$BL$4:$BL$44,MATCH(H18,'Common HVAC References'!$AX$4:$AX$44,0)))-(0.3*I18*12000/1000),INDEX('Common HVAC References'!$BL$4:$BL$44,MATCH(H18,'Common HVAC References'!$AX$4:$AX$44,0))),'Worksheet Common HVAC'!X27))</f>
        <v/>
      </c>
      <c r="AL18" s="1644" t="str">
        <f>IF(H18="  ","",IF(OR($AI18="Existing Gas",$AI18="Existing Oil",$AI18="Existing Propane",$AI18="New Construction"),0,IF(AND('Worksheet Common HVAC'!Z27=0,'Worksheet Common HVAC'!Y27=0),IF(LEFT(H18,3)="pac",0,INDEX('Common HVAC References'!$BM$4:$BM$44,MATCH(H18,'Common HVAC References'!$AX$4:$AX$44,0))),IF(AND('Worksheet Common HVAC'!Z27&gt;0,'Worksheet Common HVAC'!Y27=0),'Worksheet Common HVAC'!Z27*'Common HVAC References'!$B$45,'Worksheet Common HVAC'!Y27))))</f>
        <v/>
      </c>
      <c r="AM18" s="929" t="str">
        <f>IF($H18="  ","",IF(OR($AI18="Existing Gas",$AI18="Existing Oil",$AI18="Existing Propane",$AI18="Baseline New Construction"),0,IF(OR('Worksheet Common HVAC'!Z27="",'Worksheet Common HVAC'!Z27=0),IF(LEFT(H18,3)="Pac",(INDEX('Common HVAC References'!$BM$4:$BM$44,MATCH(H18,'Common HVAC References'!$AX$4:$AX$44,0)))-INDEX('Common HVAC References'!$BN$4:$BN$44,MATCH(H18,'Common HVAC References'!$AX$4:$AX$44,0))*I18*12000/1000,INDEX('Common HVAC References'!$BN$4:$BN$44,MATCH(H18,'Common HVAC References'!$AX$4:$AX$44,0))),'Worksheet Common HVAC'!Z27)))</f>
        <v/>
      </c>
      <c r="AN18" s="935" t="str">
        <f>IF($H18="  ","",IF(OR($AI18="Existing Gas",$AI18="Existing Oil",$AI18="Existing Propane", $AI18="Baseline New Construction"),IF(OR('Worksheet Common HVAC'!AA27="",'Worksheet Common HVAC'!AA27=0),INDEX('Common HVAC References'!$E$134:$E$138,MATCH(AI18,'Common HVAC References'!$D$134:$D$138,0)),'Worksheet Common HVAC'!AA27),0))</f>
        <v/>
      </c>
      <c r="AO18" s="934">
        <f>IF(OR(LEFT(AI18,8)="Existing",RIGHT(AI18,16)="New Construction"),'Common HVAC References'!$B$29,1)</f>
        <v>1</v>
      </c>
      <c r="AP18" s="933">
        <f>'Common HVAC References'!$B$33</f>
        <v>15</v>
      </c>
      <c r="AQ18" s="932" t="e">
        <f>IF(AND(AK18&gt;0,L18&gt;0),ROUND((I18*12)*((1/AK18)-(1/L18)),'Common HVAC References'!$B$36),0)</f>
        <v>#VALUE!</v>
      </c>
      <c r="AR18" s="931" t="e">
        <f>IF(AND(AK18&gt;0,L18&gt;0),ROUND((J18*I18*12)*((1/AK18)-(1/L18)),'Common HVAC References'!$B$36),0)</f>
        <v>#VALUE!</v>
      </c>
      <c r="AS18" s="931" t="e">
        <f>IF(AND(AJ18=0,AK18=0),0,IF(AJ18&gt;0,ROUND((I18*12)*((1/AJ18)-(1/K18))*AA18,'Common HVAC References'!$B$39),ROUND((I18*12)*((1/AK18)-(1/L18))*AA18,'Common HVAC References'!$B$39)))</f>
        <v>#VALUE!</v>
      </c>
      <c r="AT18" s="931" t="e">
        <f>AS18*'Common HVAC References'!$B$25</f>
        <v>#VALUE!</v>
      </c>
      <c r="AU18" s="931" t="e">
        <f t="shared" si="10"/>
        <v>#VALUE!</v>
      </c>
      <c r="AV18" s="932">
        <f>IF(AND(N18&gt;0,AM18&gt;0,N18&lt;&gt;""),ROUND((I18*12)*((1/(AM18))-(1/(N18))),'Common HVAC References'!$B$36),IF(AND(M18&gt;0,AL18&gt;0,M18&lt;&gt;""),ROUND((I18*12)*(1/(AL18/3.412))-(1/(M18/3.412)),'Common HVAC References'!$B$36),IF(AND(N18&gt;0,N18&lt;&gt;""),ROUND((I18*12)*-(1/(N18/3.412)),'Common HVAC References'!$B$36),IF(AND(M18&gt;0,M18&lt;&gt;""),ROUND((I18*12)*-(1/(M18/3.412)),'Common HVAC References'!$B$36),0))))</f>
        <v>0</v>
      </c>
      <c r="AW18" s="931" t="e">
        <f t="shared" si="11"/>
        <v>#VALUE!</v>
      </c>
      <c r="AX18" s="931" t="e">
        <f>ROUND(AU18*AN18*AP18,'Common HVAC References'!$B$39)</f>
        <v>#VALUE!</v>
      </c>
      <c r="AY18" s="931" t="e">
        <f>IF(AND(AL18&gt;0,M18&gt;0),ROUND((I18*12)*((1/AL18)-(1/M18))*AB18*AO18,'Common HVAC References'!$B$39),IF(AND(AM18&gt;0,N18&gt;0),ROUND((I18*12)*((1/AM18)-(1/N18))*AB18*AO18/3.413,'Common HVAC References'!$B$39),0))</f>
        <v>#VALUE!</v>
      </c>
      <c r="AZ18" s="931">
        <f>IF(AND(OR($AI18="Existing Gas",$AI18="Existing Oil",$AI18="Existing Propane",$AI18="Baseline New Construction"),RIGHT(C18,10)="Heat Pumps"),IF(AND(M18&gt;0,M18&lt;&gt;""),ROUND(((I18*12)*((1/M18))*AB18*AO18)-AX18,'Common HVAC References'!$B$39),IF(AND(N18&gt;0,N18&lt;&gt;""),ROUND(((I18*12)*((1/N18))*AB18*AO18/3.412)-AX18,'Common HVAC References'!$B$39),0)),0)</f>
        <v>0</v>
      </c>
      <c r="BA18" s="931" t="e">
        <f>(AY18*'Common HVAC References'!$B$25)-(AZ18*'Common HVAC References'!$B$25)</f>
        <v>#VALUE!</v>
      </c>
      <c r="BB18" s="931" t="e">
        <f t="shared" si="12"/>
        <v>#VALUE!</v>
      </c>
      <c r="BC18" s="931" t="e">
        <f t="shared" si="13"/>
        <v>#VALUE!</v>
      </c>
      <c r="BD18" s="929" t="e">
        <f t="shared" si="25"/>
        <v>#VALUE!</v>
      </c>
      <c r="BE18" s="929" t="e">
        <f t="shared" si="14"/>
        <v>#VALUE!</v>
      </c>
      <c r="BF18" s="929" t="e">
        <f t="shared" si="15"/>
        <v>#VALUE!</v>
      </c>
      <c r="BG18" s="929" t="e">
        <f t="shared" si="16"/>
        <v>#VALUE!</v>
      </c>
      <c r="BH18" s="929" t="e">
        <f t="shared" si="17"/>
        <v>#VALUE!</v>
      </c>
      <c r="BI18" s="930" t="e">
        <f t="shared" si="18"/>
        <v>#VALUE!</v>
      </c>
      <c r="BJ18" s="929" t="e">
        <f t="shared" si="19"/>
        <v>#VALUE!</v>
      </c>
      <c r="BK18" s="929" t="e">
        <f t="shared" si="20"/>
        <v>#VALUE!</v>
      </c>
      <c r="BL18" s="972">
        <f t="shared" si="26"/>
        <v>0</v>
      </c>
      <c r="BM18" s="928">
        <f t="shared" si="21"/>
        <v>0</v>
      </c>
      <c r="BN18" s="926">
        <v>12</v>
      </c>
      <c r="BO18" s="971" t="str">
        <f t="shared" si="22"/>
        <v xml:space="preserve">  </v>
      </c>
      <c r="BP18" s="970" t="str">
        <f t="shared" si="23"/>
        <v/>
      </c>
      <c r="BQ18" s="927" t="str">
        <f t="shared" si="24"/>
        <v xml:space="preserve">   </v>
      </c>
      <c r="BR18" s="927" t="str">
        <f>IF(Y18="FAIL","",INDEX('Common HVAC References'!$AG$4:$AG$82,MATCH('Common HVAC Calculation'!BQ18,'Common HVAC References'!$AF$4:$AF$82,0)))</f>
        <v/>
      </c>
      <c r="BS18" s="969" t="e">
        <f>BK18*'Common HVAC References'!$F$137</f>
        <v>#VALUE!</v>
      </c>
      <c r="BT18" s="969" t="e">
        <f>-AZ18*'Common HVAC References'!$F$137+AU18*INDEX('Common HVAC References'!$F$134:$F$140,MATCH(IF(LEFT(AI18,8)="Baseline",LEFT(AI18,8),AI18),'Common HVAC References'!$D$134:$D$140,0))</f>
        <v>#VALUE!</v>
      </c>
    </row>
    <row r="19" spans="2:72">
      <c r="B19" s="761">
        <v>13</v>
      </c>
      <c r="C19" s="888" t="str">
        <f>IF('Worksheet Common HVAC'!B28="","",'Worksheet Common HVAC'!B28)</f>
        <v/>
      </c>
      <c r="D19" s="940" t="str">
        <f>IF('Worksheet Common HVAC'!C28="","",'Worksheet Common HVAC'!C28)</f>
        <v/>
      </c>
      <c r="E19" s="940" t="str">
        <f>IF('Worksheet Common HVAC'!E28="","",'Worksheet Common HVAC'!E28)</f>
        <v/>
      </c>
      <c r="F19" s="940" t="str">
        <f>IF('Worksheet Common HVAC'!T28="","",'Worksheet Common HVAC'!T28)</f>
        <v/>
      </c>
      <c r="G19" s="973" t="str">
        <f>IF('Worksheet Common HVAC'!V28="","",'Worksheet Common HVAC'!V28)</f>
        <v/>
      </c>
      <c r="H19" s="892" t="str">
        <f t="shared" si="0"/>
        <v xml:space="preserve">  </v>
      </c>
      <c r="I19" s="888" t="str">
        <f>IF('Worksheet Common HVAC'!H28="","",'Worksheet Common HVAC'!H28)</f>
        <v/>
      </c>
      <c r="J19" s="941" t="str">
        <f>IF('Worksheet Common HVAC'!I28="","",'Worksheet Common HVAC'!I28)</f>
        <v/>
      </c>
      <c r="K19" s="888" t="str">
        <f>IF(LEFT('Worksheet Common HVAC'!B28,4)="Room",'Common HVAC Calculation'!L19,IF('Worksheet Common HVAC'!J28="","",'Worksheet Common HVAC'!J28))</f>
        <v/>
      </c>
      <c r="L19" s="940" t="str">
        <f>IF('Worksheet Common HVAC'!K28="","",'Worksheet Common HVAC'!K28)</f>
        <v/>
      </c>
      <c r="M19" s="940" t="str">
        <f>IF($H19="  ","",IF('Worksheet Common HVAC'!L28="",0,'Worksheet Common HVAC'!L28))</f>
        <v/>
      </c>
      <c r="N19" s="940" t="str">
        <f>IF($H19="  ","",IF('Worksheet Common HVAC'!M28="",0,'Worksheet Common HVAC'!M28))</f>
        <v/>
      </c>
      <c r="O19" s="888" t="str">
        <f>IF(H19="  ","",INDEX(HVAC_T1T2ReferenceTable,MATCH(H19,'Common HVAC References'!$AX$4:$AX$45,0),2))</f>
        <v/>
      </c>
      <c r="P19" s="940" t="str">
        <f t="shared" si="1"/>
        <v/>
      </c>
      <c r="Q19" s="940" t="str">
        <f t="shared" si="2"/>
        <v/>
      </c>
      <c r="R19" s="940" t="str">
        <f t="shared" si="3"/>
        <v/>
      </c>
      <c r="S19" s="940" t="str">
        <f>IF(LEFT(H19,4)="Room",'Common HVAC References'!$AT$4,"")</f>
        <v/>
      </c>
      <c r="T19" s="888" t="str">
        <f t="shared" si="4"/>
        <v/>
      </c>
      <c r="U19" s="940" t="str">
        <f t="shared" si="5"/>
        <v/>
      </c>
      <c r="V19" s="940" t="str">
        <f t="shared" si="6"/>
        <v/>
      </c>
      <c r="W19" s="940" t="str">
        <f t="shared" si="7"/>
        <v/>
      </c>
      <c r="X19" s="940" t="str">
        <f>IF(AND(N19="",R19&lt;&gt;0),"",IF(LEFT(H19,4)&lt;&gt;"Room","PASS",IF(LEFT(F19,4)&lt;&gt;"Room","FAIL",IF('Worksheet Common HVAC'!X28&lt;=S19,"PASS","FAIL"))))</f>
        <v/>
      </c>
      <c r="Y19" s="892" t="str">
        <f t="shared" si="8"/>
        <v>FAIL</v>
      </c>
      <c r="Z19" s="888" t="str">
        <f>'Common HVAC References'!$G$43</f>
        <v>Multifamily</v>
      </c>
      <c r="AA19" s="939">
        <f>IF(OR(Z19="",Z19="… please select …"),0,INDEX('Common HVAC References'!$H$22:$H$44,MATCH(Z19,'Common HVAC References'!$G$22:$G$44,0)))</f>
        <v>736</v>
      </c>
      <c r="AB19" s="938">
        <f>IF(OR(Z19="",Z19="… please select …"),0,INDEX('Common HVAC References'!$I$22:$I$44,MATCH(Z19,'Common HVAC References'!$G$22:$G$44,0)))</f>
        <v>681</v>
      </c>
      <c r="AF19" s="926">
        <v>13</v>
      </c>
      <c r="AG19" s="937" t="str">
        <f t="shared" si="9"/>
        <v xml:space="preserve">   </v>
      </c>
      <c r="AH19" s="937" t="str">
        <f>IF(OR('Worksheet Common HVAC'!$T28="",'Worksheet Common HVAC'!T28="None"),IF($H19="  ","","Baseline "&amp;INDEX('Common HVAC References'!$V$4:$V$43,MATCH($H19,'Common HVAC References'!$S$4:$S$43,0))),"Existing "&amp;'Worksheet Common HVAC'!$T28)</f>
        <v/>
      </c>
      <c r="AI19" s="927" t="str">
        <f>IF(OR('Worksheet Common HVAC'!U28="",'Worksheet Common HVAC'!U28="None"),IF(I19="","","Baseline "&amp;INDEX('Common HVAC References'!$W$4:$W$44,MATCH($H19,'Common HVAC References'!$S$4:$S$44,0))),"Existing "&amp;'Worksheet Common HVAC'!U28)</f>
        <v/>
      </c>
      <c r="AJ19" s="936" t="str">
        <f>_xlfn.IFNA(IF(OR('Worksheet Common HVAC'!W28=0,'Worksheet Common HVAC'!W28=""),IF(OR(LEFT(H19,3)="pac",LEFT(H19,4)="Room"),0,INDEX('Common HVAC References'!$BK$5:$BK$44,MATCH(H19,'Common HVAC References'!$AX$5:$AX$44,0))),'Worksheet Common HVAC'!W28),"")</f>
        <v/>
      </c>
      <c r="AK19" s="929" t="str">
        <f>IF(H19="  ","",IF('Worksheet Common HVAC'!X28="",IF(LEFT(H19,3)="Pac",(INDEX('Common HVAC References'!$BL$4:$BL$44,MATCH(H19,'Common HVAC References'!$AX$4:$AX$44,0)))-(0.3*I19*12000/1000),INDEX('Common HVAC References'!$BL$4:$BL$44,MATCH(H19,'Common HVAC References'!$AX$4:$AX$44,0))),'Worksheet Common HVAC'!X28))</f>
        <v/>
      </c>
      <c r="AL19" s="1644" t="str">
        <f>IF(H19="  ","",IF(OR($AI19="Existing Gas",$AI19="Existing Oil",$AI19="Existing Propane",$AI19="New Construction"),0,IF(AND('Worksheet Common HVAC'!Z28=0,'Worksheet Common HVAC'!Y28=0),IF(LEFT(H19,3)="pac",0,INDEX('Common HVAC References'!$BM$4:$BM$44,MATCH(H19,'Common HVAC References'!$AX$4:$AX$44,0))),IF(AND('Worksheet Common HVAC'!Z28&gt;0,'Worksheet Common HVAC'!Y28=0),'Worksheet Common HVAC'!Z28*'Common HVAC References'!$B$45,'Worksheet Common HVAC'!Y28))))</f>
        <v/>
      </c>
      <c r="AM19" s="929" t="str">
        <f>IF($H19="  ","",IF(OR($AI19="Existing Gas",$AI19="Existing Oil",$AI19="Existing Propane",$AI19="Baseline New Construction"),0,IF(OR('Worksheet Common HVAC'!Z28="",'Worksheet Common HVAC'!Z28=0),IF(LEFT(H19,3)="Pac",(INDEX('Common HVAC References'!$BM$4:$BM$44,MATCH(H19,'Common HVAC References'!$AX$4:$AX$44,0)))-INDEX('Common HVAC References'!$BN$4:$BN$44,MATCH(H19,'Common HVAC References'!$AX$4:$AX$44,0))*I19*12000/1000,INDEX('Common HVAC References'!$BN$4:$BN$44,MATCH(H19,'Common HVAC References'!$AX$4:$AX$44,0))),'Worksheet Common HVAC'!Z28)))</f>
        <v/>
      </c>
      <c r="AN19" s="935" t="str">
        <f>IF($H19="  ","",IF(OR($AI19="Existing Gas",$AI19="Existing Oil",$AI19="Existing Propane", $AI19="Baseline New Construction"),IF(OR('Worksheet Common HVAC'!AA28="",'Worksheet Common HVAC'!AA28=0),INDEX('Common HVAC References'!$E$134:$E$138,MATCH(AI19,'Common HVAC References'!$D$134:$D$138,0)),'Worksheet Common HVAC'!AA28),0))</f>
        <v/>
      </c>
      <c r="AO19" s="934">
        <f>IF(OR(LEFT(AI19,8)="Existing",RIGHT(AI19,16)="New Construction"),'Common HVAC References'!$B$29,1)</f>
        <v>1</v>
      </c>
      <c r="AP19" s="933">
        <f>'Common HVAC References'!$B$33</f>
        <v>15</v>
      </c>
      <c r="AQ19" s="932" t="e">
        <f>IF(AND(AK19&gt;0,L19&gt;0),ROUND((I19*12)*((1/AK19)-(1/L19)),'Common HVAC References'!$B$36),0)</f>
        <v>#VALUE!</v>
      </c>
      <c r="AR19" s="931" t="e">
        <f>IF(AND(AK19&gt;0,L19&gt;0),ROUND((J19*I19*12)*((1/AK19)-(1/L19)),'Common HVAC References'!$B$36),0)</f>
        <v>#VALUE!</v>
      </c>
      <c r="AS19" s="931" t="e">
        <f>IF(AND(AJ19=0,AK19=0),0,IF(AJ19&gt;0,ROUND((I19*12)*((1/AJ19)-(1/K19))*AA19,'Common HVAC References'!$B$39),ROUND((I19*12)*((1/AK19)-(1/L19))*AA19,'Common HVAC References'!$B$39)))</f>
        <v>#VALUE!</v>
      </c>
      <c r="AT19" s="931" t="e">
        <f>AS19*'Common HVAC References'!$B$25</f>
        <v>#VALUE!</v>
      </c>
      <c r="AU19" s="931" t="e">
        <f t="shared" si="10"/>
        <v>#VALUE!</v>
      </c>
      <c r="AV19" s="932">
        <f>IF(AND(N19&gt;0,AM19&gt;0,N19&lt;&gt;""),ROUND((I19*12)*((1/(AM19))-(1/(N19))),'Common HVAC References'!$B$36),IF(AND(M19&gt;0,AL19&gt;0,M19&lt;&gt;""),ROUND((I19*12)*(1/(AL19/3.412))-(1/(M19/3.412)),'Common HVAC References'!$B$36),IF(AND(N19&gt;0,N19&lt;&gt;""),ROUND((I19*12)*-(1/(N19/3.412)),'Common HVAC References'!$B$36),IF(AND(M19&gt;0,M19&lt;&gt;""),ROUND((I19*12)*-(1/(M19/3.412)),'Common HVAC References'!$B$36),0))))</f>
        <v>0</v>
      </c>
      <c r="AW19" s="931" t="e">
        <f t="shared" si="11"/>
        <v>#VALUE!</v>
      </c>
      <c r="AX19" s="931" t="e">
        <f>ROUND(AU19*AN19*AP19,'Common HVAC References'!$B$39)</f>
        <v>#VALUE!</v>
      </c>
      <c r="AY19" s="931" t="e">
        <f>IF(AND(AL19&gt;0,M19&gt;0),ROUND((I19*12)*((1/AL19)-(1/M19))*AB19*AO19,'Common HVAC References'!$B$39),IF(AND(AM19&gt;0,N19&gt;0),ROUND((I19*12)*((1/AM19)-(1/N19))*AB19*AO19/3.413,'Common HVAC References'!$B$39),0))</f>
        <v>#VALUE!</v>
      </c>
      <c r="AZ19" s="931">
        <f>IF(AND(OR($AI19="Existing Gas",$AI19="Existing Oil",$AI19="Existing Propane",$AI19="Baseline New Construction"),RIGHT(C19,10)="Heat Pumps"),IF(AND(M19&gt;0,M19&lt;&gt;""),ROUND(((I19*12)*((1/M19))*AB19*AO19)-AX19,'Common HVAC References'!$B$39),IF(AND(N19&gt;0,N19&lt;&gt;""),ROUND(((I19*12)*((1/N19))*AB19*AO19/3.412)-AX19,'Common HVAC References'!$B$39),0)),0)</f>
        <v>0</v>
      </c>
      <c r="BA19" s="931" t="e">
        <f>(AY19*'Common HVAC References'!$B$25)-(AZ19*'Common HVAC References'!$B$25)</f>
        <v>#VALUE!</v>
      </c>
      <c r="BB19" s="931" t="e">
        <f t="shared" si="12"/>
        <v>#VALUE!</v>
      </c>
      <c r="BC19" s="931" t="e">
        <f t="shared" si="13"/>
        <v>#VALUE!</v>
      </c>
      <c r="BD19" s="929" t="e">
        <f t="shared" si="25"/>
        <v>#VALUE!</v>
      </c>
      <c r="BE19" s="929" t="e">
        <f t="shared" si="14"/>
        <v>#VALUE!</v>
      </c>
      <c r="BF19" s="929" t="e">
        <f t="shared" si="15"/>
        <v>#VALUE!</v>
      </c>
      <c r="BG19" s="929" t="e">
        <f t="shared" si="16"/>
        <v>#VALUE!</v>
      </c>
      <c r="BH19" s="929" t="e">
        <f t="shared" si="17"/>
        <v>#VALUE!</v>
      </c>
      <c r="BI19" s="930" t="e">
        <f t="shared" si="18"/>
        <v>#VALUE!</v>
      </c>
      <c r="BJ19" s="929" t="e">
        <f t="shared" si="19"/>
        <v>#VALUE!</v>
      </c>
      <c r="BK19" s="929" t="e">
        <f t="shared" si="20"/>
        <v>#VALUE!</v>
      </c>
      <c r="BL19" s="972">
        <f t="shared" si="26"/>
        <v>0</v>
      </c>
      <c r="BM19" s="928">
        <f t="shared" si="21"/>
        <v>0</v>
      </c>
      <c r="BN19" s="926">
        <v>13</v>
      </c>
      <c r="BO19" s="971" t="str">
        <f t="shared" si="22"/>
        <v xml:space="preserve">  </v>
      </c>
      <c r="BP19" s="970" t="str">
        <f t="shared" si="23"/>
        <v/>
      </c>
      <c r="BQ19" s="927" t="str">
        <f t="shared" si="24"/>
        <v xml:space="preserve">   </v>
      </c>
      <c r="BR19" s="927" t="str">
        <f>IF(Y19="FAIL","",INDEX('Common HVAC References'!$AG$4:$AG$82,MATCH('Common HVAC Calculation'!BQ19,'Common HVAC References'!$AF$4:$AF$82,0)))</f>
        <v/>
      </c>
      <c r="BS19" s="969" t="e">
        <f>BK19*'Common HVAC References'!$F$137</f>
        <v>#VALUE!</v>
      </c>
      <c r="BT19" s="969" t="e">
        <f>-AZ19*'Common HVAC References'!$F$137+AU19*INDEX('Common HVAC References'!$F$134:$F$140,MATCH(IF(LEFT(AI19,8)="Baseline",LEFT(AI19,8),AI19),'Common HVAC References'!$D$134:$D$140,0))</f>
        <v>#VALUE!</v>
      </c>
    </row>
    <row r="20" spans="2:72">
      <c r="B20" s="761">
        <v>14</v>
      </c>
      <c r="C20" s="888" t="str">
        <f>IF('Worksheet Common HVAC'!B29="","",'Worksheet Common HVAC'!B29)</f>
        <v/>
      </c>
      <c r="D20" s="940" t="str">
        <f>IF('Worksheet Common HVAC'!C29="","",'Worksheet Common HVAC'!C29)</f>
        <v/>
      </c>
      <c r="E20" s="940" t="str">
        <f>IF('Worksheet Common HVAC'!E29="","",'Worksheet Common HVAC'!E29)</f>
        <v/>
      </c>
      <c r="F20" s="940" t="str">
        <f>IF('Worksheet Common HVAC'!T29="","",'Worksheet Common HVAC'!T29)</f>
        <v/>
      </c>
      <c r="G20" s="973" t="str">
        <f>IF('Worksheet Common HVAC'!V29="","",'Worksheet Common HVAC'!V29)</f>
        <v/>
      </c>
      <c r="H20" s="892" t="str">
        <f t="shared" si="0"/>
        <v xml:space="preserve">  </v>
      </c>
      <c r="I20" s="888" t="str">
        <f>IF('Worksheet Common HVAC'!H29="","",'Worksheet Common HVAC'!H29)</f>
        <v/>
      </c>
      <c r="J20" s="941" t="str">
        <f>IF('Worksheet Common HVAC'!I29="","",'Worksheet Common HVAC'!I29)</f>
        <v/>
      </c>
      <c r="K20" s="888" t="str">
        <f>IF(LEFT('Worksheet Common HVAC'!B29,4)="Room",'Common HVAC Calculation'!L20,IF('Worksheet Common HVAC'!J29="","",'Worksheet Common HVAC'!J29))</f>
        <v/>
      </c>
      <c r="L20" s="940" t="str">
        <f>IF('Worksheet Common HVAC'!K29="","",'Worksheet Common HVAC'!K29)</f>
        <v/>
      </c>
      <c r="M20" s="940" t="str">
        <f>IF($H20="  ","",IF('Worksheet Common HVAC'!L29="",0,'Worksheet Common HVAC'!L29))</f>
        <v/>
      </c>
      <c r="N20" s="940" t="str">
        <f>IF($H20="  ","",IF('Worksheet Common HVAC'!M29="",0,'Worksheet Common HVAC'!M29))</f>
        <v/>
      </c>
      <c r="O20" s="888" t="str">
        <f>IF(H20="  ","",INDEX(HVAC_T1T2ReferenceTable,MATCH(H20,'Common HVAC References'!$AX$4:$AX$45,0),2))</f>
        <v/>
      </c>
      <c r="P20" s="940" t="str">
        <f t="shared" si="1"/>
        <v/>
      </c>
      <c r="Q20" s="940" t="str">
        <f t="shared" si="2"/>
        <v/>
      </c>
      <c r="R20" s="940" t="str">
        <f t="shared" si="3"/>
        <v/>
      </c>
      <c r="S20" s="940" t="str">
        <f>IF(LEFT(H20,4)="Room",'Common HVAC References'!$AT$4,"")</f>
        <v/>
      </c>
      <c r="T20" s="888" t="str">
        <f t="shared" si="4"/>
        <v/>
      </c>
      <c r="U20" s="940" t="str">
        <f t="shared" si="5"/>
        <v/>
      </c>
      <c r="V20" s="940" t="str">
        <f t="shared" si="6"/>
        <v/>
      </c>
      <c r="W20" s="940" t="str">
        <f t="shared" si="7"/>
        <v/>
      </c>
      <c r="X20" s="940" t="str">
        <f>IF(AND(N20="",R20&lt;&gt;0),"",IF(LEFT(H20,4)&lt;&gt;"Room","PASS",IF(LEFT(F20,4)&lt;&gt;"Room","FAIL",IF('Worksheet Common HVAC'!X29&lt;=S20,"PASS","FAIL"))))</f>
        <v/>
      </c>
      <c r="Y20" s="892" t="str">
        <f t="shared" si="8"/>
        <v>FAIL</v>
      </c>
      <c r="Z20" s="888" t="str">
        <f>'Common HVAC References'!$G$43</f>
        <v>Multifamily</v>
      </c>
      <c r="AA20" s="939">
        <f>IF(OR(Z20="",Z20="… please select …"),0,INDEX('Common HVAC References'!$H$22:$H$44,MATCH(Z20,'Common HVAC References'!$G$22:$G$44,0)))</f>
        <v>736</v>
      </c>
      <c r="AB20" s="938">
        <f>IF(OR(Z20="",Z20="… please select …"),0,INDEX('Common HVAC References'!$I$22:$I$44,MATCH(Z20,'Common HVAC References'!$G$22:$G$44,0)))</f>
        <v>681</v>
      </c>
      <c r="AF20" s="926">
        <v>14</v>
      </c>
      <c r="AG20" s="937" t="str">
        <f t="shared" si="9"/>
        <v xml:space="preserve">   </v>
      </c>
      <c r="AH20" s="937" t="str">
        <f>IF(OR('Worksheet Common HVAC'!$T29="",'Worksheet Common HVAC'!T29="None"),IF($H20="  ","","Baseline "&amp;INDEX('Common HVAC References'!$V$4:$V$43,MATCH($H20,'Common HVAC References'!$S$4:$S$43,0))),"Existing "&amp;'Worksheet Common HVAC'!$T29)</f>
        <v/>
      </c>
      <c r="AI20" s="927" t="str">
        <f>IF(OR('Worksheet Common HVAC'!U29="",'Worksheet Common HVAC'!U29="None"),IF(I20="","","Baseline "&amp;INDEX('Common HVAC References'!$W$4:$W$44,MATCH($H20,'Common HVAC References'!$S$4:$S$44,0))),"Existing "&amp;'Worksheet Common HVAC'!U29)</f>
        <v/>
      </c>
      <c r="AJ20" s="936" t="str">
        <f>_xlfn.IFNA(IF(OR('Worksheet Common HVAC'!W29=0,'Worksheet Common HVAC'!W29=""),IF(OR(LEFT(H20,3)="pac",LEFT(H20,4)="Room"),0,INDEX('Common HVAC References'!$BK$5:$BK$44,MATCH(H20,'Common HVAC References'!$AX$5:$AX$44,0))),'Worksheet Common HVAC'!W29),"")</f>
        <v/>
      </c>
      <c r="AK20" s="929" t="str">
        <f>IF(H20="  ","",IF('Worksheet Common HVAC'!X29="",IF(LEFT(H20,3)="Pac",(INDEX('Common HVAC References'!$BL$4:$BL$44,MATCH(H20,'Common HVAC References'!$AX$4:$AX$44,0)))-(0.3*I20*12000/1000),INDEX('Common HVAC References'!$BL$4:$BL$44,MATCH(H20,'Common HVAC References'!$AX$4:$AX$44,0))),'Worksheet Common HVAC'!X29))</f>
        <v/>
      </c>
      <c r="AL20" s="1644" t="str">
        <f>IF(H20="  ","",IF(OR($AI20="Existing Gas",$AI20="Existing Oil",$AI20="Existing Propane",$AI20="New Construction"),0,IF(AND('Worksheet Common HVAC'!Z29=0,'Worksheet Common HVAC'!Y29=0),IF(LEFT(H20,3)="pac",0,INDEX('Common HVAC References'!$BM$4:$BM$44,MATCH(H20,'Common HVAC References'!$AX$4:$AX$44,0))),IF(AND('Worksheet Common HVAC'!Z29&gt;0,'Worksheet Common HVAC'!Y29=0),'Worksheet Common HVAC'!Z29*'Common HVAC References'!$B$45,'Worksheet Common HVAC'!Y29))))</f>
        <v/>
      </c>
      <c r="AM20" s="929" t="str">
        <f>IF($H20="  ","",IF(OR($AI20="Existing Gas",$AI20="Existing Oil",$AI20="Existing Propane",$AI20="Baseline New Construction"),0,IF(OR('Worksheet Common HVAC'!Z29="",'Worksheet Common HVAC'!Z29=0),IF(LEFT(H20,3)="Pac",(INDEX('Common HVAC References'!$BM$4:$BM$44,MATCH(H20,'Common HVAC References'!$AX$4:$AX$44,0)))-INDEX('Common HVAC References'!$BN$4:$BN$44,MATCH(H20,'Common HVAC References'!$AX$4:$AX$44,0))*I20*12000/1000,INDEX('Common HVAC References'!$BN$4:$BN$44,MATCH(H20,'Common HVAC References'!$AX$4:$AX$44,0))),'Worksheet Common HVAC'!Z29)))</f>
        <v/>
      </c>
      <c r="AN20" s="935" t="str">
        <f>IF($H20="  ","",IF(OR($AI20="Existing Gas",$AI20="Existing Oil",$AI20="Existing Propane", $AI20="Baseline New Construction"),IF(OR('Worksheet Common HVAC'!AA29="",'Worksheet Common HVAC'!AA29=0),INDEX('Common HVAC References'!$E$134:$E$138,MATCH(AI20,'Common HVAC References'!$D$134:$D$138,0)),'Worksheet Common HVAC'!AA29),0))</f>
        <v/>
      </c>
      <c r="AO20" s="934">
        <f>IF(OR(LEFT(AI20,8)="Existing",RIGHT(AI20,16)="New Construction"),'Common HVAC References'!$B$29,1)</f>
        <v>1</v>
      </c>
      <c r="AP20" s="933">
        <f>'Common HVAC References'!$B$33</f>
        <v>15</v>
      </c>
      <c r="AQ20" s="932" t="e">
        <f>IF(AND(AK20&gt;0,L20&gt;0),ROUND((I20*12)*((1/AK20)-(1/L20)),'Common HVAC References'!$B$36),0)</f>
        <v>#VALUE!</v>
      </c>
      <c r="AR20" s="931" t="e">
        <f>IF(AND(AK20&gt;0,L20&gt;0),ROUND((J20*I20*12)*((1/AK20)-(1/L20)),'Common HVAC References'!$B$36),0)</f>
        <v>#VALUE!</v>
      </c>
      <c r="AS20" s="931" t="e">
        <f>IF(AND(AJ20=0,AK20=0),0,IF(AJ20&gt;0,ROUND((I20*12)*((1/AJ20)-(1/K20))*AA20,'Common HVAC References'!$B$39),ROUND((I20*12)*((1/AK20)-(1/L20))*AA20,'Common HVAC References'!$B$39)))</f>
        <v>#VALUE!</v>
      </c>
      <c r="AT20" s="931" t="e">
        <f>AS20*'Common HVAC References'!$B$25</f>
        <v>#VALUE!</v>
      </c>
      <c r="AU20" s="931" t="e">
        <f t="shared" si="10"/>
        <v>#VALUE!</v>
      </c>
      <c r="AV20" s="932">
        <f>IF(AND(N20&gt;0,AM20&gt;0,N20&lt;&gt;""),ROUND((I20*12)*((1/(AM20))-(1/(N20))),'Common HVAC References'!$B$36),IF(AND(M20&gt;0,AL20&gt;0,M20&lt;&gt;""),ROUND((I20*12)*(1/(AL20/3.412))-(1/(M20/3.412)),'Common HVAC References'!$B$36),IF(AND(N20&gt;0,N20&lt;&gt;""),ROUND((I20*12)*-(1/(N20/3.412)),'Common HVAC References'!$B$36),IF(AND(M20&gt;0,M20&lt;&gt;""),ROUND((I20*12)*-(1/(M20/3.412)),'Common HVAC References'!$B$36),0))))</f>
        <v>0</v>
      </c>
      <c r="AW20" s="931" t="e">
        <f t="shared" si="11"/>
        <v>#VALUE!</v>
      </c>
      <c r="AX20" s="931" t="e">
        <f>ROUND(AU20*AN20*AP20,'Common HVAC References'!$B$39)</f>
        <v>#VALUE!</v>
      </c>
      <c r="AY20" s="931" t="e">
        <f>IF(AND(AL20&gt;0,M20&gt;0),ROUND((I20*12)*((1/AL20)-(1/M20))*AB20*AO20,'Common HVAC References'!$B$39),IF(AND(AM20&gt;0,N20&gt;0),ROUND((I20*12)*((1/AM20)-(1/N20))*AB20*AO20/3.413,'Common HVAC References'!$B$39),0))</f>
        <v>#VALUE!</v>
      </c>
      <c r="AZ20" s="931">
        <f>IF(AND(OR($AI20="Existing Gas",$AI20="Existing Oil",$AI20="Existing Propane",$AI20="Baseline New Construction"),RIGHT(C20,10)="Heat Pumps"),IF(AND(M20&gt;0,M20&lt;&gt;""),ROUND(((I20*12)*((1/M20))*AB20*AO20)-AX20,'Common HVAC References'!$B$39),IF(AND(N20&gt;0,N20&lt;&gt;""),ROUND(((I20*12)*((1/N20))*AB20*AO20/3.412)-AX20,'Common HVAC References'!$B$39),0)),0)</f>
        <v>0</v>
      </c>
      <c r="BA20" s="931" t="e">
        <f>(AY20*'Common HVAC References'!$B$25)-(AZ20*'Common HVAC References'!$B$25)</f>
        <v>#VALUE!</v>
      </c>
      <c r="BB20" s="931" t="e">
        <f t="shared" si="12"/>
        <v>#VALUE!</v>
      </c>
      <c r="BC20" s="931" t="e">
        <f t="shared" si="13"/>
        <v>#VALUE!</v>
      </c>
      <c r="BD20" s="929" t="e">
        <f t="shared" si="25"/>
        <v>#VALUE!</v>
      </c>
      <c r="BE20" s="929" t="e">
        <f t="shared" si="14"/>
        <v>#VALUE!</v>
      </c>
      <c r="BF20" s="929" t="e">
        <f t="shared" si="15"/>
        <v>#VALUE!</v>
      </c>
      <c r="BG20" s="929" t="e">
        <f t="shared" si="16"/>
        <v>#VALUE!</v>
      </c>
      <c r="BH20" s="929" t="e">
        <f t="shared" si="17"/>
        <v>#VALUE!</v>
      </c>
      <c r="BI20" s="930" t="e">
        <f t="shared" si="18"/>
        <v>#VALUE!</v>
      </c>
      <c r="BJ20" s="929" t="e">
        <f t="shared" si="19"/>
        <v>#VALUE!</v>
      </c>
      <c r="BK20" s="929" t="e">
        <f t="shared" si="20"/>
        <v>#VALUE!</v>
      </c>
      <c r="BL20" s="972">
        <f t="shared" si="26"/>
        <v>0</v>
      </c>
      <c r="BM20" s="928">
        <f t="shared" si="21"/>
        <v>0</v>
      </c>
      <c r="BN20" s="926">
        <v>14</v>
      </c>
      <c r="BO20" s="971" t="str">
        <f t="shared" si="22"/>
        <v xml:space="preserve">  </v>
      </c>
      <c r="BP20" s="970" t="str">
        <f t="shared" si="23"/>
        <v/>
      </c>
      <c r="BQ20" s="927" t="str">
        <f t="shared" si="24"/>
        <v xml:space="preserve">   </v>
      </c>
      <c r="BR20" s="927" t="str">
        <f>IF(Y20="FAIL","",INDEX('Common HVAC References'!$AG$4:$AG$82,MATCH('Common HVAC Calculation'!BQ20,'Common HVAC References'!$AF$4:$AF$82,0)))</f>
        <v/>
      </c>
      <c r="BS20" s="969" t="e">
        <f>BK20*'Common HVAC References'!$F$137</f>
        <v>#VALUE!</v>
      </c>
      <c r="BT20" s="969" t="e">
        <f>-AZ20*'Common HVAC References'!$F$137+AU20*INDEX('Common HVAC References'!$F$134:$F$140,MATCH(IF(LEFT(AI20,8)="Baseline",LEFT(AI20,8),AI20),'Common HVAC References'!$D$134:$D$140,0))</f>
        <v>#VALUE!</v>
      </c>
    </row>
    <row r="21" spans="2:72">
      <c r="B21" s="761">
        <v>15</v>
      </c>
      <c r="C21" s="888" t="str">
        <f>IF('Worksheet Common HVAC'!B30="","",'Worksheet Common HVAC'!B30)</f>
        <v/>
      </c>
      <c r="D21" s="940" t="str">
        <f>IF('Worksheet Common HVAC'!C30="","",'Worksheet Common HVAC'!C30)</f>
        <v/>
      </c>
      <c r="E21" s="940" t="str">
        <f>IF('Worksheet Common HVAC'!E30="","",'Worksheet Common HVAC'!E30)</f>
        <v/>
      </c>
      <c r="F21" s="940" t="str">
        <f>IF('Worksheet Common HVAC'!T30="","",'Worksheet Common HVAC'!T30)</f>
        <v/>
      </c>
      <c r="G21" s="973" t="str">
        <f>IF('Worksheet Common HVAC'!V30="","",'Worksheet Common HVAC'!V30)</f>
        <v/>
      </c>
      <c r="H21" s="892" t="str">
        <f t="shared" si="0"/>
        <v xml:space="preserve">  </v>
      </c>
      <c r="I21" s="888" t="str">
        <f>IF('Worksheet Common HVAC'!H30="","",'Worksheet Common HVAC'!H30)</f>
        <v/>
      </c>
      <c r="J21" s="941" t="str">
        <f>IF('Worksheet Common HVAC'!I30="","",'Worksheet Common HVAC'!I30)</f>
        <v/>
      </c>
      <c r="K21" s="888" t="str">
        <f>IF(LEFT('Worksheet Common HVAC'!B30,4)="Room",'Common HVAC Calculation'!L21,IF('Worksheet Common HVAC'!J30="","",'Worksheet Common HVAC'!J30))</f>
        <v/>
      </c>
      <c r="L21" s="940" t="str">
        <f>IF('Worksheet Common HVAC'!K30="","",'Worksheet Common HVAC'!K30)</f>
        <v/>
      </c>
      <c r="M21" s="940" t="str">
        <f>IF($H21="  ","",IF('Worksheet Common HVAC'!L30="",0,'Worksheet Common HVAC'!L30))</f>
        <v/>
      </c>
      <c r="N21" s="940" t="str">
        <f>IF($H21="  ","",IF('Worksheet Common HVAC'!M30="",0,'Worksheet Common HVAC'!M30))</f>
        <v/>
      </c>
      <c r="O21" s="888" t="str">
        <f>IF(H21="  ","",INDEX(HVAC_T1T2ReferenceTable,MATCH(H21,'Common HVAC References'!$AX$4:$AX$45,0),2))</f>
        <v/>
      </c>
      <c r="P21" s="940" t="str">
        <f t="shared" si="1"/>
        <v/>
      </c>
      <c r="Q21" s="940" t="str">
        <f t="shared" si="2"/>
        <v/>
      </c>
      <c r="R21" s="940" t="str">
        <f t="shared" si="3"/>
        <v/>
      </c>
      <c r="S21" s="940" t="str">
        <f>IF(LEFT(H21,4)="Room",'Common HVAC References'!$AT$4,"")</f>
        <v/>
      </c>
      <c r="T21" s="888" t="str">
        <f t="shared" si="4"/>
        <v/>
      </c>
      <c r="U21" s="940" t="str">
        <f t="shared" si="5"/>
        <v/>
      </c>
      <c r="V21" s="940" t="str">
        <f t="shared" si="6"/>
        <v/>
      </c>
      <c r="W21" s="940" t="str">
        <f t="shared" si="7"/>
        <v/>
      </c>
      <c r="X21" s="940" t="str">
        <f>IF(AND(N21="",R21&lt;&gt;0),"",IF(LEFT(H21,4)&lt;&gt;"Room","PASS",IF(LEFT(F21,4)&lt;&gt;"Room","FAIL",IF('Worksheet Common HVAC'!X30&lt;=S21,"PASS","FAIL"))))</f>
        <v/>
      </c>
      <c r="Y21" s="892" t="str">
        <f t="shared" si="8"/>
        <v>FAIL</v>
      </c>
      <c r="Z21" s="888" t="str">
        <f>'Common HVAC References'!$G$43</f>
        <v>Multifamily</v>
      </c>
      <c r="AA21" s="939">
        <f>IF(OR(Z21="",Z21="… please select …"),0,INDEX('Common HVAC References'!$H$22:$H$44,MATCH(Z21,'Common HVAC References'!$G$22:$G$44,0)))</f>
        <v>736</v>
      </c>
      <c r="AB21" s="938">
        <f>IF(OR(Z21="",Z21="… please select …"),0,INDEX('Common HVAC References'!$I$22:$I$44,MATCH(Z21,'Common HVAC References'!$G$22:$G$44,0)))</f>
        <v>681</v>
      </c>
      <c r="AF21" s="926">
        <v>15</v>
      </c>
      <c r="AG21" s="937" t="str">
        <f t="shared" si="9"/>
        <v xml:space="preserve">   </v>
      </c>
      <c r="AH21" s="937" t="str">
        <f>IF(OR('Worksheet Common HVAC'!$T30="",'Worksheet Common HVAC'!T30="None"),IF($H21="  ","","Baseline "&amp;INDEX('Common HVAC References'!$V$4:$V$43,MATCH($H21,'Common HVAC References'!$S$4:$S$43,0))),"Existing "&amp;'Worksheet Common HVAC'!$T30)</f>
        <v/>
      </c>
      <c r="AI21" s="927" t="str">
        <f>IF(OR('Worksheet Common HVAC'!U30="",'Worksheet Common HVAC'!U30="None"),IF(I21="","","Baseline "&amp;INDEX('Common HVAC References'!$W$4:$W$44,MATCH($H21,'Common HVAC References'!$S$4:$S$44,0))),"Existing "&amp;'Worksheet Common HVAC'!U30)</f>
        <v/>
      </c>
      <c r="AJ21" s="936" t="str">
        <f>_xlfn.IFNA(IF(OR('Worksheet Common HVAC'!W30=0,'Worksheet Common HVAC'!W30=""),IF(OR(LEFT(H21,3)="pac",LEFT(H21,4)="Room"),0,INDEX('Common HVAC References'!$BK$5:$BK$44,MATCH(H21,'Common HVAC References'!$AX$5:$AX$44,0))),'Worksheet Common HVAC'!W30),"")</f>
        <v/>
      </c>
      <c r="AK21" s="929" t="str">
        <f>IF(H21="  ","",IF('Worksheet Common HVAC'!X30="",IF(LEFT(H21,3)="Pac",(INDEX('Common HVAC References'!$BL$4:$BL$44,MATCH(H21,'Common HVAC References'!$AX$4:$AX$44,0)))-(0.3*I21*12000/1000),INDEX('Common HVAC References'!$BL$4:$BL$44,MATCH(H21,'Common HVAC References'!$AX$4:$AX$44,0))),'Worksheet Common HVAC'!X30))</f>
        <v/>
      </c>
      <c r="AL21" s="1644" t="str">
        <f>IF(H21="  ","",IF(OR($AI21="Existing Gas",$AI21="Existing Oil",$AI21="Existing Propane",$AI21="New Construction"),0,IF(AND('Worksheet Common HVAC'!Z30=0,'Worksheet Common HVAC'!Y30=0),IF(LEFT(H21,3)="pac",0,INDEX('Common HVAC References'!$BM$4:$BM$44,MATCH(H21,'Common HVAC References'!$AX$4:$AX$44,0))),IF(AND('Worksheet Common HVAC'!Z30&gt;0,'Worksheet Common HVAC'!Y30=0),'Worksheet Common HVAC'!Z30*'Common HVAC References'!$B$45,'Worksheet Common HVAC'!Y30))))</f>
        <v/>
      </c>
      <c r="AM21" s="929" t="str">
        <f>IF($H21="  ","",IF(OR($AI21="Existing Gas",$AI21="Existing Oil",$AI21="Existing Propane",$AI21="Baseline New Construction"),0,IF(OR('Worksheet Common HVAC'!Z30="",'Worksheet Common HVAC'!Z30=0),IF(LEFT(H21,3)="Pac",(INDEX('Common HVAC References'!$BM$4:$BM$44,MATCH(H21,'Common HVAC References'!$AX$4:$AX$44,0)))-INDEX('Common HVAC References'!$BN$4:$BN$44,MATCH(H21,'Common HVAC References'!$AX$4:$AX$44,0))*I21*12000/1000,INDEX('Common HVAC References'!$BN$4:$BN$44,MATCH(H21,'Common HVAC References'!$AX$4:$AX$44,0))),'Worksheet Common HVAC'!Z30)))</f>
        <v/>
      </c>
      <c r="AN21" s="935" t="str">
        <f>IF($H21="  ","",IF(OR($AI21="Existing Gas",$AI21="Existing Oil",$AI21="Existing Propane", $AI21="Baseline New Construction"),IF(OR('Worksheet Common HVAC'!AA30="",'Worksheet Common HVAC'!AA30=0),INDEX('Common HVAC References'!$E$134:$E$138,MATCH(AI21,'Common HVAC References'!$D$134:$D$138,0)),'Worksheet Common HVAC'!AA30),0))</f>
        <v/>
      </c>
      <c r="AO21" s="934">
        <f>IF(OR(LEFT(AI21,8)="Existing",RIGHT(AI21,16)="New Construction"),'Common HVAC References'!$B$29,1)</f>
        <v>1</v>
      </c>
      <c r="AP21" s="933">
        <f>'Common HVAC References'!$B$33</f>
        <v>15</v>
      </c>
      <c r="AQ21" s="932" t="e">
        <f>IF(AND(AK21&gt;0,L21&gt;0),ROUND((I21*12)*((1/AK21)-(1/L21)),'Common HVAC References'!$B$36),0)</f>
        <v>#VALUE!</v>
      </c>
      <c r="AR21" s="931" t="e">
        <f>IF(AND(AK21&gt;0,L21&gt;0),ROUND((J21*I21*12)*((1/AK21)-(1/L21)),'Common HVAC References'!$B$36),0)</f>
        <v>#VALUE!</v>
      </c>
      <c r="AS21" s="931" t="e">
        <f>IF(AND(AJ21=0,AK21=0),0,IF(AJ21&gt;0,ROUND((I21*12)*((1/AJ21)-(1/K21))*AA21,'Common HVAC References'!$B$39),ROUND((I21*12)*((1/AK21)-(1/L21))*AA21,'Common HVAC References'!$B$39)))</f>
        <v>#VALUE!</v>
      </c>
      <c r="AT21" s="931" t="e">
        <f>AS21*'Common HVAC References'!$B$25</f>
        <v>#VALUE!</v>
      </c>
      <c r="AU21" s="931" t="e">
        <f t="shared" si="10"/>
        <v>#VALUE!</v>
      </c>
      <c r="AV21" s="932">
        <f>IF(AND(N21&gt;0,AM21&gt;0,N21&lt;&gt;""),ROUND((I21*12)*((1/(AM21))-(1/(N21))),'Common HVAC References'!$B$36),IF(AND(M21&gt;0,AL21&gt;0,M21&lt;&gt;""),ROUND((I21*12)*(1/(AL21/3.412))-(1/(M21/3.412)),'Common HVAC References'!$B$36),IF(AND(N21&gt;0,N21&lt;&gt;""),ROUND((I21*12)*-(1/(N21/3.412)),'Common HVAC References'!$B$36),IF(AND(M21&gt;0,M21&lt;&gt;""),ROUND((I21*12)*-(1/(M21/3.412)),'Common HVAC References'!$B$36),0))))</f>
        <v>0</v>
      </c>
      <c r="AW21" s="931" t="e">
        <f t="shared" si="11"/>
        <v>#VALUE!</v>
      </c>
      <c r="AX21" s="931" t="e">
        <f>ROUND(AU21*AN21*AP21,'Common HVAC References'!$B$39)</f>
        <v>#VALUE!</v>
      </c>
      <c r="AY21" s="931" t="e">
        <f>IF(AND(AL21&gt;0,M21&gt;0),ROUND((I21*12)*((1/AL21)-(1/M21))*AB21*AO21,'Common HVAC References'!$B$39),IF(AND(AM21&gt;0,N21&gt;0),ROUND((I21*12)*((1/AM21)-(1/N21))*AB21*AO21/3.413,'Common HVAC References'!$B$39),0))</f>
        <v>#VALUE!</v>
      </c>
      <c r="AZ21" s="931">
        <f>IF(AND(OR($AI21="Existing Gas",$AI21="Existing Oil",$AI21="Existing Propane",$AI21="Baseline New Construction"),RIGHT(C21,10)="Heat Pumps"),IF(AND(M21&gt;0,M21&lt;&gt;""),ROUND(((I21*12)*((1/M21))*AB21*AO21)-AX21,'Common HVAC References'!$B$39),IF(AND(N21&gt;0,N21&lt;&gt;""),ROUND(((I21*12)*((1/N21))*AB21*AO21/3.412)-AX21,'Common HVAC References'!$B$39),0)),0)</f>
        <v>0</v>
      </c>
      <c r="BA21" s="931" t="e">
        <f>(AY21*'Common HVAC References'!$B$25)-(AZ21*'Common HVAC References'!$B$25)</f>
        <v>#VALUE!</v>
      </c>
      <c r="BB21" s="931" t="e">
        <f t="shared" si="12"/>
        <v>#VALUE!</v>
      </c>
      <c r="BC21" s="931" t="e">
        <f t="shared" si="13"/>
        <v>#VALUE!</v>
      </c>
      <c r="BD21" s="929" t="e">
        <f t="shared" si="25"/>
        <v>#VALUE!</v>
      </c>
      <c r="BE21" s="929" t="e">
        <f t="shared" si="14"/>
        <v>#VALUE!</v>
      </c>
      <c r="BF21" s="929" t="e">
        <f t="shared" si="15"/>
        <v>#VALUE!</v>
      </c>
      <c r="BG21" s="929" t="e">
        <f t="shared" si="16"/>
        <v>#VALUE!</v>
      </c>
      <c r="BH21" s="929" t="e">
        <f t="shared" si="17"/>
        <v>#VALUE!</v>
      </c>
      <c r="BI21" s="930" t="e">
        <f t="shared" si="18"/>
        <v>#VALUE!</v>
      </c>
      <c r="BJ21" s="929" t="e">
        <f t="shared" si="19"/>
        <v>#VALUE!</v>
      </c>
      <c r="BK21" s="929" t="e">
        <f t="shared" si="20"/>
        <v>#VALUE!</v>
      </c>
      <c r="BL21" s="972">
        <f t="shared" si="26"/>
        <v>0</v>
      </c>
      <c r="BM21" s="928">
        <f t="shared" si="21"/>
        <v>0</v>
      </c>
      <c r="BN21" s="926">
        <v>15</v>
      </c>
      <c r="BO21" s="971" t="str">
        <f t="shared" si="22"/>
        <v xml:space="preserve">  </v>
      </c>
      <c r="BP21" s="970" t="str">
        <f t="shared" si="23"/>
        <v/>
      </c>
      <c r="BQ21" s="927" t="str">
        <f t="shared" si="24"/>
        <v xml:space="preserve">   </v>
      </c>
      <c r="BR21" s="927" t="str">
        <f>IF(Y21="FAIL","",INDEX('Common HVAC References'!$AG$4:$AG$82,MATCH('Common HVAC Calculation'!BQ21,'Common HVAC References'!$AF$4:$AF$82,0)))</f>
        <v/>
      </c>
      <c r="BS21" s="969" t="e">
        <f>BK21*'Common HVAC References'!$F$137</f>
        <v>#VALUE!</v>
      </c>
      <c r="BT21" s="969" t="e">
        <f>-AZ21*'Common HVAC References'!$F$137+AU21*INDEX('Common HVAC References'!$F$134:$F$140,MATCH(IF(LEFT(AI21,8)="Baseline",LEFT(AI21,8),AI21),'Common HVAC References'!$D$134:$D$140,0))</f>
        <v>#VALUE!</v>
      </c>
    </row>
    <row r="22" spans="2:72">
      <c r="B22" s="761">
        <v>16</v>
      </c>
      <c r="C22" s="888" t="str">
        <f>IF('Worksheet Common HVAC'!B31="","",'Worksheet Common HVAC'!B31)</f>
        <v/>
      </c>
      <c r="D22" s="940" t="str">
        <f>IF('Worksheet Common HVAC'!C31="","",'Worksheet Common HVAC'!C31)</f>
        <v/>
      </c>
      <c r="E22" s="940" t="str">
        <f>IF('Worksheet Common HVAC'!E31="","",'Worksheet Common HVAC'!E31)</f>
        <v/>
      </c>
      <c r="F22" s="940" t="str">
        <f>IF('Worksheet Common HVAC'!T31="","",'Worksheet Common HVAC'!T31)</f>
        <v/>
      </c>
      <c r="G22" s="973" t="str">
        <f>IF('Worksheet Common HVAC'!V31="","",'Worksheet Common HVAC'!V31)</f>
        <v/>
      </c>
      <c r="H22" s="892" t="str">
        <f t="shared" si="0"/>
        <v xml:space="preserve">  </v>
      </c>
      <c r="I22" s="888" t="str">
        <f>IF('Worksheet Common HVAC'!H31="","",'Worksheet Common HVAC'!H31)</f>
        <v/>
      </c>
      <c r="J22" s="941" t="str">
        <f>IF('Worksheet Common HVAC'!I31="","",'Worksheet Common HVAC'!I31)</f>
        <v/>
      </c>
      <c r="K22" s="888" t="str">
        <f>IF(LEFT('Worksheet Common HVAC'!B31,4)="Room",'Common HVAC Calculation'!L22,IF('Worksheet Common HVAC'!J31="","",'Worksheet Common HVAC'!J31))</f>
        <v/>
      </c>
      <c r="L22" s="940" t="str">
        <f>IF('Worksheet Common HVAC'!K31="","",'Worksheet Common HVAC'!K31)</f>
        <v/>
      </c>
      <c r="M22" s="940" t="str">
        <f>IF($H22="  ","",IF('Worksheet Common HVAC'!L31="",0,'Worksheet Common HVAC'!L31))</f>
        <v/>
      </c>
      <c r="N22" s="940" t="str">
        <f>IF($H22="  ","",IF('Worksheet Common HVAC'!M31="",0,'Worksheet Common HVAC'!M31))</f>
        <v/>
      </c>
      <c r="O22" s="888" t="str">
        <f>IF(H22="  ","",INDEX(HVAC_T1T2ReferenceTable,MATCH(H22,'Common HVAC References'!$AX$4:$AX$45,0),2))</f>
        <v/>
      </c>
      <c r="P22" s="940" t="str">
        <f t="shared" si="1"/>
        <v/>
      </c>
      <c r="Q22" s="940" t="str">
        <f t="shared" si="2"/>
        <v/>
      </c>
      <c r="R22" s="940" t="str">
        <f t="shared" si="3"/>
        <v/>
      </c>
      <c r="S22" s="940" t="str">
        <f>IF(LEFT(H22,4)="Room",'Common HVAC References'!$AT$4,"")</f>
        <v/>
      </c>
      <c r="T22" s="888" t="str">
        <f t="shared" si="4"/>
        <v/>
      </c>
      <c r="U22" s="940" t="str">
        <f t="shared" si="5"/>
        <v/>
      </c>
      <c r="V22" s="940" t="str">
        <f t="shared" si="6"/>
        <v/>
      </c>
      <c r="W22" s="940" t="str">
        <f t="shared" si="7"/>
        <v/>
      </c>
      <c r="X22" s="940" t="str">
        <f>IF(AND(N22="",R22&lt;&gt;0),"",IF(LEFT(H22,4)&lt;&gt;"Room","PASS",IF(LEFT(F22,4)&lt;&gt;"Room","FAIL",IF('Worksheet Common HVAC'!X31&lt;=S22,"PASS","FAIL"))))</f>
        <v/>
      </c>
      <c r="Y22" s="892" t="str">
        <f t="shared" si="8"/>
        <v>FAIL</v>
      </c>
      <c r="Z22" s="888" t="str">
        <f>'Common HVAC References'!$G$43</f>
        <v>Multifamily</v>
      </c>
      <c r="AA22" s="939">
        <f>IF(OR(Z22="",Z22="… please select …"),0,INDEX('Common HVAC References'!$H$22:$H$44,MATCH(Z22,'Common HVAC References'!$G$22:$G$44,0)))</f>
        <v>736</v>
      </c>
      <c r="AB22" s="938">
        <f>IF(OR(Z22="",Z22="… please select …"),0,INDEX('Common HVAC References'!$I$22:$I$44,MATCH(Z22,'Common HVAC References'!$G$22:$G$44,0)))</f>
        <v>681</v>
      </c>
      <c r="AF22" s="926">
        <v>16</v>
      </c>
      <c r="AG22" s="937" t="str">
        <f t="shared" si="9"/>
        <v xml:space="preserve">   </v>
      </c>
      <c r="AH22" s="937" t="str">
        <f>IF(OR('Worksheet Common HVAC'!$T31="",'Worksheet Common HVAC'!T31="None"),IF($H22="  ","","Baseline "&amp;INDEX('Common HVAC References'!$V$4:$V$43,MATCH($H22,'Common HVAC References'!$S$4:$S$43,0))),"Existing "&amp;'Worksheet Common HVAC'!$T31)</f>
        <v/>
      </c>
      <c r="AI22" s="927" t="str">
        <f>IF(OR('Worksheet Common HVAC'!U31="",'Worksheet Common HVAC'!U31="None"),IF(I22="","","Baseline "&amp;INDEX('Common HVAC References'!$W$4:$W$44,MATCH($H22,'Common HVAC References'!$S$4:$S$44,0))),"Existing "&amp;'Worksheet Common HVAC'!U31)</f>
        <v/>
      </c>
      <c r="AJ22" s="936" t="str">
        <f>_xlfn.IFNA(IF(OR('Worksheet Common HVAC'!W31=0,'Worksheet Common HVAC'!W31=""),IF(OR(LEFT(H22,3)="pac",LEFT(H22,4)="Room"),0,INDEX('Common HVAC References'!$BK$5:$BK$44,MATCH(H22,'Common HVAC References'!$AX$5:$AX$44,0))),'Worksheet Common HVAC'!W31),"")</f>
        <v/>
      </c>
      <c r="AK22" s="929" t="str">
        <f>IF(H22="  ","",IF('Worksheet Common HVAC'!X31="",IF(LEFT(H22,3)="Pac",(INDEX('Common HVAC References'!$BL$4:$BL$44,MATCH(H22,'Common HVAC References'!$AX$4:$AX$44,0)))-(0.3*I22*12000/1000),INDEX('Common HVAC References'!$BL$4:$BL$44,MATCH(H22,'Common HVAC References'!$AX$4:$AX$44,0))),'Worksheet Common HVAC'!X31))</f>
        <v/>
      </c>
      <c r="AL22" s="1644" t="str">
        <f>IF(H22="  ","",IF(OR($AI22="Existing Gas",$AI22="Existing Oil",$AI22="Existing Propane",$AI22="New Construction"),0,IF(AND('Worksheet Common HVAC'!Z31=0,'Worksheet Common HVAC'!Y31=0),IF(LEFT(H22,3)="pac",0,INDEX('Common HVAC References'!$BM$4:$BM$44,MATCH(H22,'Common HVAC References'!$AX$4:$AX$44,0))),IF(AND('Worksheet Common HVAC'!Z31&gt;0,'Worksheet Common HVAC'!Y31=0),'Worksheet Common HVAC'!Z31*'Common HVAC References'!$B$45,'Worksheet Common HVAC'!Y31))))</f>
        <v/>
      </c>
      <c r="AM22" s="929" t="str">
        <f>IF($H22="  ","",IF(OR($AI22="Existing Gas",$AI22="Existing Oil",$AI22="Existing Propane",$AI22="Baseline New Construction"),0,IF(OR('Worksheet Common HVAC'!Z31="",'Worksheet Common HVAC'!Z31=0),IF(LEFT(H22,3)="Pac",(INDEX('Common HVAC References'!$BM$4:$BM$44,MATCH(H22,'Common HVAC References'!$AX$4:$AX$44,0)))-INDEX('Common HVAC References'!$BN$4:$BN$44,MATCH(H22,'Common HVAC References'!$AX$4:$AX$44,0))*I22*12000/1000,INDEX('Common HVAC References'!$BN$4:$BN$44,MATCH(H22,'Common HVAC References'!$AX$4:$AX$44,0))),'Worksheet Common HVAC'!Z31)))</f>
        <v/>
      </c>
      <c r="AN22" s="935" t="str">
        <f>IF($H22="  ","",IF(OR($AI22="Existing Gas",$AI22="Existing Oil",$AI22="Existing Propane", $AI22="Baseline New Construction"),IF(OR('Worksheet Common HVAC'!AA31="",'Worksheet Common HVAC'!AA31=0),INDEX('Common HVAC References'!$E$134:$E$138,MATCH(AI22,'Common HVAC References'!$D$134:$D$138,0)),'Worksheet Common HVAC'!AA31),0))</f>
        <v/>
      </c>
      <c r="AO22" s="934">
        <f>IF(OR(LEFT(AI22,8)="Existing",RIGHT(AI22,16)="New Construction"),'Common HVAC References'!$B$29,1)</f>
        <v>1</v>
      </c>
      <c r="AP22" s="933">
        <f>'Common HVAC References'!$B$33</f>
        <v>15</v>
      </c>
      <c r="AQ22" s="932" t="e">
        <f>IF(AND(AK22&gt;0,L22&gt;0),ROUND((I22*12)*((1/AK22)-(1/L22)),'Common HVAC References'!$B$36),0)</f>
        <v>#VALUE!</v>
      </c>
      <c r="AR22" s="931" t="e">
        <f>IF(AND(AK22&gt;0,L22&gt;0),ROUND((J22*I22*12)*((1/AK22)-(1/L22)),'Common HVAC References'!$B$36),0)</f>
        <v>#VALUE!</v>
      </c>
      <c r="AS22" s="931" t="e">
        <f>IF(AND(AJ22=0,AK22=0),0,IF(AJ22&gt;0,ROUND((I22*12)*((1/AJ22)-(1/K22))*AA22,'Common HVAC References'!$B$39),ROUND((I22*12)*((1/AK22)-(1/L22))*AA22,'Common HVAC References'!$B$39)))</f>
        <v>#VALUE!</v>
      </c>
      <c r="AT22" s="931" t="e">
        <f>AS22*'Common HVAC References'!$B$25</f>
        <v>#VALUE!</v>
      </c>
      <c r="AU22" s="931" t="e">
        <f t="shared" si="10"/>
        <v>#VALUE!</v>
      </c>
      <c r="AV22" s="932">
        <f>IF(AND(N22&gt;0,AM22&gt;0,N22&lt;&gt;""),ROUND((I22*12)*((1/(AM22))-(1/(N22))),'Common HVAC References'!$B$36),IF(AND(M22&gt;0,AL22&gt;0,M22&lt;&gt;""),ROUND((I22*12)*(1/(AL22/3.412))-(1/(M22/3.412)),'Common HVAC References'!$B$36),IF(AND(N22&gt;0,N22&lt;&gt;""),ROUND((I22*12)*-(1/(N22/3.412)),'Common HVAC References'!$B$36),IF(AND(M22&gt;0,M22&lt;&gt;""),ROUND((I22*12)*-(1/(M22/3.412)),'Common HVAC References'!$B$36),0))))</f>
        <v>0</v>
      </c>
      <c r="AW22" s="931" t="e">
        <f t="shared" si="11"/>
        <v>#VALUE!</v>
      </c>
      <c r="AX22" s="931" t="e">
        <f>ROUND(AU22*AN22*AP22,'Common HVAC References'!$B$39)</f>
        <v>#VALUE!</v>
      </c>
      <c r="AY22" s="931" t="e">
        <f>IF(AND(AL22&gt;0,M22&gt;0),ROUND((I22*12)*((1/AL22)-(1/M22))*AB22*AO22,'Common HVAC References'!$B$39),IF(AND(AM22&gt;0,N22&gt;0),ROUND((I22*12)*((1/AM22)-(1/N22))*AB22*AO22/3.413,'Common HVAC References'!$B$39),0))</f>
        <v>#VALUE!</v>
      </c>
      <c r="AZ22" s="931">
        <f>IF(AND(OR($AI22="Existing Gas",$AI22="Existing Oil",$AI22="Existing Propane",$AI22="Baseline New Construction"),RIGHT(C22,10)="Heat Pumps"),IF(AND(M22&gt;0,M22&lt;&gt;""),ROUND(((I22*12)*((1/M22))*AB22*AO22)-AX22,'Common HVAC References'!$B$39),IF(AND(N22&gt;0,N22&lt;&gt;""),ROUND(((I22*12)*((1/N22))*AB22*AO22/3.412)-AX22,'Common HVAC References'!$B$39),0)),0)</f>
        <v>0</v>
      </c>
      <c r="BA22" s="931" t="e">
        <f>(AY22*'Common HVAC References'!$B$25)-(AZ22*'Common HVAC References'!$B$25)</f>
        <v>#VALUE!</v>
      </c>
      <c r="BB22" s="931" t="e">
        <f t="shared" si="12"/>
        <v>#VALUE!</v>
      </c>
      <c r="BC22" s="931" t="e">
        <f t="shared" si="13"/>
        <v>#VALUE!</v>
      </c>
      <c r="BD22" s="929" t="e">
        <f t="shared" si="25"/>
        <v>#VALUE!</v>
      </c>
      <c r="BE22" s="929" t="e">
        <f t="shared" si="14"/>
        <v>#VALUE!</v>
      </c>
      <c r="BF22" s="929" t="e">
        <f t="shared" si="15"/>
        <v>#VALUE!</v>
      </c>
      <c r="BG22" s="929" t="e">
        <f t="shared" si="16"/>
        <v>#VALUE!</v>
      </c>
      <c r="BH22" s="929" t="e">
        <f t="shared" si="17"/>
        <v>#VALUE!</v>
      </c>
      <c r="BI22" s="930" t="e">
        <f t="shared" si="18"/>
        <v>#VALUE!</v>
      </c>
      <c r="BJ22" s="929" t="e">
        <f t="shared" si="19"/>
        <v>#VALUE!</v>
      </c>
      <c r="BK22" s="929" t="e">
        <f t="shared" si="20"/>
        <v>#VALUE!</v>
      </c>
      <c r="BL22" s="972">
        <f t="shared" si="26"/>
        <v>0</v>
      </c>
      <c r="BM22" s="928">
        <f t="shared" si="21"/>
        <v>0</v>
      </c>
      <c r="BN22" s="926">
        <v>16</v>
      </c>
      <c r="BO22" s="971" t="str">
        <f t="shared" si="22"/>
        <v xml:space="preserve">  </v>
      </c>
      <c r="BP22" s="970" t="str">
        <f t="shared" si="23"/>
        <v/>
      </c>
      <c r="BQ22" s="927" t="str">
        <f t="shared" si="24"/>
        <v xml:space="preserve">   </v>
      </c>
      <c r="BR22" s="927" t="str">
        <f>IF(Y22="FAIL","",INDEX('Common HVAC References'!$AG$4:$AG$82,MATCH('Common HVAC Calculation'!BQ22,'Common HVAC References'!$AF$4:$AF$82,0)))</f>
        <v/>
      </c>
      <c r="BS22" s="969" t="e">
        <f>BK22*'Common HVAC References'!$F$137</f>
        <v>#VALUE!</v>
      </c>
      <c r="BT22" s="969" t="e">
        <f>-AZ22*'Common HVAC References'!$F$137+AU22*INDEX('Common HVAC References'!$F$134:$F$140,MATCH(IF(LEFT(AI22,8)="Baseline",LEFT(AI22,8),AI22),'Common HVAC References'!$D$134:$D$140,0))</f>
        <v>#VALUE!</v>
      </c>
    </row>
    <row r="23" spans="2:72">
      <c r="B23" s="761">
        <v>17</v>
      </c>
      <c r="C23" s="888" t="str">
        <f>IF('Worksheet Common HVAC'!B32="","",'Worksheet Common HVAC'!B32)</f>
        <v/>
      </c>
      <c r="D23" s="940" t="str">
        <f>IF('Worksheet Common HVAC'!C32="","",'Worksheet Common HVAC'!C32)</f>
        <v/>
      </c>
      <c r="E23" s="940" t="str">
        <f>IF('Worksheet Common HVAC'!E32="","",'Worksheet Common HVAC'!E32)</f>
        <v/>
      </c>
      <c r="F23" s="940" t="str">
        <f>IF('Worksheet Common HVAC'!T32="","",'Worksheet Common HVAC'!T32)</f>
        <v/>
      </c>
      <c r="G23" s="973" t="str">
        <f>IF('Worksheet Common HVAC'!V32="","",'Worksheet Common HVAC'!V32)</f>
        <v/>
      </c>
      <c r="H23" s="892" t="str">
        <f t="shared" si="0"/>
        <v xml:space="preserve">  </v>
      </c>
      <c r="I23" s="888" t="str">
        <f>IF('Worksheet Common HVAC'!H32="","",'Worksheet Common HVAC'!H32)</f>
        <v/>
      </c>
      <c r="J23" s="941" t="str">
        <f>IF('Worksheet Common HVAC'!I32="","",'Worksheet Common HVAC'!I32)</f>
        <v/>
      </c>
      <c r="K23" s="888" t="str">
        <f>IF(LEFT('Worksheet Common HVAC'!B32,4)="Room",'Common HVAC Calculation'!L23,IF('Worksheet Common HVAC'!J32="","",'Worksheet Common HVAC'!J32))</f>
        <v/>
      </c>
      <c r="L23" s="940" t="str">
        <f>IF('Worksheet Common HVAC'!K32="","",'Worksheet Common HVAC'!K32)</f>
        <v/>
      </c>
      <c r="M23" s="940" t="str">
        <f>IF($H23="  ","",IF('Worksheet Common HVAC'!L32="",0,'Worksheet Common HVAC'!L32))</f>
        <v/>
      </c>
      <c r="N23" s="940" t="str">
        <f>IF($H23="  ","",IF('Worksheet Common HVAC'!M32="",0,'Worksheet Common HVAC'!M32))</f>
        <v/>
      </c>
      <c r="O23" s="888" t="str">
        <f>IF(H23="  ","",INDEX(HVAC_T1T2ReferenceTable,MATCH(H23,'Common HVAC References'!$AX$4:$AX$45,0),2))</f>
        <v/>
      </c>
      <c r="P23" s="940" t="str">
        <f t="shared" si="1"/>
        <v/>
      </c>
      <c r="Q23" s="940" t="str">
        <f t="shared" si="2"/>
        <v/>
      </c>
      <c r="R23" s="940" t="str">
        <f t="shared" si="3"/>
        <v/>
      </c>
      <c r="S23" s="940" t="str">
        <f>IF(LEFT(H23,4)="Room",'Common HVAC References'!$AT$4,"")</f>
        <v/>
      </c>
      <c r="T23" s="888" t="str">
        <f t="shared" si="4"/>
        <v/>
      </c>
      <c r="U23" s="940" t="str">
        <f t="shared" si="5"/>
        <v/>
      </c>
      <c r="V23" s="940" t="str">
        <f t="shared" si="6"/>
        <v/>
      </c>
      <c r="W23" s="940" t="str">
        <f t="shared" si="7"/>
        <v/>
      </c>
      <c r="X23" s="940" t="str">
        <f>IF(AND(N23="",R23&lt;&gt;0),"",IF(LEFT(H23,4)&lt;&gt;"Room","PASS",IF(LEFT(F23,4)&lt;&gt;"Room","FAIL",IF('Worksheet Common HVAC'!X32&lt;=S23,"PASS","FAIL"))))</f>
        <v/>
      </c>
      <c r="Y23" s="892" t="str">
        <f t="shared" si="8"/>
        <v>FAIL</v>
      </c>
      <c r="Z23" s="888" t="str">
        <f>'Common HVAC References'!$G$43</f>
        <v>Multifamily</v>
      </c>
      <c r="AA23" s="939">
        <f>IF(OR(Z23="",Z23="… please select …"),0,INDEX('Common HVAC References'!$H$22:$H$44,MATCH(Z23,'Common HVAC References'!$G$22:$G$44,0)))</f>
        <v>736</v>
      </c>
      <c r="AB23" s="938">
        <f>IF(OR(Z23="",Z23="… please select …"),0,INDEX('Common HVAC References'!$I$22:$I$44,MATCH(Z23,'Common HVAC References'!$G$22:$G$44,0)))</f>
        <v>681</v>
      </c>
      <c r="AF23" s="926">
        <v>17</v>
      </c>
      <c r="AG23" s="937" t="str">
        <f t="shared" si="9"/>
        <v xml:space="preserve">   </v>
      </c>
      <c r="AH23" s="937" t="str">
        <f>IF(OR('Worksheet Common HVAC'!$T32="",'Worksheet Common HVAC'!T32="None"),IF($H23="  ","","Baseline "&amp;INDEX('Common HVAC References'!$V$4:$V$43,MATCH($H23,'Common HVAC References'!$S$4:$S$43,0))),"Existing "&amp;'Worksheet Common HVAC'!$T32)</f>
        <v/>
      </c>
      <c r="AI23" s="927" t="str">
        <f>IF(OR('Worksheet Common HVAC'!U32="",'Worksheet Common HVAC'!U32="None"),IF(I23="","","Baseline "&amp;INDEX('Common HVAC References'!$W$4:$W$44,MATCH($H23,'Common HVAC References'!$S$4:$S$44,0))),"Existing "&amp;'Worksheet Common HVAC'!U32)</f>
        <v/>
      </c>
      <c r="AJ23" s="936" t="str">
        <f>_xlfn.IFNA(IF(OR('Worksheet Common HVAC'!W32=0,'Worksheet Common HVAC'!W32=""),IF(OR(LEFT(H23,3)="pac",LEFT(H23,4)="Room"),0,INDEX('Common HVAC References'!$BK$5:$BK$44,MATCH(H23,'Common HVAC References'!$AX$5:$AX$44,0))),'Worksheet Common HVAC'!W32),"")</f>
        <v/>
      </c>
      <c r="AK23" s="929" t="str">
        <f>IF(H23="  ","",IF('Worksheet Common HVAC'!X32="",IF(LEFT(H23,3)="Pac",(INDEX('Common HVAC References'!$BL$4:$BL$44,MATCH(H23,'Common HVAC References'!$AX$4:$AX$44,0)))-(0.3*I23*12000/1000),INDEX('Common HVAC References'!$BL$4:$BL$44,MATCH(H23,'Common HVAC References'!$AX$4:$AX$44,0))),'Worksheet Common HVAC'!X32))</f>
        <v/>
      </c>
      <c r="AL23" s="1644" t="str">
        <f>IF(H23="  ","",IF(OR($AI23="Existing Gas",$AI23="Existing Oil",$AI23="Existing Propane",$AI23="New Construction"),0,IF(AND('Worksheet Common HVAC'!Z32=0,'Worksheet Common HVAC'!Y32=0),IF(LEFT(H23,3)="pac",0,INDEX('Common HVAC References'!$BM$4:$BM$44,MATCH(H23,'Common HVAC References'!$AX$4:$AX$44,0))),IF(AND('Worksheet Common HVAC'!Z32&gt;0,'Worksheet Common HVAC'!Y32=0),'Worksheet Common HVAC'!Z32*'Common HVAC References'!$B$45,'Worksheet Common HVAC'!Y32))))</f>
        <v/>
      </c>
      <c r="AM23" s="929" t="str">
        <f>IF($H23="  ","",IF(OR($AI23="Existing Gas",$AI23="Existing Oil",$AI23="Existing Propane",$AI23="Baseline New Construction"),0,IF(OR('Worksheet Common HVAC'!Z32="",'Worksheet Common HVAC'!Z32=0),IF(LEFT(H23,3)="Pac",(INDEX('Common HVAC References'!$BM$4:$BM$44,MATCH(H23,'Common HVAC References'!$AX$4:$AX$44,0)))-INDEX('Common HVAC References'!$BN$4:$BN$44,MATCH(H23,'Common HVAC References'!$AX$4:$AX$44,0))*I23*12000/1000,INDEX('Common HVAC References'!$BN$4:$BN$44,MATCH(H23,'Common HVAC References'!$AX$4:$AX$44,0))),'Worksheet Common HVAC'!Z32)))</f>
        <v/>
      </c>
      <c r="AN23" s="935" t="str">
        <f>IF($H23="  ","",IF(OR($AI23="Existing Gas",$AI23="Existing Oil",$AI23="Existing Propane", $AI23="Baseline New Construction"),IF(OR('Worksheet Common HVAC'!AA32="",'Worksheet Common HVAC'!AA32=0),INDEX('Common HVAC References'!$E$134:$E$138,MATCH(AI23,'Common HVAC References'!$D$134:$D$138,0)),'Worksheet Common HVAC'!AA32),0))</f>
        <v/>
      </c>
      <c r="AO23" s="934">
        <f>IF(OR(LEFT(AI23,8)="Existing",RIGHT(AI23,16)="New Construction"),'Common HVAC References'!$B$29,1)</f>
        <v>1</v>
      </c>
      <c r="AP23" s="933">
        <f>'Common HVAC References'!$B$33</f>
        <v>15</v>
      </c>
      <c r="AQ23" s="932" t="e">
        <f>IF(AND(AK23&gt;0,L23&gt;0),ROUND((I23*12)*((1/AK23)-(1/L23)),'Common HVAC References'!$B$36),0)</f>
        <v>#VALUE!</v>
      </c>
      <c r="AR23" s="931" t="e">
        <f>IF(AND(AK23&gt;0,L23&gt;0),ROUND((J23*I23*12)*((1/AK23)-(1/L23)),'Common HVAC References'!$B$36),0)</f>
        <v>#VALUE!</v>
      </c>
      <c r="AS23" s="931" t="e">
        <f>IF(AND(AJ23=0,AK23=0),0,IF(AJ23&gt;0,ROUND((I23*12)*((1/AJ23)-(1/K23))*AA23,'Common HVAC References'!$B$39),ROUND((I23*12)*((1/AK23)-(1/L23))*AA23,'Common HVAC References'!$B$39)))</f>
        <v>#VALUE!</v>
      </c>
      <c r="AT23" s="931" t="e">
        <f>AS23*'Common HVAC References'!$B$25</f>
        <v>#VALUE!</v>
      </c>
      <c r="AU23" s="931" t="e">
        <f t="shared" si="10"/>
        <v>#VALUE!</v>
      </c>
      <c r="AV23" s="932">
        <f>IF(AND(N23&gt;0,AM23&gt;0,N23&lt;&gt;""),ROUND((I23*12)*((1/(AM23))-(1/(N23))),'Common HVAC References'!$B$36),IF(AND(M23&gt;0,AL23&gt;0,M23&lt;&gt;""),ROUND((I23*12)*(1/(AL23/3.412))-(1/(M23/3.412)),'Common HVAC References'!$B$36),IF(AND(N23&gt;0,N23&lt;&gt;""),ROUND((I23*12)*-(1/(N23/3.412)),'Common HVAC References'!$B$36),IF(AND(M23&gt;0,M23&lt;&gt;""),ROUND((I23*12)*-(1/(M23/3.412)),'Common HVAC References'!$B$36),0))))</f>
        <v>0</v>
      </c>
      <c r="AW23" s="931" t="e">
        <f t="shared" si="11"/>
        <v>#VALUE!</v>
      </c>
      <c r="AX23" s="931" t="e">
        <f>ROUND(AU23*AN23*AP23,'Common HVAC References'!$B$39)</f>
        <v>#VALUE!</v>
      </c>
      <c r="AY23" s="931" t="e">
        <f>IF(AND(AL23&gt;0,M23&gt;0),ROUND((I23*12)*((1/AL23)-(1/M23))*AB23*AO23,'Common HVAC References'!$B$39),IF(AND(AM23&gt;0,N23&gt;0),ROUND((I23*12)*((1/AM23)-(1/N23))*AB23*AO23/3.413,'Common HVAC References'!$B$39),0))</f>
        <v>#VALUE!</v>
      </c>
      <c r="AZ23" s="931">
        <f>IF(AND(OR($AI23="Existing Gas",$AI23="Existing Oil",$AI23="Existing Propane",$AI23="Baseline New Construction"),RIGHT(C23,10)="Heat Pumps"),IF(AND(M23&gt;0,M23&lt;&gt;""),ROUND(((I23*12)*((1/M23))*AB23*AO23)-AX23,'Common HVAC References'!$B$39),IF(AND(N23&gt;0,N23&lt;&gt;""),ROUND(((I23*12)*((1/N23))*AB23*AO23/3.412)-AX23,'Common HVAC References'!$B$39),0)),0)</f>
        <v>0</v>
      </c>
      <c r="BA23" s="931" t="e">
        <f>(AY23*'Common HVAC References'!$B$25)-(AZ23*'Common HVAC References'!$B$25)</f>
        <v>#VALUE!</v>
      </c>
      <c r="BB23" s="931" t="e">
        <f t="shared" si="12"/>
        <v>#VALUE!</v>
      </c>
      <c r="BC23" s="931" t="e">
        <f t="shared" si="13"/>
        <v>#VALUE!</v>
      </c>
      <c r="BD23" s="929" t="e">
        <f t="shared" si="25"/>
        <v>#VALUE!</v>
      </c>
      <c r="BE23" s="929" t="e">
        <f t="shared" si="14"/>
        <v>#VALUE!</v>
      </c>
      <c r="BF23" s="929" t="e">
        <f t="shared" si="15"/>
        <v>#VALUE!</v>
      </c>
      <c r="BG23" s="929" t="e">
        <f t="shared" si="16"/>
        <v>#VALUE!</v>
      </c>
      <c r="BH23" s="929" t="e">
        <f t="shared" si="17"/>
        <v>#VALUE!</v>
      </c>
      <c r="BI23" s="930" t="e">
        <f t="shared" si="18"/>
        <v>#VALUE!</v>
      </c>
      <c r="BJ23" s="929" t="e">
        <f t="shared" si="19"/>
        <v>#VALUE!</v>
      </c>
      <c r="BK23" s="929" t="e">
        <f t="shared" si="20"/>
        <v>#VALUE!</v>
      </c>
      <c r="BL23" s="972">
        <f t="shared" si="26"/>
        <v>0</v>
      </c>
      <c r="BM23" s="928">
        <f t="shared" si="21"/>
        <v>0</v>
      </c>
      <c r="BN23" s="926">
        <v>17</v>
      </c>
      <c r="BO23" s="971" t="str">
        <f t="shared" si="22"/>
        <v xml:space="preserve">  </v>
      </c>
      <c r="BP23" s="970" t="str">
        <f t="shared" si="23"/>
        <v/>
      </c>
      <c r="BQ23" s="927" t="str">
        <f t="shared" si="24"/>
        <v xml:space="preserve">   </v>
      </c>
      <c r="BR23" s="927" t="str">
        <f>IF(Y23="FAIL","",INDEX('Common HVAC References'!$AG$4:$AG$82,MATCH('Common HVAC Calculation'!BQ23,'Common HVAC References'!$AF$4:$AF$82,0)))</f>
        <v/>
      </c>
      <c r="BS23" s="969" t="e">
        <f>BK23*'Common HVAC References'!$F$137</f>
        <v>#VALUE!</v>
      </c>
      <c r="BT23" s="969" t="e">
        <f>-AZ23*'Common HVAC References'!$F$137+AU23*INDEX('Common HVAC References'!$F$134:$F$140,MATCH(IF(LEFT(AI23,8)="Baseline",LEFT(AI23,8),AI23),'Common HVAC References'!$D$134:$D$140,0))</f>
        <v>#VALUE!</v>
      </c>
    </row>
    <row r="24" spans="2:72">
      <c r="B24" s="761">
        <v>18</v>
      </c>
      <c r="C24" s="888" t="str">
        <f>IF('Worksheet Common HVAC'!B33="","",'Worksheet Common HVAC'!B33)</f>
        <v/>
      </c>
      <c r="D24" s="940" t="str">
        <f>IF('Worksheet Common HVAC'!C33="","",'Worksheet Common HVAC'!C33)</f>
        <v/>
      </c>
      <c r="E24" s="940" t="str">
        <f>IF('Worksheet Common HVAC'!E33="","",'Worksheet Common HVAC'!E33)</f>
        <v/>
      </c>
      <c r="F24" s="940" t="str">
        <f>IF('Worksheet Common HVAC'!T33="","",'Worksheet Common HVAC'!T33)</f>
        <v/>
      </c>
      <c r="G24" s="973" t="str">
        <f>IF('Worksheet Common HVAC'!V33="","",'Worksheet Common HVAC'!V33)</f>
        <v/>
      </c>
      <c r="H24" s="892" t="str">
        <f t="shared" si="0"/>
        <v xml:space="preserve">  </v>
      </c>
      <c r="I24" s="888" t="str">
        <f>IF('Worksheet Common HVAC'!H33="","",'Worksheet Common HVAC'!H33)</f>
        <v/>
      </c>
      <c r="J24" s="941" t="str">
        <f>IF('Worksheet Common HVAC'!I33="","",'Worksheet Common HVAC'!I33)</f>
        <v/>
      </c>
      <c r="K24" s="888" t="str">
        <f>IF(LEFT('Worksheet Common HVAC'!B33,4)="Room",'Common HVAC Calculation'!L24,IF('Worksheet Common HVAC'!J33="","",'Worksheet Common HVAC'!J33))</f>
        <v/>
      </c>
      <c r="L24" s="940" t="str">
        <f>IF('Worksheet Common HVAC'!K33="","",'Worksheet Common HVAC'!K33)</f>
        <v/>
      </c>
      <c r="M24" s="940" t="str">
        <f>IF($H24="  ","",IF('Worksheet Common HVAC'!L33="",0,'Worksheet Common HVAC'!L33))</f>
        <v/>
      </c>
      <c r="N24" s="940" t="str">
        <f>IF($H24="  ","",IF('Worksheet Common HVAC'!M33="",0,'Worksheet Common HVAC'!M33))</f>
        <v/>
      </c>
      <c r="O24" s="888" t="str">
        <f>IF(H24="  ","",INDEX(HVAC_T1T2ReferenceTable,MATCH(H24,'Common HVAC References'!$AX$4:$AX$45,0),2))</f>
        <v/>
      </c>
      <c r="P24" s="940" t="str">
        <f t="shared" si="1"/>
        <v/>
      </c>
      <c r="Q24" s="940" t="str">
        <f t="shared" si="2"/>
        <v/>
      </c>
      <c r="R24" s="940" t="str">
        <f t="shared" si="3"/>
        <v/>
      </c>
      <c r="S24" s="940" t="str">
        <f>IF(LEFT(H24,4)="Room",'Common HVAC References'!$AT$4,"")</f>
        <v/>
      </c>
      <c r="T24" s="888" t="str">
        <f t="shared" si="4"/>
        <v/>
      </c>
      <c r="U24" s="940" t="str">
        <f t="shared" si="5"/>
        <v/>
      </c>
      <c r="V24" s="940" t="str">
        <f t="shared" si="6"/>
        <v/>
      </c>
      <c r="W24" s="940" t="str">
        <f t="shared" si="7"/>
        <v/>
      </c>
      <c r="X24" s="940" t="str">
        <f>IF(AND(N24="",R24&lt;&gt;0),"",IF(LEFT(H24,4)&lt;&gt;"Room","PASS",IF(LEFT(F24,4)&lt;&gt;"Room","FAIL",IF('Worksheet Common HVAC'!X33&lt;=S24,"PASS","FAIL"))))</f>
        <v/>
      </c>
      <c r="Y24" s="892" t="str">
        <f t="shared" si="8"/>
        <v>FAIL</v>
      </c>
      <c r="Z24" s="888" t="str">
        <f>'Common HVAC References'!$G$43</f>
        <v>Multifamily</v>
      </c>
      <c r="AA24" s="939">
        <f>IF(OR(Z24="",Z24="… please select …"),0,INDEX('Common HVAC References'!$H$22:$H$44,MATCH(Z24,'Common HVAC References'!$G$22:$G$44,0)))</f>
        <v>736</v>
      </c>
      <c r="AB24" s="938">
        <f>IF(OR(Z24="",Z24="… please select …"),0,INDEX('Common HVAC References'!$I$22:$I$44,MATCH(Z24,'Common HVAC References'!$G$22:$G$44,0)))</f>
        <v>681</v>
      </c>
      <c r="AF24" s="926">
        <v>18</v>
      </c>
      <c r="AG24" s="937" t="str">
        <f t="shared" si="9"/>
        <v xml:space="preserve">   </v>
      </c>
      <c r="AH24" s="937" t="str">
        <f>IF(OR('Worksheet Common HVAC'!$T33="",'Worksheet Common HVAC'!T33="None"),IF($H24="  ","","Baseline "&amp;INDEX('Common HVAC References'!$V$4:$V$43,MATCH($H24,'Common HVAC References'!$S$4:$S$43,0))),"Existing "&amp;'Worksheet Common HVAC'!$T33)</f>
        <v/>
      </c>
      <c r="AI24" s="927" t="str">
        <f>IF(OR('Worksheet Common HVAC'!U33="",'Worksheet Common HVAC'!U33="None"),IF(I24="","","Baseline "&amp;INDEX('Common HVAC References'!$W$4:$W$44,MATCH($H24,'Common HVAC References'!$S$4:$S$44,0))),"Existing "&amp;'Worksheet Common HVAC'!U33)</f>
        <v/>
      </c>
      <c r="AJ24" s="936" t="str">
        <f>_xlfn.IFNA(IF(OR('Worksheet Common HVAC'!W33=0,'Worksheet Common HVAC'!W33=""),IF(OR(LEFT(H24,3)="pac",LEFT(H24,4)="Room"),0,INDEX('Common HVAC References'!$BK$5:$BK$44,MATCH(H24,'Common HVAC References'!$AX$5:$AX$44,0))),'Worksheet Common HVAC'!W33),"")</f>
        <v/>
      </c>
      <c r="AK24" s="929" t="str">
        <f>IF(H24="  ","",IF('Worksheet Common HVAC'!X33="",IF(LEFT(H24,3)="Pac",(INDEX('Common HVAC References'!$BL$4:$BL$44,MATCH(H24,'Common HVAC References'!$AX$4:$AX$44,0)))-(0.3*I24*12000/1000),INDEX('Common HVAC References'!$BL$4:$BL$44,MATCH(H24,'Common HVAC References'!$AX$4:$AX$44,0))),'Worksheet Common HVAC'!X33))</f>
        <v/>
      </c>
      <c r="AL24" s="1644" t="str">
        <f>IF(H24="  ","",IF(OR($AI24="Existing Gas",$AI24="Existing Oil",$AI24="Existing Propane",$AI24="New Construction"),0,IF(AND('Worksheet Common HVAC'!Z33=0,'Worksheet Common HVAC'!Y33=0),IF(LEFT(H24,3)="pac",0,INDEX('Common HVAC References'!$BM$4:$BM$44,MATCH(H24,'Common HVAC References'!$AX$4:$AX$44,0))),IF(AND('Worksheet Common HVAC'!Z33&gt;0,'Worksheet Common HVAC'!Y33=0),'Worksheet Common HVAC'!Z33*'Common HVAC References'!$B$45,'Worksheet Common HVAC'!Y33))))</f>
        <v/>
      </c>
      <c r="AM24" s="929" t="str">
        <f>IF($H24="  ","",IF(OR($AI24="Existing Gas",$AI24="Existing Oil",$AI24="Existing Propane",$AI24="Baseline New Construction"),0,IF(OR('Worksheet Common HVAC'!Z33="",'Worksheet Common HVAC'!Z33=0),IF(LEFT(H24,3)="Pac",(INDEX('Common HVAC References'!$BM$4:$BM$44,MATCH(H24,'Common HVAC References'!$AX$4:$AX$44,0)))-INDEX('Common HVAC References'!$BN$4:$BN$44,MATCH(H24,'Common HVAC References'!$AX$4:$AX$44,0))*I24*12000/1000,INDEX('Common HVAC References'!$BN$4:$BN$44,MATCH(H24,'Common HVAC References'!$AX$4:$AX$44,0))),'Worksheet Common HVAC'!Z33)))</f>
        <v/>
      </c>
      <c r="AN24" s="935" t="str">
        <f>IF($H24="  ","",IF(OR($AI24="Existing Gas",$AI24="Existing Oil",$AI24="Existing Propane", $AI24="Baseline New Construction"),IF(OR('Worksheet Common HVAC'!AA33="",'Worksheet Common HVAC'!AA33=0),INDEX('Common HVAC References'!$E$134:$E$138,MATCH(AI24,'Common HVAC References'!$D$134:$D$138,0)),'Worksheet Common HVAC'!AA33),0))</f>
        <v/>
      </c>
      <c r="AO24" s="934">
        <f>IF(OR(LEFT(AI24,8)="Existing",RIGHT(AI24,16)="New Construction"),'Common HVAC References'!$B$29,1)</f>
        <v>1</v>
      </c>
      <c r="AP24" s="933">
        <f>'Common HVAC References'!$B$33</f>
        <v>15</v>
      </c>
      <c r="AQ24" s="932" t="e">
        <f>IF(AND(AK24&gt;0,L24&gt;0),ROUND((I24*12)*((1/AK24)-(1/L24)),'Common HVAC References'!$B$36),0)</f>
        <v>#VALUE!</v>
      </c>
      <c r="AR24" s="931" t="e">
        <f>IF(AND(AK24&gt;0,L24&gt;0),ROUND((J24*I24*12)*((1/AK24)-(1/L24)),'Common HVAC References'!$B$36),0)</f>
        <v>#VALUE!</v>
      </c>
      <c r="AS24" s="931" t="e">
        <f>IF(AND(AJ24=0,AK24=0),0,IF(AJ24&gt;0,ROUND((I24*12)*((1/AJ24)-(1/K24))*AA24,'Common HVAC References'!$B$39),ROUND((I24*12)*((1/AK24)-(1/L24))*AA24,'Common HVAC References'!$B$39)))</f>
        <v>#VALUE!</v>
      </c>
      <c r="AT24" s="931" t="e">
        <f>AS24*'Common HVAC References'!$B$25</f>
        <v>#VALUE!</v>
      </c>
      <c r="AU24" s="931" t="e">
        <f t="shared" si="10"/>
        <v>#VALUE!</v>
      </c>
      <c r="AV24" s="932">
        <f>IF(AND(N24&gt;0,AM24&gt;0,N24&lt;&gt;""),ROUND((I24*12)*((1/(AM24))-(1/(N24))),'Common HVAC References'!$B$36),IF(AND(M24&gt;0,AL24&gt;0,M24&lt;&gt;""),ROUND((I24*12)*(1/(AL24/3.412))-(1/(M24/3.412)),'Common HVAC References'!$B$36),IF(AND(N24&gt;0,N24&lt;&gt;""),ROUND((I24*12)*-(1/(N24/3.412)),'Common HVAC References'!$B$36),IF(AND(M24&gt;0,M24&lt;&gt;""),ROUND((I24*12)*-(1/(M24/3.412)),'Common HVAC References'!$B$36),0))))</f>
        <v>0</v>
      </c>
      <c r="AW24" s="931" t="e">
        <f t="shared" si="11"/>
        <v>#VALUE!</v>
      </c>
      <c r="AX24" s="931" t="e">
        <f>ROUND(AU24*AN24*AP24,'Common HVAC References'!$B$39)</f>
        <v>#VALUE!</v>
      </c>
      <c r="AY24" s="931" t="e">
        <f>IF(AND(AL24&gt;0,M24&gt;0),ROUND((I24*12)*((1/AL24)-(1/M24))*AB24*AO24,'Common HVAC References'!$B$39),IF(AND(AM24&gt;0,N24&gt;0),ROUND((I24*12)*((1/AM24)-(1/N24))*AB24*AO24/3.413,'Common HVAC References'!$B$39),0))</f>
        <v>#VALUE!</v>
      </c>
      <c r="AZ24" s="931">
        <f>IF(AND(OR($AI24="Existing Gas",$AI24="Existing Oil",$AI24="Existing Propane",$AI24="Baseline New Construction"),RIGHT(C24,10)="Heat Pumps"),IF(AND(M24&gt;0,M24&lt;&gt;""),ROUND(((I24*12)*((1/M24))*AB24*AO24)-AX24,'Common HVAC References'!$B$39),IF(AND(N24&gt;0,N24&lt;&gt;""),ROUND(((I24*12)*((1/N24))*AB24*AO24/3.412)-AX24,'Common HVAC References'!$B$39),0)),0)</f>
        <v>0</v>
      </c>
      <c r="BA24" s="931" t="e">
        <f>(AY24*'Common HVAC References'!$B$25)-(AZ24*'Common HVAC References'!$B$25)</f>
        <v>#VALUE!</v>
      </c>
      <c r="BB24" s="931" t="e">
        <f t="shared" si="12"/>
        <v>#VALUE!</v>
      </c>
      <c r="BC24" s="931" t="e">
        <f t="shared" si="13"/>
        <v>#VALUE!</v>
      </c>
      <c r="BD24" s="929" t="e">
        <f t="shared" si="25"/>
        <v>#VALUE!</v>
      </c>
      <c r="BE24" s="929" t="e">
        <f t="shared" si="14"/>
        <v>#VALUE!</v>
      </c>
      <c r="BF24" s="929" t="e">
        <f t="shared" si="15"/>
        <v>#VALUE!</v>
      </c>
      <c r="BG24" s="929" t="e">
        <f t="shared" si="16"/>
        <v>#VALUE!</v>
      </c>
      <c r="BH24" s="929" t="e">
        <f t="shared" si="17"/>
        <v>#VALUE!</v>
      </c>
      <c r="BI24" s="930" t="e">
        <f t="shared" si="18"/>
        <v>#VALUE!</v>
      </c>
      <c r="BJ24" s="929" t="e">
        <f t="shared" si="19"/>
        <v>#VALUE!</v>
      </c>
      <c r="BK24" s="929" t="e">
        <f t="shared" si="20"/>
        <v>#VALUE!</v>
      </c>
      <c r="BL24" s="972">
        <f t="shared" si="26"/>
        <v>0</v>
      </c>
      <c r="BM24" s="928">
        <f t="shared" si="21"/>
        <v>0</v>
      </c>
      <c r="BN24" s="926">
        <v>18</v>
      </c>
      <c r="BO24" s="971" t="str">
        <f t="shared" si="22"/>
        <v xml:space="preserve">  </v>
      </c>
      <c r="BP24" s="970" t="str">
        <f t="shared" si="23"/>
        <v/>
      </c>
      <c r="BQ24" s="927" t="str">
        <f t="shared" si="24"/>
        <v xml:space="preserve">   </v>
      </c>
      <c r="BR24" s="927" t="str">
        <f>IF(Y24="FAIL","",INDEX('Common HVAC References'!$AG$4:$AG$82,MATCH('Common HVAC Calculation'!BQ24,'Common HVAC References'!$AF$4:$AF$82,0)))</f>
        <v/>
      </c>
      <c r="BS24" s="969" t="e">
        <f>BK24*'Common HVAC References'!$F$137</f>
        <v>#VALUE!</v>
      </c>
      <c r="BT24" s="969" t="e">
        <f>-AZ24*'Common HVAC References'!$F$137+AU24*INDEX('Common HVAC References'!$F$134:$F$140,MATCH(IF(LEFT(AI24,8)="Baseline",LEFT(AI24,8),AI24),'Common HVAC References'!$D$134:$D$140,0))</f>
        <v>#VALUE!</v>
      </c>
    </row>
    <row r="25" spans="2:72">
      <c r="B25" s="761">
        <v>19</v>
      </c>
      <c r="C25" s="888" t="str">
        <f>IF('Worksheet Common HVAC'!B34="","",'Worksheet Common HVAC'!B34)</f>
        <v/>
      </c>
      <c r="D25" s="940" t="str">
        <f>IF('Worksheet Common HVAC'!C34="","",'Worksheet Common HVAC'!C34)</f>
        <v/>
      </c>
      <c r="E25" s="940" t="str">
        <f>IF('Worksheet Common HVAC'!E34="","",'Worksheet Common HVAC'!E34)</f>
        <v/>
      </c>
      <c r="F25" s="940" t="str">
        <f>IF('Worksheet Common HVAC'!T34="","",'Worksheet Common HVAC'!T34)</f>
        <v/>
      </c>
      <c r="G25" s="973" t="str">
        <f>IF('Worksheet Common HVAC'!V34="","",'Worksheet Common HVAC'!V34)</f>
        <v/>
      </c>
      <c r="H25" s="892" t="str">
        <f t="shared" si="0"/>
        <v xml:space="preserve">  </v>
      </c>
      <c r="I25" s="888" t="str">
        <f>IF('Worksheet Common HVAC'!H34="","",'Worksheet Common HVAC'!H34)</f>
        <v/>
      </c>
      <c r="J25" s="941" t="str">
        <f>IF('Worksheet Common HVAC'!I34="","",'Worksheet Common HVAC'!I34)</f>
        <v/>
      </c>
      <c r="K25" s="888" t="str">
        <f>IF(LEFT('Worksheet Common HVAC'!B34,4)="Room",'Common HVAC Calculation'!L25,IF('Worksheet Common HVAC'!J34="","",'Worksheet Common HVAC'!J34))</f>
        <v/>
      </c>
      <c r="L25" s="940" t="str">
        <f>IF('Worksheet Common HVAC'!K34="","",'Worksheet Common HVAC'!K34)</f>
        <v/>
      </c>
      <c r="M25" s="940" t="str">
        <f>IF($H25="  ","",IF('Worksheet Common HVAC'!L34="",0,'Worksheet Common HVAC'!L34))</f>
        <v/>
      </c>
      <c r="N25" s="940" t="str">
        <f>IF($H25="  ","",IF('Worksheet Common HVAC'!M34="",0,'Worksheet Common HVAC'!M34))</f>
        <v/>
      </c>
      <c r="O25" s="888" t="str">
        <f>IF(H25="  ","",INDEX(HVAC_T1T2ReferenceTable,MATCH(H25,'Common HVAC References'!$AX$4:$AX$45,0),2))</f>
        <v/>
      </c>
      <c r="P25" s="940" t="str">
        <f t="shared" si="1"/>
        <v/>
      </c>
      <c r="Q25" s="940" t="str">
        <f t="shared" si="2"/>
        <v/>
      </c>
      <c r="R25" s="940" t="str">
        <f t="shared" si="3"/>
        <v/>
      </c>
      <c r="S25" s="940" t="str">
        <f>IF(LEFT(H25,4)="Room",'Common HVAC References'!$AT$4,"")</f>
        <v/>
      </c>
      <c r="T25" s="888" t="str">
        <f t="shared" si="4"/>
        <v/>
      </c>
      <c r="U25" s="940" t="str">
        <f t="shared" si="5"/>
        <v/>
      </c>
      <c r="V25" s="940" t="str">
        <f t="shared" si="6"/>
        <v/>
      </c>
      <c r="W25" s="940" t="str">
        <f t="shared" si="7"/>
        <v/>
      </c>
      <c r="X25" s="940" t="str">
        <f>IF(AND(N25="",R25&lt;&gt;0),"",IF(LEFT(H25,4)&lt;&gt;"Room","PASS",IF(LEFT(F25,4)&lt;&gt;"Room","FAIL",IF('Worksheet Common HVAC'!X34&lt;=S25,"PASS","FAIL"))))</f>
        <v/>
      </c>
      <c r="Y25" s="892" t="str">
        <f t="shared" si="8"/>
        <v>FAIL</v>
      </c>
      <c r="Z25" s="888" t="str">
        <f>'Common HVAC References'!$G$43</f>
        <v>Multifamily</v>
      </c>
      <c r="AA25" s="939">
        <f>IF(OR(Z25="",Z25="… please select …"),0,INDEX('Common HVAC References'!$H$22:$H$44,MATCH(Z25,'Common HVAC References'!$G$22:$G$44,0)))</f>
        <v>736</v>
      </c>
      <c r="AB25" s="938">
        <f>IF(OR(Z25="",Z25="… please select …"),0,INDEX('Common HVAC References'!$I$22:$I$44,MATCH(Z25,'Common HVAC References'!$G$22:$G$44,0)))</f>
        <v>681</v>
      </c>
      <c r="AF25" s="926">
        <v>19</v>
      </c>
      <c r="AG25" s="937" t="str">
        <f t="shared" si="9"/>
        <v xml:space="preserve">   </v>
      </c>
      <c r="AH25" s="937" t="str">
        <f>IF(OR('Worksheet Common HVAC'!$T34="",'Worksheet Common HVAC'!T34="None"),IF($H25="  ","","Baseline "&amp;INDEX('Common HVAC References'!$V$4:$V$43,MATCH($H25,'Common HVAC References'!$S$4:$S$43,0))),"Existing "&amp;'Worksheet Common HVAC'!$T34)</f>
        <v/>
      </c>
      <c r="AI25" s="927" t="str">
        <f>IF(OR('Worksheet Common HVAC'!U34="",'Worksheet Common HVAC'!U34="None"),IF(I25="","","Baseline "&amp;INDEX('Common HVAC References'!$W$4:$W$44,MATCH($H25,'Common HVAC References'!$S$4:$S$44,0))),"Existing "&amp;'Worksheet Common HVAC'!U34)</f>
        <v/>
      </c>
      <c r="AJ25" s="936" t="str">
        <f>_xlfn.IFNA(IF(OR('Worksheet Common HVAC'!W34=0,'Worksheet Common HVAC'!W34=""),IF(OR(LEFT(H25,3)="pac",LEFT(H25,4)="Room"),0,INDEX('Common HVAC References'!$BK$5:$BK$44,MATCH(H25,'Common HVAC References'!$AX$5:$AX$44,0))),'Worksheet Common HVAC'!W34),"")</f>
        <v/>
      </c>
      <c r="AK25" s="929" t="str">
        <f>IF(H25="  ","",IF('Worksheet Common HVAC'!X34="",IF(LEFT(H25,3)="Pac",(INDEX('Common HVAC References'!$BL$4:$BL$44,MATCH(H25,'Common HVAC References'!$AX$4:$AX$44,0)))-(0.3*I25*12000/1000),INDEX('Common HVAC References'!$BL$4:$BL$44,MATCH(H25,'Common HVAC References'!$AX$4:$AX$44,0))),'Worksheet Common HVAC'!X34))</f>
        <v/>
      </c>
      <c r="AL25" s="1644" t="str">
        <f>IF(H25="  ","",IF(OR($AI25="Existing Gas",$AI25="Existing Oil",$AI25="Existing Propane",$AI25="New Construction"),0,IF(AND('Worksheet Common HVAC'!Z34=0,'Worksheet Common HVAC'!Y34=0),IF(LEFT(H25,3)="pac",0,INDEX('Common HVAC References'!$BM$4:$BM$44,MATCH(H25,'Common HVAC References'!$AX$4:$AX$44,0))),IF(AND('Worksheet Common HVAC'!Z34&gt;0,'Worksheet Common HVAC'!Y34=0),'Worksheet Common HVAC'!Z34*'Common HVAC References'!$B$45,'Worksheet Common HVAC'!Y34))))</f>
        <v/>
      </c>
      <c r="AM25" s="929" t="str">
        <f>IF($H25="  ","",IF(OR($AI25="Existing Gas",$AI25="Existing Oil",$AI25="Existing Propane",$AI25="Baseline New Construction"),0,IF(OR('Worksheet Common HVAC'!Z34="",'Worksheet Common HVAC'!Z34=0),IF(LEFT(H25,3)="Pac",(INDEX('Common HVAC References'!$BM$4:$BM$44,MATCH(H25,'Common HVAC References'!$AX$4:$AX$44,0)))-INDEX('Common HVAC References'!$BN$4:$BN$44,MATCH(H25,'Common HVAC References'!$AX$4:$AX$44,0))*I25*12000/1000,INDEX('Common HVAC References'!$BN$4:$BN$44,MATCH(H25,'Common HVAC References'!$AX$4:$AX$44,0))),'Worksheet Common HVAC'!Z34)))</f>
        <v/>
      </c>
      <c r="AN25" s="935" t="str">
        <f>IF($H25="  ","",IF(OR($AI25="Existing Gas",$AI25="Existing Oil",$AI25="Existing Propane", $AI25="Baseline New Construction"),IF(OR('Worksheet Common HVAC'!AA34="",'Worksheet Common HVAC'!AA34=0),INDEX('Common HVAC References'!$E$134:$E$138,MATCH(AI25,'Common HVAC References'!$D$134:$D$138,0)),'Worksheet Common HVAC'!AA34),0))</f>
        <v/>
      </c>
      <c r="AO25" s="934">
        <f>IF(OR(LEFT(AI25,8)="Existing",RIGHT(AI25,16)="New Construction"),'Common HVAC References'!$B$29,1)</f>
        <v>1</v>
      </c>
      <c r="AP25" s="933">
        <f>'Common HVAC References'!$B$33</f>
        <v>15</v>
      </c>
      <c r="AQ25" s="932" t="e">
        <f>IF(AND(AK25&gt;0,L25&gt;0),ROUND((I25*12)*((1/AK25)-(1/L25)),'Common HVAC References'!$B$36),0)</f>
        <v>#VALUE!</v>
      </c>
      <c r="AR25" s="931" t="e">
        <f>IF(AND(AK25&gt;0,L25&gt;0),ROUND((J25*I25*12)*((1/AK25)-(1/L25)),'Common HVAC References'!$B$36),0)</f>
        <v>#VALUE!</v>
      </c>
      <c r="AS25" s="931" t="e">
        <f>IF(AND(AJ25=0,AK25=0),0,IF(AJ25&gt;0,ROUND((I25*12)*((1/AJ25)-(1/K25))*AA25,'Common HVAC References'!$B$39),ROUND((I25*12)*((1/AK25)-(1/L25))*AA25,'Common HVAC References'!$B$39)))</f>
        <v>#VALUE!</v>
      </c>
      <c r="AT25" s="931" t="e">
        <f>AS25*'Common HVAC References'!$B$25</f>
        <v>#VALUE!</v>
      </c>
      <c r="AU25" s="931" t="e">
        <f t="shared" si="10"/>
        <v>#VALUE!</v>
      </c>
      <c r="AV25" s="932">
        <f>IF(AND(N25&gt;0,AM25&gt;0,N25&lt;&gt;""),ROUND((I25*12)*((1/(AM25))-(1/(N25))),'Common HVAC References'!$B$36),IF(AND(M25&gt;0,AL25&gt;0,M25&lt;&gt;""),ROUND((I25*12)*(1/(AL25/3.412))-(1/(M25/3.412)),'Common HVAC References'!$B$36),IF(AND(N25&gt;0,N25&lt;&gt;""),ROUND((I25*12)*-(1/(N25/3.412)),'Common HVAC References'!$B$36),IF(AND(M25&gt;0,M25&lt;&gt;""),ROUND((I25*12)*-(1/(M25/3.412)),'Common HVAC References'!$B$36),0))))</f>
        <v>0</v>
      </c>
      <c r="AW25" s="931" t="e">
        <f t="shared" si="11"/>
        <v>#VALUE!</v>
      </c>
      <c r="AX25" s="931" t="e">
        <f>ROUND(AU25*AN25*AP25,'Common HVAC References'!$B$39)</f>
        <v>#VALUE!</v>
      </c>
      <c r="AY25" s="931" t="e">
        <f>IF(AND(AL25&gt;0,M25&gt;0),ROUND((I25*12)*((1/AL25)-(1/M25))*AB25*AO25,'Common HVAC References'!$B$39),IF(AND(AM25&gt;0,N25&gt;0),ROUND((I25*12)*((1/AM25)-(1/N25))*AB25*AO25/3.413,'Common HVAC References'!$B$39),0))</f>
        <v>#VALUE!</v>
      </c>
      <c r="AZ25" s="931">
        <f>IF(AND(OR($AI25="Existing Gas",$AI25="Existing Oil",$AI25="Existing Propane",$AI25="Baseline New Construction"),RIGHT(C25,10)="Heat Pumps"),IF(AND(M25&gt;0,M25&lt;&gt;""),ROUND(((I25*12)*((1/M25))*AB25*AO25)-AX25,'Common HVAC References'!$B$39),IF(AND(N25&gt;0,N25&lt;&gt;""),ROUND(((I25*12)*((1/N25))*AB25*AO25/3.412)-AX25,'Common HVAC References'!$B$39),0)),0)</f>
        <v>0</v>
      </c>
      <c r="BA25" s="931" t="e">
        <f>(AY25*'Common HVAC References'!$B$25)-(AZ25*'Common HVAC References'!$B$25)</f>
        <v>#VALUE!</v>
      </c>
      <c r="BB25" s="931" t="e">
        <f t="shared" si="12"/>
        <v>#VALUE!</v>
      </c>
      <c r="BC25" s="931" t="e">
        <f t="shared" si="13"/>
        <v>#VALUE!</v>
      </c>
      <c r="BD25" s="929" t="e">
        <f t="shared" si="25"/>
        <v>#VALUE!</v>
      </c>
      <c r="BE25" s="929" t="e">
        <f t="shared" si="14"/>
        <v>#VALUE!</v>
      </c>
      <c r="BF25" s="929" t="e">
        <f t="shared" si="15"/>
        <v>#VALUE!</v>
      </c>
      <c r="BG25" s="929" t="e">
        <f t="shared" si="16"/>
        <v>#VALUE!</v>
      </c>
      <c r="BH25" s="929" t="e">
        <f t="shared" si="17"/>
        <v>#VALUE!</v>
      </c>
      <c r="BI25" s="930" t="e">
        <f t="shared" si="18"/>
        <v>#VALUE!</v>
      </c>
      <c r="BJ25" s="929" t="e">
        <f t="shared" si="19"/>
        <v>#VALUE!</v>
      </c>
      <c r="BK25" s="929" t="e">
        <f t="shared" si="20"/>
        <v>#VALUE!</v>
      </c>
      <c r="BL25" s="972">
        <f t="shared" si="26"/>
        <v>0</v>
      </c>
      <c r="BM25" s="928">
        <f t="shared" si="21"/>
        <v>0</v>
      </c>
      <c r="BN25" s="926">
        <v>19</v>
      </c>
      <c r="BO25" s="971" t="str">
        <f t="shared" si="22"/>
        <v xml:space="preserve">  </v>
      </c>
      <c r="BP25" s="970" t="str">
        <f t="shared" si="23"/>
        <v/>
      </c>
      <c r="BQ25" s="927" t="str">
        <f t="shared" si="24"/>
        <v xml:space="preserve">   </v>
      </c>
      <c r="BR25" s="927" t="str">
        <f>IF(Y25="FAIL","",INDEX('Common HVAC References'!$AG$4:$AG$82,MATCH('Common HVAC Calculation'!BQ25,'Common HVAC References'!$AF$4:$AF$82,0)))</f>
        <v/>
      </c>
      <c r="BS25" s="969" t="e">
        <f>BK25*'Common HVAC References'!$F$137</f>
        <v>#VALUE!</v>
      </c>
      <c r="BT25" s="969" t="e">
        <f>-AZ25*'Common HVAC References'!$F$137+AU25*INDEX('Common HVAC References'!$F$134:$F$140,MATCH(IF(LEFT(AI25,8)="Baseline",LEFT(AI25,8),AI25),'Common HVAC References'!$D$134:$D$140,0))</f>
        <v>#VALUE!</v>
      </c>
    </row>
    <row r="26" spans="2:72">
      <c r="B26" s="761">
        <v>20</v>
      </c>
      <c r="C26" s="888" t="str">
        <f>IF('Worksheet Common HVAC'!B35="","",'Worksheet Common HVAC'!B35)</f>
        <v/>
      </c>
      <c r="D26" s="940" t="str">
        <f>IF('Worksheet Common HVAC'!C35="","",'Worksheet Common HVAC'!C35)</f>
        <v/>
      </c>
      <c r="E26" s="940" t="str">
        <f>IF('Worksheet Common HVAC'!E35="","",'Worksheet Common HVAC'!E35)</f>
        <v/>
      </c>
      <c r="F26" s="940" t="str">
        <f>IF('Worksheet Common HVAC'!T35="","",'Worksheet Common HVAC'!T35)</f>
        <v/>
      </c>
      <c r="G26" s="973" t="str">
        <f>IF('Worksheet Common HVAC'!V35="","",'Worksheet Common HVAC'!V35)</f>
        <v/>
      </c>
      <c r="H26" s="892" t="str">
        <f t="shared" si="0"/>
        <v xml:space="preserve">  </v>
      </c>
      <c r="I26" s="888" t="str">
        <f>IF('Worksheet Common HVAC'!H35="","",'Worksheet Common HVAC'!H35)</f>
        <v/>
      </c>
      <c r="J26" s="941" t="str">
        <f>IF('Worksheet Common HVAC'!I35="","",'Worksheet Common HVAC'!I35)</f>
        <v/>
      </c>
      <c r="K26" s="888" t="str">
        <f>IF(LEFT('Worksheet Common HVAC'!B35,4)="Room",'Common HVAC Calculation'!L26,IF('Worksheet Common HVAC'!J35="","",'Worksheet Common HVAC'!J35))</f>
        <v/>
      </c>
      <c r="L26" s="940" t="str">
        <f>IF('Worksheet Common HVAC'!K35="","",'Worksheet Common HVAC'!K35)</f>
        <v/>
      </c>
      <c r="M26" s="940" t="str">
        <f>IF($H26="  ","",IF('Worksheet Common HVAC'!L35="",0,'Worksheet Common HVAC'!L35))</f>
        <v/>
      </c>
      <c r="N26" s="940" t="str">
        <f>IF($H26="  ","",IF('Worksheet Common HVAC'!M35="",0,'Worksheet Common HVAC'!M35))</f>
        <v/>
      </c>
      <c r="O26" s="888" t="str">
        <f>IF(H26="  ","",INDEX(HVAC_T1T2ReferenceTable,MATCH(H26,'Common HVAC References'!$AX$4:$AX$45,0),2))</f>
        <v/>
      </c>
      <c r="P26" s="940" t="str">
        <f t="shared" si="1"/>
        <v/>
      </c>
      <c r="Q26" s="940" t="str">
        <f t="shared" si="2"/>
        <v/>
      </c>
      <c r="R26" s="940" t="str">
        <f t="shared" si="3"/>
        <v/>
      </c>
      <c r="S26" s="940" t="str">
        <f>IF(LEFT(H26,4)="Room",'Common HVAC References'!$AT$4,"")</f>
        <v/>
      </c>
      <c r="T26" s="888" t="str">
        <f t="shared" si="4"/>
        <v/>
      </c>
      <c r="U26" s="940" t="str">
        <f t="shared" si="5"/>
        <v/>
      </c>
      <c r="V26" s="940" t="str">
        <f t="shared" si="6"/>
        <v/>
      </c>
      <c r="W26" s="940" t="str">
        <f t="shared" si="7"/>
        <v/>
      </c>
      <c r="X26" s="940" t="str">
        <f>IF(AND(N26="",R26&lt;&gt;0),"",IF(LEFT(H26,4)&lt;&gt;"Room","PASS",IF(LEFT(F26,4)&lt;&gt;"Room","FAIL",IF('Worksheet Common HVAC'!X35&lt;=S26,"PASS","FAIL"))))</f>
        <v/>
      </c>
      <c r="Y26" s="892" t="str">
        <f t="shared" si="8"/>
        <v>FAIL</v>
      </c>
      <c r="Z26" s="888" t="str">
        <f>'Common HVAC References'!$G$43</f>
        <v>Multifamily</v>
      </c>
      <c r="AA26" s="939">
        <f>IF(OR(Z26="",Z26="… please select …"),0,INDEX('Common HVAC References'!$H$22:$H$44,MATCH(Z26,'Common HVAC References'!$G$22:$G$44,0)))</f>
        <v>736</v>
      </c>
      <c r="AB26" s="938">
        <f>IF(OR(Z26="",Z26="… please select …"),0,INDEX('Common HVAC References'!$I$22:$I$44,MATCH(Z26,'Common HVAC References'!$G$22:$G$44,0)))</f>
        <v>681</v>
      </c>
      <c r="AF26" s="926">
        <v>20</v>
      </c>
      <c r="AG26" s="937" t="str">
        <f t="shared" si="9"/>
        <v xml:space="preserve">   </v>
      </c>
      <c r="AH26" s="937" t="str">
        <f>IF(OR('Worksheet Common HVAC'!$T35="",'Worksheet Common HVAC'!T35="None"),IF($H26="  ","","Baseline "&amp;INDEX('Common HVAC References'!$V$4:$V$43,MATCH($H26,'Common HVAC References'!$S$4:$S$43,0))),"Existing "&amp;'Worksheet Common HVAC'!$T35)</f>
        <v/>
      </c>
      <c r="AI26" s="927" t="str">
        <f>IF(OR('Worksheet Common HVAC'!U35="",'Worksheet Common HVAC'!U35="None"),IF(I26="","","Baseline "&amp;INDEX('Common HVAC References'!$W$4:$W$44,MATCH($H26,'Common HVAC References'!$S$4:$S$44,0))),"Existing "&amp;'Worksheet Common HVAC'!U35)</f>
        <v/>
      </c>
      <c r="AJ26" s="936" t="str">
        <f>_xlfn.IFNA(IF(OR('Worksheet Common HVAC'!W35=0,'Worksheet Common HVAC'!W35=""),IF(OR(LEFT(H26,3)="pac",LEFT(H26,4)="Room"),0,INDEX('Common HVAC References'!$BK$5:$BK$44,MATCH(H26,'Common HVAC References'!$AX$5:$AX$44,0))),'Worksheet Common HVAC'!W35),"")</f>
        <v/>
      </c>
      <c r="AK26" s="929" t="str">
        <f>IF(H26="  ","",IF('Worksheet Common HVAC'!X35="",IF(LEFT(H26,3)="Pac",(INDEX('Common HVAC References'!$BL$4:$BL$44,MATCH(H26,'Common HVAC References'!$AX$4:$AX$44,0)))-(0.3*I26*12000/1000),INDEX('Common HVAC References'!$BL$4:$BL$44,MATCH(H26,'Common HVAC References'!$AX$4:$AX$44,0))),'Worksheet Common HVAC'!X35))</f>
        <v/>
      </c>
      <c r="AL26" s="1644" t="str">
        <f>IF(H26="  ","",IF(OR($AI26="Existing Gas",$AI26="Existing Oil",$AI26="Existing Propane",$AI26="New Construction"),0,IF(AND('Worksheet Common HVAC'!Z35=0,'Worksheet Common HVAC'!Y35=0),IF(LEFT(H26,3)="pac",0,INDEX('Common HVAC References'!$BM$4:$BM$44,MATCH(H26,'Common HVAC References'!$AX$4:$AX$44,0))),IF(AND('Worksheet Common HVAC'!Z35&gt;0,'Worksheet Common HVAC'!Y35=0),'Worksheet Common HVAC'!Z35*'Common HVAC References'!$B$45,'Worksheet Common HVAC'!Y35))))</f>
        <v/>
      </c>
      <c r="AM26" s="929" t="str">
        <f>IF($H26="  ","",IF(OR($AI26="Existing Gas",$AI26="Existing Oil",$AI26="Existing Propane",$AI26="Baseline New Construction"),0,IF(OR('Worksheet Common HVAC'!Z35="",'Worksheet Common HVAC'!Z35=0),IF(LEFT(H26,3)="Pac",(INDEX('Common HVAC References'!$BM$4:$BM$44,MATCH(H26,'Common HVAC References'!$AX$4:$AX$44,0)))-INDEX('Common HVAC References'!$BN$4:$BN$44,MATCH(H26,'Common HVAC References'!$AX$4:$AX$44,0))*I26*12000/1000,INDEX('Common HVAC References'!$BN$4:$BN$44,MATCH(H26,'Common HVAC References'!$AX$4:$AX$44,0))),'Worksheet Common HVAC'!Z35)))</f>
        <v/>
      </c>
      <c r="AN26" s="935" t="str">
        <f>IF($H26="  ","",IF(OR($AI26="Existing Gas",$AI26="Existing Oil",$AI26="Existing Propane", $AI26="Baseline New Construction"),IF(OR('Worksheet Common HVAC'!AA35="",'Worksheet Common HVAC'!AA35=0),INDEX('Common HVAC References'!$E$134:$E$138,MATCH(AI26,'Common HVAC References'!$D$134:$D$138,0)),'Worksheet Common HVAC'!AA35),0))</f>
        <v/>
      </c>
      <c r="AO26" s="934">
        <f>IF(OR(LEFT(AI26,8)="Existing",RIGHT(AI26,16)="New Construction"),'Common HVAC References'!$B$29,1)</f>
        <v>1</v>
      </c>
      <c r="AP26" s="933">
        <f>'Common HVAC References'!$B$33</f>
        <v>15</v>
      </c>
      <c r="AQ26" s="932" t="e">
        <f>IF(AND(AK26&gt;0,L26&gt;0),ROUND((I26*12)*((1/AK26)-(1/L26)),'Common HVAC References'!$B$36),0)</f>
        <v>#VALUE!</v>
      </c>
      <c r="AR26" s="931" t="e">
        <f>IF(AND(AK26&gt;0,L26&gt;0),ROUND((J26*I26*12)*((1/AK26)-(1/L26)),'Common HVAC References'!$B$36),0)</f>
        <v>#VALUE!</v>
      </c>
      <c r="AS26" s="931" t="e">
        <f>IF(AND(AJ26=0,AK26=0),0,IF(AJ26&gt;0,ROUND((I26*12)*((1/AJ26)-(1/K26))*AA26,'Common HVAC References'!$B$39),ROUND((I26*12)*((1/AK26)-(1/L26))*AA26,'Common HVAC References'!$B$39)))</f>
        <v>#VALUE!</v>
      </c>
      <c r="AT26" s="931" t="e">
        <f>AS26*'Common HVAC References'!$B$25</f>
        <v>#VALUE!</v>
      </c>
      <c r="AU26" s="931" t="e">
        <f t="shared" si="10"/>
        <v>#VALUE!</v>
      </c>
      <c r="AV26" s="932">
        <f>IF(AND(N26&gt;0,AM26&gt;0,N26&lt;&gt;""),ROUND((I26*12)*((1/(AM26))-(1/(N26))),'Common HVAC References'!$B$36),IF(AND(M26&gt;0,AL26&gt;0,M26&lt;&gt;""),ROUND((I26*12)*(1/(AL26/3.412))-(1/(M26/3.412)),'Common HVAC References'!$B$36),IF(AND(N26&gt;0,N26&lt;&gt;""),ROUND((I26*12)*-(1/(N26/3.412)),'Common HVAC References'!$B$36),IF(AND(M26&gt;0,M26&lt;&gt;""),ROUND((I26*12)*-(1/(M26/3.412)),'Common HVAC References'!$B$36),0))))</f>
        <v>0</v>
      </c>
      <c r="AW26" s="931" t="e">
        <f t="shared" si="11"/>
        <v>#VALUE!</v>
      </c>
      <c r="AX26" s="931" t="e">
        <f>ROUND(AU26*AN26*AP26,'Common HVAC References'!$B$39)</f>
        <v>#VALUE!</v>
      </c>
      <c r="AY26" s="931" t="e">
        <f>IF(AND(AL26&gt;0,M26&gt;0),ROUND((I26*12)*((1/AL26)-(1/M26))*AB26*AO26,'Common HVAC References'!$B$39),IF(AND(AM26&gt;0,N26&gt;0),ROUND((I26*12)*((1/AM26)-(1/N26))*AB26*AO26/3.413,'Common HVAC References'!$B$39),0))</f>
        <v>#VALUE!</v>
      </c>
      <c r="AZ26" s="931">
        <f>IF(AND(OR($AI26="Existing Gas",$AI26="Existing Oil",$AI26="Existing Propane",$AI26="Baseline New Construction"),RIGHT(C26,10)="Heat Pumps"),IF(AND(M26&gt;0,M26&lt;&gt;""),ROUND(((I26*12)*((1/M26))*AB26*AO26)-AX26,'Common HVAC References'!$B$39),IF(AND(N26&gt;0,N26&lt;&gt;""),ROUND(((I26*12)*((1/N26))*AB26*AO26/3.412)-AX26,'Common HVAC References'!$B$39),0)),0)</f>
        <v>0</v>
      </c>
      <c r="BA26" s="931" t="e">
        <f>(AY26*'Common HVAC References'!$B$25)-(AZ26*'Common HVAC References'!$B$25)</f>
        <v>#VALUE!</v>
      </c>
      <c r="BB26" s="931" t="e">
        <f t="shared" si="12"/>
        <v>#VALUE!</v>
      </c>
      <c r="BC26" s="931" t="e">
        <f t="shared" si="13"/>
        <v>#VALUE!</v>
      </c>
      <c r="BD26" s="929" t="e">
        <f t="shared" si="25"/>
        <v>#VALUE!</v>
      </c>
      <c r="BE26" s="929" t="e">
        <f t="shared" si="14"/>
        <v>#VALUE!</v>
      </c>
      <c r="BF26" s="929" t="e">
        <f t="shared" si="15"/>
        <v>#VALUE!</v>
      </c>
      <c r="BG26" s="929" t="e">
        <f t="shared" si="16"/>
        <v>#VALUE!</v>
      </c>
      <c r="BH26" s="929" t="e">
        <f t="shared" si="17"/>
        <v>#VALUE!</v>
      </c>
      <c r="BI26" s="930" t="e">
        <f t="shared" si="18"/>
        <v>#VALUE!</v>
      </c>
      <c r="BJ26" s="929" t="e">
        <f t="shared" si="19"/>
        <v>#VALUE!</v>
      </c>
      <c r="BK26" s="929" t="e">
        <f t="shared" si="20"/>
        <v>#VALUE!</v>
      </c>
      <c r="BL26" s="972">
        <f t="shared" si="26"/>
        <v>0</v>
      </c>
      <c r="BM26" s="928">
        <f t="shared" si="21"/>
        <v>0</v>
      </c>
      <c r="BN26" s="926">
        <v>20</v>
      </c>
      <c r="BO26" s="971" t="str">
        <f t="shared" si="22"/>
        <v xml:space="preserve">  </v>
      </c>
      <c r="BP26" s="970" t="str">
        <f t="shared" si="23"/>
        <v/>
      </c>
      <c r="BQ26" s="927" t="str">
        <f t="shared" si="24"/>
        <v xml:space="preserve">   </v>
      </c>
      <c r="BR26" s="927" t="str">
        <f>IF(Y26="FAIL","",INDEX('Common HVAC References'!$AG$4:$AG$82,MATCH('Common HVAC Calculation'!BQ26,'Common HVAC References'!$AF$4:$AF$82,0)))</f>
        <v/>
      </c>
      <c r="BS26" s="969" t="e">
        <f>BK26*'Common HVAC References'!$F$137</f>
        <v>#VALUE!</v>
      </c>
      <c r="BT26" s="969" t="e">
        <f>-AZ26*'Common HVAC References'!$F$137+AU26*INDEX('Common HVAC References'!$F$134:$F$140,MATCH(IF(LEFT(AI26,8)="Baseline",LEFT(AI26,8),AI26),'Common HVAC References'!$D$134:$D$140,0))</f>
        <v>#VALUE!</v>
      </c>
    </row>
    <row r="27" spans="2:72">
      <c r="B27" s="761">
        <v>21</v>
      </c>
      <c r="C27" s="888" t="str">
        <f>IF('Worksheet Common HVAC'!B36="","",'Worksheet Common HVAC'!B36)</f>
        <v/>
      </c>
      <c r="D27" s="940" t="str">
        <f>IF('Worksheet Common HVAC'!C36="","",'Worksheet Common HVAC'!C36)</f>
        <v/>
      </c>
      <c r="E27" s="940" t="str">
        <f>IF('Worksheet Common HVAC'!E36="","",'Worksheet Common HVAC'!E36)</f>
        <v/>
      </c>
      <c r="F27" s="940" t="str">
        <f>IF('Worksheet Common HVAC'!T36="","",'Worksheet Common HVAC'!T36)</f>
        <v/>
      </c>
      <c r="G27" s="973" t="str">
        <f>IF('Worksheet Common HVAC'!V36="","",'Worksheet Common HVAC'!V36)</f>
        <v/>
      </c>
      <c r="H27" s="892" t="str">
        <f t="shared" si="0"/>
        <v xml:space="preserve">  </v>
      </c>
      <c r="I27" s="888" t="str">
        <f>IF('Worksheet Common HVAC'!H36="","",'Worksheet Common HVAC'!H36)</f>
        <v/>
      </c>
      <c r="J27" s="941" t="str">
        <f>IF('Worksheet Common HVAC'!I36="","",'Worksheet Common HVAC'!I36)</f>
        <v/>
      </c>
      <c r="K27" s="888" t="str">
        <f>IF(LEFT('Worksheet Common HVAC'!B36,4)="Room",'Common HVAC Calculation'!L27,IF('Worksheet Common HVAC'!J36="","",'Worksheet Common HVAC'!J36))</f>
        <v/>
      </c>
      <c r="L27" s="940" t="str">
        <f>IF('Worksheet Common HVAC'!K36="","",'Worksheet Common HVAC'!K36)</f>
        <v/>
      </c>
      <c r="M27" s="940" t="str">
        <f>IF($H27="  ","",IF('Worksheet Common HVAC'!L36="",0,'Worksheet Common HVAC'!L36))</f>
        <v/>
      </c>
      <c r="N27" s="940" t="str">
        <f>IF($H27="  ","",IF('Worksheet Common HVAC'!M36="",0,'Worksheet Common HVAC'!M36))</f>
        <v/>
      </c>
      <c r="O27" s="888" t="str">
        <f>IF(H27="  ","",INDEX(HVAC_T1T2ReferenceTable,MATCH(H27,'Common HVAC References'!$AX$4:$AX$45,0),2))</f>
        <v/>
      </c>
      <c r="P27" s="940" t="str">
        <f t="shared" si="1"/>
        <v/>
      </c>
      <c r="Q27" s="940" t="str">
        <f t="shared" si="2"/>
        <v/>
      </c>
      <c r="R27" s="940" t="str">
        <f t="shared" si="3"/>
        <v/>
      </c>
      <c r="S27" s="940" t="str">
        <f>IF(LEFT(H27,4)="Room",'Common HVAC References'!$AT$4,"")</f>
        <v/>
      </c>
      <c r="T27" s="888" t="str">
        <f t="shared" si="4"/>
        <v/>
      </c>
      <c r="U27" s="940" t="str">
        <f t="shared" si="5"/>
        <v/>
      </c>
      <c r="V27" s="940" t="str">
        <f t="shared" si="6"/>
        <v/>
      </c>
      <c r="W27" s="940" t="str">
        <f t="shared" si="7"/>
        <v/>
      </c>
      <c r="X27" s="940" t="str">
        <f>IF(AND(N27="",R27&lt;&gt;0),"",IF(LEFT(H27,4)&lt;&gt;"Room","PASS",IF(LEFT(F27,4)&lt;&gt;"Room","FAIL",IF('Worksheet Common HVAC'!X36&lt;=S27,"PASS","FAIL"))))</f>
        <v/>
      </c>
      <c r="Y27" s="892" t="str">
        <f t="shared" si="8"/>
        <v>FAIL</v>
      </c>
      <c r="Z27" s="888" t="str">
        <f>'Common HVAC References'!$G$43</f>
        <v>Multifamily</v>
      </c>
      <c r="AA27" s="939">
        <f>IF(OR(Z27="",Z27="… please select …"),0,INDEX('Common HVAC References'!$H$22:$H$44,MATCH(Z27,'Common HVAC References'!$G$22:$G$44,0)))</f>
        <v>736</v>
      </c>
      <c r="AB27" s="938">
        <f>IF(OR(Z27="",Z27="… please select …"),0,INDEX('Common HVAC References'!$I$22:$I$44,MATCH(Z27,'Common HVAC References'!$G$22:$G$44,0)))</f>
        <v>681</v>
      </c>
      <c r="AF27" s="926">
        <v>21</v>
      </c>
      <c r="AG27" s="937" t="str">
        <f t="shared" si="9"/>
        <v xml:space="preserve">   </v>
      </c>
      <c r="AH27" s="937" t="str">
        <f>IF(OR('Worksheet Common HVAC'!$T36="",'Worksheet Common HVAC'!T36="None"),IF($H27="  ","","Baseline "&amp;INDEX('Common HVAC References'!$V$4:$V$43,MATCH($H27,'Common HVAC References'!$S$4:$S$43,0))),"Existing "&amp;'Worksheet Common HVAC'!$T36)</f>
        <v/>
      </c>
      <c r="AI27" s="927" t="str">
        <f>IF(OR('Worksheet Common HVAC'!U36="",'Worksheet Common HVAC'!U36="None"),IF(I27="","","Baseline "&amp;INDEX('Common HVAC References'!$W$4:$W$44,MATCH($H27,'Common HVAC References'!$S$4:$S$44,0))),"Existing "&amp;'Worksheet Common HVAC'!U36)</f>
        <v/>
      </c>
      <c r="AJ27" s="936" t="str">
        <f>_xlfn.IFNA(IF(OR('Worksheet Common HVAC'!W36=0,'Worksheet Common HVAC'!W36=""),IF(OR(LEFT(H27,3)="pac",LEFT(H27,4)="Room"),0,INDEX('Common HVAC References'!$BK$5:$BK$44,MATCH(H27,'Common HVAC References'!$AX$5:$AX$44,0))),'Worksheet Common HVAC'!W36),"")</f>
        <v/>
      </c>
      <c r="AK27" s="929" t="str">
        <f>IF(H27="  ","",IF('Worksheet Common HVAC'!X36="",IF(LEFT(H27,3)="Pac",(INDEX('Common HVAC References'!$BL$4:$BL$44,MATCH(H27,'Common HVAC References'!$AX$4:$AX$44,0)))-(0.3*I27*12000/1000),INDEX('Common HVAC References'!$BL$4:$BL$44,MATCH(H27,'Common HVAC References'!$AX$4:$AX$44,0))),'Worksheet Common HVAC'!X36))</f>
        <v/>
      </c>
      <c r="AL27" s="1644" t="str">
        <f>IF(H27="  ","",IF(OR($AI27="Existing Gas",$AI27="Existing Oil",$AI27="Existing Propane",$AI27="New Construction"),0,IF(AND('Worksheet Common HVAC'!Z36=0,'Worksheet Common HVAC'!Y36=0),IF(LEFT(H27,3)="pac",0,INDEX('Common HVAC References'!$BM$4:$BM$44,MATCH(H27,'Common HVAC References'!$AX$4:$AX$44,0))),IF(AND('Worksheet Common HVAC'!Z36&gt;0,'Worksheet Common HVAC'!Y36=0),'Worksheet Common HVAC'!Z36*'Common HVAC References'!$B$45,'Worksheet Common HVAC'!Y36))))</f>
        <v/>
      </c>
      <c r="AM27" s="929" t="str">
        <f>IF($H27="  ","",IF(OR($AI27="Existing Gas",$AI27="Existing Oil",$AI27="Existing Propane",$AI27="Baseline New Construction"),0,IF(OR('Worksheet Common HVAC'!Z36="",'Worksheet Common HVAC'!Z36=0),IF(LEFT(H27,3)="Pac",(INDEX('Common HVAC References'!$BM$4:$BM$44,MATCH(H27,'Common HVAC References'!$AX$4:$AX$44,0)))-INDEX('Common HVAC References'!$BN$4:$BN$44,MATCH(H27,'Common HVAC References'!$AX$4:$AX$44,0))*I27*12000/1000,INDEX('Common HVAC References'!$BN$4:$BN$44,MATCH(H27,'Common HVAC References'!$AX$4:$AX$44,0))),'Worksheet Common HVAC'!Z36)))</f>
        <v/>
      </c>
      <c r="AN27" s="935" t="str">
        <f>IF($H27="  ","",IF(OR($AI27="Existing Gas",$AI27="Existing Oil",$AI27="Existing Propane", $AI27="Baseline New Construction"),IF(OR('Worksheet Common HVAC'!AA36="",'Worksheet Common HVAC'!AA36=0),INDEX('Common HVAC References'!$E$134:$E$138,MATCH(AI27,'Common HVAC References'!$D$134:$D$138,0)),'Worksheet Common HVAC'!AA36),0))</f>
        <v/>
      </c>
      <c r="AO27" s="934">
        <f>IF(OR(LEFT(AI27,8)="Existing",RIGHT(AI27,16)="New Construction"),'Common HVAC References'!$B$29,1)</f>
        <v>1</v>
      </c>
      <c r="AP27" s="933">
        <f>'Common HVAC References'!$B$33</f>
        <v>15</v>
      </c>
      <c r="AQ27" s="932" t="e">
        <f>IF(AND(AK27&gt;0,L27&gt;0),ROUND((I27*12)*((1/AK27)-(1/L27)),'Common HVAC References'!$B$36),0)</f>
        <v>#VALUE!</v>
      </c>
      <c r="AR27" s="931" t="e">
        <f>IF(AND(AK27&gt;0,L27&gt;0),ROUND((J27*I27*12)*((1/AK27)-(1/L27)),'Common HVAC References'!$B$36),0)</f>
        <v>#VALUE!</v>
      </c>
      <c r="AS27" s="931" t="e">
        <f>IF(AND(AJ27=0,AK27=0),0,IF(AJ27&gt;0,ROUND((I27*12)*((1/AJ27)-(1/K27))*AA27,'Common HVAC References'!$B$39),ROUND((I27*12)*((1/AK27)-(1/L27))*AA27,'Common HVAC References'!$B$39)))</f>
        <v>#VALUE!</v>
      </c>
      <c r="AT27" s="931" t="e">
        <f>AS27*'Common HVAC References'!$B$25</f>
        <v>#VALUE!</v>
      </c>
      <c r="AU27" s="931" t="e">
        <f t="shared" si="10"/>
        <v>#VALUE!</v>
      </c>
      <c r="AV27" s="932">
        <f>IF(AND(N27&gt;0,AM27&gt;0,N27&lt;&gt;""),ROUND((I27*12)*((1/(AM27))-(1/(N27))),'Common HVAC References'!$B$36),IF(AND(M27&gt;0,AL27&gt;0,M27&lt;&gt;""),ROUND((I27*12)*(1/(AL27/3.412))-(1/(M27/3.412)),'Common HVAC References'!$B$36),IF(AND(N27&gt;0,N27&lt;&gt;""),ROUND((I27*12)*-(1/(N27/3.412)),'Common HVAC References'!$B$36),IF(AND(M27&gt;0,M27&lt;&gt;""),ROUND((I27*12)*-(1/(M27/3.412)),'Common HVAC References'!$B$36),0))))</f>
        <v>0</v>
      </c>
      <c r="AW27" s="931" t="e">
        <f t="shared" si="11"/>
        <v>#VALUE!</v>
      </c>
      <c r="AX27" s="931" t="e">
        <f>ROUND(AU27*AN27*AP27,'Common HVAC References'!$B$39)</f>
        <v>#VALUE!</v>
      </c>
      <c r="AY27" s="931" t="e">
        <f>IF(AND(AL27&gt;0,M27&gt;0),ROUND((I27*12)*((1/AL27)-(1/M27))*AB27*AO27,'Common HVAC References'!$B$39),IF(AND(AM27&gt;0,N27&gt;0),ROUND((I27*12)*((1/AM27)-(1/N27))*AB27*AO27/3.413,'Common HVAC References'!$B$39),0))</f>
        <v>#VALUE!</v>
      </c>
      <c r="AZ27" s="931">
        <f>IF(AND(OR($AI27="Existing Gas",$AI27="Existing Oil",$AI27="Existing Propane",$AI27="Baseline New Construction"),RIGHT(C27,10)="Heat Pumps"),IF(AND(M27&gt;0,M27&lt;&gt;""),ROUND(((I27*12)*((1/M27))*AB27*AO27)-AX27,'Common HVAC References'!$B$39),IF(AND(N27&gt;0,N27&lt;&gt;""),ROUND(((I27*12)*((1/N27))*AB27*AO27/3.412)-AX27,'Common HVAC References'!$B$39),0)),0)</f>
        <v>0</v>
      </c>
      <c r="BA27" s="931" t="e">
        <f>(AY27*'Common HVAC References'!$B$25)-(AZ27*'Common HVAC References'!$B$25)</f>
        <v>#VALUE!</v>
      </c>
      <c r="BB27" s="931" t="e">
        <f t="shared" si="12"/>
        <v>#VALUE!</v>
      </c>
      <c r="BC27" s="931" t="e">
        <f t="shared" si="13"/>
        <v>#VALUE!</v>
      </c>
      <c r="BD27" s="929" t="e">
        <f t="shared" si="25"/>
        <v>#VALUE!</v>
      </c>
      <c r="BE27" s="929" t="e">
        <f t="shared" si="14"/>
        <v>#VALUE!</v>
      </c>
      <c r="BF27" s="929" t="e">
        <f t="shared" si="15"/>
        <v>#VALUE!</v>
      </c>
      <c r="BG27" s="929" t="e">
        <f t="shared" si="16"/>
        <v>#VALUE!</v>
      </c>
      <c r="BH27" s="929" t="e">
        <f t="shared" si="17"/>
        <v>#VALUE!</v>
      </c>
      <c r="BI27" s="930" t="e">
        <f t="shared" si="18"/>
        <v>#VALUE!</v>
      </c>
      <c r="BJ27" s="929" t="e">
        <f t="shared" si="19"/>
        <v>#VALUE!</v>
      </c>
      <c r="BK27" s="929" t="e">
        <f t="shared" si="20"/>
        <v>#VALUE!</v>
      </c>
      <c r="BL27" s="972">
        <f t="shared" si="26"/>
        <v>0</v>
      </c>
      <c r="BM27" s="928">
        <f t="shared" si="21"/>
        <v>0</v>
      </c>
      <c r="BN27" s="926">
        <v>21</v>
      </c>
      <c r="BO27" s="971" t="str">
        <f t="shared" si="22"/>
        <v xml:space="preserve">  </v>
      </c>
      <c r="BP27" s="970" t="str">
        <f t="shared" si="23"/>
        <v/>
      </c>
      <c r="BQ27" s="927" t="str">
        <f t="shared" si="24"/>
        <v xml:space="preserve">   </v>
      </c>
      <c r="BR27" s="927" t="str">
        <f>IF(Y27="FAIL","",INDEX('Common HVAC References'!$AG$4:$AG$82,MATCH('Common HVAC Calculation'!BQ27,'Common HVAC References'!$AF$4:$AF$82,0)))</f>
        <v/>
      </c>
      <c r="BS27" s="969" t="e">
        <f>BK27*'Common HVAC References'!$F$137</f>
        <v>#VALUE!</v>
      </c>
      <c r="BT27" s="969" t="e">
        <f>-AZ27*'Common HVAC References'!$F$137+AU27*INDEX('Common HVAC References'!$F$134:$F$140,MATCH(IF(LEFT(AI27,8)="Baseline",LEFT(AI27,8),AI27),'Common HVAC References'!$D$134:$D$140,0))</f>
        <v>#VALUE!</v>
      </c>
    </row>
    <row r="28" spans="2:72">
      <c r="B28" s="761">
        <v>22</v>
      </c>
      <c r="C28" s="888" t="str">
        <f>IF('Worksheet Common HVAC'!B37="","",'Worksheet Common HVAC'!B37)</f>
        <v/>
      </c>
      <c r="D28" s="940" t="str">
        <f>IF('Worksheet Common HVAC'!C37="","",'Worksheet Common HVAC'!C37)</f>
        <v/>
      </c>
      <c r="E28" s="940" t="str">
        <f>IF('Worksheet Common HVAC'!E37="","",'Worksheet Common HVAC'!E37)</f>
        <v/>
      </c>
      <c r="F28" s="940" t="str">
        <f>IF('Worksheet Common HVAC'!T37="","",'Worksheet Common HVAC'!T37)</f>
        <v/>
      </c>
      <c r="G28" s="973" t="str">
        <f>IF('Worksheet Common HVAC'!V37="","",'Worksheet Common HVAC'!V37)</f>
        <v/>
      </c>
      <c r="H28" s="892" t="str">
        <f t="shared" si="0"/>
        <v xml:space="preserve">  </v>
      </c>
      <c r="I28" s="888" t="str">
        <f>IF('Worksheet Common HVAC'!H37="","",'Worksheet Common HVAC'!H37)</f>
        <v/>
      </c>
      <c r="J28" s="941" t="str">
        <f>IF('Worksheet Common HVAC'!I37="","",'Worksheet Common HVAC'!I37)</f>
        <v/>
      </c>
      <c r="K28" s="888" t="str">
        <f>IF(LEFT('Worksheet Common HVAC'!B37,4)="Room",'Common HVAC Calculation'!L28,IF('Worksheet Common HVAC'!J37="","",'Worksheet Common HVAC'!J37))</f>
        <v/>
      </c>
      <c r="L28" s="940" t="str">
        <f>IF('Worksheet Common HVAC'!K37="","",'Worksheet Common HVAC'!K37)</f>
        <v/>
      </c>
      <c r="M28" s="940" t="str">
        <f>IF($H28="  ","",IF('Worksheet Common HVAC'!L37="",0,'Worksheet Common HVAC'!L37))</f>
        <v/>
      </c>
      <c r="N28" s="940" t="str">
        <f>IF($H28="  ","",IF('Worksheet Common HVAC'!M37="",0,'Worksheet Common HVAC'!M37))</f>
        <v/>
      </c>
      <c r="O28" s="888" t="str">
        <f>IF(H28="  ","",INDEX(HVAC_T1T2ReferenceTable,MATCH(H28,'Common HVAC References'!$AX$4:$AX$45,0),2))</f>
        <v/>
      </c>
      <c r="P28" s="940" t="str">
        <f t="shared" si="1"/>
        <v/>
      </c>
      <c r="Q28" s="940" t="str">
        <f t="shared" si="2"/>
        <v/>
      </c>
      <c r="R28" s="940" t="str">
        <f t="shared" si="3"/>
        <v/>
      </c>
      <c r="S28" s="940" t="str">
        <f>IF(LEFT(H28,4)="Room",'Common HVAC References'!$AT$4,"")</f>
        <v/>
      </c>
      <c r="T28" s="888" t="str">
        <f t="shared" si="4"/>
        <v/>
      </c>
      <c r="U28" s="940" t="str">
        <f t="shared" si="5"/>
        <v/>
      </c>
      <c r="V28" s="940" t="str">
        <f t="shared" si="6"/>
        <v/>
      </c>
      <c r="W28" s="940" t="str">
        <f t="shared" si="7"/>
        <v/>
      </c>
      <c r="X28" s="940" t="str">
        <f>IF(AND(N28="",R28&lt;&gt;0),"",IF(LEFT(H28,4)&lt;&gt;"Room","PASS",IF(LEFT(F28,4)&lt;&gt;"Room","FAIL",IF('Worksheet Common HVAC'!X37&lt;=S28,"PASS","FAIL"))))</f>
        <v/>
      </c>
      <c r="Y28" s="892" t="str">
        <f t="shared" si="8"/>
        <v>FAIL</v>
      </c>
      <c r="Z28" s="888" t="str">
        <f>'Common HVAC References'!$G$43</f>
        <v>Multifamily</v>
      </c>
      <c r="AA28" s="939">
        <f>IF(OR(Z28="",Z28="… please select …"),0,INDEX('Common HVAC References'!$H$22:$H$44,MATCH(Z28,'Common HVAC References'!$G$22:$G$44,0)))</f>
        <v>736</v>
      </c>
      <c r="AB28" s="938">
        <f>IF(OR(Z28="",Z28="… please select …"),0,INDEX('Common HVAC References'!$I$22:$I$44,MATCH(Z28,'Common HVAC References'!$G$22:$G$44,0)))</f>
        <v>681</v>
      </c>
      <c r="AF28" s="926">
        <v>22</v>
      </c>
      <c r="AG28" s="937" t="str">
        <f t="shared" si="9"/>
        <v xml:space="preserve">   </v>
      </c>
      <c r="AH28" s="937" t="str">
        <f>IF(OR('Worksheet Common HVAC'!$T37="",'Worksheet Common HVAC'!T37="None"),IF($H28="  ","","Baseline "&amp;INDEX('Common HVAC References'!$V$4:$V$43,MATCH($H28,'Common HVAC References'!$S$4:$S$43,0))),"Existing "&amp;'Worksheet Common HVAC'!$T37)</f>
        <v/>
      </c>
      <c r="AI28" s="927" t="str">
        <f>IF(OR('Worksheet Common HVAC'!U37="",'Worksheet Common HVAC'!U37="None"),IF(I28="","","Baseline "&amp;INDEX('Common HVAC References'!$W$4:$W$44,MATCH($H28,'Common HVAC References'!$S$4:$S$44,0))),"Existing "&amp;'Worksheet Common HVAC'!U37)</f>
        <v/>
      </c>
      <c r="AJ28" s="936" t="str">
        <f>_xlfn.IFNA(IF(OR('Worksheet Common HVAC'!W37=0,'Worksheet Common HVAC'!W37=""),IF(OR(LEFT(H28,3)="pac",LEFT(H28,4)="Room"),0,INDEX('Common HVAC References'!$BK$5:$BK$44,MATCH(H28,'Common HVAC References'!$AX$5:$AX$44,0))),'Worksheet Common HVAC'!W37),"")</f>
        <v/>
      </c>
      <c r="AK28" s="929" t="str">
        <f>IF(H28="  ","",IF('Worksheet Common HVAC'!X37="",IF(LEFT(H28,3)="Pac",(INDEX('Common HVAC References'!$BL$4:$BL$44,MATCH(H28,'Common HVAC References'!$AX$4:$AX$44,0)))-(0.3*I28*12000/1000),INDEX('Common HVAC References'!$BL$4:$BL$44,MATCH(H28,'Common HVAC References'!$AX$4:$AX$44,0))),'Worksheet Common HVAC'!X37))</f>
        <v/>
      </c>
      <c r="AL28" s="1644" t="str">
        <f>IF(H28="  ","",IF(OR($AI28="Existing Gas",$AI28="Existing Oil",$AI28="Existing Propane",$AI28="New Construction"),0,IF(AND('Worksheet Common HVAC'!Z37=0,'Worksheet Common HVAC'!Y37=0),IF(LEFT(H28,3)="pac",0,INDEX('Common HVAC References'!$BM$4:$BM$44,MATCH(H28,'Common HVAC References'!$AX$4:$AX$44,0))),IF(AND('Worksheet Common HVAC'!Z37&gt;0,'Worksheet Common HVAC'!Y37=0),'Worksheet Common HVAC'!Z37*'Common HVAC References'!$B$45,'Worksheet Common HVAC'!Y37))))</f>
        <v/>
      </c>
      <c r="AM28" s="929" t="str">
        <f>IF($H28="  ","",IF(OR($AI28="Existing Gas",$AI28="Existing Oil",$AI28="Existing Propane",$AI28="Baseline New Construction"),0,IF(OR('Worksheet Common HVAC'!Z37="",'Worksheet Common HVAC'!Z37=0),IF(LEFT(H28,3)="Pac",(INDEX('Common HVAC References'!$BM$4:$BM$44,MATCH(H28,'Common HVAC References'!$AX$4:$AX$44,0)))-INDEX('Common HVAC References'!$BN$4:$BN$44,MATCH(H28,'Common HVAC References'!$AX$4:$AX$44,0))*I28*12000/1000,INDEX('Common HVAC References'!$BN$4:$BN$44,MATCH(H28,'Common HVAC References'!$AX$4:$AX$44,0))),'Worksheet Common HVAC'!Z37)))</f>
        <v/>
      </c>
      <c r="AN28" s="935" t="str">
        <f>IF($H28="  ","",IF(OR($AI28="Existing Gas",$AI28="Existing Oil",$AI28="Existing Propane", $AI28="Baseline New Construction"),IF(OR('Worksheet Common HVAC'!AA37="",'Worksheet Common HVAC'!AA37=0),INDEX('Common HVAC References'!$E$134:$E$138,MATCH(AI28,'Common HVAC References'!$D$134:$D$138,0)),'Worksheet Common HVAC'!AA37),0))</f>
        <v/>
      </c>
      <c r="AO28" s="934">
        <f>IF(OR(LEFT(AI28,8)="Existing",RIGHT(AI28,16)="New Construction"),'Common HVAC References'!$B$29,1)</f>
        <v>1</v>
      </c>
      <c r="AP28" s="933">
        <f>'Common HVAC References'!$B$33</f>
        <v>15</v>
      </c>
      <c r="AQ28" s="932" t="e">
        <f>IF(AND(AK28&gt;0,L28&gt;0),ROUND((I28*12)*((1/AK28)-(1/L28)),'Common HVAC References'!$B$36),0)</f>
        <v>#VALUE!</v>
      </c>
      <c r="AR28" s="931" t="e">
        <f>IF(AND(AK28&gt;0,L28&gt;0),ROUND((J28*I28*12)*((1/AK28)-(1/L28)),'Common HVAC References'!$B$36),0)</f>
        <v>#VALUE!</v>
      </c>
      <c r="AS28" s="931" t="e">
        <f>IF(AND(AJ28=0,AK28=0),0,IF(AJ28&gt;0,ROUND((I28*12)*((1/AJ28)-(1/K28))*AA28,'Common HVAC References'!$B$39),ROUND((I28*12)*((1/AK28)-(1/L28))*AA28,'Common HVAC References'!$B$39)))</f>
        <v>#VALUE!</v>
      </c>
      <c r="AT28" s="931" t="e">
        <f>AS28*'Common HVAC References'!$B$25</f>
        <v>#VALUE!</v>
      </c>
      <c r="AU28" s="931" t="e">
        <f t="shared" si="10"/>
        <v>#VALUE!</v>
      </c>
      <c r="AV28" s="932">
        <f>IF(AND(N28&gt;0,AM28&gt;0,N28&lt;&gt;""),ROUND((I28*12)*((1/(AM28))-(1/(N28))),'Common HVAC References'!$B$36),IF(AND(M28&gt;0,AL28&gt;0,M28&lt;&gt;""),ROUND((I28*12)*(1/(AL28/3.412))-(1/(M28/3.412)),'Common HVAC References'!$B$36),IF(AND(N28&gt;0,N28&lt;&gt;""),ROUND((I28*12)*-(1/(N28/3.412)),'Common HVAC References'!$B$36),IF(AND(M28&gt;0,M28&lt;&gt;""),ROUND((I28*12)*-(1/(M28/3.412)),'Common HVAC References'!$B$36),0))))</f>
        <v>0</v>
      </c>
      <c r="AW28" s="931" t="e">
        <f t="shared" si="11"/>
        <v>#VALUE!</v>
      </c>
      <c r="AX28" s="931" t="e">
        <f>ROUND(AU28*AN28*AP28,'Common HVAC References'!$B$39)</f>
        <v>#VALUE!</v>
      </c>
      <c r="AY28" s="931" t="e">
        <f>IF(AND(AL28&gt;0,M28&gt;0),ROUND((I28*12)*((1/AL28)-(1/M28))*AB28*AO28,'Common HVAC References'!$B$39),IF(AND(AM28&gt;0,N28&gt;0),ROUND((I28*12)*((1/AM28)-(1/N28))*AB28*AO28/3.413,'Common HVAC References'!$B$39),0))</f>
        <v>#VALUE!</v>
      </c>
      <c r="AZ28" s="931">
        <f>IF(AND(OR($AI28="Existing Gas",$AI28="Existing Oil",$AI28="Existing Propane",$AI28="Baseline New Construction"),RIGHT(C28,10)="Heat Pumps"),IF(AND(M28&gt;0,M28&lt;&gt;""),ROUND(((I28*12)*((1/M28))*AB28*AO28)-AX28,'Common HVAC References'!$B$39),IF(AND(N28&gt;0,N28&lt;&gt;""),ROUND(((I28*12)*((1/N28))*AB28*AO28/3.412)-AX28,'Common HVAC References'!$B$39),0)),0)</f>
        <v>0</v>
      </c>
      <c r="BA28" s="931" t="e">
        <f>(AY28*'Common HVAC References'!$B$25)-(AZ28*'Common HVAC References'!$B$25)</f>
        <v>#VALUE!</v>
      </c>
      <c r="BB28" s="931" t="e">
        <f t="shared" si="12"/>
        <v>#VALUE!</v>
      </c>
      <c r="BC28" s="931" t="e">
        <f t="shared" si="13"/>
        <v>#VALUE!</v>
      </c>
      <c r="BD28" s="929" t="e">
        <f t="shared" si="25"/>
        <v>#VALUE!</v>
      </c>
      <c r="BE28" s="929" t="e">
        <f t="shared" si="14"/>
        <v>#VALUE!</v>
      </c>
      <c r="BF28" s="929" t="e">
        <f t="shared" si="15"/>
        <v>#VALUE!</v>
      </c>
      <c r="BG28" s="929" t="e">
        <f t="shared" si="16"/>
        <v>#VALUE!</v>
      </c>
      <c r="BH28" s="929" t="e">
        <f t="shared" si="17"/>
        <v>#VALUE!</v>
      </c>
      <c r="BI28" s="930" t="e">
        <f t="shared" si="18"/>
        <v>#VALUE!</v>
      </c>
      <c r="BJ28" s="929" t="e">
        <f t="shared" si="19"/>
        <v>#VALUE!</v>
      </c>
      <c r="BK28" s="929" t="e">
        <f t="shared" si="20"/>
        <v>#VALUE!</v>
      </c>
      <c r="BL28" s="972">
        <f t="shared" si="26"/>
        <v>0</v>
      </c>
      <c r="BM28" s="928">
        <f t="shared" si="21"/>
        <v>0</v>
      </c>
      <c r="BN28" s="926">
        <v>22</v>
      </c>
      <c r="BO28" s="971" t="str">
        <f t="shared" si="22"/>
        <v xml:space="preserve">  </v>
      </c>
      <c r="BP28" s="970" t="str">
        <f t="shared" si="23"/>
        <v/>
      </c>
      <c r="BQ28" s="927" t="str">
        <f t="shared" si="24"/>
        <v xml:space="preserve">   </v>
      </c>
      <c r="BR28" s="927" t="str">
        <f>IF(Y28="FAIL","",INDEX('Common HVAC References'!$AG$4:$AG$82,MATCH('Common HVAC Calculation'!BQ28,'Common HVAC References'!$AF$4:$AF$82,0)))</f>
        <v/>
      </c>
      <c r="BS28" s="969" t="e">
        <f>BK28*'Common HVAC References'!$F$137</f>
        <v>#VALUE!</v>
      </c>
      <c r="BT28" s="969" t="e">
        <f>-AZ28*'Common HVAC References'!$F$137+AU28*INDEX('Common HVAC References'!$F$134:$F$140,MATCH(IF(LEFT(AI28,8)="Baseline",LEFT(AI28,8),AI28),'Common HVAC References'!$D$134:$D$140,0))</f>
        <v>#VALUE!</v>
      </c>
    </row>
    <row r="29" spans="2:72">
      <c r="B29" s="761">
        <v>23</v>
      </c>
      <c r="C29" s="888" t="str">
        <f>IF('Worksheet Common HVAC'!B38="","",'Worksheet Common HVAC'!B38)</f>
        <v/>
      </c>
      <c r="D29" s="940" t="str">
        <f>IF('Worksheet Common HVAC'!C38="","",'Worksheet Common HVAC'!C38)</f>
        <v/>
      </c>
      <c r="E29" s="940" t="str">
        <f>IF('Worksheet Common HVAC'!E38="","",'Worksheet Common HVAC'!E38)</f>
        <v/>
      </c>
      <c r="F29" s="940" t="str">
        <f>IF('Worksheet Common HVAC'!T38="","",'Worksheet Common HVAC'!T38)</f>
        <v/>
      </c>
      <c r="G29" s="973" t="str">
        <f>IF('Worksheet Common HVAC'!V38="","",'Worksheet Common HVAC'!V38)</f>
        <v/>
      </c>
      <c r="H29" s="892" t="str">
        <f t="shared" si="0"/>
        <v xml:space="preserve">  </v>
      </c>
      <c r="I29" s="888" t="str">
        <f>IF('Worksheet Common HVAC'!H38="","",'Worksheet Common HVAC'!H38)</f>
        <v/>
      </c>
      <c r="J29" s="941" t="str">
        <f>IF('Worksheet Common HVAC'!I38="","",'Worksheet Common HVAC'!I38)</f>
        <v/>
      </c>
      <c r="K29" s="888" t="str">
        <f>IF(LEFT('Worksheet Common HVAC'!B38,4)="Room",'Common HVAC Calculation'!L29,IF('Worksheet Common HVAC'!J38="","",'Worksheet Common HVAC'!J38))</f>
        <v/>
      </c>
      <c r="L29" s="940" t="str">
        <f>IF('Worksheet Common HVAC'!K38="","",'Worksheet Common HVAC'!K38)</f>
        <v/>
      </c>
      <c r="M29" s="940" t="str">
        <f>IF($H29="  ","",IF('Worksheet Common HVAC'!L38="",0,'Worksheet Common HVAC'!L38))</f>
        <v/>
      </c>
      <c r="N29" s="940" t="str">
        <f>IF($H29="  ","",IF('Worksheet Common HVAC'!M38="",0,'Worksheet Common HVAC'!M38))</f>
        <v/>
      </c>
      <c r="O29" s="888" t="str">
        <f>IF(H29="  ","",INDEX(HVAC_T1T2ReferenceTable,MATCH(H29,'Common HVAC References'!$AX$4:$AX$45,0),2))</f>
        <v/>
      </c>
      <c r="P29" s="940" t="str">
        <f t="shared" si="1"/>
        <v/>
      </c>
      <c r="Q29" s="940" t="str">
        <f t="shared" si="2"/>
        <v/>
      </c>
      <c r="R29" s="940" t="str">
        <f t="shared" si="3"/>
        <v/>
      </c>
      <c r="S29" s="940" t="str">
        <f>IF(LEFT(H29,4)="Room",'Common HVAC References'!$AT$4,"")</f>
        <v/>
      </c>
      <c r="T29" s="888" t="str">
        <f t="shared" si="4"/>
        <v/>
      </c>
      <c r="U29" s="940" t="str">
        <f t="shared" si="5"/>
        <v/>
      </c>
      <c r="V29" s="940" t="str">
        <f t="shared" si="6"/>
        <v/>
      </c>
      <c r="W29" s="940" t="str">
        <f t="shared" si="7"/>
        <v/>
      </c>
      <c r="X29" s="940" t="str">
        <f>IF(AND(N29="",R29&lt;&gt;0),"",IF(LEFT(H29,4)&lt;&gt;"Room","PASS",IF(LEFT(F29,4)&lt;&gt;"Room","FAIL",IF('Worksheet Common HVAC'!X38&lt;=S29,"PASS","FAIL"))))</f>
        <v/>
      </c>
      <c r="Y29" s="892" t="str">
        <f t="shared" si="8"/>
        <v>FAIL</v>
      </c>
      <c r="Z29" s="888" t="str">
        <f>'Common HVAC References'!$G$43</f>
        <v>Multifamily</v>
      </c>
      <c r="AA29" s="939">
        <f>IF(OR(Z29="",Z29="… please select …"),0,INDEX('Common HVAC References'!$H$22:$H$44,MATCH(Z29,'Common HVAC References'!$G$22:$G$44,0)))</f>
        <v>736</v>
      </c>
      <c r="AB29" s="938">
        <f>IF(OR(Z29="",Z29="… please select …"),0,INDEX('Common HVAC References'!$I$22:$I$44,MATCH(Z29,'Common HVAC References'!$G$22:$G$44,0)))</f>
        <v>681</v>
      </c>
      <c r="AF29" s="926">
        <v>23</v>
      </c>
      <c r="AG29" s="937" t="str">
        <f t="shared" si="9"/>
        <v xml:space="preserve">   </v>
      </c>
      <c r="AH29" s="937" t="str">
        <f>IF(OR('Worksheet Common HVAC'!$T38="",'Worksheet Common HVAC'!T38="None"),IF($H29="  ","","Baseline "&amp;INDEX('Common HVAC References'!$V$4:$V$43,MATCH($H29,'Common HVAC References'!$S$4:$S$43,0))),"Existing "&amp;'Worksheet Common HVAC'!$T38)</f>
        <v/>
      </c>
      <c r="AI29" s="927" t="str">
        <f>IF(OR('Worksheet Common HVAC'!U38="",'Worksheet Common HVAC'!U38="None"),IF(I29="","","Baseline "&amp;INDEX('Common HVAC References'!$W$4:$W$44,MATCH($H29,'Common HVAC References'!$S$4:$S$44,0))),"Existing "&amp;'Worksheet Common HVAC'!U38)</f>
        <v/>
      </c>
      <c r="AJ29" s="936" t="str">
        <f>_xlfn.IFNA(IF(OR('Worksheet Common HVAC'!W38=0,'Worksheet Common HVAC'!W38=""),IF(OR(LEFT(H29,3)="pac",LEFT(H29,4)="Room"),0,INDEX('Common HVAC References'!$BK$5:$BK$44,MATCH(H29,'Common HVAC References'!$AX$5:$AX$44,0))),'Worksheet Common HVAC'!W38),"")</f>
        <v/>
      </c>
      <c r="AK29" s="929" t="str">
        <f>IF(H29="  ","",IF('Worksheet Common HVAC'!X38="",IF(LEFT(H29,3)="Pac",(INDEX('Common HVAC References'!$BL$4:$BL$44,MATCH(H29,'Common HVAC References'!$AX$4:$AX$44,0)))-(0.3*I29*12000/1000),INDEX('Common HVAC References'!$BL$4:$BL$44,MATCH(H29,'Common HVAC References'!$AX$4:$AX$44,0))),'Worksheet Common HVAC'!X38))</f>
        <v/>
      </c>
      <c r="AL29" s="1644" t="str">
        <f>IF(H29="  ","",IF(OR($AI29="Existing Gas",$AI29="Existing Oil",$AI29="Existing Propane",$AI29="New Construction"),0,IF(AND('Worksheet Common HVAC'!Z38=0,'Worksheet Common HVAC'!Y38=0),IF(LEFT(H29,3)="pac",0,INDEX('Common HVAC References'!$BM$4:$BM$44,MATCH(H29,'Common HVAC References'!$AX$4:$AX$44,0))),IF(AND('Worksheet Common HVAC'!Z38&gt;0,'Worksheet Common HVAC'!Y38=0),'Worksheet Common HVAC'!Z38*'Common HVAC References'!$B$45,'Worksheet Common HVAC'!Y38))))</f>
        <v/>
      </c>
      <c r="AM29" s="929" t="str">
        <f>IF($H29="  ","",IF(OR($AI29="Existing Gas",$AI29="Existing Oil",$AI29="Existing Propane",$AI29="Baseline New Construction"),0,IF(OR('Worksheet Common HVAC'!Z38="",'Worksheet Common HVAC'!Z38=0),IF(LEFT(H29,3)="Pac",(INDEX('Common HVAC References'!$BM$4:$BM$44,MATCH(H29,'Common HVAC References'!$AX$4:$AX$44,0)))-INDEX('Common HVAC References'!$BN$4:$BN$44,MATCH(H29,'Common HVAC References'!$AX$4:$AX$44,0))*I29*12000/1000,INDEX('Common HVAC References'!$BN$4:$BN$44,MATCH(H29,'Common HVAC References'!$AX$4:$AX$44,0))),'Worksheet Common HVAC'!Z38)))</f>
        <v/>
      </c>
      <c r="AN29" s="935" t="str">
        <f>IF($H29="  ","",IF(OR($AI29="Existing Gas",$AI29="Existing Oil",$AI29="Existing Propane", $AI29="Baseline New Construction"),IF(OR('Worksheet Common HVAC'!AA38="",'Worksheet Common HVAC'!AA38=0),INDEX('Common HVAC References'!$E$134:$E$138,MATCH(AI29,'Common HVAC References'!$D$134:$D$138,0)),'Worksheet Common HVAC'!AA38),0))</f>
        <v/>
      </c>
      <c r="AO29" s="934">
        <f>IF(OR(LEFT(AI29,8)="Existing",RIGHT(AI29,16)="New Construction"),'Common HVAC References'!$B$29,1)</f>
        <v>1</v>
      </c>
      <c r="AP29" s="933">
        <f>'Common HVAC References'!$B$33</f>
        <v>15</v>
      </c>
      <c r="AQ29" s="932" t="e">
        <f>IF(AND(AK29&gt;0,L29&gt;0),ROUND((I29*12)*((1/AK29)-(1/L29)),'Common HVAC References'!$B$36),0)</f>
        <v>#VALUE!</v>
      </c>
      <c r="AR29" s="931" t="e">
        <f>IF(AND(AK29&gt;0,L29&gt;0),ROUND((J29*I29*12)*((1/AK29)-(1/L29)),'Common HVAC References'!$B$36),0)</f>
        <v>#VALUE!</v>
      </c>
      <c r="AS29" s="931" t="e">
        <f>IF(AND(AJ29=0,AK29=0),0,IF(AJ29&gt;0,ROUND((I29*12)*((1/AJ29)-(1/K29))*AA29,'Common HVAC References'!$B$39),ROUND((I29*12)*((1/AK29)-(1/L29))*AA29,'Common HVAC References'!$B$39)))</f>
        <v>#VALUE!</v>
      </c>
      <c r="AT29" s="931" t="e">
        <f>AS29*'Common HVAC References'!$B$25</f>
        <v>#VALUE!</v>
      </c>
      <c r="AU29" s="931" t="e">
        <f t="shared" si="10"/>
        <v>#VALUE!</v>
      </c>
      <c r="AV29" s="932">
        <f>IF(AND(N29&gt;0,AM29&gt;0,N29&lt;&gt;""),ROUND((I29*12)*((1/(AM29))-(1/(N29))),'Common HVAC References'!$B$36),IF(AND(M29&gt;0,AL29&gt;0,M29&lt;&gt;""),ROUND((I29*12)*(1/(AL29/3.412))-(1/(M29/3.412)),'Common HVAC References'!$B$36),IF(AND(N29&gt;0,N29&lt;&gt;""),ROUND((I29*12)*-(1/(N29/3.412)),'Common HVAC References'!$B$36),IF(AND(M29&gt;0,M29&lt;&gt;""),ROUND((I29*12)*-(1/(M29/3.412)),'Common HVAC References'!$B$36),0))))</f>
        <v>0</v>
      </c>
      <c r="AW29" s="931" t="e">
        <f t="shared" si="11"/>
        <v>#VALUE!</v>
      </c>
      <c r="AX29" s="931" t="e">
        <f>ROUND(AU29*AN29*AP29,'Common HVAC References'!$B$39)</f>
        <v>#VALUE!</v>
      </c>
      <c r="AY29" s="931" t="e">
        <f>IF(AND(AL29&gt;0,M29&gt;0),ROUND((I29*12)*((1/AL29)-(1/M29))*AB29*AO29,'Common HVAC References'!$B$39),IF(AND(AM29&gt;0,N29&gt;0),ROUND((I29*12)*((1/AM29)-(1/N29))*AB29*AO29/3.413,'Common HVAC References'!$B$39),0))</f>
        <v>#VALUE!</v>
      </c>
      <c r="AZ29" s="931">
        <f>IF(AND(OR($AI29="Existing Gas",$AI29="Existing Oil",$AI29="Existing Propane",$AI29="Baseline New Construction"),RIGHT(C29,10)="Heat Pumps"),IF(AND(M29&gt;0,M29&lt;&gt;""),ROUND(((I29*12)*((1/M29))*AB29*AO29)-AX29,'Common HVAC References'!$B$39),IF(AND(N29&gt;0,N29&lt;&gt;""),ROUND(((I29*12)*((1/N29))*AB29*AO29/3.412)-AX29,'Common HVAC References'!$B$39),0)),0)</f>
        <v>0</v>
      </c>
      <c r="BA29" s="931" t="e">
        <f>(AY29*'Common HVAC References'!$B$25)-(AZ29*'Common HVAC References'!$B$25)</f>
        <v>#VALUE!</v>
      </c>
      <c r="BB29" s="931" t="e">
        <f t="shared" si="12"/>
        <v>#VALUE!</v>
      </c>
      <c r="BC29" s="931" t="e">
        <f t="shared" si="13"/>
        <v>#VALUE!</v>
      </c>
      <c r="BD29" s="929" t="e">
        <f t="shared" si="25"/>
        <v>#VALUE!</v>
      </c>
      <c r="BE29" s="929" t="e">
        <f t="shared" si="14"/>
        <v>#VALUE!</v>
      </c>
      <c r="BF29" s="929" t="e">
        <f t="shared" si="15"/>
        <v>#VALUE!</v>
      </c>
      <c r="BG29" s="929" t="e">
        <f t="shared" si="16"/>
        <v>#VALUE!</v>
      </c>
      <c r="BH29" s="929" t="e">
        <f t="shared" si="17"/>
        <v>#VALUE!</v>
      </c>
      <c r="BI29" s="930" t="e">
        <f t="shared" si="18"/>
        <v>#VALUE!</v>
      </c>
      <c r="BJ29" s="929" t="e">
        <f t="shared" si="19"/>
        <v>#VALUE!</v>
      </c>
      <c r="BK29" s="929" t="e">
        <f t="shared" si="20"/>
        <v>#VALUE!</v>
      </c>
      <c r="BL29" s="972">
        <f t="shared" si="26"/>
        <v>0</v>
      </c>
      <c r="BM29" s="928">
        <f t="shared" si="21"/>
        <v>0</v>
      </c>
      <c r="BN29" s="926">
        <v>23</v>
      </c>
      <c r="BO29" s="971" t="str">
        <f t="shared" si="22"/>
        <v xml:space="preserve">  </v>
      </c>
      <c r="BP29" s="970" t="str">
        <f t="shared" si="23"/>
        <v/>
      </c>
      <c r="BQ29" s="927" t="str">
        <f t="shared" si="24"/>
        <v xml:space="preserve">   </v>
      </c>
      <c r="BR29" s="927" t="str">
        <f>IF(Y29="FAIL","",INDEX('Common HVAC References'!$AG$4:$AG$82,MATCH('Common HVAC Calculation'!BQ29,'Common HVAC References'!$AF$4:$AF$82,0)))</f>
        <v/>
      </c>
      <c r="BS29" s="969" t="e">
        <f>BK29*'Common HVAC References'!$F$137</f>
        <v>#VALUE!</v>
      </c>
      <c r="BT29" s="969" t="e">
        <f>-AZ29*'Common HVAC References'!$F$137+AU29*INDEX('Common HVAC References'!$F$134:$F$140,MATCH(IF(LEFT(AI29,8)="Baseline",LEFT(AI29,8),AI29),'Common HVAC References'!$D$134:$D$140,0))</f>
        <v>#VALUE!</v>
      </c>
    </row>
    <row r="30" spans="2:72">
      <c r="B30" s="761">
        <v>24</v>
      </c>
      <c r="C30" s="888" t="str">
        <f>IF('Worksheet Common HVAC'!B39="","",'Worksheet Common HVAC'!B39)</f>
        <v/>
      </c>
      <c r="D30" s="940" t="str">
        <f>IF('Worksheet Common HVAC'!C39="","",'Worksheet Common HVAC'!C39)</f>
        <v/>
      </c>
      <c r="E30" s="940" t="str">
        <f>IF('Worksheet Common HVAC'!E39="","",'Worksheet Common HVAC'!E39)</f>
        <v/>
      </c>
      <c r="F30" s="940" t="str">
        <f>IF('Worksheet Common HVAC'!T39="","",'Worksheet Common HVAC'!T39)</f>
        <v/>
      </c>
      <c r="G30" s="973" t="str">
        <f>IF('Worksheet Common HVAC'!V39="","",'Worksheet Common HVAC'!V39)</f>
        <v/>
      </c>
      <c r="H30" s="892" t="str">
        <f t="shared" si="0"/>
        <v xml:space="preserve">  </v>
      </c>
      <c r="I30" s="888" t="str">
        <f>IF('Worksheet Common HVAC'!H39="","",'Worksheet Common HVAC'!H39)</f>
        <v/>
      </c>
      <c r="J30" s="941" t="str">
        <f>IF('Worksheet Common HVAC'!I39="","",'Worksheet Common HVAC'!I39)</f>
        <v/>
      </c>
      <c r="K30" s="888" t="str">
        <f>IF(LEFT('Worksheet Common HVAC'!B39,4)="Room",'Common HVAC Calculation'!L30,IF('Worksheet Common HVAC'!J39="","",'Worksheet Common HVAC'!J39))</f>
        <v/>
      </c>
      <c r="L30" s="940" t="str">
        <f>IF('Worksheet Common HVAC'!K39="","",'Worksheet Common HVAC'!K39)</f>
        <v/>
      </c>
      <c r="M30" s="940" t="str">
        <f>IF($H30="  ","",IF('Worksheet Common HVAC'!L39="",0,'Worksheet Common HVAC'!L39))</f>
        <v/>
      </c>
      <c r="N30" s="940" t="str">
        <f>IF($H30="  ","",IF('Worksheet Common HVAC'!M39="",0,'Worksheet Common HVAC'!M39))</f>
        <v/>
      </c>
      <c r="O30" s="888" t="str">
        <f>IF(H30="  ","",INDEX(HVAC_T1T2ReferenceTable,MATCH(H30,'Common HVAC References'!$AX$4:$AX$45,0),2))</f>
        <v/>
      </c>
      <c r="P30" s="940" t="str">
        <f t="shared" si="1"/>
        <v/>
      </c>
      <c r="Q30" s="940" t="str">
        <f t="shared" si="2"/>
        <v/>
      </c>
      <c r="R30" s="940" t="str">
        <f t="shared" si="3"/>
        <v/>
      </c>
      <c r="S30" s="940" t="str">
        <f>IF(LEFT(H30,4)="Room",'Common HVAC References'!$AT$4,"")</f>
        <v/>
      </c>
      <c r="T30" s="888" t="str">
        <f t="shared" si="4"/>
        <v/>
      </c>
      <c r="U30" s="940" t="str">
        <f t="shared" si="5"/>
        <v/>
      </c>
      <c r="V30" s="940" t="str">
        <f t="shared" si="6"/>
        <v/>
      </c>
      <c r="W30" s="940" t="str">
        <f t="shared" si="7"/>
        <v/>
      </c>
      <c r="X30" s="940" t="str">
        <f>IF(AND(N30="",R30&lt;&gt;0),"",IF(LEFT(H30,4)&lt;&gt;"Room","PASS",IF(LEFT(F30,4)&lt;&gt;"Room","FAIL",IF('Worksheet Common HVAC'!X39&lt;=S30,"PASS","FAIL"))))</f>
        <v/>
      </c>
      <c r="Y30" s="892" t="str">
        <f t="shared" si="8"/>
        <v>FAIL</v>
      </c>
      <c r="Z30" s="888" t="str">
        <f>'Common HVAC References'!$G$43</f>
        <v>Multifamily</v>
      </c>
      <c r="AA30" s="939">
        <f>IF(OR(Z30="",Z30="… please select …"),0,INDEX('Common HVAC References'!$H$22:$H$44,MATCH(Z30,'Common HVAC References'!$G$22:$G$44,0)))</f>
        <v>736</v>
      </c>
      <c r="AB30" s="938">
        <f>IF(OR(Z30="",Z30="… please select …"),0,INDEX('Common HVAC References'!$I$22:$I$44,MATCH(Z30,'Common HVAC References'!$G$22:$G$44,0)))</f>
        <v>681</v>
      </c>
      <c r="AF30" s="926">
        <v>24</v>
      </c>
      <c r="AG30" s="937" t="str">
        <f t="shared" si="9"/>
        <v xml:space="preserve">   </v>
      </c>
      <c r="AH30" s="937" t="str">
        <f>IF(OR('Worksheet Common HVAC'!$T39="",'Worksheet Common HVAC'!T39="None"),IF($H30="  ","","Baseline "&amp;INDEX('Common HVAC References'!$V$4:$V$43,MATCH($H30,'Common HVAC References'!$S$4:$S$43,0))),"Existing "&amp;'Worksheet Common HVAC'!$T39)</f>
        <v/>
      </c>
      <c r="AI30" s="927" t="str">
        <f>IF(OR('Worksheet Common HVAC'!U39="",'Worksheet Common HVAC'!U39="None"),IF(I30="","","Baseline "&amp;INDEX('Common HVAC References'!$W$4:$W$44,MATCH($H30,'Common HVAC References'!$S$4:$S$44,0))),"Existing "&amp;'Worksheet Common HVAC'!U39)</f>
        <v/>
      </c>
      <c r="AJ30" s="936" t="str">
        <f>_xlfn.IFNA(IF(OR('Worksheet Common HVAC'!W39=0,'Worksheet Common HVAC'!W39=""),IF(OR(LEFT(H30,3)="pac",LEFT(H30,4)="Room"),0,INDEX('Common HVAC References'!$BK$5:$BK$44,MATCH(H30,'Common HVAC References'!$AX$5:$AX$44,0))),'Worksheet Common HVAC'!W39),"")</f>
        <v/>
      </c>
      <c r="AK30" s="929" t="str">
        <f>IF(H30="  ","",IF('Worksheet Common HVAC'!X39="",IF(LEFT(H30,3)="Pac",(INDEX('Common HVAC References'!$BL$4:$BL$44,MATCH(H30,'Common HVAC References'!$AX$4:$AX$44,0)))-(0.3*I30*12000/1000),INDEX('Common HVAC References'!$BL$4:$BL$44,MATCH(H30,'Common HVAC References'!$AX$4:$AX$44,0))),'Worksheet Common HVAC'!X39))</f>
        <v/>
      </c>
      <c r="AL30" s="1644" t="str">
        <f>IF(H30="  ","",IF(OR($AI30="Existing Gas",$AI30="Existing Oil",$AI30="Existing Propane",$AI30="New Construction"),0,IF(AND('Worksheet Common HVAC'!Z39=0,'Worksheet Common HVAC'!Y39=0),IF(LEFT(H30,3)="pac",0,INDEX('Common HVAC References'!$BM$4:$BM$44,MATCH(H30,'Common HVAC References'!$AX$4:$AX$44,0))),IF(AND('Worksheet Common HVAC'!Z39&gt;0,'Worksheet Common HVAC'!Y39=0),'Worksheet Common HVAC'!Z39*'Common HVAC References'!$B$45,'Worksheet Common HVAC'!Y39))))</f>
        <v/>
      </c>
      <c r="AM30" s="929" t="str">
        <f>IF($H30="  ","",IF(OR($AI30="Existing Gas",$AI30="Existing Oil",$AI30="Existing Propane",$AI30="Baseline New Construction"),0,IF(OR('Worksheet Common HVAC'!Z39="",'Worksheet Common HVAC'!Z39=0),IF(LEFT(H30,3)="Pac",(INDEX('Common HVAC References'!$BM$4:$BM$44,MATCH(H30,'Common HVAC References'!$AX$4:$AX$44,0)))-INDEX('Common HVAC References'!$BN$4:$BN$44,MATCH(H30,'Common HVAC References'!$AX$4:$AX$44,0))*I30*12000/1000,INDEX('Common HVAC References'!$BN$4:$BN$44,MATCH(H30,'Common HVAC References'!$AX$4:$AX$44,0))),'Worksheet Common HVAC'!Z39)))</f>
        <v/>
      </c>
      <c r="AN30" s="935" t="str">
        <f>IF($H30="  ","",IF(OR($AI30="Existing Gas",$AI30="Existing Oil",$AI30="Existing Propane", $AI30="Baseline New Construction"),IF(OR('Worksheet Common HVAC'!AA39="",'Worksheet Common HVAC'!AA39=0),INDEX('Common HVAC References'!$E$134:$E$138,MATCH(AI30,'Common HVAC References'!$D$134:$D$138,0)),'Worksheet Common HVAC'!AA39),0))</f>
        <v/>
      </c>
      <c r="AO30" s="934">
        <f>IF(OR(LEFT(AI30,8)="Existing",RIGHT(AI30,16)="New Construction"),'Common HVAC References'!$B$29,1)</f>
        <v>1</v>
      </c>
      <c r="AP30" s="933">
        <f>'Common HVAC References'!$B$33</f>
        <v>15</v>
      </c>
      <c r="AQ30" s="932" t="e">
        <f>IF(AND(AK30&gt;0,L30&gt;0),ROUND((I30*12)*((1/AK30)-(1/L30)),'Common HVAC References'!$B$36),0)</f>
        <v>#VALUE!</v>
      </c>
      <c r="AR30" s="931" t="e">
        <f>IF(AND(AK30&gt;0,L30&gt;0),ROUND((J30*I30*12)*((1/AK30)-(1/L30)),'Common HVAC References'!$B$36),0)</f>
        <v>#VALUE!</v>
      </c>
      <c r="AS30" s="931" t="e">
        <f>IF(AND(AJ30=0,AK30=0),0,IF(AJ30&gt;0,ROUND((I30*12)*((1/AJ30)-(1/K30))*AA30,'Common HVAC References'!$B$39),ROUND((I30*12)*((1/AK30)-(1/L30))*AA30,'Common HVAC References'!$B$39)))</f>
        <v>#VALUE!</v>
      </c>
      <c r="AT30" s="931" t="e">
        <f>AS30*'Common HVAC References'!$B$25</f>
        <v>#VALUE!</v>
      </c>
      <c r="AU30" s="931" t="e">
        <f t="shared" si="10"/>
        <v>#VALUE!</v>
      </c>
      <c r="AV30" s="932">
        <f>IF(AND(N30&gt;0,AM30&gt;0,N30&lt;&gt;""),ROUND((I30*12)*((1/(AM30))-(1/(N30))),'Common HVAC References'!$B$36),IF(AND(M30&gt;0,AL30&gt;0,M30&lt;&gt;""),ROUND((I30*12)*(1/(AL30/3.412))-(1/(M30/3.412)),'Common HVAC References'!$B$36),IF(AND(N30&gt;0,N30&lt;&gt;""),ROUND((I30*12)*-(1/(N30/3.412)),'Common HVAC References'!$B$36),IF(AND(M30&gt;0,M30&lt;&gt;""),ROUND((I30*12)*-(1/(M30/3.412)),'Common HVAC References'!$B$36),0))))</f>
        <v>0</v>
      </c>
      <c r="AW30" s="931" t="e">
        <f t="shared" si="11"/>
        <v>#VALUE!</v>
      </c>
      <c r="AX30" s="931" t="e">
        <f>ROUND(AU30*AN30*AP30,'Common HVAC References'!$B$39)</f>
        <v>#VALUE!</v>
      </c>
      <c r="AY30" s="931" t="e">
        <f>IF(AND(AL30&gt;0,M30&gt;0),ROUND((I30*12)*((1/AL30)-(1/M30))*AB30*AO30,'Common HVAC References'!$B$39),IF(AND(AM30&gt;0,N30&gt;0),ROUND((I30*12)*((1/AM30)-(1/N30))*AB30*AO30/3.413,'Common HVAC References'!$B$39),0))</f>
        <v>#VALUE!</v>
      </c>
      <c r="AZ30" s="931">
        <f>IF(AND(OR($AI30="Existing Gas",$AI30="Existing Oil",$AI30="Existing Propane",$AI30="Baseline New Construction"),RIGHT(C30,10)="Heat Pumps"),IF(AND(M30&gt;0,M30&lt;&gt;""),ROUND(((I30*12)*((1/M30))*AB30*AO30)-AX30,'Common HVAC References'!$B$39),IF(AND(N30&gt;0,N30&lt;&gt;""),ROUND(((I30*12)*((1/N30))*AB30*AO30/3.412)-AX30,'Common HVAC References'!$B$39),0)),0)</f>
        <v>0</v>
      </c>
      <c r="BA30" s="931" t="e">
        <f>(AY30*'Common HVAC References'!$B$25)-(AZ30*'Common HVAC References'!$B$25)</f>
        <v>#VALUE!</v>
      </c>
      <c r="BB30" s="931" t="e">
        <f t="shared" si="12"/>
        <v>#VALUE!</v>
      </c>
      <c r="BC30" s="931" t="e">
        <f t="shared" si="13"/>
        <v>#VALUE!</v>
      </c>
      <c r="BD30" s="929" t="e">
        <f t="shared" si="25"/>
        <v>#VALUE!</v>
      </c>
      <c r="BE30" s="929" t="e">
        <f t="shared" si="14"/>
        <v>#VALUE!</v>
      </c>
      <c r="BF30" s="929" t="e">
        <f t="shared" si="15"/>
        <v>#VALUE!</v>
      </c>
      <c r="BG30" s="929" t="e">
        <f t="shared" si="16"/>
        <v>#VALUE!</v>
      </c>
      <c r="BH30" s="929" t="e">
        <f t="shared" si="17"/>
        <v>#VALUE!</v>
      </c>
      <c r="BI30" s="930" t="e">
        <f t="shared" si="18"/>
        <v>#VALUE!</v>
      </c>
      <c r="BJ30" s="929" t="e">
        <f t="shared" si="19"/>
        <v>#VALUE!</v>
      </c>
      <c r="BK30" s="929" t="e">
        <f t="shared" si="20"/>
        <v>#VALUE!</v>
      </c>
      <c r="BL30" s="972">
        <f t="shared" si="26"/>
        <v>0</v>
      </c>
      <c r="BM30" s="928">
        <f t="shared" si="21"/>
        <v>0</v>
      </c>
      <c r="BN30" s="926">
        <v>24</v>
      </c>
      <c r="BO30" s="971" t="str">
        <f t="shared" si="22"/>
        <v xml:space="preserve">  </v>
      </c>
      <c r="BP30" s="970" t="str">
        <f t="shared" si="23"/>
        <v/>
      </c>
      <c r="BQ30" s="927" t="str">
        <f t="shared" si="24"/>
        <v xml:space="preserve">   </v>
      </c>
      <c r="BR30" s="927" t="str">
        <f>IF(Y30="FAIL","",INDEX('Common HVAC References'!$AG$4:$AG$82,MATCH('Common HVAC Calculation'!BQ30,'Common HVAC References'!$AF$4:$AF$82,0)))</f>
        <v/>
      </c>
      <c r="BS30" s="969" t="e">
        <f>BK30*'Common HVAC References'!$F$137</f>
        <v>#VALUE!</v>
      </c>
      <c r="BT30" s="969" t="e">
        <f>-AZ30*'Common HVAC References'!$F$137+AU30*INDEX('Common HVAC References'!$F$134:$F$140,MATCH(IF(LEFT(AI30,8)="Baseline",LEFT(AI30,8),AI30),'Common HVAC References'!$D$134:$D$140,0))</f>
        <v>#VALUE!</v>
      </c>
    </row>
    <row r="31" spans="2:72">
      <c r="B31" s="761">
        <v>25</v>
      </c>
      <c r="C31" s="888" t="str">
        <f>IF('Worksheet Common HVAC'!B40="","",'Worksheet Common HVAC'!B40)</f>
        <v/>
      </c>
      <c r="D31" s="940" t="str">
        <f>IF('Worksheet Common HVAC'!C40="","",'Worksheet Common HVAC'!C40)</f>
        <v/>
      </c>
      <c r="E31" s="940" t="str">
        <f>IF('Worksheet Common HVAC'!E40="","",'Worksheet Common HVAC'!E40)</f>
        <v/>
      </c>
      <c r="F31" s="940" t="str">
        <f>IF('Worksheet Common HVAC'!T40="","",'Worksheet Common HVAC'!T40)</f>
        <v/>
      </c>
      <c r="G31" s="973" t="str">
        <f>IF('Worksheet Common HVAC'!V40="","",'Worksheet Common HVAC'!V40)</f>
        <v/>
      </c>
      <c r="H31" s="892" t="str">
        <f t="shared" si="0"/>
        <v xml:space="preserve">  </v>
      </c>
      <c r="I31" s="888" t="str">
        <f>IF('Worksheet Common HVAC'!H40="","",'Worksheet Common HVAC'!H40)</f>
        <v/>
      </c>
      <c r="J31" s="941" t="str">
        <f>IF('Worksheet Common HVAC'!I40="","",'Worksheet Common HVAC'!I40)</f>
        <v/>
      </c>
      <c r="K31" s="888" t="str">
        <f>IF(LEFT('Worksheet Common HVAC'!B40,4)="Room",'Common HVAC Calculation'!L31,IF('Worksheet Common HVAC'!J40="","",'Worksheet Common HVAC'!J40))</f>
        <v/>
      </c>
      <c r="L31" s="940" t="str">
        <f>IF('Worksheet Common HVAC'!K40="","",'Worksheet Common HVAC'!K40)</f>
        <v/>
      </c>
      <c r="M31" s="940" t="str">
        <f>IF($H31="  ","",IF('Worksheet Common HVAC'!L40="",0,'Worksheet Common HVAC'!L40))</f>
        <v/>
      </c>
      <c r="N31" s="940" t="str">
        <f>IF($H31="  ","",IF('Worksheet Common HVAC'!M40="",0,'Worksheet Common HVAC'!M40))</f>
        <v/>
      </c>
      <c r="O31" s="888" t="str">
        <f>IF(H31="  ","",INDEX(HVAC_T1T2ReferenceTable,MATCH(H31,'Common HVAC References'!$AX$4:$AX$45,0),2))</f>
        <v/>
      </c>
      <c r="P31" s="940" t="str">
        <f t="shared" si="1"/>
        <v/>
      </c>
      <c r="Q31" s="940" t="str">
        <f t="shared" si="2"/>
        <v/>
      </c>
      <c r="R31" s="940" t="str">
        <f t="shared" si="3"/>
        <v/>
      </c>
      <c r="S31" s="940" t="str">
        <f>IF(LEFT(H31,4)="Room",'Common HVAC References'!$AT$4,"")</f>
        <v/>
      </c>
      <c r="T31" s="888" t="str">
        <f t="shared" si="4"/>
        <v/>
      </c>
      <c r="U31" s="940" t="str">
        <f t="shared" si="5"/>
        <v/>
      </c>
      <c r="V31" s="940" t="str">
        <f t="shared" si="6"/>
        <v/>
      </c>
      <c r="W31" s="940" t="str">
        <f t="shared" si="7"/>
        <v/>
      </c>
      <c r="X31" s="940" t="str">
        <f>IF(AND(N31="",R31&lt;&gt;0),"",IF(LEFT(H31,4)&lt;&gt;"Room","PASS",IF(LEFT(F31,4)&lt;&gt;"Room","FAIL",IF('Worksheet Common HVAC'!X40&lt;=S31,"PASS","FAIL"))))</f>
        <v/>
      </c>
      <c r="Y31" s="892" t="str">
        <f t="shared" si="8"/>
        <v>FAIL</v>
      </c>
      <c r="Z31" s="888" t="str">
        <f>'Common HVAC References'!$G$43</f>
        <v>Multifamily</v>
      </c>
      <c r="AA31" s="939">
        <f>IF(OR(Z31="",Z31="… please select …"),0,INDEX('Common HVAC References'!$H$22:$H$44,MATCH(Z31,'Common HVAC References'!$G$22:$G$44,0)))</f>
        <v>736</v>
      </c>
      <c r="AB31" s="938">
        <f>IF(OR(Z31="",Z31="… please select …"),0,INDEX('Common HVAC References'!$I$22:$I$44,MATCH(Z31,'Common HVAC References'!$G$22:$G$44,0)))</f>
        <v>681</v>
      </c>
      <c r="AF31" s="926">
        <v>25</v>
      </c>
      <c r="AG31" s="937" t="str">
        <f t="shared" si="9"/>
        <v xml:space="preserve">   </v>
      </c>
      <c r="AH31" s="937" t="str">
        <f>IF(OR('Worksheet Common HVAC'!$T40="",'Worksheet Common HVAC'!T40="None"),IF($H31="  ","","Baseline "&amp;INDEX('Common HVAC References'!$V$4:$V$43,MATCH($H31,'Common HVAC References'!$S$4:$S$43,0))),"Existing "&amp;'Worksheet Common HVAC'!$T40)</f>
        <v/>
      </c>
      <c r="AI31" s="927" t="str">
        <f>IF(OR('Worksheet Common HVAC'!U40="",'Worksheet Common HVAC'!U40="None"),IF(I31="","","Baseline "&amp;INDEX('Common HVAC References'!$W$4:$W$44,MATCH($H31,'Common HVAC References'!$S$4:$S$44,0))),"Existing "&amp;'Worksheet Common HVAC'!U40)</f>
        <v/>
      </c>
      <c r="AJ31" s="936" t="str">
        <f>_xlfn.IFNA(IF(OR('Worksheet Common HVAC'!W40=0,'Worksheet Common HVAC'!W40=""),IF(OR(LEFT(H31,3)="pac",LEFT(H31,4)="Room"),0,INDEX('Common HVAC References'!$BK$5:$BK$44,MATCH(H31,'Common HVAC References'!$AX$5:$AX$44,0))),'Worksheet Common HVAC'!W40),"")</f>
        <v/>
      </c>
      <c r="AK31" s="929" t="str">
        <f>IF(H31="  ","",IF('Worksheet Common HVAC'!X40="",IF(LEFT(H31,3)="Pac",(INDEX('Common HVAC References'!$BL$4:$BL$44,MATCH(H31,'Common HVAC References'!$AX$4:$AX$44,0)))-(0.3*I31*12000/1000),INDEX('Common HVAC References'!$BL$4:$BL$44,MATCH(H31,'Common HVAC References'!$AX$4:$AX$44,0))),'Worksheet Common HVAC'!X40))</f>
        <v/>
      </c>
      <c r="AL31" s="1644" t="str">
        <f>IF(H31="  ","",IF(OR($AI31="Existing Gas",$AI31="Existing Oil",$AI31="Existing Propane",$AI31="New Construction"),0,IF(AND('Worksheet Common HVAC'!Z40=0,'Worksheet Common HVAC'!Y40=0),IF(LEFT(H31,3)="pac",0,INDEX('Common HVAC References'!$BM$4:$BM$44,MATCH(H31,'Common HVAC References'!$AX$4:$AX$44,0))),IF(AND('Worksheet Common HVAC'!Z40&gt;0,'Worksheet Common HVAC'!Y40=0),'Worksheet Common HVAC'!Z40*'Common HVAC References'!$B$45,'Worksheet Common HVAC'!Y40))))</f>
        <v/>
      </c>
      <c r="AM31" s="929" t="str">
        <f>IF($H31="  ","",IF(OR($AI31="Existing Gas",$AI31="Existing Oil",$AI31="Existing Propane",$AI31="Baseline New Construction"),0,IF(OR('Worksheet Common HVAC'!Z40="",'Worksheet Common HVAC'!Z40=0),IF(LEFT(H31,3)="Pac",(INDEX('Common HVAC References'!$BM$4:$BM$44,MATCH(H31,'Common HVAC References'!$AX$4:$AX$44,0)))-INDEX('Common HVAC References'!$BN$4:$BN$44,MATCH(H31,'Common HVAC References'!$AX$4:$AX$44,0))*I31*12000/1000,INDEX('Common HVAC References'!$BN$4:$BN$44,MATCH(H31,'Common HVAC References'!$AX$4:$AX$44,0))),'Worksheet Common HVAC'!Z40)))</f>
        <v/>
      </c>
      <c r="AN31" s="935" t="str">
        <f>IF($H31="  ","",IF(OR($AI31="Existing Gas",$AI31="Existing Oil",$AI31="Existing Propane", $AI31="Baseline New Construction"),IF(OR('Worksheet Common HVAC'!AA40="",'Worksheet Common HVAC'!AA40=0),INDEX('Common HVAC References'!$E$134:$E$138,MATCH(AI31,'Common HVAC References'!$D$134:$D$138,0)),'Worksheet Common HVAC'!AA40),0))</f>
        <v/>
      </c>
      <c r="AO31" s="934">
        <f>IF(OR(LEFT(AI31,8)="Existing",RIGHT(AI31,16)="New Construction"),'Common HVAC References'!$B$29,1)</f>
        <v>1</v>
      </c>
      <c r="AP31" s="933">
        <f>'Common HVAC References'!$B$33</f>
        <v>15</v>
      </c>
      <c r="AQ31" s="932" t="e">
        <f>IF(AND(AK31&gt;0,L31&gt;0),ROUND((I31*12)*((1/AK31)-(1/L31)),'Common HVAC References'!$B$36),0)</f>
        <v>#VALUE!</v>
      </c>
      <c r="AR31" s="931" t="e">
        <f>IF(AND(AK31&gt;0,L31&gt;0),ROUND((J31*I31*12)*((1/AK31)-(1/L31)),'Common HVAC References'!$B$36),0)</f>
        <v>#VALUE!</v>
      </c>
      <c r="AS31" s="931" t="e">
        <f>IF(AND(AJ31=0,AK31=0),0,IF(AJ31&gt;0,ROUND((I31*12)*((1/AJ31)-(1/K31))*AA31,'Common HVAC References'!$B$39),ROUND((I31*12)*((1/AK31)-(1/L31))*AA31,'Common HVAC References'!$B$39)))</f>
        <v>#VALUE!</v>
      </c>
      <c r="AT31" s="931" t="e">
        <f>AS31*'Common HVAC References'!$B$25</f>
        <v>#VALUE!</v>
      </c>
      <c r="AU31" s="931" t="e">
        <f t="shared" si="10"/>
        <v>#VALUE!</v>
      </c>
      <c r="AV31" s="932">
        <f>IF(AND(N31&gt;0,AM31&gt;0,N31&lt;&gt;""),ROUND((I31*12)*((1/(AM31))-(1/(N31))),'Common HVAC References'!$B$36),IF(AND(M31&gt;0,AL31&gt;0,M31&lt;&gt;""),ROUND((I31*12)*(1/(AL31/3.412))-(1/(M31/3.412)),'Common HVAC References'!$B$36),IF(AND(N31&gt;0,N31&lt;&gt;""),ROUND((I31*12)*-(1/(N31/3.412)),'Common HVAC References'!$B$36),IF(AND(M31&gt;0,M31&lt;&gt;""),ROUND((I31*12)*-(1/(M31/3.412)),'Common HVAC References'!$B$36),0))))</f>
        <v>0</v>
      </c>
      <c r="AW31" s="931" t="e">
        <f t="shared" si="11"/>
        <v>#VALUE!</v>
      </c>
      <c r="AX31" s="931" t="e">
        <f>ROUND(AU31*AN31*AP31,'Common HVAC References'!$B$39)</f>
        <v>#VALUE!</v>
      </c>
      <c r="AY31" s="931" t="e">
        <f>IF(AND(AL31&gt;0,M31&gt;0),ROUND((I31*12)*((1/AL31)-(1/M31))*AB31*AO31,'Common HVAC References'!$B$39),IF(AND(AM31&gt;0,N31&gt;0),ROUND((I31*12)*((1/AM31)-(1/N31))*AB31*AO31/3.413,'Common HVAC References'!$B$39),0))</f>
        <v>#VALUE!</v>
      </c>
      <c r="AZ31" s="931">
        <f>IF(AND(OR($AI31="Existing Gas",$AI31="Existing Oil",$AI31="Existing Propane",$AI31="Baseline New Construction"),RIGHT(C31,10)="Heat Pumps"),IF(AND(M31&gt;0,M31&lt;&gt;""),ROUND(((I31*12)*((1/M31))*AB31*AO31)-AX31,'Common HVAC References'!$B$39),IF(AND(N31&gt;0,N31&lt;&gt;""),ROUND(((I31*12)*((1/N31))*AB31*AO31/3.412)-AX31,'Common HVAC References'!$B$39),0)),0)</f>
        <v>0</v>
      </c>
      <c r="BA31" s="931" t="e">
        <f>(AY31*'Common HVAC References'!$B$25)-(AZ31*'Common HVAC References'!$B$25)</f>
        <v>#VALUE!</v>
      </c>
      <c r="BB31" s="931" t="e">
        <f t="shared" si="12"/>
        <v>#VALUE!</v>
      </c>
      <c r="BC31" s="931" t="e">
        <f t="shared" si="13"/>
        <v>#VALUE!</v>
      </c>
      <c r="BD31" s="929" t="e">
        <f t="shared" si="25"/>
        <v>#VALUE!</v>
      </c>
      <c r="BE31" s="929" t="e">
        <f t="shared" si="14"/>
        <v>#VALUE!</v>
      </c>
      <c r="BF31" s="929" t="e">
        <f t="shared" si="15"/>
        <v>#VALUE!</v>
      </c>
      <c r="BG31" s="929" t="e">
        <f t="shared" si="16"/>
        <v>#VALUE!</v>
      </c>
      <c r="BH31" s="929" t="e">
        <f t="shared" si="17"/>
        <v>#VALUE!</v>
      </c>
      <c r="BI31" s="930" t="e">
        <f t="shared" si="18"/>
        <v>#VALUE!</v>
      </c>
      <c r="BJ31" s="929" t="e">
        <f t="shared" si="19"/>
        <v>#VALUE!</v>
      </c>
      <c r="BK31" s="929" t="e">
        <f t="shared" si="20"/>
        <v>#VALUE!</v>
      </c>
      <c r="BL31" s="972">
        <f t="shared" si="26"/>
        <v>0</v>
      </c>
      <c r="BM31" s="928">
        <f t="shared" si="21"/>
        <v>0</v>
      </c>
      <c r="BN31" s="926">
        <v>25</v>
      </c>
      <c r="BO31" s="971" t="str">
        <f t="shared" si="22"/>
        <v xml:space="preserve">  </v>
      </c>
      <c r="BP31" s="970" t="str">
        <f t="shared" si="23"/>
        <v/>
      </c>
      <c r="BQ31" s="927" t="str">
        <f t="shared" si="24"/>
        <v xml:space="preserve">   </v>
      </c>
      <c r="BR31" s="927" t="str">
        <f>IF(Y31="FAIL","",INDEX('Common HVAC References'!$AG$4:$AG$82,MATCH('Common HVAC Calculation'!BQ31,'Common HVAC References'!$AF$4:$AF$82,0)))</f>
        <v/>
      </c>
      <c r="BS31" s="969" t="e">
        <f>BK31*'Common HVAC References'!$F$137</f>
        <v>#VALUE!</v>
      </c>
      <c r="BT31" s="969" t="e">
        <f>-AZ31*'Common HVAC References'!$F$137+AU31*INDEX('Common HVAC References'!$F$134:$F$140,MATCH(IF(LEFT(AI31,8)="Baseline",LEFT(AI31,8),AI31),'Common HVAC References'!$D$134:$D$140,0))</f>
        <v>#VALUE!</v>
      </c>
    </row>
    <row r="34" spans="2:70">
      <c r="AR34" s="1026"/>
    </row>
    <row r="35" spans="2:70">
      <c r="B35" s="995"/>
      <c r="C35" s="893"/>
      <c r="D35" s="893"/>
      <c r="E35" s="893"/>
      <c r="F35" s="893"/>
      <c r="G35" s="893"/>
      <c r="H35" s="893"/>
      <c r="I35" s="893"/>
      <c r="J35" s="893"/>
      <c r="K35" s="996"/>
      <c r="L35" s="893"/>
      <c r="M35" s="893"/>
      <c r="N35" s="893"/>
      <c r="O35" s="893"/>
      <c r="P35" s="893"/>
      <c r="Q35" s="893"/>
      <c r="R35" s="893"/>
      <c r="S35" s="893"/>
      <c r="T35" s="893"/>
      <c r="U35" s="893"/>
      <c r="V35" s="893"/>
      <c r="W35" s="893"/>
      <c r="X35" s="893"/>
      <c r="Y35" s="893"/>
      <c r="Z35" s="893"/>
      <c r="AA35" s="893"/>
      <c r="AB35" s="893"/>
      <c r="AC35" s="893"/>
      <c r="AD35" s="893"/>
      <c r="AE35" s="893"/>
      <c r="AF35" s="893"/>
      <c r="AG35" s="893"/>
      <c r="AH35" s="893"/>
      <c r="AI35" s="893"/>
      <c r="AJ35" s="893"/>
      <c r="AK35" s="893"/>
      <c r="AL35" s="893"/>
      <c r="AM35" s="893"/>
      <c r="AN35" s="893"/>
      <c r="AO35" s="893"/>
      <c r="AP35" s="893"/>
      <c r="AQ35" s="893"/>
      <c r="AR35" s="1027"/>
      <c r="AS35" s="893"/>
      <c r="AT35" s="893"/>
      <c r="AU35" s="893"/>
      <c r="AV35" s="893"/>
      <c r="AW35" s="893"/>
      <c r="AX35" s="893"/>
      <c r="AY35" s="893"/>
      <c r="AZ35" s="893"/>
      <c r="BA35" s="893"/>
      <c r="BB35" s="893"/>
      <c r="BC35" s="893"/>
      <c r="BD35" s="893"/>
      <c r="BE35" s="893"/>
      <c r="BF35" s="893"/>
      <c r="BG35" s="893"/>
      <c r="BH35" s="893"/>
      <c r="BI35" s="893"/>
      <c r="BJ35" s="893"/>
      <c r="BK35" s="893"/>
      <c r="BL35" s="893"/>
      <c r="BM35" s="893"/>
      <c r="BN35" s="893"/>
      <c r="BO35" s="893"/>
      <c r="BP35" s="893"/>
      <c r="BQ35" s="893"/>
      <c r="BR35" s="893"/>
    </row>
    <row r="36" spans="2:70">
      <c r="B36" s="893"/>
      <c r="C36" s="893"/>
      <c r="D36" s="893"/>
      <c r="E36" s="893"/>
      <c r="F36" s="893"/>
      <c r="G36" s="893"/>
      <c r="H36" s="893"/>
      <c r="I36" s="893"/>
      <c r="J36" s="893"/>
      <c r="K36" s="996"/>
      <c r="L36" s="893"/>
      <c r="M36" s="893"/>
      <c r="N36" s="893"/>
      <c r="O36" s="893"/>
      <c r="P36" s="893"/>
      <c r="Q36" s="893"/>
      <c r="R36" s="893"/>
      <c r="S36" s="893"/>
      <c r="T36" s="893"/>
      <c r="U36" s="893"/>
      <c r="V36" s="893"/>
      <c r="W36" s="893"/>
      <c r="X36" s="893"/>
      <c r="Y36" s="893"/>
      <c r="Z36" s="893"/>
      <c r="AA36" s="893"/>
      <c r="AB36" s="893"/>
      <c r="AC36" s="893"/>
      <c r="AD36" s="893"/>
      <c r="AE36" s="893"/>
      <c r="AF36" s="893"/>
      <c r="AG36" s="893"/>
      <c r="AH36" s="893"/>
      <c r="AI36" s="893"/>
      <c r="AJ36" s="893"/>
      <c r="AK36" s="893"/>
      <c r="AL36" s="893"/>
      <c r="AM36" s="893"/>
      <c r="AN36" s="893"/>
      <c r="AO36" s="893"/>
      <c r="AP36" s="893"/>
      <c r="AQ36" s="893"/>
      <c r="AR36" s="893"/>
      <c r="AS36" s="893"/>
      <c r="AT36" s="893"/>
      <c r="AU36" s="893"/>
      <c r="AV36" s="893"/>
      <c r="AW36" s="893"/>
      <c r="AX36" s="893"/>
      <c r="AY36" s="893"/>
      <c r="AZ36" s="893"/>
      <c r="BA36" s="893"/>
      <c r="BB36" s="893"/>
      <c r="BC36" s="893"/>
      <c r="BD36" s="893"/>
      <c r="BE36" s="893"/>
      <c r="BF36" s="893"/>
      <c r="BG36" s="893"/>
      <c r="BH36" s="893"/>
      <c r="BI36" s="893"/>
      <c r="BJ36" s="893"/>
      <c r="BK36" s="893"/>
      <c r="BL36" s="893"/>
      <c r="BM36" s="893"/>
      <c r="BN36" s="893"/>
      <c r="BO36" s="893"/>
      <c r="BP36" s="893"/>
      <c r="BQ36" s="893"/>
      <c r="BR36" s="893"/>
    </row>
    <row r="37" spans="2:70">
      <c r="B37" s="893"/>
      <c r="C37" s="997"/>
      <c r="D37" s="998"/>
      <c r="E37" s="997"/>
      <c r="F37" s="2797"/>
      <c r="G37" s="2797"/>
      <c r="H37" s="998"/>
      <c r="I37" s="997"/>
      <c r="J37" s="997"/>
      <c r="K37" s="998"/>
      <c r="L37" s="999"/>
      <c r="M37" s="999"/>
      <c r="N37" s="999"/>
      <c r="O37" s="999"/>
      <c r="P37" s="999"/>
      <c r="Q37" s="999"/>
      <c r="R37" s="999"/>
      <c r="S37" s="999"/>
      <c r="T37" s="999"/>
      <c r="U37" s="999"/>
      <c r="V37" s="999"/>
      <c r="W37" s="999"/>
      <c r="X37" s="999"/>
      <c r="Y37" s="999"/>
      <c r="Z37" s="999"/>
      <c r="AA37" s="999"/>
      <c r="AB37" s="999"/>
      <c r="AC37" s="999"/>
      <c r="AD37" s="999"/>
      <c r="AE37" s="999"/>
      <c r="AF37" s="999"/>
      <c r="AG37" s="996"/>
      <c r="AH37" s="1000"/>
      <c r="AI37" s="2800"/>
      <c r="AJ37" s="2800"/>
      <c r="AK37" s="2796"/>
      <c r="AL37" s="2796"/>
      <c r="AM37" s="2796"/>
      <c r="AN37" s="2796"/>
      <c r="AO37" s="2796"/>
      <c r="AP37" s="999"/>
      <c r="AQ37" s="1001"/>
      <c r="AR37" s="1001"/>
      <c r="AS37" s="1001"/>
      <c r="AT37" s="1001"/>
      <c r="AU37" s="1001"/>
      <c r="AV37" s="1002"/>
      <c r="AW37" s="1002"/>
      <c r="AX37" s="1001"/>
      <c r="AY37" s="1001"/>
      <c r="AZ37" s="1002"/>
      <c r="BA37" s="1002"/>
      <c r="BB37" s="1001"/>
      <c r="BC37" s="1001"/>
      <c r="BD37" s="1001"/>
      <c r="BE37" s="1001"/>
      <c r="BF37" s="1001"/>
      <c r="BG37" s="1001"/>
      <c r="BH37" s="1001"/>
      <c r="BI37" s="1001"/>
      <c r="BJ37" s="999"/>
      <c r="BK37" s="1001"/>
      <c r="BL37" s="1001"/>
      <c r="BM37" s="893"/>
      <c r="BN37" s="893"/>
      <c r="BO37" s="998"/>
      <c r="BP37" s="998"/>
      <c r="BQ37" s="998"/>
      <c r="BR37" s="998"/>
    </row>
    <row r="38" spans="2:70">
      <c r="B38" s="893"/>
      <c r="C38" s="1001"/>
      <c r="D38" s="1001"/>
      <c r="E38" s="1001"/>
      <c r="F38" s="2797"/>
      <c r="G38" s="2797"/>
      <c r="H38" s="1001"/>
      <c r="I38" s="1001"/>
      <c r="J38" s="1001"/>
      <c r="K38" s="1001"/>
      <c r="L38" s="1001"/>
      <c r="M38" s="1001"/>
      <c r="N38" s="1001"/>
      <c r="O38" s="1001"/>
      <c r="P38" s="1001"/>
      <c r="Q38" s="1001"/>
      <c r="R38" s="1001"/>
      <c r="S38" s="1001"/>
      <c r="T38" s="1001"/>
      <c r="U38" s="1001"/>
      <c r="V38" s="1001"/>
      <c r="W38" s="1001"/>
      <c r="X38" s="1001"/>
      <c r="Y38" s="1001"/>
      <c r="Z38" s="1001"/>
      <c r="AA38" s="1001"/>
      <c r="AB38" s="1001"/>
      <c r="AC38" s="1001"/>
      <c r="AD38" s="1001"/>
      <c r="AE38" s="1001"/>
      <c r="AF38" s="1001"/>
      <c r="AG38" s="996"/>
      <c r="AH38" s="1000"/>
      <c r="AI38" s="1000"/>
      <c r="AJ38" s="1000"/>
      <c r="AK38" s="1001"/>
      <c r="AL38" s="1001"/>
      <c r="AM38" s="1001"/>
      <c r="AN38" s="1001"/>
      <c r="AO38" s="1001"/>
      <c r="AP38" s="1001"/>
      <c r="AQ38" s="1001"/>
      <c r="AR38" s="1001"/>
      <c r="AS38" s="1001"/>
      <c r="AT38" s="1001"/>
      <c r="AU38" s="1001"/>
      <c r="AV38" s="1001"/>
      <c r="AW38" s="1001"/>
      <c r="AX38" s="1001"/>
      <c r="AY38" s="1001"/>
      <c r="AZ38" s="1001"/>
      <c r="BA38" s="1001"/>
      <c r="BB38" s="1001"/>
      <c r="BC38" s="1001"/>
      <c r="BD38" s="1001"/>
      <c r="BE38" s="1001"/>
      <c r="BF38" s="1001"/>
      <c r="BG38" s="1001"/>
      <c r="BH38" s="1001"/>
      <c r="BI38" s="1001"/>
      <c r="BJ38" s="1001"/>
      <c r="BK38" s="1001"/>
      <c r="BL38" s="1001"/>
      <c r="BM38" s="893"/>
      <c r="BN38" s="893"/>
      <c r="BO38" s="1001"/>
      <c r="BP38" s="1001"/>
      <c r="BQ38" s="1001"/>
      <c r="BR38" s="1001"/>
    </row>
    <row r="39" spans="2:70">
      <c r="B39" s="893"/>
      <c r="C39" s="1003"/>
      <c r="D39" s="1003"/>
      <c r="E39" s="1003"/>
      <c r="F39" s="1003"/>
      <c r="G39" s="1003"/>
      <c r="H39" s="1004"/>
      <c r="I39" s="1003"/>
      <c r="J39" s="1003"/>
      <c r="K39" s="1003"/>
      <c r="L39" s="1003"/>
      <c r="M39" s="1003"/>
      <c r="N39" s="1003"/>
      <c r="O39" s="1003"/>
      <c r="P39" s="1003"/>
      <c r="Q39" s="1003"/>
      <c r="R39" s="1003"/>
      <c r="S39" s="1003"/>
      <c r="T39" s="1003"/>
      <c r="U39" s="1003"/>
      <c r="V39" s="1003"/>
      <c r="W39" s="1003"/>
      <c r="X39" s="1003"/>
      <c r="Y39" s="1003"/>
      <c r="Z39" s="1003"/>
      <c r="AA39" s="1003"/>
      <c r="AB39" s="1003"/>
      <c r="AC39" s="1003"/>
      <c r="AD39" s="1003"/>
      <c r="AE39" s="1003"/>
      <c r="AF39" s="1003"/>
      <c r="AG39" s="1005"/>
      <c r="AH39" s="995"/>
      <c r="AI39" s="995"/>
      <c r="AJ39" s="995"/>
      <c r="AK39" s="1003"/>
      <c r="AL39" s="1003"/>
      <c r="AM39" s="1003"/>
      <c r="AN39" s="1003"/>
      <c r="AO39" s="1003"/>
      <c r="AP39" s="1003"/>
      <c r="AQ39" s="1003"/>
      <c r="AR39" s="1003"/>
      <c r="AS39" s="1006"/>
      <c r="AT39" s="1006"/>
      <c r="AU39" s="1006"/>
      <c r="AV39" s="1006"/>
      <c r="AW39" s="1006"/>
      <c r="AX39" s="1006"/>
      <c r="AY39" s="1006"/>
      <c r="AZ39" s="1006"/>
      <c r="BA39" s="1006"/>
      <c r="BB39" s="1006"/>
      <c r="BC39" s="1007"/>
      <c r="BD39" s="1007"/>
      <c r="BE39" s="1007"/>
      <c r="BF39" s="1007"/>
      <c r="BG39" s="1007"/>
      <c r="BH39" s="1007"/>
      <c r="BI39" s="1007"/>
      <c r="BJ39" s="1003"/>
      <c r="BK39" s="1003"/>
      <c r="BL39" s="1003"/>
      <c r="BM39" s="893"/>
      <c r="BN39" s="893"/>
      <c r="BO39" s="1004"/>
      <c r="BP39" s="1004"/>
      <c r="BQ39" s="1004"/>
      <c r="BR39" s="1004"/>
    </row>
    <row r="40" spans="2:70">
      <c r="B40" s="893"/>
      <c r="C40" s="1008"/>
      <c r="D40" s="1008"/>
      <c r="E40" s="1008"/>
      <c r="F40" s="1008"/>
      <c r="G40" s="1008"/>
      <c r="H40" s="1009"/>
      <c r="I40" s="1008"/>
      <c r="J40" s="1008"/>
      <c r="K40" s="1010"/>
      <c r="L40" s="1008"/>
      <c r="M40" s="1008"/>
      <c r="N40" s="1008"/>
      <c r="O40" s="1008"/>
      <c r="P40" s="1008"/>
      <c r="Q40" s="1008"/>
      <c r="R40" s="1008"/>
      <c r="S40" s="1008"/>
      <c r="T40" s="1008"/>
      <c r="U40" s="1008"/>
      <c r="V40" s="1008"/>
      <c r="W40" s="1008"/>
      <c r="X40" s="1008"/>
      <c r="Y40" s="1011"/>
      <c r="Z40" s="1011"/>
      <c r="AA40" s="1008"/>
      <c r="AB40" s="1008"/>
      <c r="AC40" s="1011"/>
      <c r="AD40" s="1011"/>
      <c r="AE40" s="1011"/>
      <c r="AF40" s="1008"/>
      <c r="AG40" s="893"/>
      <c r="AH40" s="1012"/>
      <c r="AI40" s="1012"/>
      <c r="AJ40" s="1012"/>
      <c r="AK40" s="1007"/>
      <c r="AL40" s="1007"/>
      <c r="AM40" s="1007"/>
      <c r="AN40" s="1007"/>
      <c r="AO40" s="1013"/>
      <c r="AP40" s="1013"/>
      <c r="AQ40" s="1013"/>
      <c r="AR40" s="1006"/>
      <c r="AS40" s="1006"/>
      <c r="AT40" s="1006"/>
      <c r="AU40" s="1006"/>
      <c r="AV40" s="1006"/>
      <c r="AW40" s="1006"/>
      <c r="AX40" s="1006"/>
      <c r="AY40" s="1006"/>
      <c r="AZ40" s="1006"/>
      <c r="BA40" s="1006"/>
      <c r="BB40" s="1006"/>
      <c r="BC40" s="1007"/>
      <c r="BD40" s="1007"/>
      <c r="BE40" s="1007"/>
      <c r="BF40" s="1007"/>
      <c r="BG40" s="1007"/>
      <c r="BH40" s="1007"/>
      <c r="BI40" s="1007"/>
      <c r="BJ40" s="1014"/>
      <c r="BK40" s="1015"/>
      <c r="BL40" s="1014"/>
      <c r="BM40" s="893"/>
      <c r="BN40" s="893"/>
      <c r="BO40" s="1009"/>
      <c r="BP40" s="1012"/>
      <c r="BQ40" s="1012"/>
      <c r="BR40" s="1012"/>
    </row>
    <row r="41" spans="2:70">
      <c r="B41" s="893"/>
      <c r="C41" s="1008"/>
      <c r="D41" s="1008"/>
      <c r="E41" s="1008"/>
      <c r="F41" s="1008"/>
      <c r="G41" s="1008"/>
      <c r="H41" s="1009"/>
      <c r="I41" s="1008"/>
      <c r="J41" s="1008"/>
      <c r="K41" s="1010"/>
      <c r="L41" s="1008"/>
      <c r="M41" s="1008"/>
      <c r="N41" s="1008"/>
      <c r="O41" s="1008"/>
      <c r="P41" s="1008"/>
      <c r="Q41" s="1008"/>
      <c r="R41" s="1008"/>
      <c r="S41" s="1008"/>
      <c r="T41" s="1008"/>
      <c r="U41" s="1008"/>
      <c r="V41" s="1008"/>
      <c r="W41" s="1008"/>
      <c r="X41" s="1008"/>
      <c r="Y41" s="1011"/>
      <c r="Z41" s="1011"/>
      <c r="AA41" s="1008"/>
      <c r="AB41" s="1008"/>
      <c r="AC41" s="1011"/>
      <c r="AD41" s="1011"/>
      <c r="AE41" s="1011"/>
      <c r="AF41" s="1008"/>
      <c r="AG41" s="996"/>
      <c r="AH41" s="1012"/>
      <c r="AI41" s="1012"/>
      <c r="AJ41" s="1012"/>
      <c r="AK41" s="1007"/>
      <c r="AL41" s="1007"/>
      <c r="AM41" s="1007"/>
      <c r="AN41" s="1007"/>
      <c r="AO41" s="1013"/>
      <c r="AP41" s="1013"/>
      <c r="AQ41" s="1013"/>
      <c r="AR41" s="1006"/>
      <c r="AS41" s="1006"/>
      <c r="AT41" s="1006"/>
      <c r="AU41" s="1006"/>
      <c r="AV41" s="1006"/>
      <c r="AW41" s="1006"/>
      <c r="AX41" s="1006"/>
      <c r="AY41" s="1006"/>
      <c r="AZ41" s="1006"/>
      <c r="BA41" s="1006"/>
      <c r="BB41" s="1006"/>
      <c r="BC41" s="1007"/>
      <c r="BD41" s="1007"/>
      <c r="BE41" s="1007"/>
      <c r="BF41" s="1007"/>
      <c r="BG41" s="1007"/>
      <c r="BH41" s="1007"/>
      <c r="BI41" s="1007"/>
      <c r="BJ41" s="1014"/>
      <c r="BK41" s="1015"/>
      <c r="BL41" s="1014"/>
      <c r="BM41" s="893"/>
      <c r="BN41" s="893"/>
      <c r="BO41" s="1009"/>
      <c r="BP41" s="1012"/>
      <c r="BQ41" s="1012"/>
      <c r="BR41" s="1012"/>
    </row>
    <row r="42" spans="2:70">
      <c r="B42" s="893"/>
      <c r="C42" s="1008"/>
      <c r="D42" s="1008"/>
      <c r="E42" s="1008"/>
      <c r="F42" s="1008"/>
      <c r="G42" s="1008"/>
      <c r="H42" s="1009"/>
      <c r="I42" s="1008"/>
      <c r="J42" s="1008"/>
      <c r="K42" s="1010"/>
      <c r="L42" s="1008"/>
      <c r="M42" s="1008"/>
      <c r="N42" s="1008"/>
      <c r="O42" s="1008"/>
      <c r="P42" s="1008"/>
      <c r="Q42" s="1008"/>
      <c r="R42" s="1008"/>
      <c r="S42" s="1008"/>
      <c r="T42" s="1008"/>
      <c r="U42" s="1008"/>
      <c r="V42" s="1008"/>
      <c r="W42" s="1008"/>
      <c r="X42" s="1008"/>
      <c r="Y42" s="1011"/>
      <c r="Z42" s="1011"/>
      <c r="AA42" s="1008"/>
      <c r="AB42" s="1008"/>
      <c r="AC42" s="1011"/>
      <c r="AD42" s="1011"/>
      <c r="AE42" s="1011"/>
      <c r="AF42" s="1008"/>
      <c r="AG42" s="996"/>
      <c r="AH42" s="1012"/>
      <c r="AI42" s="1012"/>
      <c r="AJ42" s="1012"/>
      <c r="AK42" s="1007"/>
      <c r="AL42" s="1007"/>
      <c r="AM42" s="1007"/>
      <c r="AN42" s="1007"/>
      <c r="AO42" s="1013"/>
      <c r="AP42" s="1013"/>
      <c r="AQ42" s="1013"/>
      <c r="AR42" s="1006"/>
      <c r="AS42" s="1006"/>
      <c r="AT42" s="1006"/>
      <c r="AU42" s="1006"/>
      <c r="AV42" s="1006"/>
      <c r="AW42" s="1006"/>
      <c r="AX42" s="1006"/>
      <c r="AY42" s="1006"/>
      <c r="AZ42" s="1006"/>
      <c r="BA42" s="1006"/>
      <c r="BB42" s="1006"/>
      <c r="BC42" s="1007"/>
      <c r="BD42" s="1007"/>
      <c r="BE42" s="1007"/>
      <c r="BF42" s="1007"/>
      <c r="BG42" s="1007"/>
      <c r="BH42" s="1007"/>
      <c r="BI42" s="1007"/>
      <c r="BJ42" s="1014"/>
      <c r="BK42" s="1015"/>
      <c r="BL42" s="1014"/>
      <c r="BM42" s="893"/>
      <c r="BN42" s="893"/>
      <c r="BO42" s="1009"/>
      <c r="BP42" s="1012"/>
      <c r="BQ42" s="1012"/>
      <c r="BR42" s="1012"/>
    </row>
    <row r="43" spans="2:70">
      <c r="B43" s="893"/>
      <c r="C43" s="1008"/>
      <c r="D43" s="1008"/>
      <c r="E43" s="1008"/>
      <c r="F43" s="1008"/>
      <c r="G43" s="1008"/>
      <c r="H43" s="1009"/>
      <c r="I43" s="1008"/>
      <c r="J43" s="1008"/>
      <c r="K43" s="1010"/>
      <c r="L43" s="1008"/>
      <c r="M43" s="1008"/>
      <c r="N43" s="1008"/>
      <c r="O43" s="1008"/>
      <c r="P43" s="1008"/>
      <c r="Q43" s="1008"/>
      <c r="R43" s="1008"/>
      <c r="S43" s="1008"/>
      <c r="T43" s="1008"/>
      <c r="U43" s="1008"/>
      <c r="V43" s="1008"/>
      <c r="W43" s="1008"/>
      <c r="X43" s="1008"/>
      <c r="Y43" s="1011"/>
      <c r="Z43" s="1011"/>
      <c r="AA43" s="1008"/>
      <c r="AB43" s="1008"/>
      <c r="AC43" s="1011"/>
      <c r="AD43" s="1011"/>
      <c r="AE43" s="1011"/>
      <c r="AF43" s="1008"/>
      <c r="AG43" s="996"/>
      <c r="AH43" s="1012"/>
      <c r="AI43" s="1012"/>
      <c r="AJ43" s="1012"/>
      <c r="AK43" s="1007"/>
      <c r="AL43" s="1007"/>
      <c r="AM43" s="1007"/>
      <c r="AN43" s="1007"/>
      <c r="AO43" s="1013"/>
      <c r="AP43" s="1013"/>
      <c r="AQ43" s="1013"/>
      <c r="AR43" s="1006"/>
      <c r="AS43" s="1006"/>
      <c r="AT43" s="1006"/>
      <c r="AU43" s="1006"/>
      <c r="AV43" s="1006"/>
      <c r="AW43" s="1006"/>
      <c r="AX43" s="1006"/>
      <c r="AY43" s="1006"/>
      <c r="AZ43" s="1006"/>
      <c r="BA43" s="1006"/>
      <c r="BB43" s="1006"/>
      <c r="BC43" s="1007"/>
      <c r="BD43" s="1007"/>
      <c r="BE43" s="1007"/>
      <c r="BF43" s="1007"/>
      <c r="BG43" s="1007"/>
      <c r="BH43" s="1007"/>
      <c r="BI43" s="1007"/>
      <c r="BJ43" s="1014"/>
      <c r="BK43" s="1015"/>
      <c r="BL43" s="1014"/>
      <c r="BM43" s="893"/>
      <c r="BN43" s="893"/>
      <c r="BO43" s="1009"/>
      <c r="BP43" s="1012"/>
      <c r="BQ43" s="1012"/>
      <c r="BR43" s="1012"/>
    </row>
    <row r="44" spans="2:70">
      <c r="B44" s="893"/>
      <c r="C44" s="1008"/>
      <c r="D44" s="1008"/>
      <c r="E44" s="1008"/>
      <c r="F44" s="1008"/>
      <c r="G44" s="1008"/>
      <c r="H44" s="1009"/>
      <c r="I44" s="1008"/>
      <c r="J44" s="1008"/>
      <c r="K44" s="1010"/>
      <c r="L44" s="1008"/>
      <c r="M44" s="1008"/>
      <c r="N44" s="1008"/>
      <c r="O44" s="1008"/>
      <c r="P44" s="1008"/>
      <c r="Q44" s="1008"/>
      <c r="R44" s="1008"/>
      <c r="S44" s="1008"/>
      <c r="T44" s="1008"/>
      <c r="U44" s="1008"/>
      <c r="V44" s="1008"/>
      <c r="W44" s="1008"/>
      <c r="X44" s="1008"/>
      <c r="Y44" s="1011"/>
      <c r="Z44" s="1011"/>
      <c r="AA44" s="1008"/>
      <c r="AB44" s="1008"/>
      <c r="AC44" s="1011"/>
      <c r="AD44" s="1011"/>
      <c r="AE44" s="1011"/>
      <c r="AF44" s="1008"/>
      <c r="AG44" s="996"/>
      <c r="AH44" s="1012"/>
      <c r="AI44" s="1012"/>
      <c r="AJ44" s="1012"/>
      <c r="AK44" s="1007"/>
      <c r="AL44" s="1007"/>
      <c r="AM44" s="1007"/>
      <c r="AN44" s="1007"/>
      <c r="AO44" s="1013"/>
      <c r="AP44" s="1013"/>
      <c r="AQ44" s="1013"/>
      <c r="AR44" s="1006"/>
      <c r="AS44" s="1006"/>
      <c r="AT44" s="1006"/>
      <c r="AU44" s="1006"/>
      <c r="AV44" s="1006"/>
      <c r="AW44" s="1006"/>
      <c r="AX44" s="1006"/>
      <c r="AY44" s="1006"/>
      <c r="AZ44" s="1006"/>
      <c r="BA44" s="1006"/>
      <c r="BB44" s="1006"/>
      <c r="BC44" s="1007"/>
      <c r="BD44" s="1007"/>
      <c r="BE44" s="1007"/>
      <c r="BF44" s="1007"/>
      <c r="BG44" s="1007"/>
      <c r="BH44" s="1007"/>
      <c r="BI44" s="1007"/>
      <c r="BJ44" s="1014"/>
      <c r="BK44" s="1015"/>
      <c r="BL44" s="1014"/>
      <c r="BM44" s="893"/>
      <c r="BN44" s="893"/>
      <c r="BO44" s="1009"/>
      <c r="BP44" s="1012"/>
      <c r="BQ44" s="1012"/>
      <c r="BR44" s="1012"/>
    </row>
    <row r="45" spans="2:70">
      <c r="B45" s="893"/>
      <c r="C45" s="1008"/>
      <c r="D45" s="1008"/>
      <c r="E45" s="1008"/>
      <c r="F45" s="1008"/>
      <c r="G45" s="1008"/>
      <c r="H45" s="1009"/>
      <c r="I45" s="1008"/>
      <c r="J45" s="1008"/>
      <c r="K45" s="1010"/>
      <c r="L45" s="1008"/>
      <c r="M45" s="1008"/>
      <c r="N45" s="1008"/>
      <c r="O45" s="1008"/>
      <c r="P45" s="1008"/>
      <c r="Q45" s="1008"/>
      <c r="R45" s="1008"/>
      <c r="S45" s="1008"/>
      <c r="T45" s="1008"/>
      <c r="U45" s="1008"/>
      <c r="V45" s="1008"/>
      <c r="W45" s="1008"/>
      <c r="X45" s="1008"/>
      <c r="Y45" s="1011"/>
      <c r="Z45" s="1011"/>
      <c r="AA45" s="1008"/>
      <c r="AB45" s="1008"/>
      <c r="AC45" s="1011"/>
      <c r="AD45" s="1011"/>
      <c r="AE45" s="1011"/>
      <c r="AF45" s="1008"/>
      <c r="AG45" s="996"/>
      <c r="AH45" s="1012"/>
      <c r="AI45" s="1012"/>
      <c r="AJ45" s="1012"/>
      <c r="AK45" s="1007"/>
      <c r="AL45" s="1007"/>
      <c r="AM45" s="1007"/>
      <c r="AN45" s="1007"/>
      <c r="AO45" s="1013"/>
      <c r="AP45" s="1013"/>
      <c r="AQ45" s="1013"/>
      <c r="AR45" s="1006"/>
      <c r="AS45" s="1006"/>
      <c r="AT45" s="1006"/>
      <c r="AU45" s="1006"/>
      <c r="AV45" s="1006"/>
      <c r="AW45" s="1006"/>
      <c r="AX45" s="1006"/>
      <c r="AY45" s="1006"/>
      <c r="AZ45" s="1006"/>
      <c r="BA45" s="1006"/>
      <c r="BB45" s="1006"/>
      <c r="BC45" s="1007"/>
      <c r="BD45" s="1007"/>
      <c r="BE45" s="1007"/>
      <c r="BF45" s="1007"/>
      <c r="BG45" s="1007"/>
      <c r="BH45" s="1007"/>
      <c r="BI45" s="1007"/>
      <c r="BJ45" s="1014"/>
      <c r="BK45" s="1015"/>
      <c r="BL45" s="1014"/>
      <c r="BM45" s="893"/>
      <c r="BN45" s="893"/>
      <c r="BO45" s="1009"/>
      <c r="BP45" s="1012"/>
      <c r="BQ45" s="1012"/>
      <c r="BR45" s="1012"/>
    </row>
    <row r="46" spans="2:70">
      <c r="B46" s="893"/>
      <c r="C46" s="1008"/>
      <c r="D46" s="1008"/>
      <c r="E46" s="1008"/>
      <c r="F46" s="1008"/>
      <c r="G46" s="1008"/>
      <c r="H46" s="1009"/>
      <c r="I46" s="1008"/>
      <c r="J46" s="1008"/>
      <c r="K46" s="1010"/>
      <c r="L46" s="1008"/>
      <c r="M46" s="1008"/>
      <c r="N46" s="1008"/>
      <c r="O46" s="1008"/>
      <c r="P46" s="1008"/>
      <c r="Q46" s="1008"/>
      <c r="R46" s="1008"/>
      <c r="S46" s="1008"/>
      <c r="T46" s="1008"/>
      <c r="U46" s="1008"/>
      <c r="V46" s="1008"/>
      <c r="W46" s="1008"/>
      <c r="X46" s="1008"/>
      <c r="Y46" s="1011"/>
      <c r="Z46" s="1011"/>
      <c r="AA46" s="1008"/>
      <c r="AB46" s="1008"/>
      <c r="AC46" s="1011"/>
      <c r="AD46" s="1011"/>
      <c r="AE46" s="1011"/>
      <c r="AF46" s="1008"/>
      <c r="AG46" s="996"/>
      <c r="AH46" s="1012"/>
      <c r="AI46" s="1012"/>
      <c r="AJ46" s="1012"/>
      <c r="AK46" s="1007"/>
      <c r="AL46" s="1007"/>
      <c r="AM46" s="1007"/>
      <c r="AN46" s="1007"/>
      <c r="AO46" s="1013"/>
      <c r="AP46" s="1013"/>
      <c r="AQ46" s="1013"/>
      <c r="AR46" s="1006"/>
      <c r="AS46" s="1006"/>
      <c r="AT46" s="1006"/>
      <c r="AU46" s="1006"/>
      <c r="AV46" s="1006"/>
      <c r="AW46" s="1006"/>
      <c r="AX46" s="1006"/>
      <c r="AY46" s="1006"/>
      <c r="AZ46" s="1006"/>
      <c r="BA46" s="1006"/>
      <c r="BB46" s="1006"/>
      <c r="BC46" s="1007"/>
      <c r="BD46" s="1007"/>
      <c r="BE46" s="1007"/>
      <c r="BF46" s="1007"/>
      <c r="BG46" s="1007"/>
      <c r="BH46" s="1007"/>
      <c r="BI46" s="1007"/>
      <c r="BJ46" s="1014"/>
      <c r="BK46" s="1015"/>
      <c r="BL46" s="1014"/>
      <c r="BM46" s="893"/>
      <c r="BN46" s="893"/>
      <c r="BO46" s="1009"/>
      <c r="BP46" s="1012"/>
      <c r="BQ46" s="1012"/>
      <c r="BR46" s="1012"/>
    </row>
    <row r="47" spans="2:70">
      <c r="B47" s="893"/>
      <c r="C47" s="1008"/>
      <c r="D47" s="1008"/>
      <c r="E47" s="1008"/>
      <c r="F47" s="1008"/>
      <c r="G47" s="1008"/>
      <c r="H47" s="1009"/>
      <c r="I47" s="1008"/>
      <c r="J47" s="1008"/>
      <c r="K47" s="1010"/>
      <c r="L47" s="1008"/>
      <c r="M47" s="1008"/>
      <c r="N47" s="1008"/>
      <c r="O47" s="1008"/>
      <c r="P47" s="1008"/>
      <c r="Q47" s="1008"/>
      <c r="R47" s="1008"/>
      <c r="S47" s="1008"/>
      <c r="T47" s="1008"/>
      <c r="U47" s="1008"/>
      <c r="V47" s="1008"/>
      <c r="W47" s="1008"/>
      <c r="X47" s="1008"/>
      <c r="Y47" s="1011"/>
      <c r="Z47" s="1011"/>
      <c r="AA47" s="1008"/>
      <c r="AB47" s="1008"/>
      <c r="AC47" s="1011"/>
      <c r="AD47" s="1011"/>
      <c r="AE47" s="1011"/>
      <c r="AF47" s="1008"/>
      <c r="AG47" s="996"/>
      <c r="AH47" s="1012"/>
      <c r="AI47" s="1012"/>
      <c r="AJ47" s="1012"/>
      <c r="AK47" s="1007"/>
      <c r="AL47" s="1007"/>
      <c r="AM47" s="1007"/>
      <c r="AN47" s="1007"/>
      <c r="AO47" s="1013"/>
      <c r="AP47" s="1013"/>
      <c r="AQ47" s="1013"/>
      <c r="AR47" s="1006"/>
      <c r="AS47" s="1006"/>
      <c r="AT47" s="1006"/>
      <c r="AU47" s="1006"/>
      <c r="AV47" s="1006"/>
      <c r="AW47" s="1006"/>
      <c r="AX47" s="1006"/>
      <c r="AY47" s="1006"/>
      <c r="AZ47" s="1006"/>
      <c r="BA47" s="1006"/>
      <c r="BB47" s="1006"/>
      <c r="BC47" s="1007"/>
      <c r="BD47" s="1007"/>
      <c r="BE47" s="1007"/>
      <c r="BF47" s="1007"/>
      <c r="BG47" s="1007"/>
      <c r="BH47" s="1007"/>
      <c r="BI47" s="1007"/>
      <c r="BJ47" s="1014"/>
      <c r="BK47" s="1015"/>
      <c r="BL47" s="1014"/>
      <c r="BM47" s="893"/>
      <c r="BN47" s="893"/>
      <c r="BO47" s="1009"/>
      <c r="BP47" s="1012"/>
      <c r="BQ47" s="1012"/>
      <c r="BR47" s="1012"/>
    </row>
    <row r="48" spans="2:70">
      <c r="B48" s="893"/>
      <c r="C48" s="1008"/>
      <c r="D48" s="1008"/>
      <c r="E48" s="1008"/>
      <c r="F48" s="1008"/>
      <c r="G48" s="1008"/>
      <c r="H48" s="1009"/>
      <c r="I48" s="1008"/>
      <c r="J48" s="1008"/>
      <c r="K48" s="1010"/>
      <c r="L48" s="1008"/>
      <c r="M48" s="1008"/>
      <c r="N48" s="1008"/>
      <c r="O48" s="1008"/>
      <c r="P48" s="1008"/>
      <c r="Q48" s="1008"/>
      <c r="R48" s="1008"/>
      <c r="S48" s="1008"/>
      <c r="T48" s="1008"/>
      <c r="U48" s="1008"/>
      <c r="V48" s="1008"/>
      <c r="W48" s="1008"/>
      <c r="X48" s="1008"/>
      <c r="Y48" s="1011"/>
      <c r="Z48" s="1011"/>
      <c r="AA48" s="1008"/>
      <c r="AB48" s="1008"/>
      <c r="AC48" s="1011"/>
      <c r="AD48" s="1011"/>
      <c r="AE48" s="1011"/>
      <c r="AF48" s="1008"/>
      <c r="AG48" s="996"/>
      <c r="AH48" s="1012"/>
      <c r="AI48" s="1012"/>
      <c r="AJ48" s="1012"/>
      <c r="AK48" s="1007"/>
      <c r="AL48" s="1007"/>
      <c r="AM48" s="1007"/>
      <c r="AN48" s="1007"/>
      <c r="AO48" s="1013"/>
      <c r="AP48" s="1013"/>
      <c r="AQ48" s="1013"/>
      <c r="AR48" s="1006"/>
      <c r="AS48" s="1006"/>
      <c r="AT48" s="1006"/>
      <c r="AU48" s="1006"/>
      <c r="AV48" s="1006"/>
      <c r="AW48" s="1006"/>
      <c r="AX48" s="1006"/>
      <c r="AY48" s="1006"/>
      <c r="AZ48" s="1006"/>
      <c r="BA48" s="1006"/>
      <c r="BB48" s="1006"/>
      <c r="BC48" s="1007"/>
      <c r="BD48" s="1007"/>
      <c r="BE48" s="1007"/>
      <c r="BF48" s="1007"/>
      <c r="BG48" s="1007"/>
      <c r="BH48" s="1007"/>
      <c r="BI48" s="1007"/>
      <c r="BJ48" s="1014"/>
      <c r="BK48" s="1015"/>
      <c r="BL48" s="1014"/>
      <c r="BM48" s="893"/>
      <c r="BN48" s="893"/>
      <c r="BO48" s="1009"/>
      <c r="BP48" s="1012"/>
      <c r="BQ48" s="1012"/>
      <c r="BR48" s="1012"/>
    </row>
    <row r="49" spans="2:70">
      <c r="B49" s="893"/>
      <c r="C49" s="1008"/>
      <c r="D49" s="1008"/>
      <c r="E49" s="1008"/>
      <c r="F49" s="1008"/>
      <c r="G49" s="1008"/>
      <c r="H49" s="1009"/>
      <c r="I49" s="1008"/>
      <c r="J49" s="1008"/>
      <c r="K49" s="1010"/>
      <c r="L49" s="1008"/>
      <c r="M49" s="1008"/>
      <c r="N49" s="1008"/>
      <c r="O49" s="1008"/>
      <c r="P49" s="1008"/>
      <c r="Q49" s="1008"/>
      <c r="R49" s="1008"/>
      <c r="S49" s="1008"/>
      <c r="T49" s="1008"/>
      <c r="U49" s="1008"/>
      <c r="V49" s="1008"/>
      <c r="W49" s="1008"/>
      <c r="X49" s="1008"/>
      <c r="Y49" s="1011"/>
      <c r="Z49" s="1011"/>
      <c r="AA49" s="1008"/>
      <c r="AB49" s="1008"/>
      <c r="AC49" s="1011"/>
      <c r="AD49" s="1011"/>
      <c r="AE49" s="1011"/>
      <c r="AF49" s="1008"/>
      <c r="AG49" s="996"/>
      <c r="AH49" s="1012"/>
      <c r="AI49" s="1012"/>
      <c r="AJ49" s="1012"/>
      <c r="AK49" s="1007"/>
      <c r="AL49" s="1007"/>
      <c r="AM49" s="1007"/>
      <c r="AN49" s="1007"/>
      <c r="AO49" s="1013"/>
      <c r="AP49" s="1013"/>
      <c r="AQ49" s="1013"/>
      <c r="AR49" s="1006"/>
      <c r="AS49" s="1006"/>
      <c r="AT49" s="1006"/>
      <c r="AU49" s="1006"/>
      <c r="AV49" s="1006"/>
      <c r="AW49" s="1006"/>
      <c r="AX49" s="1006"/>
      <c r="AY49" s="1006"/>
      <c r="AZ49" s="1006"/>
      <c r="BA49" s="1006"/>
      <c r="BB49" s="1006"/>
      <c r="BC49" s="1007"/>
      <c r="BD49" s="1007"/>
      <c r="BE49" s="1007"/>
      <c r="BF49" s="1007"/>
      <c r="BG49" s="1007"/>
      <c r="BH49" s="1007"/>
      <c r="BI49" s="1007"/>
      <c r="BJ49" s="1014"/>
      <c r="BK49" s="1015"/>
      <c r="BL49" s="1014"/>
      <c r="BM49" s="893"/>
      <c r="BN49" s="893"/>
      <c r="BO49" s="1009"/>
      <c r="BP49" s="1012"/>
      <c r="BQ49" s="1012"/>
      <c r="BR49" s="1012"/>
    </row>
    <row r="50" spans="2:70">
      <c r="B50" s="893"/>
      <c r="C50" s="1008"/>
      <c r="D50" s="1008"/>
      <c r="E50" s="1008"/>
      <c r="F50" s="1008"/>
      <c r="G50" s="1008"/>
      <c r="H50" s="1009"/>
      <c r="I50" s="1008"/>
      <c r="J50" s="1008"/>
      <c r="K50" s="1010"/>
      <c r="L50" s="1008"/>
      <c r="M50" s="1008"/>
      <c r="N50" s="1008"/>
      <c r="O50" s="1008"/>
      <c r="P50" s="1008"/>
      <c r="Q50" s="1008"/>
      <c r="R50" s="1008"/>
      <c r="S50" s="1008"/>
      <c r="T50" s="1008"/>
      <c r="U50" s="1008"/>
      <c r="V50" s="1008"/>
      <c r="W50" s="1008"/>
      <c r="X50" s="1008"/>
      <c r="Y50" s="1011"/>
      <c r="Z50" s="1011"/>
      <c r="AA50" s="1008"/>
      <c r="AB50" s="1008"/>
      <c r="AC50" s="1011"/>
      <c r="AD50" s="1011"/>
      <c r="AE50" s="1011"/>
      <c r="AF50" s="1008"/>
      <c r="AG50" s="996"/>
      <c r="AH50" s="1012"/>
      <c r="AI50" s="1012"/>
      <c r="AJ50" s="1012"/>
      <c r="AK50" s="1007"/>
      <c r="AL50" s="1007"/>
      <c r="AM50" s="1007"/>
      <c r="AN50" s="1007"/>
      <c r="AO50" s="1013"/>
      <c r="AP50" s="1013"/>
      <c r="AQ50" s="1013"/>
      <c r="AR50" s="1006"/>
      <c r="AS50" s="1006"/>
      <c r="AT50" s="1006"/>
      <c r="AU50" s="1006"/>
      <c r="AV50" s="1006"/>
      <c r="AW50" s="1006"/>
      <c r="AX50" s="1006"/>
      <c r="AY50" s="1006"/>
      <c r="AZ50" s="1006"/>
      <c r="BA50" s="1006"/>
      <c r="BB50" s="1006"/>
      <c r="BC50" s="1007"/>
      <c r="BD50" s="1007"/>
      <c r="BE50" s="1007"/>
      <c r="BF50" s="1007"/>
      <c r="BG50" s="1007"/>
      <c r="BH50" s="1007"/>
      <c r="BI50" s="1007"/>
      <c r="BJ50" s="1014"/>
      <c r="BK50" s="1015"/>
      <c r="BL50" s="1014"/>
      <c r="BM50" s="893"/>
      <c r="BN50" s="893"/>
      <c r="BO50" s="1009"/>
      <c r="BP50" s="1012"/>
      <c r="BQ50" s="1012"/>
      <c r="BR50" s="1012"/>
    </row>
    <row r="51" spans="2:70">
      <c r="B51" s="893"/>
      <c r="C51" s="1008"/>
      <c r="D51" s="1008"/>
      <c r="E51" s="1008"/>
      <c r="F51" s="1008"/>
      <c r="G51" s="1008"/>
      <c r="H51" s="1009"/>
      <c r="I51" s="1008"/>
      <c r="J51" s="1008"/>
      <c r="K51" s="1010"/>
      <c r="L51" s="1008"/>
      <c r="M51" s="1008"/>
      <c r="N51" s="1008"/>
      <c r="O51" s="1008"/>
      <c r="P51" s="1008"/>
      <c r="Q51" s="1008"/>
      <c r="R51" s="1008"/>
      <c r="S51" s="1008"/>
      <c r="T51" s="1008"/>
      <c r="U51" s="1008"/>
      <c r="V51" s="1008"/>
      <c r="W51" s="1008"/>
      <c r="X51" s="1008"/>
      <c r="Y51" s="1011"/>
      <c r="Z51" s="1011"/>
      <c r="AA51" s="1008"/>
      <c r="AB51" s="1008"/>
      <c r="AC51" s="1011"/>
      <c r="AD51" s="1011"/>
      <c r="AE51" s="1011"/>
      <c r="AF51" s="1008"/>
      <c r="AG51" s="996"/>
      <c r="AH51" s="1012"/>
      <c r="AI51" s="1012"/>
      <c r="AJ51" s="1012"/>
      <c r="AK51" s="1007"/>
      <c r="AL51" s="1007"/>
      <c r="AM51" s="1007"/>
      <c r="AN51" s="1007"/>
      <c r="AO51" s="1013"/>
      <c r="AP51" s="1013"/>
      <c r="AQ51" s="1013"/>
      <c r="AR51" s="1006"/>
      <c r="AS51" s="1006"/>
      <c r="AT51" s="1006"/>
      <c r="AU51" s="1006"/>
      <c r="AV51" s="1006"/>
      <c r="AW51" s="1006"/>
      <c r="AX51" s="1006"/>
      <c r="AY51" s="1006"/>
      <c r="AZ51" s="1006"/>
      <c r="BA51" s="1006"/>
      <c r="BB51" s="1006"/>
      <c r="BC51" s="1007"/>
      <c r="BD51" s="1007"/>
      <c r="BE51" s="1007"/>
      <c r="BF51" s="1007"/>
      <c r="BG51" s="1007"/>
      <c r="BH51" s="1007"/>
      <c r="BI51" s="1007"/>
      <c r="BJ51" s="1014"/>
      <c r="BK51" s="1015"/>
      <c r="BL51" s="1014"/>
      <c r="BM51" s="893"/>
      <c r="BN51" s="893"/>
      <c r="BO51" s="1009"/>
      <c r="BP51" s="1012"/>
      <c r="BQ51" s="1012"/>
      <c r="BR51" s="1012"/>
    </row>
    <row r="52" spans="2:70">
      <c r="B52" s="893"/>
      <c r="C52" s="1008"/>
      <c r="D52" s="1008"/>
      <c r="E52" s="1008"/>
      <c r="F52" s="1008"/>
      <c r="G52" s="1008"/>
      <c r="H52" s="1009"/>
      <c r="I52" s="1008"/>
      <c r="J52" s="1008"/>
      <c r="K52" s="1010"/>
      <c r="L52" s="1008"/>
      <c r="M52" s="1008"/>
      <c r="N52" s="1008"/>
      <c r="O52" s="1008"/>
      <c r="P52" s="1008"/>
      <c r="Q52" s="1008"/>
      <c r="R52" s="1008"/>
      <c r="S52" s="1008"/>
      <c r="T52" s="1008"/>
      <c r="U52" s="1008"/>
      <c r="V52" s="1008"/>
      <c r="W52" s="1008"/>
      <c r="X52" s="1008"/>
      <c r="Y52" s="1011"/>
      <c r="Z52" s="1011"/>
      <c r="AA52" s="1008"/>
      <c r="AB52" s="1008"/>
      <c r="AC52" s="1011"/>
      <c r="AD52" s="1011"/>
      <c r="AE52" s="1011"/>
      <c r="AF52" s="1008"/>
      <c r="AG52" s="996"/>
      <c r="AH52" s="1012"/>
      <c r="AI52" s="1012"/>
      <c r="AJ52" s="1012"/>
      <c r="AK52" s="1007"/>
      <c r="AL52" s="1007"/>
      <c r="AM52" s="1007"/>
      <c r="AN52" s="1007"/>
      <c r="AO52" s="1013"/>
      <c r="AP52" s="1013"/>
      <c r="AQ52" s="1013"/>
      <c r="AR52" s="1006"/>
      <c r="AS52" s="1006"/>
      <c r="AT52" s="1006"/>
      <c r="AU52" s="1006"/>
      <c r="AV52" s="1006"/>
      <c r="AW52" s="1006"/>
      <c r="AX52" s="1006"/>
      <c r="AY52" s="1006"/>
      <c r="AZ52" s="1006"/>
      <c r="BA52" s="1006"/>
      <c r="BB52" s="1006"/>
      <c r="BC52" s="1007"/>
      <c r="BD52" s="1007"/>
      <c r="BE52" s="1007"/>
      <c r="BF52" s="1007"/>
      <c r="BG52" s="1007"/>
      <c r="BH52" s="1007"/>
      <c r="BI52" s="1007"/>
      <c r="BJ52" s="1014"/>
      <c r="BK52" s="1015"/>
      <c r="BL52" s="1014"/>
      <c r="BM52" s="893"/>
      <c r="BN52" s="893"/>
      <c r="BO52" s="1009"/>
      <c r="BP52" s="1012"/>
      <c r="BQ52" s="1012"/>
      <c r="BR52" s="1012"/>
    </row>
    <row r="53" spans="2:70">
      <c r="B53" s="893"/>
      <c r="C53" s="1008"/>
      <c r="D53" s="1008"/>
      <c r="E53" s="1008"/>
      <c r="F53" s="1008"/>
      <c r="G53" s="1008"/>
      <c r="H53" s="1009"/>
      <c r="I53" s="1008"/>
      <c r="J53" s="1008"/>
      <c r="K53" s="1010"/>
      <c r="L53" s="1008"/>
      <c r="M53" s="1008"/>
      <c r="N53" s="1008"/>
      <c r="O53" s="1008"/>
      <c r="P53" s="1008"/>
      <c r="Q53" s="1008"/>
      <c r="R53" s="1008"/>
      <c r="S53" s="1008"/>
      <c r="T53" s="1008"/>
      <c r="U53" s="1008"/>
      <c r="V53" s="1008"/>
      <c r="W53" s="1008"/>
      <c r="X53" s="1008"/>
      <c r="Y53" s="1011"/>
      <c r="Z53" s="1011"/>
      <c r="AA53" s="1008"/>
      <c r="AB53" s="1008"/>
      <c r="AC53" s="1011"/>
      <c r="AD53" s="1011"/>
      <c r="AE53" s="1011"/>
      <c r="AF53" s="1008"/>
      <c r="AG53" s="996"/>
      <c r="AH53" s="1012"/>
      <c r="AI53" s="1012"/>
      <c r="AJ53" s="1012"/>
      <c r="AK53" s="1007"/>
      <c r="AL53" s="1007"/>
      <c r="AM53" s="1007"/>
      <c r="AN53" s="1007"/>
      <c r="AO53" s="1013"/>
      <c r="AP53" s="1013"/>
      <c r="AQ53" s="1013"/>
      <c r="AR53" s="1006"/>
      <c r="AS53" s="1006"/>
      <c r="AT53" s="1006"/>
      <c r="AU53" s="1006"/>
      <c r="AV53" s="1006"/>
      <c r="AW53" s="1006"/>
      <c r="AX53" s="1006"/>
      <c r="AY53" s="1006"/>
      <c r="AZ53" s="1006"/>
      <c r="BA53" s="1006"/>
      <c r="BB53" s="1006"/>
      <c r="BC53" s="1007"/>
      <c r="BD53" s="1007"/>
      <c r="BE53" s="1007"/>
      <c r="BF53" s="1007"/>
      <c r="BG53" s="1007"/>
      <c r="BH53" s="1007"/>
      <c r="BI53" s="1007"/>
      <c r="BJ53" s="1014"/>
      <c r="BK53" s="1015"/>
      <c r="BL53" s="1014"/>
      <c r="BM53" s="893"/>
      <c r="BN53" s="893"/>
      <c r="BO53" s="1009"/>
      <c r="BP53" s="1012"/>
      <c r="BQ53" s="1012"/>
      <c r="BR53" s="1012"/>
    </row>
    <row r="54" spans="2:70">
      <c r="B54" s="893"/>
      <c r="C54" s="1008"/>
      <c r="D54" s="1008"/>
      <c r="E54" s="1008"/>
      <c r="F54" s="1008"/>
      <c r="G54" s="1008"/>
      <c r="H54" s="1009"/>
      <c r="I54" s="1008"/>
      <c r="J54" s="1008"/>
      <c r="K54" s="1010"/>
      <c r="L54" s="1008"/>
      <c r="M54" s="1008"/>
      <c r="N54" s="1008"/>
      <c r="O54" s="1008"/>
      <c r="P54" s="1008"/>
      <c r="Q54" s="1008"/>
      <c r="R54" s="1008"/>
      <c r="S54" s="1008"/>
      <c r="T54" s="1008"/>
      <c r="U54" s="1008"/>
      <c r="V54" s="1008"/>
      <c r="W54" s="1008"/>
      <c r="X54" s="1008"/>
      <c r="Y54" s="1011"/>
      <c r="Z54" s="1011"/>
      <c r="AA54" s="1008"/>
      <c r="AB54" s="1008"/>
      <c r="AC54" s="1011"/>
      <c r="AD54" s="1011"/>
      <c r="AE54" s="1011"/>
      <c r="AF54" s="1008"/>
      <c r="AG54" s="996"/>
      <c r="AH54" s="1012"/>
      <c r="AI54" s="1012"/>
      <c r="AJ54" s="1012"/>
      <c r="AK54" s="1007"/>
      <c r="AL54" s="1007"/>
      <c r="AM54" s="1007"/>
      <c r="AN54" s="1007"/>
      <c r="AO54" s="1013"/>
      <c r="AP54" s="1013"/>
      <c r="AQ54" s="1013"/>
      <c r="AR54" s="1006"/>
      <c r="AS54" s="1006"/>
      <c r="AT54" s="1006"/>
      <c r="AU54" s="1006"/>
      <c r="AV54" s="1006"/>
      <c r="AW54" s="1006"/>
      <c r="AX54" s="1006"/>
      <c r="AY54" s="1006"/>
      <c r="AZ54" s="1006"/>
      <c r="BA54" s="1006"/>
      <c r="BB54" s="1006"/>
      <c r="BC54" s="1007"/>
      <c r="BD54" s="1007"/>
      <c r="BE54" s="1007"/>
      <c r="BF54" s="1007"/>
      <c r="BG54" s="1007"/>
      <c r="BH54" s="1007"/>
      <c r="BI54" s="1007"/>
      <c r="BJ54" s="1014"/>
      <c r="BK54" s="1015"/>
      <c r="BL54" s="1014"/>
      <c r="BM54" s="893"/>
      <c r="BN54" s="893"/>
      <c r="BO54" s="1009"/>
      <c r="BP54" s="1012"/>
      <c r="BQ54" s="1012"/>
      <c r="BR54" s="1012"/>
    </row>
    <row r="55" spans="2:70">
      <c r="B55" s="893"/>
      <c r="C55" s="1008"/>
      <c r="D55" s="1008"/>
      <c r="E55" s="1008"/>
      <c r="F55" s="1008"/>
      <c r="G55" s="1008"/>
      <c r="H55" s="1009"/>
      <c r="I55" s="1008"/>
      <c r="J55" s="1008"/>
      <c r="K55" s="1010"/>
      <c r="L55" s="1008"/>
      <c r="M55" s="1008"/>
      <c r="N55" s="1008"/>
      <c r="O55" s="1008"/>
      <c r="P55" s="1008"/>
      <c r="Q55" s="1008"/>
      <c r="R55" s="1008"/>
      <c r="S55" s="1008"/>
      <c r="T55" s="1008"/>
      <c r="U55" s="1008"/>
      <c r="V55" s="1008"/>
      <c r="W55" s="1008"/>
      <c r="X55" s="1008"/>
      <c r="Y55" s="1011"/>
      <c r="Z55" s="1011"/>
      <c r="AA55" s="1008"/>
      <c r="AB55" s="1008"/>
      <c r="AC55" s="1011"/>
      <c r="AD55" s="1011"/>
      <c r="AE55" s="1011"/>
      <c r="AF55" s="1008"/>
      <c r="AG55" s="996"/>
      <c r="AH55" s="1012"/>
      <c r="AI55" s="1012"/>
      <c r="AJ55" s="1012"/>
      <c r="AK55" s="1007"/>
      <c r="AL55" s="1007"/>
      <c r="AM55" s="1007"/>
      <c r="AN55" s="1007"/>
      <c r="AO55" s="1013"/>
      <c r="AP55" s="1013"/>
      <c r="AQ55" s="1013"/>
      <c r="AR55" s="1006"/>
      <c r="AS55" s="1006"/>
      <c r="AT55" s="1006"/>
      <c r="AU55" s="1006"/>
      <c r="AV55" s="1006"/>
      <c r="AW55" s="1006"/>
      <c r="AX55" s="1006"/>
      <c r="AY55" s="1006"/>
      <c r="AZ55" s="1006"/>
      <c r="BA55" s="1006"/>
      <c r="BB55" s="1006"/>
      <c r="BC55" s="1007"/>
      <c r="BD55" s="1007"/>
      <c r="BE55" s="1007"/>
      <c r="BF55" s="1007"/>
      <c r="BG55" s="1007"/>
      <c r="BH55" s="1007"/>
      <c r="BI55" s="1007"/>
      <c r="BJ55" s="1014"/>
      <c r="BK55" s="1015"/>
      <c r="BL55" s="1014"/>
      <c r="BM55" s="893"/>
      <c r="BN55" s="893"/>
      <c r="BO55" s="1009"/>
      <c r="BP55" s="1012"/>
      <c r="BQ55" s="1012"/>
      <c r="BR55" s="1012"/>
    </row>
    <row r="56" spans="2:70">
      <c r="B56" s="893"/>
      <c r="C56" s="1008"/>
      <c r="D56" s="1008"/>
      <c r="E56" s="1008"/>
      <c r="F56" s="1008"/>
      <c r="G56" s="1008"/>
      <c r="H56" s="1009"/>
      <c r="I56" s="1008"/>
      <c r="J56" s="1008"/>
      <c r="K56" s="1010"/>
      <c r="L56" s="1008"/>
      <c r="M56" s="1008"/>
      <c r="N56" s="1008"/>
      <c r="O56" s="1008"/>
      <c r="P56" s="1008"/>
      <c r="Q56" s="1008"/>
      <c r="R56" s="1008"/>
      <c r="S56" s="1008"/>
      <c r="T56" s="1008"/>
      <c r="U56" s="1008"/>
      <c r="V56" s="1008"/>
      <c r="W56" s="1008"/>
      <c r="X56" s="1008"/>
      <c r="Y56" s="1011"/>
      <c r="Z56" s="1011"/>
      <c r="AA56" s="1008"/>
      <c r="AB56" s="1008"/>
      <c r="AC56" s="1011"/>
      <c r="AD56" s="1011"/>
      <c r="AE56" s="1011"/>
      <c r="AF56" s="1008"/>
      <c r="AG56" s="996"/>
      <c r="AH56" s="1012"/>
      <c r="AI56" s="1012"/>
      <c r="AJ56" s="1012"/>
      <c r="AK56" s="1007"/>
      <c r="AL56" s="1007"/>
      <c r="AM56" s="1007"/>
      <c r="AN56" s="1007"/>
      <c r="AO56" s="1013"/>
      <c r="AP56" s="1013"/>
      <c r="AQ56" s="1013"/>
      <c r="AR56" s="1006"/>
      <c r="AS56" s="1006"/>
      <c r="AT56" s="1006"/>
      <c r="AU56" s="1006"/>
      <c r="AV56" s="1006"/>
      <c r="AW56" s="1006"/>
      <c r="AX56" s="1006"/>
      <c r="AY56" s="1006"/>
      <c r="AZ56" s="1006"/>
      <c r="BA56" s="1006"/>
      <c r="BB56" s="1006"/>
      <c r="BC56" s="1007"/>
      <c r="BD56" s="1007"/>
      <c r="BE56" s="1007"/>
      <c r="BF56" s="1007"/>
      <c r="BG56" s="1007"/>
      <c r="BH56" s="1007"/>
      <c r="BI56" s="1007"/>
      <c r="BJ56" s="1014"/>
      <c r="BK56" s="1015"/>
      <c r="BL56" s="1014"/>
      <c r="BM56" s="893"/>
      <c r="BN56" s="893"/>
      <c r="BO56" s="1009"/>
      <c r="BP56" s="1012"/>
      <c r="BQ56" s="1012"/>
      <c r="BR56" s="1012"/>
    </row>
    <row r="57" spans="2:70">
      <c r="B57" s="893"/>
      <c r="C57" s="1008"/>
      <c r="D57" s="1008"/>
      <c r="E57" s="1008"/>
      <c r="F57" s="1008"/>
      <c r="G57" s="1008"/>
      <c r="H57" s="1009"/>
      <c r="I57" s="1008"/>
      <c r="J57" s="1008"/>
      <c r="K57" s="1010"/>
      <c r="L57" s="1008"/>
      <c r="M57" s="1008"/>
      <c r="N57" s="1008"/>
      <c r="O57" s="1008"/>
      <c r="P57" s="1008"/>
      <c r="Q57" s="1008"/>
      <c r="R57" s="1008"/>
      <c r="S57" s="1008"/>
      <c r="T57" s="1008"/>
      <c r="U57" s="1008"/>
      <c r="V57" s="1008"/>
      <c r="W57" s="1008"/>
      <c r="X57" s="1008"/>
      <c r="Y57" s="1011"/>
      <c r="Z57" s="1011"/>
      <c r="AA57" s="1008"/>
      <c r="AB57" s="1008"/>
      <c r="AC57" s="1011"/>
      <c r="AD57" s="1011"/>
      <c r="AE57" s="1011"/>
      <c r="AF57" s="1008"/>
      <c r="AG57" s="996"/>
      <c r="AH57" s="1012"/>
      <c r="AI57" s="1012"/>
      <c r="AJ57" s="1012"/>
      <c r="AK57" s="1007"/>
      <c r="AL57" s="1007"/>
      <c r="AM57" s="1007"/>
      <c r="AN57" s="1007"/>
      <c r="AO57" s="1013"/>
      <c r="AP57" s="1013"/>
      <c r="AQ57" s="1013"/>
      <c r="AR57" s="1006"/>
      <c r="AS57" s="1006"/>
      <c r="AT57" s="1006"/>
      <c r="AU57" s="1006"/>
      <c r="AV57" s="1006"/>
      <c r="AW57" s="1006"/>
      <c r="AX57" s="1006"/>
      <c r="AY57" s="1006"/>
      <c r="AZ57" s="1006"/>
      <c r="BA57" s="1006"/>
      <c r="BB57" s="1006"/>
      <c r="BC57" s="1007"/>
      <c r="BD57" s="1007"/>
      <c r="BE57" s="1007"/>
      <c r="BF57" s="1007"/>
      <c r="BG57" s="1007"/>
      <c r="BH57" s="1007"/>
      <c r="BI57" s="1007"/>
      <c r="BJ57" s="1014"/>
      <c r="BK57" s="1015"/>
      <c r="BL57" s="1014"/>
      <c r="BM57" s="893"/>
      <c r="BN57" s="893"/>
      <c r="BO57" s="1009"/>
      <c r="BP57" s="1012"/>
      <c r="BQ57" s="1012"/>
      <c r="BR57" s="1012"/>
    </row>
    <row r="58" spans="2:70">
      <c r="B58" s="893"/>
      <c r="C58" s="1008"/>
      <c r="D58" s="1008"/>
      <c r="E58" s="1008"/>
      <c r="F58" s="1008"/>
      <c r="G58" s="1008"/>
      <c r="H58" s="1009"/>
      <c r="I58" s="1008"/>
      <c r="J58" s="1008"/>
      <c r="K58" s="1010"/>
      <c r="L58" s="1008"/>
      <c r="M58" s="1008"/>
      <c r="N58" s="1008"/>
      <c r="O58" s="1008"/>
      <c r="P58" s="1008"/>
      <c r="Q58" s="1008"/>
      <c r="R58" s="1008"/>
      <c r="S58" s="1008"/>
      <c r="T58" s="1008"/>
      <c r="U58" s="1008"/>
      <c r="V58" s="1008"/>
      <c r="W58" s="1008"/>
      <c r="X58" s="1008"/>
      <c r="Y58" s="1011"/>
      <c r="Z58" s="1011"/>
      <c r="AA58" s="1008"/>
      <c r="AB58" s="1008"/>
      <c r="AC58" s="1011"/>
      <c r="AD58" s="1011"/>
      <c r="AE58" s="1011"/>
      <c r="AF58" s="1008"/>
      <c r="AG58" s="996"/>
      <c r="AH58" s="1012"/>
      <c r="AI58" s="1012"/>
      <c r="AJ58" s="1012"/>
      <c r="AK58" s="1007"/>
      <c r="AL58" s="1007"/>
      <c r="AM58" s="1007"/>
      <c r="AN58" s="1007"/>
      <c r="AO58" s="1013"/>
      <c r="AP58" s="1013"/>
      <c r="AQ58" s="1013"/>
      <c r="AR58" s="1006"/>
      <c r="AS58" s="1006"/>
      <c r="AT58" s="1006"/>
      <c r="AU58" s="1006"/>
      <c r="AV58" s="1006"/>
      <c r="AW58" s="1006"/>
      <c r="AX58" s="1006"/>
      <c r="AY58" s="1006"/>
      <c r="AZ58" s="1006"/>
      <c r="BA58" s="1006"/>
      <c r="BB58" s="1006"/>
      <c r="BC58" s="1007"/>
      <c r="BD58" s="1007"/>
      <c r="BE58" s="1007"/>
      <c r="BF58" s="1007"/>
      <c r="BG58" s="1007"/>
      <c r="BH58" s="1007"/>
      <c r="BI58" s="1007"/>
      <c r="BJ58" s="1014"/>
      <c r="BK58" s="1015"/>
      <c r="BL58" s="1014"/>
      <c r="BM58" s="893"/>
      <c r="BN58" s="893"/>
      <c r="BO58" s="1009"/>
      <c r="BP58" s="1012"/>
      <c r="BQ58" s="1012"/>
      <c r="BR58" s="1012"/>
    </row>
    <row r="59" spans="2:70">
      <c r="B59" s="893"/>
      <c r="C59" s="1008"/>
      <c r="D59" s="1008"/>
      <c r="E59" s="1008"/>
      <c r="F59" s="1008"/>
      <c r="G59" s="1008"/>
      <c r="H59" s="1009"/>
      <c r="I59" s="1008"/>
      <c r="J59" s="1008"/>
      <c r="K59" s="1010"/>
      <c r="L59" s="1008"/>
      <c r="M59" s="1008"/>
      <c r="N59" s="1008"/>
      <c r="O59" s="1008"/>
      <c r="P59" s="1008"/>
      <c r="Q59" s="1008"/>
      <c r="R59" s="1008"/>
      <c r="S59" s="1008"/>
      <c r="T59" s="1008"/>
      <c r="U59" s="1008"/>
      <c r="V59" s="1008"/>
      <c r="W59" s="1008"/>
      <c r="X59" s="1008"/>
      <c r="Y59" s="1011"/>
      <c r="Z59" s="1011"/>
      <c r="AA59" s="1008"/>
      <c r="AB59" s="1008"/>
      <c r="AC59" s="1011"/>
      <c r="AD59" s="1011"/>
      <c r="AE59" s="1011"/>
      <c r="AF59" s="1008"/>
      <c r="AG59" s="996"/>
      <c r="AH59" s="1012"/>
      <c r="AI59" s="1012"/>
      <c r="AJ59" s="1012"/>
      <c r="AK59" s="1007"/>
      <c r="AL59" s="1007"/>
      <c r="AM59" s="1007"/>
      <c r="AN59" s="1007"/>
      <c r="AO59" s="1013"/>
      <c r="AP59" s="1013"/>
      <c r="AQ59" s="1013"/>
      <c r="AR59" s="1006"/>
      <c r="AS59" s="1006"/>
      <c r="AT59" s="1006"/>
      <c r="AU59" s="1006"/>
      <c r="AV59" s="1006"/>
      <c r="AW59" s="1006"/>
      <c r="AX59" s="1006"/>
      <c r="AY59" s="1006"/>
      <c r="AZ59" s="1006"/>
      <c r="BA59" s="1006"/>
      <c r="BB59" s="1006"/>
      <c r="BC59" s="1007"/>
      <c r="BD59" s="1007"/>
      <c r="BE59" s="1007"/>
      <c r="BF59" s="1007"/>
      <c r="BG59" s="1007"/>
      <c r="BH59" s="1007"/>
      <c r="BI59" s="1007"/>
      <c r="BJ59" s="1014"/>
      <c r="BK59" s="1015"/>
      <c r="BL59" s="1014"/>
      <c r="BM59" s="893"/>
      <c r="BN59" s="893"/>
      <c r="BO59" s="1009"/>
      <c r="BP59" s="1012"/>
      <c r="BQ59" s="1012"/>
      <c r="BR59" s="1012"/>
    </row>
    <row r="60" spans="2:70">
      <c r="B60" s="893"/>
      <c r="C60" s="1008"/>
      <c r="D60" s="1008"/>
      <c r="E60" s="1008"/>
      <c r="F60" s="1008"/>
      <c r="G60" s="1008"/>
      <c r="H60" s="1009"/>
      <c r="I60" s="1008"/>
      <c r="J60" s="1008"/>
      <c r="K60" s="1010"/>
      <c r="L60" s="1008"/>
      <c r="M60" s="1008"/>
      <c r="N60" s="1008"/>
      <c r="O60" s="1008"/>
      <c r="P60" s="1008"/>
      <c r="Q60" s="1008"/>
      <c r="R60" s="1008"/>
      <c r="S60" s="1008"/>
      <c r="T60" s="1008"/>
      <c r="U60" s="1008"/>
      <c r="V60" s="1008"/>
      <c r="W60" s="1008"/>
      <c r="X60" s="1008"/>
      <c r="Y60" s="1011"/>
      <c r="Z60" s="1011"/>
      <c r="AA60" s="1008"/>
      <c r="AB60" s="1008"/>
      <c r="AC60" s="1011"/>
      <c r="AD60" s="1011"/>
      <c r="AE60" s="1011"/>
      <c r="AF60" s="1008"/>
      <c r="AG60" s="996"/>
      <c r="AH60" s="1012"/>
      <c r="AI60" s="1012"/>
      <c r="AJ60" s="1012"/>
      <c r="AK60" s="1007"/>
      <c r="AL60" s="1007"/>
      <c r="AM60" s="1007"/>
      <c r="AN60" s="1007"/>
      <c r="AO60" s="1013"/>
      <c r="AP60" s="1013"/>
      <c r="AQ60" s="1013"/>
      <c r="AR60" s="1006"/>
      <c r="AS60" s="1006"/>
      <c r="AT60" s="1006"/>
      <c r="AU60" s="1006"/>
      <c r="AV60" s="1006"/>
      <c r="AW60" s="1006"/>
      <c r="AX60" s="1006"/>
      <c r="AY60" s="1006"/>
      <c r="AZ60" s="1006"/>
      <c r="BA60" s="1006"/>
      <c r="BB60" s="1006"/>
      <c r="BC60" s="1007"/>
      <c r="BD60" s="1007"/>
      <c r="BE60" s="1007"/>
      <c r="BF60" s="1007"/>
      <c r="BG60" s="1007"/>
      <c r="BH60" s="1007"/>
      <c r="BI60" s="1007"/>
      <c r="BJ60" s="1014"/>
      <c r="BK60" s="1015"/>
      <c r="BL60" s="1014"/>
      <c r="BM60" s="893"/>
      <c r="BN60" s="893"/>
      <c r="BO60" s="1009"/>
      <c r="BP60" s="1012"/>
      <c r="BQ60" s="1012"/>
      <c r="BR60" s="1012"/>
    </row>
    <row r="61" spans="2:70">
      <c r="B61" s="893"/>
      <c r="C61" s="1008"/>
      <c r="D61" s="1008"/>
      <c r="E61" s="1008"/>
      <c r="F61" s="1008"/>
      <c r="G61" s="1008"/>
      <c r="H61" s="1009"/>
      <c r="I61" s="1008"/>
      <c r="J61" s="1008"/>
      <c r="K61" s="1010"/>
      <c r="L61" s="1008"/>
      <c r="M61" s="1008"/>
      <c r="N61" s="1008"/>
      <c r="O61" s="1008"/>
      <c r="P61" s="1008"/>
      <c r="Q61" s="1008"/>
      <c r="R61" s="1008"/>
      <c r="S61" s="1008"/>
      <c r="T61" s="1008"/>
      <c r="U61" s="1008"/>
      <c r="V61" s="1008"/>
      <c r="W61" s="1008"/>
      <c r="X61" s="1008"/>
      <c r="Y61" s="1011"/>
      <c r="Z61" s="1011"/>
      <c r="AA61" s="1008"/>
      <c r="AB61" s="1008"/>
      <c r="AC61" s="1011"/>
      <c r="AD61" s="1011"/>
      <c r="AE61" s="1011"/>
      <c r="AF61" s="1008"/>
      <c r="AG61" s="996"/>
      <c r="AH61" s="1012"/>
      <c r="AI61" s="1012"/>
      <c r="AJ61" s="1012"/>
      <c r="AK61" s="1007"/>
      <c r="AL61" s="1007"/>
      <c r="AM61" s="1007"/>
      <c r="AN61" s="1007"/>
      <c r="AO61" s="1013"/>
      <c r="AP61" s="1013"/>
      <c r="AQ61" s="1013"/>
      <c r="AR61" s="1006"/>
      <c r="AS61" s="1006"/>
      <c r="AT61" s="1006"/>
      <c r="AU61" s="1006"/>
      <c r="AV61" s="1006"/>
      <c r="AW61" s="1006"/>
      <c r="AX61" s="1006"/>
      <c r="AY61" s="1006"/>
      <c r="AZ61" s="1006"/>
      <c r="BA61" s="1006"/>
      <c r="BB61" s="1006"/>
      <c r="BC61" s="1007"/>
      <c r="BD61" s="1007"/>
      <c r="BE61" s="1007"/>
      <c r="BF61" s="1007"/>
      <c r="BG61" s="1007"/>
      <c r="BH61" s="1007"/>
      <c r="BI61" s="1007"/>
      <c r="BJ61" s="1014"/>
      <c r="BK61" s="1015"/>
      <c r="BL61" s="1014"/>
      <c r="BM61" s="893"/>
      <c r="BN61" s="893"/>
      <c r="BO61" s="1009"/>
      <c r="BP61" s="1012"/>
      <c r="BQ61" s="1012"/>
      <c r="BR61" s="1012"/>
    </row>
    <row r="62" spans="2:70">
      <c r="B62" s="893"/>
      <c r="C62" s="1008"/>
      <c r="D62" s="1008"/>
      <c r="E62" s="1008"/>
      <c r="F62" s="1008"/>
      <c r="G62" s="1008"/>
      <c r="H62" s="1009"/>
      <c r="I62" s="1008"/>
      <c r="J62" s="1008"/>
      <c r="K62" s="1010"/>
      <c r="L62" s="1008"/>
      <c r="M62" s="1008"/>
      <c r="N62" s="1008"/>
      <c r="O62" s="1008"/>
      <c r="P62" s="1008"/>
      <c r="Q62" s="1008"/>
      <c r="R62" s="1008"/>
      <c r="S62" s="1008"/>
      <c r="T62" s="1008"/>
      <c r="U62" s="1008"/>
      <c r="V62" s="1008"/>
      <c r="W62" s="1008"/>
      <c r="X62" s="1008"/>
      <c r="Y62" s="1011"/>
      <c r="Z62" s="1011"/>
      <c r="AA62" s="1008"/>
      <c r="AB62" s="1008"/>
      <c r="AC62" s="1011"/>
      <c r="AD62" s="1011"/>
      <c r="AE62" s="1011"/>
      <c r="AF62" s="1008"/>
      <c r="AG62" s="996"/>
      <c r="AH62" s="1012"/>
      <c r="AI62" s="1012"/>
      <c r="AJ62" s="1012"/>
      <c r="AK62" s="1007"/>
      <c r="AL62" s="1007"/>
      <c r="AM62" s="1007"/>
      <c r="AN62" s="1007"/>
      <c r="AO62" s="1013"/>
      <c r="AP62" s="1013"/>
      <c r="AQ62" s="1013"/>
      <c r="AR62" s="1006"/>
      <c r="AS62" s="1006"/>
      <c r="AT62" s="1006"/>
      <c r="AU62" s="1006"/>
      <c r="AV62" s="1006"/>
      <c r="AW62" s="1006"/>
      <c r="AX62" s="1006"/>
      <c r="AY62" s="1006"/>
      <c r="AZ62" s="1006"/>
      <c r="BA62" s="1006"/>
      <c r="BB62" s="1006"/>
      <c r="BC62" s="1007"/>
      <c r="BD62" s="1007"/>
      <c r="BE62" s="1007"/>
      <c r="BF62" s="1007"/>
      <c r="BG62" s="1007"/>
      <c r="BH62" s="1007"/>
      <c r="BI62" s="1007"/>
      <c r="BJ62" s="1014"/>
      <c r="BK62" s="1015"/>
      <c r="BL62" s="1014"/>
      <c r="BM62" s="893"/>
      <c r="BN62" s="893"/>
      <c r="BO62" s="1009"/>
      <c r="BP62" s="1012"/>
      <c r="BQ62" s="1012"/>
      <c r="BR62" s="1012"/>
    </row>
    <row r="63" spans="2:70">
      <c r="B63" s="893"/>
      <c r="C63" s="1008"/>
      <c r="D63" s="1008"/>
      <c r="E63" s="1008"/>
      <c r="F63" s="1008"/>
      <c r="G63" s="1008"/>
      <c r="H63" s="1009"/>
      <c r="I63" s="1008"/>
      <c r="J63" s="1008"/>
      <c r="K63" s="1010"/>
      <c r="L63" s="1008"/>
      <c r="M63" s="1008"/>
      <c r="N63" s="1008"/>
      <c r="O63" s="1008"/>
      <c r="P63" s="1008"/>
      <c r="Q63" s="1008"/>
      <c r="R63" s="1008"/>
      <c r="S63" s="1008"/>
      <c r="T63" s="1008"/>
      <c r="U63" s="1008"/>
      <c r="V63" s="1008"/>
      <c r="W63" s="1008"/>
      <c r="X63" s="1008"/>
      <c r="Y63" s="1011"/>
      <c r="Z63" s="1011"/>
      <c r="AA63" s="1008"/>
      <c r="AB63" s="1008"/>
      <c r="AC63" s="1011"/>
      <c r="AD63" s="1011"/>
      <c r="AE63" s="1011"/>
      <c r="AF63" s="1008"/>
      <c r="AG63" s="996"/>
      <c r="AH63" s="1012"/>
      <c r="AI63" s="1012"/>
      <c r="AJ63" s="1012"/>
      <c r="AK63" s="1007"/>
      <c r="AL63" s="1007"/>
      <c r="AM63" s="1007"/>
      <c r="AN63" s="1007"/>
      <c r="AO63" s="1013"/>
      <c r="AP63" s="1013"/>
      <c r="AQ63" s="1013"/>
      <c r="AR63" s="1006"/>
      <c r="AS63" s="1006"/>
      <c r="AT63" s="1006"/>
      <c r="AU63" s="1006"/>
      <c r="AV63" s="1006"/>
      <c r="AW63" s="1006"/>
      <c r="AX63" s="1006"/>
      <c r="AY63" s="1006"/>
      <c r="AZ63" s="1006"/>
      <c r="BA63" s="1006"/>
      <c r="BB63" s="1006"/>
      <c r="BC63" s="1007"/>
      <c r="BD63" s="1007"/>
      <c r="BE63" s="1007"/>
      <c r="BF63" s="1007"/>
      <c r="BG63" s="1007"/>
      <c r="BH63" s="1007"/>
      <c r="BI63" s="1007"/>
      <c r="BJ63" s="1014"/>
      <c r="BK63" s="1015"/>
      <c r="BL63" s="1014"/>
      <c r="BM63" s="893"/>
      <c r="BN63" s="893"/>
      <c r="BO63" s="1009"/>
      <c r="BP63" s="1012"/>
      <c r="BQ63" s="1012"/>
      <c r="BR63" s="1012"/>
    </row>
    <row r="64" spans="2:70">
      <c r="B64" s="893"/>
      <c r="C64" s="1008"/>
      <c r="D64" s="1008"/>
      <c r="E64" s="1008"/>
      <c r="F64" s="1008"/>
      <c r="G64" s="1008"/>
      <c r="H64" s="1009"/>
      <c r="I64" s="1008"/>
      <c r="J64" s="1008"/>
      <c r="K64" s="1010"/>
      <c r="L64" s="1008"/>
      <c r="M64" s="1008"/>
      <c r="N64" s="1008"/>
      <c r="O64" s="1008"/>
      <c r="P64" s="1008"/>
      <c r="Q64" s="1008"/>
      <c r="R64" s="1008"/>
      <c r="S64" s="1008"/>
      <c r="T64" s="1008"/>
      <c r="U64" s="1008"/>
      <c r="V64" s="1008"/>
      <c r="W64" s="1008"/>
      <c r="X64" s="1008"/>
      <c r="Y64" s="1011"/>
      <c r="Z64" s="1011"/>
      <c r="AA64" s="1008"/>
      <c r="AB64" s="1008"/>
      <c r="AC64" s="1011"/>
      <c r="AD64" s="1011"/>
      <c r="AE64" s="1011"/>
      <c r="AF64" s="1008"/>
      <c r="AG64" s="996"/>
      <c r="AH64" s="1012"/>
      <c r="AI64" s="1012"/>
      <c r="AJ64" s="1012"/>
      <c r="AK64" s="1007"/>
      <c r="AL64" s="1007"/>
      <c r="AM64" s="1007"/>
      <c r="AN64" s="1007"/>
      <c r="AO64" s="1013"/>
      <c r="AP64" s="1013"/>
      <c r="AQ64" s="1013"/>
      <c r="AR64" s="1006"/>
      <c r="AS64" s="1006"/>
      <c r="AT64" s="1006"/>
      <c r="AU64" s="1006"/>
      <c r="AV64" s="1006"/>
      <c r="AW64" s="1006"/>
      <c r="AX64" s="1006"/>
      <c r="AY64" s="1006"/>
      <c r="AZ64" s="1006"/>
      <c r="BA64" s="1006"/>
      <c r="BB64" s="1006"/>
      <c r="BC64" s="1007"/>
      <c r="BD64" s="1007"/>
      <c r="BE64" s="1007"/>
      <c r="BF64" s="1007"/>
      <c r="BG64" s="1007"/>
      <c r="BH64" s="1007"/>
      <c r="BI64" s="1007"/>
      <c r="BJ64" s="1014"/>
      <c r="BK64" s="1015"/>
      <c r="BL64" s="1014"/>
      <c r="BM64" s="893"/>
      <c r="BN64" s="893"/>
      <c r="BO64" s="1009"/>
      <c r="BP64" s="1012"/>
      <c r="BQ64" s="1012"/>
      <c r="BR64" s="1012"/>
    </row>
    <row r="65" spans="2:70">
      <c r="B65" s="893"/>
      <c r="C65" s="893"/>
      <c r="D65" s="893"/>
      <c r="E65" s="893"/>
      <c r="F65" s="893"/>
      <c r="G65" s="893"/>
      <c r="H65" s="893"/>
      <c r="I65" s="893"/>
      <c r="J65" s="893"/>
      <c r="K65" s="996"/>
      <c r="L65" s="893"/>
      <c r="M65" s="893"/>
      <c r="N65" s="893"/>
      <c r="O65" s="893"/>
      <c r="P65" s="893"/>
      <c r="Q65" s="893"/>
      <c r="R65" s="893"/>
      <c r="S65" s="893"/>
      <c r="T65" s="893"/>
      <c r="U65" s="893"/>
      <c r="V65" s="893"/>
      <c r="W65" s="893"/>
      <c r="X65" s="893"/>
      <c r="Y65" s="893"/>
      <c r="Z65" s="893"/>
      <c r="AA65" s="893"/>
      <c r="AB65" s="893"/>
      <c r="AC65" s="893"/>
      <c r="AD65" s="893"/>
      <c r="AE65" s="893"/>
      <c r="AF65" s="893"/>
      <c r="AG65" s="893"/>
      <c r="AH65" s="893"/>
      <c r="AI65" s="893"/>
      <c r="AJ65" s="893"/>
      <c r="AK65" s="893"/>
      <c r="AL65" s="893"/>
      <c r="AM65" s="893"/>
      <c r="AN65" s="893"/>
      <c r="AO65" s="893"/>
      <c r="AP65" s="893"/>
      <c r="AQ65" s="893"/>
      <c r="AR65" s="893"/>
      <c r="AS65" s="893"/>
      <c r="AT65" s="893"/>
      <c r="AU65" s="893"/>
      <c r="AV65" s="893"/>
      <c r="AW65" s="893"/>
      <c r="AX65" s="893"/>
      <c r="AY65" s="893"/>
      <c r="AZ65" s="893"/>
      <c r="BA65" s="893"/>
      <c r="BB65" s="893"/>
      <c r="BC65" s="893"/>
      <c r="BD65" s="893"/>
      <c r="BE65" s="893"/>
      <c r="BF65" s="893"/>
      <c r="BG65" s="893"/>
      <c r="BH65" s="893"/>
      <c r="BI65" s="893"/>
      <c r="BJ65" s="893"/>
      <c r="BK65" s="893"/>
      <c r="BL65" s="893"/>
      <c r="BM65" s="893"/>
      <c r="BN65" s="893"/>
      <c r="BO65" s="893"/>
      <c r="BP65" s="893"/>
      <c r="BQ65" s="893"/>
      <c r="BR65" s="893"/>
    </row>
  </sheetData>
  <mergeCells count="6">
    <mergeCell ref="AK37:AO37"/>
    <mergeCell ref="F37:F38"/>
    <mergeCell ref="G37:G38"/>
    <mergeCell ref="F4:F5"/>
    <mergeCell ref="G4:G5"/>
    <mergeCell ref="AI37:AJ37"/>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5">
    <tabColor rgb="FF00B050"/>
    <pageSetUpPr fitToPage="1"/>
  </sheetPr>
  <dimension ref="A1:IU62"/>
  <sheetViews>
    <sheetView showGridLines="0" zoomScaleNormal="100" zoomScalePageLayoutView="85" workbookViewId="0">
      <selection sqref="A1:H1"/>
    </sheetView>
  </sheetViews>
  <sheetFormatPr defaultColWidth="0" defaultRowHeight="16.5" customHeight="1" zeroHeight="1"/>
  <cols>
    <col min="1" max="1" width="14.54296875" style="157" customWidth="1"/>
    <col min="2" max="4" width="13.54296875" style="157" customWidth="1"/>
    <col min="5" max="5" width="13.81640625" style="157" customWidth="1"/>
    <col min="6" max="6" width="13.54296875" style="157" customWidth="1"/>
    <col min="7" max="7" width="1.54296875" style="157" customWidth="1"/>
    <col min="8" max="8" width="15.81640625" style="157" bestFit="1" customWidth="1"/>
    <col min="9" max="12" width="13.54296875" style="157" customWidth="1"/>
    <col min="13" max="13" width="9.1796875" style="157" customWidth="1"/>
    <col min="14" max="255" width="9.1796875" style="157" hidden="1" customWidth="1"/>
    <col min="256" max="16384" width="0" style="157" hidden="1"/>
  </cols>
  <sheetData>
    <row r="1" spans="1:13" ht="54.75" customHeight="1">
      <c r="A1" s="2177" t="str">
        <f>Development!$A$3&amp;" Multi-Family Program"</f>
        <v>2024 Multi-Family Program</v>
      </c>
      <c r="B1" s="2155"/>
      <c r="C1" s="2155"/>
      <c r="D1" s="2155"/>
      <c r="E1" s="2155"/>
      <c r="F1" s="2155"/>
      <c r="G1" s="2155"/>
      <c r="H1" s="2155"/>
      <c r="I1" s="9"/>
      <c r="J1" s="9"/>
      <c r="K1" s="9"/>
      <c r="L1" s="9"/>
    </row>
    <row r="2" spans="1:13" ht="54.75" customHeight="1">
      <c r="A2" s="2178" t="s">
        <v>4633</v>
      </c>
      <c r="B2" s="2178"/>
      <c r="C2" s="2178"/>
      <c r="D2" s="2178"/>
      <c r="E2" s="2178"/>
      <c r="F2" s="2178"/>
      <c r="G2" s="2178"/>
      <c r="H2" s="2178"/>
      <c r="I2" s="15"/>
      <c r="J2" s="15"/>
      <c r="K2" s="15"/>
      <c r="L2" s="15"/>
    </row>
    <row r="3" spans="1:13" ht="40" customHeight="1">
      <c r="A3" s="2179" t="s">
        <v>4636</v>
      </c>
      <c r="B3" s="2179"/>
      <c r="C3" s="2179"/>
      <c r="D3" s="2179"/>
      <c r="E3" s="2179"/>
      <c r="F3" s="2179"/>
      <c r="G3" s="2179"/>
      <c r="H3" s="2179"/>
      <c r="I3" s="2179"/>
      <c r="J3" s="2179"/>
      <c r="K3" s="2179"/>
      <c r="L3" s="2179"/>
    </row>
    <row r="4" spans="1:13" ht="18.5" thickBot="1">
      <c r="A4" s="2129" t="s">
        <v>164</v>
      </c>
      <c r="B4" s="2129"/>
      <c r="C4" s="2129"/>
      <c r="D4" s="2129"/>
      <c r="E4" s="2129"/>
      <c r="F4" s="2129"/>
      <c r="G4" s="2129"/>
      <c r="H4" s="2129"/>
      <c r="I4" s="2129"/>
      <c r="J4" s="2129"/>
      <c r="K4" s="2129"/>
      <c r="L4" s="2129"/>
    </row>
    <row r="5" spans="1:13" ht="28" customHeight="1">
      <c r="A5" s="2122" t="s">
        <v>10</v>
      </c>
      <c r="B5" s="2122"/>
      <c r="C5" s="2176" t="str">
        <f>IF('Customer Information'!C6="","",'Customer Information'!C6)</f>
        <v/>
      </c>
      <c r="D5" s="2176"/>
      <c r="E5" s="2176"/>
      <c r="F5" s="2176"/>
      <c r="J5" s="349"/>
      <c r="K5" s="2180"/>
      <c r="L5" s="2180"/>
    </row>
    <row r="6" spans="1:13" ht="28" customHeight="1">
      <c r="A6" s="2122" t="s">
        <v>210</v>
      </c>
      <c r="B6" s="2122"/>
      <c r="C6" s="2176" t="str">
        <f>IF('Customer Information'!C7="","",'Customer Information'!C7)</f>
        <v/>
      </c>
      <c r="D6" s="2176"/>
      <c r="E6" s="2176"/>
      <c r="F6" s="2176"/>
      <c r="H6" s="349" t="s">
        <v>0</v>
      </c>
      <c r="I6" s="2173" t="str">
        <f>IF('Customer Information'!I7="","",'Customer Information'!I7)</f>
        <v/>
      </c>
      <c r="J6" s="2173"/>
      <c r="K6" s="349" t="s">
        <v>1</v>
      </c>
      <c r="L6" s="354" t="str">
        <f>IF('Customer Information'!L7="","",'Customer Information'!L7)</f>
        <v/>
      </c>
      <c r="M6" s="77"/>
    </row>
    <row r="7" spans="1:13" ht="28" customHeight="1">
      <c r="A7" s="2118" t="s">
        <v>211</v>
      </c>
      <c r="B7" s="2118"/>
      <c r="C7" s="2176" t="str">
        <f>IF('Customer Information'!C8="","",'Customer Information'!C8)</f>
        <v/>
      </c>
      <c r="D7" s="2176"/>
      <c r="E7" s="2176"/>
      <c r="F7" s="2176"/>
      <c r="H7" s="349" t="s">
        <v>0</v>
      </c>
      <c r="I7" s="2173" t="str">
        <f>IF('Customer Information'!I8="","",'Customer Information'!I8)</f>
        <v/>
      </c>
      <c r="J7" s="2173"/>
      <c r="K7" s="349" t="s">
        <v>1</v>
      </c>
      <c r="L7" s="354" t="str">
        <f>IF('Customer Information'!L8="","",'Customer Information'!L8)</f>
        <v/>
      </c>
    </row>
    <row r="8" spans="1:13" ht="28" customHeight="1">
      <c r="A8" s="2122"/>
      <c r="B8" s="2122"/>
      <c r="C8" s="2176" t="str">
        <f>IF('Customer Information'!C9="","",'Customer Information'!C9)</f>
        <v/>
      </c>
      <c r="D8" s="2176"/>
      <c r="E8" s="2176"/>
      <c r="F8" s="2176"/>
      <c r="I8" s="2128" t="s">
        <v>212</v>
      </c>
      <c r="J8" s="2128"/>
      <c r="K8" s="2164" t="str">
        <f>IF('Customer Information'!K9="","",'Customer Information'!K9)</f>
        <v/>
      </c>
      <c r="L8" s="2164"/>
    </row>
    <row r="9" spans="1:13" ht="28" customHeight="1">
      <c r="A9" s="2122" t="s">
        <v>213</v>
      </c>
      <c r="B9" s="2122"/>
      <c r="C9" s="2176" t="str">
        <f>IF('Customer Information'!C10="","",'Customer Information'!C10)</f>
        <v/>
      </c>
      <c r="D9" s="2176"/>
      <c r="E9" s="2176"/>
      <c r="F9" s="2176"/>
      <c r="I9" s="2131" t="s">
        <v>214</v>
      </c>
      <c r="J9" s="2131"/>
      <c r="K9" s="2164" t="str">
        <f>IF('Customer Information'!K10="","",'Customer Information'!K10)</f>
        <v/>
      </c>
      <c r="L9" s="2164"/>
    </row>
    <row r="10" spans="1:13" ht="28" customHeight="1">
      <c r="A10" s="2122" t="s">
        <v>4</v>
      </c>
      <c r="B10" s="2122"/>
      <c r="C10" s="2176" t="str">
        <f>IF('Customer Information'!C11="","",'Customer Information'!C11)</f>
        <v/>
      </c>
      <c r="D10" s="2176"/>
      <c r="E10" s="2176"/>
      <c r="F10" s="2176"/>
      <c r="I10" s="2131"/>
      <c r="J10" s="2131"/>
      <c r="K10" s="2174"/>
      <c r="L10" s="2174"/>
    </row>
    <row r="11" spans="1:13" ht="14">
      <c r="A11" s="348"/>
      <c r="B11" s="348"/>
    </row>
    <row r="12" spans="1:13" ht="3" customHeight="1">
      <c r="A12" s="75"/>
      <c r="B12" s="75"/>
      <c r="C12" s="75"/>
      <c r="D12" s="75"/>
      <c r="E12" s="75"/>
      <c r="F12" s="75"/>
      <c r="G12" s="75"/>
      <c r="H12" s="75"/>
      <c r="I12" s="75"/>
      <c r="J12" s="75"/>
      <c r="K12" s="75"/>
      <c r="L12" s="75"/>
    </row>
    <row r="13" spans="1:13" ht="18.5" thickBot="1">
      <c r="A13" s="2129" t="s">
        <v>6</v>
      </c>
      <c r="B13" s="2129"/>
      <c r="C13" s="2129"/>
      <c r="D13" s="2129"/>
      <c r="E13" s="2129"/>
      <c r="F13" s="2129"/>
      <c r="G13" s="2129"/>
      <c r="H13" s="2129"/>
      <c r="I13" s="2129"/>
      <c r="J13" s="2129"/>
      <c r="K13" s="2129"/>
      <c r="L13" s="2129"/>
    </row>
    <row r="14" spans="1:13" ht="23.25" customHeight="1">
      <c r="A14" s="2122" t="s">
        <v>7</v>
      </c>
      <c r="B14" s="2122"/>
      <c r="C14" s="2173" t="str">
        <f>IF('Customer Information'!C21="","",'Customer Information'!C21)</f>
        <v/>
      </c>
      <c r="D14" s="2173"/>
      <c r="E14" s="2173"/>
      <c r="F14" s="2173"/>
      <c r="G14" s="143"/>
      <c r="H14" s="143"/>
      <c r="I14" s="2175"/>
      <c r="J14" s="2175"/>
      <c r="K14" s="2175"/>
      <c r="L14" s="143"/>
    </row>
    <row r="15" spans="1:13" ht="23.25" customHeight="1">
      <c r="A15" s="2122" t="s">
        <v>8</v>
      </c>
      <c r="B15" s="2122"/>
      <c r="C15" s="2173" t="str">
        <f>IF('Customer Information'!C22="","",'Customer Information'!C22)</f>
        <v/>
      </c>
      <c r="D15" s="2173"/>
      <c r="E15" s="2173"/>
      <c r="F15" s="2173"/>
      <c r="H15" s="346" t="s">
        <v>0</v>
      </c>
      <c r="I15" s="2173" t="str">
        <f>IF('Customer Information'!I22="","",'Customer Information'!I22)</f>
        <v/>
      </c>
      <c r="J15" s="2173"/>
      <c r="K15" s="349" t="s">
        <v>1</v>
      </c>
      <c r="L15" s="354" t="str">
        <f>IF('Customer Information'!L22="","",'Customer Information'!L22)</f>
        <v/>
      </c>
      <c r="M15" s="77"/>
    </row>
    <row r="16" spans="1:13" ht="23.25" customHeight="1">
      <c r="A16" s="2122" t="s">
        <v>3</v>
      </c>
      <c r="B16" s="2122"/>
      <c r="C16" s="2173" t="str">
        <f>IF('Customer Information'!C23="","",'Customer Information'!C23)</f>
        <v/>
      </c>
      <c r="D16" s="2173"/>
      <c r="E16" s="2173"/>
      <c r="F16" s="2173"/>
      <c r="H16" s="76" t="s">
        <v>2</v>
      </c>
      <c r="I16" s="2164" t="str">
        <f>IF('Customer Information'!K23="","",'Customer Information'!K23)</f>
        <v/>
      </c>
      <c r="J16" s="2164"/>
      <c r="K16" s="77"/>
      <c r="L16" s="77"/>
    </row>
    <row r="17" spans="1:12" ht="23.25" customHeight="1">
      <c r="A17" s="2122" t="s">
        <v>215</v>
      </c>
      <c r="B17" s="2122"/>
      <c r="C17" s="2173" t="str">
        <f>IF('Customer Information'!C24="","",'Customer Information'!C24)</f>
        <v/>
      </c>
      <c r="D17" s="2173"/>
      <c r="E17" s="2173"/>
      <c r="F17" s="2173"/>
      <c r="H17" s="346" t="s">
        <v>214</v>
      </c>
      <c r="I17" s="2164" t="str">
        <f>IF('Customer Information'!K24="","",'Customer Information'!K24)</f>
        <v/>
      </c>
      <c r="J17" s="2164"/>
      <c r="K17" s="77"/>
      <c r="L17" s="77"/>
    </row>
    <row r="18" spans="1:12" ht="23.25" customHeight="1">
      <c r="A18" s="2122" t="s">
        <v>4</v>
      </c>
      <c r="B18" s="2122"/>
      <c r="C18" s="2173" t="str">
        <f>IF('Customer Information'!C25="","",'Customer Information'!C25)</f>
        <v/>
      </c>
      <c r="D18" s="2173"/>
      <c r="E18" s="2173"/>
      <c r="F18" s="2173"/>
      <c r="H18" s="346" t="s">
        <v>5</v>
      </c>
      <c r="I18" s="2164" t="str">
        <f>IF('Customer Information'!K25="","",'Customer Information'!K25)</f>
        <v/>
      </c>
      <c r="J18" s="2164"/>
      <c r="K18" s="77"/>
      <c r="L18" s="77"/>
    </row>
    <row r="19" spans="1:12" ht="5.25" customHeight="1">
      <c r="A19" s="346"/>
      <c r="B19" s="346"/>
      <c r="C19" s="353"/>
      <c r="D19" s="353"/>
      <c r="E19" s="353"/>
      <c r="F19" s="353"/>
      <c r="H19" s="346"/>
      <c r="I19" s="353"/>
      <c r="J19" s="353"/>
      <c r="K19" s="353"/>
      <c r="L19" s="353"/>
    </row>
    <row r="20" spans="1:12" ht="23.25" customHeight="1">
      <c r="A20" s="346"/>
      <c r="B20" s="346"/>
      <c r="C20" s="353"/>
      <c r="D20" s="353"/>
      <c r="E20" s="353"/>
      <c r="F20" s="353"/>
      <c r="H20" s="346"/>
      <c r="I20" s="353"/>
      <c r="J20" s="353"/>
      <c r="K20" s="353"/>
      <c r="L20" s="353"/>
    </row>
    <row r="21" spans="1:12" ht="18.5" thickBot="1">
      <c r="A21" s="2171" t="s">
        <v>216</v>
      </c>
      <c r="B21" s="2171"/>
      <c r="C21" s="2171"/>
      <c r="D21" s="2171"/>
      <c r="E21" s="2171"/>
      <c r="F21" s="2171"/>
      <c r="G21" s="2171"/>
      <c r="H21" s="2171"/>
      <c r="I21" s="2171"/>
      <c r="J21" s="2171"/>
      <c r="K21" s="2171"/>
      <c r="L21" s="2171"/>
    </row>
    <row r="22" spans="1:12" ht="22.5" customHeight="1">
      <c r="A22" s="78"/>
      <c r="B22" s="78"/>
      <c r="C22" s="78"/>
      <c r="D22" s="78"/>
      <c r="E22" s="78"/>
      <c r="F22" s="78"/>
      <c r="G22" s="78"/>
      <c r="H22" s="78"/>
      <c r="I22" s="78"/>
      <c r="J22" s="79" t="s">
        <v>506</v>
      </c>
      <c r="K22" s="2165">
        <f>IF('Customer Information'!K34="","",'Customer Information'!K34)</f>
        <v>0</v>
      </c>
      <c r="L22" s="2165"/>
    </row>
    <row r="23" spans="1:12" ht="21.75" customHeight="1"/>
    <row r="24" spans="1:12" ht="200.15" customHeight="1">
      <c r="A24" s="144"/>
      <c r="B24" s="2172" t="s">
        <v>4637</v>
      </c>
      <c r="C24" s="2172"/>
      <c r="D24" s="2172"/>
      <c r="E24" s="2172"/>
      <c r="F24" s="2172"/>
      <c r="G24" s="2172"/>
      <c r="H24" s="2172"/>
      <c r="I24" s="2172"/>
      <c r="J24" s="2172"/>
      <c r="K24" s="2172"/>
      <c r="L24" s="2172"/>
    </row>
    <row r="25" spans="1:12" ht="8.15" customHeight="1"/>
    <row r="26" spans="1:12" ht="15" customHeight="1">
      <c r="A26" s="344"/>
      <c r="B26" s="344"/>
      <c r="J26" s="76"/>
      <c r="K26" s="41"/>
      <c r="L26" s="41"/>
    </row>
    <row r="27" spans="1:12" ht="36.75" customHeight="1">
      <c r="A27" s="2141" t="s">
        <v>217</v>
      </c>
      <c r="B27" s="2142"/>
      <c r="C27" s="2120"/>
      <c r="D27" s="2120"/>
      <c r="E27" s="2120"/>
      <c r="F27" s="2120"/>
      <c r="G27" s="2120"/>
      <c r="H27" s="2120"/>
      <c r="I27" s="2120"/>
    </row>
    <row r="28" spans="1:12" ht="5.5" customHeight="1">
      <c r="A28" s="344"/>
      <c r="B28" s="345"/>
      <c r="C28" s="347"/>
      <c r="D28" s="347"/>
      <c r="E28" s="347"/>
      <c r="F28" s="347"/>
      <c r="G28" s="347"/>
      <c r="H28" s="347"/>
      <c r="I28" s="347"/>
    </row>
    <row r="29" spans="1:12" ht="47.25" customHeight="1">
      <c r="A29" s="2141" t="s">
        <v>234</v>
      </c>
      <c r="B29" s="2142"/>
      <c r="C29" s="2143"/>
      <c r="D29" s="2143"/>
      <c r="E29" s="2143"/>
      <c r="F29" s="2143"/>
      <c r="G29" s="2143"/>
      <c r="H29" s="2143"/>
      <c r="I29" s="2143"/>
      <c r="J29" s="349" t="s">
        <v>9</v>
      </c>
      <c r="K29" s="2144"/>
      <c r="L29" s="2145"/>
    </row>
    <row r="30" spans="1:12" ht="16.399999999999999" customHeight="1">
      <c r="A30" s="344"/>
      <c r="B30" s="2166"/>
      <c r="C30" s="2166"/>
      <c r="D30" s="2167"/>
      <c r="E30" s="2167"/>
      <c r="F30" s="2167"/>
      <c r="G30" s="2166"/>
      <c r="H30" s="2166"/>
      <c r="I30" s="2166"/>
      <c r="J30" s="2167"/>
      <c r="K30" s="2167"/>
      <c r="L30" s="91"/>
    </row>
    <row r="31" spans="1:12" ht="36.75" customHeight="1">
      <c r="A31" s="2141" t="s">
        <v>218</v>
      </c>
      <c r="B31" s="2142"/>
      <c r="C31" s="2168" t="str">
        <f>IF('Customer Information'!C23="","",'Customer Information'!C23)</f>
        <v/>
      </c>
      <c r="D31" s="2168"/>
      <c r="E31" s="2168"/>
      <c r="F31" s="2168"/>
      <c r="G31" s="2168"/>
      <c r="H31" s="2168"/>
      <c r="I31" s="2168"/>
      <c r="L31" s="91"/>
    </row>
    <row r="32" spans="1:12" ht="5.5" customHeight="1">
      <c r="A32" s="344"/>
      <c r="B32" s="345"/>
      <c r="C32" s="347"/>
      <c r="D32" s="347"/>
      <c r="E32" s="347"/>
      <c r="F32" s="347"/>
      <c r="G32" s="347"/>
      <c r="H32" s="347"/>
      <c r="I32" s="347"/>
      <c r="L32" s="91"/>
    </row>
    <row r="33" spans="1:12" ht="58.4" customHeight="1">
      <c r="A33" s="2141" t="s">
        <v>219</v>
      </c>
      <c r="B33" s="2142"/>
      <c r="C33" s="2143"/>
      <c r="D33" s="2143"/>
      <c r="E33" s="2143"/>
      <c r="F33" s="2143"/>
      <c r="G33" s="2143"/>
      <c r="H33" s="2143"/>
      <c r="I33" s="2143"/>
      <c r="J33" s="349" t="s">
        <v>9</v>
      </c>
      <c r="K33" s="2169"/>
      <c r="L33" s="2170"/>
    </row>
    <row r="34" spans="1:12" ht="14"/>
    <row r="35" spans="1:12" ht="14"/>
    <row r="36" spans="1:12" ht="14"/>
    <row r="37" spans="1:12" ht="14"/>
    <row r="38" spans="1:12" ht="14"/>
    <row r="39" spans="1:12" ht="14"/>
    <row r="40" spans="1:12" ht="14"/>
    <row r="41" spans="1:12" ht="16.5" customHeight="1">
      <c r="A41" s="80" t="s">
        <v>223</v>
      </c>
      <c r="B41" s="81" t="str">
        <f>Development!$A$4&amp;"_"&amp;Development!$A$2</f>
        <v>4.01.2024_2.0</v>
      </c>
      <c r="C41" s="82"/>
      <c r="D41" s="2136"/>
      <c r="E41" s="2136"/>
      <c r="F41" s="2136"/>
      <c r="G41" s="2137"/>
      <c r="H41" s="2137"/>
      <c r="I41" s="2137"/>
      <c r="J41" s="83"/>
      <c r="K41" s="84" t="s">
        <v>225</v>
      </c>
      <c r="L41" s="85" t="str">
        <f>Development!$A$4</f>
        <v>4.01.2024</v>
      </c>
    </row>
    <row r="42" spans="1:12" ht="16.5" customHeight="1"/>
    <row r="43" spans="1:12" ht="16.5" customHeight="1"/>
    <row r="44" spans="1:12" ht="16.5" customHeight="1"/>
    <row r="45" spans="1:12" ht="16.5" customHeight="1"/>
    <row r="46" spans="1:12" ht="16.5" customHeight="1"/>
    <row r="47" spans="1:12" ht="16.5" customHeight="1"/>
    <row r="48" spans="1:12"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sheetData>
  <sheetProtection algorithmName="SHA-512" hashValue="vgib9CGAT2sUVLaQDrBeMTJcfAKqDta/2qXaCySfjywtTASiEJ2chKfSoYbvhKmhuN1n/ZhrUSM63mkVvbPi7w==" saltValue="E4rMxx1/n4WZdkXlxj69Jg==" spinCount="100000" sheet="1" objects="1" scenarios="1"/>
  <mergeCells count="60">
    <mergeCell ref="A1:H1"/>
    <mergeCell ref="A2:H2"/>
    <mergeCell ref="A3:L3"/>
    <mergeCell ref="A4:L4"/>
    <mergeCell ref="A5:B5"/>
    <mergeCell ref="C5:F5"/>
    <mergeCell ref="K5:L5"/>
    <mergeCell ref="C9:F9"/>
    <mergeCell ref="I9:J9"/>
    <mergeCell ref="K9:L9"/>
    <mergeCell ref="A6:B6"/>
    <mergeCell ref="C6:F6"/>
    <mergeCell ref="I6:J6"/>
    <mergeCell ref="A7:B7"/>
    <mergeCell ref="C7:F7"/>
    <mergeCell ref="I7:J7"/>
    <mergeCell ref="C8:F8"/>
    <mergeCell ref="I8:J8"/>
    <mergeCell ref="K8:L8"/>
    <mergeCell ref="A9:B9"/>
    <mergeCell ref="A8:B8"/>
    <mergeCell ref="K10:L10"/>
    <mergeCell ref="A13:L13"/>
    <mergeCell ref="A14:B14"/>
    <mergeCell ref="C14:F14"/>
    <mergeCell ref="I14:K14"/>
    <mergeCell ref="A10:B10"/>
    <mergeCell ref="C10:F10"/>
    <mergeCell ref="I10:J10"/>
    <mergeCell ref="A15:B15"/>
    <mergeCell ref="C15:F15"/>
    <mergeCell ref="I15:J15"/>
    <mergeCell ref="A16:B16"/>
    <mergeCell ref="C16:F16"/>
    <mergeCell ref="I16:J16"/>
    <mergeCell ref="A21:L21"/>
    <mergeCell ref="B24:L24"/>
    <mergeCell ref="A27:B27"/>
    <mergeCell ref="C27:I27"/>
    <mergeCell ref="A17:B17"/>
    <mergeCell ref="C17:F17"/>
    <mergeCell ref="A18:B18"/>
    <mergeCell ref="C18:F18"/>
    <mergeCell ref="I17:J17"/>
    <mergeCell ref="D41:F41"/>
    <mergeCell ref="G41:I41"/>
    <mergeCell ref="I18:J18"/>
    <mergeCell ref="K22:L22"/>
    <mergeCell ref="A29:B29"/>
    <mergeCell ref="C29:I29"/>
    <mergeCell ref="K29:L29"/>
    <mergeCell ref="B30:C30"/>
    <mergeCell ref="D30:F30"/>
    <mergeCell ref="G30:I30"/>
    <mergeCell ref="J30:K30"/>
    <mergeCell ref="A31:B31"/>
    <mergeCell ref="C31:I31"/>
    <mergeCell ref="A33:B33"/>
    <mergeCell ref="C33:I33"/>
    <mergeCell ref="K33:L33"/>
  </mergeCells>
  <printOptions horizontalCentered="1"/>
  <pageMargins left="0" right="0" top="0.25" bottom="0.25" header="0.3" footer="0.3"/>
  <pageSetup scale="64"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B419C8-5201-43EB-BB2A-D95156387BDA}">
  <sheetPr codeName="Sheet35">
    <tabColor rgb="FFCC0000"/>
  </sheetPr>
  <dimension ref="A1:AD70"/>
  <sheetViews>
    <sheetView topLeftCell="J1" zoomScale="70" zoomScaleNormal="70" zoomScaleSheetLayoutView="50" workbookViewId="0">
      <selection activeCell="O33" sqref="O33"/>
    </sheetView>
  </sheetViews>
  <sheetFormatPr defaultColWidth="24.7265625" defaultRowHeight="14.5"/>
  <cols>
    <col min="2" max="2" width="42.81640625" bestFit="1" customWidth="1"/>
    <col min="3" max="3" width="14.1796875" bestFit="1" customWidth="1"/>
    <col min="4" max="4" width="11.54296875" customWidth="1"/>
    <col min="5" max="5" width="42.81640625" bestFit="1" customWidth="1"/>
    <col min="6" max="6" width="18" customWidth="1"/>
    <col min="7" max="7" width="92.81640625" bestFit="1" customWidth="1"/>
    <col min="8" max="8" width="43.1796875" bestFit="1" customWidth="1"/>
    <col min="9" max="9" width="20.7265625" customWidth="1"/>
    <col min="10" max="10" width="93.81640625" bestFit="1" customWidth="1"/>
    <col min="11" max="11" width="30.453125" customWidth="1"/>
    <col min="12" max="12" width="13.81640625" customWidth="1"/>
    <col min="13" max="13" width="43.54296875" customWidth="1"/>
    <col min="14" max="14" width="30.54296875" customWidth="1"/>
    <col min="15" max="15" width="33.453125" customWidth="1"/>
    <col min="16" max="16" width="30.81640625" customWidth="1"/>
    <col min="17" max="18" width="14.1796875" customWidth="1"/>
    <col min="19" max="19" width="23.26953125" customWidth="1"/>
    <col min="20" max="20" width="21.453125" customWidth="1"/>
    <col min="21" max="21" width="22.7265625" customWidth="1"/>
    <col min="22" max="22" width="17.453125" customWidth="1"/>
    <col min="23" max="23" width="11" customWidth="1"/>
    <col min="24" max="24" width="25.453125" customWidth="1"/>
    <col min="25" max="25" width="20.1796875" customWidth="1"/>
    <col min="26" max="26" width="39.1796875" customWidth="1"/>
    <col min="27" max="27" width="37.7265625" customWidth="1"/>
    <col min="28" max="28" width="24.7265625" customWidth="1"/>
  </cols>
  <sheetData>
    <row r="1" spans="1:30">
      <c r="F1" s="134" t="s">
        <v>4577</v>
      </c>
      <c r="G1">
        <v>3.4120000000000001E-3</v>
      </c>
    </row>
    <row r="2" spans="1:30">
      <c r="A2" s="2801" t="s">
        <v>2115</v>
      </c>
      <c r="B2" s="2801"/>
      <c r="C2" s="2801"/>
      <c r="D2" s="2801"/>
    </row>
    <row r="4" spans="1:30">
      <c r="H4" s="248" t="s">
        <v>2110</v>
      </c>
      <c r="I4" s="248" t="s">
        <v>193</v>
      </c>
      <c r="J4" s="248" t="s">
        <v>39</v>
      </c>
      <c r="K4" s="248" t="s">
        <v>636</v>
      </c>
      <c r="L4" s="248" t="s">
        <v>13</v>
      </c>
      <c r="M4" s="248" t="s">
        <v>3296</v>
      </c>
      <c r="N4" s="248" t="s">
        <v>3304</v>
      </c>
      <c r="O4" s="248" t="s">
        <v>3305</v>
      </c>
      <c r="P4" s="248" t="s">
        <v>3306</v>
      </c>
      <c r="Q4" s="248" t="s">
        <v>2111</v>
      </c>
      <c r="R4" s="248" t="s">
        <v>2112</v>
      </c>
      <c r="S4" s="248" t="s">
        <v>194</v>
      </c>
      <c r="T4" s="248" t="s">
        <v>3492</v>
      </c>
      <c r="U4" s="248" t="s">
        <v>3493</v>
      </c>
      <c r="V4" s="248" t="s">
        <v>195</v>
      </c>
      <c r="W4" s="248" t="s">
        <v>196</v>
      </c>
      <c r="X4" s="248" t="s">
        <v>201</v>
      </c>
      <c r="Y4" s="248" t="s">
        <v>202</v>
      </c>
      <c r="Z4" s="248" t="s">
        <v>2113</v>
      </c>
      <c r="AA4" s="248" t="s">
        <v>2114</v>
      </c>
      <c r="AB4" s="248" t="s">
        <v>566</v>
      </c>
      <c r="AC4" s="248" t="s">
        <v>216</v>
      </c>
      <c r="AD4" s="248" t="s">
        <v>3171</v>
      </c>
    </row>
    <row r="5" spans="1:30">
      <c r="B5" s="248" t="s">
        <v>2048</v>
      </c>
      <c r="C5" s="248" t="s">
        <v>3818</v>
      </c>
      <c r="H5" t="s">
        <v>2048</v>
      </c>
      <c r="I5" t="s">
        <v>3665</v>
      </c>
      <c r="J5" t="s">
        <v>3666</v>
      </c>
      <c r="K5" t="s">
        <v>3494</v>
      </c>
      <c r="M5">
        <f>C14</f>
        <v>0</v>
      </c>
      <c r="N5">
        <f>C13</f>
        <v>0</v>
      </c>
      <c r="O5">
        <f>C19</f>
        <v>0</v>
      </c>
      <c r="P5">
        <f>C18</f>
        <v>0</v>
      </c>
      <c r="Q5">
        <f>C17</f>
        <v>0</v>
      </c>
      <c r="R5">
        <f>C20</f>
        <v>0</v>
      </c>
      <c r="S5" s="115">
        <v>1</v>
      </c>
      <c r="T5" s="1036">
        <f>N5*K63</f>
        <v>0</v>
      </c>
      <c r="U5" t="e">
        <f>(H31/1000000*((1/C22*(C54*$K$60+C55*$K$61+C56*$K$64))+((1-(1/C24))*C30*C33*(C44*$K$60+C45*$K$61+C46*$K$64)/C41)))-(C18*$K$63)</f>
        <v>#DIV/0!</v>
      </c>
      <c r="V5">
        <v>0</v>
      </c>
      <c r="W5">
        <v>0</v>
      </c>
      <c r="X5">
        <v>7.1900000000000006E-2</v>
      </c>
      <c r="Y5">
        <v>5.67E-2</v>
      </c>
      <c r="AB5">
        <v>1</v>
      </c>
      <c r="AC5" s="828">
        <v>1000</v>
      </c>
    </row>
    <row r="6" spans="1:30">
      <c r="B6" s="1056" t="s">
        <v>2047</v>
      </c>
      <c r="C6" s="1056"/>
      <c r="H6" t="s">
        <v>2048</v>
      </c>
      <c r="I6" t="s">
        <v>3667</v>
      </c>
      <c r="J6" t="s">
        <v>3668</v>
      </c>
      <c r="K6" t="s">
        <v>3494</v>
      </c>
      <c r="M6">
        <f>F14</f>
        <v>0</v>
      </c>
      <c r="N6">
        <f>F13</f>
        <v>0</v>
      </c>
      <c r="O6">
        <f>F19</f>
        <v>0</v>
      </c>
      <c r="P6">
        <f>F18</f>
        <v>0</v>
      </c>
      <c r="Q6">
        <f>F17</f>
        <v>0</v>
      </c>
      <c r="R6">
        <f>F20</f>
        <v>0</v>
      </c>
      <c r="S6">
        <v>1</v>
      </c>
      <c r="T6" s="1036">
        <f>N6*$K$63</f>
        <v>0</v>
      </c>
      <c r="U6" t="e">
        <f>(I31/1000000*((1/F22*(F54*$K$60+F55*$K$61+F56*$K$64))+((1-(1/F24))*F30*F33*(F44*$K$60+F45*$K$61+F46*$K$64)/F41)))-(F18*$K$63)</f>
        <v>#DIV/0!</v>
      </c>
      <c r="V6">
        <v>0</v>
      </c>
      <c r="W6">
        <v>0</v>
      </c>
      <c r="X6">
        <v>7.1900000000000006E-2</v>
      </c>
      <c r="Y6">
        <v>5.67E-2</v>
      </c>
      <c r="AB6">
        <v>1</v>
      </c>
      <c r="AC6" s="828">
        <v>1000</v>
      </c>
    </row>
    <row r="7" spans="1:30">
      <c r="B7" s="701" t="s">
        <v>2049</v>
      </c>
      <c r="C7" s="701" t="s">
        <v>4663</v>
      </c>
      <c r="H7" t="s">
        <v>2128</v>
      </c>
      <c r="I7" t="s">
        <v>3669</v>
      </c>
      <c r="J7" t="s">
        <v>3670</v>
      </c>
      <c r="K7" t="s">
        <v>3295</v>
      </c>
      <c r="M7">
        <f>C61</f>
        <v>0</v>
      </c>
      <c r="N7" s="703">
        <f>C60</f>
        <v>0</v>
      </c>
      <c r="O7">
        <f>C65</f>
        <v>0</v>
      </c>
      <c r="P7">
        <f>C64</f>
        <v>0</v>
      </c>
      <c r="Q7">
        <f>C63</f>
        <v>0</v>
      </c>
      <c r="R7">
        <f>C66</f>
        <v>0</v>
      </c>
      <c r="S7">
        <f>C80</f>
        <v>0</v>
      </c>
      <c r="T7" s="1037">
        <f>(N7*$K$63)+(C73*(C74*$K$60+C75*$K$61+C76*$K$64))+((C77*C78)*$K$60)</f>
        <v>0</v>
      </c>
      <c r="U7">
        <v>0</v>
      </c>
      <c r="V7">
        <v>0.2</v>
      </c>
      <c r="W7">
        <v>0.1</v>
      </c>
      <c r="X7">
        <v>7.1900000000000006E-2</v>
      </c>
      <c r="Y7">
        <v>5.67E-2</v>
      </c>
      <c r="AB7">
        <v>1</v>
      </c>
      <c r="AC7" s="828">
        <v>50</v>
      </c>
    </row>
    <row r="8" spans="1:30">
      <c r="B8" s="701" t="s">
        <v>2050</v>
      </c>
      <c r="C8" s="701" t="s">
        <v>4664</v>
      </c>
      <c r="H8" t="s">
        <v>2130</v>
      </c>
      <c r="I8" t="s">
        <v>3671</v>
      </c>
      <c r="J8" t="s">
        <v>3672</v>
      </c>
      <c r="K8" t="s">
        <v>3495</v>
      </c>
      <c r="M8">
        <f>C89</f>
        <v>0</v>
      </c>
      <c r="N8">
        <f>C88</f>
        <v>0</v>
      </c>
      <c r="O8">
        <f>C93</f>
        <v>0</v>
      </c>
      <c r="P8">
        <f>C92</f>
        <v>0</v>
      </c>
      <c r="Q8">
        <f>C91</f>
        <v>0</v>
      </c>
      <c r="R8">
        <f>C94</f>
        <v>0</v>
      </c>
      <c r="S8">
        <f>C106</f>
        <v>0</v>
      </c>
      <c r="T8">
        <f>N8*$K$62</f>
        <v>0</v>
      </c>
      <c r="U8" t="e">
        <f>(C96*C97*C104/C99*C102*0.003412)*$K$60-P8*$K$62</f>
        <v>#DIV/0!</v>
      </c>
      <c r="V8">
        <v>0.2</v>
      </c>
      <c r="W8">
        <v>0.1</v>
      </c>
      <c r="X8">
        <v>7.1900000000000006E-2</v>
      </c>
      <c r="Y8">
        <v>5.67E-2</v>
      </c>
      <c r="AB8">
        <v>1</v>
      </c>
      <c r="AC8" s="828">
        <v>50</v>
      </c>
    </row>
    <row r="9" spans="1:30">
      <c r="H9" t="s">
        <v>2130</v>
      </c>
      <c r="I9" s="672" t="s">
        <v>4966</v>
      </c>
      <c r="J9" t="s">
        <v>2131</v>
      </c>
      <c r="K9" t="s">
        <v>3495</v>
      </c>
      <c r="M9" s="703">
        <f>C115</f>
        <v>0</v>
      </c>
      <c r="N9" s="703">
        <f>C114</f>
        <v>0</v>
      </c>
      <c r="O9" s="703">
        <f>C119</f>
        <v>0</v>
      </c>
      <c r="P9" s="704">
        <f>C118</f>
        <v>0</v>
      </c>
      <c r="Q9" s="703">
        <f>C117</f>
        <v>0</v>
      </c>
      <c r="R9">
        <f>C120</f>
        <v>0</v>
      </c>
      <c r="S9">
        <f>C132</f>
        <v>0</v>
      </c>
      <c r="T9">
        <f>N9*$K$63</f>
        <v>0</v>
      </c>
      <c r="U9" t="e">
        <f>(C122*C123*C130/C125*C128*0.003412)*$K$60-P9*$K$63</f>
        <v>#DIV/0!</v>
      </c>
      <c r="V9">
        <v>0.2</v>
      </c>
      <c r="W9">
        <v>0.1</v>
      </c>
      <c r="X9">
        <v>7.1900000000000006E-2</v>
      </c>
      <c r="Y9">
        <v>5.67E-2</v>
      </c>
      <c r="AB9">
        <v>1</v>
      </c>
      <c r="AC9" s="828">
        <v>300</v>
      </c>
    </row>
    <row r="10" spans="1:30">
      <c r="H10" t="s">
        <v>2132</v>
      </c>
      <c r="I10" t="s">
        <v>3673</v>
      </c>
      <c r="J10" t="s">
        <v>2133</v>
      </c>
      <c r="K10" t="s">
        <v>3496</v>
      </c>
      <c r="M10">
        <f>C141</f>
        <v>0</v>
      </c>
      <c r="N10">
        <f>C140</f>
        <v>0</v>
      </c>
      <c r="O10">
        <f>C145</f>
        <v>0</v>
      </c>
      <c r="P10">
        <f>C144</f>
        <v>0</v>
      </c>
      <c r="Q10">
        <f>C143</f>
        <v>0</v>
      </c>
      <c r="R10">
        <f>C146</f>
        <v>0</v>
      </c>
      <c r="S10">
        <f>C159</f>
        <v>0</v>
      </c>
      <c r="T10" s="1037" t="e">
        <f>(N10*$K$63)+((C148-C149)*C152*(C154*$K$60+C155*$K$61+C156*$K$64)*C157/C158*3412/1000000)</f>
        <v>#DIV/0!</v>
      </c>
      <c r="U10">
        <v>0</v>
      </c>
      <c r="V10">
        <v>0.2</v>
      </c>
      <c r="W10">
        <v>0.1</v>
      </c>
      <c r="X10">
        <v>7.1900000000000006E-2</v>
      </c>
      <c r="Y10">
        <v>5.67E-2</v>
      </c>
      <c r="AB10">
        <v>1</v>
      </c>
      <c r="AC10" s="828">
        <v>40</v>
      </c>
    </row>
    <row r="11" spans="1:30">
      <c r="H11" t="s">
        <v>2134</v>
      </c>
      <c r="I11" t="s">
        <v>3674</v>
      </c>
      <c r="J11" t="s">
        <v>2135</v>
      </c>
      <c r="K11" t="s">
        <v>3497</v>
      </c>
      <c r="M11">
        <f>C168</f>
        <v>0</v>
      </c>
      <c r="N11">
        <f>C167</f>
        <v>0</v>
      </c>
      <c r="O11">
        <f>C171</f>
        <v>0</v>
      </c>
      <c r="P11">
        <f>C170</f>
        <v>0</v>
      </c>
      <c r="Q11">
        <f>C169</f>
        <v>0</v>
      </c>
      <c r="R11">
        <f>C172</f>
        <v>0</v>
      </c>
      <c r="S11">
        <f>C185</f>
        <v>0</v>
      </c>
      <c r="T11" s="1036">
        <f>$K$62*N11</f>
        <v>0</v>
      </c>
      <c r="U11">
        <v>0</v>
      </c>
      <c r="V11">
        <v>0.2</v>
      </c>
      <c r="W11">
        <v>0.1</v>
      </c>
      <c r="X11">
        <v>7.1900000000000006E-2</v>
      </c>
      <c r="Y11">
        <v>5.67E-2</v>
      </c>
      <c r="AB11">
        <v>1</v>
      </c>
      <c r="AC11" s="828"/>
    </row>
    <row r="12" spans="1:30">
      <c r="H12" t="s">
        <v>2136</v>
      </c>
      <c r="I12" t="s">
        <v>4626</v>
      </c>
      <c r="J12" t="s">
        <v>4620</v>
      </c>
      <c r="K12" t="s">
        <v>3498</v>
      </c>
      <c r="M12">
        <f>C194</f>
        <v>0</v>
      </c>
      <c r="N12">
        <f>C193</f>
        <v>0</v>
      </c>
      <c r="O12">
        <f>C198</f>
        <v>0</v>
      </c>
      <c r="P12">
        <f>C197</f>
        <v>0</v>
      </c>
      <c r="Q12">
        <f>C196</f>
        <v>0</v>
      </c>
      <c r="R12">
        <f>C199</f>
        <v>0</v>
      </c>
      <c r="S12">
        <f>C207</f>
        <v>0</v>
      </c>
      <c r="T12">
        <f>N12*$K$63</f>
        <v>0</v>
      </c>
      <c r="U12">
        <v>0</v>
      </c>
      <c r="V12">
        <v>0.3</v>
      </c>
      <c r="W12">
        <v>0</v>
      </c>
      <c r="X12">
        <v>7.1900000000000006E-2</v>
      </c>
      <c r="Y12">
        <v>5.67E-2</v>
      </c>
      <c r="AB12">
        <v>1</v>
      </c>
      <c r="AC12" s="828">
        <v>60</v>
      </c>
    </row>
    <row r="13" spans="1:30">
      <c r="H13" t="s">
        <v>2136</v>
      </c>
      <c r="I13" t="s">
        <v>4627</v>
      </c>
      <c r="J13" t="s">
        <v>4621</v>
      </c>
      <c r="K13" t="s">
        <v>3498</v>
      </c>
      <c r="M13">
        <f>F194</f>
        <v>0</v>
      </c>
      <c r="N13">
        <f>F193</f>
        <v>0</v>
      </c>
      <c r="O13">
        <f>F198</f>
        <v>0</v>
      </c>
      <c r="P13">
        <f>F197</f>
        <v>0</v>
      </c>
      <c r="Q13">
        <f>F196</f>
        <v>0</v>
      </c>
      <c r="R13">
        <f>F199</f>
        <v>0</v>
      </c>
      <c r="S13">
        <f>F207</f>
        <v>0</v>
      </c>
      <c r="T13">
        <f>N13*$K$62</f>
        <v>0</v>
      </c>
      <c r="U13">
        <v>0</v>
      </c>
      <c r="V13">
        <v>0.3</v>
      </c>
      <c r="W13">
        <v>0.15</v>
      </c>
      <c r="X13">
        <v>7.1900000000000006E-2</v>
      </c>
      <c r="Y13">
        <v>5.67E-2</v>
      </c>
      <c r="AB13">
        <v>1</v>
      </c>
      <c r="AC13" s="828">
        <v>80</v>
      </c>
    </row>
    <row r="14" spans="1:30">
      <c r="H14" t="s">
        <v>2137</v>
      </c>
      <c r="I14" t="s">
        <v>3675</v>
      </c>
      <c r="J14" t="s">
        <v>2138</v>
      </c>
      <c r="K14" t="s">
        <v>2137</v>
      </c>
      <c r="M14">
        <f>C216</f>
        <v>0</v>
      </c>
      <c r="N14">
        <f>C215</f>
        <v>0</v>
      </c>
      <c r="O14">
        <f>C220</f>
        <v>0</v>
      </c>
      <c r="P14">
        <f>C219</f>
        <v>0</v>
      </c>
      <c r="Q14">
        <f>C218</f>
        <v>0</v>
      </c>
      <c r="R14">
        <f>C221</f>
        <v>0</v>
      </c>
      <c r="S14">
        <f>C227</f>
        <v>0</v>
      </c>
      <c r="T14">
        <f>N14*K62</f>
        <v>0</v>
      </c>
      <c r="U14">
        <v>0</v>
      </c>
      <c r="V14">
        <v>0.3</v>
      </c>
      <c r="W14">
        <v>0.15</v>
      </c>
      <c r="X14">
        <v>7.1900000000000006E-2</v>
      </c>
      <c r="Y14">
        <v>5.67E-2</v>
      </c>
      <c r="AB14">
        <v>1</v>
      </c>
      <c r="AC14" s="828">
        <v>30</v>
      </c>
    </row>
    <row r="15" spans="1:30">
      <c r="H15" t="s">
        <v>2146</v>
      </c>
      <c r="I15" t="s">
        <v>3676</v>
      </c>
      <c r="J15" t="s">
        <v>3486</v>
      </c>
      <c r="K15" t="s">
        <v>3499</v>
      </c>
      <c r="M15">
        <f>D236</f>
        <v>0</v>
      </c>
      <c r="N15">
        <f>D235</f>
        <v>0</v>
      </c>
      <c r="O15">
        <f>D240</f>
        <v>0</v>
      </c>
      <c r="P15">
        <f>D239</f>
        <v>0</v>
      </c>
      <c r="Q15">
        <f>D238</f>
        <v>0</v>
      </c>
      <c r="R15">
        <f>D241</f>
        <v>0</v>
      </c>
      <c r="S15">
        <v>0.8</v>
      </c>
      <c r="T15">
        <f>N15*$K$62</f>
        <v>0</v>
      </c>
      <c r="U15">
        <v>0</v>
      </c>
      <c r="V15">
        <v>0</v>
      </c>
      <c r="W15">
        <v>0</v>
      </c>
      <c r="X15">
        <v>7.1900000000000006E-2</v>
      </c>
      <c r="Y15">
        <v>5.67E-2</v>
      </c>
      <c r="AB15">
        <v>1</v>
      </c>
      <c r="AC15" s="828">
        <v>15</v>
      </c>
    </row>
    <row r="16" spans="1:30">
      <c r="H16" t="s">
        <v>2146</v>
      </c>
      <c r="I16" t="s">
        <v>3677</v>
      </c>
      <c r="J16" t="s">
        <v>2139</v>
      </c>
      <c r="K16" t="s">
        <v>3499</v>
      </c>
      <c r="M16">
        <f>C236</f>
        <v>0</v>
      </c>
      <c r="N16">
        <f>C235</f>
        <v>0</v>
      </c>
      <c r="O16">
        <f>C240</f>
        <v>0</v>
      </c>
      <c r="P16">
        <f>C239</f>
        <v>0</v>
      </c>
      <c r="Q16">
        <f>C238</f>
        <v>0</v>
      </c>
      <c r="R16">
        <f>C241</f>
        <v>0</v>
      </c>
      <c r="S16">
        <v>0.8</v>
      </c>
      <c r="T16">
        <f>N16*$K$62</f>
        <v>0</v>
      </c>
      <c r="U16">
        <v>0</v>
      </c>
      <c r="V16">
        <v>0</v>
      </c>
      <c r="W16">
        <v>0</v>
      </c>
      <c r="X16">
        <v>7.1900000000000006E-2</v>
      </c>
      <c r="Y16">
        <v>5.67E-2</v>
      </c>
      <c r="AB16">
        <v>1</v>
      </c>
      <c r="AC16" s="828">
        <v>25</v>
      </c>
    </row>
    <row r="17" spans="2:29">
      <c r="H17" t="s">
        <v>2148</v>
      </c>
      <c r="I17" t="s">
        <v>3678</v>
      </c>
      <c r="J17" t="s">
        <v>2147</v>
      </c>
      <c r="K17" t="s">
        <v>3500</v>
      </c>
      <c r="M17">
        <f>C271</f>
        <v>0</v>
      </c>
      <c r="N17">
        <f>C272</f>
        <v>0</v>
      </c>
      <c r="O17">
        <f>C274</f>
        <v>0</v>
      </c>
      <c r="P17">
        <f>C275</f>
        <v>0</v>
      </c>
      <c r="Q17">
        <f>C273</f>
        <v>0</v>
      </c>
      <c r="R17">
        <f>C276</f>
        <v>0</v>
      </c>
      <c r="S17">
        <f>C264</f>
        <v>0</v>
      </c>
      <c r="T17" s="1245">
        <f>N17*$K$62+(((C257-C258)*((C269*365*C266)))/1000*(C261+C262+C263)*$K$66)</f>
        <v>0</v>
      </c>
      <c r="U17">
        <v>0</v>
      </c>
      <c r="V17">
        <v>0.45</v>
      </c>
      <c r="W17">
        <v>0</v>
      </c>
      <c r="X17">
        <v>7.1900000000000006E-2</v>
      </c>
      <c r="Y17">
        <v>5.67E-2</v>
      </c>
      <c r="AB17">
        <f>C268</f>
        <v>0</v>
      </c>
      <c r="AC17" s="828">
        <v>2.25</v>
      </c>
    </row>
    <row r="18" spans="2:29">
      <c r="H18" t="s">
        <v>261</v>
      </c>
      <c r="I18" t="s">
        <v>3679</v>
      </c>
      <c r="J18" t="s">
        <v>3680</v>
      </c>
      <c r="K18" t="s">
        <v>261</v>
      </c>
      <c r="M18" s="107">
        <f>D301</f>
        <v>0</v>
      </c>
      <c r="N18" s="107">
        <f>D300</f>
        <v>0</v>
      </c>
      <c r="O18" s="107">
        <f>C305</f>
        <v>0</v>
      </c>
      <c r="P18" s="107">
        <f>C304</f>
        <v>0</v>
      </c>
      <c r="Q18" s="107">
        <f>D303</f>
        <v>0</v>
      </c>
      <c r="R18" s="107">
        <f>C306</f>
        <v>0</v>
      </c>
      <c r="S18">
        <v>0</v>
      </c>
      <c r="T18" s="1038">
        <f>C300*$K$63+C329*$K$66</f>
        <v>0</v>
      </c>
      <c r="U18">
        <v>0</v>
      </c>
      <c r="V18">
        <v>0.1</v>
      </c>
      <c r="W18">
        <v>0</v>
      </c>
      <c r="X18">
        <v>7.1900000000000006E-2</v>
      </c>
      <c r="Y18">
        <v>5.67E-2</v>
      </c>
      <c r="AB18">
        <v>1</v>
      </c>
      <c r="AC18" s="828">
        <v>100</v>
      </c>
    </row>
    <row r="19" spans="2:29">
      <c r="H19" t="s">
        <v>261</v>
      </c>
      <c r="I19" t="s">
        <v>3681</v>
      </c>
      <c r="J19" t="s">
        <v>3682</v>
      </c>
      <c r="K19" t="s">
        <v>261</v>
      </c>
      <c r="M19" s="301">
        <f>C301</f>
        <v>0</v>
      </c>
      <c r="N19" s="1631">
        <f>C300</f>
        <v>0</v>
      </c>
      <c r="O19" s="107">
        <f>D305</f>
        <v>0</v>
      </c>
      <c r="P19" s="107">
        <f>D304</f>
        <v>0</v>
      </c>
      <c r="Q19" s="107">
        <f>C303</f>
        <v>0</v>
      </c>
      <c r="R19" s="107">
        <f>D306</f>
        <v>0</v>
      </c>
      <c r="S19">
        <v>0</v>
      </c>
      <c r="T19" s="1038">
        <f>D300*$K$63+D329*$K$66</f>
        <v>0</v>
      </c>
      <c r="U19">
        <v>0</v>
      </c>
      <c r="V19">
        <v>0.1</v>
      </c>
      <c r="W19">
        <v>0</v>
      </c>
      <c r="X19">
        <v>7.1900000000000006E-2</v>
      </c>
      <c r="Y19">
        <v>5.67E-2</v>
      </c>
      <c r="AB19">
        <v>1</v>
      </c>
      <c r="AC19" s="828">
        <v>130</v>
      </c>
    </row>
    <row r="20" spans="2:29">
      <c r="H20" t="s">
        <v>3818</v>
      </c>
      <c r="I20" t="s">
        <v>3828</v>
      </c>
      <c r="J20" t="s">
        <v>3994</v>
      </c>
      <c r="K20" t="s">
        <v>3818</v>
      </c>
      <c r="M20">
        <f>H62</f>
        <v>0</v>
      </c>
      <c r="N20">
        <f>H61</f>
        <v>0</v>
      </c>
      <c r="O20">
        <f>H66</f>
        <v>0</v>
      </c>
      <c r="P20">
        <f>H65</f>
        <v>0</v>
      </c>
      <c r="Q20" s="704">
        <f>H64</f>
        <v>0</v>
      </c>
      <c r="R20">
        <f>H67</f>
        <v>0</v>
      </c>
      <c r="S20">
        <v>0.8</v>
      </c>
      <c r="T20">
        <f>N20*$K$62</f>
        <v>0</v>
      </c>
      <c r="U20" t="e">
        <f>(H31/1000000*((1/H69*(C54*K60+C55*K61+C56*K64)))-(H65*$K$62))</f>
        <v>#DIV/0!</v>
      </c>
      <c r="V20">
        <v>0</v>
      </c>
      <c r="W20">
        <v>0</v>
      </c>
      <c r="X20">
        <v>7.1900000000000006E-2</v>
      </c>
      <c r="Y20">
        <v>5.67E-2</v>
      </c>
      <c r="AB20">
        <v>1</v>
      </c>
      <c r="AC20" s="828">
        <v>100</v>
      </c>
    </row>
    <row r="21" spans="2:29">
      <c r="H21" t="s">
        <v>3818</v>
      </c>
      <c r="I21" t="s">
        <v>3993</v>
      </c>
      <c r="J21" t="s">
        <v>3995</v>
      </c>
      <c r="K21" t="s">
        <v>3818</v>
      </c>
      <c r="M21" s="301">
        <f>I62</f>
        <v>0</v>
      </c>
      <c r="N21" s="1063">
        <f>I61</f>
        <v>0</v>
      </c>
      <c r="O21" s="703">
        <f>I66</f>
        <v>0</v>
      </c>
      <c r="P21" s="107">
        <f>I65</f>
        <v>0</v>
      </c>
      <c r="Q21" s="1064">
        <f>I64</f>
        <v>0</v>
      </c>
      <c r="R21" s="107">
        <f>I67</f>
        <v>0</v>
      </c>
      <c r="S21">
        <v>0.8</v>
      </c>
      <c r="T21" s="109">
        <f>N21*$K$62</f>
        <v>0</v>
      </c>
      <c r="U21" t="e">
        <f>(H31/1000000*((1/I69*(C54*K60+C55*K61+C56*K64)))-(I65*$K$62))</f>
        <v>#DIV/0!</v>
      </c>
      <c r="V21">
        <v>0</v>
      </c>
      <c r="W21">
        <v>0</v>
      </c>
      <c r="X21">
        <v>7.1900000000000006E-2</v>
      </c>
      <c r="Y21">
        <v>5.67E-2</v>
      </c>
      <c r="AB21">
        <v>1</v>
      </c>
      <c r="AC21" s="828">
        <v>300</v>
      </c>
    </row>
    <row r="22" spans="2:29">
      <c r="H22" s="1434" t="s">
        <v>4592</v>
      </c>
      <c r="I22" s="1434" t="s">
        <v>4605</v>
      </c>
      <c r="J22" s="1434" t="s">
        <v>4650</v>
      </c>
      <c r="K22" t="s">
        <v>3500</v>
      </c>
      <c r="M22">
        <f>M17</f>
        <v>0</v>
      </c>
      <c r="N22">
        <f t="shared" ref="N22:AB22" si="0">N17</f>
        <v>0</v>
      </c>
      <c r="O22">
        <f t="shared" si="0"/>
        <v>0</v>
      </c>
      <c r="P22">
        <f t="shared" si="0"/>
        <v>0</v>
      </c>
      <c r="Q22">
        <f t="shared" si="0"/>
        <v>0</v>
      </c>
      <c r="R22">
        <f t="shared" si="0"/>
        <v>0</v>
      </c>
      <c r="S22">
        <f t="shared" si="0"/>
        <v>0</v>
      </c>
      <c r="T22">
        <f t="shared" si="0"/>
        <v>0</v>
      </c>
      <c r="U22">
        <f t="shared" si="0"/>
        <v>0</v>
      </c>
      <c r="V22">
        <f t="shared" si="0"/>
        <v>0.45</v>
      </c>
      <c r="W22">
        <f t="shared" si="0"/>
        <v>0</v>
      </c>
      <c r="X22">
        <f t="shared" si="0"/>
        <v>7.1900000000000006E-2</v>
      </c>
      <c r="Y22">
        <f t="shared" si="0"/>
        <v>5.67E-2</v>
      </c>
      <c r="AB22">
        <f t="shared" si="0"/>
        <v>0</v>
      </c>
      <c r="AC22" s="828">
        <v>8</v>
      </c>
    </row>
    <row r="23" spans="2:29">
      <c r="H23" t="s">
        <v>2128</v>
      </c>
      <c r="I23" t="s">
        <v>5008</v>
      </c>
      <c r="J23" t="s">
        <v>5011</v>
      </c>
      <c r="K23" t="s">
        <v>3295</v>
      </c>
      <c r="M23">
        <v>0.78960845073956509</v>
      </c>
      <c r="N23">
        <v>232.9344929681717</v>
      </c>
      <c r="O23">
        <v>0.78960845073956509</v>
      </c>
      <c r="P23">
        <v>0</v>
      </c>
      <c r="Q23">
        <v>0.7947724900074018</v>
      </c>
      <c r="R23">
        <v>0</v>
      </c>
      <c r="S23">
        <v>2.9000000000000001E-2</v>
      </c>
      <c r="X23">
        <f t="shared" ref="X23:Y23" si="1">X18</f>
        <v>7.1900000000000006E-2</v>
      </c>
      <c r="Y23">
        <f t="shared" si="1"/>
        <v>5.67E-2</v>
      </c>
      <c r="AC23" s="643">
        <v>40</v>
      </c>
    </row>
    <row r="24" spans="2:29">
      <c r="B24" s="1531" t="s">
        <v>4990</v>
      </c>
      <c r="H24" t="s">
        <v>5027</v>
      </c>
      <c r="I24" t="s">
        <v>5009</v>
      </c>
      <c r="J24" t="s">
        <v>5030</v>
      </c>
      <c r="K24" t="s">
        <v>5031</v>
      </c>
      <c r="M24">
        <v>7.628373287671234E-3</v>
      </c>
      <c r="N24">
        <v>47.034000000000006</v>
      </c>
      <c r="O24">
        <v>0</v>
      </c>
      <c r="P24">
        <v>0</v>
      </c>
      <c r="Q24">
        <v>0.16048000800000004</v>
      </c>
      <c r="R24">
        <v>0</v>
      </c>
      <c r="S24">
        <v>1</v>
      </c>
      <c r="X24">
        <f t="shared" ref="X24:Y24" si="2">X19</f>
        <v>7.1900000000000006E-2</v>
      </c>
      <c r="Y24">
        <f t="shared" si="2"/>
        <v>5.67E-2</v>
      </c>
      <c r="AC24" s="643">
        <v>30</v>
      </c>
    </row>
    <row r="25" spans="2:29">
      <c r="B25" s="61" t="s">
        <v>456</v>
      </c>
      <c r="C25" s="61" t="s">
        <v>4991</v>
      </c>
      <c r="D25" s="61" t="s">
        <v>363</v>
      </c>
      <c r="H25" t="s">
        <v>5028</v>
      </c>
      <c r="I25" t="s">
        <v>5010</v>
      </c>
      <c r="J25" t="s">
        <v>5029</v>
      </c>
      <c r="K25" t="s">
        <v>2132</v>
      </c>
      <c r="M25">
        <v>0.12292358803986711</v>
      </c>
      <c r="N25">
        <v>37</v>
      </c>
      <c r="O25">
        <v>0.12292358803986711</v>
      </c>
      <c r="P25">
        <v>0</v>
      </c>
      <c r="Q25">
        <v>0.126244</v>
      </c>
      <c r="R25">
        <v>0</v>
      </c>
      <c r="S25">
        <v>2.9000000000000001E-2</v>
      </c>
      <c r="X25">
        <f t="shared" ref="X25:Y25" si="3">X20</f>
        <v>7.1900000000000006E-2</v>
      </c>
      <c r="Y25">
        <f t="shared" si="3"/>
        <v>5.67E-2</v>
      </c>
      <c r="AC25" s="643">
        <v>30</v>
      </c>
    </row>
    <row r="26" spans="2:29">
      <c r="B26" s="109" t="s">
        <v>372</v>
      </c>
      <c r="C26" s="109" t="s">
        <v>4992</v>
      </c>
      <c r="D26" s="109" t="s">
        <v>379</v>
      </c>
      <c r="AC26" s="828"/>
    </row>
    <row r="27" spans="2:29">
      <c r="B27" s="109" t="s">
        <v>4993</v>
      </c>
      <c r="C27" s="109"/>
      <c r="D27" s="109"/>
      <c r="AC27" s="828"/>
    </row>
    <row r="28" spans="2:29" ht="15" thickBot="1">
      <c r="B28" s="109"/>
      <c r="C28" s="109"/>
      <c r="D28" s="109"/>
      <c r="AC28" s="828"/>
    </row>
    <row r="29" spans="2:29">
      <c r="B29" s="109"/>
      <c r="C29" s="109"/>
      <c r="D29" s="109"/>
      <c r="L29" s="2083"/>
      <c r="M29" s="2084" t="s">
        <v>5673</v>
      </c>
      <c r="AC29" s="828"/>
    </row>
    <row r="30" spans="2:29">
      <c r="L30" s="1204">
        <v>1</v>
      </c>
      <c r="M30" s="1203" t="str">
        <f>IF('Multi-Family Heat Pumps'!T129="","",IF('Multi-Family Heat Pumps'!H129='Appliances References'!$B$7,'Appliances References'!$AC$5*'Multi-Family Heat Pumps'!F129,'Appliances References'!$AC$6*'Multi-Family Heat Pumps'!F129))</f>
        <v/>
      </c>
    </row>
    <row r="31" spans="2:29">
      <c r="L31" s="1204">
        <v>2</v>
      </c>
      <c r="M31" s="1203" t="str">
        <f>IF('Multi-Family Heat Pumps'!T131="","",IF('Multi-Family Heat Pumps'!H131='Appliances References'!$B$7,'Appliances References'!$AC$5*'Multi-Family Heat Pumps'!F131,'Appliances References'!$AC$6*'Multi-Family Heat Pumps'!F131))</f>
        <v/>
      </c>
    </row>
    <row r="32" spans="2:29">
      <c r="B32" s="1532" t="s">
        <v>4994</v>
      </c>
      <c r="L32" s="1204">
        <v>3</v>
      </c>
      <c r="M32" s="1203" t="str">
        <f>IF('Multi-Family Heat Pumps'!T133="","",IF('Multi-Family Heat Pumps'!H133='Appliances References'!$B$7,'Appliances References'!$AC$5*'Multi-Family Heat Pumps'!F133,'Appliances References'!$AC$6*'Multi-Family Heat Pumps'!F133))</f>
        <v/>
      </c>
    </row>
    <row r="33" spans="2:13" ht="15" thickBot="1">
      <c r="B33" s="61" t="s">
        <v>4995</v>
      </c>
      <c r="C33" s="61" t="s">
        <v>456</v>
      </c>
      <c r="D33" s="61" t="s">
        <v>4996</v>
      </c>
      <c r="E33" s="61" t="s">
        <v>363</v>
      </c>
      <c r="L33" s="1202">
        <v>4</v>
      </c>
      <c r="M33" s="1200" t="str">
        <f>IF('Multi-Family Heat Pumps'!T135="","",IF('Multi-Family Heat Pumps'!H135='Appliances References'!$B$7,'Appliances References'!$AC$5*'Multi-Family Heat Pumps'!F135,'Appliances References'!$AC$6*'Multi-Family Heat Pumps'!F135))</f>
        <v/>
      </c>
    </row>
    <row r="34" spans="2:13">
      <c r="B34" s="1533" t="s">
        <v>4997</v>
      </c>
      <c r="C34" s="1533" t="s">
        <v>4998</v>
      </c>
      <c r="D34" s="1533" t="s">
        <v>4999</v>
      </c>
      <c r="E34" s="1533" t="s">
        <v>380</v>
      </c>
    </row>
    <row r="35" spans="2:13">
      <c r="B35" s="1534" t="s">
        <v>5000</v>
      </c>
      <c r="C35" s="109"/>
      <c r="D35" s="109"/>
      <c r="E35" s="109"/>
    </row>
    <row r="40" spans="2:13">
      <c r="H40" s="248" t="s">
        <v>5012</v>
      </c>
      <c r="J40" s="248" t="s">
        <v>5472</v>
      </c>
    </row>
    <row r="41" spans="2:13">
      <c r="H41" t="s">
        <v>5032</v>
      </c>
      <c r="J41" t="s">
        <v>5473</v>
      </c>
    </row>
    <row r="42" spans="2:13">
      <c r="H42" t="s">
        <v>5033</v>
      </c>
      <c r="J42" t="s">
        <v>5474</v>
      </c>
    </row>
    <row r="43" spans="2:13">
      <c r="H43" t="s">
        <v>5034</v>
      </c>
      <c r="J43" t="s">
        <v>5475</v>
      </c>
    </row>
    <row r="44" spans="2:13">
      <c r="B44" s="2802" t="s">
        <v>5280</v>
      </c>
      <c r="C44" s="2802"/>
      <c r="D44" s="2802"/>
      <c r="E44" s="2802"/>
      <c r="F44" s="2802"/>
      <c r="G44" s="2802"/>
      <c r="J44" t="s">
        <v>5476</v>
      </c>
    </row>
    <row r="45" spans="2:13">
      <c r="B45" s="2802"/>
      <c r="C45" s="2802"/>
      <c r="D45" s="2802"/>
      <c r="E45" s="2802"/>
      <c r="F45" s="2802"/>
      <c r="G45" s="2802"/>
      <c r="J45" t="s">
        <v>5477</v>
      </c>
    </row>
    <row r="46" spans="2:13">
      <c r="B46" s="2802"/>
      <c r="C46" s="2802"/>
      <c r="D46" s="2802"/>
      <c r="E46" s="2802"/>
      <c r="F46" s="2802"/>
      <c r="G46" s="2802"/>
      <c r="J46" t="s">
        <v>5478</v>
      </c>
    </row>
    <row r="47" spans="2:13">
      <c r="B47" s="2802"/>
      <c r="C47" s="2802"/>
      <c r="D47" s="2802"/>
      <c r="E47" s="2802"/>
      <c r="F47" s="2802"/>
      <c r="G47" s="2802"/>
    </row>
    <row r="48" spans="2:13">
      <c r="B48" s="2802"/>
      <c r="C48" s="2802"/>
      <c r="D48" s="2802"/>
      <c r="E48" s="2802"/>
      <c r="F48" s="2802"/>
      <c r="G48" s="2802"/>
      <c r="J48" s="1884" t="s">
        <v>4592</v>
      </c>
      <c r="K48" s="248" t="s">
        <v>5483</v>
      </c>
    </row>
    <row r="49" spans="2:11">
      <c r="B49" s="2802"/>
      <c r="C49" s="2802"/>
      <c r="D49" s="2802"/>
      <c r="E49" s="2802"/>
      <c r="F49" s="2802"/>
      <c r="G49" s="2802"/>
      <c r="J49" s="1392" t="s">
        <v>2868</v>
      </c>
      <c r="K49" s="2" t="b">
        <f>IF(OR('Multi-Family Heat Pumps'!F67="New Construction",'Multi-Family Heat Pumps'!F68="New Construction",'Multi-Family Heat Pumps'!F69="New Construction",'Multi-Family Heat Pumps'!F70="New Construction"),TRUE,FALSE)</f>
        <v>1</v>
      </c>
    </row>
    <row r="50" spans="2:11">
      <c r="B50" s="2802"/>
      <c r="C50" s="2802"/>
      <c r="D50" s="2802"/>
      <c r="E50" s="2802"/>
      <c r="F50" s="2802"/>
      <c r="G50" s="2802"/>
      <c r="J50" s="1392" t="s">
        <v>2865</v>
      </c>
    </row>
    <row r="51" spans="2:11">
      <c r="B51" s="2802"/>
      <c r="C51" s="2802"/>
      <c r="D51" s="2802"/>
      <c r="E51" s="2802"/>
      <c r="F51" s="2802"/>
      <c r="G51" s="2802"/>
      <c r="J51" s="1392" t="s">
        <v>2872</v>
      </c>
    </row>
    <row r="52" spans="2:11">
      <c r="B52" s="2802"/>
      <c r="C52" s="2802"/>
      <c r="D52" s="2802"/>
      <c r="E52" s="2802"/>
      <c r="F52" s="2802"/>
      <c r="G52" s="2802"/>
      <c r="J52" s="1392" t="s">
        <v>2874</v>
      </c>
    </row>
    <row r="53" spans="2:11">
      <c r="B53" s="2802"/>
      <c r="C53" s="2802"/>
      <c r="D53" s="2802"/>
      <c r="E53" s="2802"/>
      <c r="F53" s="2802"/>
      <c r="G53" s="2802"/>
      <c r="J53" s="1392" t="s">
        <v>2869</v>
      </c>
    </row>
    <row r="54" spans="2:11">
      <c r="B54" s="2802"/>
      <c r="C54" s="2802"/>
      <c r="D54" s="2802"/>
      <c r="E54" s="2802"/>
      <c r="F54" s="2802"/>
      <c r="G54" s="2802"/>
      <c r="J54" s="1392" t="s">
        <v>605</v>
      </c>
    </row>
    <row r="55" spans="2:11">
      <c r="B55" s="2802"/>
      <c r="C55" s="2802"/>
      <c r="D55" s="2802"/>
      <c r="E55" s="2802"/>
      <c r="F55" s="2802"/>
      <c r="G55" s="2802"/>
    </row>
    <row r="56" spans="2:11">
      <c r="B56" s="2802"/>
      <c r="C56" s="2802"/>
      <c r="D56" s="2802"/>
      <c r="E56" s="2802"/>
      <c r="F56" s="2802"/>
      <c r="G56" s="2802"/>
    </row>
    <row r="57" spans="2:11">
      <c r="B57" s="2802"/>
      <c r="C57" s="2802"/>
      <c r="D57" s="2802"/>
      <c r="E57" s="2802"/>
      <c r="F57" s="2802"/>
      <c r="G57" s="2802"/>
    </row>
    <row r="58" spans="2:11">
      <c r="B58" s="2802"/>
      <c r="C58" s="2802"/>
      <c r="D58" s="2802"/>
      <c r="E58" s="2802"/>
      <c r="F58" s="2802"/>
      <c r="G58" s="2802"/>
    </row>
    <row r="59" spans="2:11">
      <c r="B59" s="2802"/>
      <c r="C59" s="2802"/>
      <c r="D59" s="2802"/>
      <c r="E59" s="2802"/>
      <c r="F59" s="2802"/>
      <c r="G59" s="2802"/>
    </row>
    <row r="60" spans="2:11">
      <c r="B60" s="2802"/>
      <c r="C60" s="2802"/>
      <c r="D60" s="2802"/>
      <c r="E60" s="2802"/>
      <c r="F60" s="2802"/>
      <c r="G60" s="2802"/>
    </row>
    <row r="61" spans="2:11">
      <c r="B61" s="2802"/>
      <c r="C61" s="2802"/>
      <c r="D61" s="2802"/>
      <c r="E61" s="2802"/>
      <c r="F61" s="2802"/>
      <c r="G61" s="2802"/>
    </row>
    <row r="62" spans="2:11">
      <c r="B62" s="2802"/>
      <c r="C62" s="2802"/>
      <c r="D62" s="2802"/>
      <c r="E62" s="2802"/>
      <c r="F62" s="2802"/>
      <c r="G62" s="2802"/>
    </row>
    <row r="63" spans="2:11">
      <c r="B63" s="2802"/>
      <c r="C63" s="2802"/>
      <c r="D63" s="2802"/>
      <c r="E63" s="2802"/>
      <c r="F63" s="2802"/>
      <c r="G63" s="2802"/>
    </row>
    <row r="64" spans="2:11">
      <c r="B64" s="2802"/>
      <c r="C64" s="2802"/>
      <c r="D64" s="2802"/>
      <c r="E64" s="2802"/>
      <c r="F64" s="2802"/>
      <c r="G64" s="2802"/>
    </row>
    <row r="65" spans="2:7">
      <c r="B65" s="2802"/>
      <c r="C65" s="2802"/>
      <c r="D65" s="2802"/>
      <c r="E65" s="2802"/>
      <c r="F65" s="2802"/>
      <c r="G65" s="2802"/>
    </row>
    <row r="66" spans="2:7">
      <c r="B66" s="2802"/>
      <c r="C66" s="2802"/>
      <c r="D66" s="2802"/>
      <c r="E66" s="2802"/>
      <c r="F66" s="2802"/>
      <c r="G66" s="2802"/>
    </row>
    <row r="67" spans="2:7">
      <c r="B67" s="2802"/>
      <c r="C67" s="2802"/>
      <c r="D67" s="2802"/>
      <c r="E67" s="2802"/>
      <c r="F67" s="2802"/>
      <c r="G67" s="2802"/>
    </row>
    <row r="68" spans="2:7">
      <c r="B68" s="2802"/>
      <c r="C68" s="2802"/>
      <c r="D68" s="2802"/>
      <c r="E68" s="2802"/>
      <c r="F68" s="2802"/>
      <c r="G68" s="2802"/>
    </row>
    <row r="69" spans="2:7">
      <c r="B69" s="2802"/>
      <c r="C69" s="2802"/>
      <c r="D69" s="2802"/>
      <c r="E69" s="2802"/>
      <c r="F69" s="2802"/>
      <c r="G69" s="2802"/>
    </row>
    <row r="70" spans="2:7">
      <c r="B70" s="2802"/>
      <c r="C70" s="2802"/>
      <c r="D70" s="2802"/>
      <c r="E70" s="2802"/>
      <c r="F70" s="2802"/>
      <c r="G70" s="2802"/>
    </row>
  </sheetData>
  <mergeCells count="2">
    <mergeCell ref="A2:D2"/>
    <mergeCell ref="B44:G70"/>
  </mergeCells>
  <phoneticPr fontId="139" type="noConversion"/>
  <pageMargins left="0.7" right="0.7" top="0.75" bottom="0.75" header="0.3" footer="0.3"/>
  <pageSetup orientation="portrait" r:id="rId1"/>
  <legacyDrawing r:id="rId2"/>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21548B-73E6-4D5A-ABBE-75F1506391AE}">
  <sheetPr codeName="Sheet53">
    <tabColor rgb="FF00B0F0"/>
  </sheetPr>
  <dimension ref="A1:N11961"/>
  <sheetViews>
    <sheetView topLeftCell="A55" workbookViewId="0">
      <selection activeCell="G26" sqref="G26:H26"/>
    </sheetView>
  </sheetViews>
  <sheetFormatPr defaultColWidth="0" defaultRowHeight="14.5" customHeight="1" zeroHeight="1"/>
  <cols>
    <col min="1" max="1" width="3.453125" style="1820" customWidth="1"/>
    <col min="2" max="2" width="15.54296875" style="1820" customWidth="1"/>
    <col min="3" max="4" width="10.81640625" style="1820" customWidth="1"/>
    <col min="5" max="5" width="10.453125" style="1820" customWidth="1"/>
    <col min="6" max="6" width="11.54296875" style="1820" customWidth="1"/>
    <col min="7" max="7" width="12.453125" style="1820" customWidth="1"/>
    <col min="8" max="8" width="14.54296875" style="1820" customWidth="1"/>
    <col min="9" max="10" width="15.453125" style="1820" customWidth="1"/>
    <col min="11" max="11" width="8.81640625" style="1820" customWidth="1"/>
    <col min="12" max="12" width="14.453125" style="1820" customWidth="1"/>
    <col min="13" max="13" width="3.453125" style="1820" customWidth="1"/>
    <col min="14" max="14" width="8.7265625" style="613" customWidth="1"/>
    <col min="15" max="16384" width="8.7265625" hidden="1"/>
  </cols>
  <sheetData>
    <row r="1" spans="1:14" s="1815" customFormat="1" ht="73" customHeight="1">
      <c r="A1" s="1814"/>
      <c r="B1" s="1385" t="s">
        <v>5429</v>
      </c>
      <c r="C1" s="1385"/>
      <c r="D1" s="1385"/>
      <c r="E1" s="1385"/>
      <c r="F1" s="1385"/>
      <c r="G1" s="1385"/>
      <c r="H1" s="1385"/>
      <c r="I1" s="1385"/>
      <c r="J1" s="1814"/>
      <c r="K1" s="1814"/>
      <c r="L1" s="1814"/>
      <c r="M1" s="1814"/>
      <c r="N1" s="1814"/>
    </row>
    <row r="2" spans="1:14" s="1817" customFormat="1" ht="7.5" customHeight="1">
      <c r="A2" s="1383"/>
      <c r="B2" s="1383"/>
      <c r="C2" s="1383"/>
      <c r="D2" s="1383"/>
      <c r="E2" s="1383"/>
      <c r="F2" s="1383"/>
      <c r="G2" s="1383"/>
      <c r="H2" s="1383"/>
      <c r="I2" s="1383"/>
      <c r="J2" s="1816"/>
      <c r="K2" s="1816"/>
      <c r="L2" s="1816"/>
      <c r="M2" s="1816"/>
      <c r="N2" s="1816"/>
    </row>
    <row r="3" spans="1:14" ht="17.149999999999999" customHeight="1">
      <c r="A3" s="1818"/>
      <c r="B3" s="1818"/>
      <c r="C3" s="1818"/>
      <c r="D3" s="1818"/>
      <c r="E3" s="1818"/>
      <c r="F3" s="1818"/>
      <c r="G3" s="1818"/>
      <c r="H3" s="1818"/>
      <c r="I3" s="1818"/>
      <c r="J3" s="1819"/>
      <c r="K3" s="1819"/>
      <c r="L3" s="1819"/>
    </row>
    <row r="4" spans="1:14" ht="26.15" customHeight="1">
      <c r="B4" s="1820" t="s">
        <v>243</v>
      </c>
      <c r="C4" s="2116"/>
      <c r="D4" s="2116"/>
      <c r="E4" s="2116"/>
      <c r="F4" s="2116"/>
      <c r="H4" s="1820" t="s">
        <v>220</v>
      </c>
      <c r="I4" s="2820" t="str">
        <f>IF('Customer Information'!C5="","",'Customer Information'!C5)</f>
        <v/>
      </c>
      <c r="J4" s="2820"/>
      <c r="K4" s="2820"/>
      <c r="L4" s="2820"/>
    </row>
    <row r="5" spans="1:14" ht="12" customHeight="1"/>
    <row r="6" spans="1:14" ht="12" customHeight="1">
      <c r="B6" s="1348"/>
      <c r="C6" s="1348"/>
      <c r="D6" s="1348"/>
      <c r="E6" s="1348"/>
      <c r="F6" s="1348"/>
      <c r="G6" s="1348"/>
      <c r="H6" s="1348"/>
      <c r="I6" s="1348"/>
      <c r="J6" s="1348"/>
      <c r="K6" s="1348"/>
      <c r="L6" s="1348"/>
      <c r="M6" s="1348"/>
    </row>
    <row r="7" spans="1:14" ht="26.15" customHeight="1" thickBot="1">
      <c r="B7" s="2565" t="s">
        <v>164</v>
      </c>
      <c r="C7" s="2565"/>
      <c r="D7" s="2565"/>
      <c r="E7" s="2565"/>
      <c r="F7" s="2565"/>
      <c r="G7" s="2565"/>
      <c r="H7" s="2565"/>
      <c r="I7" s="2565"/>
      <c r="J7" s="2565"/>
      <c r="K7" s="2565"/>
      <c r="L7" s="2565"/>
      <c r="M7" s="1364"/>
    </row>
    <row r="8" spans="1:14" ht="26.15" customHeight="1">
      <c r="B8" s="1821" t="s">
        <v>10</v>
      </c>
      <c r="C8" s="1874" t="str">
        <f>IF('Customer Information'!C6="","",'Customer Information'!C6)</f>
        <v/>
      </c>
      <c r="D8" s="1874"/>
      <c r="E8" s="1874"/>
      <c r="F8" s="1874"/>
      <c r="G8" s="1821"/>
      <c r="H8" s="1822" t="s">
        <v>5342</v>
      </c>
      <c r="I8" s="1874" t="str">
        <f>IF('Customer Information'!C7="","",'Customer Information'!C7)</f>
        <v/>
      </c>
      <c r="J8" s="1874"/>
      <c r="K8" s="1874"/>
      <c r="L8" s="1874"/>
      <c r="M8" s="1823"/>
    </row>
    <row r="9" spans="1:14" ht="26.15" customHeight="1">
      <c r="B9" s="1821" t="s">
        <v>5343</v>
      </c>
      <c r="C9" s="1875" t="str">
        <f>IF('Customer Information'!I7="","",'Customer Information'!I7)</f>
        <v/>
      </c>
      <c r="D9" s="1875"/>
      <c r="E9" s="1875"/>
      <c r="F9" s="1875"/>
      <c r="G9" s="1821"/>
      <c r="H9" s="1822" t="s">
        <v>5344</v>
      </c>
      <c r="I9" s="1880" t="str">
        <f>IF('Customer Information'!K9="","",'Customer Information'!K9)</f>
        <v/>
      </c>
      <c r="J9" s="1875"/>
      <c r="K9" s="1875"/>
      <c r="L9" s="1875"/>
      <c r="M9" s="1823"/>
    </row>
    <row r="10" spans="1:14" ht="26.15" customHeight="1">
      <c r="B10" s="1821" t="s">
        <v>5345</v>
      </c>
      <c r="C10" s="2819"/>
      <c r="D10" s="2819"/>
      <c r="E10" s="2819"/>
      <c r="F10" s="2819"/>
      <c r="G10" s="1821"/>
      <c r="H10" s="1822" t="s">
        <v>5430</v>
      </c>
      <c r="I10" s="2819"/>
      <c r="J10" s="2819"/>
      <c r="K10" s="2819"/>
      <c r="L10" s="2819"/>
      <c r="M10" s="1823"/>
    </row>
    <row r="11" spans="1:14" ht="26.15" customHeight="1" thickBot="1">
      <c r="B11" s="1821"/>
      <c r="C11" s="1824"/>
      <c r="D11" s="1824"/>
      <c r="E11" s="1824"/>
      <c r="F11" s="1824"/>
      <c r="G11" s="1821"/>
      <c r="H11" s="1822"/>
      <c r="I11" s="1824"/>
      <c r="J11" s="1824"/>
      <c r="K11" s="1824"/>
      <c r="L11" s="1824"/>
      <c r="M11" s="1823"/>
    </row>
    <row r="12" spans="1:14" ht="26.15" customHeight="1" thickBot="1">
      <c r="B12" s="1825" t="s">
        <v>5337</v>
      </c>
      <c r="C12" s="1826"/>
      <c r="D12" s="1826"/>
      <c r="E12" s="1826"/>
      <c r="F12" s="1826"/>
      <c r="G12" s="1826"/>
      <c r="H12" s="1826"/>
      <c r="I12" s="1826"/>
      <c r="J12" s="1826"/>
      <c r="K12" s="1826"/>
      <c r="L12" s="1826"/>
      <c r="M12" s="1827"/>
    </row>
    <row r="13" spans="1:14" ht="26.15" customHeight="1">
      <c r="B13" s="1828" t="s">
        <v>5338</v>
      </c>
      <c r="C13" s="262"/>
      <c r="D13" s="262"/>
      <c r="E13" s="262"/>
      <c r="F13" s="262"/>
      <c r="G13" s="262"/>
      <c r="H13" s="262"/>
      <c r="I13" s="262"/>
      <c r="J13" s="262"/>
      <c r="K13" s="1604"/>
      <c r="L13" s="1604"/>
      <c r="M13" s="1829"/>
    </row>
    <row r="14" spans="1:14" ht="26.15" customHeight="1">
      <c r="B14" s="1828"/>
      <c r="C14" s="262"/>
      <c r="D14" s="262"/>
      <c r="E14" s="262"/>
      <c r="F14" s="262"/>
      <c r="G14" s="262"/>
      <c r="H14" s="262"/>
      <c r="I14" s="262"/>
      <c r="J14" s="262"/>
      <c r="K14" s="1604"/>
      <c r="L14" s="1604"/>
      <c r="M14" s="1829"/>
    </row>
    <row r="15" spans="1:14" ht="26.15" customHeight="1">
      <c r="B15" s="1828" t="s">
        <v>5407</v>
      </c>
      <c r="C15" s="262"/>
      <c r="D15" s="262"/>
      <c r="E15" s="262"/>
      <c r="F15" s="262"/>
      <c r="G15" s="262"/>
      <c r="H15" s="262"/>
      <c r="I15" s="262"/>
      <c r="J15" s="262"/>
      <c r="K15" s="1604"/>
      <c r="L15" s="1604"/>
      <c r="M15" s="1829"/>
    </row>
    <row r="16" spans="1:14" ht="26.15" customHeight="1">
      <c r="B16" s="1828"/>
      <c r="C16" s="262"/>
      <c r="D16" s="262"/>
      <c r="E16" s="262"/>
      <c r="F16" s="262"/>
      <c r="G16" s="262"/>
      <c r="H16" s="262"/>
      <c r="I16" s="262"/>
      <c r="J16" s="262"/>
      <c r="K16" s="1604"/>
      <c r="L16" s="1604"/>
      <c r="M16" s="1829"/>
    </row>
    <row r="17" spans="2:13" ht="26.15" customHeight="1">
      <c r="B17" s="1828" t="s">
        <v>5340</v>
      </c>
      <c r="C17" s="262"/>
      <c r="D17" s="262"/>
      <c r="E17" s="262"/>
      <c r="F17" s="262"/>
      <c r="G17" s="262"/>
      <c r="H17" s="262"/>
      <c r="I17" s="262"/>
      <c r="J17" s="262"/>
      <c r="K17" s="1604"/>
      <c r="L17" s="1604"/>
      <c r="M17" s="1829"/>
    </row>
    <row r="18" spans="2:13" ht="26.15" customHeight="1">
      <c r="B18" s="1828"/>
      <c r="C18" s="262"/>
      <c r="D18" s="262"/>
      <c r="E18" s="262"/>
      <c r="F18" s="262"/>
      <c r="G18" s="262"/>
      <c r="H18" s="262"/>
      <c r="I18" s="262"/>
      <c r="J18" s="262"/>
      <c r="K18" s="1604"/>
      <c r="L18" s="1604"/>
      <c r="M18" s="1829"/>
    </row>
    <row r="19" spans="2:13" ht="26.15" customHeight="1" thickBot="1">
      <c r="B19" s="1830" t="s">
        <v>5341</v>
      </c>
      <c r="C19" s="1831"/>
      <c r="D19" s="1831"/>
      <c r="E19" s="1831"/>
      <c r="F19" s="1831"/>
      <c r="G19" s="1831"/>
      <c r="H19" s="1831"/>
      <c r="I19" s="1831"/>
      <c r="J19" s="1831"/>
      <c r="K19" s="1831"/>
      <c r="L19" s="1831"/>
      <c r="M19" s="1832"/>
    </row>
    <row r="20" spans="2:13" ht="26.15" customHeight="1">
      <c r="B20" s="1821"/>
      <c r="C20" s="1824"/>
      <c r="D20" s="1824"/>
      <c r="E20" s="1824"/>
      <c r="F20" s="1824"/>
      <c r="G20" s="1821"/>
      <c r="H20" s="1822"/>
      <c r="I20" s="1824"/>
      <c r="J20" s="1824"/>
      <c r="K20" s="1824"/>
      <c r="L20" s="1824"/>
      <c r="M20" s="1823"/>
    </row>
    <row r="21" spans="2:13" ht="26.15" customHeight="1" thickBot="1">
      <c r="B21" s="2565" t="s">
        <v>6</v>
      </c>
      <c r="C21" s="2565"/>
      <c r="D21" s="2565"/>
      <c r="E21" s="2565"/>
      <c r="F21" s="2565"/>
      <c r="G21" s="2565"/>
      <c r="H21" s="2565"/>
      <c r="I21" s="2565"/>
      <c r="J21" s="2565"/>
      <c r="K21" s="2565"/>
      <c r="L21" s="2565"/>
      <c r="M21" s="1833"/>
    </row>
    <row r="22" spans="2:13" ht="26.15" customHeight="1">
      <c r="B22" s="1821" t="s">
        <v>5347</v>
      </c>
      <c r="C22" s="1874" t="str">
        <f>IF('Customer Information'!C21="","",'Customer Information'!C21)</f>
        <v/>
      </c>
      <c r="D22" s="1874"/>
      <c r="E22" s="1874"/>
      <c r="F22" s="1874"/>
      <c r="G22" s="1821"/>
      <c r="H22" s="1822" t="s">
        <v>5348</v>
      </c>
      <c r="I22" s="1874" t="str">
        <f>IF('Customer Information'!C23="","",'Customer Information'!C23)</f>
        <v/>
      </c>
      <c r="J22" s="1874"/>
      <c r="K22" s="1874"/>
      <c r="L22" s="1874"/>
      <c r="M22" s="1823"/>
    </row>
    <row r="23" spans="2:13" ht="26.15" customHeight="1">
      <c r="B23" s="1821" t="s">
        <v>5344</v>
      </c>
      <c r="C23" s="1877" t="str">
        <f>IF('Customer Information'!K23="","",'Customer Information'!K23)</f>
        <v/>
      </c>
      <c r="D23" s="1877"/>
      <c r="E23" s="1877"/>
      <c r="F23" s="1877"/>
      <c r="G23" s="1821"/>
      <c r="H23" s="1822" t="s">
        <v>5431</v>
      </c>
      <c r="I23" s="1875" t="str">
        <f>IF('Customer Information'!L43="","",'Customer Information'!L43)</f>
        <v/>
      </c>
      <c r="J23" s="1875"/>
      <c r="K23" s="1875"/>
      <c r="L23" s="1875"/>
      <c r="M23" s="1823"/>
    </row>
    <row r="24" spans="2:13">
      <c r="B24" s="1834"/>
      <c r="C24" s="1823"/>
      <c r="D24" s="1823"/>
      <c r="E24" s="1823"/>
      <c r="F24" s="1823"/>
      <c r="G24" s="1823"/>
      <c r="H24" s="1835"/>
      <c r="I24" s="1823"/>
      <c r="J24" s="1823"/>
      <c r="K24" s="1823"/>
      <c r="L24" s="1823"/>
      <c r="M24" s="1823"/>
    </row>
    <row r="25" spans="2:13" ht="18.5" thickBot="1">
      <c r="B25" s="2565" t="s">
        <v>5432</v>
      </c>
      <c r="C25" s="2565"/>
      <c r="D25" s="2565"/>
      <c r="E25" s="2565"/>
      <c r="F25" s="2565"/>
      <c r="G25" s="2565"/>
      <c r="H25" s="2565"/>
      <c r="I25" s="2565"/>
      <c r="J25" s="2565"/>
      <c r="K25" s="2565"/>
      <c r="L25" s="2565"/>
      <c r="M25" s="1833"/>
    </row>
    <row r="26" spans="2:13" ht="27" customHeight="1">
      <c r="B26" s="1352" t="s">
        <v>5376</v>
      </c>
      <c r="C26" s="2812" t="s">
        <v>5433</v>
      </c>
      <c r="D26" s="2812"/>
      <c r="E26" s="2812" t="s">
        <v>5434</v>
      </c>
      <c r="F26" s="2812"/>
      <c r="G26" s="2812" t="s">
        <v>80</v>
      </c>
      <c r="H26" s="2812"/>
      <c r="I26" s="1836" t="s">
        <v>5355</v>
      </c>
      <c r="J26" s="1836" t="s">
        <v>5435</v>
      </c>
      <c r="K26" s="2813" t="s">
        <v>5436</v>
      </c>
      <c r="L26" s="2813"/>
      <c r="M26" s="1838"/>
    </row>
    <row r="27" spans="2:13">
      <c r="B27" s="1839">
        <v>1</v>
      </c>
      <c r="C27" s="2804" t="str">
        <f>IF('Space Heating Worksheet'!AA37="","",'Space Heating Worksheet'!AA37)</f>
        <v/>
      </c>
      <c r="D27" s="2805"/>
      <c r="E27" s="2804" t="str">
        <f>IF('Space Heating Worksheet'!AB37="","",'Space Heating Worksheet'!AB37)</f>
        <v/>
      </c>
      <c r="F27" s="2805"/>
      <c r="G27" s="2804" t="str">
        <f>IF('Space Heating Worksheet'!AB56="","",'Space Heating Worksheet'!AB56)</f>
        <v/>
      </c>
      <c r="H27" s="2805"/>
      <c r="I27" s="1841" t="str">
        <f>IF('Space Heating Worksheet'!AD56="","",'Space Heating Worksheet'!AD56)</f>
        <v/>
      </c>
      <c r="J27" s="1840" t="str">
        <f>IF('Space Heating Worksheet'!AA56="","",'Space Heating Worksheet'!AA56)</f>
        <v/>
      </c>
      <c r="K27" s="2419"/>
      <c r="L27" s="2420"/>
      <c r="M27" s="1821"/>
    </row>
    <row r="28" spans="2:13">
      <c r="B28" s="1839">
        <f t="shared" ref="B28:B36" si="0">B27+1</f>
        <v>2</v>
      </c>
      <c r="C28" s="2804" t="str">
        <f>IF('Space Heating Worksheet'!AA38="","",'Space Heating Worksheet'!AA38)</f>
        <v/>
      </c>
      <c r="D28" s="2805"/>
      <c r="E28" s="2804" t="str">
        <f>IF('Space Heating Worksheet'!AB38="","",'Space Heating Worksheet'!AB38)</f>
        <v/>
      </c>
      <c r="F28" s="2805"/>
      <c r="G28" s="2804" t="str">
        <f>IF('Space Heating Worksheet'!AB57="","",'Space Heating Worksheet'!AB57)</f>
        <v/>
      </c>
      <c r="H28" s="2805"/>
      <c r="I28" s="1841" t="str">
        <f>IF('Space Heating Worksheet'!AD57="","",'Space Heating Worksheet'!AD57)</f>
        <v/>
      </c>
      <c r="J28" s="1840" t="str">
        <f>IF('Space Heating Worksheet'!AA57="","",'Space Heating Worksheet'!AA57)</f>
        <v/>
      </c>
      <c r="K28" s="2419"/>
      <c r="L28" s="2420"/>
      <c r="M28" s="1821"/>
    </row>
    <row r="29" spans="2:13">
      <c r="B29" s="1839">
        <f t="shared" si="0"/>
        <v>3</v>
      </c>
      <c r="C29" s="2804" t="str">
        <f>IF('Space Heating Worksheet'!AA39="","",'Space Heating Worksheet'!AA39)</f>
        <v/>
      </c>
      <c r="D29" s="2805"/>
      <c r="E29" s="2804" t="str">
        <f>IF('Space Heating Worksheet'!AB39="","",'Space Heating Worksheet'!AB39)</f>
        <v/>
      </c>
      <c r="F29" s="2805"/>
      <c r="G29" s="2804" t="str">
        <f>IF('Space Heating Worksheet'!AB58="","",'Space Heating Worksheet'!AB58)</f>
        <v/>
      </c>
      <c r="H29" s="2805"/>
      <c r="I29" s="1841" t="str">
        <f>IF('Space Heating Worksheet'!AD58="","",'Space Heating Worksheet'!AD58)</f>
        <v/>
      </c>
      <c r="J29" s="1840" t="str">
        <f>IF('Space Heating Worksheet'!AA58="","",'Space Heating Worksheet'!AA58)</f>
        <v/>
      </c>
      <c r="K29" s="2419"/>
      <c r="L29" s="2420"/>
      <c r="M29" s="1821"/>
    </row>
    <row r="30" spans="2:13">
      <c r="B30" s="1839">
        <f t="shared" si="0"/>
        <v>4</v>
      </c>
      <c r="C30" s="2804" t="str">
        <f>IF('Space Heating Worksheet'!AA40="","",'Space Heating Worksheet'!AA40)</f>
        <v/>
      </c>
      <c r="D30" s="2805"/>
      <c r="E30" s="2804" t="str">
        <f>IF('Space Heating Worksheet'!AB40="","",'Space Heating Worksheet'!AB40)</f>
        <v/>
      </c>
      <c r="F30" s="2805"/>
      <c r="G30" s="2804" t="str">
        <f>IF('Space Heating Worksheet'!AB59="","",'Space Heating Worksheet'!AB59)</f>
        <v/>
      </c>
      <c r="H30" s="2805"/>
      <c r="I30" s="1841" t="str">
        <f>IF('Space Heating Worksheet'!AD59="","",'Space Heating Worksheet'!AD59)</f>
        <v/>
      </c>
      <c r="J30" s="1840" t="str">
        <f>IF('Space Heating Worksheet'!AA59="","",'Space Heating Worksheet'!AA59)</f>
        <v/>
      </c>
      <c r="K30" s="2419"/>
      <c r="L30" s="2420"/>
      <c r="M30" s="1821"/>
    </row>
    <row r="31" spans="2:13">
      <c r="B31" s="1839">
        <f t="shared" si="0"/>
        <v>5</v>
      </c>
      <c r="C31" s="2804" t="str">
        <f>IF('Space Heating Worksheet'!AA41="","",'Space Heating Worksheet'!AA41)</f>
        <v/>
      </c>
      <c r="D31" s="2805"/>
      <c r="E31" s="2804" t="str">
        <f>IF('Space Heating Worksheet'!AB41="","",'Space Heating Worksheet'!AB41)</f>
        <v/>
      </c>
      <c r="F31" s="2805"/>
      <c r="G31" s="2804" t="str">
        <f>IF('Space Heating Worksheet'!AB60="","",'Space Heating Worksheet'!AB60)</f>
        <v/>
      </c>
      <c r="H31" s="2805"/>
      <c r="I31" s="1841" t="str">
        <f>IF('Space Heating Worksheet'!AD60="","",'Space Heating Worksheet'!AD60)</f>
        <v/>
      </c>
      <c r="J31" s="1840" t="str">
        <f>IF('Space Heating Worksheet'!AA60="","",'Space Heating Worksheet'!AA60)</f>
        <v/>
      </c>
      <c r="K31" s="2419"/>
      <c r="L31" s="2420"/>
      <c r="M31" s="1821"/>
    </row>
    <row r="32" spans="2:13">
      <c r="B32" s="1839">
        <f t="shared" si="0"/>
        <v>6</v>
      </c>
      <c r="C32" s="2804" t="str">
        <f>IF('Space Heating Worksheet'!AA42="","",'Space Heating Worksheet'!AA42)</f>
        <v/>
      </c>
      <c r="D32" s="2805"/>
      <c r="E32" s="2804" t="str">
        <f>IF('Space Heating Worksheet'!AB42="","",'Space Heating Worksheet'!AB42)</f>
        <v/>
      </c>
      <c r="F32" s="2805"/>
      <c r="G32" s="2804" t="str">
        <f>IF('Space Heating Worksheet'!AB61="","",'Space Heating Worksheet'!AB61)</f>
        <v/>
      </c>
      <c r="H32" s="2805"/>
      <c r="I32" s="1841" t="str">
        <f>IF('Space Heating Worksheet'!AD61="","",'Space Heating Worksheet'!AD61)</f>
        <v/>
      </c>
      <c r="J32" s="1840" t="str">
        <f>IF('Space Heating Worksheet'!AA61="","",'Space Heating Worksheet'!AA61)</f>
        <v/>
      </c>
      <c r="K32" s="2419"/>
      <c r="L32" s="2420"/>
      <c r="M32" s="1821"/>
    </row>
    <row r="33" spans="2:13">
      <c r="B33" s="1839">
        <f t="shared" si="0"/>
        <v>7</v>
      </c>
      <c r="C33" s="2804" t="str">
        <f>IF('Space Heating Worksheet'!AA43="","",'Space Heating Worksheet'!AA43)</f>
        <v/>
      </c>
      <c r="D33" s="2805"/>
      <c r="E33" s="2804" t="str">
        <f>IF('Space Heating Worksheet'!AB43="","",'Space Heating Worksheet'!AB43)</f>
        <v/>
      </c>
      <c r="F33" s="2805"/>
      <c r="G33" s="2804" t="str">
        <f>IF('Space Heating Worksheet'!AB62="","",'Space Heating Worksheet'!AB62)</f>
        <v/>
      </c>
      <c r="H33" s="2805"/>
      <c r="I33" s="1841" t="str">
        <f>IF('Space Heating Worksheet'!AD62="","",'Space Heating Worksheet'!AD62)</f>
        <v/>
      </c>
      <c r="J33" s="1840" t="str">
        <f>IF('Space Heating Worksheet'!AA62="","",'Space Heating Worksheet'!AA62)</f>
        <v/>
      </c>
      <c r="K33" s="2419"/>
      <c r="L33" s="2420"/>
      <c r="M33" s="1821"/>
    </row>
    <row r="34" spans="2:13">
      <c r="B34" s="1839">
        <f t="shared" si="0"/>
        <v>8</v>
      </c>
      <c r="C34" s="2804" t="str">
        <f>IF('Space Heating Worksheet'!AA44="","",'Space Heating Worksheet'!AA44)</f>
        <v/>
      </c>
      <c r="D34" s="2805"/>
      <c r="E34" s="2804" t="str">
        <f>IF('Space Heating Worksheet'!AB44="","",'Space Heating Worksheet'!AB44)</f>
        <v/>
      </c>
      <c r="F34" s="2805"/>
      <c r="G34" s="2804" t="str">
        <f>IF('Space Heating Worksheet'!AB63="","",'Space Heating Worksheet'!AB63)</f>
        <v/>
      </c>
      <c r="H34" s="2805"/>
      <c r="I34" s="1841" t="str">
        <f>IF('Space Heating Worksheet'!AD63="","",'Space Heating Worksheet'!AD63)</f>
        <v/>
      </c>
      <c r="J34" s="1840" t="str">
        <f>IF('Space Heating Worksheet'!AA63="","",'Space Heating Worksheet'!AA63)</f>
        <v/>
      </c>
      <c r="K34" s="2419"/>
      <c r="L34" s="2420"/>
      <c r="M34" s="1821"/>
    </row>
    <row r="35" spans="2:13">
      <c r="B35" s="1839">
        <f t="shared" si="0"/>
        <v>9</v>
      </c>
      <c r="C35" s="2804" t="str">
        <f>IF('Space Heating Worksheet'!AA45="","",'Space Heating Worksheet'!AA45)</f>
        <v/>
      </c>
      <c r="D35" s="2805"/>
      <c r="E35" s="2804" t="str">
        <f>IF('Space Heating Worksheet'!AB45="","",'Space Heating Worksheet'!AB45)</f>
        <v/>
      </c>
      <c r="F35" s="2805"/>
      <c r="G35" s="2804" t="str">
        <f>IF('Space Heating Worksheet'!AB64="","",'Space Heating Worksheet'!AB64)</f>
        <v/>
      </c>
      <c r="H35" s="2805"/>
      <c r="I35" s="1841" t="str">
        <f>IF('Space Heating Worksheet'!AD64="","",'Space Heating Worksheet'!AD64)</f>
        <v/>
      </c>
      <c r="J35" s="1840" t="str">
        <f>IF('Space Heating Worksheet'!AA64="","",'Space Heating Worksheet'!AA64)</f>
        <v/>
      </c>
      <c r="K35" s="2419"/>
      <c r="L35" s="2420"/>
      <c r="M35" s="1821"/>
    </row>
    <row r="36" spans="2:13">
      <c r="B36" s="1839">
        <f t="shared" si="0"/>
        <v>10</v>
      </c>
      <c r="C36" s="2804" t="str">
        <f>IF('Space Heating Worksheet'!AA46="","",'Space Heating Worksheet'!AA46)</f>
        <v/>
      </c>
      <c r="D36" s="2805"/>
      <c r="E36" s="2804" t="str">
        <f>IF('Space Heating Worksheet'!AB46="","",'Space Heating Worksheet'!AB46)</f>
        <v/>
      </c>
      <c r="F36" s="2805"/>
      <c r="G36" s="2804" t="str">
        <f>IF('Space Heating Worksheet'!AB65="","",'Space Heating Worksheet'!AB65)</f>
        <v/>
      </c>
      <c r="H36" s="2805"/>
      <c r="I36" s="1841" t="str">
        <f>IF('Space Heating Worksheet'!AD65="","",'Space Heating Worksheet'!AD65)</f>
        <v/>
      </c>
      <c r="J36" s="1840" t="str">
        <f>IF('Space Heating Worksheet'!AA65="","",'Space Heating Worksheet'!AA65)</f>
        <v/>
      </c>
      <c r="K36" s="2419"/>
      <c r="L36" s="2420"/>
      <c r="M36" s="1821"/>
    </row>
    <row r="37" spans="2:13">
      <c r="B37" s="1842"/>
      <c r="C37" s="1842"/>
    </row>
    <row r="38" spans="2:13" hidden="1">
      <c r="B38" s="1842"/>
      <c r="C38" s="1842"/>
    </row>
    <row r="39" spans="2:13" ht="18.5" hidden="1" thickBot="1">
      <c r="B39" s="2565" t="s">
        <v>5358</v>
      </c>
      <c r="C39" s="2565"/>
      <c r="D39" s="2565"/>
      <c r="E39" s="2565"/>
      <c r="F39" s="2565"/>
      <c r="G39" s="2565"/>
      <c r="H39" s="2565"/>
      <c r="I39" s="2565"/>
      <c r="J39" s="2565"/>
      <c r="K39" s="2565"/>
      <c r="L39" s="2565"/>
      <c r="M39" s="1843"/>
    </row>
    <row r="40" spans="2:13" hidden="1">
      <c r="B40" s="1844"/>
      <c r="C40" s="1845"/>
      <c r="D40" s="1"/>
      <c r="E40" s="1846" t="s">
        <v>5359</v>
      </c>
      <c r="F40" s="2564"/>
      <c r="G40" s="2564"/>
      <c r="H40" s="2564"/>
      <c r="I40" s="1348"/>
      <c r="J40" s="1348"/>
      <c r="K40" s="1348"/>
    </row>
    <row r="41" spans="2:13" hidden="1">
      <c r="B41" s="1"/>
      <c r="E41" s="1847"/>
      <c r="F41" s="1847"/>
      <c r="G41" s="1847"/>
      <c r="H41" s="1847"/>
      <c r="I41" s="1847"/>
      <c r="J41" s="1847"/>
      <c r="K41" s="1847"/>
      <c r="L41" s="1847"/>
      <c r="M41" s="1847"/>
    </row>
    <row r="42" spans="2:13" hidden="1">
      <c r="B42" s="1821" t="s">
        <v>5360</v>
      </c>
      <c r="C42" s="1834"/>
      <c r="D42" s="1848" t="str">
        <f>IF(SUM(C45:D54)&lt;=0,"",SUM(C45:D54)/12000)</f>
        <v/>
      </c>
    </row>
    <row r="43" spans="2:13" hidden="1">
      <c r="B43" s="1834"/>
      <c r="C43" s="1834"/>
      <c r="D43" s="1849"/>
    </row>
    <row r="44" spans="2:13" ht="27" hidden="1" customHeight="1">
      <c r="B44" s="1"/>
      <c r="C44" s="2816" t="s">
        <v>5437</v>
      </c>
      <c r="D44" s="2816"/>
      <c r="E44" s="2816" t="s">
        <v>5438</v>
      </c>
      <c r="F44" s="2816"/>
      <c r="G44" s="2817" t="s">
        <v>5362</v>
      </c>
      <c r="H44" s="2817"/>
      <c r="I44" s="2818" t="s">
        <v>5363</v>
      </c>
      <c r="J44" s="2818"/>
    </row>
    <row r="45" spans="2:13" hidden="1">
      <c r="B45" s="1850" t="s">
        <v>151</v>
      </c>
      <c r="C45" s="2806" t="str">
        <f>IF('[2]Space Heating Worksheet'!AF52="","",'[2]Space Heating Worksheet'!AF52)</f>
        <v/>
      </c>
      <c r="D45" s="2814"/>
      <c r="E45" s="2806" t="str">
        <f>IF('[2]Space Heating Worksheet'!AG52="","",'[2]Space Heating Worksheet'!AG52)</f>
        <v/>
      </c>
      <c r="F45" s="2814"/>
      <c r="G45" s="2815" t="str">
        <f>IF('[2]Space Heating Worksheet'!Q33="","",'[2]Space Heating Worksheet'!Q33)</f>
        <v/>
      </c>
      <c r="H45" s="2811"/>
      <c r="I45" s="2815"/>
      <c r="J45" s="2811"/>
      <c r="K45" s="1851"/>
      <c r="L45" s="1851"/>
      <c r="M45" s="1703">
        <v>33</v>
      </c>
    </row>
    <row r="46" spans="2:13" hidden="1">
      <c r="B46" s="1850" t="s">
        <v>152</v>
      </c>
      <c r="C46" s="2806" t="str">
        <f>IF('[2]Space Heating Worksheet'!AF53="","",'[2]Space Heating Worksheet'!AF53)</f>
        <v/>
      </c>
      <c r="D46" s="2814"/>
      <c r="E46" s="2806" t="str">
        <f>IF('[2]Space Heating Worksheet'!AG53="","",'[2]Space Heating Worksheet'!AG53)</f>
        <v/>
      </c>
      <c r="F46" s="2814"/>
      <c r="G46" s="2815" t="str">
        <f>IF('[2]Space Heating Worksheet'!Q34="","",'[2]Space Heating Worksheet'!Q34)</f>
        <v/>
      </c>
      <c r="H46" s="2811"/>
      <c r="I46" s="2815"/>
      <c r="J46" s="2811"/>
      <c r="K46" s="1851"/>
      <c r="L46" s="1851"/>
      <c r="M46" s="1703">
        <v>34</v>
      </c>
    </row>
    <row r="47" spans="2:13" hidden="1">
      <c r="B47" s="1850" t="s">
        <v>161</v>
      </c>
      <c r="C47" s="2806" t="str">
        <f>IF('[2]Space Heating Worksheet'!AF54="","",'[2]Space Heating Worksheet'!AF54)</f>
        <v/>
      </c>
      <c r="D47" s="2814"/>
      <c r="E47" s="2806" t="str">
        <f>IF('[2]Space Heating Worksheet'!AG54="","",'[2]Space Heating Worksheet'!AG54)</f>
        <v/>
      </c>
      <c r="F47" s="2814"/>
      <c r="G47" s="2815" t="str">
        <f>IF('[2]Space Heating Worksheet'!Q35="","",'[2]Space Heating Worksheet'!Q35)</f>
        <v/>
      </c>
      <c r="H47" s="2811"/>
      <c r="I47" s="2815"/>
      <c r="J47" s="2811"/>
      <c r="K47" s="1851"/>
      <c r="L47" s="1851"/>
      <c r="M47" s="1703">
        <v>35</v>
      </c>
    </row>
    <row r="48" spans="2:13" hidden="1">
      <c r="B48" s="1850" t="s">
        <v>5364</v>
      </c>
      <c r="C48" s="2806" t="str">
        <f>IF('[2]Space Heating Worksheet'!AF55="","",'[2]Space Heating Worksheet'!AF55)</f>
        <v/>
      </c>
      <c r="D48" s="2814"/>
      <c r="E48" s="2806" t="str">
        <f>IF('[2]Space Heating Worksheet'!AG55="","",'[2]Space Heating Worksheet'!AG55)</f>
        <v/>
      </c>
      <c r="F48" s="2814"/>
      <c r="G48" s="2815" t="str">
        <f>IF('[2]Space Heating Worksheet'!Q36="","",'[2]Space Heating Worksheet'!Q36)</f>
        <v/>
      </c>
      <c r="H48" s="2811"/>
      <c r="I48" s="2815"/>
      <c r="J48" s="2811"/>
      <c r="K48" s="1851"/>
      <c r="L48" s="1851"/>
      <c r="M48" s="1703">
        <v>36</v>
      </c>
    </row>
    <row r="49" spans="2:13" hidden="1">
      <c r="B49" s="1852" t="s">
        <v>180</v>
      </c>
      <c r="C49" s="2806" t="str">
        <f>IF('[2]Space Heating Worksheet'!AF56="","",'[2]Space Heating Worksheet'!AF56)</f>
        <v/>
      </c>
      <c r="D49" s="2814"/>
      <c r="E49" s="2806" t="str">
        <f>IF('[2]Space Heating Worksheet'!AG56="","",'[2]Space Heating Worksheet'!AG56)</f>
        <v/>
      </c>
      <c r="F49" s="2814"/>
      <c r="G49" s="2815" t="str">
        <f>IF('[2]Space Heating Worksheet'!Q37="","",'[2]Space Heating Worksheet'!Q37)</f>
        <v/>
      </c>
      <c r="H49" s="2811"/>
      <c r="I49" s="2815"/>
      <c r="J49" s="2811"/>
      <c r="K49" s="1851"/>
      <c r="L49" s="1851"/>
      <c r="M49" s="1703">
        <v>37</v>
      </c>
    </row>
    <row r="50" spans="2:13" hidden="1">
      <c r="B50" s="1852" t="s">
        <v>5365</v>
      </c>
      <c r="C50" s="2806" t="str">
        <f>IF('[2]Space Heating Worksheet'!AF57="","",'[2]Space Heating Worksheet'!AF57)</f>
        <v/>
      </c>
      <c r="D50" s="2814"/>
      <c r="E50" s="2806" t="str">
        <f>IF('[2]Space Heating Worksheet'!AG57="","",'[2]Space Heating Worksheet'!AG57)</f>
        <v/>
      </c>
      <c r="F50" s="2814"/>
      <c r="G50" s="2815" t="str">
        <f>IF('[2]Space Heating Worksheet'!Q38="","",'[2]Space Heating Worksheet'!Q38)</f>
        <v/>
      </c>
      <c r="H50" s="2811"/>
      <c r="I50" s="2815"/>
      <c r="J50" s="2811"/>
      <c r="K50" s="1851"/>
      <c r="L50" s="1851"/>
      <c r="M50" s="1703">
        <v>38</v>
      </c>
    </row>
    <row r="51" spans="2:13" hidden="1">
      <c r="B51" s="1852" t="s">
        <v>5366</v>
      </c>
      <c r="C51" s="2806" t="str">
        <f>IF('[2]Space Heating Worksheet'!AF58="","",'[2]Space Heating Worksheet'!AF58)</f>
        <v/>
      </c>
      <c r="D51" s="2814"/>
      <c r="E51" s="2806" t="str">
        <f>IF('[2]Space Heating Worksheet'!AG58="","",'[2]Space Heating Worksheet'!AG58)</f>
        <v/>
      </c>
      <c r="F51" s="2814"/>
      <c r="G51" s="2815" t="str">
        <f>IF('[2]Space Heating Worksheet'!Q39="","",'[2]Space Heating Worksheet'!Q39)</f>
        <v/>
      </c>
      <c r="H51" s="2811"/>
      <c r="I51" s="2815"/>
      <c r="J51" s="2811"/>
      <c r="K51" s="1851"/>
      <c r="L51" s="1851"/>
      <c r="M51" s="1703">
        <v>39</v>
      </c>
    </row>
    <row r="52" spans="2:13" hidden="1">
      <c r="B52" s="1852" t="s">
        <v>5367</v>
      </c>
      <c r="C52" s="2806" t="str">
        <f>IF('[2]Space Heating Worksheet'!AF59="","",'[2]Space Heating Worksheet'!AF59)</f>
        <v/>
      </c>
      <c r="D52" s="2814"/>
      <c r="E52" s="2806" t="str">
        <f>IF('[2]Space Heating Worksheet'!AG59="","",'[2]Space Heating Worksheet'!AG59)</f>
        <v/>
      </c>
      <c r="F52" s="2814"/>
      <c r="G52" s="2815" t="str">
        <f>IF('[2]Space Heating Worksheet'!Q40="","",'[2]Space Heating Worksheet'!Q40)</f>
        <v/>
      </c>
      <c r="H52" s="2811"/>
      <c r="I52" s="2815"/>
      <c r="J52" s="2811"/>
      <c r="K52" s="1851"/>
      <c r="L52" s="1851"/>
      <c r="M52" s="1703">
        <v>40</v>
      </c>
    </row>
    <row r="53" spans="2:13" hidden="1">
      <c r="B53" s="1852" t="s">
        <v>5368</v>
      </c>
      <c r="C53" s="2806" t="str">
        <f>IF('[2]Space Heating Worksheet'!AF60="","",'[2]Space Heating Worksheet'!AF60)</f>
        <v/>
      </c>
      <c r="D53" s="2814"/>
      <c r="E53" s="2806" t="str">
        <f>IF('[2]Space Heating Worksheet'!AG60="","",'[2]Space Heating Worksheet'!AG60)</f>
        <v/>
      </c>
      <c r="F53" s="2814"/>
      <c r="G53" s="2815" t="str">
        <f>IF('[2]Space Heating Worksheet'!Q41="","",'[2]Space Heating Worksheet'!Q41)</f>
        <v/>
      </c>
      <c r="H53" s="2811"/>
      <c r="I53" s="2815"/>
      <c r="J53" s="2811"/>
      <c r="K53" s="1851"/>
      <c r="L53" s="1851"/>
      <c r="M53" s="1703">
        <v>41</v>
      </c>
    </row>
    <row r="54" spans="2:13" hidden="1">
      <c r="B54" s="1852" t="s">
        <v>5369</v>
      </c>
      <c r="C54" s="2806" t="str">
        <f>IF('[2]Space Heating Worksheet'!AF61="","",'[2]Space Heating Worksheet'!AF61)</f>
        <v/>
      </c>
      <c r="D54" s="2807"/>
      <c r="E54" s="2808" t="str">
        <f>IF('[2]Space Heating Worksheet'!AG61="","",'[2]Space Heating Worksheet'!AG61)</f>
        <v/>
      </c>
      <c r="F54" s="2807"/>
      <c r="G54" s="2809" t="str">
        <f>IF('[2]Space Heating Worksheet'!Q42="","",'[2]Space Heating Worksheet'!Q42)</f>
        <v/>
      </c>
      <c r="H54" s="2810"/>
      <c r="I54" s="2809"/>
      <c r="J54" s="2811"/>
      <c r="K54" s="1851"/>
      <c r="L54" s="1851"/>
      <c r="M54" s="1703">
        <v>42</v>
      </c>
    </row>
    <row r="55" spans="2:13" ht="18.5" thickBot="1">
      <c r="B55" s="2565" t="s">
        <v>5439</v>
      </c>
      <c r="C55" s="2565"/>
      <c r="D55" s="2565"/>
      <c r="E55" s="2565"/>
      <c r="F55" s="2565"/>
      <c r="G55" s="2565"/>
      <c r="H55" s="2565"/>
      <c r="I55" s="2565"/>
      <c r="J55" s="2565"/>
      <c r="K55" s="2565"/>
      <c r="L55" s="2565"/>
      <c r="M55" s="1703"/>
    </row>
    <row r="56" spans="2:13" ht="25.5" customHeight="1">
      <c r="B56" s="1352" t="s">
        <v>5376</v>
      </c>
      <c r="C56" s="2812" t="s">
        <v>5440</v>
      </c>
      <c r="D56" s="2812"/>
      <c r="E56" s="2812" t="s">
        <v>4366</v>
      </c>
      <c r="F56" s="2812"/>
      <c r="G56" s="2812" t="s">
        <v>80</v>
      </c>
      <c r="H56" s="2812"/>
      <c r="I56" s="1836" t="s">
        <v>5355</v>
      </c>
      <c r="J56" s="1836" t="s">
        <v>5435</v>
      </c>
      <c r="K56" s="2813" t="s">
        <v>5436</v>
      </c>
      <c r="L56" s="2813"/>
      <c r="M56" s="1703"/>
    </row>
    <row r="57" spans="2:13">
      <c r="B57" s="1839">
        <v>1</v>
      </c>
      <c r="C57" s="2804" t="str">
        <f>IF('Dedicated Water Heating'!R30="","",'Dedicated Water Heating'!R30)</f>
        <v/>
      </c>
      <c r="D57" s="2805"/>
      <c r="E57" s="2804" t="str">
        <f>IF('Dedicated Water Heating'!T30="","",'Dedicated Water Heating'!T30)</f>
        <v/>
      </c>
      <c r="F57" s="2805"/>
      <c r="G57" s="2804" t="str">
        <f>IF('Dedicated Water Heating'!S49="","",'Dedicated Water Heating'!S49)</f>
        <v/>
      </c>
      <c r="H57" s="2805"/>
      <c r="I57" s="1841" t="str">
        <f>IF('Dedicated Water Heating'!T49="","",'Dedicated Water Heating'!T49)</f>
        <v/>
      </c>
      <c r="J57" s="1840" t="str">
        <f>IF('Dedicated Water Heating'!R49="","",'Dedicated Water Heating'!R49)</f>
        <v/>
      </c>
      <c r="K57" s="2419"/>
      <c r="L57" s="2420"/>
      <c r="M57" s="1703"/>
    </row>
    <row r="58" spans="2:13">
      <c r="B58" s="1839">
        <f t="shared" ref="B58:B66" si="1">B57+1</f>
        <v>2</v>
      </c>
      <c r="C58" s="2804" t="str">
        <f>IF('Dedicated Water Heating'!R31="","",'Dedicated Water Heating'!R31)</f>
        <v/>
      </c>
      <c r="D58" s="2805"/>
      <c r="E58" s="2804" t="str">
        <f>IF('Dedicated Water Heating'!T31="","",'Dedicated Water Heating'!T31)</f>
        <v/>
      </c>
      <c r="F58" s="2805"/>
      <c r="G58" s="2804" t="str">
        <f>IF('Dedicated Water Heating'!S50="","",'Dedicated Water Heating'!S50)</f>
        <v/>
      </c>
      <c r="H58" s="2805"/>
      <c r="I58" s="1841" t="str">
        <f>IF('Dedicated Water Heating'!T50="","",'Dedicated Water Heating'!T50)</f>
        <v/>
      </c>
      <c r="J58" s="1840" t="str">
        <f>IF('Dedicated Water Heating'!R50="","",'Dedicated Water Heating'!R50)</f>
        <v/>
      </c>
      <c r="K58" s="2419"/>
      <c r="L58" s="2420"/>
      <c r="M58" s="1703"/>
    </row>
    <row r="59" spans="2:13">
      <c r="B59" s="1839">
        <f t="shared" si="1"/>
        <v>3</v>
      </c>
      <c r="C59" s="2804" t="str">
        <f>IF('Dedicated Water Heating'!R32="","",'Dedicated Water Heating'!R32)</f>
        <v/>
      </c>
      <c r="D59" s="2805"/>
      <c r="E59" s="2804" t="str">
        <f>IF('Dedicated Water Heating'!T32="","",'Dedicated Water Heating'!T32)</f>
        <v/>
      </c>
      <c r="F59" s="2805"/>
      <c r="G59" s="2804" t="str">
        <f>IF('Dedicated Water Heating'!S51="","",'Dedicated Water Heating'!S51)</f>
        <v/>
      </c>
      <c r="H59" s="2805"/>
      <c r="I59" s="1841" t="str">
        <f>IF('Dedicated Water Heating'!T51="","",'Dedicated Water Heating'!T51)</f>
        <v/>
      </c>
      <c r="J59" s="1840" t="str">
        <f>IF('Dedicated Water Heating'!R51="","",'Dedicated Water Heating'!R51)</f>
        <v/>
      </c>
      <c r="K59" s="2419"/>
      <c r="L59" s="2420"/>
      <c r="M59" s="1703"/>
    </row>
    <row r="60" spans="2:13">
      <c r="B60" s="1839">
        <f t="shared" si="1"/>
        <v>4</v>
      </c>
      <c r="C60" s="2804" t="str">
        <f>IF('Dedicated Water Heating'!R33="","",'Dedicated Water Heating'!R33)</f>
        <v/>
      </c>
      <c r="D60" s="2805"/>
      <c r="E60" s="2804" t="str">
        <f>IF('Dedicated Water Heating'!T33="","",'Dedicated Water Heating'!T33)</f>
        <v/>
      </c>
      <c r="F60" s="2805"/>
      <c r="G60" s="2804" t="str">
        <f>IF('Dedicated Water Heating'!S52="","",'Dedicated Water Heating'!S52)</f>
        <v/>
      </c>
      <c r="H60" s="2805"/>
      <c r="I60" s="1841" t="str">
        <f>IF('Dedicated Water Heating'!T52="","",'Dedicated Water Heating'!T52)</f>
        <v/>
      </c>
      <c r="J60" s="1840" t="str">
        <f>IF('Dedicated Water Heating'!R52="","",'Dedicated Water Heating'!R52)</f>
        <v/>
      </c>
      <c r="K60" s="2419"/>
      <c r="L60" s="2420"/>
      <c r="M60" s="1703"/>
    </row>
    <row r="61" spans="2:13">
      <c r="B61" s="1839">
        <f t="shared" si="1"/>
        <v>5</v>
      </c>
      <c r="C61" s="2804" t="str">
        <f>IF('Dedicated Water Heating'!R34="","",'Dedicated Water Heating'!R34)</f>
        <v/>
      </c>
      <c r="D61" s="2805"/>
      <c r="E61" s="2804" t="str">
        <f>IF('Dedicated Water Heating'!T34="","",'Dedicated Water Heating'!T34)</f>
        <v/>
      </c>
      <c r="F61" s="2805"/>
      <c r="G61" s="2804" t="str">
        <f>IF('Dedicated Water Heating'!S53="","",'Dedicated Water Heating'!S53)</f>
        <v/>
      </c>
      <c r="H61" s="2805"/>
      <c r="I61" s="1841" t="str">
        <f>IF('Dedicated Water Heating'!T53="","",'Dedicated Water Heating'!T53)</f>
        <v/>
      </c>
      <c r="J61" s="1840" t="str">
        <f>IF('Dedicated Water Heating'!R53="","",'Dedicated Water Heating'!R53)</f>
        <v/>
      </c>
      <c r="K61" s="2419"/>
      <c r="L61" s="2420"/>
      <c r="M61" s="1703"/>
    </row>
    <row r="62" spans="2:13">
      <c r="B62" s="1839">
        <f t="shared" si="1"/>
        <v>6</v>
      </c>
      <c r="C62" s="2804" t="str">
        <f>IF('Dedicated Water Heating'!R35="","",'Dedicated Water Heating'!R35)</f>
        <v/>
      </c>
      <c r="D62" s="2805"/>
      <c r="E62" s="2804" t="str">
        <f>IF('Dedicated Water Heating'!T35="","",'Dedicated Water Heating'!T35)</f>
        <v/>
      </c>
      <c r="F62" s="2805"/>
      <c r="G62" s="2804" t="str">
        <f>IF('Dedicated Water Heating'!S54="","",'Dedicated Water Heating'!S54)</f>
        <v/>
      </c>
      <c r="H62" s="2805"/>
      <c r="I62" s="1841" t="str">
        <f>IF('Dedicated Water Heating'!T54="","",'Dedicated Water Heating'!T54)</f>
        <v/>
      </c>
      <c r="J62" s="1840" t="str">
        <f>IF('Dedicated Water Heating'!R54="","",'Dedicated Water Heating'!R54)</f>
        <v/>
      </c>
      <c r="K62" s="2419"/>
      <c r="L62" s="2420"/>
      <c r="M62" s="1703"/>
    </row>
    <row r="63" spans="2:13">
      <c r="B63" s="1839">
        <f t="shared" si="1"/>
        <v>7</v>
      </c>
      <c r="C63" s="2804" t="str">
        <f>IF('Dedicated Water Heating'!R36="","",'Dedicated Water Heating'!R36)</f>
        <v/>
      </c>
      <c r="D63" s="2805"/>
      <c r="E63" s="2804" t="str">
        <f>IF('Dedicated Water Heating'!T36="","",'Dedicated Water Heating'!T36)</f>
        <v/>
      </c>
      <c r="F63" s="2805"/>
      <c r="G63" s="2804" t="str">
        <f>IF('Dedicated Water Heating'!S55="","",'Dedicated Water Heating'!S55)</f>
        <v/>
      </c>
      <c r="H63" s="2805"/>
      <c r="I63" s="1841" t="str">
        <f>IF('Dedicated Water Heating'!T55="","",'Dedicated Water Heating'!T55)</f>
        <v/>
      </c>
      <c r="J63" s="1840" t="str">
        <f>IF('Dedicated Water Heating'!R55="","",'Dedicated Water Heating'!R55)</f>
        <v/>
      </c>
      <c r="K63" s="2419"/>
      <c r="L63" s="2420"/>
      <c r="M63" s="1703"/>
    </row>
    <row r="64" spans="2:13">
      <c r="B64" s="1839">
        <f t="shared" si="1"/>
        <v>8</v>
      </c>
      <c r="C64" s="2804" t="str">
        <f>IF('Dedicated Water Heating'!R37="","",'Dedicated Water Heating'!R37)</f>
        <v/>
      </c>
      <c r="D64" s="2805"/>
      <c r="E64" s="2804" t="str">
        <f>IF('Dedicated Water Heating'!T37="","",'Dedicated Water Heating'!T37)</f>
        <v/>
      </c>
      <c r="F64" s="2805"/>
      <c r="G64" s="2804" t="str">
        <f>IF('Dedicated Water Heating'!S56="","",'Dedicated Water Heating'!S56)</f>
        <v/>
      </c>
      <c r="H64" s="2805"/>
      <c r="I64" s="1841" t="str">
        <f>IF('Dedicated Water Heating'!T56="","",'Dedicated Water Heating'!T56)</f>
        <v/>
      </c>
      <c r="J64" s="1840" t="str">
        <f>IF('Dedicated Water Heating'!R56="","",'Dedicated Water Heating'!R56)</f>
        <v/>
      </c>
      <c r="K64" s="2419"/>
      <c r="L64" s="2420"/>
      <c r="M64" s="1703"/>
    </row>
    <row r="65" spans="1:13">
      <c r="B65" s="1839">
        <f t="shared" si="1"/>
        <v>9</v>
      </c>
      <c r="C65" s="2804" t="str">
        <f>IF('Dedicated Water Heating'!R38="","",'Dedicated Water Heating'!R38)</f>
        <v/>
      </c>
      <c r="D65" s="2805"/>
      <c r="E65" s="2804" t="str">
        <f>IF('Dedicated Water Heating'!T38="","",'Dedicated Water Heating'!T38)</f>
        <v/>
      </c>
      <c r="F65" s="2805"/>
      <c r="G65" s="2804" t="str">
        <f>IF('Dedicated Water Heating'!S57="","",'Dedicated Water Heating'!S57)</f>
        <v/>
      </c>
      <c r="H65" s="2805"/>
      <c r="I65" s="1841" t="str">
        <f>IF('Dedicated Water Heating'!T57="","",'Dedicated Water Heating'!T57)</f>
        <v/>
      </c>
      <c r="J65" s="1840" t="str">
        <f>IF('Dedicated Water Heating'!R57="","",'Dedicated Water Heating'!R57)</f>
        <v/>
      </c>
      <c r="K65" s="2419"/>
      <c r="L65" s="2420"/>
      <c r="M65" s="1703"/>
    </row>
    <row r="66" spans="1:13">
      <c r="B66" s="1839">
        <f t="shared" si="1"/>
        <v>10</v>
      </c>
      <c r="C66" s="2804" t="str">
        <f>IF('Dedicated Water Heating'!R39="","",'Dedicated Water Heating'!R39)</f>
        <v/>
      </c>
      <c r="D66" s="2805"/>
      <c r="E66" s="2804" t="str">
        <f>IF('Dedicated Water Heating'!T39="","",'Dedicated Water Heating'!T39)</f>
        <v/>
      </c>
      <c r="F66" s="2805"/>
      <c r="G66" s="2804" t="str">
        <f>IF('Dedicated Water Heating'!S58="","",'Dedicated Water Heating'!S58)</f>
        <v/>
      </c>
      <c r="H66" s="2805"/>
      <c r="I66" s="1841" t="str">
        <f>IF('Dedicated Water Heating'!T58="","",'Dedicated Water Heating'!T58)</f>
        <v/>
      </c>
      <c r="J66" s="1840" t="str">
        <f>IF('Dedicated Water Heating'!R58="","",'Dedicated Water Heating'!R58)</f>
        <v/>
      </c>
      <c r="K66" s="2419"/>
      <c r="L66" s="2420"/>
      <c r="M66" s="1703"/>
    </row>
    <row r="67" spans="1:13">
      <c r="B67" s="1853"/>
      <c r="C67" s="1854"/>
      <c r="D67" s="1854"/>
      <c r="E67" s="1854"/>
      <c r="F67" s="1854"/>
      <c r="G67" s="1855"/>
      <c r="H67" s="1855"/>
      <c r="I67" s="1855"/>
      <c r="J67" s="1855"/>
      <c r="K67" s="1851"/>
      <c r="L67" s="1851"/>
      <c r="M67" s="1703"/>
    </row>
    <row r="68" spans="1:13">
      <c r="B68" s="1853"/>
      <c r="C68" s="1854"/>
      <c r="D68" s="1854"/>
      <c r="E68" s="1854"/>
      <c r="F68" s="1854"/>
      <c r="G68" s="1855"/>
      <c r="H68" s="1855"/>
      <c r="I68" s="1855"/>
      <c r="J68" s="1855"/>
      <c r="K68" s="1851"/>
      <c r="L68" s="1851"/>
      <c r="M68" s="1703"/>
    </row>
    <row r="69" spans="1:13">
      <c r="B69" s="1853"/>
      <c r="C69" s="1854"/>
      <c r="D69" s="1854"/>
      <c r="E69" s="1854"/>
      <c r="F69" s="1854"/>
      <c r="G69" s="1855"/>
      <c r="H69" s="1855"/>
      <c r="I69" s="1855"/>
      <c r="J69" s="1855"/>
      <c r="K69" s="1851"/>
      <c r="L69" s="1851"/>
      <c r="M69" s="1703"/>
    </row>
    <row r="70" spans="1:13">
      <c r="B70" s="1853"/>
      <c r="C70" s="1856"/>
      <c r="D70" s="1854"/>
      <c r="E70" s="1854"/>
      <c r="F70" s="1854"/>
      <c r="G70" s="1855"/>
      <c r="H70" s="1855"/>
      <c r="I70" s="1855"/>
      <c r="J70" s="1857"/>
      <c r="K70" s="1851"/>
      <c r="L70" s="1851"/>
      <c r="M70" s="1703"/>
    </row>
    <row r="71" spans="1:13">
      <c r="B71" s="1"/>
      <c r="C71" s="1858"/>
      <c r="D71" s="2803"/>
      <c r="E71" s="2803"/>
      <c r="F71" s="2803"/>
      <c r="G71" s="2803"/>
      <c r="H71" s="2803"/>
      <c r="I71" s="2803"/>
      <c r="J71" s="2803"/>
      <c r="K71" s="2803"/>
      <c r="L71" s="1859"/>
      <c r="M71" s="1858"/>
    </row>
    <row r="72" spans="1:13">
      <c r="B72" s="1860" t="s">
        <v>241</v>
      </c>
      <c r="C72" s="2428"/>
      <c r="D72" s="2428"/>
      <c r="E72" s="2428"/>
      <c r="F72" s="2428"/>
      <c r="G72" s="2428"/>
      <c r="H72" s="2428"/>
      <c r="I72" s="2428"/>
      <c r="J72" s="2428"/>
      <c r="K72" s="2428"/>
      <c r="L72" s="2428"/>
      <c r="M72" s="1858"/>
    </row>
    <row r="73" spans="1:13">
      <c r="B73" s="2426"/>
      <c r="C73" s="2426"/>
      <c r="D73" s="2426"/>
      <c r="E73" s="2426"/>
      <c r="F73" s="2426"/>
      <c r="G73" s="2426"/>
      <c r="H73" s="2426"/>
      <c r="I73" s="2426"/>
      <c r="J73" s="2426"/>
      <c r="K73" s="2426"/>
      <c r="L73" s="2426"/>
      <c r="M73" s="1858"/>
    </row>
    <row r="74" spans="1:13">
      <c r="B74" s="2427"/>
      <c r="C74" s="2427"/>
      <c r="D74" s="2427"/>
      <c r="E74" s="2427"/>
      <c r="F74" s="2427"/>
      <c r="G74" s="2427"/>
      <c r="H74" s="2427"/>
      <c r="I74" s="2427"/>
      <c r="J74" s="2427"/>
      <c r="K74" s="2427"/>
      <c r="L74" s="2427"/>
      <c r="M74" s="1858"/>
    </row>
    <row r="75" spans="1:13" ht="15.5">
      <c r="B75" s="1861"/>
      <c r="J75" s="1862"/>
    </row>
    <row r="76" spans="1:13" ht="15.5">
      <c r="B76" s="1861" t="s">
        <v>140</v>
      </c>
      <c r="D76" s="2116"/>
      <c r="E76" s="2116"/>
      <c r="F76" s="2116"/>
      <c r="G76" s="2116"/>
      <c r="J76" s="1862" t="s">
        <v>9</v>
      </c>
      <c r="K76" s="2429"/>
      <c r="L76" s="2429"/>
    </row>
    <row r="77" spans="1:13">
      <c r="A77" s="613"/>
      <c r="B77" s="613"/>
      <c r="C77" s="613"/>
      <c r="D77" s="613"/>
      <c r="E77" s="613"/>
      <c r="F77" s="613"/>
      <c r="G77" s="613"/>
      <c r="H77" s="613"/>
      <c r="I77" s="613"/>
      <c r="J77" s="613"/>
      <c r="K77" s="613"/>
      <c r="L77" s="613"/>
      <c r="M77" s="613"/>
    </row>
    <row r="78" spans="1:13">
      <c r="B78" s="1863" t="s">
        <v>223</v>
      </c>
      <c r="C78" s="1864" t="str">
        <f>Version</f>
        <v>2.0</v>
      </c>
      <c r="D78" s="1865"/>
      <c r="E78" s="1865"/>
      <c r="F78" s="1864"/>
      <c r="G78" s="1864"/>
      <c r="H78" s="1864"/>
      <c r="I78" s="1866"/>
      <c r="J78" s="1867"/>
      <c r="K78" s="1867" t="s">
        <v>225</v>
      </c>
      <c r="L78" s="1868" t="str">
        <f>Development!A4</f>
        <v>4.01.2024</v>
      </c>
    </row>
    <row r="79" spans="1:13">
      <c r="B79" s="1348"/>
      <c r="C79" s="1348"/>
      <c r="D79" s="1348"/>
      <c r="E79" s="1348"/>
      <c r="F79" s="1348"/>
      <c r="G79" s="1348"/>
      <c r="H79" s="1348"/>
      <c r="I79" s="1348"/>
      <c r="J79" s="1348"/>
      <c r="K79" s="1348"/>
    </row>
    <row r="80" spans="1:13">
      <c r="B80" s="1348"/>
      <c r="C80" s="1348"/>
      <c r="D80" s="1348"/>
      <c r="E80" s="1348"/>
      <c r="F80" s="1348"/>
      <c r="G80" s="1348"/>
      <c r="H80" s="1348"/>
      <c r="I80" s="1348"/>
      <c r="J80" s="1348"/>
      <c r="K80" s="1348"/>
    </row>
    <row r="81" spans="2:11" hidden="1">
      <c r="B81" s="1348"/>
      <c r="C81" s="1348"/>
      <c r="D81" s="1348"/>
      <c r="E81" s="1348"/>
      <c r="F81" s="1348"/>
      <c r="G81" s="1348"/>
      <c r="H81" s="1348"/>
      <c r="I81" s="1348"/>
      <c r="J81" s="1348"/>
      <c r="K81" s="1348"/>
    </row>
    <row r="82" spans="2:11" hidden="1">
      <c r="B82" s="1348"/>
      <c r="C82" s="1348"/>
      <c r="D82" s="1348"/>
      <c r="E82" s="1348"/>
      <c r="F82" s="1348"/>
      <c r="G82" s="1348"/>
      <c r="H82" s="1348"/>
      <c r="I82" s="1348"/>
      <c r="J82" s="1348"/>
      <c r="K82" s="1348"/>
    </row>
    <row r="83" spans="2:11" hidden="1">
      <c r="B83" s="1348"/>
      <c r="C83" s="1348"/>
      <c r="D83" s="1348"/>
      <c r="E83" s="1348"/>
      <c r="F83" s="1348"/>
      <c r="G83" s="1348"/>
      <c r="H83" s="1348"/>
      <c r="I83" s="1348"/>
      <c r="J83" s="1348"/>
      <c r="K83" s="1348"/>
    </row>
    <row r="84" spans="2:11" hidden="1">
      <c r="B84" s="1348"/>
      <c r="C84" s="1348"/>
      <c r="D84" s="1348"/>
      <c r="E84" s="1348"/>
      <c r="F84" s="1348"/>
      <c r="G84" s="1348"/>
      <c r="H84" s="1348"/>
      <c r="I84" s="1348"/>
      <c r="J84" s="1348"/>
      <c r="K84" s="1348"/>
    </row>
    <row r="85" spans="2:11" hidden="1">
      <c r="B85" s="1348"/>
      <c r="C85" s="1348"/>
      <c r="D85" s="1348"/>
      <c r="E85" s="1348"/>
      <c r="F85" s="1348"/>
      <c r="G85" s="1348"/>
      <c r="H85" s="1348"/>
      <c r="I85" s="1348"/>
      <c r="J85" s="1348"/>
      <c r="K85" s="1348"/>
    </row>
    <row r="86" spans="2:11" hidden="1">
      <c r="B86" s="1348"/>
      <c r="C86" s="1348"/>
      <c r="D86" s="1348"/>
      <c r="E86" s="1348"/>
      <c r="F86" s="1348"/>
      <c r="G86" s="1348"/>
      <c r="H86" s="1348"/>
      <c r="I86" s="1348"/>
      <c r="J86" s="1348"/>
      <c r="K86" s="1348"/>
    </row>
    <row r="87" spans="2:11" hidden="1">
      <c r="B87" s="1348"/>
      <c r="C87" s="1348"/>
      <c r="D87" s="1348"/>
      <c r="E87" s="1348"/>
      <c r="F87" s="1348"/>
      <c r="G87" s="1348"/>
      <c r="H87" s="1348"/>
      <c r="I87" s="1348"/>
      <c r="J87" s="1348"/>
      <c r="K87" s="1348"/>
    </row>
    <row r="88" spans="2:11" hidden="1">
      <c r="B88" s="1348"/>
      <c r="C88" s="1348"/>
      <c r="D88" s="1348"/>
      <c r="E88" s="1348"/>
      <c r="F88" s="1348"/>
      <c r="G88" s="1348"/>
      <c r="H88" s="1348"/>
      <c r="I88" s="1348"/>
      <c r="J88" s="1348"/>
      <c r="K88" s="1348"/>
    </row>
    <row r="89" spans="2:11" hidden="1">
      <c r="B89" s="1348"/>
      <c r="C89" s="1348"/>
      <c r="D89" s="1348"/>
      <c r="E89" s="1348"/>
      <c r="F89" s="1348"/>
      <c r="G89" s="1348"/>
      <c r="H89" s="1348"/>
      <c r="I89" s="1348"/>
      <c r="J89" s="1348"/>
      <c r="K89" s="1348"/>
    </row>
    <row r="90" spans="2:11" hidden="1">
      <c r="B90" s="1348"/>
      <c r="C90" s="1348"/>
      <c r="D90" s="1348"/>
      <c r="E90" s="1348"/>
      <c r="F90" s="1348"/>
      <c r="G90" s="1348"/>
      <c r="H90" s="1348"/>
      <c r="I90" s="1348"/>
      <c r="J90" s="1348"/>
      <c r="K90" s="1348"/>
    </row>
    <row r="91" spans="2:11" hidden="1">
      <c r="B91" s="1348"/>
      <c r="C91" s="1348"/>
      <c r="D91" s="1348"/>
      <c r="E91" s="1348"/>
      <c r="F91" s="1348"/>
      <c r="G91" s="1348"/>
      <c r="H91" s="1348"/>
      <c r="I91" s="1348"/>
      <c r="J91" s="1348"/>
      <c r="K91" s="1348"/>
    </row>
    <row r="92" spans="2:11" hidden="1">
      <c r="B92" s="1348"/>
      <c r="C92" s="1348"/>
      <c r="D92" s="1348"/>
      <c r="E92" s="1348"/>
      <c r="F92" s="1348"/>
      <c r="G92" s="1348"/>
      <c r="H92" s="1348"/>
      <c r="I92" s="1348"/>
      <c r="J92" s="1348"/>
      <c r="K92" s="1348"/>
    </row>
    <row r="93" spans="2:11" hidden="1">
      <c r="B93" s="1348"/>
      <c r="C93" s="1348"/>
      <c r="D93" s="1348"/>
      <c r="E93" s="1348"/>
      <c r="F93" s="1348"/>
      <c r="G93" s="1348"/>
      <c r="H93" s="1348"/>
      <c r="I93" s="1348"/>
      <c r="J93" s="1348"/>
      <c r="K93" s="1348"/>
    </row>
    <row r="94" spans="2:11" hidden="1">
      <c r="B94" s="1348"/>
      <c r="C94" s="1348"/>
      <c r="D94" s="1348"/>
      <c r="E94" s="1348"/>
      <c r="F94" s="1348"/>
      <c r="G94" s="1348"/>
      <c r="H94" s="1348"/>
      <c r="I94" s="1348"/>
      <c r="J94" s="1348"/>
      <c r="K94" s="1348"/>
    </row>
    <row r="95" spans="2:11" hidden="1">
      <c r="B95" s="1348"/>
      <c r="C95" s="1348"/>
      <c r="D95" s="1348"/>
      <c r="E95" s="1348"/>
      <c r="F95" s="1348"/>
      <c r="G95" s="1348"/>
      <c r="H95" s="1348"/>
      <c r="I95" s="1348"/>
      <c r="J95" s="1348"/>
      <c r="K95" s="1348"/>
    </row>
    <row r="96" spans="2:11" hidden="1">
      <c r="B96" s="1348"/>
      <c r="C96" s="1348"/>
      <c r="D96" s="1348"/>
      <c r="E96" s="1348"/>
      <c r="F96" s="1348"/>
      <c r="G96" s="1348"/>
      <c r="H96" s="1348"/>
      <c r="I96" s="1348"/>
      <c r="J96" s="1348"/>
      <c r="K96" s="1348"/>
    </row>
    <row r="97" spans="2:11" hidden="1">
      <c r="B97" s="1348"/>
      <c r="C97" s="1348"/>
      <c r="D97" s="1348"/>
      <c r="E97" s="1348"/>
      <c r="F97" s="1348"/>
      <c r="G97" s="1348"/>
      <c r="H97" s="1348"/>
      <c r="I97" s="1348"/>
      <c r="J97" s="1348"/>
      <c r="K97" s="1348"/>
    </row>
    <row r="98" spans="2:11" hidden="1">
      <c r="B98" s="1348"/>
      <c r="C98" s="1348"/>
      <c r="D98" s="1348"/>
      <c r="E98" s="1348"/>
      <c r="F98" s="1348"/>
      <c r="G98" s="1348"/>
      <c r="H98" s="1348"/>
      <c r="I98" s="1348"/>
      <c r="J98" s="1348"/>
      <c r="K98" s="1348"/>
    </row>
    <row r="99" spans="2:11" hidden="1">
      <c r="B99" s="1348"/>
      <c r="C99" s="1348"/>
      <c r="D99" s="1348"/>
      <c r="E99" s="1348"/>
      <c r="F99" s="1348"/>
      <c r="G99" s="1348"/>
      <c r="H99" s="1348"/>
      <c r="I99" s="1348"/>
      <c r="J99" s="1348"/>
      <c r="K99" s="1348"/>
    </row>
    <row r="100" spans="2:11" hidden="1">
      <c r="B100" s="1348"/>
      <c r="C100" s="1348"/>
      <c r="D100" s="1348"/>
      <c r="E100" s="1348"/>
      <c r="F100" s="1348"/>
      <c r="G100" s="1348"/>
      <c r="H100" s="1348"/>
      <c r="I100" s="1348"/>
      <c r="J100" s="1348"/>
      <c r="K100" s="1348"/>
    </row>
    <row r="101" spans="2:11" hidden="1">
      <c r="B101" s="1348"/>
      <c r="C101" s="1348"/>
      <c r="D101" s="1348"/>
      <c r="E101" s="1348"/>
      <c r="F101" s="1348"/>
      <c r="G101" s="1348"/>
      <c r="H101" s="1348"/>
      <c r="I101" s="1348"/>
      <c r="J101" s="1348"/>
      <c r="K101" s="1348"/>
    </row>
    <row r="102" spans="2:11" hidden="1">
      <c r="B102" s="1348"/>
      <c r="C102" s="1348"/>
      <c r="D102" s="1348"/>
      <c r="E102" s="1348"/>
      <c r="F102" s="1348"/>
      <c r="G102" s="1348"/>
      <c r="H102" s="1348"/>
      <c r="I102" s="1348"/>
      <c r="J102" s="1348"/>
      <c r="K102" s="1348"/>
    </row>
    <row r="103" spans="2:11" hidden="1">
      <c r="B103" s="1348"/>
      <c r="C103" s="1348"/>
      <c r="D103" s="1348"/>
      <c r="E103" s="1348"/>
      <c r="F103" s="1348"/>
      <c r="G103" s="1348"/>
      <c r="H103" s="1348"/>
      <c r="I103" s="1348"/>
      <c r="J103" s="1348"/>
      <c r="K103" s="1348"/>
    </row>
    <row r="104" spans="2:11" hidden="1">
      <c r="B104" s="1348"/>
      <c r="C104" s="1348"/>
      <c r="D104" s="1348"/>
      <c r="E104" s="1348"/>
      <c r="F104" s="1348"/>
      <c r="G104" s="1348"/>
      <c r="H104" s="1348"/>
      <c r="I104" s="1348"/>
      <c r="J104" s="1348"/>
      <c r="K104" s="1348"/>
    </row>
    <row r="105" spans="2:11" hidden="1">
      <c r="B105" s="1348"/>
      <c r="C105" s="1348"/>
      <c r="D105" s="1348"/>
      <c r="E105" s="1348"/>
      <c r="F105" s="1348"/>
      <c r="G105" s="1348"/>
      <c r="H105" s="1348"/>
      <c r="I105" s="1348"/>
      <c r="J105" s="1348"/>
      <c r="K105" s="1348"/>
    </row>
    <row r="106" spans="2:11" hidden="1">
      <c r="B106" s="1348"/>
      <c r="C106" s="1348"/>
      <c r="D106" s="1348"/>
      <c r="E106" s="1348"/>
      <c r="F106" s="1348"/>
      <c r="G106" s="1348"/>
      <c r="H106" s="1348"/>
      <c r="I106" s="1348"/>
      <c r="J106" s="1348"/>
      <c r="K106" s="1348"/>
    </row>
    <row r="107" spans="2:11" hidden="1">
      <c r="B107" s="1348"/>
      <c r="C107" s="1348"/>
      <c r="D107" s="1348"/>
      <c r="E107" s="1348"/>
      <c r="F107" s="1348"/>
      <c r="G107" s="1348"/>
      <c r="H107" s="1348"/>
      <c r="I107" s="1348"/>
      <c r="J107" s="1348"/>
      <c r="K107" s="1348"/>
    </row>
    <row r="108" spans="2:11" hidden="1">
      <c r="B108" s="1348"/>
      <c r="C108" s="1348"/>
      <c r="D108" s="1348"/>
      <c r="E108" s="1348"/>
      <c r="F108" s="1348"/>
      <c r="G108" s="1348"/>
      <c r="H108" s="1348"/>
      <c r="I108" s="1348"/>
      <c r="J108" s="1348"/>
      <c r="K108" s="1348"/>
    </row>
    <row r="109" spans="2:11" hidden="1">
      <c r="B109" s="1348"/>
      <c r="C109" s="1348"/>
      <c r="D109" s="1348"/>
      <c r="E109" s="1348"/>
      <c r="F109" s="1348"/>
      <c r="G109" s="1348"/>
      <c r="H109" s="1348"/>
      <c r="I109" s="1348"/>
      <c r="J109" s="1348"/>
      <c r="K109" s="1348"/>
    </row>
    <row r="110" spans="2:11" hidden="1">
      <c r="B110" s="1348"/>
      <c r="C110" s="1348"/>
      <c r="D110" s="1348"/>
      <c r="E110" s="1348"/>
      <c r="F110" s="1348"/>
      <c r="G110" s="1348"/>
      <c r="H110" s="1348"/>
      <c r="I110" s="1348"/>
      <c r="J110" s="1348"/>
      <c r="K110" s="1348"/>
    </row>
    <row r="111" spans="2:11" hidden="1">
      <c r="B111" s="1348"/>
      <c r="C111" s="1348"/>
      <c r="D111" s="1348"/>
      <c r="E111" s="1348"/>
      <c r="F111" s="1348"/>
      <c r="G111" s="1348"/>
      <c r="H111" s="1348"/>
      <c r="I111" s="1348"/>
      <c r="J111" s="1348"/>
      <c r="K111" s="1348"/>
    </row>
    <row r="112" spans="2:11" hidden="1">
      <c r="B112" s="1348"/>
      <c r="C112" s="1348"/>
      <c r="D112" s="1348"/>
      <c r="E112" s="1348"/>
      <c r="F112" s="1348"/>
      <c r="G112" s="1348"/>
      <c r="H112" s="1348"/>
      <c r="I112" s="1348"/>
      <c r="J112" s="1348"/>
      <c r="K112" s="1348"/>
    </row>
    <row r="113" spans="2:11" hidden="1">
      <c r="B113" s="1348"/>
      <c r="C113" s="1348"/>
      <c r="D113" s="1348"/>
      <c r="E113" s="1348"/>
      <c r="F113" s="1348"/>
      <c r="G113" s="1348"/>
      <c r="H113" s="1348"/>
      <c r="I113" s="1348"/>
      <c r="J113" s="1348"/>
      <c r="K113" s="1348"/>
    </row>
    <row r="114" spans="2:11" hidden="1">
      <c r="B114" s="1348"/>
      <c r="C114" s="1348"/>
      <c r="D114" s="1348"/>
      <c r="E114" s="1348"/>
      <c r="F114" s="1348"/>
      <c r="G114" s="1348"/>
      <c r="H114" s="1348"/>
      <c r="I114" s="1348"/>
      <c r="J114" s="1348"/>
      <c r="K114" s="1348"/>
    </row>
    <row r="115" spans="2:11" hidden="1">
      <c r="B115" s="1348"/>
      <c r="C115" s="1348"/>
      <c r="D115" s="1348"/>
      <c r="E115" s="1348"/>
      <c r="F115" s="1348"/>
      <c r="G115" s="1348"/>
      <c r="H115" s="1348"/>
      <c r="I115" s="1348"/>
      <c r="J115" s="1348"/>
      <c r="K115" s="1348"/>
    </row>
    <row r="116" spans="2:11" hidden="1">
      <c r="B116" s="1348"/>
      <c r="C116" s="1348"/>
      <c r="D116" s="1348"/>
      <c r="E116" s="1348"/>
      <c r="F116" s="1348"/>
      <c r="G116" s="1348"/>
      <c r="H116" s="1348"/>
      <c r="I116" s="1348"/>
      <c r="J116" s="1348"/>
      <c r="K116" s="1348"/>
    </row>
    <row r="117" spans="2:11" hidden="1">
      <c r="B117" s="1348"/>
      <c r="C117" s="1348"/>
      <c r="D117" s="1348"/>
      <c r="E117" s="1348"/>
      <c r="F117" s="1348"/>
      <c r="G117" s="1348"/>
      <c r="H117" s="1348"/>
      <c r="I117" s="1348"/>
      <c r="J117" s="1348"/>
      <c r="K117" s="1348"/>
    </row>
    <row r="118" spans="2:11" hidden="1">
      <c r="B118" s="1348"/>
      <c r="C118" s="1348"/>
      <c r="D118" s="1348"/>
      <c r="E118" s="1348"/>
      <c r="F118" s="1348"/>
      <c r="G118" s="1348"/>
      <c r="H118" s="1348"/>
      <c r="I118" s="1348"/>
      <c r="J118" s="1348"/>
      <c r="K118" s="1348"/>
    </row>
    <row r="119" spans="2:11" hidden="1">
      <c r="B119" s="1348"/>
      <c r="C119" s="1348"/>
      <c r="D119" s="1348"/>
      <c r="E119" s="1348"/>
      <c r="F119" s="1348"/>
      <c r="G119" s="1348"/>
      <c r="H119" s="1348"/>
      <c r="I119" s="1348"/>
      <c r="J119" s="1348"/>
      <c r="K119" s="1348"/>
    </row>
    <row r="120" spans="2:11" hidden="1">
      <c r="B120" s="1348"/>
      <c r="C120" s="1348"/>
      <c r="D120" s="1348"/>
      <c r="E120" s="1348"/>
      <c r="F120" s="1348"/>
      <c r="G120" s="1348"/>
      <c r="H120" s="1348"/>
      <c r="I120" s="1348"/>
      <c r="J120" s="1348"/>
      <c r="K120" s="1348"/>
    </row>
    <row r="121" spans="2:11" hidden="1">
      <c r="B121" s="1348"/>
      <c r="C121" s="1348"/>
      <c r="D121" s="1348"/>
      <c r="E121" s="1348"/>
      <c r="F121" s="1348"/>
      <c r="G121" s="1348"/>
      <c r="H121" s="1348"/>
      <c r="I121" s="1348"/>
      <c r="J121" s="1348"/>
      <c r="K121" s="1348"/>
    </row>
    <row r="122" spans="2:11" hidden="1">
      <c r="B122" s="1348"/>
      <c r="C122" s="1348"/>
      <c r="D122" s="1348"/>
      <c r="E122" s="1348"/>
      <c r="F122" s="1348"/>
      <c r="G122" s="1348"/>
      <c r="H122" s="1348"/>
      <c r="I122" s="1348"/>
      <c r="J122" s="1348"/>
      <c r="K122" s="1348"/>
    </row>
    <row r="123" spans="2:11" hidden="1">
      <c r="B123" s="1348"/>
      <c r="C123" s="1348"/>
      <c r="D123" s="1348"/>
      <c r="E123" s="1348"/>
      <c r="F123" s="1348"/>
      <c r="G123" s="1348"/>
      <c r="H123" s="1348"/>
      <c r="I123" s="1348"/>
      <c r="J123" s="1348"/>
      <c r="K123" s="1348"/>
    </row>
    <row r="124" spans="2:11" hidden="1">
      <c r="B124" s="1348"/>
      <c r="C124" s="1348"/>
      <c r="D124" s="1348"/>
      <c r="E124" s="1348"/>
      <c r="F124" s="1348"/>
      <c r="G124" s="1348"/>
      <c r="H124" s="1348"/>
      <c r="I124" s="1348"/>
      <c r="J124" s="1348"/>
      <c r="K124" s="1348"/>
    </row>
    <row r="125" spans="2:11" hidden="1">
      <c r="B125" s="1348"/>
      <c r="C125" s="1348"/>
      <c r="D125" s="1348"/>
      <c r="E125" s="1348"/>
      <c r="F125" s="1348"/>
      <c r="G125" s="1348"/>
      <c r="H125" s="1348"/>
      <c r="I125" s="1348"/>
      <c r="J125" s="1348"/>
      <c r="K125" s="1348"/>
    </row>
    <row r="126" spans="2:11" hidden="1">
      <c r="B126" s="1348"/>
      <c r="C126" s="1348"/>
      <c r="D126" s="1348"/>
      <c r="E126" s="1348"/>
      <c r="F126" s="1348"/>
      <c r="G126" s="1348"/>
      <c r="H126" s="1348"/>
      <c r="I126" s="1348"/>
      <c r="J126" s="1348"/>
      <c r="K126" s="1348"/>
    </row>
    <row r="127" spans="2:11" hidden="1">
      <c r="B127" s="1348"/>
      <c r="C127" s="1348"/>
      <c r="D127" s="1348"/>
      <c r="E127" s="1348"/>
      <c r="F127" s="1348"/>
      <c r="G127" s="1348"/>
      <c r="H127" s="1348"/>
      <c r="I127" s="1348"/>
      <c r="J127" s="1348"/>
      <c r="K127" s="1348"/>
    </row>
    <row r="128" spans="2:11" hidden="1">
      <c r="B128" s="1348"/>
      <c r="C128" s="1348"/>
      <c r="D128" s="1348"/>
      <c r="E128" s="1348"/>
      <c r="F128" s="1348"/>
      <c r="G128" s="1348"/>
      <c r="H128" s="1348"/>
      <c r="I128" s="1348"/>
      <c r="J128" s="1348"/>
      <c r="K128" s="1348"/>
    </row>
    <row r="129" spans="2:11" hidden="1">
      <c r="B129" s="1348"/>
      <c r="C129" s="1348"/>
      <c r="D129" s="1348"/>
      <c r="E129" s="1348"/>
      <c r="F129" s="1348"/>
      <c r="G129" s="1348"/>
      <c r="H129" s="1348"/>
      <c r="I129" s="1348"/>
      <c r="J129" s="1348"/>
      <c r="K129" s="1348"/>
    </row>
    <row r="130" spans="2:11" hidden="1">
      <c r="B130" s="1348"/>
      <c r="C130" s="1348"/>
      <c r="D130" s="1348"/>
      <c r="E130" s="1348"/>
      <c r="F130" s="1348"/>
      <c r="G130" s="1348"/>
      <c r="H130" s="1348"/>
      <c r="I130" s="1348"/>
      <c r="J130" s="1348"/>
      <c r="K130" s="1348"/>
    </row>
    <row r="131" spans="2:11" hidden="1">
      <c r="B131" s="1348"/>
      <c r="C131" s="1348"/>
      <c r="D131" s="1348"/>
      <c r="E131" s="1348"/>
      <c r="F131" s="1348"/>
      <c r="G131" s="1348"/>
      <c r="H131" s="1348"/>
      <c r="I131" s="1348"/>
      <c r="J131" s="1348"/>
      <c r="K131" s="1348"/>
    </row>
    <row r="132" spans="2:11" hidden="1">
      <c r="B132" s="1348"/>
      <c r="C132" s="1348"/>
      <c r="D132" s="1348"/>
      <c r="E132" s="1348"/>
      <c r="F132" s="1348"/>
      <c r="G132" s="1348"/>
      <c r="H132" s="1348"/>
      <c r="I132" s="1348"/>
      <c r="J132" s="1348"/>
      <c r="K132" s="1348"/>
    </row>
    <row r="133" spans="2:11" hidden="1">
      <c r="B133" s="1348"/>
      <c r="C133" s="1348"/>
      <c r="D133" s="1348"/>
      <c r="E133" s="1348"/>
      <c r="F133" s="1348"/>
      <c r="G133" s="1348"/>
      <c r="H133" s="1348"/>
      <c r="I133" s="1348"/>
      <c r="J133" s="1348"/>
      <c r="K133" s="1348"/>
    </row>
    <row r="134" spans="2:11" hidden="1">
      <c r="B134" s="1348"/>
      <c r="C134" s="1348"/>
      <c r="D134" s="1348"/>
      <c r="E134" s="1348"/>
      <c r="F134" s="1348"/>
      <c r="G134" s="1348"/>
      <c r="H134" s="1348"/>
      <c r="I134" s="1348"/>
      <c r="J134" s="1348"/>
      <c r="K134" s="1348"/>
    </row>
    <row r="135" spans="2:11" hidden="1">
      <c r="B135" s="1348"/>
      <c r="C135" s="1348"/>
      <c r="D135" s="1348"/>
      <c r="E135" s="1348"/>
      <c r="F135" s="1348"/>
      <c r="G135" s="1348"/>
      <c r="H135" s="1348"/>
      <c r="I135" s="1348"/>
      <c r="J135" s="1348"/>
      <c r="K135" s="1348"/>
    </row>
    <row r="136" spans="2:11" hidden="1">
      <c r="B136" s="1348"/>
      <c r="C136" s="1348"/>
      <c r="D136" s="1348"/>
      <c r="E136" s="1348"/>
      <c r="F136" s="1348"/>
      <c r="G136" s="1348"/>
      <c r="H136" s="1348"/>
      <c r="I136" s="1348"/>
      <c r="J136" s="1348"/>
      <c r="K136" s="1348"/>
    </row>
    <row r="137" spans="2:11" hidden="1">
      <c r="B137" s="1348"/>
      <c r="C137" s="1348"/>
      <c r="D137" s="1348"/>
      <c r="E137" s="1348"/>
      <c r="F137" s="1348"/>
      <c r="G137" s="1348"/>
      <c r="H137" s="1348"/>
      <c r="I137" s="1348"/>
      <c r="J137" s="1348"/>
      <c r="K137" s="1348"/>
    </row>
    <row r="138" spans="2:11" hidden="1">
      <c r="B138" s="1348"/>
      <c r="C138" s="1348"/>
      <c r="D138" s="1348"/>
      <c r="E138" s="1348"/>
      <c r="F138" s="1348"/>
      <c r="G138" s="1348"/>
      <c r="H138" s="1348"/>
      <c r="I138" s="1348"/>
      <c r="J138" s="1348"/>
      <c r="K138" s="1348"/>
    </row>
    <row r="139" spans="2:11" hidden="1">
      <c r="B139" s="1348"/>
      <c r="C139" s="1348"/>
      <c r="D139" s="1348"/>
      <c r="E139" s="1348"/>
      <c r="F139" s="1348"/>
      <c r="G139" s="1348"/>
      <c r="H139" s="1348"/>
      <c r="I139" s="1348"/>
      <c r="J139" s="1348"/>
      <c r="K139" s="1348"/>
    </row>
    <row r="140" spans="2:11" hidden="1">
      <c r="B140" s="1348"/>
      <c r="C140" s="1348"/>
      <c r="D140" s="1348"/>
      <c r="E140" s="1348"/>
      <c r="F140" s="1348"/>
      <c r="G140" s="1348"/>
      <c r="H140" s="1348"/>
      <c r="I140" s="1348"/>
      <c r="J140" s="1348"/>
      <c r="K140" s="1348"/>
    </row>
    <row r="141" spans="2:11" hidden="1">
      <c r="B141" s="1348"/>
      <c r="C141" s="1348"/>
      <c r="D141" s="1348"/>
      <c r="E141" s="1348"/>
      <c r="F141" s="1348"/>
      <c r="G141" s="1348"/>
      <c r="H141" s="1348"/>
      <c r="I141" s="1348"/>
      <c r="J141" s="1348"/>
      <c r="K141" s="1348"/>
    </row>
    <row r="142" spans="2:11" hidden="1">
      <c r="B142" s="1348"/>
      <c r="C142" s="1348"/>
      <c r="D142" s="1348"/>
      <c r="E142" s="1348"/>
      <c r="F142" s="1348"/>
      <c r="G142" s="1348"/>
      <c r="H142" s="1348"/>
      <c r="I142" s="1348"/>
      <c r="J142" s="1348"/>
      <c r="K142" s="1348"/>
    </row>
    <row r="143" spans="2:11" hidden="1">
      <c r="B143" s="1348"/>
      <c r="C143" s="1348"/>
      <c r="D143" s="1348"/>
      <c r="E143" s="1348"/>
      <c r="F143" s="1348"/>
      <c r="G143" s="1348"/>
      <c r="H143" s="1348"/>
      <c r="I143" s="1348"/>
      <c r="J143" s="1348"/>
      <c r="K143" s="1348"/>
    </row>
    <row r="144" spans="2:11" hidden="1">
      <c r="B144" s="1348"/>
      <c r="C144" s="1348"/>
      <c r="D144" s="1348"/>
      <c r="E144" s="1348"/>
      <c r="F144" s="1348"/>
      <c r="G144" s="1348"/>
      <c r="H144" s="1348"/>
      <c r="I144" s="1348"/>
      <c r="J144" s="1348"/>
      <c r="K144" s="1348"/>
    </row>
    <row r="145" spans="2:11" hidden="1">
      <c r="B145" s="1348"/>
      <c r="C145" s="1348"/>
      <c r="D145" s="1348"/>
      <c r="E145" s="1348"/>
      <c r="F145" s="1348"/>
      <c r="G145" s="1348"/>
      <c r="H145" s="1348"/>
      <c r="I145" s="1348"/>
      <c r="J145" s="1348"/>
      <c r="K145" s="1348"/>
    </row>
    <row r="146" spans="2:11" hidden="1">
      <c r="B146" s="1348"/>
      <c r="C146" s="1348"/>
      <c r="D146" s="1348"/>
      <c r="E146" s="1348"/>
      <c r="F146" s="1348"/>
      <c r="G146" s="1348"/>
      <c r="H146" s="1348"/>
      <c r="I146" s="1348"/>
      <c r="J146" s="1348"/>
      <c r="K146" s="1348"/>
    </row>
    <row r="147" spans="2:11" hidden="1">
      <c r="B147" s="1348"/>
      <c r="C147" s="1348"/>
      <c r="D147" s="1348"/>
      <c r="E147" s="1348"/>
      <c r="F147" s="1348"/>
      <c r="G147" s="1348"/>
      <c r="H147" s="1348"/>
      <c r="I147" s="1348"/>
      <c r="J147" s="1348"/>
      <c r="K147" s="1348"/>
    </row>
    <row r="148" spans="2:11" hidden="1">
      <c r="B148" s="1348"/>
      <c r="C148" s="1348"/>
      <c r="D148" s="1348"/>
      <c r="E148" s="1348"/>
      <c r="F148" s="1348"/>
      <c r="G148" s="1348"/>
      <c r="H148" s="1348"/>
      <c r="I148" s="1348"/>
      <c r="J148" s="1348"/>
      <c r="K148" s="1348"/>
    </row>
    <row r="149" spans="2:11" hidden="1">
      <c r="B149" s="1348"/>
      <c r="C149" s="1348"/>
      <c r="D149" s="1348"/>
      <c r="E149" s="1348"/>
      <c r="F149" s="1348"/>
      <c r="G149" s="1348"/>
      <c r="H149" s="1348"/>
      <c r="I149" s="1348"/>
      <c r="J149" s="1348"/>
      <c r="K149" s="1348"/>
    </row>
    <row r="150" spans="2:11" hidden="1">
      <c r="B150" s="1348"/>
      <c r="C150" s="1348"/>
      <c r="D150" s="1348"/>
      <c r="E150" s="1348"/>
      <c r="F150" s="1348"/>
      <c r="G150" s="1348"/>
      <c r="H150" s="1348"/>
      <c r="I150" s="1348"/>
      <c r="J150" s="1348"/>
      <c r="K150" s="1348"/>
    </row>
    <row r="151" spans="2:11" hidden="1">
      <c r="B151" s="1348"/>
      <c r="C151" s="1348"/>
      <c r="D151" s="1348"/>
      <c r="E151" s="1348"/>
      <c r="F151" s="1348"/>
      <c r="G151" s="1348"/>
      <c r="H151" s="1348"/>
      <c r="I151" s="1348"/>
      <c r="J151" s="1348"/>
      <c r="K151" s="1348"/>
    </row>
    <row r="152" spans="2:11" hidden="1">
      <c r="B152" s="1348"/>
      <c r="C152" s="1348"/>
      <c r="D152" s="1348"/>
      <c r="E152" s="1348"/>
      <c r="F152" s="1348"/>
      <c r="G152" s="1348"/>
      <c r="H152" s="1348"/>
      <c r="I152" s="1348"/>
      <c r="J152" s="1348"/>
      <c r="K152" s="1348"/>
    </row>
    <row r="153" spans="2:11" hidden="1">
      <c r="B153" s="1348"/>
      <c r="C153" s="1348"/>
      <c r="D153" s="1348"/>
      <c r="E153" s="1348"/>
      <c r="F153" s="1348"/>
      <c r="G153" s="1348"/>
      <c r="H153" s="1348"/>
      <c r="I153" s="1348"/>
      <c r="J153" s="1348"/>
      <c r="K153" s="1348"/>
    </row>
    <row r="154" spans="2:11" hidden="1">
      <c r="B154" s="1348"/>
      <c r="C154" s="1348"/>
      <c r="D154" s="1348"/>
      <c r="E154" s="1348"/>
      <c r="F154" s="1348"/>
      <c r="G154" s="1348"/>
      <c r="H154" s="1348"/>
      <c r="I154" s="1348"/>
      <c r="J154" s="1348"/>
      <c r="K154" s="1348"/>
    </row>
    <row r="155" spans="2:11" hidden="1">
      <c r="B155" s="1348"/>
      <c r="C155" s="1348"/>
      <c r="D155" s="1348"/>
      <c r="E155" s="1348"/>
      <c r="F155" s="1348"/>
      <c r="G155" s="1348"/>
      <c r="H155" s="1348"/>
      <c r="I155" s="1348"/>
      <c r="J155" s="1348"/>
      <c r="K155" s="1348"/>
    </row>
    <row r="156" spans="2:11" hidden="1">
      <c r="B156" s="1348"/>
      <c r="C156" s="1348"/>
      <c r="D156" s="1348"/>
      <c r="E156" s="1348"/>
      <c r="F156" s="1348"/>
      <c r="G156" s="1348"/>
      <c r="H156" s="1348"/>
      <c r="I156" s="1348"/>
      <c r="J156" s="1348"/>
      <c r="K156" s="1348"/>
    </row>
    <row r="157" spans="2:11" hidden="1">
      <c r="B157" s="1348"/>
      <c r="C157" s="1348"/>
      <c r="D157" s="1348"/>
      <c r="E157" s="1348"/>
      <c r="F157" s="1348"/>
      <c r="G157" s="1348"/>
      <c r="H157" s="1348"/>
      <c r="I157" s="1348"/>
      <c r="J157" s="1348"/>
      <c r="K157" s="1348"/>
    </row>
    <row r="158" spans="2:11" hidden="1">
      <c r="B158" s="1348"/>
      <c r="C158" s="1348"/>
      <c r="D158" s="1348"/>
      <c r="E158" s="1348"/>
      <c r="F158" s="1348"/>
      <c r="G158" s="1348"/>
      <c r="H158" s="1348"/>
      <c r="I158" s="1348"/>
      <c r="J158" s="1348"/>
      <c r="K158" s="1348"/>
    </row>
    <row r="159" spans="2:11" hidden="1">
      <c r="B159" s="1348"/>
      <c r="C159" s="1348"/>
      <c r="D159" s="1348"/>
      <c r="E159" s="1348"/>
      <c r="F159" s="1348"/>
      <c r="G159" s="1348"/>
      <c r="H159" s="1348"/>
      <c r="I159" s="1348"/>
      <c r="J159" s="1348"/>
      <c r="K159" s="1348"/>
    </row>
    <row r="160" spans="2:11" hidden="1">
      <c r="B160" s="1348"/>
      <c r="C160" s="1348"/>
      <c r="D160" s="1348"/>
      <c r="E160" s="1348"/>
      <c r="F160" s="1348"/>
      <c r="G160" s="1348"/>
      <c r="H160" s="1348"/>
      <c r="I160" s="1348"/>
      <c r="J160" s="1348"/>
      <c r="K160" s="1348"/>
    </row>
    <row r="161" spans="2:11" hidden="1">
      <c r="B161" s="1348"/>
      <c r="C161" s="1348"/>
      <c r="D161" s="1348"/>
      <c r="E161" s="1348"/>
      <c r="F161" s="1348"/>
      <c r="G161" s="1348"/>
      <c r="H161" s="1348"/>
      <c r="I161" s="1348"/>
      <c r="J161" s="1348"/>
      <c r="K161" s="1348"/>
    </row>
    <row r="162" spans="2:11" hidden="1">
      <c r="B162" s="1348"/>
      <c r="C162" s="1348"/>
      <c r="D162" s="1348"/>
      <c r="E162" s="1348"/>
      <c r="F162" s="1348"/>
      <c r="G162" s="1348"/>
      <c r="H162" s="1348"/>
      <c r="I162" s="1348"/>
      <c r="J162" s="1348"/>
      <c r="K162" s="1348"/>
    </row>
    <row r="163" spans="2:11" hidden="1">
      <c r="B163" s="1348"/>
      <c r="C163" s="1348"/>
      <c r="D163" s="1348"/>
      <c r="E163" s="1348"/>
      <c r="F163" s="1348"/>
      <c r="G163" s="1348"/>
      <c r="H163" s="1348"/>
      <c r="I163" s="1348"/>
      <c r="J163" s="1348"/>
      <c r="K163" s="1348"/>
    </row>
    <row r="164" spans="2:11" hidden="1">
      <c r="B164" s="1348"/>
      <c r="C164" s="1348"/>
      <c r="D164" s="1348"/>
      <c r="E164" s="1348"/>
      <c r="F164" s="1348"/>
      <c r="G164" s="1348"/>
      <c r="H164" s="1348"/>
      <c r="I164" s="1348"/>
      <c r="J164" s="1348"/>
      <c r="K164" s="1348"/>
    </row>
    <row r="165" spans="2:11" hidden="1">
      <c r="B165" s="1348"/>
      <c r="C165" s="1348"/>
      <c r="D165" s="1348"/>
      <c r="E165" s="1348"/>
      <c r="F165" s="1348"/>
      <c r="G165" s="1348"/>
      <c r="H165" s="1348"/>
      <c r="I165" s="1348"/>
      <c r="J165" s="1348"/>
      <c r="K165" s="1348"/>
    </row>
    <row r="166" spans="2:11" hidden="1">
      <c r="B166" s="1348"/>
      <c r="C166" s="1348"/>
      <c r="D166" s="1348"/>
      <c r="E166" s="1348"/>
      <c r="F166" s="1348"/>
      <c r="G166" s="1348"/>
      <c r="H166" s="1348"/>
      <c r="I166" s="1348"/>
      <c r="J166" s="1348"/>
      <c r="K166" s="1348"/>
    </row>
    <row r="167" spans="2:11" hidden="1">
      <c r="B167" s="1348"/>
      <c r="C167" s="1348"/>
      <c r="D167" s="1348"/>
      <c r="E167" s="1348"/>
      <c r="F167" s="1348"/>
      <c r="G167" s="1348"/>
      <c r="H167" s="1348"/>
      <c r="I167" s="1348"/>
      <c r="J167" s="1348"/>
      <c r="K167" s="1348"/>
    </row>
    <row r="168" spans="2:11" hidden="1">
      <c r="B168" s="1348"/>
      <c r="C168" s="1348"/>
      <c r="D168" s="1348"/>
      <c r="E168" s="1348"/>
      <c r="F168" s="1348"/>
      <c r="G168" s="1348"/>
      <c r="H168" s="1348"/>
      <c r="I168" s="1348"/>
      <c r="J168" s="1348"/>
      <c r="K168" s="1348"/>
    </row>
    <row r="169" spans="2:11" hidden="1">
      <c r="B169" s="1348"/>
      <c r="C169" s="1348"/>
      <c r="D169" s="1348"/>
      <c r="E169" s="1348"/>
      <c r="F169" s="1348"/>
      <c r="G169" s="1348"/>
      <c r="H169" s="1348"/>
      <c r="I169" s="1348"/>
      <c r="J169" s="1348"/>
      <c r="K169" s="1348"/>
    </row>
    <row r="170" spans="2:11" hidden="1">
      <c r="B170" s="1348"/>
      <c r="C170" s="1348"/>
      <c r="D170" s="1348"/>
      <c r="E170" s="1348"/>
      <c r="F170" s="1348"/>
      <c r="G170" s="1348"/>
      <c r="H170" s="1348"/>
      <c r="I170" s="1348"/>
      <c r="J170" s="1348"/>
      <c r="K170" s="1348"/>
    </row>
    <row r="171" spans="2:11" hidden="1">
      <c r="B171" s="1348"/>
      <c r="C171" s="1348"/>
      <c r="D171" s="1348"/>
      <c r="E171" s="1348"/>
      <c r="F171" s="1348"/>
      <c r="G171" s="1348"/>
      <c r="H171" s="1348"/>
      <c r="I171" s="1348"/>
      <c r="J171" s="1348"/>
      <c r="K171" s="1348"/>
    </row>
    <row r="172" spans="2:11" hidden="1">
      <c r="B172" s="1348"/>
      <c r="C172" s="1348"/>
      <c r="D172" s="1348"/>
      <c r="E172" s="1348"/>
      <c r="F172" s="1348"/>
      <c r="G172" s="1348"/>
      <c r="H172" s="1348"/>
      <c r="I172" s="1348"/>
      <c r="J172" s="1348"/>
      <c r="K172" s="1348"/>
    </row>
    <row r="173" spans="2:11" hidden="1">
      <c r="B173" s="1348"/>
      <c r="C173" s="1348"/>
      <c r="D173" s="1348"/>
      <c r="E173" s="1348"/>
      <c r="F173" s="1348"/>
      <c r="G173" s="1348"/>
      <c r="H173" s="1348"/>
      <c r="I173" s="1348"/>
      <c r="J173" s="1348"/>
      <c r="K173" s="1348"/>
    </row>
    <row r="174" spans="2:11" hidden="1">
      <c r="B174" s="1348"/>
      <c r="C174" s="1348"/>
      <c r="D174" s="1348"/>
      <c r="E174" s="1348"/>
      <c r="F174" s="1348"/>
      <c r="G174" s="1348"/>
      <c r="H174" s="1348"/>
      <c r="I174" s="1348"/>
      <c r="J174" s="1348"/>
      <c r="K174" s="1348"/>
    </row>
    <row r="175" spans="2:11" hidden="1">
      <c r="B175" s="1348"/>
      <c r="C175" s="1348"/>
      <c r="D175" s="1348"/>
      <c r="E175" s="1348"/>
      <c r="F175" s="1348"/>
      <c r="G175" s="1348"/>
      <c r="H175" s="1348"/>
      <c r="I175" s="1348"/>
      <c r="J175" s="1348"/>
      <c r="K175" s="1348"/>
    </row>
    <row r="176" spans="2:11" hidden="1">
      <c r="B176" s="1348"/>
      <c r="C176" s="1348"/>
      <c r="D176" s="1348"/>
      <c r="E176" s="1348"/>
      <c r="F176" s="1348"/>
      <c r="G176" s="1348"/>
      <c r="H176" s="1348"/>
      <c r="I176" s="1348"/>
      <c r="J176" s="1348"/>
      <c r="K176" s="1348"/>
    </row>
    <row r="177" spans="2:11" hidden="1">
      <c r="B177" s="1348"/>
      <c r="C177" s="1348"/>
      <c r="D177" s="1348"/>
      <c r="E177" s="1348"/>
      <c r="F177" s="1348"/>
      <c r="G177" s="1348"/>
      <c r="H177" s="1348"/>
      <c r="I177" s="1348"/>
      <c r="J177" s="1348"/>
      <c r="K177" s="1348"/>
    </row>
    <row r="178" spans="2:11" hidden="1">
      <c r="B178" s="1348"/>
      <c r="C178" s="1348"/>
      <c r="D178" s="1348"/>
      <c r="E178" s="1348"/>
      <c r="F178" s="1348"/>
      <c r="G178" s="1348"/>
      <c r="H178" s="1348"/>
      <c r="I178" s="1348"/>
      <c r="J178" s="1348"/>
      <c r="K178" s="1348"/>
    </row>
    <row r="179" spans="2:11" hidden="1">
      <c r="B179" s="1348"/>
      <c r="C179" s="1348"/>
      <c r="D179" s="1348"/>
      <c r="E179" s="1348"/>
      <c r="F179" s="1348"/>
      <c r="G179" s="1348"/>
      <c r="H179" s="1348"/>
      <c r="I179" s="1348"/>
      <c r="J179" s="1348"/>
      <c r="K179" s="1348"/>
    </row>
    <row r="180" spans="2:11" hidden="1">
      <c r="B180" s="1348"/>
      <c r="C180" s="1348"/>
      <c r="D180" s="1348"/>
      <c r="E180" s="1348"/>
      <c r="F180" s="1348"/>
      <c r="G180" s="1348"/>
      <c r="H180" s="1348"/>
      <c r="I180" s="1348"/>
      <c r="J180" s="1348"/>
      <c r="K180" s="1348"/>
    </row>
    <row r="181" spans="2:11" hidden="1">
      <c r="B181" s="1348"/>
      <c r="C181" s="1348"/>
      <c r="D181" s="1348"/>
      <c r="E181" s="1348"/>
      <c r="F181" s="1348"/>
      <c r="G181" s="1348"/>
      <c r="H181" s="1348"/>
      <c r="I181" s="1348"/>
      <c r="J181" s="1348"/>
      <c r="K181" s="1348"/>
    </row>
    <row r="182" spans="2:11" hidden="1">
      <c r="B182" s="1348"/>
      <c r="C182" s="1348"/>
      <c r="D182" s="1348"/>
      <c r="E182" s="1348"/>
      <c r="F182" s="1348"/>
      <c r="G182" s="1348"/>
      <c r="H182" s="1348"/>
      <c r="I182" s="1348"/>
      <c r="J182" s="1348"/>
      <c r="K182" s="1348"/>
    </row>
    <row r="183" spans="2:11" hidden="1">
      <c r="B183" s="1348"/>
      <c r="C183" s="1348"/>
      <c r="D183" s="1348"/>
      <c r="E183" s="1348"/>
      <c r="F183" s="1348"/>
      <c r="G183" s="1348"/>
      <c r="H183" s="1348"/>
      <c r="I183" s="1348"/>
      <c r="J183" s="1348"/>
      <c r="K183" s="1348"/>
    </row>
    <row r="184" spans="2:11" hidden="1">
      <c r="B184" s="1348"/>
      <c r="C184" s="1348"/>
      <c r="D184" s="1348"/>
      <c r="E184" s="1348"/>
      <c r="F184" s="1348"/>
      <c r="G184" s="1348"/>
      <c r="H184" s="1348"/>
      <c r="I184" s="1348"/>
      <c r="J184" s="1348"/>
      <c r="K184" s="1348"/>
    </row>
    <row r="185" spans="2:11" hidden="1">
      <c r="B185" s="1348"/>
      <c r="C185" s="1348"/>
      <c r="D185" s="1348"/>
      <c r="E185" s="1348"/>
      <c r="F185" s="1348"/>
      <c r="G185" s="1348"/>
      <c r="H185" s="1348"/>
      <c r="I185" s="1348"/>
      <c r="J185" s="1348"/>
      <c r="K185" s="1348"/>
    </row>
    <row r="186" spans="2:11" hidden="1">
      <c r="B186" s="1348"/>
      <c r="C186" s="1348"/>
      <c r="D186" s="1348"/>
      <c r="E186" s="1348"/>
      <c r="F186" s="1348"/>
      <c r="G186" s="1348"/>
      <c r="H186" s="1348"/>
      <c r="I186" s="1348"/>
      <c r="J186" s="1348"/>
      <c r="K186" s="1348"/>
    </row>
    <row r="187" spans="2:11" hidden="1">
      <c r="B187" s="1348"/>
      <c r="C187" s="1348"/>
      <c r="D187" s="1348"/>
      <c r="E187" s="1348"/>
      <c r="F187" s="1348"/>
      <c r="G187" s="1348"/>
      <c r="H187" s="1348"/>
      <c r="I187" s="1348"/>
      <c r="J187" s="1348"/>
      <c r="K187" s="1348"/>
    </row>
    <row r="188" spans="2:11" hidden="1">
      <c r="B188" s="1348"/>
      <c r="C188" s="1348"/>
      <c r="D188" s="1348"/>
      <c r="E188" s="1348"/>
      <c r="F188" s="1348"/>
      <c r="G188" s="1348"/>
      <c r="H188" s="1348"/>
      <c r="I188" s="1348"/>
      <c r="J188" s="1348"/>
      <c r="K188" s="1348"/>
    </row>
    <row r="189" spans="2:11" hidden="1">
      <c r="B189" s="1348"/>
      <c r="C189" s="1348"/>
      <c r="D189" s="1348"/>
      <c r="E189" s="1348"/>
      <c r="F189" s="1348"/>
      <c r="G189" s="1348"/>
      <c r="H189" s="1348"/>
      <c r="I189" s="1348"/>
      <c r="J189" s="1348"/>
      <c r="K189" s="1348"/>
    </row>
    <row r="190" spans="2:11" hidden="1">
      <c r="B190" s="1348"/>
      <c r="C190" s="1348"/>
      <c r="D190" s="1348"/>
      <c r="E190" s="1348"/>
      <c r="F190" s="1348"/>
      <c r="G190" s="1348"/>
      <c r="H190" s="1348"/>
      <c r="I190" s="1348"/>
      <c r="J190" s="1348"/>
      <c r="K190" s="1348"/>
    </row>
    <row r="191" spans="2:11" hidden="1">
      <c r="B191" s="1348"/>
      <c r="C191" s="1348"/>
      <c r="D191" s="1348"/>
      <c r="E191" s="1348"/>
      <c r="F191" s="1348"/>
      <c r="G191" s="1348"/>
      <c r="H191" s="1348"/>
      <c r="I191" s="1348"/>
      <c r="J191" s="1348"/>
      <c r="K191" s="1348"/>
    </row>
    <row r="192" spans="2:11" hidden="1">
      <c r="B192" s="1348"/>
      <c r="C192" s="1348"/>
      <c r="D192" s="1348"/>
      <c r="E192" s="1348"/>
      <c r="F192" s="1348"/>
      <c r="G192" s="1348"/>
      <c r="H192" s="1348"/>
      <c r="I192" s="1348"/>
      <c r="J192" s="1348"/>
      <c r="K192" s="1348"/>
    </row>
    <row r="193" spans="2:11" hidden="1">
      <c r="B193" s="1348"/>
      <c r="C193" s="1348"/>
      <c r="D193" s="1348"/>
      <c r="E193" s="1348"/>
      <c r="F193" s="1348"/>
      <c r="G193" s="1348"/>
      <c r="H193" s="1348"/>
      <c r="I193" s="1348"/>
      <c r="J193" s="1348"/>
      <c r="K193" s="1348"/>
    </row>
    <row r="194" spans="2:11" hidden="1">
      <c r="B194" s="1348"/>
      <c r="C194" s="1348"/>
      <c r="D194" s="1348"/>
      <c r="E194" s="1348"/>
      <c r="F194" s="1348"/>
      <c r="G194" s="1348"/>
      <c r="H194" s="1348"/>
      <c r="I194" s="1348"/>
      <c r="J194" s="1348"/>
      <c r="K194" s="1348"/>
    </row>
    <row r="195" spans="2:11" hidden="1">
      <c r="B195" s="1348"/>
      <c r="C195" s="1348"/>
      <c r="D195" s="1348"/>
      <c r="E195" s="1348"/>
      <c r="F195" s="1348"/>
      <c r="G195" s="1348"/>
      <c r="H195" s="1348"/>
      <c r="I195" s="1348"/>
      <c r="J195" s="1348"/>
      <c r="K195" s="1348"/>
    </row>
    <row r="196" spans="2:11" hidden="1">
      <c r="B196" s="1348"/>
      <c r="C196" s="1348"/>
      <c r="D196" s="1348"/>
      <c r="E196" s="1348"/>
      <c r="F196" s="1348"/>
      <c r="G196" s="1348"/>
      <c r="H196" s="1348"/>
      <c r="I196" s="1348"/>
      <c r="J196" s="1348"/>
      <c r="K196" s="1348"/>
    </row>
    <row r="197" spans="2:11" hidden="1">
      <c r="B197" s="1348"/>
      <c r="C197" s="1348"/>
      <c r="D197" s="1348"/>
      <c r="E197" s="1348"/>
      <c r="F197" s="1348"/>
      <c r="G197" s="1348"/>
      <c r="H197" s="1348"/>
      <c r="I197" s="1348"/>
      <c r="J197" s="1348"/>
      <c r="K197" s="1348"/>
    </row>
    <row r="198" spans="2:11" hidden="1">
      <c r="B198" s="1348"/>
      <c r="C198" s="1348"/>
      <c r="D198" s="1348"/>
      <c r="E198" s="1348"/>
      <c r="F198" s="1348"/>
      <c r="G198" s="1348"/>
      <c r="H198" s="1348"/>
      <c r="I198" s="1348"/>
      <c r="J198" s="1348"/>
      <c r="K198" s="1348"/>
    </row>
    <row r="199" spans="2:11" hidden="1">
      <c r="B199" s="1348"/>
      <c r="C199" s="1348"/>
      <c r="D199" s="1348"/>
      <c r="E199" s="1348"/>
      <c r="F199" s="1348"/>
      <c r="G199" s="1348"/>
      <c r="H199" s="1348"/>
      <c r="I199" s="1348"/>
      <c r="J199" s="1348"/>
      <c r="K199" s="1348"/>
    </row>
    <row r="200" spans="2:11" hidden="1">
      <c r="B200" s="1348"/>
      <c r="C200" s="1348"/>
      <c r="D200" s="1348"/>
      <c r="E200" s="1348"/>
      <c r="F200" s="1348"/>
      <c r="G200" s="1348"/>
      <c r="H200" s="1348"/>
      <c r="I200" s="1348"/>
      <c r="J200" s="1348"/>
      <c r="K200" s="1348"/>
    </row>
    <row r="201" spans="2:11" hidden="1">
      <c r="B201" s="1348"/>
      <c r="C201" s="1348"/>
      <c r="D201" s="1348"/>
      <c r="E201" s="1348"/>
      <c r="F201" s="1348"/>
      <c r="G201" s="1348"/>
      <c r="H201" s="1348"/>
      <c r="I201" s="1348"/>
      <c r="J201" s="1348"/>
      <c r="K201" s="1348"/>
    </row>
    <row r="202" spans="2:11" hidden="1">
      <c r="B202" s="1348"/>
      <c r="C202" s="1348"/>
      <c r="D202" s="1348"/>
      <c r="E202" s="1348"/>
      <c r="F202" s="1348"/>
      <c r="G202" s="1348"/>
      <c r="H202" s="1348"/>
      <c r="I202" s="1348"/>
      <c r="J202" s="1348"/>
      <c r="K202" s="1348"/>
    </row>
    <row r="203" spans="2:11" hidden="1">
      <c r="B203" s="1348"/>
      <c r="C203" s="1348"/>
      <c r="D203" s="1348"/>
      <c r="E203" s="1348"/>
      <c r="F203" s="1348"/>
      <c r="G203" s="1348"/>
      <c r="H203" s="1348"/>
      <c r="I203" s="1348"/>
      <c r="J203" s="1348"/>
      <c r="K203" s="1348"/>
    </row>
    <row r="204" spans="2:11" hidden="1">
      <c r="B204" s="1348"/>
      <c r="C204" s="1348"/>
      <c r="D204" s="1348"/>
      <c r="E204" s="1348"/>
      <c r="F204" s="1348"/>
      <c r="G204" s="1348"/>
      <c r="H204" s="1348"/>
      <c r="I204" s="1348"/>
      <c r="J204" s="1348"/>
      <c r="K204" s="1348"/>
    </row>
    <row r="205" spans="2:11" hidden="1">
      <c r="B205" s="1348"/>
      <c r="C205" s="1348"/>
      <c r="D205" s="1348"/>
      <c r="E205" s="1348"/>
      <c r="F205" s="1348"/>
      <c r="G205" s="1348"/>
      <c r="H205" s="1348"/>
      <c r="I205" s="1348"/>
      <c r="J205" s="1348"/>
      <c r="K205" s="1348"/>
    </row>
    <row r="206" spans="2:11" hidden="1">
      <c r="B206" s="1348"/>
      <c r="C206" s="1348"/>
      <c r="D206" s="1348"/>
      <c r="E206" s="1348"/>
      <c r="F206" s="1348"/>
      <c r="G206" s="1348"/>
      <c r="H206" s="1348"/>
      <c r="I206" s="1348"/>
      <c r="J206" s="1348"/>
      <c r="K206" s="1348"/>
    </row>
    <row r="207" spans="2:11" hidden="1">
      <c r="B207" s="1348"/>
      <c r="C207" s="1348"/>
      <c r="D207" s="1348"/>
      <c r="E207" s="1348"/>
      <c r="F207" s="1348"/>
      <c r="G207" s="1348"/>
      <c r="H207" s="1348"/>
      <c r="I207" s="1348"/>
      <c r="J207" s="1348"/>
      <c r="K207" s="1348"/>
    </row>
    <row r="208" spans="2:11" hidden="1">
      <c r="B208" s="1348"/>
      <c r="C208" s="1348"/>
      <c r="D208" s="1348"/>
      <c r="E208" s="1348"/>
      <c r="F208" s="1348"/>
      <c r="G208" s="1348"/>
      <c r="H208" s="1348"/>
      <c r="I208" s="1348"/>
      <c r="J208" s="1348"/>
      <c r="K208" s="1348"/>
    </row>
    <row r="209" spans="2:11" hidden="1">
      <c r="B209" s="1348"/>
      <c r="C209" s="1348"/>
      <c r="D209" s="1348"/>
      <c r="E209" s="1348"/>
      <c r="F209" s="1348"/>
      <c r="G209" s="1348"/>
      <c r="H209" s="1348"/>
      <c r="I209" s="1348"/>
      <c r="J209" s="1348"/>
      <c r="K209" s="1348"/>
    </row>
    <row r="210" spans="2:11" hidden="1">
      <c r="B210" s="1348"/>
      <c r="C210" s="1348"/>
      <c r="D210" s="1348"/>
      <c r="E210" s="1348"/>
      <c r="F210" s="1348"/>
      <c r="G210" s="1348"/>
      <c r="H210" s="1348"/>
      <c r="I210" s="1348"/>
      <c r="J210" s="1348"/>
      <c r="K210" s="1348"/>
    </row>
    <row r="211" spans="2:11" hidden="1">
      <c r="B211" s="1348"/>
      <c r="C211" s="1348"/>
      <c r="D211" s="1348"/>
      <c r="E211" s="1348"/>
      <c r="F211" s="1348"/>
      <c r="G211" s="1348"/>
      <c r="H211" s="1348"/>
      <c r="I211" s="1348"/>
      <c r="J211" s="1348"/>
      <c r="K211" s="1348"/>
    </row>
    <row r="212" spans="2:11" hidden="1">
      <c r="B212" s="1348"/>
      <c r="C212" s="1348"/>
      <c r="D212" s="1348"/>
      <c r="E212" s="1348"/>
      <c r="F212" s="1348"/>
      <c r="G212" s="1348"/>
      <c r="H212" s="1348"/>
      <c r="I212" s="1348"/>
      <c r="J212" s="1348"/>
      <c r="K212" s="1348"/>
    </row>
    <row r="213" spans="2:11" hidden="1">
      <c r="B213" s="1348"/>
      <c r="C213" s="1348"/>
      <c r="D213" s="1348"/>
      <c r="E213" s="1348"/>
      <c r="F213" s="1348"/>
      <c r="G213" s="1348"/>
      <c r="H213" s="1348"/>
      <c r="I213" s="1348"/>
      <c r="J213" s="1348"/>
      <c r="K213" s="1348"/>
    </row>
    <row r="214" spans="2:11" hidden="1">
      <c r="B214" s="1348"/>
      <c r="C214" s="1348"/>
      <c r="D214" s="1348"/>
      <c r="E214" s="1348"/>
      <c r="F214" s="1348"/>
      <c r="G214" s="1348"/>
      <c r="H214" s="1348"/>
      <c r="I214" s="1348"/>
      <c r="J214" s="1348"/>
      <c r="K214" s="1348"/>
    </row>
    <row r="215" spans="2:11" hidden="1">
      <c r="B215" s="1348"/>
      <c r="C215" s="1348"/>
      <c r="D215" s="1348"/>
      <c r="E215" s="1348"/>
      <c r="F215" s="1348"/>
      <c r="G215" s="1348"/>
      <c r="H215" s="1348"/>
      <c r="I215" s="1348"/>
      <c r="J215" s="1348"/>
      <c r="K215" s="1348"/>
    </row>
    <row r="216" spans="2:11" hidden="1">
      <c r="B216" s="1348"/>
      <c r="C216" s="1348"/>
      <c r="D216" s="1348"/>
      <c r="E216" s="1348"/>
      <c r="F216" s="1348"/>
      <c r="G216" s="1348"/>
      <c r="H216" s="1348"/>
      <c r="I216" s="1348"/>
      <c r="J216" s="1348"/>
      <c r="K216" s="1348"/>
    </row>
    <row r="217" spans="2:11" hidden="1">
      <c r="B217" s="1348"/>
      <c r="C217" s="1348"/>
      <c r="D217" s="1348"/>
      <c r="E217" s="1348"/>
      <c r="F217" s="1348"/>
      <c r="G217" s="1348"/>
      <c r="H217" s="1348"/>
      <c r="I217" s="1348"/>
      <c r="J217" s="1348"/>
      <c r="K217" s="1348"/>
    </row>
    <row r="218" spans="2:11" hidden="1">
      <c r="B218" s="1348"/>
      <c r="C218" s="1348"/>
      <c r="D218" s="1348"/>
      <c r="E218" s="1348"/>
      <c r="F218" s="1348"/>
      <c r="G218" s="1348"/>
      <c r="H218" s="1348"/>
      <c r="I218" s="1348"/>
      <c r="J218" s="1348"/>
      <c r="K218" s="1348"/>
    </row>
    <row r="219" spans="2:11" hidden="1">
      <c r="B219" s="1348"/>
      <c r="C219" s="1348"/>
      <c r="D219" s="1348"/>
      <c r="E219" s="1348"/>
      <c r="F219" s="1348"/>
      <c r="G219" s="1348"/>
      <c r="H219" s="1348"/>
      <c r="I219" s="1348"/>
      <c r="J219" s="1348"/>
      <c r="K219" s="1348"/>
    </row>
    <row r="220" spans="2:11" hidden="1">
      <c r="B220" s="1348"/>
      <c r="C220" s="1348"/>
      <c r="D220" s="1348"/>
      <c r="E220" s="1348"/>
      <c r="F220" s="1348"/>
      <c r="G220" s="1348"/>
      <c r="H220" s="1348"/>
      <c r="I220" s="1348"/>
      <c r="J220" s="1348"/>
      <c r="K220" s="1348"/>
    </row>
    <row r="221" spans="2:11" hidden="1">
      <c r="B221" s="1348"/>
      <c r="C221" s="1348"/>
      <c r="D221" s="1348"/>
      <c r="E221" s="1348"/>
      <c r="F221" s="1348"/>
      <c r="G221" s="1348"/>
      <c r="H221" s="1348"/>
      <c r="I221" s="1348"/>
      <c r="J221" s="1348"/>
      <c r="K221" s="1348"/>
    </row>
    <row r="222" spans="2:11" hidden="1">
      <c r="B222" s="1348"/>
      <c r="C222" s="1348"/>
      <c r="D222" s="1348"/>
      <c r="E222" s="1348"/>
      <c r="F222" s="1348"/>
      <c r="G222" s="1348"/>
      <c r="H222" s="1348"/>
      <c r="I222" s="1348"/>
      <c r="J222" s="1348"/>
      <c r="K222" s="1348"/>
    </row>
    <row r="223" spans="2:11" hidden="1">
      <c r="B223" s="1348"/>
      <c r="C223" s="1348"/>
      <c r="D223" s="1348"/>
      <c r="E223" s="1348"/>
      <c r="F223" s="1348"/>
      <c r="G223" s="1348"/>
      <c r="H223" s="1348"/>
      <c r="I223" s="1348"/>
      <c r="J223" s="1348"/>
      <c r="K223" s="1348"/>
    </row>
    <row r="224" spans="2:11" hidden="1">
      <c r="B224" s="1348"/>
      <c r="C224" s="1348"/>
      <c r="D224" s="1348"/>
      <c r="E224" s="1348"/>
      <c r="F224" s="1348"/>
      <c r="G224" s="1348"/>
      <c r="H224" s="1348"/>
      <c r="I224" s="1348"/>
      <c r="J224" s="1348"/>
      <c r="K224" s="1348"/>
    </row>
    <row r="225" spans="2:11" hidden="1">
      <c r="B225" s="1348"/>
      <c r="C225" s="1348"/>
      <c r="D225" s="1348"/>
      <c r="E225" s="1348"/>
      <c r="F225" s="1348"/>
      <c r="G225" s="1348"/>
      <c r="H225" s="1348"/>
      <c r="I225" s="1348"/>
      <c r="J225" s="1348"/>
      <c r="K225" s="1348"/>
    </row>
    <row r="226" spans="2:11" hidden="1">
      <c r="B226" s="1348"/>
      <c r="C226" s="1348"/>
      <c r="D226" s="1348"/>
      <c r="E226" s="1348"/>
      <c r="F226" s="1348"/>
      <c r="G226" s="1348"/>
      <c r="H226" s="1348"/>
      <c r="I226" s="1348"/>
      <c r="J226" s="1348"/>
      <c r="K226" s="1348"/>
    </row>
    <row r="227" spans="2:11" hidden="1">
      <c r="B227" s="1348"/>
      <c r="C227" s="1348"/>
      <c r="D227" s="1348"/>
      <c r="E227" s="1348"/>
      <c r="F227" s="1348"/>
      <c r="G227" s="1348"/>
      <c r="H227" s="1348"/>
      <c r="I227" s="1348"/>
      <c r="J227" s="1348"/>
      <c r="K227" s="1348"/>
    </row>
    <row r="228" spans="2:11" hidden="1">
      <c r="B228" s="1348"/>
      <c r="C228" s="1348"/>
      <c r="D228" s="1348"/>
      <c r="E228" s="1348"/>
      <c r="F228" s="1348"/>
      <c r="G228" s="1348"/>
      <c r="H228" s="1348"/>
      <c r="I228" s="1348"/>
      <c r="J228" s="1348"/>
      <c r="K228" s="1348"/>
    </row>
    <row r="229" spans="2:11" hidden="1">
      <c r="B229" s="1348"/>
      <c r="C229" s="1348"/>
      <c r="D229" s="1348"/>
      <c r="E229" s="1348"/>
      <c r="F229" s="1348"/>
      <c r="G229" s="1348"/>
      <c r="H229" s="1348"/>
      <c r="I229" s="1348"/>
      <c r="J229" s="1348"/>
      <c r="K229" s="1348"/>
    </row>
    <row r="230" spans="2:11" hidden="1">
      <c r="B230" s="1348"/>
      <c r="C230" s="1348"/>
      <c r="D230" s="1348"/>
      <c r="E230" s="1348"/>
      <c r="F230" s="1348"/>
      <c r="G230" s="1348"/>
      <c r="H230" s="1348"/>
      <c r="I230" s="1348"/>
      <c r="J230" s="1348"/>
      <c r="K230" s="1348"/>
    </row>
    <row r="231" spans="2:11" hidden="1">
      <c r="B231" s="1348"/>
      <c r="C231" s="1348"/>
      <c r="D231" s="1348"/>
      <c r="E231" s="1348"/>
      <c r="F231" s="1348"/>
      <c r="G231" s="1348"/>
      <c r="H231" s="1348"/>
      <c r="I231" s="1348"/>
      <c r="J231" s="1348"/>
      <c r="K231" s="1348"/>
    </row>
    <row r="232" spans="2:11" hidden="1">
      <c r="B232" s="1348"/>
      <c r="C232" s="1348"/>
      <c r="D232" s="1348"/>
      <c r="E232" s="1348"/>
      <c r="F232" s="1348"/>
      <c r="G232" s="1348"/>
      <c r="H232" s="1348"/>
      <c r="I232" s="1348"/>
      <c r="J232" s="1348"/>
      <c r="K232" s="1348"/>
    </row>
    <row r="233" spans="2:11" hidden="1">
      <c r="B233" s="1348"/>
      <c r="C233" s="1348"/>
      <c r="D233" s="1348"/>
      <c r="E233" s="1348"/>
      <c r="F233" s="1348"/>
      <c r="G233" s="1348"/>
      <c r="H233" s="1348"/>
      <c r="I233" s="1348"/>
      <c r="J233" s="1348"/>
      <c r="K233" s="1348"/>
    </row>
    <row r="234" spans="2:11" hidden="1">
      <c r="B234" s="1348"/>
      <c r="C234" s="1348"/>
      <c r="D234" s="1348"/>
      <c r="E234" s="1348"/>
      <c r="F234" s="1348"/>
      <c r="G234" s="1348"/>
      <c r="H234" s="1348"/>
      <c r="I234" s="1348"/>
      <c r="J234" s="1348"/>
      <c r="K234" s="1348"/>
    </row>
    <row r="235" spans="2:11" hidden="1">
      <c r="B235" s="1348"/>
      <c r="C235" s="1348"/>
      <c r="D235" s="1348"/>
      <c r="E235" s="1348"/>
      <c r="F235" s="1348"/>
      <c r="G235" s="1348"/>
      <c r="H235" s="1348"/>
      <c r="I235" s="1348"/>
      <c r="J235" s="1348"/>
      <c r="K235" s="1348"/>
    </row>
    <row r="236" spans="2:11" hidden="1">
      <c r="B236" s="1348"/>
      <c r="C236" s="1348"/>
      <c r="D236" s="1348"/>
      <c r="E236" s="1348"/>
      <c r="F236" s="1348"/>
      <c r="G236" s="1348"/>
      <c r="H236" s="1348"/>
      <c r="I236" s="1348"/>
      <c r="J236" s="1348"/>
      <c r="K236" s="1348"/>
    </row>
    <row r="237" spans="2:11" hidden="1">
      <c r="B237" s="1348"/>
      <c r="C237" s="1348"/>
      <c r="D237" s="1348"/>
      <c r="E237" s="1348"/>
      <c r="F237" s="1348"/>
      <c r="G237" s="1348"/>
      <c r="H237" s="1348"/>
      <c r="I237" s="1348"/>
      <c r="J237" s="1348"/>
      <c r="K237" s="1348"/>
    </row>
    <row r="238" spans="2:11" hidden="1">
      <c r="B238" s="1348"/>
      <c r="C238" s="1348"/>
      <c r="D238" s="1348"/>
      <c r="E238" s="1348"/>
      <c r="F238" s="1348"/>
      <c r="G238" s="1348"/>
      <c r="H238" s="1348"/>
      <c r="I238" s="1348"/>
      <c r="J238" s="1348"/>
      <c r="K238" s="1348"/>
    </row>
    <row r="239" spans="2:11" hidden="1">
      <c r="B239" s="1348"/>
      <c r="C239" s="1348"/>
      <c r="D239" s="1348"/>
      <c r="E239" s="1348"/>
      <c r="F239" s="1348"/>
      <c r="G239" s="1348"/>
      <c r="H239" s="1348"/>
      <c r="I239" s="1348"/>
      <c r="J239" s="1348"/>
      <c r="K239" s="1348"/>
    </row>
    <row r="240" spans="2:11" hidden="1">
      <c r="B240" s="1348"/>
      <c r="C240" s="1348"/>
      <c r="D240" s="1348"/>
      <c r="E240" s="1348"/>
      <c r="F240" s="1348"/>
      <c r="G240" s="1348"/>
      <c r="H240" s="1348"/>
      <c r="I240" s="1348"/>
      <c r="J240" s="1348"/>
      <c r="K240" s="1348"/>
    </row>
    <row r="241" spans="2:11" hidden="1">
      <c r="B241" s="1348"/>
      <c r="C241" s="1348"/>
      <c r="D241" s="1348"/>
      <c r="E241" s="1348"/>
      <c r="F241" s="1348"/>
      <c r="G241" s="1348"/>
      <c r="H241" s="1348"/>
      <c r="I241" s="1348"/>
      <c r="J241" s="1348"/>
      <c r="K241" s="1348"/>
    </row>
    <row r="242" spans="2:11" hidden="1">
      <c r="B242" s="1348"/>
      <c r="C242" s="1348"/>
      <c r="D242" s="1348"/>
      <c r="E242" s="1348"/>
      <c r="F242" s="1348"/>
      <c r="G242" s="1348"/>
      <c r="H242" s="1348"/>
      <c r="I242" s="1348"/>
      <c r="J242" s="1348"/>
      <c r="K242" s="1348"/>
    </row>
    <row r="243" spans="2:11" hidden="1">
      <c r="B243" s="1348"/>
      <c r="C243" s="1348"/>
      <c r="D243" s="1348"/>
      <c r="E243" s="1348"/>
      <c r="F243" s="1348"/>
      <c r="G243" s="1348"/>
      <c r="H243" s="1348"/>
      <c r="I243" s="1348"/>
      <c r="J243" s="1348"/>
      <c r="K243" s="1348"/>
    </row>
    <row r="244" spans="2:11" hidden="1">
      <c r="B244" s="1348"/>
      <c r="C244" s="1348"/>
      <c r="D244" s="1348"/>
      <c r="E244" s="1348"/>
      <c r="F244" s="1348"/>
      <c r="G244" s="1348"/>
      <c r="H244" s="1348"/>
      <c r="I244" s="1348"/>
      <c r="J244" s="1348"/>
      <c r="K244" s="1348"/>
    </row>
    <row r="245" spans="2:11" hidden="1">
      <c r="B245" s="1348"/>
      <c r="C245" s="1348"/>
      <c r="D245" s="1348"/>
      <c r="E245" s="1348"/>
      <c r="F245" s="1348"/>
      <c r="G245" s="1348"/>
      <c r="H245" s="1348"/>
      <c r="I245" s="1348"/>
      <c r="J245" s="1348"/>
      <c r="K245" s="1348"/>
    </row>
    <row r="246" spans="2:11" hidden="1">
      <c r="B246" s="1348"/>
      <c r="C246" s="1348"/>
      <c r="D246" s="1348"/>
      <c r="E246" s="1348"/>
      <c r="F246" s="1348"/>
      <c r="G246" s="1348"/>
      <c r="H246" s="1348"/>
      <c r="I246" s="1348"/>
      <c r="J246" s="1348"/>
      <c r="K246" s="1348"/>
    </row>
    <row r="247" spans="2:11" hidden="1">
      <c r="B247" s="1348"/>
      <c r="C247" s="1348"/>
      <c r="D247" s="1348"/>
      <c r="E247" s="1348"/>
      <c r="F247" s="1348"/>
      <c r="G247" s="1348"/>
      <c r="H247" s="1348"/>
      <c r="I247" s="1348"/>
      <c r="J247" s="1348"/>
      <c r="K247" s="1348"/>
    </row>
    <row r="248" spans="2:11" hidden="1">
      <c r="B248" s="1348"/>
      <c r="C248" s="1348"/>
      <c r="D248" s="1348"/>
      <c r="E248" s="1348"/>
      <c r="F248" s="1348"/>
      <c r="G248" s="1348"/>
      <c r="H248" s="1348"/>
      <c r="I248" s="1348"/>
      <c r="J248" s="1348"/>
      <c r="K248" s="1348"/>
    </row>
    <row r="249" spans="2:11" hidden="1">
      <c r="B249" s="1348"/>
      <c r="C249" s="1348"/>
      <c r="D249" s="1348"/>
      <c r="E249" s="1348"/>
      <c r="F249" s="1348"/>
      <c r="G249" s="1348"/>
      <c r="H249" s="1348"/>
      <c r="I249" s="1348"/>
      <c r="J249" s="1348"/>
      <c r="K249" s="1348"/>
    </row>
    <row r="250" spans="2:11" hidden="1">
      <c r="B250" s="1348"/>
      <c r="C250" s="1348"/>
      <c r="D250" s="1348"/>
      <c r="E250" s="1348"/>
      <c r="F250" s="1348"/>
      <c r="G250" s="1348"/>
      <c r="H250" s="1348"/>
      <c r="I250" s="1348"/>
      <c r="J250" s="1348"/>
      <c r="K250" s="1348"/>
    </row>
    <row r="251" spans="2:11" hidden="1">
      <c r="B251" s="1348"/>
      <c r="C251" s="1348"/>
      <c r="D251" s="1348"/>
      <c r="E251" s="1348"/>
      <c r="F251" s="1348"/>
      <c r="G251" s="1348"/>
      <c r="H251" s="1348"/>
      <c r="I251" s="1348"/>
      <c r="J251" s="1348"/>
      <c r="K251" s="1348"/>
    </row>
    <row r="252" spans="2:11" hidden="1">
      <c r="B252" s="1348"/>
      <c r="C252" s="1348"/>
      <c r="D252" s="1348"/>
      <c r="E252" s="1348"/>
      <c r="F252" s="1348"/>
      <c r="G252" s="1348"/>
      <c r="H252" s="1348"/>
      <c r="I252" s="1348"/>
      <c r="J252" s="1348"/>
      <c r="K252" s="1348"/>
    </row>
    <row r="253" spans="2:11" hidden="1">
      <c r="B253" s="1348"/>
      <c r="C253" s="1348"/>
      <c r="D253" s="1348"/>
      <c r="E253" s="1348"/>
      <c r="F253" s="1348"/>
      <c r="G253" s="1348"/>
      <c r="H253" s="1348"/>
      <c r="I253" s="1348"/>
      <c r="J253" s="1348"/>
      <c r="K253" s="1348"/>
    </row>
    <row r="254" spans="2:11" hidden="1">
      <c r="B254" s="1348"/>
      <c r="C254" s="1348"/>
      <c r="D254" s="1348"/>
      <c r="E254" s="1348"/>
      <c r="F254" s="1348"/>
      <c r="G254" s="1348"/>
      <c r="H254" s="1348"/>
      <c r="I254" s="1348"/>
      <c r="J254" s="1348"/>
      <c r="K254" s="1348"/>
    </row>
    <row r="255" spans="2:11" hidden="1">
      <c r="B255" s="1348"/>
      <c r="C255" s="1348"/>
      <c r="D255" s="1348"/>
      <c r="E255" s="1348"/>
      <c r="F255" s="1348"/>
      <c r="G255" s="1348"/>
      <c r="H255" s="1348"/>
      <c r="I255" s="1348"/>
      <c r="J255" s="1348"/>
      <c r="K255" s="1348"/>
    </row>
    <row r="256" spans="2:11" hidden="1">
      <c r="B256" s="1348"/>
      <c r="C256" s="1348"/>
      <c r="D256" s="1348"/>
      <c r="E256" s="1348"/>
      <c r="F256" s="1348"/>
      <c r="G256" s="1348"/>
      <c r="H256" s="1348"/>
      <c r="I256" s="1348"/>
      <c r="J256" s="1348"/>
      <c r="K256" s="1348"/>
    </row>
    <row r="257" spans="2:11" hidden="1">
      <c r="B257" s="1348"/>
      <c r="C257" s="1348"/>
      <c r="D257" s="1348"/>
      <c r="E257" s="1348"/>
      <c r="F257" s="1348"/>
      <c r="G257" s="1348"/>
      <c r="H257" s="1348"/>
      <c r="I257" s="1348"/>
      <c r="J257" s="1348"/>
      <c r="K257" s="1348"/>
    </row>
    <row r="258" spans="2:11" hidden="1">
      <c r="B258" s="1348"/>
      <c r="C258" s="1348"/>
      <c r="D258" s="1348"/>
      <c r="E258" s="1348"/>
      <c r="F258" s="1348"/>
      <c r="G258" s="1348"/>
      <c r="H258" s="1348"/>
      <c r="I258" s="1348"/>
      <c r="J258" s="1348"/>
      <c r="K258" s="1348"/>
    </row>
    <row r="259" spans="2:11" hidden="1">
      <c r="B259" s="1348"/>
      <c r="C259" s="1348"/>
      <c r="D259" s="1348"/>
      <c r="E259" s="1348"/>
      <c r="F259" s="1348"/>
      <c r="G259" s="1348"/>
      <c r="H259" s="1348"/>
      <c r="I259" s="1348"/>
      <c r="J259" s="1348"/>
      <c r="K259" s="1348"/>
    </row>
    <row r="260" spans="2:11" hidden="1">
      <c r="B260" s="1348"/>
      <c r="C260" s="1348"/>
      <c r="D260" s="1348"/>
      <c r="E260" s="1348"/>
      <c r="F260" s="1348"/>
      <c r="G260" s="1348"/>
      <c r="H260" s="1348"/>
      <c r="I260" s="1348"/>
      <c r="J260" s="1348"/>
      <c r="K260" s="1348"/>
    </row>
    <row r="261" spans="2:11" hidden="1">
      <c r="B261" s="1348"/>
      <c r="C261" s="1348"/>
      <c r="D261" s="1348"/>
      <c r="E261" s="1348"/>
      <c r="F261" s="1348"/>
      <c r="G261" s="1348"/>
      <c r="H261" s="1348"/>
      <c r="I261" s="1348"/>
      <c r="J261" s="1348"/>
      <c r="K261" s="1348"/>
    </row>
    <row r="262" spans="2:11" hidden="1">
      <c r="B262" s="1348"/>
      <c r="C262" s="1348"/>
      <c r="D262" s="1348"/>
      <c r="E262" s="1348"/>
      <c r="F262" s="1348"/>
      <c r="G262" s="1348"/>
      <c r="H262" s="1348"/>
      <c r="I262" s="1348"/>
      <c r="J262" s="1348"/>
      <c r="K262" s="1348"/>
    </row>
    <row r="263" spans="2:11" hidden="1">
      <c r="B263" s="1348"/>
      <c r="C263" s="1348"/>
      <c r="D263" s="1348"/>
      <c r="E263" s="1348"/>
      <c r="F263" s="1348"/>
      <c r="G263" s="1348"/>
      <c r="H263" s="1348"/>
      <c r="I263" s="1348"/>
      <c r="J263" s="1348"/>
      <c r="K263" s="1348"/>
    </row>
    <row r="264" spans="2:11" hidden="1">
      <c r="B264" s="1348"/>
      <c r="C264" s="1348"/>
      <c r="D264" s="1348"/>
      <c r="E264" s="1348"/>
      <c r="F264" s="1348"/>
      <c r="G264" s="1348"/>
      <c r="H264" s="1348"/>
      <c r="I264" s="1348"/>
      <c r="J264" s="1348"/>
      <c r="K264" s="1348"/>
    </row>
    <row r="265" spans="2:11" hidden="1">
      <c r="B265" s="1348"/>
      <c r="C265" s="1348"/>
      <c r="D265" s="1348"/>
      <c r="E265" s="1348"/>
      <c r="F265" s="1348"/>
      <c r="G265" s="1348"/>
      <c r="H265" s="1348"/>
      <c r="I265" s="1348"/>
      <c r="J265" s="1348"/>
      <c r="K265" s="1348"/>
    </row>
    <row r="266" spans="2:11" hidden="1">
      <c r="B266" s="1348"/>
      <c r="C266" s="1348"/>
      <c r="D266" s="1348"/>
      <c r="E266" s="1348"/>
      <c r="F266" s="1348"/>
      <c r="G266" s="1348"/>
      <c r="H266" s="1348"/>
      <c r="I266" s="1348"/>
      <c r="J266" s="1348"/>
      <c r="K266" s="1348"/>
    </row>
    <row r="267" spans="2:11" hidden="1">
      <c r="B267" s="1348"/>
      <c r="C267" s="1348"/>
      <c r="D267" s="1348"/>
      <c r="E267" s="1348"/>
      <c r="F267" s="1348"/>
      <c r="G267" s="1348"/>
      <c r="H267" s="1348"/>
      <c r="I267" s="1348"/>
      <c r="J267" s="1348"/>
      <c r="K267" s="1348"/>
    </row>
    <row r="268" spans="2:11" hidden="1">
      <c r="B268" s="1348"/>
      <c r="C268" s="1348"/>
      <c r="D268" s="1348"/>
      <c r="E268" s="1348"/>
      <c r="F268" s="1348"/>
      <c r="G268" s="1348"/>
      <c r="H268" s="1348"/>
      <c r="I268" s="1348"/>
      <c r="J268" s="1348"/>
      <c r="K268" s="1348"/>
    </row>
    <row r="269" spans="2:11" hidden="1">
      <c r="B269" s="1348"/>
      <c r="C269" s="1348"/>
      <c r="D269" s="1348"/>
      <c r="E269" s="1348"/>
      <c r="F269" s="1348"/>
      <c r="G269" s="1348"/>
      <c r="H269" s="1348"/>
      <c r="I269" s="1348"/>
      <c r="J269" s="1348"/>
      <c r="K269" s="1348"/>
    </row>
    <row r="270" spans="2:11" hidden="1">
      <c r="B270" s="1348"/>
      <c r="C270" s="1348"/>
      <c r="D270" s="1348"/>
      <c r="E270" s="1348"/>
      <c r="F270" s="1348"/>
      <c r="G270" s="1348"/>
      <c r="H270" s="1348"/>
      <c r="I270" s="1348"/>
      <c r="J270" s="1348"/>
      <c r="K270" s="1348"/>
    </row>
    <row r="271" spans="2:11" hidden="1">
      <c r="B271" s="1348"/>
      <c r="C271" s="1348"/>
      <c r="D271" s="1348"/>
      <c r="E271" s="1348"/>
      <c r="F271" s="1348"/>
      <c r="G271" s="1348"/>
      <c r="H271" s="1348"/>
      <c r="I271" s="1348"/>
      <c r="J271" s="1348"/>
      <c r="K271" s="1348"/>
    </row>
    <row r="272" spans="2:11" hidden="1">
      <c r="B272" s="1348"/>
      <c r="C272" s="1348"/>
      <c r="D272" s="1348"/>
      <c r="E272" s="1348"/>
      <c r="F272" s="1348"/>
      <c r="G272" s="1348"/>
      <c r="H272" s="1348"/>
      <c r="I272" s="1348"/>
      <c r="J272" s="1348"/>
      <c r="K272" s="1348"/>
    </row>
    <row r="273" spans="2:11" hidden="1">
      <c r="B273" s="1348"/>
      <c r="C273" s="1348"/>
      <c r="D273" s="1348"/>
      <c r="E273" s="1348"/>
      <c r="F273" s="1348"/>
      <c r="G273" s="1348"/>
      <c r="H273" s="1348"/>
      <c r="I273" s="1348"/>
      <c r="J273" s="1348"/>
      <c r="K273" s="1348"/>
    </row>
    <row r="274" spans="2:11" hidden="1">
      <c r="B274" s="1348"/>
      <c r="C274" s="1348"/>
      <c r="D274" s="1348"/>
      <c r="E274" s="1348"/>
      <c r="F274" s="1348"/>
      <c r="G274" s="1348"/>
      <c r="H274" s="1348"/>
      <c r="I274" s="1348"/>
      <c r="J274" s="1348"/>
      <c r="K274" s="1348"/>
    </row>
    <row r="275" spans="2:11" hidden="1">
      <c r="B275" s="1348"/>
      <c r="C275" s="1348"/>
      <c r="D275" s="1348"/>
      <c r="E275" s="1348"/>
      <c r="F275" s="1348"/>
      <c r="G275" s="1348"/>
      <c r="H275" s="1348"/>
      <c r="I275" s="1348"/>
      <c r="J275" s="1348"/>
      <c r="K275" s="1348"/>
    </row>
    <row r="276" spans="2:11" hidden="1">
      <c r="B276" s="1348"/>
      <c r="C276" s="1348"/>
      <c r="D276" s="1348"/>
      <c r="E276" s="1348"/>
      <c r="F276" s="1348"/>
      <c r="G276" s="1348"/>
      <c r="H276" s="1348"/>
      <c r="I276" s="1348"/>
      <c r="J276" s="1348"/>
      <c r="K276" s="1348"/>
    </row>
    <row r="277" spans="2:11" hidden="1">
      <c r="B277" s="1348"/>
      <c r="C277" s="1348"/>
      <c r="D277" s="1348"/>
      <c r="E277" s="1348"/>
      <c r="F277" s="1348"/>
      <c r="G277" s="1348"/>
      <c r="H277" s="1348"/>
      <c r="I277" s="1348"/>
      <c r="J277" s="1348"/>
      <c r="K277" s="1348"/>
    </row>
    <row r="278" spans="2:11" hidden="1">
      <c r="B278" s="1348"/>
      <c r="C278" s="1348"/>
      <c r="D278" s="1348"/>
      <c r="E278" s="1348"/>
      <c r="F278" s="1348"/>
      <c r="G278" s="1348"/>
      <c r="H278" s="1348"/>
      <c r="I278" s="1348"/>
      <c r="J278" s="1348"/>
      <c r="K278" s="1348"/>
    </row>
    <row r="279" spans="2:11" hidden="1">
      <c r="B279" s="1348"/>
      <c r="C279" s="1348"/>
      <c r="D279" s="1348"/>
      <c r="E279" s="1348"/>
      <c r="F279" s="1348"/>
      <c r="G279" s="1348"/>
      <c r="H279" s="1348"/>
      <c r="I279" s="1348"/>
      <c r="J279" s="1348"/>
      <c r="K279" s="1348"/>
    </row>
    <row r="280" spans="2:11" hidden="1">
      <c r="B280" s="1348"/>
      <c r="C280" s="1348"/>
      <c r="D280" s="1348"/>
      <c r="E280" s="1348"/>
      <c r="F280" s="1348"/>
      <c r="G280" s="1348"/>
      <c r="H280" s="1348"/>
      <c r="I280" s="1348"/>
      <c r="J280" s="1348"/>
      <c r="K280" s="1348"/>
    </row>
    <row r="281" spans="2:11" hidden="1">
      <c r="B281" s="1348"/>
      <c r="C281" s="1348"/>
      <c r="D281" s="1348"/>
      <c r="E281" s="1348"/>
      <c r="F281" s="1348"/>
      <c r="G281" s="1348"/>
      <c r="H281" s="1348"/>
      <c r="I281" s="1348"/>
      <c r="J281" s="1348"/>
      <c r="K281" s="1348"/>
    </row>
    <row r="282" spans="2:11" hidden="1">
      <c r="B282" s="1348"/>
      <c r="C282" s="1348"/>
      <c r="D282" s="1348"/>
      <c r="E282" s="1348"/>
      <c r="F282" s="1348"/>
      <c r="G282" s="1348"/>
      <c r="H282" s="1348"/>
      <c r="I282" s="1348"/>
      <c r="J282" s="1348"/>
      <c r="K282" s="1348"/>
    </row>
    <row r="283" spans="2:11" hidden="1">
      <c r="B283" s="1348"/>
      <c r="C283" s="1348"/>
      <c r="D283" s="1348"/>
      <c r="E283" s="1348"/>
      <c r="F283" s="1348"/>
      <c r="G283" s="1348"/>
      <c r="H283" s="1348"/>
      <c r="I283" s="1348"/>
      <c r="J283" s="1348"/>
      <c r="K283" s="1348"/>
    </row>
    <row r="284" spans="2:11" hidden="1">
      <c r="B284" s="1348"/>
      <c r="C284" s="1348"/>
      <c r="D284" s="1348"/>
      <c r="E284" s="1348"/>
      <c r="F284" s="1348"/>
      <c r="G284" s="1348"/>
      <c r="H284" s="1348"/>
      <c r="I284" s="1348"/>
      <c r="J284" s="1348"/>
      <c r="K284" s="1348"/>
    </row>
    <row r="285" spans="2:11" hidden="1">
      <c r="B285" s="1348"/>
      <c r="C285" s="1348"/>
      <c r="D285" s="1348"/>
      <c r="E285" s="1348"/>
      <c r="F285" s="1348"/>
      <c r="G285" s="1348"/>
      <c r="H285" s="1348"/>
      <c r="I285" s="1348"/>
      <c r="J285" s="1348"/>
      <c r="K285" s="1348"/>
    </row>
    <row r="286" spans="2:11" hidden="1">
      <c r="B286" s="1348"/>
      <c r="C286" s="1348"/>
      <c r="D286" s="1348"/>
      <c r="E286" s="1348"/>
      <c r="F286" s="1348"/>
      <c r="G286" s="1348"/>
      <c r="H286" s="1348"/>
      <c r="I286" s="1348"/>
      <c r="J286" s="1348"/>
      <c r="K286" s="1348"/>
    </row>
    <row r="287" spans="2:11" hidden="1">
      <c r="B287" s="1348"/>
      <c r="C287" s="1348"/>
      <c r="D287" s="1348"/>
      <c r="E287" s="1348"/>
      <c r="F287" s="1348"/>
      <c r="G287" s="1348"/>
      <c r="H287" s="1348"/>
      <c r="I287" s="1348"/>
      <c r="J287" s="1348"/>
      <c r="K287" s="1348"/>
    </row>
    <row r="288" spans="2:11" hidden="1">
      <c r="B288" s="1348"/>
      <c r="C288" s="1348"/>
      <c r="D288" s="1348"/>
      <c r="E288" s="1348"/>
      <c r="F288" s="1348"/>
      <c r="G288" s="1348"/>
      <c r="H288" s="1348"/>
      <c r="I288" s="1348"/>
      <c r="J288" s="1348"/>
      <c r="K288" s="1348"/>
    </row>
    <row r="289" spans="2:11" hidden="1">
      <c r="B289" s="1348"/>
      <c r="C289" s="1348"/>
      <c r="D289" s="1348"/>
      <c r="E289" s="1348"/>
      <c r="F289" s="1348"/>
      <c r="G289" s="1348"/>
      <c r="H289" s="1348"/>
      <c r="I289" s="1348"/>
      <c r="J289" s="1348"/>
      <c r="K289" s="1348"/>
    </row>
    <row r="290" spans="2:11" hidden="1">
      <c r="B290" s="1348"/>
      <c r="C290" s="1348"/>
      <c r="D290" s="1348"/>
      <c r="E290" s="1348"/>
      <c r="F290" s="1348"/>
      <c r="G290" s="1348"/>
      <c r="H290" s="1348"/>
      <c r="I290" s="1348"/>
      <c r="J290" s="1348"/>
      <c r="K290" s="1348"/>
    </row>
    <row r="291" spans="2:11" hidden="1">
      <c r="B291" s="1348"/>
      <c r="C291" s="1348"/>
      <c r="D291" s="1348"/>
      <c r="E291" s="1348"/>
      <c r="F291" s="1348"/>
      <c r="G291" s="1348"/>
      <c r="H291" s="1348"/>
      <c r="I291" s="1348"/>
      <c r="J291" s="1348"/>
      <c r="K291" s="1348"/>
    </row>
    <row r="292" spans="2:11" hidden="1">
      <c r="B292" s="1348"/>
      <c r="C292" s="1348"/>
      <c r="D292" s="1348"/>
      <c r="E292" s="1348"/>
      <c r="F292" s="1348"/>
      <c r="G292" s="1348"/>
      <c r="H292" s="1348"/>
      <c r="I292" s="1348"/>
      <c r="J292" s="1348"/>
      <c r="K292" s="1348"/>
    </row>
    <row r="293" spans="2:11" hidden="1">
      <c r="B293" s="1348"/>
      <c r="C293" s="1348"/>
      <c r="D293" s="1348"/>
      <c r="E293" s="1348"/>
      <c r="F293" s="1348"/>
      <c r="G293" s="1348"/>
      <c r="H293" s="1348"/>
      <c r="I293" s="1348"/>
      <c r="J293" s="1348"/>
      <c r="K293" s="1348"/>
    </row>
    <row r="294" spans="2:11" hidden="1">
      <c r="B294" s="1348"/>
      <c r="C294" s="1348"/>
      <c r="D294" s="1348"/>
      <c r="E294" s="1348"/>
      <c r="F294" s="1348"/>
      <c r="G294" s="1348"/>
      <c r="H294" s="1348"/>
      <c r="I294" s="1348"/>
      <c r="J294" s="1348"/>
      <c r="K294" s="1348"/>
    </row>
    <row r="295" spans="2:11" hidden="1">
      <c r="B295" s="1348"/>
      <c r="C295" s="1348"/>
      <c r="D295" s="1348"/>
      <c r="E295" s="1348"/>
      <c r="F295" s="1348"/>
      <c r="G295" s="1348"/>
      <c r="H295" s="1348"/>
      <c r="I295" s="1348"/>
      <c r="J295" s="1348"/>
      <c r="K295" s="1348"/>
    </row>
    <row r="296" spans="2:11" hidden="1">
      <c r="B296" s="1348"/>
      <c r="C296" s="1348"/>
      <c r="D296" s="1348"/>
      <c r="E296" s="1348"/>
      <c r="F296" s="1348"/>
      <c r="G296" s="1348"/>
      <c r="H296" s="1348"/>
      <c r="I296" s="1348"/>
      <c r="J296" s="1348"/>
      <c r="K296" s="1348"/>
    </row>
    <row r="297" spans="2:11" hidden="1">
      <c r="B297" s="1348"/>
      <c r="C297" s="1348"/>
      <c r="D297" s="1348"/>
      <c r="E297" s="1348"/>
      <c r="F297" s="1348"/>
      <c r="G297" s="1348"/>
      <c r="H297" s="1348"/>
      <c r="I297" s="1348"/>
      <c r="J297" s="1348"/>
      <c r="K297" s="1348"/>
    </row>
    <row r="298" spans="2:11" hidden="1">
      <c r="B298" s="1348"/>
      <c r="C298" s="1348"/>
      <c r="D298" s="1348"/>
      <c r="E298" s="1348"/>
      <c r="F298" s="1348"/>
      <c r="G298" s="1348"/>
      <c r="H298" s="1348"/>
      <c r="I298" s="1348"/>
      <c r="J298" s="1348"/>
      <c r="K298" s="1348"/>
    </row>
    <row r="299" spans="2:11" hidden="1">
      <c r="B299" s="1348"/>
      <c r="C299" s="1348"/>
      <c r="D299" s="1348"/>
      <c r="E299" s="1348"/>
      <c r="F299" s="1348"/>
      <c r="G299" s="1348"/>
      <c r="H299" s="1348"/>
      <c r="I299" s="1348"/>
      <c r="J299" s="1348"/>
      <c r="K299" s="1348"/>
    </row>
    <row r="300" spans="2:11" hidden="1">
      <c r="B300" s="1348"/>
      <c r="C300" s="1348"/>
      <c r="D300" s="1348"/>
      <c r="E300" s="1348"/>
      <c r="F300" s="1348"/>
      <c r="G300" s="1348"/>
      <c r="H300" s="1348"/>
      <c r="I300" s="1348"/>
      <c r="J300" s="1348"/>
      <c r="K300" s="1348"/>
    </row>
    <row r="301" spans="2:11" hidden="1">
      <c r="B301" s="1348"/>
      <c r="C301" s="1348"/>
      <c r="D301" s="1348"/>
      <c r="E301" s="1348"/>
      <c r="F301" s="1348"/>
      <c r="G301" s="1348"/>
      <c r="H301" s="1348"/>
      <c r="I301" s="1348"/>
      <c r="J301" s="1348"/>
      <c r="K301" s="1348"/>
    </row>
    <row r="302" spans="2:11" hidden="1">
      <c r="B302" s="1348"/>
      <c r="C302" s="1348"/>
      <c r="D302" s="1348"/>
      <c r="E302" s="1348"/>
      <c r="F302" s="1348"/>
      <c r="G302" s="1348"/>
      <c r="H302" s="1348"/>
      <c r="I302" s="1348"/>
      <c r="J302" s="1348"/>
      <c r="K302" s="1348"/>
    </row>
    <row r="303" spans="2:11" hidden="1">
      <c r="B303" s="1348"/>
      <c r="C303" s="1348"/>
      <c r="D303" s="1348"/>
      <c r="E303" s="1348"/>
      <c r="F303" s="1348"/>
      <c r="G303" s="1348"/>
      <c r="H303" s="1348"/>
      <c r="I303" s="1348"/>
      <c r="J303" s="1348"/>
      <c r="K303" s="1348"/>
    </row>
    <row r="304" spans="2:11" hidden="1">
      <c r="B304" s="1348"/>
      <c r="C304" s="1348"/>
      <c r="D304" s="1348"/>
      <c r="E304" s="1348"/>
      <c r="F304" s="1348"/>
      <c r="G304" s="1348"/>
      <c r="H304" s="1348"/>
      <c r="I304" s="1348"/>
      <c r="J304" s="1348"/>
      <c r="K304" s="1348"/>
    </row>
    <row r="305" spans="2:11" hidden="1">
      <c r="B305" s="1348"/>
      <c r="C305" s="1348"/>
      <c r="D305" s="1348"/>
      <c r="E305" s="1348"/>
      <c r="F305" s="1348"/>
      <c r="G305" s="1348"/>
      <c r="H305" s="1348"/>
      <c r="I305" s="1348"/>
      <c r="J305" s="1348"/>
      <c r="K305" s="1348"/>
    </row>
    <row r="306" spans="2:11" hidden="1">
      <c r="B306" s="1348"/>
      <c r="C306" s="1348"/>
      <c r="D306" s="1348"/>
      <c r="E306" s="1348"/>
      <c r="F306" s="1348"/>
      <c r="G306" s="1348"/>
      <c r="H306" s="1348"/>
      <c r="I306" s="1348"/>
      <c r="J306" s="1348"/>
      <c r="K306" s="1348"/>
    </row>
    <row r="307" spans="2:11" hidden="1">
      <c r="B307" s="1348"/>
      <c r="C307" s="1348"/>
      <c r="D307" s="1348"/>
      <c r="E307" s="1348"/>
      <c r="F307" s="1348"/>
      <c r="G307" s="1348"/>
      <c r="H307" s="1348"/>
      <c r="I307" s="1348"/>
      <c r="J307" s="1348"/>
      <c r="K307" s="1348"/>
    </row>
    <row r="308" spans="2:11" hidden="1">
      <c r="B308" s="1348"/>
      <c r="C308" s="1348"/>
      <c r="D308" s="1348"/>
      <c r="E308" s="1348"/>
      <c r="F308" s="1348"/>
      <c r="G308" s="1348"/>
      <c r="H308" s="1348"/>
      <c r="I308" s="1348"/>
      <c r="J308" s="1348"/>
      <c r="K308" s="1348"/>
    </row>
    <row r="309" spans="2:11" hidden="1">
      <c r="B309" s="1348"/>
      <c r="C309" s="1348"/>
      <c r="D309" s="1348"/>
      <c r="E309" s="1348"/>
      <c r="F309" s="1348"/>
      <c r="G309" s="1348"/>
      <c r="H309" s="1348"/>
      <c r="I309" s="1348"/>
      <c r="J309" s="1348"/>
      <c r="K309" s="1348"/>
    </row>
    <row r="310" spans="2:11" hidden="1">
      <c r="B310" s="1348"/>
      <c r="C310" s="1348"/>
      <c r="D310" s="1348"/>
      <c r="E310" s="1348"/>
      <c r="F310" s="1348"/>
      <c r="G310" s="1348"/>
      <c r="H310" s="1348"/>
      <c r="I310" s="1348"/>
      <c r="J310" s="1348"/>
      <c r="K310" s="1348"/>
    </row>
    <row r="311" spans="2:11" hidden="1">
      <c r="B311" s="1348"/>
      <c r="C311" s="1348"/>
      <c r="D311" s="1348"/>
      <c r="E311" s="1348"/>
      <c r="F311" s="1348"/>
      <c r="G311" s="1348"/>
      <c r="H311" s="1348"/>
      <c r="I311" s="1348"/>
      <c r="J311" s="1348"/>
      <c r="K311" s="1348"/>
    </row>
    <row r="312" spans="2:11" hidden="1">
      <c r="B312" s="1348"/>
      <c r="C312" s="1348"/>
      <c r="D312" s="1348"/>
      <c r="E312" s="1348"/>
      <c r="F312" s="1348"/>
      <c r="G312" s="1348"/>
      <c r="H312" s="1348"/>
      <c r="I312" s="1348"/>
      <c r="J312" s="1348"/>
      <c r="K312" s="1348"/>
    </row>
    <row r="313" spans="2:11" hidden="1">
      <c r="B313" s="1348"/>
      <c r="C313" s="1348"/>
      <c r="D313" s="1348"/>
      <c r="E313" s="1348"/>
      <c r="F313" s="1348"/>
      <c r="G313" s="1348"/>
      <c r="H313" s="1348"/>
      <c r="I313" s="1348"/>
      <c r="J313" s="1348"/>
      <c r="K313" s="1348"/>
    </row>
    <row r="314" spans="2:11" hidden="1">
      <c r="B314" s="1348"/>
      <c r="C314" s="1348"/>
      <c r="D314" s="1348"/>
      <c r="E314" s="1348"/>
      <c r="F314" s="1348"/>
      <c r="G314" s="1348"/>
      <c r="H314" s="1348"/>
      <c r="I314" s="1348"/>
      <c r="J314" s="1348"/>
      <c r="K314" s="1348"/>
    </row>
    <row r="315" spans="2:11" hidden="1">
      <c r="B315" s="1348"/>
      <c r="C315" s="1348"/>
      <c r="D315" s="1348"/>
      <c r="E315" s="1348"/>
      <c r="F315" s="1348"/>
      <c r="G315" s="1348"/>
      <c r="H315" s="1348"/>
      <c r="I315" s="1348"/>
      <c r="J315" s="1348"/>
      <c r="K315" s="1348"/>
    </row>
    <row r="316" spans="2:11" hidden="1">
      <c r="B316" s="1348"/>
      <c r="C316" s="1348"/>
      <c r="D316" s="1348"/>
      <c r="E316" s="1348"/>
      <c r="F316" s="1348"/>
      <c r="G316" s="1348"/>
      <c r="H316" s="1348"/>
      <c r="I316" s="1348"/>
      <c r="J316" s="1348"/>
      <c r="K316" s="1348"/>
    </row>
    <row r="317" spans="2:11" hidden="1">
      <c r="B317" s="1348"/>
      <c r="C317" s="1348"/>
      <c r="D317" s="1348"/>
      <c r="E317" s="1348"/>
      <c r="F317" s="1348"/>
      <c r="G317" s="1348"/>
      <c r="H317" s="1348"/>
      <c r="I317" s="1348"/>
      <c r="J317" s="1348"/>
      <c r="K317" s="1348"/>
    </row>
    <row r="318" spans="2:11" hidden="1">
      <c r="B318" s="1348"/>
      <c r="C318" s="1348"/>
      <c r="D318" s="1348"/>
      <c r="E318" s="1348"/>
      <c r="F318" s="1348"/>
      <c r="G318" s="1348"/>
      <c r="H318" s="1348"/>
      <c r="I318" s="1348"/>
      <c r="J318" s="1348"/>
      <c r="K318" s="1348"/>
    </row>
    <row r="319" spans="2:11" hidden="1">
      <c r="B319" s="1348"/>
      <c r="C319" s="1348"/>
      <c r="D319" s="1348"/>
      <c r="E319" s="1348"/>
      <c r="F319" s="1348"/>
      <c r="G319" s="1348"/>
      <c r="H319" s="1348"/>
      <c r="I319" s="1348"/>
      <c r="J319" s="1348"/>
      <c r="K319" s="1348"/>
    </row>
    <row r="320" spans="2:11" hidden="1">
      <c r="B320" s="1348"/>
      <c r="C320" s="1348"/>
      <c r="D320" s="1348"/>
      <c r="E320" s="1348"/>
      <c r="F320" s="1348"/>
      <c r="G320" s="1348"/>
      <c r="H320" s="1348"/>
      <c r="I320" s="1348"/>
      <c r="J320" s="1348"/>
      <c r="K320" s="1348"/>
    </row>
    <row r="321" spans="2:11" hidden="1">
      <c r="B321" s="1348"/>
      <c r="C321" s="1348"/>
      <c r="D321" s="1348"/>
      <c r="E321" s="1348"/>
      <c r="F321" s="1348"/>
      <c r="G321" s="1348"/>
      <c r="H321" s="1348"/>
      <c r="I321" s="1348"/>
      <c r="J321" s="1348"/>
      <c r="K321" s="1348"/>
    </row>
    <row r="322" spans="2:11" hidden="1">
      <c r="B322" s="1348"/>
      <c r="C322" s="1348"/>
      <c r="D322" s="1348"/>
      <c r="E322" s="1348"/>
      <c r="F322" s="1348"/>
      <c r="G322" s="1348"/>
      <c r="H322" s="1348"/>
      <c r="I322" s="1348"/>
      <c r="J322" s="1348"/>
      <c r="K322" s="1348"/>
    </row>
    <row r="323" spans="2:11" hidden="1">
      <c r="B323" s="1348"/>
      <c r="C323" s="1348"/>
      <c r="D323" s="1348"/>
      <c r="E323" s="1348"/>
      <c r="F323" s="1348"/>
      <c r="G323" s="1348"/>
      <c r="H323" s="1348"/>
      <c r="I323" s="1348"/>
      <c r="J323" s="1348"/>
      <c r="K323" s="1348"/>
    </row>
    <row r="324" spans="2:11" hidden="1">
      <c r="B324" s="1348"/>
      <c r="C324" s="1348"/>
      <c r="D324" s="1348"/>
      <c r="E324" s="1348"/>
      <c r="F324" s="1348"/>
      <c r="G324" s="1348"/>
      <c r="H324" s="1348"/>
      <c r="I324" s="1348"/>
      <c r="J324" s="1348"/>
      <c r="K324" s="1348"/>
    </row>
    <row r="325" spans="2:11" hidden="1">
      <c r="B325" s="1348"/>
      <c r="C325" s="1348"/>
      <c r="D325" s="1348"/>
      <c r="E325" s="1348"/>
      <c r="F325" s="1348"/>
      <c r="G325" s="1348"/>
      <c r="H325" s="1348"/>
      <c r="I325" s="1348"/>
      <c r="J325" s="1348"/>
      <c r="K325" s="1348"/>
    </row>
    <row r="326" spans="2:11" hidden="1">
      <c r="B326" s="1348"/>
      <c r="C326" s="1348"/>
      <c r="D326" s="1348"/>
      <c r="E326" s="1348"/>
      <c r="F326" s="1348"/>
      <c r="G326" s="1348"/>
      <c r="H326" s="1348"/>
      <c r="I326" s="1348"/>
      <c r="J326" s="1348"/>
      <c r="K326" s="1348"/>
    </row>
    <row r="327" spans="2:11" hidden="1">
      <c r="B327" s="1348"/>
      <c r="C327" s="1348"/>
      <c r="D327" s="1348"/>
      <c r="E327" s="1348"/>
      <c r="F327" s="1348"/>
      <c r="G327" s="1348"/>
      <c r="H327" s="1348"/>
      <c r="I327" s="1348"/>
      <c r="J327" s="1348"/>
      <c r="K327" s="1348"/>
    </row>
    <row r="328" spans="2:11" hidden="1">
      <c r="B328" s="1348"/>
      <c r="C328" s="1348"/>
      <c r="D328" s="1348"/>
      <c r="E328" s="1348"/>
      <c r="F328" s="1348"/>
      <c r="G328" s="1348"/>
      <c r="H328" s="1348"/>
      <c r="I328" s="1348"/>
      <c r="J328" s="1348"/>
      <c r="K328" s="1348"/>
    </row>
    <row r="329" spans="2:11" hidden="1">
      <c r="B329" s="1348"/>
      <c r="C329" s="1348"/>
      <c r="D329" s="1348"/>
      <c r="E329" s="1348"/>
      <c r="F329" s="1348"/>
      <c r="G329" s="1348"/>
      <c r="H329" s="1348"/>
      <c r="I329" s="1348"/>
      <c r="J329" s="1348"/>
      <c r="K329" s="1348"/>
    </row>
    <row r="330" spans="2:11" hidden="1">
      <c r="B330" s="1348"/>
      <c r="C330" s="1348"/>
      <c r="D330" s="1348"/>
      <c r="E330" s="1348"/>
      <c r="F330" s="1348"/>
      <c r="G330" s="1348"/>
      <c r="H330" s="1348"/>
      <c r="I330" s="1348"/>
      <c r="J330" s="1348"/>
      <c r="K330" s="1348"/>
    </row>
    <row r="331" spans="2:11" hidden="1">
      <c r="B331" s="1348"/>
      <c r="C331" s="1348"/>
      <c r="D331" s="1348"/>
      <c r="E331" s="1348"/>
      <c r="F331" s="1348"/>
      <c r="G331" s="1348"/>
      <c r="H331" s="1348"/>
      <c r="I331" s="1348"/>
      <c r="J331" s="1348"/>
      <c r="K331" s="1348"/>
    </row>
    <row r="332" spans="2:11" hidden="1">
      <c r="B332" s="1348"/>
      <c r="C332" s="1348"/>
      <c r="D332" s="1348"/>
      <c r="E332" s="1348"/>
      <c r="F332" s="1348"/>
      <c r="G332" s="1348"/>
      <c r="H332" s="1348"/>
      <c r="I332" s="1348"/>
      <c r="J332" s="1348"/>
      <c r="K332" s="1348"/>
    </row>
    <row r="333" spans="2:11" hidden="1">
      <c r="B333" s="1348"/>
      <c r="C333" s="1348"/>
      <c r="D333" s="1348"/>
      <c r="E333" s="1348"/>
      <c r="F333" s="1348"/>
      <c r="G333" s="1348"/>
      <c r="H333" s="1348"/>
      <c r="I333" s="1348"/>
      <c r="J333" s="1348"/>
      <c r="K333" s="1348"/>
    </row>
    <row r="334" spans="2:11" hidden="1">
      <c r="B334" s="1348"/>
      <c r="C334" s="1348"/>
      <c r="D334" s="1348"/>
      <c r="E334" s="1348"/>
      <c r="F334" s="1348"/>
      <c r="G334" s="1348"/>
      <c r="H334" s="1348"/>
      <c r="I334" s="1348"/>
      <c r="J334" s="1348"/>
      <c r="K334" s="1348"/>
    </row>
    <row r="335" spans="2:11" hidden="1">
      <c r="B335" s="1348"/>
      <c r="C335" s="1348"/>
      <c r="D335" s="1348"/>
      <c r="E335" s="1348"/>
      <c r="F335" s="1348"/>
      <c r="G335" s="1348"/>
      <c r="H335" s="1348"/>
      <c r="I335" s="1348"/>
      <c r="J335" s="1348"/>
      <c r="K335" s="1348"/>
    </row>
    <row r="336" spans="2:11" hidden="1">
      <c r="B336" s="1348"/>
      <c r="C336" s="1348"/>
      <c r="D336" s="1348"/>
      <c r="E336" s="1348"/>
      <c r="F336" s="1348"/>
      <c r="G336" s="1348"/>
      <c r="H336" s="1348"/>
      <c r="I336" s="1348"/>
      <c r="J336" s="1348"/>
      <c r="K336" s="1348"/>
    </row>
    <row r="337" spans="2:11" hidden="1">
      <c r="B337" s="1348"/>
      <c r="C337" s="1348"/>
      <c r="D337" s="1348"/>
      <c r="E337" s="1348"/>
      <c r="F337" s="1348"/>
      <c r="G337" s="1348"/>
      <c r="H337" s="1348"/>
      <c r="I337" s="1348"/>
      <c r="J337" s="1348"/>
      <c r="K337" s="1348"/>
    </row>
    <row r="338" spans="2:11" hidden="1">
      <c r="B338" s="1348"/>
      <c r="C338" s="1348"/>
      <c r="D338" s="1348"/>
      <c r="E338" s="1348"/>
      <c r="F338" s="1348"/>
      <c r="G338" s="1348"/>
      <c r="H338" s="1348"/>
      <c r="I338" s="1348"/>
      <c r="J338" s="1348"/>
      <c r="K338" s="1348"/>
    </row>
    <row r="339" spans="2:11" hidden="1">
      <c r="B339" s="1348"/>
      <c r="C339" s="1348"/>
      <c r="D339" s="1348"/>
      <c r="E339" s="1348"/>
      <c r="F339" s="1348"/>
      <c r="G339" s="1348"/>
      <c r="H339" s="1348"/>
      <c r="I339" s="1348"/>
      <c r="J339" s="1348"/>
      <c r="K339" s="1348"/>
    </row>
    <row r="340" spans="2:11" hidden="1">
      <c r="B340" s="1348"/>
      <c r="C340" s="1348"/>
      <c r="D340" s="1348"/>
      <c r="E340" s="1348"/>
      <c r="F340" s="1348"/>
      <c r="G340" s="1348"/>
      <c r="H340" s="1348"/>
      <c r="I340" s="1348"/>
      <c r="J340" s="1348"/>
      <c r="K340" s="1348"/>
    </row>
    <row r="341" spans="2:11" hidden="1">
      <c r="B341" s="1348"/>
      <c r="C341" s="1348"/>
      <c r="D341" s="1348"/>
      <c r="E341" s="1348"/>
      <c r="F341" s="1348"/>
      <c r="G341" s="1348"/>
      <c r="H341" s="1348"/>
      <c r="I341" s="1348"/>
      <c r="J341" s="1348"/>
      <c r="K341" s="1348"/>
    </row>
    <row r="342" spans="2:11" hidden="1">
      <c r="B342" s="1348"/>
      <c r="C342" s="1348"/>
      <c r="D342" s="1348"/>
      <c r="E342" s="1348"/>
      <c r="F342" s="1348"/>
      <c r="G342" s="1348"/>
      <c r="H342" s="1348"/>
      <c r="I342" s="1348"/>
      <c r="J342" s="1348"/>
      <c r="K342" s="1348"/>
    </row>
    <row r="343" spans="2:11" hidden="1">
      <c r="B343" s="1348"/>
      <c r="C343" s="1348"/>
      <c r="D343" s="1348"/>
      <c r="E343" s="1348"/>
      <c r="F343" s="1348"/>
      <c r="G343" s="1348"/>
      <c r="H343" s="1348"/>
      <c r="I343" s="1348"/>
      <c r="J343" s="1348"/>
      <c r="K343" s="1348"/>
    </row>
    <row r="344" spans="2:11" hidden="1">
      <c r="B344" s="1348"/>
      <c r="C344" s="1348"/>
      <c r="D344" s="1348"/>
      <c r="E344" s="1348"/>
      <c r="F344" s="1348"/>
      <c r="G344" s="1348"/>
      <c r="H344" s="1348"/>
      <c r="I344" s="1348"/>
      <c r="J344" s="1348"/>
      <c r="K344" s="1348"/>
    </row>
    <row r="345" spans="2:11" hidden="1">
      <c r="B345" s="1348"/>
      <c r="C345" s="1348"/>
      <c r="D345" s="1348"/>
      <c r="E345" s="1348"/>
      <c r="F345" s="1348"/>
      <c r="G345" s="1348"/>
      <c r="H345" s="1348"/>
      <c r="I345" s="1348"/>
      <c r="J345" s="1348"/>
      <c r="K345" s="1348"/>
    </row>
    <row r="346" spans="2:11" hidden="1">
      <c r="B346" s="1348"/>
      <c r="C346" s="1348"/>
      <c r="D346" s="1348"/>
      <c r="E346" s="1348"/>
      <c r="F346" s="1348"/>
      <c r="G346" s="1348"/>
      <c r="H346" s="1348"/>
      <c r="I346" s="1348"/>
      <c r="J346" s="1348"/>
      <c r="K346" s="1348"/>
    </row>
    <row r="347" spans="2:11" hidden="1">
      <c r="B347" s="1348"/>
      <c r="C347" s="1348"/>
      <c r="D347" s="1348"/>
      <c r="E347" s="1348"/>
      <c r="F347" s="1348"/>
      <c r="G347" s="1348"/>
      <c r="H347" s="1348"/>
      <c r="I347" s="1348"/>
      <c r="J347" s="1348"/>
      <c r="K347" s="1348"/>
    </row>
    <row r="348" spans="2:11" hidden="1">
      <c r="B348" s="1348"/>
      <c r="C348" s="1348"/>
      <c r="D348" s="1348"/>
      <c r="E348" s="1348"/>
      <c r="F348" s="1348"/>
      <c r="G348" s="1348"/>
      <c r="H348" s="1348"/>
      <c r="I348" s="1348"/>
      <c r="J348" s="1348"/>
      <c r="K348" s="1348"/>
    </row>
    <row r="349" spans="2:11" hidden="1">
      <c r="B349" s="1348"/>
      <c r="C349" s="1348"/>
      <c r="D349" s="1348"/>
      <c r="E349" s="1348"/>
      <c r="F349" s="1348"/>
      <c r="G349" s="1348"/>
      <c r="H349" s="1348"/>
      <c r="I349" s="1348"/>
      <c r="J349" s="1348"/>
      <c r="K349" s="1348"/>
    </row>
    <row r="350" spans="2:11" hidden="1">
      <c r="B350" s="1348"/>
      <c r="C350" s="1348"/>
      <c r="D350" s="1348"/>
      <c r="E350" s="1348"/>
      <c r="F350" s="1348"/>
      <c r="G350" s="1348"/>
      <c r="H350" s="1348"/>
      <c r="I350" s="1348"/>
      <c r="J350" s="1348"/>
      <c r="K350" s="1348"/>
    </row>
    <row r="351" spans="2:11" hidden="1">
      <c r="B351" s="1348"/>
      <c r="C351" s="1348"/>
      <c r="D351" s="1348"/>
      <c r="E351" s="1348"/>
      <c r="F351" s="1348"/>
      <c r="G351" s="1348"/>
      <c r="H351" s="1348"/>
      <c r="I351" s="1348"/>
      <c r="J351" s="1348"/>
      <c r="K351" s="1348"/>
    </row>
    <row r="352" spans="2:11" hidden="1">
      <c r="B352" s="1348"/>
      <c r="C352" s="1348"/>
      <c r="D352" s="1348"/>
      <c r="E352" s="1348"/>
      <c r="F352" s="1348"/>
      <c r="G352" s="1348"/>
      <c r="H352" s="1348"/>
      <c r="I352" s="1348"/>
      <c r="J352" s="1348"/>
      <c r="K352" s="1348"/>
    </row>
    <row r="353" spans="2:11" hidden="1">
      <c r="B353" s="1348"/>
      <c r="C353" s="1348"/>
      <c r="D353" s="1348"/>
      <c r="E353" s="1348"/>
      <c r="F353" s="1348"/>
      <c r="G353" s="1348"/>
      <c r="H353" s="1348"/>
      <c r="I353" s="1348"/>
      <c r="J353" s="1348"/>
      <c r="K353" s="1348"/>
    </row>
    <row r="354" spans="2:11" hidden="1">
      <c r="B354" s="1348"/>
      <c r="C354" s="1348"/>
      <c r="D354" s="1348"/>
      <c r="E354" s="1348"/>
      <c r="F354" s="1348"/>
      <c r="G354" s="1348"/>
      <c r="H354" s="1348"/>
      <c r="I354" s="1348"/>
      <c r="J354" s="1348"/>
      <c r="K354" s="1348"/>
    </row>
    <row r="355" spans="2:11" hidden="1">
      <c r="B355" s="1348"/>
      <c r="C355" s="1348"/>
      <c r="D355" s="1348"/>
      <c r="E355" s="1348"/>
      <c r="F355" s="1348"/>
      <c r="G355" s="1348"/>
      <c r="H355" s="1348"/>
      <c r="I355" s="1348"/>
      <c r="J355" s="1348"/>
      <c r="K355" s="1348"/>
    </row>
    <row r="356" spans="2:11" hidden="1">
      <c r="B356" s="1348"/>
      <c r="C356" s="1348"/>
      <c r="D356" s="1348"/>
      <c r="E356" s="1348"/>
      <c r="F356" s="1348"/>
      <c r="G356" s="1348"/>
      <c r="H356" s="1348"/>
      <c r="I356" s="1348"/>
      <c r="J356" s="1348"/>
      <c r="K356" s="1348"/>
    </row>
    <row r="357" spans="2:11" hidden="1">
      <c r="B357" s="1348"/>
      <c r="C357" s="1348"/>
      <c r="D357" s="1348"/>
      <c r="E357" s="1348"/>
      <c r="F357" s="1348"/>
      <c r="G357" s="1348"/>
      <c r="H357" s="1348"/>
      <c r="I357" s="1348"/>
      <c r="J357" s="1348"/>
      <c r="K357" s="1348"/>
    </row>
    <row r="358" spans="2:11" hidden="1">
      <c r="B358" s="1348"/>
      <c r="C358" s="1348"/>
      <c r="D358" s="1348"/>
      <c r="E358" s="1348"/>
      <c r="F358" s="1348"/>
      <c r="G358" s="1348"/>
      <c r="H358" s="1348"/>
      <c r="I358" s="1348"/>
      <c r="J358" s="1348"/>
      <c r="K358" s="1348"/>
    </row>
    <row r="359" spans="2:11" hidden="1">
      <c r="B359" s="1348"/>
      <c r="C359" s="1348"/>
      <c r="D359" s="1348"/>
      <c r="E359" s="1348"/>
      <c r="F359" s="1348"/>
      <c r="G359" s="1348"/>
      <c r="H359" s="1348"/>
      <c r="I359" s="1348"/>
      <c r="J359" s="1348"/>
      <c r="K359" s="1348"/>
    </row>
    <row r="360" spans="2:11" hidden="1">
      <c r="B360" s="1348"/>
      <c r="C360" s="1348"/>
      <c r="D360" s="1348"/>
      <c r="E360" s="1348"/>
      <c r="F360" s="1348"/>
      <c r="G360" s="1348"/>
      <c r="H360" s="1348"/>
      <c r="I360" s="1348"/>
      <c r="J360" s="1348"/>
      <c r="K360" s="1348"/>
    </row>
    <row r="361" spans="2:11" hidden="1">
      <c r="B361" s="1348"/>
      <c r="C361" s="1348"/>
      <c r="D361" s="1348"/>
      <c r="E361" s="1348"/>
      <c r="F361" s="1348"/>
      <c r="G361" s="1348"/>
      <c r="H361" s="1348"/>
      <c r="I361" s="1348"/>
      <c r="J361" s="1348"/>
      <c r="K361" s="1348"/>
    </row>
    <row r="362" spans="2:11" hidden="1">
      <c r="B362" s="1348"/>
      <c r="C362" s="1348"/>
      <c r="D362" s="1348"/>
      <c r="E362" s="1348"/>
      <c r="F362" s="1348"/>
      <c r="G362" s="1348"/>
      <c r="H362" s="1348"/>
      <c r="I362" s="1348"/>
      <c r="J362" s="1348"/>
      <c r="K362" s="1348"/>
    </row>
    <row r="363" spans="2:11" hidden="1">
      <c r="B363" s="1348"/>
      <c r="C363" s="1348"/>
      <c r="D363" s="1348"/>
      <c r="E363" s="1348"/>
      <c r="F363" s="1348"/>
      <c r="G363" s="1348"/>
      <c r="H363" s="1348"/>
      <c r="I363" s="1348"/>
      <c r="J363" s="1348"/>
      <c r="K363" s="1348"/>
    </row>
    <row r="364" spans="2:11" hidden="1">
      <c r="B364" s="1348"/>
      <c r="C364" s="1348"/>
      <c r="D364" s="1348"/>
      <c r="E364" s="1348"/>
      <c r="F364" s="1348"/>
      <c r="G364" s="1348"/>
      <c r="H364" s="1348"/>
      <c r="I364" s="1348"/>
      <c r="J364" s="1348"/>
      <c r="K364" s="1348"/>
    </row>
    <row r="365" spans="2:11" hidden="1">
      <c r="B365" s="1348"/>
      <c r="C365" s="1348"/>
      <c r="D365" s="1348"/>
      <c r="E365" s="1348"/>
      <c r="F365" s="1348"/>
      <c r="G365" s="1348"/>
      <c r="H365" s="1348"/>
      <c r="I365" s="1348"/>
      <c r="J365" s="1348"/>
      <c r="K365" s="1348"/>
    </row>
    <row r="366" spans="2:11" hidden="1">
      <c r="B366" s="1348"/>
      <c r="C366" s="1348"/>
      <c r="D366" s="1348"/>
      <c r="E366" s="1348"/>
      <c r="F366" s="1348"/>
      <c r="G366" s="1348"/>
      <c r="H366" s="1348"/>
      <c r="I366" s="1348"/>
      <c r="J366" s="1348"/>
      <c r="K366" s="1348"/>
    </row>
    <row r="367" spans="2:11" hidden="1">
      <c r="B367" s="1348"/>
      <c r="C367" s="1348"/>
      <c r="D367" s="1348"/>
      <c r="E367" s="1348"/>
      <c r="F367" s="1348"/>
      <c r="G367" s="1348"/>
      <c r="H367" s="1348"/>
      <c r="I367" s="1348"/>
      <c r="J367" s="1348"/>
      <c r="K367" s="1348"/>
    </row>
    <row r="368" spans="2:11" hidden="1">
      <c r="B368" s="1348"/>
      <c r="C368" s="1348"/>
      <c r="D368" s="1348"/>
      <c r="E368" s="1348"/>
      <c r="F368" s="1348"/>
      <c r="G368" s="1348"/>
      <c r="H368" s="1348"/>
      <c r="I368" s="1348"/>
      <c r="J368" s="1348"/>
      <c r="K368" s="1348"/>
    </row>
    <row r="369" spans="2:11" hidden="1">
      <c r="B369" s="1348"/>
      <c r="C369" s="1348"/>
      <c r="D369" s="1348"/>
      <c r="E369" s="1348"/>
      <c r="F369" s="1348"/>
      <c r="G369" s="1348"/>
      <c r="H369" s="1348"/>
      <c r="I369" s="1348"/>
      <c r="J369" s="1348"/>
      <c r="K369" s="1348"/>
    </row>
    <row r="370" spans="2:11" hidden="1">
      <c r="B370" s="1348"/>
      <c r="C370" s="1348"/>
      <c r="D370" s="1348"/>
      <c r="E370" s="1348"/>
      <c r="F370" s="1348"/>
      <c r="G370" s="1348"/>
      <c r="H370" s="1348"/>
      <c r="I370" s="1348"/>
      <c r="J370" s="1348"/>
      <c r="K370" s="1348"/>
    </row>
    <row r="371" spans="2:11" hidden="1">
      <c r="B371" s="1348"/>
      <c r="C371" s="1348"/>
      <c r="D371" s="1348"/>
      <c r="E371" s="1348"/>
      <c r="F371" s="1348"/>
      <c r="G371" s="1348"/>
      <c r="H371" s="1348"/>
      <c r="I371" s="1348"/>
      <c r="J371" s="1348"/>
      <c r="K371" s="1348"/>
    </row>
    <row r="372" spans="2:11" hidden="1">
      <c r="B372" s="1348"/>
      <c r="C372" s="1348"/>
      <c r="D372" s="1348"/>
      <c r="E372" s="1348"/>
      <c r="F372" s="1348"/>
      <c r="G372" s="1348"/>
      <c r="H372" s="1348"/>
      <c r="I372" s="1348"/>
      <c r="J372" s="1348"/>
      <c r="K372" s="1348"/>
    </row>
    <row r="373" spans="2:11" hidden="1">
      <c r="B373" s="1348"/>
      <c r="C373" s="1348"/>
      <c r="D373" s="1348"/>
      <c r="E373" s="1348"/>
      <c r="F373" s="1348"/>
      <c r="G373" s="1348"/>
      <c r="H373" s="1348"/>
      <c r="I373" s="1348"/>
      <c r="J373" s="1348"/>
      <c r="K373" s="1348"/>
    </row>
    <row r="374" spans="2:11" hidden="1">
      <c r="B374" s="1348"/>
      <c r="C374" s="1348"/>
      <c r="D374" s="1348"/>
      <c r="E374" s="1348"/>
      <c r="F374" s="1348"/>
      <c r="G374" s="1348"/>
      <c r="H374" s="1348"/>
      <c r="I374" s="1348"/>
      <c r="J374" s="1348"/>
      <c r="K374" s="1348"/>
    </row>
    <row r="375" spans="2:11" hidden="1">
      <c r="B375" s="1348"/>
      <c r="C375" s="1348"/>
      <c r="D375" s="1348"/>
      <c r="E375" s="1348"/>
      <c r="F375" s="1348"/>
      <c r="G375" s="1348"/>
      <c r="H375" s="1348"/>
      <c r="I375" s="1348"/>
      <c r="J375" s="1348"/>
      <c r="K375" s="1348"/>
    </row>
    <row r="376" spans="2:11" hidden="1">
      <c r="B376" s="1348"/>
      <c r="C376" s="1348"/>
      <c r="D376" s="1348"/>
      <c r="E376" s="1348"/>
      <c r="F376" s="1348"/>
      <c r="G376" s="1348"/>
      <c r="H376" s="1348"/>
      <c r="I376" s="1348"/>
      <c r="J376" s="1348"/>
      <c r="K376" s="1348"/>
    </row>
    <row r="377" spans="2:11" hidden="1">
      <c r="B377" s="1348"/>
      <c r="C377" s="1348"/>
      <c r="D377" s="1348"/>
      <c r="E377" s="1348"/>
      <c r="F377" s="1348"/>
      <c r="G377" s="1348"/>
      <c r="H377" s="1348"/>
      <c r="I377" s="1348"/>
      <c r="J377" s="1348"/>
      <c r="K377" s="1348"/>
    </row>
    <row r="378" spans="2:11" hidden="1">
      <c r="B378" s="1348"/>
      <c r="C378" s="1348"/>
      <c r="D378" s="1348"/>
      <c r="E378" s="1348"/>
      <c r="F378" s="1348"/>
      <c r="G378" s="1348"/>
      <c r="H378" s="1348"/>
      <c r="I378" s="1348"/>
      <c r="J378" s="1348"/>
      <c r="K378" s="1348"/>
    </row>
    <row r="379" spans="2:11" hidden="1">
      <c r="B379" s="1348"/>
      <c r="C379" s="1348"/>
      <c r="D379" s="1348"/>
      <c r="E379" s="1348"/>
      <c r="F379" s="1348"/>
      <c r="G379" s="1348"/>
      <c r="H379" s="1348"/>
      <c r="I379" s="1348"/>
      <c r="J379" s="1348"/>
      <c r="K379" s="1348"/>
    </row>
    <row r="380" spans="2:11" hidden="1">
      <c r="B380" s="1348"/>
      <c r="C380" s="1348"/>
      <c r="D380" s="1348"/>
      <c r="E380" s="1348"/>
      <c r="F380" s="1348"/>
      <c r="G380" s="1348"/>
      <c r="H380" s="1348"/>
      <c r="I380" s="1348"/>
      <c r="J380" s="1348"/>
      <c r="K380" s="1348"/>
    </row>
    <row r="381" spans="2:11" hidden="1">
      <c r="B381" s="1348"/>
      <c r="C381" s="1348"/>
      <c r="D381" s="1348"/>
      <c r="E381" s="1348"/>
      <c r="F381" s="1348"/>
      <c r="G381" s="1348"/>
      <c r="H381" s="1348"/>
      <c r="I381" s="1348"/>
      <c r="J381" s="1348"/>
      <c r="K381" s="1348"/>
    </row>
    <row r="382" spans="2:11" hidden="1">
      <c r="B382" s="1348"/>
      <c r="C382" s="1348"/>
      <c r="D382" s="1348"/>
      <c r="E382" s="1348"/>
      <c r="F382" s="1348"/>
      <c r="G382" s="1348"/>
      <c r="H382" s="1348"/>
      <c r="I382" s="1348"/>
      <c r="J382" s="1348"/>
      <c r="K382" s="1348"/>
    </row>
    <row r="383" spans="2:11" hidden="1">
      <c r="B383" s="1348"/>
      <c r="C383" s="1348"/>
      <c r="D383" s="1348"/>
      <c r="E383" s="1348"/>
      <c r="F383" s="1348"/>
      <c r="G383" s="1348"/>
      <c r="H383" s="1348"/>
      <c r="I383" s="1348"/>
      <c r="J383" s="1348"/>
      <c r="K383" s="1348"/>
    </row>
    <row r="384" spans="2:11" hidden="1">
      <c r="B384" s="1348"/>
      <c r="C384" s="1348"/>
      <c r="D384" s="1348"/>
      <c r="E384" s="1348"/>
      <c r="F384" s="1348"/>
      <c r="G384" s="1348"/>
      <c r="H384" s="1348"/>
      <c r="I384" s="1348"/>
      <c r="J384" s="1348"/>
      <c r="K384" s="1348"/>
    </row>
    <row r="385" spans="2:11" hidden="1">
      <c r="B385" s="1348"/>
      <c r="C385" s="1348"/>
      <c r="D385" s="1348"/>
      <c r="E385" s="1348"/>
      <c r="F385" s="1348"/>
      <c r="G385" s="1348"/>
      <c r="H385" s="1348"/>
      <c r="I385" s="1348"/>
      <c r="J385" s="1348"/>
      <c r="K385" s="1348"/>
    </row>
    <row r="386" spans="2:11" hidden="1">
      <c r="B386" s="1348"/>
      <c r="C386" s="1348"/>
      <c r="D386" s="1348"/>
      <c r="E386" s="1348"/>
      <c r="F386" s="1348"/>
      <c r="G386" s="1348"/>
      <c r="H386" s="1348"/>
      <c r="I386" s="1348"/>
      <c r="J386" s="1348"/>
      <c r="K386" s="1348"/>
    </row>
    <row r="387" spans="2:11" hidden="1">
      <c r="B387" s="1348"/>
      <c r="C387" s="1348"/>
      <c r="D387" s="1348"/>
      <c r="E387" s="1348"/>
      <c r="F387" s="1348"/>
      <c r="G387" s="1348"/>
      <c r="H387" s="1348"/>
      <c r="I387" s="1348"/>
      <c r="J387" s="1348"/>
      <c r="K387" s="1348"/>
    </row>
    <row r="388" spans="2:11" hidden="1">
      <c r="B388" s="1348"/>
      <c r="C388" s="1348"/>
      <c r="D388" s="1348"/>
      <c r="E388" s="1348"/>
      <c r="F388" s="1348"/>
      <c r="G388" s="1348"/>
      <c r="H388" s="1348"/>
      <c r="I388" s="1348"/>
      <c r="J388" s="1348"/>
      <c r="K388" s="1348"/>
    </row>
    <row r="389" spans="2:11" hidden="1">
      <c r="B389" s="1348"/>
      <c r="C389" s="1348"/>
      <c r="D389" s="1348"/>
      <c r="E389" s="1348"/>
      <c r="F389" s="1348"/>
      <c r="G389" s="1348"/>
      <c r="H389" s="1348"/>
      <c r="I389" s="1348"/>
      <c r="J389" s="1348"/>
      <c r="K389" s="1348"/>
    </row>
    <row r="390" spans="2:11" hidden="1">
      <c r="B390" s="1348"/>
      <c r="C390" s="1348"/>
      <c r="D390" s="1348"/>
      <c r="E390" s="1348"/>
      <c r="F390" s="1348"/>
      <c r="G390" s="1348"/>
      <c r="H390" s="1348"/>
      <c r="I390" s="1348"/>
      <c r="J390" s="1348"/>
      <c r="K390" s="1348"/>
    </row>
    <row r="391" spans="2:11" hidden="1">
      <c r="B391" s="1348"/>
      <c r="C391" s="1348"/>
      <c r="D391" s="1348"/>
      <c r="E391" s="1348"/>
      <c r="F391" s="1348"/>
      <c r="G391" s="1348"/>
      <c r="H391" s="1348"/>
      <c r="I391" s="1348"/>
      <c r="J391" s="1348"/>
      <c r="K391" s="1348"/>
    </row>
    <row r="392" spans="2:11" hidden="1">
      <c r="B392" s="1348"/>
      <c r="C392" s="1348"/>
      <c r="D392" s="1348"/>
      <c r="E392" s="1348"/>
      <c r="F392" s="1348"/>
      <c r="G392" s="1348"/>
      <c r="H392" s="1348"/>
      <c r="I392" s="1348"/>
      <c r="J392" s="1348"/>
      <c r="K392" s="1348"/>
    </row>
    <row r="393" spans="2:11" hidden="1">
      <c r="B393" s="1348"/>
      <c r="C393" s="1348"/>
      <c r="D393" s="1348"/>
      <c r="E393" s="1348"/>
      <c r="F393" s="1348"/>
      <c r="G393" s="1348"/>
      <c r="H393" s="1348"/>
      <c r="I393" s="1348"/>
      <c r="J393" s="1348"/>
      <c r="K393" s="1348"/>
    </row>
    <row r="394" spans="2:11" hidden="1">
      <c r="B394" s="1348"/>
      <c r="C394" s="1348"/>
      <c r="D394" s="1348"/>
      <c r="E394" s="1348"/>
      <c r="F394" s="1348"/>
      <c r="G394" s="1348"/>
      <c r="H394" s="1348"/>
      <c r="I394" s="1348"/>
      <c r="J394" s="1348"/>
      <c r="K394" s="1348"/>
    </row>
    <row r="395" spans="2:11" hidden="1">
      <c r="B395" s="1348"/>
      <c r="C395" s="1348"/>
      <c r="D395" s="1348"/>
      <c r="E395" s="1348"/>
      <c r="F395" s="1348"/>
      <c r="G395" s="1348"/>
      <c r="H395" s="1348"/>
      <c r="I395" s="1348"/>
      <c r="J395" s="1348"/>
      <c r="K395" s="1348"/>
    </row>
    <row r="396" spans="2:11" hidden="1">
      <c r="B396" s="1348"/>
      <c r="C396" s="1348"/>
      <c r="D396" s="1348"/>
      <c r="E396" s="1348"/>
      <c r="F396" s="1348"/>
      <c r="G396" s="1348"/>
      <c r="H396" s="1348"/>
      <c r="I396" s="1348"/>
      <c r="J396" s="1348"/>
      <c r="K396" s="1348"/>
    </row>
    <row r="397" spans="2:11" hidden="1">
      <c r="B397" s="1348"/>
      <c r="C397" s="1348"/>
      <c r="D397" s="1348"/>
      <c r="E397" s="1348"/>
      <c r="F397" s="1348"/>
      <c r="G397" s="1348"/>
      <c r="H397" s="1348"/>
      <c r="I397" s="1348"/>
      <c r="J397" s="1348"/>
      <c r="K397" s="1348"/>
    </row>
    <row r="398" spans="2:11" hidden="1">
      <c r="B398" s="1348"/>
      <c r="C398" s="1348"/>
      <c r="D398" s="1348"/>
      <c r="E398" s="1348"/>
      <c r="F398" s="1348"/>
      <c r="G398" s="1348"/>
      <c r="H398" s="1348"/>
      <c r="I398" s="1348"/>
      <c r="J398" s="1348"/>
      <c r="K398" s="1348"/>
    </row>
    <row r="399" spans="2:11" hidden="1">
      <c r="B399" s="1348"/>
      <c r="C399" s="1348"/>
      <c r="D399" s="1348"/>
      <c r="E399" s="1348"/>
      <c r="F399" s="1348"/>
      <c r="G399" s="1348"/>
      <c r="H399" s="1348"/>
      <c r="I399" s="1348"/>
      <c r="J399" s="1348"/>
      <c r="K399" s="1348"/>
    </row>
    <row r="400" spans="2:11" hidden="1">
      <c r="B400" s="1348"/>
      <c r="C400" s="1348"/>
      <c r="D400" s="1348"/>
      <c r="E400" s="1348"/>
      <c r="F400" s="1348"/>
      <c r="G400" s="1348"/>
      <c r="H400" s="1348"/>
      <c r="I400" s="1348"/>
      <c r="J400" s="1348"/>
      <c r="K400" s="1348"/>
    </row>
    <row r="401" spans="2:11" hidden="1">
      <c r="B401" s="1348"/>
      <c r="C401" s="1348"/>
      <c r="D401" s="1348"/>
      <c r="E401" s="1348"/>
      <c r="F401" s="1348"/>
      <c r="G401" s="1348"/>
      <c r="H401" s="1348"/>
      <c r="I401" s="1348"/>
      <c r="J401" s="1348"/>
      <c r="K401" s="1348"/>
    </row>
    <row r="402" spans="2:11" hidden="1">
      <c r="B402" s="1348"/>
      <c r="C402" s="1348"/>
      <c r="D402" s="1348"/>
      <c r="E402" s="1348"/>
      <c r="F402" s="1348"/>
      <c r="G402" s="1348"/>
      <c r="H402" s="1348"/>
      <c r="I402" s="1348"/>
      <c r="J402" s="1348"/>
      <c r="K402" s="1348"/>
    </row>
    <row r="403" spans="2:11" hidden="1">
      <c r="B403" s="1348"/>
      <c r="C403" s="1348"/>
      <c r="D403" s="1348"/>
      <c r="E403" s="1348"/>
      <c r="F403" s="1348"/>
      <c r="G403" s="1348"/>
      <c r="H403" s="1348"/>
      <c r="I403" s="1348"/>
      <c r="J403" s="1348"/>
      <c r="K403" s="1348"/>
    </row>
    <row r="404" spans="2:11" hidden="1">
      <c r="B404" s="1348"/>
      <c r="C404" s="1348"/>
      <c r="D404" s="1348"/>
      <c r="E404" s="1348"/>
      <c r="F404" s="1348"/>
      <c r="G404" s="1348"/>
      <c r="H404" s="1348"/>
      <c r="I404" s="1348"/>
      <c r="J404" s="1348"/>
      <c r="K404" s="1348"/>
    </row>
    <row r="405" spans="2:11" hidden="1">
      <c r="B405" s="1348"/>
      <c r="C405" s="1348"/>
      <c r="D405" s="1348"/>
      <c r="E405" s="1348"/>
      <c r="F405" s="1348"/>
      <c r="G405" s="1348"/>
      <c r="H405" s="1348"/>
      <c r="I405" s="1348"/>
      <c r="J405" s="1348"/>
      <c r="K405" s="1348"/>
    </row>
    <row r="406" spans="2:11" hidden="1">
      <c r="B406" s="1348"/>
      <c r="C406" s="1348"/>
      <c r="D406" s="1348"/>
      <c r="E406" s="1348"/>
      <c r="F406" s="1348"/>
      <c r="G406" s="1348"/>
      <c r="H406" s="1348"/>
      <c r="I406" s="1348"/>
      <c r="J406" s="1348"/>
      <c r="K406" s="1348"/>
    </row>
    <row r="407" spans="2:11" hidden="1">
      <c r="B407" s="1348"/>
      <c r="C407" s="1348"/>
      <c r="D407" s="1348"/>
      <c r="E407" s="1348"/>
      <c r="F407" s="1348"/>
      <c r="G407" s="1348"/>
      <c r="H407" s="1348"/>
      <c r="I407" s="1348"/>
      <c r="J407" s="1348"/>
      <c r="K407" s="1348"/>
    </row>
    <row r="408" spans="2:11" hidden="1">
      <c r="B408" s="1348"/>
      <c r="C408" s="1348"/>
      <c r="D408" s="1348"/>
      <c r="E408" s="1348"/>
      <c r="F408" s="1348"/>
      <c r="G408" s="1348"/>
      <c r="H408" s="1348"/>
      <c r="I408" s="1348"/>
      <c r="J408" s="1348"/>
      <c r="K408" s="1348"/>
    </row>
    <row r="409" spans="2:11" hidden="1">
      <c r="B409" s="1348"/>
      <c r="C409" s="1348"/>
      <c r="D409" s="1348"/>
      <c r="E409" s="1348"/>
      <c r="F409" s="1348"/>
      <c r="G409" s="1348"/>
      <c r="H409" s="1348"/>
      <c r="I409" s="1348"/>
      <c r="J409" s="1348"/>
      <c r="K409" s="1348"/>
    </row>
    <row r="410" spans="2:11" hidden="1">
      <c r="B410" s="1348"/>
      <c r="C410" s="1348"/>
      <c r="D410" s="1348"/>
      <c r="E410" s="1348"/>
      <c r="F410" s="1348"/>
      <c r="G410" s="1348"/>
      <c r="H410" s="1348"/>
      <c r="I410" s="1348"/>
      <c r="J410" s="1348"/>
      <c r="K410" s="1348"/>
    </row>
    <row r="411" spans="2:11" hidden="1">
      <c r="B411" s="1348"/>
      <c r="C411" s="1348"/>
      <c r="D411" s="1348"/>
      <c r="E411" s="1348"/>
      <c r="F411" s="1348"/>
      <c r="G411" s="1348"/>
      <c r="H411" s="1348"/>
      <c r="I411" s="1348"/>
      <c r="J411" s="1348"/>
      <c r="K411" s="1348"/>
    </row>
    <row r="412" spans="2:11" hidden="1">
      <c r="B412" s="1348"/>
      <c r="C412" s="1348"/>
      <c r="D412" s="1348"/>
      <c r="E412" s="1348"/>
      <c r="F412" s="1348"/>
      <c r="G412" s="1348"/>
      <c r="H412" s="1348"/>
      <c r="I412" s="1348"/>
      <c r="J412" s="1348"/>
      <c r="K412" s="1348"/>
    </row>
    <row r="413" spans="2:11" hidden="1">
      <c r="B413" s="1348"/>
      <c r="C413" s="1348"/>
      <c r="D413" s="1348"/>
      <c r="E413" s="1348"/>
      <c r="F413" s="1348"/>
      <c r="G413" s="1348"/>
      <c r="H413" s="1348"/>
      <c r="I413" s="1348"/>
      <c r="J413" s="1348"/>
      <c r="K413" s="1348"/>
    </row>
    <row r="414" spans="2:11" hidden="1">
      <c r="B414" s="1348"/>
      <c r="C414" s="1348"/>
      <c r="D414" s="1348"/>
      <c r="E414" s="1348"/>
      <c r="F414" s="1348"/>
      <c r="G414" s="1348"/>
      <c r="H414" s="1348"/>
      <c r="I414" s="1348"/>
      <c r="J414" s="1348"/>
      <c r="K414" s="1348"/>
    </row>
    <row r="415" spans="2:11" hidden="1">
      <c r="B415" s="1348"/>
      <c r="C415" s="1348"/>
      <c r="D415" s="1348"/>
      <c r="E415" s="1348"/>
      <c r="F415" s="1348"/>
      <c r="G415" s="1348"/>
      <c r="H415" s="1348"/>
      <c r="I415" s="1348"/>
      <c r="J415" s="1348"/>
      <c r="K415" s="1348"/>
    </row>
    <row r="416" spans="2:11" hidden="1">
      <c r="B416" s="1348"/>
      <c r="C416" s="1348"/>
      <c r="D416" s="1348"/>
      <c r="E416" s="1348"/>
      <c r="F416" s="1348"/>
      <c r="G416" s="1348"/>
      <c r="H416" s="1348"/>
      <c r="I416" s="1348"/>
      <c r="J416" s="1348"/>
      <c r="K416" s="1348"/>
    </row>
    <row r="417" spans="2:11" hidden="1">
      <c r="B417" s="1348"/>
      <c r="C417" s="1348"/>
      <c r="D417" s="1348"/>
      <c r="E417" s="1348"/>
      <c r="F417" s="1348"/>
      <c r="G417" s="1348"/>
      <c r="H417" s="1348"/>
      <c r="I417" s="1348"/>
      <c r="J417" s="1348"/>
      <c r="K417" s="1348"/>
    </row>
    <row r="418" spans="2:11" hidden="1">
      <c r="B418" s="1348"/>
      <c r="C418" s="1348"/>
      <c r="D418" s="1348"/>
      <c r="E418" s="1348"/>
      <c r="F418" s="1348"/>
      <c r="G418" s="1348"/>
      <c r="H418" s="1348"/>
      <c r="I418" s="1348"/>
      <c r="J418" s="1348"/>
      <c r="K418" s="1348"/>
    </row>
    <row r="419" spans="2:11" hidden="1">
      <c r="B419" s="1348"/>
      <c r="C419" s="1348"/>
      <c r="D419" s="1348"/>
      <c r="E419" s="1348"/>
      <c r="F419" s="1348"/>
      <c r="G419" s="1348"/>
      <c r="H419" s="1348"/>
      <c r="I419" s="1348"/>
      <c r="J419" s="1348"/>
      <c r="K419" s="1348"/>
    </row>
    <row r="420" spans="2:11" hidden="1">
      <c r="B420" s="1348"/>
      <c r="C420" s="1348"/>
      <c r="D420" s="1348"/>
      <c r="E420" s="1348"/>
      <c r="F420" s="1348"/>
      <c r="G420" s="1348"/>
      <c r="H420" s="1348"/>
      <c r="I420" s="1348"/>
      <c r="J420" s="1348"/>
      <c r="K420" s="1348"/>
    </row>
    <row r="421" spans="2:11" hidden="1">
      <c r="B421" s="1348"/>
      <c r="C421" s="1348"/>
      <c r="D421" s="1348"/>
      <c r="E421" s="1348"/>
      <c r="F421" s="1348"/>
      <c r="G421" s="1348"/>
      <c r="H421" s="1348"/>
      <c r="I421" s="1348"/>
      <c r="J421" s="1348"/>
      <c r="K421" s="1348"/>
    </row>
    <row r="422" spans="2:11" hidden="1">
      <c r="B422" s="1348"/>
      <c r="C422" s="1348"/>
      <c r="D422" s="1348"/>
      <c r="E422" s="1348"/>
      <c r="F422" s="1348"/>
      <c r="G422" s="1348"/>
      <c r="H422" s="1348"/>
      <c r="I422" s="1348"/>
      <c r="J422" s="1348"/>
      <c r="K422" s="1348"/>
    </row>
    <row r="423" spans="2:11" hidden="1">
      <c r="B423" s="1348"/>
      <c r="C423" s="1348"/>
      <c r="D423" s="1348"/>
      <c r="E423" s="1348"/>
      <c r="F423" s="1348"/>
      <c r="G423" s="1348"/>
      <c r="H423" s="1348"/>
      <c r="I423" s="1348"/>
      <c r="J423" s="1348"/>
      <c r="K423" s="1348"/>
    </row>
    <row r="424" spans="2:11" hidden="1">
      <c r="B424" s="1348"/>
      <c r="C424" s="1348"/>
      <c r="D424" s="1348"/>
      <c r="E424" s="1348"/>
      <c r="F424" s="1348"/>
      <c r="G424" s="1348"/>
      <c r="H424" s="1348"/>
      <c r="I424" s="1348"/>
      <c r="J424" s="1348"/>
      <c r="K424" s="1348"/>
    </row>
    <row r="425" spans="2:11" hidden="1">
      <c r="B425" s="1348"/>
      <c r="C425" s="1348"/>
      <c r="D425" s="1348"/>
      <c r="E425" s="1348"/>
      <c r="F425" s="1348"/>
      <c r="G425" s="1348"/>
      <c r="H425" s="1348"/>
      <c r="I425" s="1348"/>
      <c r="J425" s="1348"/>
      <c r="K425" s="1348"/>
    </row>
    <row r="426" spans="2:11" hidden="1">
      <c r="B426" s="1348"/>
      <c r="C426" s="1348"/>
      <c r="D426" s="1348"/>
      <c r="E426" s="1348"/>
      <c r="F426" s="1348"/>
      <c r="G426" s="1348"/>
      <c r="H426" s="1348"/>
      <c r="I426" s="1348"/>
      <c r="J426" s="1348"/>
      <c r="K426" s="1348"/>
    </row>
    <row r="427" spans="2:11" hidden="1">
      <c r="B427" s="1348"/>
      <c r="C427" s="1348"/>
      <c r="D427" s="1348"/>
      <c r="E427" s="1348"/>
      <c r="F427" s="1348"/>
      <c r="G427" s="1348"/>
      <c r="H427" s="1348"/>
      <c r="I427" s="1348"/>
      <c r="J427" s="1348"/>
      <c r="K427" s="1348"/>
    </row>
    <row r="428" spans="2:11" hidden="1">
      <c r="B428" s="1348"/>
      <c r="C428" s="1348"/>
      <c r="D428" s="1348"/>
      <c r="E428" s="1348"/>
      <c r="F428" s="1348"/>
      <c r="G428" s="1348"/>
      <c r="H428" s="1348"/>
      <c r="I428" s="1348"/>
      <c r="J428" s="1348"/>
      <c r="K428" s="1348"/>
    </row>
    <row r="429" spans="2:11" hidden="1">
      <c r="B429" s="1348"/>
      <c r="C429" s="1348"/>
      <c r="D429" s="1348"/>
      <c r="E429" s="1348"/>
      <c r="F429" s="1348"/>
      <c r="G429" s="1348"/>
      <c r="H429" s="1348"/>
      <c r="I429" s="1348"/>
      <c r="J429" s="1348"/>
      <c r="K429" s="1348"/>
    </row>
    <row r="430" spans="2:11" hidden="1">
      <c r="B430" s="1348"/>
      <c r="C430" s="1348"/>
      <c r="D430" s="1348"/>
      <c r="E430" s="1348"/>
      <c r="F430" s="1348"/>
      <c r="G430" s="1348"/>
      <c r="H430" s="1348"/>
      <c r="I430" s="1348"/>
      <c r="J430" s="1348"/>
      <c r="K430" s="1348"/>
    </row>
    <row r="431" spans="2:11" hidden="1">
      <c r="B431" s="1348"/>
      <c r="C431" s="1348"/>
      <c r="D431" s="1348"/>
      <c r="E431" s="1348"/>
      <c r="F431" s="1348"/>
      <c r="G431" s="1348"/>
      <c r="H431" s="1348"/>
      <c r="I431" s="1348"/>
      <c r="J431" s="1348"/>
      <c r="K431" s="1348"/>
    </row>
    <row r="432" spans="2:11" hidden="1">
      <c r="B432" s="1348"/>
      <c r="C432" s="1348"/>
      <c r="D432" s="1348"/>
      <c r="E432" s="1348"/>
      <c r="F432" s="1348"/>
      <c r="G432" s="1348"/>
      <c r="H432" s="1348"/>
      <c r="I432" s="1348"/>
      <c r="J432" s="1348"/>
      <c r="K432" s="1348"/>
    </row>
    <row r="433" spans="2:11" hidden="1">
      <c r="B433" s="1348"/>
      <c r="C433" s="1348"/>
      <c r="D433" s="1348"/>
      <c r="E433" s="1348"/>
      <c r="F433" s="1348"/>
      <c r="G433" s="1348"/>
      <c r="H433" s="1348"/>
      <c r="I433" s="1348"/>
      <c r="J433" s="1348"/>
      <c r="K433" s="1348"/>
    </row>
    <row r="434" spans="2:11" hidden="1">
      <c r="B434" s="1348"/>
      <c r="C434" s="1348"/>
      <c r="D434" s="1348"/>
      <c r="E434" s="1348"/>
      <c r="F434" s="1348"/>
      <c r="G434" s="1348"/>
      <c r="H434" s="1348"/>
      <c r="I434" s="1348"/>
      <c r="J434" s="1348"/>
      <c r="K434" s="1348"/>
    </row>
    <row r="435" spans="2:11" hidden="1">
      <c r="B435" s="1348"/>
      <c r="C435" s="1348"/>
      <c r="D435" s="1348"/>
      <c r="E435" s="1348"/>
      <c r="F435" s="1348"/>
      <c r="G435" s="1348"/>
      <c r="H435" s="1348"/>
      <c r="I435" s="1348"/>
      <c r="J435" s="1348"/>
      <c r="K435" s="1348"/>
    </row>
    <row r="436" spans="2:11" hidden="1">
      <c r="B436" s="1348"/>
      <c r="C436" s="1348"/>
      <c r="D436" s="1348"/>
      <c r="E436" s="1348"/>
      <c r="F436" s="1348"/>
      <c r="G436" s="1348"/>
      <c r="H436" s="1348"/>
      <c r="I436" s="1348"/>
      <c r="J436" s="1348"/>
      <c r="K436" s="1348"/>
    </row>
    <row r="437" spans="2:11" hidden="1">
      <c r="B437" s="1348"/>
      <c r="C437" s="1348"/>
      <c r="D437" s="1348"/>
      <c r="E437" s="1348"/>
      <c r="F437" s="1348"/>
      <c r="G437" s="1348"/>
      <c r="H437" s="1348"/>
      <c r="I437" s="1348"/>
      <c r="J437" s="1348"/>
      <c r="K437" s="1348"/>
    </row>
    <row r="438" spans="2:11" hidden="1">
      <c r="B438" s="1348"/>
      <c r="C438" s="1348"/>
      <c r="D438" s="1348"/>
      <c r="E438" s="1348"/>
      <c r="F438" s="1348"/>
      <c r="G438" s="1348"/>
      <c r="H438" s="1348"/>
      <c r="I438" s="1348"/>
      <c r="J438" s="1348"/>
      <c r="K438" s="1348"/>
    </row>
    <row r="439" spans="2:11" hidden="1">
      <c r="B439" s="1348"/>
      <c r="C439" s="1348"/>
      <c r="D439" s="1348"/>
      <c r="E439" s="1348"/>
      <c r="F439" s="1348"/>
      <c r="G439" s="1348"/>
      <c r="H439" s="1348"/>
      <c r="I439" s="1348"/>
      <c r="J439" s="1348"/>
      <c r="K439" s="1348"/>
    </row>
    <row r="440" spans="2:11" hidden="1">
      <c r="B440" s="1348"/>
      <c r="C440" s="1348"/>
      <c r="D440" s="1348"/>
      <c r="E440" s="1348"/>
      <c r="F440" s="1348"/>
      <c r="G440" s="1348"/>
      <c r="H440" s="1348"/>
      <c r="I440" s="1348"/>
      <c r="J440" s="1348"/>
      <c r="K440" s="1348"/>
    </row>
    <row r="441" spans="2:11" hidden="1">
      <c r="B441" s="1348"/>
      <c r="C441" s="1348"/>
      <c r="D441" s="1348"/>
      <c r="E441" s="1348"/>
      <c r="F441" s="1348"/>
      <c r="G441" s="1348"/>
      <c r="H441" s="1348"/>
      <c r="I441" s="1348"/>
      <c r="J441" s="1348"/>
      <c r="K441" s="1348"/>
    </row>
    <row r="442" spans="2:11" hidden="1">
      <c r="B442" s="1348"/>
      <c r="C442" s="1348"/>
      <c r="D442" s="1348"/>
      <c r="E442" s="1348"/>
      <c r="F442" s="1348"/>
      <c r="G442" s="1348"/>
      <c r="H442" s="1348"/>
      <c r="I442" s="1348"/>
      <c r="J442" s="1348"/>
      <c r="K442" s="1348"/>
    </row>
    <row r="443" spans="2:11" hidden="1">
      <c r="B443" s="1348"/>
      <c r="C443" s="1348"/>
      <c r="D443" s="1348"/>
      <c r="E443" s="1348"/>
      <c r="F443" s="1348"/>
      <c r="G443" s="1348"/>
      <c r="H443" s="1348"/>
      <c r="I443" s="1348"/>
      <c r="J443" s="1348"/>
      <c r="K443" s="1348"/>
    </row>
    <row r="444" spans="2:11" hidden="1">
      <c r="B444" s="1348"/>
      <c r="C444" s="1348"/>
      <c r="D444" s="1348"/>
      <c r="E444" s="1348"/>
      <c r="F444" s="1348"/>
      <c r="G444" s="1348"/>
      <c r="H444" s="1348"/>
      <c r="I444" s="1348"/>
      <c r="J444" s="1348"/>
      <c r="K444" s="1348"/>
    </row>
    <row r="445" spans="2:11" hidden="1">
      <c r="B445" s="1348"/>
      <c r="C445" s="1348"/>
      <c r="D445" s="1348"/>
      <c r="E445" s="1348"/>
      <c r="F445" s="1348"/>
      <c r="G445" s="1348"/>
      <c r="H445" s="1348"/>
      <c r="I445" s="1348"/>
      <c r="J445" s="1348"/>
      <c r="K445" s="1348"/>
    </row>
    <row r="446" spans="2:11" hidden="1">
      <c r="B446" s="1348"/>
      <c r="C446" s="1348"/>
      <c r="D446" s="1348"/>
      <c r="E446" s="1348"/>
      <c r="F446" s="1348"/>
      <c r="G446" s="1348"/>
      <c r="H446" s="1348"/>
      <c r="I446" s="1348"/>
      <c r="J446" s="1348"/>
      <c r="K446" s="1348"/>
    </row>
    <row r="447" spans="2:11" hidden="1">
      <c r="B447" s="1348"/>
      <c r="C447" s="1348"/>
      <c r="D447" s="1348"/>
      <c r="E447" s="1348"/>
      <c r="F447" s="1348"/>
      <c r="G447" s="1348"/>
      <c r="H447" s="1348"/>
      <c r="I447" s="1348"/>
      <c r="J447" s="1348"/>
      <c r="K447" s="1348"/>
    </row>
    <row r="448" spans="2:11" hidden="1">
      <c r="B448" s="1348"/>
      <c r="C448" s="1348"/>
      <c r="D448" s="1348"/>
      <c r="E448" s="1348"/>
      <c r="F448" s="1348"/>
      <c r="G448" s="1348"/>
      <c r="H448" s="1348"/>
      <c r="I448" s="1348"/>
      <c r="J448" s="1348"/>
      <c r="K448" s="1348"/>
    </row>
    <row r="449" spans="2:11" hidden="1">
      <c r="B449" s="1348"/>
      <c r="C449" s="1348"/>
      <c r="D449" s="1348"/>
      <c r="E449" s="1348"/>
      <c r="F449" s="1348"/>
      <c r="G449" s="1348"/>
      <c r="H449" s="1348"/>
      <c r="I449" s="1348"/>
      <c r="J449" s="1348"/>
      <c r="K449" s="1348"/>
    </row>
    <row r="450" spans="2:11" hidden="1">
      <c r="B450" s="1348"/>
      <c r="C450" s="1348"/>
      <c r="D450" s="1348"/>
      <c r="E450" s="1348"/>
      <c r="F450" s="1348"/>
      <c r="G450" s="1348"/>
      <c r="H450" s="1348"/>
      <c r="I450" s="1348"/>
      <c r="J450" s="1348"/>
      <c r="K450" s="1348"/>
    </row>
    <row r="451" spans="2:11" hidden="1">
      <c r="B451" s="1348"/>
      <c r="C451" s="1348"/>
      <c r="D451" s="1348"/>
      <c r="E451" s="1348"/>
      <c r="F451" s="1348"/>
      <c r="G451" s="1348"/>
      <c r="H451" s="1348"/>
      <c r="I451" s="1348"/>
      <c r="J451" s="1348"/>
      <c r="K451" s="1348"/>
    </row>
    <row r="452" spans="2:11" hidden="1">
      <c r="B452" s="1348"/>
      <c r="C452" s="1348"/>
      <c r="D452" s="1348"/>
      <c r="E452" s="1348"/>
      <c r="F452" s="1348"/>
      <c r="G452" s="1348"/>
      <c r="H452" s="1348"/>
      <c r="I452" s="1348"/>
      <c r="J452" s="1348"/>
      <c r="K452" s="1348"/>
    </row>
    <row r="453" spans="2:11" hidden="1">
      <c r="B453" s="1348"/>
      <c r="C453" s="1348"/>
      <c r="D453" s="1348"/>
      <c r="E453" s="1348"/>
      <c r="F453" s="1348"/>
      <c r="G453" s="1348"/>
      <c r="H453" s="1348"/>
      <c r="I453" s="1348"/>
      <c r="J453" s="1348"/>
      <c r="K453" s="1348"/>
    </row>
    <row r="454" spans="2:11" hidden="1">
      <c r="B454" s="1348"/>
      <c r="C454" s="1348"/>
      <c r="D454" s="1348"/>
      <c r="E454" s="1348"/>
      <c r="F454" s="1348"/>
      <c r="G454" s="1348"/>
      <c r="H454" s="1348"/>
      <c r="I454" s="1348"/>
      <c r="J454" s="1348"/>
      <c r="K454" s="1348"/>
    </row>
    <row r="455" spans="2:11" hidden="1">
      <c r="B455" s="1348"/>
      <c r="C455" s="1348"/>
      <c r="D455" s="1348"/>
      <c r="E455" s="1348"/>
      <c r="F455" s="1348"/>
      <c r="G455" s="1348"/>
      <c r="H455" s="1348"/>
      <c r="I455" s="1348"/>
      <c r="J455" s="1348"/>
      <c r="K455" s="1348"/>
    </row>
    <row r="456" spans="2:11" hidden="1">
      <c r="B456" s="1348"/>
      <c r="C456" s="1348"/>
      <c r="D456" s="1348"/>
      <c r="E456" s="1348"/>
      <c r="F456" s="1348"/>
      <c r="G456" s="1348"/>
      <c r="H456" s="1348"/>
      <c r="I456" s="1348"/>
      <c r="J456" s="1348"/>
      <c r="K456" s="1348"/>
    </row>
    <row r="457" spans="2:11" hidden="1">
      <c r="B457" s="1348"/>
      <c r="C457" s="1348"/>
      <c r="D457" s="1348"/>
      <c r="E457" s="1348"/>
      <c r="F457" s="1348"/>
      <c r="G457" s="1348"/>
      <c r="H457" s="1348"/>
      <c r="I457" s="1348"/>
      <c r="J457" s="1348"/>
      <c r="K457" s="1348"/>
    </row>
    <row r="458" spans="2:11" hidden="1">
      <c r="B458" s="1348"/>
      <c r="C458" s="1348"/>
      <c r="D458" s="1348"/>
      <c r="E458" s="1348"/>
      <c r="F458" s="1348"/>
      <c r="G458" s="1348"/>
      <c r="H458" s="1348"/>
      <c r="I458" s="1348"/>
      <c r="J458" s="1348"/>
      <c r="K458" s="1348"/>
    </row>
    <row r="459" spans="2:11" hidden="1">
      <c r="B459" s="1348"/>
      <c r="C459" s="1348"/>
      <c r="D459" s="1348"/>
      <c r="E459" s="1348"/>
      <c r="F459" s="1348"/>
      <c r="G459" s="1348"/>
      <c r="H459" s="1348"/>
      <c r="I459" s="1348"/>
      <c r="J459" s="1348"/>
      <c r="K459" s="1348"/>
    </row>
    <row r="460" spans="2:11" hidden="1">
      <c r="B460" s="1348"/>
      <c r="C460" s="1348"/>
      <c r="D460" s="1348"/>
      <c r="E460" s="1348"/>
      <c r="F460" s="1348"/>
      <c r="G460" s="1348"/>
      <c r="H460" s="1348"/>
      <c r="I460" s="1348"/>
      <c r="J460" s="1348"/>
      <c r="K460" s="1348"/>
    </row>
    <row r="461" spans="2:11" hidden="1">
      <c r="B461" s="1348"/>
      <c r="C461" s="1348"/>
      <c r="D461" s="1348"/>
      <c r="E461" s="1348"/>
      <c r="F461" s="1348"/>
      <c r="G461" s="1348"/>
      <c r="H461" s="1348"/>
      <c r="I461" s="1348"/>
      <c r="J461" s="1348"/>
      <c r="K461" s="1348"/>
    </row>
    <row r="462" spans="2:11" hidden="1">
      <c r="B462" s="1348"/>
      <c r="C462" s="1348"/>
      <c r="D462" s="1348"/>
      <c r="E462" s="1348"/>
      <c r="F462" s="1348"/>
      <c r="G462" s="1348"/>
      <c r="H462" s="1348"/>
      <c r="I462" s="1348"/>
      <c r="J462" s="1348"/>
      <c r="K462" s="1348"/>
    </row>
    <row r="463" spans="2:11" hidden="1">
      <c r="B463" s="1348"/>
      <c r="C463" s="1348"/>
      <c r="D463" s="1348"/>
      <c r="E463" s="1348"/>
      <c r="F463" s="1348"/>
      <c r="G463" s="1348"/>
      <c r="H463" s="1348"/>
      <c r="I463" s="1348"/>
      <c r="J463" s="1348"/>
      <c r="K463" s="1348"/>
    </row>
    <row r="464" spans="2:11" hidden="1">
      <c r="B464" s="1348"/>
      <c r="C464" s="1348"/>
      <c r="D464" s="1348"/>
      <c r="E464" s="1348"/>
      <c r="F464" s="1348"/>
      <c r="G464" s="1348"/>
      <c r="H464" s="1348"/>
      <c r="I464" s="1348"/>
      <c r="J464" s="1348"/>
      <c r="K464" s="1348"/>
    </row>
    <row r="465" spans="2:11" hidden="1">
      <c r="B465" s="1348"/>
      <c r="C465" s="1348"/>
      <c r="D465" s="1348"/>
      <c r="E465" s="1348"/>
      <c r="F465" s="1348"/>
      <c r="G465" s="1348"/>
      <c r="H465" s="1348"/>
      <c r="I465" s="1348"/>
      <c r="J465" s="1348"/>
      <c r="K465" s="1348"/>
    </row>
    <row r="466" spans="2:11" hidden="1">
      <c r="B466" s="1348"/>
      <c r="C466" s="1348"/>
      <c r="D466" s="1348"/>
      <c r="E466" s="1348"/>
      <c r="F466" s="1348"/>
      <c r="G466" s="1348"/>
      <c r="H466" s="1348"/>
      <c r="I466" s="1348"/>
      <c r="J466" s="1348"/>
      <c r="K466" s="1348"/>
    </row>
    <row r="467" spans="2:11" hidden="1">
      <c r="B467" s="1348"/>
      <c r="C467" s="1348"/>
      <c r="D467" s="1348"/>
      <c r="E467" s="1348"/>
      <c r="F467" s="1348"/>
      <c r="G467" s="1348"/>
      <c r="H467" s="1348"/>
      <c r="I467" s="1348"/>
      <c r="J467" s="1348"/>
      <c r="K467" s="1348"/>
    </row>
    <row r="468" spans="2:11" hidden="1">
      <c r="B468" s="1348"/>
      <c r="C468" s="1348"/>
      <c r="D468" s="1348"/>
      <c r="E468" s="1348"/>
      <c r="F468" s="1348"/>
      <c r="G468" s="1348"/>
      <c r="H468" s="1348"/>
      <c r="I468" s="1348"/>
      <c r="J468" s="1348"/>
      <c r="K468" s="1348"/>
    </row>
    <row r="469" spans="2:11" hidden="1">
      <c r="B469" s="1348"/>
      <c r="C469" s="1348"/>
      <c r="D469" s="1348"/>
      <c r="E469" s="1348"/>
      <c r="F469" s="1348"/>
      <c r="G469" s="1348"/>
      <c r="H469" s="1348"/>
      <c r="I469" s="1348"/>
      <c r="J469" s="1348"/>
      <c r="K469" s="1348"/>
    </row>
    <row r="470" spans="2:11" hidden="1">
      <c r="B470" s="1348"/>
      <c r="C470" s="1348"/>
      <c r="D470" s="1348"/>
      <c r="E470" s="1348"/>
      <c r="F470" s="1348"/>
      <c r="G470" s="1348"/>
      <c r="H470" s="1348"/>
      <c r="I470" s="1348"/>
      <c r="J470" s="1348"/>
      <c r="K470" s="1348"/>
    </row>
    <row r="471" spans="2:11" hidden="1">
      <c r="B471" s="1348"/>
      <c r="C471" s="1348"/>
      <c r="D471" s="1348"/>
      <c r="E471" s="1348"/>
      <c r="F471" s="1348"/>
      <c r="G471" s="1348"/>
      <c r="H471" s="1348"/>
      <c r="I471" s="1348"/>
      <c r="J471" s="1348"/>
      <c r="K471" s="1348"/>
    </row>
    <row r="472" spans="2:11" hidden="1">
      <c r="B472" s="1348"/>
      <c r="C472" s="1348"/>
      <c r="D472" s="1348"/>
      <c r="E472" s="1348"/>
      <c r="F472" s="1348"/>
      <c r="G472" s="1348"/>
      <c r="H472" s="1348"/>
      <c r="I472" s="1348"/>
      <c r="J472" s="1348"/>
      <c r="K472" s="1348"/>
    </row>
    <row r="473" spans="2:11" hidden="1">
      <c r="B473" s="1348"/>
      <c r="C473" s="1348"/>
      <c r="D473" s="1348"/>
      <c r="E473" s="1348"/>
      <c r="F473" s="1348"/>
      <c r="G473" s="1348"/>
      <c r="H473" s="1348"/>
      <c r="I473" s="1348"/>
      <c r="J473" s="1348"/>
      <c r="K473" s="1348"/>
    </row>
    <row r="474" spans="2:11" hidden="1">
      <c r="B474" s="1348"/>
      <c r="C474" s="1348"/>
      <c r="D474" s="1348"/>
      <c r="E474" s="1348"/>
      <c r="F474" s="1348"/>
      <c r="G474" s="1348"/>
      <c r="H474" s="1348"/>
      <c r="I474" s="1348"/>
      <c r="J474" s="1348"/>
      <c r="K474" s="1348"/>
    </row>
    <row r="475" spans="2:11" hidden="1">
      <c r="B475" s="1348"/>
      <c r="C475" s="1348"/>
      <c r="D475" s="1348"/>
      <c r="E475" s="1348"/>
      <c r="F475" s="1348"/>
      <c r="G475" s="1348"/>
      <c r="H475" s="1348"/>
      <c r="I475" s="1348"/>
      <c r="J475" s="1348"/>
      <c r="K475" s="1348"/>
    </row>
    <row r="476" spans="2:11" hidden="1">
      <c r="B476" s="1348"/>
      <c r="C476" s="1348"/>
      <c r="D476" s="1348"/>
      <c r="E476" s="1348"/>
      <c r="F476" s="1348"/>
      <c r="G476" s="1348"/>
      <c r="H476" s="1348"/>
      <c r="I476" s="1348"/>
      <c r="J476" s="1348"/>
      <c r="K476" s="1348"/>
    </row>
    <row r="477" spans="2:11" hidden="1">
      <c r="B477" s="1348"/>
      <c r="C477" s="1348"/>
      <c r="D477" s="1348"/>
      <c r="E477" s="1348"/>
      <c r="F477" s="1348"/>
      <c r="G477" s="1348"/>
      <c r="H477" s="1348"/>
      <c r="I477" s="1348"/>
      <c r="J477" s="1348"/>
      <c r="K477" s="1348"/>
    </row>
    <row r="478" spans="2:11" hidden="1">
      <c r="B478" s="1348"/>
      <c r="C478" s="1348"/>
      <c r="D478" s="1348"/>
      <c r="E478" s="1348"/>
      <c r="F478" s="1348"/>
      <c r="G478" s="1348"/>
      <c r="H478" s="1348"/>
      <c r="I478" s="1348"/>
      <c r="J478" s="1348"/>
      <c r="K478" s="1348"/>
    </row>
    <row r="479" spans="2:11" hidden="1">
      <c r="B479" s="1348"/>
      <c r="C479" s="1348"/>
      <c r="D479" s="1348"/>
      <c r="E479" s="1348"/>
      <c r="F479" s="1348"/>
      <c r="G479" s="1348"/>
      <c r="H479" s="1348"/>
      <c r="I479" s="1348"/>
      <c r="J479" s="1348"/>
      <c r="K479" s="1348"/>
    </row>
    <row r="480" spans="2:11" hidden="1">
      <c r="B480" s="1348"/>
      <c r="C480" s="1348"/>
      <c r="D480" s="1348"/>
      <c r="E480" s="1348"/>
      <c r="F480" s="1348"/>
      <c r="G480" s="1348"/>
      <c r="H480" s="1348"/>
      <c r="I480" s="1348"/>
      <c r="J480" s="1348"/>
      <c r="K480" s="1348"/>
    </row>
    <row r="481" spans="2:11" hidden="1">
      <c r="B481" s="1348"/>
      <c r="C481" s="1348"/>
      <c r="D481" s="1348"/>
      <c r="E481" s="1348"/>
      <c r="F481" s="1348"/>
      <c r="G481" s="1348"/>
      <c r="H481" s="1348"/>
      <c r="I481" s="1348"/>
      <c r="J481" s="1348"/>
      <c r="K481" s="1348"/>
    </row>
    <row r="482" spans="2:11" hidden="1">
      <c r="B482" s="1348"/>
      <c r="C482" s="1348"/>
      <c r="D482" s="1348"/>
      <c r="E482" s="1348"/>
      <c r="F482" s="1348"/>
      <c r="G482" s="1348"/>
      <c r="H482" s="1348"/>
      <c r="I482" s="1348"/>
      <c r="J482" s="1348"/>
      <c r="K482" s="1348"/>
    </row>
    <row r="483" spans="2:11" hidden="1">
      <c r="B483" s="1348"/>
      <c r="C483" s="1348"/>
      <c r="D483" s="1348"/>
      <c r="E483" s="1348"/>
      <c r="F483" s="1348"/>
      <c r="G483" s="1348"/>
      <c r="H483" s="1348"/>
      <c r="I483" s="1348"/>
      <c r="J483" s="1348"/>
      <c r="K483" s="1348"/>
    </row>
    <row r="484" spans="2:11" hidden="1">
      <c r="B484" s="1348"/>
      <c r="C484" s="1348"/>
      <c r="D484" s="1348"/>
      <c r="E484" s="1348"/>
      <c r="F484" s="1348"/>
      <c r="G484" s="1348"/>
      <c r="H484" s="1348"/>
      <c r="I484" s="1348"/>
      <c r="J484" s="1348"/>
      <c r="K484" s="1348"/>
    </row>
    <row r="485" spans="2:11" hidden="1">
      <c r="B485" s="1348"/>
      <c r="C485" s="1348"/>
      <c r="D485" s="1348"/>
      <c r="E485" s="1348"/>
      <c r="F485" s="1348"/>
      <c r="G485" s="1348"/>
      <c r="H485" s="1348"/>
      <c r="I485" s="1348"/>
      <c r="J485" s="1348"/>
      <c r="K485" s="1348"/>
    </row>
    <row r="486" spans="2:11" hidden="1">
      <c r="B486" s="1348"/>
      <c r="C486" s="1348"/>
      <c r="D486" s="1348"/>
      <c r="E486" s="1348"/>
      <c r="F486" s="1348"/>
      <c r="G486" s="1348"/>
      <c r="H486" s="1348"/>
      <c r="I486" s="1348"/>
      <c r="J486" s="1348"/>
      <c r="K486" s="1348"/>
    </row>
    <row r="487" spans="2:11" hidden="1">
      <c r="B487" s="1348"/>
      <c r="C487" s="1348"/>
      <c r="D487" s="1348"/>
      <c r="E487" s="1348"/>
      <c r="F487" s="1348"/>
      <c r="G487" s="1348"/>
      <c r="H487" s="1348"/>
      <c r="I487" s="1348"/>
      <c r="J487" s="1348"/>
      <c r="K487" s="1348"/>
    </row>
    <row r="488" spans="2:11" hidden="1">
      <c r="B488" s="1348"/>
      <c r="C488" s="1348"/>
      <c r="D488" s="1348"/>
      <c r="E488" s="1348"/>
      <c r="F488" s="1348"/>
      <c r="G488" s="1348"/>
      <c r="H488" s="1348"/>
      <c r="I488" s="1348"/>
      <c r="J488" s="1348"/>
      <c r="K488" s="1348"/>
    </row>
    <row r="489" spans="2:11" hidden="1">
      <c r="B489" s="1348"/>
      <c r="C489" s="1348"/>
      <c r="D489" s="1348"/>
      <c r="E489" s="1348"/>
      <c r="F489" s="1348"/>
      <c r="G489" s="1348"/>
      <c r="H489" s="1348"/>
      <c r="I489" s="1348"/>
      <c r="J489" s="1348"/>
      <c r="K489" s="1348"/>
    </row>
    <row r="490" spans="2:11" hidden="1">
      <c r="B490" s="1348"/>
      <c r="C490" s="1348"/>
      <c r="D490" s="1348"/>
      <c r="E490" s="1348"/>
      <c r="F490" s="1348"/>
      <c r="G490" s="1348"/>
      <c r="H490" s="1348"/>
      <c r="I490" s="1348"/>
      <c r="J490" s="1348"/>
      <c r="K490" s="1348"/>
    </row>
    <row r="491" spans="2:11" hidden="1">
      <c r="B491" s="1348"/>
      <c r="C491" s="1348"/>
      <c r="D491" s="1348"/>
      <c r="E491" s="1348"/>
      <c r="F491" s="1348"/>
      <c r="G491" s="1348"/>
      <c r="H491" s="1348"/>
      <c r="I491" s="1348"/>
      <c r="J491" s="1348"/>
      <c r="K491" s="1348"/>
    </row>
    <row r="492" spans="2:11" hidden="1">
      <c r="B492" s="1348"/>
      <c r="C492" s="1348"/>
      <c r="D492" s="1348"/>
      <c r="E492" s="1348"/>
      <c r="F492" s="1348"/>
      <c r="G492" s="1348"/>
      <c r="H492" s="1348"/>
      <c r="I492" s="1348"/>
      <c r="J492" s="1348"/>
      <c r="K492" s="1348"/>
    </row>
    <row r="493" spans="2:11" hidden="1">
      <c r="B493" s="1348"/>
      <c r="C493" s="1348"/>
      <c r="D493" s="1348"/>
      <c r="E493" s="1348"/>
      <c r="F493" s="1348"/>
      <c r="G493" s="1348"/>
      <c r="H493" s="1348"/>
      <c r="I493" s="1348"/>
      <c r="J493" s="1348"/>
      <c r="K493" s="1348"/>
    </row>
    <row r="494" spans="2:11" hidden="1">
      <c r="B494" s="1348"/>
      <c r="C494" s="1348"/>
      <c r="D494" s="1348"/>
      <c r="E494" s="1348"/>
      <c r="F494" s="1348"/>
      <c r="G494" s="1348"/>
      <c r="H494" s="1348"/>
      <c r="I494" s="1348"/>
      <c r="J494" s="1348"/>
      <c r="K494" s="1348"/>
    </row>
    <row r="495" spans="2:11" hidden="1">
      <c r="B495" s="1348"/>
      <c r="C495" s="1348"/>
      <c r="D495" s="1348"/>
      <c r="E495" s="1348"/>
      <c r="F495" s="1348"/>
      <c r="G495" s="1348"/>
      <c r="H495" s="1348"/>
      <c r="I495" s="1348"/>
      <c r="J495" s="1348"/>
      <c r="K495" s="1348"/>
    </row>
    <row r="496" spans="2:11" hidden="1">
      <c r="B496" s="1348"/>
      <c r="C496" s="1348"/>
      <c r="D496" s="1348"/>
      <c r="E496" s="1348"/>
      <c r="F496" s="1348"/>
      <c r="G496" s="1348"/>
      <c r="H496" s="1348"/>
      <c r="I496" s="1348"/>
      <c r="J496" s="1348"/>
      <c r="K496" s="1348"/>
    </row>
    <row r="497" spans="2:11" hidden="1">
      <c r="B497" s="1348"/>
      <c r="C497" s="1348"/>
      <c r="D497" s="1348"/>
      <c r="E497" s="1348"/>
      <c r="F497" s="1348"/>
      <c r="G497" s="1348"/>
      <c r="H497" s="1348"/>
      <c r="I497" s="1348"/>
      <c r="J497" s="1348"/>
      <c r="K497" s="1348"/>
    </row>
    <row r="498" spans="2:11" hidden="1">
      <c r="B498" s="1348"/>
      <c r="C498" s="1348"/>
      <c r="D498" s="1348"/>
      <c r="E498" s="1348"/>
      <c r="F498" s="1348"/>
      <c r="G498" s="1348"/>
      <c r="H498" s="1348"/>
      <c r="I498" s="1348"/>
      <c r="J498" s="1348"/>
      <c r="K498" s="1348"/>
    </row>
    <row r="499" spans="2:11" hidden="1">
      <c r="B499" s="1348"/>
      <c r="C499" s="1348"/>
      <c r="D499" s="1348"/>
      <c r="E499" s="1348"/>
      <c r="F499" s="1348"/>
      <c r="G499" s="1348"/>
      <c r="H499" s="1348"/>
      <c r="I499" s="1348"/>
      <c r="J499" s="1348"/>
      <c r="K499" s="1348"/>
    </row>
    <row r="500" spans="2:11" hidden="1">
      <c r="B500" s="1348"/>
      <c r="C500" s="1348"/>
      <c r="D500" s="1348"/>
      <c r="E500" s="1348"/>
      <c r="F500" s="1348"/>
      <c r="G500" s="1348"/>
      <c r="H500" s="1348"/>
      <c r="I500" s="1348"/>
      <c r="J500" s="1348"/>
      <c r="K500" s="1348"/>
    </row>
    <row r="501" spans="2:11" hidden="1">
      <c r="B501" s="1348"/>
      <c r="C501" s="1348"/>
      <c r="D501" s="1348"/>
      <c r="E501" s="1348"/>
      <c r="F501" s="1348"/>
      <c r="G501" s="1348"/>
      <c r="H501" s="1348"/>
      <c r="I501" s="1348"/>
      <c r="J501" s="1348"/>
      <c r="K501" s="1348"/>
    </row>
    <row r="502" spans="2:11" hidden="1">
      <c r="B502" s="1348"/>
      <c r="C502" s="1348"/>
      <c r="D502" s="1348"/>
      <c r="E502" s="1348"/>
      <c r="F502" s="1348"/>
      <c r="G502" s="1348"/>
      <c r="H502" s="1348"/>
      <c r="I502" s="1348"/>
      <c r="J502" s="1348"/>
      <c r="K502" s="1348"/>
    </row>
    <row r="503" spans="2:11" hidden="1">
      <c r="B503" s="1348"/>
      <c r="C503" s="1348"/>
      <c r="D503" s="1348"/>
      <c r="E503" s="1348"/>
      <c r="F503" s="1348"/>
      <c r="G503" s="1348"/>
      <c r="H503" s="1348"/>
      <c r="I503" s="1348"/>
      <c r="J503" s="1348"/>
      <c r="K503" s="1348"/>
    </row>
    <row r="504" spans="2:11" hidden="1">
      <c r="B504" s="1348"/>
      <c r="C504" s="1348"/>
      <c r="D504" s="1348"/>
      <c r="E504" s="1348"/>
      <c r="F504" s="1348"/>
      <c r="G504" s="1348"/>
      <c r="H504" s="1348"/>
      <c r="I504" s="1348"/>
      <c r="J504" s="1348"/>
      <c r="K504" s="1348"/>
    </row>
    <row r="505" spans="2:11" hidden="1">
      <c r="B505" s="1348"/>
      <c r="C505" s="1348"/>
      <c r="D505" s="1348"/>
      <c r="E505" s="1348"/>
      <c r="F505" s="1348"/>
      <c r="G505" s="1348"/>
      <c r="H505" s="1348"/>
      <c r="I505" s="1348"/>
      <c r="J505" s="1348"/>
      <c r="K505" s="1348"/>
    </row>
    <row r="506" spans="2:11" hidden="1">
      <c r="B506" s="1348"/>
      <c r="C506" s="1348"/>
      <c r="D506" s="1348"/>
      <c r="E506" s="1348"/>
      <c r="F506" s="1348"/>
      <c r="G506" s="1348"/>
      <c r="H506" s="1348"/>
      <c r="I506" s="1348"/>
      <c r="J506" s="1348"/>
      <c r="K506" s="1348"/>
    </row>
    <row r="507" spans="2:11" hidden="1">
      <c r="B507" s="1348"/>
      <c r="C507" s="1348"/>
      <c r="D507" s="1348"/>
      <c r="E507" s="1348"/>
      <c r="F507" s="1348"/>
      <c r="G507" s="1348"/>
      <c r="H507" s="1348"/>
      <c r="I507" s="1348"/>
      <c r="J507" s="1348"/>
      <c r="K507" s="1348"/>
    </row>
    <row r="508" spans="2:11" hidden="1">
      <c r="B508" s="1348"/>
      <c r="C508" s="1348"/>
      <c r="D508" s="1348"/>
      <c r="E508" s="1348"/>
      <c r="F508" s="1348"/>
      <c r="G508" s="1348"/>
      <c r="H508" s="1348"/>
      <c r="I508" s="1348"/>
      <c r="J508" s="1348"/>
      <c r="K508" s="1348"/>
    </row>
    <row r="509" spans="2:11" hidden="1">
      <c r="B509" s="1348"/>
      <c r="C509" s="1348"/>
      <c r="D509" s="1348"/>
      <c r="E509" s="1348"/>
      <c r="F509" s="1348"/>
      <c r="G509" s="1348"/>
      <c r="H509" s="1348"/>
      <c r="I509" s="1348"/>
      <c r="J509" s="1348"/>
      <c r="K509" s="1348"/>
    </row>
    <row r="510" spans="2:11" hidden="1">
      <c r="B510" s="1348"/>
      <c r="C510" s="1348"/>
      <c r="D510" s="1348"/>
      <c r="E510" s="1348"/>
      <c r="F510" s="1348"/>
      <c r="G510" s="1348"/>
      <c r="H510" s="1348"/>
      <c r="I510" s="1348"/>
      <c r="J510" s="1348"/>
      <c r="K510" s="1348"/>
    </row>
    <row r="511" spans="2:11" hidden="1">
      <c r="B511" s="1348"/>
      <c r="C511" s="1348"/>
      <c r="D511" s="1348"/>
      <c r="E511" s="1348"/>
      <c r="F511" s="1348"/>
      <c r="G511" s="1348"/>
      <c r="H511" s="1348"/>
      <c r="I511" s="1348"/>
      <c r="J511" s="1348"/>
      <c r="K511" s="1348"/>
    </row>
    <row r="512" spans="2:11" hidden="1">
      <c r="B512" s="1348"/>
      <c r="C512" s="1348"/>
      <c r="D512" s="1348"/>
      <c r="E512" s="1348"/>
      <c r="F512" s="1348"/>
      <c r="G512" s="1348"/>
      <c r="H512" s="1348"/>
      <c r="I512" s="1348"/>
      <c r="J512" s="1348"/>
      <c r="K512" s="1348"/>
    </row>
    <row r="513" spans="2:11" hidden="1">
      <c r="B513" s="1348"/>
      <c r="C513" s="1348"/>
      <c r="D513" s="1348"/>
      <c r="E513" s="1348"/>
      <c r="F513" s="1348"/>
      <c r="G513" s="1348"/>
      <c r="H513" s="1348"/>
      <c r="I513" s="1348"/>
      <c r="J513" s="1348"/>
      <c r="K513" s="1348"/>
    </row>
    <row r="514" spans="2:11" hidden="1">
      <c r="B514" s="1348"/>
      <c r="C514" s="1348"/>
      <c r="D514" s="1348"/>
      <c r="E514" s="1348"/>
      <c r="F514" s="1348"/>
      <c r="G514" s="1348"/>
      <c r="H514" s="1348"/>
      <c r="I514" s="1348"/>
      <c r="J514" s="1348"/>
      <c r="K514" s="1348"/>
    </row>
    <row r="515" spans="2:11" hidden="1">
      <c r="B515" s="1348"/>
      <c r="C515" s="1348"/>
      <c r="D515" s="1348"/>
      <c r="E515" s="1348"/>
      <c r="F515" s="1348"/>
      <c r="G515" s="1348"/>
      <c r="H515" s="1348"/>
      <c r="I515" s="1348"/>
      <c r="J515" s="1348"/>
      <c r="K515" s="1348"/>
    </row>
    <row r="516" spans="2:11" hidden="1">
      <c r="B516" s="1348"/>
      <c r="C516" s="1348"/>
      <c r="D516" s="1348"/>
      <c r="E516" s="1348"/>
      <c r="F516" s="1348"/>
      <c r="G516" s="1348"/>
      <c r="H516" s="1348"/>
      <c r="I516" s="1348"/>
      <c r="J516" s="1348"/>
      <c r="K516" s="1348"/>
    </row>
    <row r="517" spans="2:11" hidden="1">
      <c r="B517" s="1348"/>
      <c r="C517" s="1348"/>
      <c r="D517" s="1348"/>
      <c r="E517" s="1348"/>
      <c r="F517" s="1348"/>
      <c r="G517" s="1348"/>
      <c r="H517" s="1348"/>
      <c r="I517" s="1348"/>
      <c r="J517" s="1348"/>
      <c r="K517" s="1348"/>
    </row>
    <row r="518" spans="2:11" hidden="1">
      <c r="B518" s="1348"/>
      <c r="C518" s="1348"/>
      <c r="D518" s="1348"/>
      <c r="E518" s="1348"/>
      <c r="F518" s="1348"/>
      <c r="G518" s="1348"/>
      <c r="H518" s="1348"/>
      <c r="I518" s="1348"/>
      <c r="J518" s="1348"/>
      <c r="K518" s="1348"/>
    </row>
    <row r="519" spans="2:11" hidden="1">
      <c r="B519" s="1348"/>
      <c r="C519" s="1348"/>
      <c r="D519" s="1348"/>
      <c r="E519" s="1348"/>
      <c r="F519" s="1348"/>
      <c r="G519" s="1348"/>
      <c r="H519" s="1348"/>
      <c r="I519" s="1348"/>
      <c r="J519" s="1348"/>
      <c r="K519" s="1348"/>
    </row>
    <row r="520" spans="2:11" hidden="1">
      <c r="B520" s="1348"/>
      <c r="C520" s="1348"/>
      <c r="D520" s="1348"/>
      <c r="E520" s="1348"/>
      <c r="F520" s="1348"/>
      <c r="G520" s="1348"/>
      <c r="H520" s="1348"/>
      <c r="I520" s="1348"/>
      <c r="J520" s="1348"/>
      <c r="K520" s="1348"/>
    </row>
    <row r="521" spans="2:11" hidden="1">
      <c r="B521" s="1348"/>
      <c r="C521" s="1348"/>
      <c r="D521" s="1348"/>
      <c r="E521" s="1348"/>
      <c r="F521" s="1348"/>
      <c r="G521" s="1348"/>
      <c r="H521" s="1348"/>
      <c r="I521" s="1348"/>
      <c r="J521" s="1348"/>
      <c r="K521" s="1348"/>
    </row>
    <row r="522" spans="2:11" hidden="1">
      <c r="B522" s="1348"/>
      <c r="C522" s="1348"/>
      <c r="D522" s="1348"/>
      <c r="E522" s="1348"/>
      <c r="F522" s="1348"/>
      <c r="G522" s="1348"/>
      <c r="H522" s="1348"/>
      <c r="I522" s="1348"/>
      <c r="J522" s="1348"/>
      <c r="K522" s="1348"/>
    </row>
    <row r="523" spans="2:11" hidden="1">
      <c r="B523" s="1348"/>
      <c r="C523" s="1348"/>
      <c r="D523" s="1348"/>
      <c r="E523" s="1348"/>
      <c r="F523" s="1348"/>
      <c r="G523" s="1348"/>
      <c r="H523" s="1348"/>
      <c r="I523" s="1348"/>
      <c r="J523" s="1348"/>
      <c r="K523" s="1348"/>
    </row>
    <row r="524" spans="2:11" hidden="1">
      <c r="B524" s="1348"/>
      <c r="C524" s="1348"/>
      <c r="D524" s="1348"/>
      <c r="E524" s="1348"/>
      <c r="F524" s="1348"/>
      <c r="G524" s="1348"/>
      <c r="H524" s="1348"/>
      <c r="I524" s="1348"/>
      <c r="J524" s="1348"/>
      <c r="K524" s="1348"/>
    </row>
    <row r="525" spans="2:11" hidden="1">
      <c r="B525" s="1348"/>
      <c r="C525" s="1348"/>
      <c r="D525" s="1348"/>
      <c r="E525" s="1348"/>
      <c r="F525" s="1348"/>
      <c r="G525" s="1348"/>
      <c r="H525" s="1348"/>
      <c r="I525" s="1348"/>
      <c r="J525" s="1348"/>
      <c r="K525" s="1348"/>
    </row>
    <row r="526" spans="2:11" hidden="1">
      <c r="B526" s="1348"/>
      <c r="C526" s="1348"/>
      <c r="D526" s="1348"/>
      <c r="E526" s="1348"/>
      <c r="F526" s="1348"/>
      <c r="G526" s="1348"/>
      <c r="H526" s="1348"/>
      <c r="I526" s="1348"/>
      <c r="J526" s="1348"/>
      <c r="K526" s="1348"/>
    </row>
    <row r="527" spans="2:11" hidden="1">
      <c r="B527" s="1348"/>
      <c r="C527" s="1348"/>
      <c r="D527" s="1348"/>
      <c r="E527" s="1348"/>
      <c r="F527" s="1348"/>
      <c r="G527" s="1348"/>
      <c r="H527" s="1348"/>
      <c r="I527" s="1348"/>
      <c r="J527" s="1348"/>
      <c r="K527" s="1348"/>
    </row>
    <row r="528" spans="2:11" hidden="1">
      <c r="B528" s="1348"/>
      <c r="C528" s="1348"/>
      <c r="D528" s="1348"/>
      <c r="E528" s="1348"/>
      <c r="F528" s="1348"/>
      <c r="G528" s="1348"/>
      <c r="H528" s="1348"/>
      <c r="I528" s="1348"/>
      <c r="J528" s="1348"/>
      <c r="K528" s="1348"/>
    </row>
    <row r="529" spans="2:11" hidden="1">
      <c r="B529" s="1348"/>
      <c r="C529" s="1348"/>
      <c r="D529" s="1348"/>
      <c r="E529" s="1348"/>
      <c r="F529" s="1348"/>
      <c r="G529" s="1348"/>
      <c r="H529" s="1348"/>
      <c r="I529" s="1348"/>
      <c r="J529" s="1348"/>
      <c r="K529" s="1348"/>
    </row>
    <row r="530" spans="2:11" hidden="1">
      <c r="B530" s="1348"/>
      <c r="C530" s="1348"/>
      <c r="D530" s="1348"/>
      <c r="E530" s="1348"/>
      <c r="F530" s="1348"/>
      <c r="G530" s="1348"/>
      <c r="H530" s="1348"/>
      <c r="I530" s="1348"/>
      <c r="J530" s="1348"/>
      <c r="K530" s="1348"/>
    </row>
    <row r="531" spans="2:11" hidden="1">
      <c r="B531" s="1348"/>
      <c r="C531" s="1348"/>
      <c r="D531" s="1348"/>
      <c r="E531" s="1348"/>
      <c r="F531" s="1348"/>
      <c r="G531" s="1348"/>
      <c r="H531" s="1348"/>
      <c r="I531" s="1348"/>
      <c r="J531" s="1348"/>
      <c r="K531" s="1348"/>
    </row>
    <row r="532" spans="2:11" hidden="1">
      <c r="B532" s="1348"/>
      <c r="C532" s="1348"/>
      <c r="D532" s="1348"/>
      <c r="E532" s="1348"/>
      <c r="F532" s="1348"/>
      <c r="G532" s="1348"/>
      <c r="H532" s="1348"/>
      <c r="I532" s="1348"/>
      <c r="J532" s="1348"/>
      <c r="K532" s="1348"/>
    </row>
    <row r="533" spans="2:11" hidden="1">
      <c r="B533" s="1348"/>
      <c r="C533" s="1348"/>
      <c r="D533" s="1348"/>
      <c r="E533" s="1348"/>
      <c r="F533" s="1348"/>
      <c r="G533" s="1348"/>
      <c r="H533" s="1348"/>
      <c r="I533" s="1348"/>
      <c r="J533" s="1348"/>
      <c r="K533" s="1348"/>
    </row>
    <row r="534" spans="2:11" hidden="1">
      <c r="B534" s="1348"/>
      <c r="C534" s="1348"/>
      <c r="D534" s="1348"/>
      <c r="E534" s="1348"/>
      <c r="F534" s="1348"/>
      <c r="G534" s="1348"/>
      <c r="H534" s="1348"/>
      <c r="I534" s="1348"/>
      <c r="J534" s="1348"/>
      <c r="K534" s="1348"/>
    </row>
    <row r="535" spans="2:11" hidden="1">
      <c r="B535" s="1348"/>
      <c r="C535" s="1348"/>
      <c r="D535" s="1348"/>
      <c r="E535" s="1348"/>
      <c r="F535" s="1348"/>
      <c r="G535" s="1348"/>
      <c r="H535" s="1348"/>
      <c r="I535" s="1348"/>
      <c r="J535" s="1348"/>
      <c r="K535" s="1348"/>
    </row>
    <row r="536" spans="2:11" hidden="1">
      <c r="B536" s="1348"/>
      <c r="C536" s="1348"/>
      <c r="D536" s="1348"/>
      <c r="E536" s="1348"/>
      <c r="F536" s="1348"/>
      <c r="G536" s="1348"/>
      <c r="H536" s="1348"/>
      <c r="I536" s="1348"/>
      <c r="J536" s="1348"/>
      <c r="K536" s="1348"/>
    </row>
    <row r="537" spans="2:11" hidden="1">
      <c r="B537" s="1348"/>
      <c r="C537" s="1348"/>
      <c r="D537" s="1348"/>
      <c r="E537" s="1348"/>
      <c r="F537" s="1348"/>
      <c r="G537" s="1348"/>
      <c r="H537" s="1348"/>
      <c r="I537" s="1348"/>
      <c r="J537" s="1348"/>
      <c r="K537" s="1348"/>
    </row>
    <row r="538" spans="2:11" hidden="1">
      <c r="B538" s="1348"/>
      <c r="C538" s="1348"/>
      <c r="D538" s="1348"/>
      <c r="E538" s="1348"/>
      <c r="F538" s="1348"/>
      <c r="G538" s="1348"/>
      <c r="H538" s="1348"/>
      <c r="I538" s="1348"/>
      <c r="J538" s="1348"/>
      <c r="K538" s="1348"/>
    </row>
    <row r="539" spans="2:11" hidden="1">
      <c r="B539" s="1348"/>
      <c r="C539" s="1348"/>
      <c r="D539" s="1348"/>
      <c r="E539" s="1348"/>
      <c r="F539" s="1348"/>
      <c r="G539" s="1348"/>
      <c r="H539" s="1348"/>
      <c r="I539" s="1348"/>
      <c r="J539" s="1348"/>
      <c r="K539" s="1348"/>
    </row>
    <row r="540" spans="2:11" hidden="1">
      <c r="B540" s="1348"/>
      <c r="C540" s="1348"/>
      <c r="D540" s="1348"/>
      <c r="E540" s="1348"/>
      <c r="F540" s="1348"/>
      <c r="G540" s="1348"/>
      <c r="H540" s="1348"/>
      <c r="I540" s="1348"/>
      <c r="J540" s="1348"/>
      <c r="K540" s="1348"/>
    </row>
    <row r="541" spans="2:11" hidden="1">
      <c r="B541" s="1348"/>
      <c r="C541" s="1348"/>
      <c r="D541" s="1348"/>
      <c r="E541" s="1348"/>
      <c r="F541" s="1348"/>
      <c r="G541" s="1348"/>
      <c r="H541" s="1348"/>
      <c r="I541" s="1348"/>
      <c r="J541" s="1348"/>
      <c r="K541" s="1348"/>
    </row>
    <row r="542" spans="2:11" hidden="1">
      <c r="B542" s="1348"/>
      <c r="C542" s="1348"/>
      <c r="D542" s="1348"/>
      <c r="E542" s="1348"/>
      <c r="F542" s="1348"/>
      <c r="G542" s="1348"/>
      <c r="H542" s="1348"/>
      <c r="I542" s="1348"/>
      <c r="J542" s="1348"/>
      <c r="K542" s="1348"/>
    </row>
    <row r="543" spans="2:11" hidden="1">
      <c r="B543" s="1348"/>
      <c r="C543" s="1348"/>
      <c r="D543" s="1348"/>
      <c r="E543" s="1348"/>
      <c r="F543" s="1348"/>
      <c r="G543" s="1348"/>
      <c r="H543" s="1348"/>
      <c r="I543" s="1348"/>
      <c r="J543" s="1348"/>
      <c r="K543" s="1348"/>
    </row>
    <row r="544" spans="2:11" hidden="1">
      <c r="B544" s="1348"/>
      <c r="C544" s="1348"/>
      <c r="D544" s="1348"/>
      <c r="E544" s="1348"/>
      <c r="F544" s="1348"/>
      <c r="G544" s="1348"/>
      <c r="H544" s="1348"/>
      <c r="I544" s="1348"/>
      <c r="J544" s="1348"/>
      <c r="K544" s="1348"/>
    </row>
    <row r="545" spans="2:11" hidden="1">
      <c r="B545" s="1348"/>
      <c r="C545" s="1348"/>
      <c r="D545" s="1348"/>
      <c r="E545" s="1348"/>
      <c r="F545" s="1348"/>
      <c r="G545" s="1348"/>
      <c r="H545" s="1348"/>
      <c r="I545" s="1348"/>
      <c r="J545" s="1348"/>
      <c r="K545" s="1348"/>
    </row>
    <row r="546" spans="2:11" hidden="1">
      <c r="B546" s="1348"/>
      <c r="C546" s="1348"/>
      <c r="D546" s="1348"/>
      <c r="E546" s="1348"/>
      <c r="F546" s="1348"/>
      <c r="G546" s="1348"/>
      <c r="H546" s="1348"/>
      <c r="I546" s="1348"/>
      <c r="J546" s="1348"/>
      <c r="K546" s="1348"/>
    </row>
    <row r="547" spans="2:11" hidden="1">
      <c r="B547" s="1348"/>
      <c r="C547" s="1348"/>
      <c r="D547" s="1348"/>
      <c r="E547" s="1348"/>
      <c r="F547" s="1348"/>
      <c r="G547" s="1348"/>
      <c r="H547" s="1348"/>
      <c r="I547" s="1348"/>
      <c r="J547" s="1348"/>
      <c r="K547" s="1348"/>
    </row>
    <row r="548" spans="2:11" hidden="1">
      <c r="B548" s="1348"/>
      <c r="C548" s="1348"/>
      <c r="D548" s="1348"/>
      <c r="E548" s="1348"/>
      <c r="F548" s="1348"/>
      <c r="G548" s="1348"/>
      <c r="H548" s="1348"/>
      <c r="I548" s="1348"/>
      <c r="J548" s="1348"/>
      <c r="K548" s="1348"/>
    </row>
    <row r="549" spans="2:11" hidden="1">
      <c r="B549" s="1348"/>
      <c r="C549" s="1348"/>
      <c r="D549" s="1348"/>
      <c r="E549" s="1348"/>
      <c r="F549" s="1348"/>
      <c r="G549" s="1348"/>
      <c r="H549" s="1348"/>
      <c r="I549" s="1348"/>
      <c r="J549" s="1348"/>
      <c r="K549" s="1348"/>
    </row>
    <row r="550" spans="2:11" hidden="1">
      <c r="B550" s="1348"/>
      <c r="C550" s="1348"/>
      <c r="D550" s="1348"/>
      <c r="E550" s="1348"/>
      <c r="F550" s="1348"/>
      <c r="G550" s="1348"/>
      <c r="H550" s="1348"/>
      <c r="I550" s="1348"/>
      <c r="J550" s="1348"/>
      <c r="K550" s="1348"/>
    </row>
    <row r="551" spans="2:11" hidden="1">
      <c r="B551" s="1348"/>
      <c r="C551" s="1348"/>
      <c r="D551" s="1348"/>
      <c r="E551" s="1348"/>
      <c r="F551" s="1348"/>
      <c r="G551" s="1348"/>
      <c r="H551" s="1348"/>
      <c r="I551" s="1348"/>
      <c r="J551" s="1348"/>
      <c r="K551" s="1348"/>
    </row>
    <row r="552" spans="2:11" hidden="1">
      <c r="B552" s="1348"/>
      <c r="C552" s="1348"/>
      <c r="D552" s="1348"/>
      <c r="E552" s="1348"/>
      <c r="F552" s="1348"/>
      <c r="G552" s="1348"/>
      <c r="H552" s="1348"/>
      <c r="I552" s="1348"/>
      <c r="J552" s="1348"/>
      <c r="K552" s="1348"/>
    </row>
    <row r="553" spans="2:11" hidden="1">
      <c r="B553" s="1348"/>
      <c r="C553" s="1348"/>
      <c r="D553" s="1348"/>
      <c r="E553" s="1348"/>
      <c r="F553" s="1348"/>
      <c r="G553" s="1348"/>
      <c r="H553" s="1348"/>
      <c r="I553" s="1348"/>
      <c r="J553" s="1348"/>
      <c r="K553" s="1348"/>
    </row>
    <row r="554" spans="2:11" hidden="1">
      <c r="B554" s="1348"/>
      <c r="C554" s="1348"/>
      <c r="D554" s="1348"/>
      <c r="E554" s="1348"/>
      <c r="F554" s="1348"/>
      <c r="G554" s="1348"/>
      <c r="H554" s="1348"/>
      <c r="I554" s="1348"/>
      <c r="J554" s="1348"/>
      <c r="K554" s="1348"/>
    </row>
    <row r="555" spans="2:11" hidden="1">
      <c r="B555" s="1348"/>
      <c r="C555" s="1348"/>
      <c r="D555" s="1348"/>
      <c r="E555" s="1348"/>
      <c r="F555" s="1348"/>
      <c r="G555" s="1348"/>
      <c r="H555" s="1348"/>
      <c r="I555" s="1348"/>
      <c r="J555" s="1348"/>
      <c r="K555" s="1348"/>
    </row>
    <row r="556" spans="2:11" hidden="1">
      <c r="B556" s="1348"/>
      <c r="C556" s="1348"/>
      <c r="D556" s="1348"/>
      <c r="E556" s="1348"/>
      <c r="F556" s="1348"/>
      <c r="G556" s="1348"/>
      <c r="H556" s="1348"/>
      <c r="I556" s="1348"/>
      <c r="J556" s="1348"/>
      <c r="K556" s="1348"/>
    </row>
    <row r="557" spans="2:11" hidden="1">
      <c r="B557" s="1348"/>
      <c r="C557" s="1348"/>
      <c r="D557" s="1348"/>
      <c r="E557" s="1348"/>
      <c r="F557" s="1348"/>
      <c r="G557" s="1348"/>
      <c r="H557" s="1348"/>
      <c r="I557" s="1348"/>
      <c r="J557" s="1348"/>
      <c r="K557" s="1348"/>
    </row>
    <row r="558" spans="2:11" hidden="1">
      <c r="B558" s="1348"/>
      <c r="C558" s="1348"/>
      <c r="D558" s="1348"/>
      <c r="E558" s="1348"/>
      <c r="F558" s="1348"/>
      <c r="G558" s="1348"/>
      <c r="H558" s="1348"/>
      <c r="I558" s="1348"/>
      <c r="J558" s="1348"/>
      <c r="K558" s="1348"/>
    </row>
    <row r="559" spans="2:11" hidden="1">
      <c r="B559" s="1348"/>
      <c r="C559" s="1348"/>
      <c r="D559" s="1348"/>
      <c r="E559" s="1348"/>
      <c r="F559" s="1348"/>
      <c r="G559" s="1348"/>
      <c r="H559" s="1348"/>
      <c r="I559" s="1348"/>
      <c r="J559" s="1348"/>
      <c r="K559" s="1348"/>
    </row>
    <row r="560" spans="2:11" hidden="1">
      <c r="B560" s="1348"/>
      <c r="C560" s="1348"/>
      <c r="D560" s="1348"/>
      <c r="E560" s="1348"/>
      <c r="F560" s="1348"/>
      <c r="G560" s="1348"/>
      <c r="H560" s="1348"/>
      <c r="I560" s="1348"/>
      <c r="J560" s="1348"/>
      <c r="K560" s="1348"/>
    </row>
    <row r="561" spans="2:11" hidden="1">
      <c r="B561" s="1348"/>
      <c r="C561" s="1348"/>
      <c r="D561" s="1348"/>
      <c r="E561" s="1348"/>
      <c r="F561" s="1348"/>
      <c r="G561" s="1348"/>
      <c r="H561" s="1348"/>
      <c r="I561" s="1348"/>
      <c r="J561" s="1348"/>
      <c r="K561" s="1348"/>
    </row>
    <row r="562" spans="2:11" hidden="1">
      <c r="B562" s="1348"/>
      <c r="C562" s="1348"/>
      <c r="D562" s="1348"/>
      <c r="E562" s="1348"/>
      <c r="F562" s="1348"/>
      <c r="G562" s="1348"/>
      <c r="H562" s="1348"/>
      <c r="I562" s="1348"/>
      <c r="J562" s="1348"/>
      <c r="K562" s="1348"/>
    </row>
    <row r="563" spans="2:11" hidden="1">
      <c r="B563" s="1348"/>
      <c r="C563" s="1348"/>
      <c r="D563" s="1348"/>
      <c r="E563" s="1348"/>
      <c r="F563" s="1348"/>
      <c r="G563" s="1348"/>
      <c r="H563" s="1348"/>
      <c r="I563" s="1348"/>
      <c r="J563" s="1348"/>
      <c r="K563" s="1348"/>
    </row>
    <row r="564" spans="2:11" hidden="1">
      <c r="B564" s="1348"/>
      <c r="C564" s="1348"/>
      <c r="D564" s="1348"/>
      <c r="E564" s="1348"/>
      <c r="F564" s="1348"/>
      <c r="G564" s="1348"/>
      <c r="H564" s="1348"/>
      <c r="I564" s="1348"/>
      <c r="J564" s="1348"/>
      <c r="K564" s="1348"/>
    </row>
    <row r="565" spans="2:11" hidden="1">
      <c r="B565" s="1348"/>
      <c r="C565" s="1348"/>
      <c r="D565" s="1348"/>
      <c r="E565" s="1348"/>
      <c r="F565" s="1348"/>
      <c r="G565" s="1348"/>
      <c r="H565" s="1348"/>
      <c r="I565" s="1348"/>
      <c r="J565" s="1348"/>
      <c r="K565" s="1348"/>
    </row>
    <row r="566" spans="2:11" hidden="1">
      <c r="B566" s="1348"/>
      <c r="C566" s="1348"/>
      <c r="D566" s="1348"/>
      <c r="E566" s="1348"/>
      <c r="F566" s="1348"/>
      <c r="G566" s="1348"/>
      <c r="H566" s="1348"/>
      <c r="I566" s="1348"/>
      <c r="J566" s="1348"/>
      <c r="K566" s="1348"/>
    </row>
    <row r="567" spans="2:11" hidden="1">
      <c r="B567" s="1348"/>
      <c r="C567" s="1348"/>
      <c r="D567" s="1348"/>
      <c r="E567" s="1348"/>
      <c r="F567" s="1348"/>
      <c r="G567" s="1348"/>
      <c r="H567" s="1348"/>
      <c r="I567" s="1348"/>
      <c r="J567" s="1348"/>
      <c r="K567" s="1348"/>
    </row>
    <row r="568" spans="2:11" hidden="1">
      <c r="B568" s="1348"/>
      <c r="C568" s="1348"/>
      <c r="D568" s="1348"/>
      <c r="E568" s="1348"/>
      <c r="F568" s="1348"/>
      <c r="G568" s="1348"/>
      <c r="H568" s="1348"/>
      <c r="I568" s="1348"/>
      <c r="J568" s="1348"/>
      <c r="K568" s="1348"/>
    </row>
    <row r="569" spans="2:11" hidden="1">
      <c r="B569" s="1348"/>
      <c r="C569" s="1348"/>
      <c r="D569" s="1348"/>
      <c r="E569" s="1348"/>
      <c r="F569" s="1348"/>
      <c r="G569" s="1348"/>
      <c r="H569" s="1348"/>
      <c r="I569" s="1348"/>
      <c r="J569" s="1348"/>
      <c r="K569" s="1348"/>
    </row>
    <row r="570" spans="2:11" hidden="1">
      <c r="B570" s="1348"/>
      <c r="C570" s="1348"/>
      <c r="D570" s="1348"/>
      <c r="E570" s="1348"/>
      <c r="F570" s="1348"/>
      <c r="G570" s="1348"/>
      <c r="H570" s="1348"/>
      <c r="I570" s="1348"/>
      <c r="J570" s="1348"/>
      <c r="K570" s="1348"/>
    </row>
    <row r="571" spans="2:11" hidden="1">
      <c r="B571" s="1348"/>
      <c r="C571" s="1348"/>
      <c r="D571" s="1348"/>
      <c r="E571" s="1348"/>
      <c r="F571" s="1348"/>
      <c r="G571" s="1348"/>
      <c r="H571" s="1348"/>
      <c r="I571" s="1348"/>
      <c r="J571" s="1348"/>
      <c r="K571" s="1348"/>
    </row>
    <row r="572" spans="2:11" hidden="1">
      <c r="B572" s="1348"/>
      <c r="C572" s="1348"/>
      <c r="D572" s="1348"/>
      <c r="E572" s="1348"/>
      <c r="F572" s="1348"/>
      <c r="G572" s="1348"/>
      <c r="H572" s="1348"/>
      <c r="I572" s="1348"/>
      <c r="J572" s="1348"/>
      <c r="K572" s="1348"/>
    </row>
    <row r="573" spans="2:11" hidden="1">
      <c r="B573" s="1348"/>
      <c r="C573" s="1348"/>
      <c r="D573" s="1348"/>
      <c r="E573" s="1348"/>
      <c r="F573" s="1348"/>
      <c r="G573" s="1348"/>
      <c r="H573" s="1348"/>
      <c r="I573" s="1348"/>
      <c r="J573" s="1348"/>
      <c r="K573" s="1348"/>
    </row>
    <row r="574" spans="2:11" hidden="1">
      <c r="B574" s="1348"/>
      <c r="C574" s="1348"/>
      <c r="D574" s="1348"/>
      <c r="E574" s="1348"/>
      <c r="F574" s="1348"/>
      <c r="G574" s="1348"/>
      <c r="H574" s="1348"/>
      <c r="I574" s="1348"/>
      <c r="J574" s="1348"/>
      <c r="K574" s="1348"/>
    </row>
    <row r="575" spans="2:11" hidden="1">
      <c r="B575" s="1348"/>
      <c r="C575" s="1348"/>
      <c r="D575" s="1348"/>
      <c r="E575" s="1348"/>
      <c r="F575" s="1348"/>
      <c r="G575" s="1348"/>
      <c r="H575" s="1348"/>
      <c r="I575" s="1348"/>
      <c r="J575" s="1348"/>
      <c r="K575" s="1348"/>
    </row>
    <row r="576" spans="2:11" hidden="1">
      <c r="B576" s="1348"/>
      <c r="C576" s="1348"/>
      <c r="D576" s="1348"/>
      <c r="E576" s="1348"/>
      <c r="F576" s="1348"/>
      <c r="G576" s="1348"/>
      <c r="H576" s="1348"/>
      <c r="I576" s="1348"/>
      <c r="J576" s="1348"/>
      <c r="K576" s="1348"/>
    </row>
    <row r="577" spans="2:11" hidden="1">
      <c r="B577" s="1348"/>
      <c r="C577" s="1348"/>
      <c r="D577" s="1348"/>
      <c r="E577" s="1348"/>
      <c r="F577" s="1348"/>
      <c r="G577" s="1348"/>
      <c r="H577" s="1348"/>
      <c r="I577" s="1348"/>
      <c r="J577" s="1348"/>
      <c r="K577" s="1348"/>
    </row>
    <row r="578" spans="2:11" hidden="1">
      <c r="B578" s="1348"/>
      <c r="C578" s="1348"/>
      <c r="D578" s="1348"/>
      <c r="E578" s="1348"/>
      <c r="F578" s="1348"/>
      <c r="G578" s="1348"/>
      <c r="H578" s="1348"/>
      <c r="I578" s="1348"/>
      <c r="J578" s="1348"/>
      <c r="K578" s="1348"/>
    </row>
    <row r="579" spans="2:11" hidden="1">
      <c r="B579" s="1348"/>
      <c r="C579" s="1348"/>
      <c r="D579" s="1348"/>
      <c r="E579" s="1348"/>
      <c r="F579" s="1348"/>
      <c r="G579" s="1348"/>
      <c r="H579" s="1348"/>
      <c r="I579" s="1348"/>
      <c r="J579" s="1348"/>
      <c r="K579" s="1348"/>
    </row>
    <row r="580" spans="2:11" hidden="1">
      <c r="B580" s="1348"/>
      <c r="C580" s="1348"/>
      <c r="D580" s="1348"/>
      <c r="E580" s="1348"/>
      <c r="F580" s="1348"/>
      <c r="G580" s="1348"/>
      <c r="H580" s="1348"/>
      <c r="I580" s="1348"/>
      <c r="J580" s="1348"/>
      <c r="K580" s="1348"/>
    </row>
    <row r="581" spans="2:11" hidden="1">
      <c r="B581" s="1348"/>
      <c r="C581" s="1348"/>
      <c r="D581" s="1348"/>
      <c r="E581" s="1348"/>
      <c r="F581" s="1348"/>
      <c r="G581" s="1348"/>
      <c r="H581" s="1348"/>
      <c r="I581" s="1348"/>
      <c r="J581" s="1348"/>
      <c r="K581" s="1348"/>
    </row>
    <row r="582" spans="2:11" hidden="1">
      <c r="B582" s="1348"/>
      <c r="C582" s="1348"/>
      <c r="D582" s="1348"/>
      <c r="E582" s="1348"/>
      <c r="F582" s="1348"/>
      <c r="G582" s="1348"/>
      <c r="H582" s="1348"/>
      <c r="I582" s="1348"/>
      <c r="J582" s="1348"/>
      <c r="K582" s="1348"/>
    </row>
    <row r="583" spans="2:11" hidden="1">
      <c r="B583" s="1348"/>
      <c r="C583" s="1348"/>
      <c r="D583" s="1348"/>
      <c r="E583" s="1348"/>
      <c r="F583" s="1348"/>
      <c r="G583" s="1348"/>
      <c r="H583" s="1348"/>
      <c r="I583" s="1348"/>
      <c r="J583" s="1348"/>
      <c r="K583" s="1348"/>
    </row>
    <row r="584" spans="2:11" hidden="1">
      <c r="B584" s="1348"/>
      <c r="C584" s="1348"/>
      <c r="D584" s="1348"/>
      <c r="E584" s="1348"/>
      <c r="F584" s="1348"/>
      <c r="G584" s="1348"/>
      <c r="H584" s="1348"/>
      <c r="I584" s="1348"/>
      <c r="J584" s="1348"/>
      <c r="K584" s="1348"/>
    </row>
    <row r="585" spans="2:11" hidden="1">
      <c r="B585" s="1348"/>
      <c r="C585" s="1348"/>
      <c r="D585" s="1348"/>
      <c r="E585" s="1348"/>
      <c r="F585" s="1348"/>
      <c r="G585" s="1348"/>
      <c r="H585" s="1348"/>
      <c r="I585" s="1348"/>
      <c r="J585" s="1348"/>
      <c r="K585" s="1348"/>
    </row>
    <row r="586" spans="2:11" hidden="1">
      <c r="B586" s="1348"/>
      <c r="C586" s="1348"/>
      <c r="D586" s="1348"/>
      <c r="E586" s="1348"/>
      <c r="F586" s="1348"/>
      <c r="G586" s="1348"/>
      <c r="H586" s="1348"/>
      <c r="I586" s="1348"/>
      <c r="J586" s="1348"/>
      <c r="K586" s="1348"/>
    </row>
    <row r="587" spans="2:11" hidden="1">
      <c r="B587" s="1348"/>
      <c r="C587" s="1348"/>
      <c r="D587" s="1348"/>
      <c r="E587" s="1348"/>
      <c r="F587" s="1348"/>
      <c r="G587" s="1348"/>
      <c r="H587" s="1348"/>
      <c r="I587" s="1348"/>
      <c r="J587" s="1348"/>
      <c r="K587" s="1348"/>
    </row>
    <row r="588" spans="2:11" hidden="1">
      <c r="B588" s="1348"/>
      <c r="C588" s="1348"/>
      <c r="D588" s="1348"/>
      <c r="E588" s="1348"/>
      <c r="F588" s="1348"/>
      <c r="G588" s="1348"/>
      <c r="H588" s="1348"/>
      <c r="I588" s="1348"/>
      <c r="J588" s="1348"/>
      <c r="K588" s="1348"/>
    </row>
    <row r="589" spans="2:11" hidden="1">
      <c r="B589" s="1348"/>
      <c r="C589" s="1348"/>
      <c r="D589" s="1348"/>
      <c r="E589" s="1348"/>
      <c r="F589" s="1348"/>
      <c r="G589" s="1348"/>
      <c r="H589" s="1348"/>
      <c r="I589" s="1348"/>
      <c r="J589" s="1348"/>
      <c r="K589" s="1348"/>
    </row>
    <row r="590" spans="2:11" hidden="1">
      <c r="B590" s="1348"/>
      <c r="C590" s="1348"/>
      <c r="D590" s="1348"/>
      <c r="E590" s="1348"/>
      <c r="F590" s="1348"/>
      <c r="G590" s="1348"/>
      <c r="H590" s="1348"/>
      <c r="I590" s="1348"/>
      <c r="J590" s="1348"/>
      <c r="K590" s="1348"/>
    </row>
    <row r="591" spans="2:11" hidden="1">
      <c r="B591" s="1348"/>
      <c r="C591" s="1348"/>
      <c r="D591" s="1348"/>
      <c r="E591" s="1348"/>
      <c r="F591" s="1348"/>
      <c r="G591" s="1348"/>
      <c r="H591" s="1348"/>
      <c r="I591" s="1348"/>
      <c r="J591" s="1348"/>
      <c r="K591" s="1348"/>
    </row>
    <row r="592" spans="2:11" hidden="1">
      <c r="B592" s="1348"/>
      <c r="C592" s="1348"/>
      <c r="D592" s="1348"/>
      <c r="E592" s="1348"/>
      <c r="F592" s="1348"/>
      <c r="G592" s="1348"/>
      <c r="H592" s="1348"/>
      <c r="I592" s="1348"/>
      <c r="J592" s="1348"/>
      <c r="K592" s="1348"/>
    </row>
    <row r="593" spans="2:11" hidden="1">
      <c r="B593" s="1348"/>
      <c r="C593" s="1348"/>
      <c r="D593" s="1348"/>
      <c r="E593" s="1348"/>
      <c r="F593" s="1348"/>
      <c r="G593" s="1348"/>
      <c r="H593" s="1348"/>
      <c r="I593" s="1348"/>
      <c r="J593" s="1348"/>
      <c r="K593" s="1348"/>
    </row>
    <row r="594" spans="2:11" hidden="1">
      <c r="B594" s="1348"/>
      <c r="C594" s="1348"/>
      <c r="D594" s="1348"/>
      <c r="E594" s="1348"/>
      <c r="F594" s="1348"/>
      <c r="G594" s="1348"/>
      <c r="H594" s="1348"/>
      <c r="I594" s="1348"/>
      <c r="J594" s="1348"/>
      <c r="K594" s="1348"/>
    </row>
    <row r="595" spans="2:11" hidden="1">
      <c r="B595" s="1348"/>
      <c r="C595" s="1348"/>
      <c r="D595" s="1348"/>
      <c r="E595" s="1348"/>
      <c r="F595" s="1348"/>
      <c r="G595" s="1348"/>
      <c r="H595" s="1348"/>
      <c r="I595" s="1348"/>
      <c r="J595" s="1348"/>
      <c r="K595" s="1348"/>
    </row>
    <row r="596" spans="2:11" hidden="1">
      <c r="B596" s="1348"/>
      <c r="C596" s="1348"/>
      <c r="D596" s="1348"/>
      <c r="E596" s="1348"/>
      <c r="F596" s="1348"/>
      <c r="G596" s="1348"/>
      <c r="H596" s="1348"/>
      <c r="I596" s="1348"/>
      <c r="J596" s="1348"/>
      <c r="K596" s="1348"/>
    </row>
    <row r="597" spans="2:11" hidden="1">
      <c r="B597" s="1348"/>
      <c r="C597" s="1348"/>
      <c r="D597" s="1348"/>
      <c r="E597" s="1348"/>
      <c r="F597" s="1348"/>
      <c r="G597" s="1348"/>
      <c r="H597" s="1348"/>
      <c r="I597" s="1348"/>
      <c r="J597" s="1348"/>
      <c r="K597" s="1348"/>
    </row>
    <row r="598" spans="2:11" hidden="1">
      <c r="B598" s="1348"/>
      <c r="C598" s="1348"/>
      <c r="D598" s="1348"/>
      <c r="E598" s="1348"/>
      <c r="F598" s="1348"/>
      <c r="G598" s="1348"/>
      <c r="H598" s="1348"/>
      <c r="I598" s="1348"/>
      <c r="J598" s="1348"/>
      <c r="K598" s="1348"/>
    </row>
    <row r="599" spans="2:11" hidden="1">
      <c r="B599" s="1348"/>
      <c r="C599" s="1348"/>
      <c r="D599" s="1348"/>
      <c r="E599" s="1348"/>
      <c r="F599" s="1348"/>
      <c r="G599" s="1348"/>
      <c r="H599" s="1348"/>
      <c r="I599" s="1348"/>
      <c r="J599" s="1348"/>
      <c r="K599" s="1348"/>
    </row>
    <row r="600" spans="2:11" hidden="1">
      <c r="B600" s="1348"/>
      <c r="C600" s="1348"/>
      <c r="D600" s="1348"/>
      <c r="E600" s="1348"/>
      <c r="F600" s="1348"/>
      <c r="G600" s="1348"/>
      <c r="H600" s="1348"/>
      <c r="I600" s="1348"/>
      <c r="J600" s="1348"/>
      <c r="K600" s="1348"/>
    </row>
    <row r="601" spans="2:11" hidden="1">
      <c r="B601" s="1348"/>
      <c r="C601" s="1348"/>
      <c r="D601" s="1348"/>
      <c r="E601" s="1348"/>
      <c r="F601" s="1348"/>
      <c r="G601" s="1348"/>
      <c r="H601" s="1348"/>
      <c r="I601" s="1348"/>
      <c r="J601" s="1348"/>
      <c r="K601" s="1348"/>
    </row>
    <row r="602" spans="2:11" hidden="1">
      <c r="B602" s="1348"/>
      <c r="C602" s="1348"/>
      <c r="D602" s="1348"/>
      <c r="E602" s="1348"/>
      <c r="F602" s="1348"/>
      <c r="G602" s="1348"/>
      <c r="H602" s="1348"/>
      <c r="I602" s="1348"/>
      <c r="J602" s="1348"/>
      <c r="K602" s="1348"/>
    </row>
    <row r="603" spans="2:11" hidden="1">
      <c r="B603" s="1348"/>
      <c r="C603" s="1348"/>
      <c r="D603" s="1348"/>
      <c r="E603" s="1348"/>
      <c r="F603" s="1348"/>
      <c r="G603" s="1348"/>
      <c r="H603" s="1348"/>
      <c r="I603" s="1348"/>
      <c r="J603" s="1348"/>
      <c r="K603" s="1348"/>
    </row>
    <row r="604" spans="2:11" hidden="1">
      <c r="B604" s="1348"/>
      <c r="C604" s="1348"/>
      <c r="D604" s="1348"/>
      <c r="E604" s="1348"/>
      <c r="F604" s="1348"/>
      <c r="G604" s="1348"/>
      <c r="H604" s="1348"/>
      <c r="I604" s="1348"/>
      <c r="J604" s="1348"/>
      <c r="K604" s="1348"/>
    </row>
    <row r="605" spans="2:11" hidden="1">
      <c r="B605" s="1348"/>
      <c r="C605" s="1348"/>
      <c r="D605" s="1348"/>
      <c r="E605" s="1348"/>
      <c r="F605" s="1348"/>
      <c r="G605" s="1348"/>
      <c r="H605" s="1348"/>
      <c r="I605" s="1348"/>
      <c r="J605" s="1348"/>
      <c r="K605" s="1348"/>
    </row>
    <row r="606" spans="2:11" hidden="1">
      <c r="B606" s="1348"/>
      <c r="C606" s="1348"/>
      <c r="D606" s="1348"/>
      <c r="E606" s="1348"/>
      <c r="F606" s="1348"/>
      <c r="G606" s="1348"/>
      <c r="H606" s="1348"/>
      <c r="I606" s="1348"/>
      <c r="J606" s="1348"/>
      <c r="K606" s="1348"/>
    </row>
    <row r="607" spans="2:11" hidden="1">
      <c r="B607" s="1348"/>
      <c r="C607" s="1348"/>
      <c r="D607" s="1348"/>
      <c r="E607" s="1348"/>
      <c r="F607" s="1348"/>
      <c r="G607" s="1348"/>
      <c r="H607" s="1348"/>
      <c r="I607" s="1348"/>
      <c r="J607" s="1348"/>
      <c r="K607" s="1348"/>
    </row>
    <row r="608" spans="2:11" hidden="1">
      <c r="B608" s="1348"/>
      <c r="C608" s="1348"/>
      <c r="D608" s="1348"/>
      <c r="E608" s="1348"/>
      <c r="F608" s="1348"/>
      <c r="G608" s="1348"/>
      <c r="H608" s="1348"/>
      <c r="I608" s="1348"/>
      <c r="J608" s="1348"/>
      <c r="K608" s="1348"/>
    </row>
    <row r="609" spans="2:11" hidden="1">
      <c r="B609" s="1348"/>
      <c r="C609" s="1348"/>
      <c r="D609" s="1348"/>
      <c r="E609" s="1348"/>
      <c r="F609" s="1348"/>
      <c r="G609" s="1348"/>
      <c r="H609" s="1348"/>
      <c r="I609" s="1348"/>
      <c r="J609" s="1348"/>
      <c r="K609" s="1348"/>
    </row>
    <row r="610" spans="2:11" hidden="1">
      <c r="B610" s="1348"/>
      <c r="C610" s="1348"/>
      <c r="D610" s="1348"/>
      <c r="E610" s="1348"/>
      <c r="F610" s="1348"/>
      <c r="G610" s="1348"/>
      <c r="H610" s="1348"/>
      <c r="I610" s="1348"/>
      <c r="J610" s="1348"/>
      <c r="K610" s="1348"/>
    </row>
    <row r="611" spans="2:11" hidden="1">
      <c r="B611" s="1348"/>
      <c r="C611" s="1348"/>
      <c r="D611" s="1348"/>
      <c r="E611" s="1348"/>
      <c r="F611" s="1348"/>
      <c r="G611" s="1348"/>
      <c r="H611" s="1348"/>
      <c r="I611" s="1348"/>
      <c r="J611" s="1348"/>
      <c r="K611" s="1348"/>
    </row>
    <row r="612" spans="2:11" hidden="1">
      <c r="B612" s="1348"/>
      <c r="C612" s="1348"/>
      <c r="D612" s="1348"/>
      <c r="E612" s="1348"/>
      <c r="F612" s="1348"/>
      <c r="G612" s="1348"/>
      <c r="H612" s="1348"/>
      <c r="I612" s="1348"/>
      <c r="J612" s="1348"/>
      <c r="K612" s="1348"/>
    </row>
    <row r="613" spans="2:11" hidden="1">
      <c r="B613" s="1348"/>
      <c r="C613" s="1348"/>
      <c r="D613" s="1348"/>
      <c r="E613" s="1348"/>
      <c r="F613" s="1348"/>
      <c r="G613" s="1348"/>
      <c r="H613" s="1348"/>
      <c r="I613" s="1348"/>
      <c r="J613" s="1348"/>
      <c r="K613" s="1348"/>
    </row>
    <row r="614" spans="2:11" hidden="1">
      <c r="B614" s="1348"/>
      <c r="C614" s="1348"/>
      <c r="D614" s="1348"/>
      <c r="E614" s="1348"/>
      <c r="F614" s="1348"/>
      <c r="G614" s="1348"/>
      <c r="H614" s="1348"/>
      <c r="I614" s="1348"/>
      <c r="J614" s="1348"/>
      <c r="K614" s="1348"/>
    </row>
    <row r="615" spans="2:11" hidden="1">
      <c r="B615" s="1348"/>
      <c r="C615" s="1348"/>
      <c r="D615" s="1348"/>
      <c r="E615" s="1348"/>
      <c r="F615" s="1348"/>
      <c r="G615" s="1348"/>
      <c r="H615" s="1348"/>
      <c r="I615" s="1348"/>
      <c r="J615" s="1348"/>
      <c r="K615" s="1348"/>
    </row>
    <row r="616" spans="2:11" hidden="1">
      <c r="B616" s="1348"/>
      <c r="C616" s="1348"/>
      <c r="D616" s="1348"/>
      <c r="E616" s="1348"/>
      <c r="F616" s="1348"/>
      <c r="G616" s="1348"/>
      <c r="H616" s="1348"/>
      <c r="I616" s="1348"/>
      <c r="J616" s="1348"/>
      <c r="K616" s="1348"/>
    </row>
    <row r="617" spans="2:11" hidden="1">
      <c r="B617" s="1348"/>
      <c r="C617" s="1348"/>
      <c r="D617" s="1348"/>
      <c r="E617" s="1348"/>
      <c r="F617" s="1348"/>
      <c r="G617" s="1348"/>
      <c r="H617" s="1348"/>
      <c r="I617" s="1348"/>
      <c r="J617" s="1348"/>
      <c r="K617" s="1348"/>
    </row>
    <row r="618" spans="2:11" hidden="1">
      <c r="B618" s="1348"/>
      <c r="C618" s="1348"/>
      <c r="D618" s="1348"/>
      <c r="E618" s="1348"/>
      <c r="F618" s="1348"/>
      <c r="G618" s="1348"/>
      <c r="H618" s="1348"/>
      <c r="I618" s="1348"/>
      <c r="J618" s="1348"/>
      <c r="K618" s="1348"/>
    </row>
    <row r="619" spans="2:11" hidden="1">
      <c r="B619" s="1348"/>
      <c r="C619" s="1348"/>
      <c r="D619" s="1348"/>
      <c r="E619" s="1348"/>
      <c r="F619" s="1348"/>
      <c r="G619" s="1348"/>
      <c r="H619" s="1348"/>
      <c r="I619" s="1348"/>
      <c r="J619" s="1348"/>
      <c r="K619" s="1348"/>
    </row>
    <row r="620" spans="2:11" hidden="1">
      <c r="B620" s="1348"/>
      <c r="C620" s="1348"/>
      <c r="D620" s="1348"/>
      <c r="E620" s="1348"/>
      <c r="F620" s="1348"/>
      <c r="G620" s="1348"/>
      <c r="H620" s="1348"/>
      <c r="I620" s="1348"/>
      <c r="J620" s="1348"/>
      <c r="K620" s="1348"/>
    </row>
    <row r="621" spans="2:11" hidden="1">
      <c r="B621" s="1348"/>
      <c r="C621" s="1348"/>
      <c r="D621" s="1348"/>
      <c r="E621" s="1348"/>
      <c r="F621" s="1348"/>
      <c r="G621" s="1348"/>
      <c r="H621" s="1348"/>
      <c r="I621" s="1348"/>
      <c r="J621" s="1348"/>
      <c r="K621" s="1348"/>
    </row>
    <row r="622" spans="2:11" hidden="1">
      <c r="B622" s="1348"/>
      <c r="C622" s="1348"/>
      <c r="D622" s="1348"/>
      <c r="E622" s="1348"/>
      <c r="F622" s="1348"/>
      <c r="G622" s="1348"/>
      <c r="H622" s="1348"/>
      <c r="I622" s="1348"/>
      <c r="J622" s="1348"/>
      <c r="K622" s="1348"/>
    </row>
    <row r="623" spans="2:11" hidden="1">
      <c r="B623" s="1348"/>
      <c r="C623" s="1348"/>
      <c r="D623" s="1348"/>
      <c r="E623" s="1348"/>
      <c r="F623" s="1348"/>
      <c r="G623" s="1348"/>
      <c r="H623" s="1348"/>
      <c r="I623" s="1348"/>
      <c r="J623" s="1348"/>
      <c r="K623" s="1348"/>
    </row>
    <row r="624" spans="2:11" hidden="1">
      <c r="B624" s="1348"/>
      <c r="C624" s="1348"/>
      <c r="D624" s="1348"/>
      <c r="E624" s="1348"/>
      <c r="F624" s="1348"/>
      <c r="G624" s="1348"/>
      <c r="H624" s="1348"/>
      <c r="I624" s="1348"/>
      <c r="J624" s="1348"/>
      <c r="K624" s="1348"/>
    </row>
    <row r="625" spans="2:11" hidden="1">
      <c r="B625" s="1348"/>
      <c r="C625" s="1348"/>
      <c r="D625" s="1348"/>
      <c r="E625" s="1348"/>
      <c r="F625" s="1348"/>
      <c r="G625" s="1348"/>
      <c r="H625" s="1348"/>
      <c r="I625" s="1348"/>
      <c r="J625" s="1348"/>
      <c r="K625" s="1348"/>
    </row>
    <row r="626" spans="2:11" hidden="1">
      <c r="B626" s="1348"/>
      <c r="C626" s="1348"/>
      <c r="D626" s="1348"/>
      <c r="E626" s="1348"/>
      <c r="F626" s="1348"/>
      <c r="G626" s="1348"/>
      <c r="H626" s="1348"/>
      <c r="I626" s="1348"/>
      <c r="J626" s="1348"/>
      <c r="K626" s="1348"/>
    </row>
    <row r="627" spans="2:11" hidden="1">
      <c r="B627" s="1348"/>
      <c r="C627" s="1348"/>
      <c r="D627" s="1348"/>
      <c r="E627" s="1348"/>
      <c r="F627" s="1348"/>
      <c r="G627" s="1348"/>
      <c r="H627" s="1348"/>
      <c r="I627" s="1348"/>
      <c r="J627" s="1348"/>
      <c r="K627" s="1348"/>
    </row>
    <row r="628" spans="2:11" hidden="1">
      <c r="B628" s="1348"/>
      <c r="C628" s="1348"/>
      <c r="D628" s="1348"/>
      <c r="E628" s="1348"/>
      <c r="F628" s="1348"/>
      <c r="G628" s="1348"/>
      <c r="H628" s="1348"/>
      <c r="I628" s="1348"/>
      <c r="J628" s="1348"/>
      <c r="K628" s="1348"/>
    </row>
    <row r="629" spans="2:11" hidden="1">
      <c r="B629" s="1348"/>
      <c r="C629" s="1348"/>
      <c r="D629" s="1348"/>
      <c r="E629" s="1348"/>
      <c r="F629" s="1348"/>
      <c r="G629" s="1348"/>
      <c r="H629" s="1348"/>
      <c r="I629" s="1348"/>
      <c r="J629" s="1348"/>
      <c r="K629" s="1348"/>
    </row>
    <row r="630" spans="2:11" hidden="1">
      <c r="B630" s="1348"/>
      <c r="C630" s="1348"/>
      <c r="D630" s="1348"/>
      <c r="E630" s="1348"/>
      <c r="F630" s="1348"/>
      <c r="G630" s="1348"/>
      <c r="H630" s="1348"/>
      <c r="I630" s="1348"/>
      <c r="J630" s="1348"/>
      <c r="K630" s="1348"/>
    </row>
    <row r="631" spans="2:11" hidden="1">
      <c r="B631" s="1348"/>
      <c r="C631" s="1348"/>
      <c r="D631" s="1348"/>
      <c r="E631" s="1348"/>
      <c r="F631" s="1348"/>
      <c r="G631" s="1348"/>
      <c r="H631" s="1348"/>
      <c r="I631" s="1348"/>
      <c r="J631" s="1348"/>
      <c r="K631" s="1348"/>
    </row>
    <row r="632" spans="2:11" hidden="1">
      <c r="B632" s="1348"/>
      <c r="C632" s="1348"/>
      <c r="D632" s="1348"/>
      <c r="E632" s="1348"/>
      <c r="F632" s="1348"/>
      <c r="G632" s="1348"/>
      <c r="H632" s="1348"/>
      <c r="I632" s="1348"/>
      <c r="J632" s="1348"/>
      <c r="K632" s="1348"/>
    </row>
    <row r="633" spans="2:11" hidden="1">
      <c r="B633" s="1348"/>
      <c r="C633" s="1348"/>
      <c r="D633" s="1348"/>
      <c r="E633" s="1348"/>
      <c r="F633" s="1348"/>
      <c r="G633" s="1348"/>
      <c r="H633" s="1348"/>
      <c r="I633" s="1348"/>
      <c r="J633" s="1348"/>
      <c r="K633" s="1348"/>
    </row>
    <row r="634" spans="2:11" hidden="1">
      <c r="B634" s="1348"/>
      <c r="C634" s="1348"/>
      <c r="D634" s="1348"/>
      <c r="E634" s="1348"/>
      <c r="F634" s="1348"/>
      <c r="G634" s="1348"/>
      <c r="H634" s="1348"/>
      <c r="I634" s="1348"/>
      <c r="J634" s="1348"/>
      <c r="K634" s="1348"/>
    </row>
    <row r="635" spans="2:11" hidden="1">
      <c r="B635" s="1348"/>
      <c r="C635" s="1348"/>
      <c r="D635" s="1348"/>
      <c r="E635" s="1348"/>
      <c r="F635" s="1348"/>
      <c r="G635" s="1348"/>
      <c r="H635" s="1348"/>
      <c r="I635" s="1348"/>
      <c r="J635" s="1348"/>
      <c r="K635" s="1348"/>
    </row>
    <row r="636" spans="2:11" hidden="1">
      <c r="B636" s="1348"/>
      <c r="C636" s="1348"/>
      <c r="D636" s="1348"/>
      <c r="E636" s="1348"/>
      <c r="F636" s="1348"/>
      <c r="G636" s="1348"/>
      <c r="H636" s="1348"/>
      <c r="I636" s="1348"/>
      <c r="J636" s="1348"/>
      <c r="K636" s="1348"/>
    </row>
    <row r="637" spans="2:11" hidden="1">
      <c r="B637" s="1348"/>
      <c r="C637" s="1348"/>
      <c r="D637" s="1348"/>
      <c r="E637" s="1348"/>
      <c r="F637" s="1348"/>
      <c r="G637" s="1348"/>
      <c r="H637" s="1348"/>
      <c r="I637" s="1348"/>
      <c r="J637" s="1348"/>
      <c r="K637" s="1348"/>
    </row>
    <row r="638" spans="2:11" hidden="1">
      <c r="B638" s="1348"/>
      <c r="C638" s="1348"/>
      <c r="D638" s="1348"/>
      <c r="E638" s="1348"/>
      <c r="F638" s="1348"/>
      <c r="G638" s="1348"/>
      <c r="H638" s="1348"/>
      <c r="I638" s="1348"/>
      <c r="J638" s="1348"/>
      <c r="K638" s="1348"/>
    </row>
    <row r="639" spans="2:11" hidden="1">
      <c r="B639" s="1348"/>
      <c r="C639" s="1348"/>
      <c r="D639" s="1348"/>
      <c r="E639" s="1348"/>
      <c r="F639" s="1348"/>
      <c r="G639" s="1348"/>
      <c r="H639" s="1348"/>
      <c r="I639" s="1348"/>
      <c r="J639" s="1348"/>
      <c r="K639" s="1348"/>
    </row>
    <row r="640" spans="2:11" hidden="1">
      <c r="B640" s="1348"/>
      <c r="C640" s="1348"/>
      <c r="D640" s="1348"/>
      <c r="E640" s="1348"/>
      <c r="F640" s="1348"/>
      <c r="G640" s="1348"/>
      <c r="H640" s="1348"/>
      <c r="I640" s="1348"/>
      <c r="J640" s="1348"/>
      <c r="K640" s="1348"/>
    </row>
    <row r="641" spans="2:11" hidden="1">
      <c r="B641" s="1348"/>
      <c r="C641" s="1348"/>
      <c r="D641" s="1348"/>
      <c r="E641" s="1348"/>
      <c r="F641" s="1348"/>
      <c r="G641" s="1348"/>
      <c r="H641" s="1348"/>
      <c r="I641" s="1348"/>
      <c r="J641" s="1348"/>
      <c r="K641" s="1348"/>
    </row>
    <row r="642" spans="2:11" hidden="1">
      <c r="B642" s="1348"/>
      <c r="C642" s="1348"/>
      <c r="D642" s="1348"/>
      <c r="E642" s="1348"/>
      <c r="F642" s="1348"/>
      <c r="G642" s="1348"/>
      <c r="H642" s="1348"/>
      <c r="I642" s="1348"/>
      <c r="J642" s="1348"/>
      <c r="K642" s="1348"/>
    </row>
    <row r="643" spans="2:11" hidden="1">
      <c r="B643" s="1348"/>
      <c r="C643" s="1348"/>
      <c r="D643" s="1348"/>
      <c r="E643" s="1348"/>
      <c r="F643" s="1348"/>
      <c r="G643" s="1348"/>
      <c r="H643" s="1348"/>
      <c r="I643" s="1348"/>
      <c r="J643" s="1348"/>
      <c r="K643" s="1348"/>
    </row>
    <row r="644" spans="2:11" hidden="1">
      <c r="B644" s="1348"/>
      <c r="C644" s="1348"/>
      <c r="D644" s="1348"/>
      <c r="E644" s="1348"/>
      <c r="F644" s="1348"/>
      <c r="G644" s="1348"/>
      <c r="H644" s="1348"/>
      <c r="I644" s="1348"/>
      <c r="J644" s="1348"/>
      <c r="K644" s="1348"/>
    </row>
    <row r="645" spans="2:11" hidden="1">
      <c r="B645" s="1348"/>
      <c r="C645" s="1348"/>
      <c r="D645" s="1348"/>
      <c r="E645" s="1348"/>
      <c r="F645" s="1348"/>
      <c r="G645" s="1348"/>
      <c r="H645" s="1348"/>
      <c r="I645" s="1348"/>
      <c r="J645" s="1348"/>
      <c r="K645" s="1348"/>
    </row>
    <row r="646" spans="2:11" hidden="1">
      <c r="B646" s="1348"/>
      <c r="C646" s="1348"/>
      <c r="D646" s="1348"/>
      <c r="E646" s="1348"/>
      <c r="F646" s="1348"/>
      <c r="G646" s="1348"/>
      <c r="H646" s="1348"/>
      <c r="I646" s="1348"/>
      <c r="J646" s="1348"/>
      <c r="K646" s="1348"/>
    </row>
    <row r="647" spans="2:11" hidden="1">
      <c r="B647" s="1348"/>
      <c r="C647" s="1348"/>
      <c r="D647" s="1348"/>
      <c r="E647" s="1348"/>
      <c r="F647" s="1348"/>
      <c r="G647" s="1348"/>
      <c r="H647" s="1348"/>
      <c r="I647" s="1348"/>
      <c r="J647" s="1348"/>
      <c r="K647" s="1348"/>
    </row>
    <row r="648" spans="2:11" hidden="1">
      <c r="B648" s="1348"/>
      <c r="C648" s="1348"/>
      <c r="D648" s="1348"/>
      <c r="E648" s="1348"/>
      <c r="F648" s="1348"/>
      <c r="G648" s="1348"/>
      <c r="H648" s="1348"/>
      <c r="I648" s="1348"/>
      <c r="J648" s="1348"/>
      <c r="K648" s="1348"/>
    </row>
    <row r="649" spans="2:11" hidden="1">
      <c r="B649" s="1348"/>
      <c r="C649" s="1348"/>
      <c r="D649" s="1348"/>
      <c r="E649" s="1348"/>
      <c r="F649" s="1348"/>
      <c r="G649" s="1348"/>
      <c r="H649" s="1348"/>
      <c r="I649" s="1348"/>
      <c r="J649" s="1348"/>
      <c r="K649" s="1348"/>
    </row>
    <row r="650" spans="2:11" hidden="1">
      <c r="B650" s="1348"/>
      <c r="C650" s="1348"/>
      <c r="D650" s="1348"/>
      <c r="E650" s="1348"/>
      <c r="F650" s="1348"/>
      <c r="G650" s="1348"/>
      <c r="H650" s="1348"/>
      <c r="I650" s="1348"/>
      <c r="J650" s="1348"/>
      <c r="K650" s="1348"/>
    </row>
    <row r="651" spans="2:11" hidden="1">
      <c r="B651" s="1348"/>
      <c r="C651" s="1348"/>
      <c r="D651" s="1348"/>
      <c r="E651" s="1348"/>
      <c r="F651" s="1348"/>
      <c r="G651" s="1348"/>
      <c r="H651" s="1348"/>
      <c r="I651" s="1348"/>
      <c r="J651" s="1348"/>
      <c r="K651" s="1348"/>
    </row>
    <row r="652" spans="2:11" hidden="1">
      <c r="B652" s="1348"/>
      <c r="C652" s="1348"/>
      <c r="D652" s="1348"/>
      <c r="E652" s="1348"/>
      <c r="F652" s="1348"/>
      <c r="G652" s="1348"/>
      <c r="H652" s="1348"/>
      <c r="I652" s="1348"/>
      <c r="J652" s="1348"/>
      <c r="K652" s="1348"/>
    </row>
    <row r="653" spans="2:11" hidden="1">
      <c r="B653" s="1348"/>
      <c r="C653" s="1348"/>
      <c r="D653" s="1348"/>
      <c r="E653" s="1348"/>
      <c r="F653" s="1348"/>
      <c r="G653" s="1348"/>
      <c r="H653" s="1348"/>
      <c r="I653" s="1348"/>
      <c r="J653" s="1348"/>
      <c r="K653" s="1348"/>
    </row>
    <row r="654" spans="2:11" hidden="1">
      <c r="B654" s="1348"/>
      <c r="C654" s="1348"/>
      <c r="D654" s="1348"/>
      <c r="E654" s="1348"/>
      <c r="F654" s="1348"/>
      <c r="G654" s="1348"/>
      <c r="H654" s="1348"/>
      <c r="I654" s="1348"/>
      <c r="J654" s="1348"/>
      <c r="K654" s="1348"/>
    </row>
    <row r="655" spans="2:11" hidden="1">
      <c r="B655" s="1348"/>
      <c r="C655" s="1348"/>
      <c r="D655" s="1348"/>
      <c r="E655" s="1348"/>
      <c r="F655" s="1348"/>
      <c r="G655" s="1348"/>
      <c r="H655" s="1348"/>
      <c r="I655" s="1348"/>
      <c r="J655" s="1348"/>
      <c r="K655" s="1348"/>
    </row>
    <row r="656" spans="2:11" hidden="1">
      <c r="B656" s="1348"/>
      <c r="C656" s="1348"/>
      <c r="D656" s="1348"/>
      <c r="E656" s="1348"/>
      <c r="F656" s="1348"/>
      <c r="G656" s="1348"/>
      <c r="H656" s="1348"/>
      <c r="I656" s="1348"/>
      <c r="J656" s="1348"/>
      <c r="K656" s="1348"/>
    </row>
    <row r="657" spans="2:11" hidden="1">
      <c r="B657" s="1348"/>
      <c r="C657" s="1348"/>
      <c r="D657" s="1348"/>
      <c r="E657" s="1348"/>
      <c r="F657" s="1348"/>
      <c r="G657" s="1348"/>
      <c r="H657" s="1348"/>
      <c r="I657" s="1348"/>
      <c r="J657" s="1348"/>
      <c r="K657" s="1348"/>
    </row>
    <row r="658" spans="2:11" hidden="1">
      <c r="B658" s="1348"/>
      <c r="C658" s="1348"/>
      <c r="D658" s="1348"/>
      <c r="E658" s="1348"/>
      <c r="F658" s="1348"/>
      <c r="G658" s="1348"/>
      <c r="H658" s="1348"/>
      <c r="I658" s="1348"/>
      <c r="J658" s="1348"/>
      <c r="K658" s="1348"/>
    </row>
    <row r="659" spans="2:11" hidden="1">
      <c r="B659" s="1348"/>
      <c r="C659" s="1348"/>
      <c r="D659" s="1348"/>
      <c r="E659" s="1348"/>
      <c r="F659" s="1348"/>
      <c r="G659" s="1348"/>
      <c r="H659" s="1348"/>
      <c r="I659" s="1348"/>
      <c r="J659" s="1348"/>
      <c r="K659" s="1348"/>
    </row>
    <row r="660" spans="2:11" hidden="1">
      <c r="B660" s="1348"/>
      <c r="C660" s="1348"/>
      <c r="D660" s="1348"/>
      <c r="E660" s="1348"/>
      <c r="F660" s="1348"/>
      <c r="G660" s="1348"/>
      <c r="H660" s="1348"/>
      <c r="I660" s="1348"/>
      <c r="J660" s="1348"/>
      <c r="K660" s="1348"/>
    </row>
    <row r="661" spans="2:11" hidden="1">
      <c r="B661" s="1348"/>
      <c r="C661" s="1348"/>
      <c r="D661" s="1348"/>
      <c r="E661" s="1348"/>
      <c r="F661" s="1348"/>
      <c r="G661" s="1348"/>
      <c r="H661" s="1348"/>
      <c r="I661" s="1348"/>
      <c r="J661" s="1348"/>
      <c r="K661" s="1348"/>
    </row>
    <row r="662" spans="2:11" hidden="1">
      <c r="B662" s="1348"/>
      <c r="C662" s="1348"/>
      <c r="D662" s="1348"/>
      <c r="E662" s="1348"/>
      <c r="F662" s="1348"/>
      <c r="G662" s="1348"/>
      <c r="H662" s="1348"/>
      <c r="I662" s="1348"/>
      <c r="J662" s="1348"/>
      <c r="K662" s="1348"/>
    </row>
    <row r="663" spans="2:11" hidden="1">
      <c r="B663" s="1348"/>
      <c r="C663" s="1348"/>
      <c r="D663" s="1348"/>
      <c r="E663" s="1348"/>
      <c r="F663" s="1348"/>
      <c r="G663" s="1348"/>
      <c r="H663" s="1348"/>
      <c r="I663" s="1348"/>
      <c r="J663" s="1348"/>
      <c r="K663" s="1348"/>
    </row>
    <row r="664" spans="2:11" hidden="1">
      <c r="B664" s="1348"/>
      <c r="C664" s="1348"/>
      <c r="D664" s="1348"/>
      <c r="E664" s="1348"/>
      <c r="F664" s="1348"/>
      <c r="G664" s="1348"/>
      <c r="H664" s="1348"/>
      <c r="I664" s="1348"/>
      <c r="J664" s="1348"/>
      <c r="K664" s="1348"/>
    </row>
    <row r="665" spans="2:11" hidden="1">
      <c r="B665" s="1348"/>
      <c r="C665" s="1348"/>
      <c r="D665" s="1348"/>
      <c r="E665" s="1348"/>
      <c r="F665" s="1348"/>
      <c r="G665" s="1348"/>
      <c r="H665" s="1348"/>
      <c r="I665" s="1348"/>
      <c r="J665" s="1348"/>
      <c r="K665" s="1348"/>
    </row>
    <row r="666" spans="2:11" hidden="1">
      <c r="B666" s="1348"/>
      <c r="C666" s="1348"/>
      <c r="D666" s="1348"/>
      <c r="E666" s="1348"/>
      <c r="F666" s="1348"/>
      <c r="G666" s="1348"/>
      <c r="H666" s="1348"/>
      <c r="I666" s="1348"/>
      <c r="J666" s="1348"/>
      <c r="K666" s="1348"/>
    </row>
    <row r="667" spans="2:11" hidden="1">
      <c r="B667" s="1348"/>
      <c r="C667" s="1348"/>
      <c r="D667" s="1348"/>
      <c r="E667" s="1348"/>
      <c r="F667" s="1348"/>
      <c r="G667" s="1348"/>
      <c r="H667" s="1348"/>
      <c r="I667" s="1348"/>
      <c r="J667" s="1348"/>
      <c r="K667" s="1348"/>
    </row>
    <row r="668" spans="2:11" hidden="1">
      <c r="B668" s="1348"/>
      <c r="C668" s="1348"/>
      <c r="D668" s="1348"/>
      <c r="E668" s="1348"/>
      <c r="F668" s="1348"/>
      <c r="G668" s="1348"/>
      <c r="H668" s="1348"/>
      <c r="I668" s="1348"/>
      <c r="J668" s="1348"/>
      <c r="K668" s="1348"/>
    </row>
    <row r="669" spans="2:11" hidden="1">
      <c r="B669" s="1348"/>
      <c r="C669" s="1348"/>
      <c r="D669" s="1348"/>
      <c r="E669" s="1348"/>
      <c r="F669" s="1348"/>
      <c r="G669" s="1348"/>
      <c r="H669" s="1348"/>
      <c r="I669" s="1348"/>
      <c r="J669" s="1348"/>
      <c r="K669" s="1348"/>
    </row>
    <row r="670" spans="2:11" hidden="1">
      <c r="B670" s="1348"/>
      <c r="C670" s="1348"/>
      <c r="D670" s="1348"/>
      <c r="E670" s="1348"/>
      <c r="F670" s="1348"/>
      <c r="G670" s="1348"/>
      <c r="H670" s="1348"/>
      <c r="I670" s="1348"/>
      <c r="J670" s="1348"/>
      <c r="K670" s="1348"/>
    </row>
    <row r="671" spans="2:11" hidden="1">
      <c r="B671" s="1348"/>
      <c r="C671" s="1348"/>
      <c r="D671" s="1348"/>
      <c r="E671" s="1348"/>
      <c r="F671" s="1348"/>
      <c r="G671" s="1348"/>
      <c r="H671" s="1348"/>
      <c r="I671" s="1348"/>
      <c r="J671" s="1348"/>
      <c r="K671" s="1348"/>
    </row>
    <row r="672" spans="2:11" hidden="1">
      <c r="B672" s="1348"/>
      <c r="C672" s="1348"/>
      <c r="D672" s="1348"/>
      <c r="E672" s="1348"/>
      <c r="F672" s="1348"/>
      <c r="G672" s="1348"/>
      <c r="H672" s="1348"/>
      <c r="I672" s="1348"/>
      <c r="J672" s="1348"/>
      <c r="K672" s="1348"/>
    </row>
    <row r="673" spans="2:11" hidden="1">
      <c r="B673" s="1348"/>
      <c r="C673" s="1348"/>
      <c r="D673" s="1348"/>
      <c r="E673" s="1348"/>
      <c r="F673" s="1348"/>
      <c r="G673" s="1348"/>
      <c r="H673" s="1348"/>
      <c r="I673" s="1348"/>
      <c r="J673" s="1348"/>
      <c r="K673" s="1348"/>
    </row>
    <row r="674" spans="2:11" hidden="1">
      <c r="B674" s="1348"/>
      <c r="C674" s="1348"/>
      <c r="D674" s="1348"/>
      <c r="E674" s="1348"/>
      <c r="F674" s="1348"/>
      <c r="G674" s="1348"/>
      <c r="H674" s="1348"/>
      <c r="I674" s="1348"/>
      <c r="J674" s="1348"/>
      <c r="K674" s="1348"/>
    </row>
    <row r="675" spans="2:11" hidden="1">
      <c r="B675" s="1348"/>
      <c r="C675" s="1348"/>
      <c r="D675" s="1348"/>
      <c r="E675" s="1348"/>
      <c r="F675" s="1348"/>
      <c r="G675" s="1348"/>
      <c r="H675" s="1348"/>
      <c r="I675" s="1348"/>
      <c r="J675" s="1348"/>
      <c r="K675" s="1348"/>
    </row>
    <row r="676" spans="2:11" hidden="1">
      <c r="B676" s="1348"/>
      <c r="C676" s="1348"/>
      <c r="D676" s="1348"/>
      <c r="E676" s="1348"/>
      <c r="F676" s="1348"/>
      <c r="G676" s="1348"/>
      <c r="H676" s="1348"/>
      <c r="I676" s="1348"/>
      <c r="J676" s="1348"/>
      <c r="K676" s="1348"/>
    </row>
    <row r="677" spans="2:11" hidden="1">
      <c r="B677" s="1348"/>
      <c r="C677" s="1348"/>
      <c r="D677" s="1348"/>
      <c r="E677" s="1348"/>
      <c r="F677" s="1348"/>
      <c r="G677" s="1348"/>
      <c r="H677" s="1348"/>
      <c r="I677" s="1348"/>
      <c r="J677" s="1348"/>
      <c r="K677" s="1348"/>
    </row>
    <row r="678" spans="2:11" hidden="1">
      <c r="B678" s="1348"/>
      <c r="C678" s="1348"/>
      <c r="D678" s="1348"/>
      <c r="E678" s="1348"/>
      <c r="F678" s="1348"/>
      <c r="G678" s="1348"/>
      <c r="H678" s="1348"/>
      <c r="I678" s="1348"/>
      <c r="J678" s="1348"/>
      <c r="K678" s="1348"/>
    </row>
    <row r="679" spans="2:11" hidden="1">
      <c r="B679" s="1348"/>
      <c r="C679" s="1348"/>
      <c r="D679" s="1348"/>
      <c r="E679" s="1348"/>
      <c r="F679" s="1348"/>
      <c r="G679" s="1348"/>
      <c r="H679" s="1348"/>
      <c r="I679" s="1348"/>
      <c r="J679" s="1348"/>
      <c r="K679" s="1348"/>
    </row>
    <row r="680" spans="2:11" hidden="1">
      <c r="B680" s="1348"/>
      <c r="C680" s="1348"/>
      <c r="D680" s="1348"/>
      <c r="E680" s="1348"/>
      <c r="F680" s="1348"/>
      <c r="G680" s="1348"/>
      <c r="H680" s="1348"/>
      <c r="I680" s="1348"/>
      <c r="J680" s="1348"/>
      <c r="K680" s="1348"/>
    </row>
    <row r="681" spans="2:11" hidden="1">
      <c r="B681" s="1348"/>
      <c r="C681" s="1348"/>
      <c r="D681" s="1348"/>
      <c r="E681" s="1348"/>
      <c r="F681" s="1348"/>
      <c r="G681" s="1348"/>
      <c r="H681" s="1348"/>
      <c r="I681" s="1348"/>
      <c r="J681" s="1348"/>
      <c r="K681" s="1348"/>
    </row>
    <row r="682" spans="2:11" hidden="1">
      <c r="B682" s="1348"/>
      <c r="C682" s="1348"/>
      <c r="D682" s="1348"/>
      <c r="E682" s="1348"/>
      <c r="F682" s="1348"/>
      <c r="G682" s="1348"/>
      <c r="H682" s="1348"/>
      <c r="I682" s="1348"/>
      <c r="J682" s="1348"/>
      <c r="K682" s="1348"/>
    </row>
    <row r="683" spans="2:11" hidden="1">
      <c r="B683" s="1348"/>
      <c r="C683" s="1348"/>
      <c r="D683" s="1348"/>
      <c r="E683" s="1348"/>
      <c r="F683" s="1348"/>
      <c r="G683" s="1348"/>
      <c r="H683" s="1348"/>
      <c r="I683" s="1348"/>
      <c r="J683" s="1348"/>
      <c r="K683" s="1348"/>
    </row>
    <row r="684" spans="2:11" hidden="1">
      <c r="B684" s="1348"/>
      <c r="C684" s="1348"/>
      <c r="D684" s="1348"/>
      <c r="E684" s="1348"/>
      <c r="F684" s="1348"/>
      <c r="G684" s="1348"/>
      <c r="H684" s="1348"/>
      <c r="I684" s="1348"/>
      <c r="J684" s="1348"/>
      <c r="K684" s="1348"/>
    </row>
    <row r="685" spans="2:11" hidden="1">
      <c r="B685" s="1348"/>
      <c r="C685" s="1348"/>
      <c r="D685" s="1348"/>
      <c r="E685" s="1348"/>
      <c r="F685" s="1348"/>
      <c r="G685" s="1348"/>
      <c r="H685" s="1348"/>
      <c r="I685" s="1348"/>
      <c r="J685" s="1348"/>
      <c r="K685" s="1348"/>
    </row>
    <row r="686" spans="2:11" hidden="1">
      <c r="B686" s="1348"/>
      <c r="C686" s="1348"/>
      <c r="D686" s="1348"/>
      <c r="E686" s="1348"/>
      <c r="F686" s="1348"/>
      <c r="G686" s="1348"/>
      <c r="H686" s="1348"/>
      <c r="I686" s="1348"/>
      <c r="J686" s="1348"/>
      <c r="K686" s="1348"/>
    </row>
    <row r="687" spans="2:11" hidden="1">
      <c r="B687" s="1348"/>
      <c r="C687" s="1348"/>
      <c r="D687" s="1348"/>
      <c r="E687" s="1348"/>
      <c r="F687" s="1348"/>
      <c r="G687" s="1348"/>
      <c r="H687" s="1348"/>
      <c r="I687" s="1348"/>
      <c r="J687" s="1348"/>
      <c r="K687" s="1348"/>
    </row>
    <row r="688" spans="2:11" hidden="1">
      <c r="B688" s="1348"/>
      <c r="C688" s="1348"/>
      <c r="D688" s="1348"/>
      <c r="E688" s="1348"/>
      <c r="F688" s="1348"/>
      <c r="G688" s="1348"/>
      <c r="H688" s="1348"/>
      <c r="I688" s="1348"/>
      <c r="J688" s="1348"/>
      <c r="K688" s="1348"/>
    </row>
    <row r="689" spans="2:11" hidden="1">
      <c r="B689" s="1348"/>
      <c r="C689" s="1348"/>
      <c r="D689" s="1348"/>
      <c r="E689" s="1348"/>
      <c r="F689" s="1348"/>
      <c r="G689" s="1348"/>
      <c r="H689" s="1348"/>
      <c r="I689" s="1348"/>
      <c r="J689" s="1348"/>
      <c r="K689" s="1348"/>
    </row>
    <row r="690" spans="2:11" hidden="1">
      <c r="B690" s="1348"/>
      <c r="C690" s="1348"/>
      <c r="D690" s="1348"/>
      <c r="E690" s="1348"/>
      <c r="F690" s="1348"/>
      <c r="G690" s="1348"/>
      <c r="H690" s="1348"/>
      <c r="I690" s="1348"/>
      <c r="J690" s="1348"/>
      <c r="K690" s="1348"/>
    </row>
    <row r="691" spans="2:11" hidden="1">
      <c r="B691" s="1348"/>
      <c r="C691" s="1348"/>
      <c r="D691" s="1348"/>
      <c r="E691" s="1348"/>
      <c r="F691" s="1348"/>
      <c r="G691" s="1348"/>
      <c r="H691" s="1348"/>
      <c r="I691" s="1348"/>
      <c r="J691" s="1348"/>
      <c r="K691" s="1348"/>
    </row>
    <row r="692" spans="2:11" hidden="1">
      <c r="B692" s="1348"/>
      <c r="C692" s="1348"/>
      <c r="D692" s="1348"/>
      <c r="E692" s="1348"/>
      <c r="F692" s="1348"/>
      <c r="G692" s="1348"/>
      <c r="H692" s="1348"/>
      <c r="I692" s="1348"/>
      <c r="J692" s="1348"/>
      <c r="K692" s="1348"/>
    </row>
    <row r="693" spans="2:11" hidden="1">
      <c r="B693" s="1348"/>
      <c r="C693" s="1348"/>
      <c r="D693" s="1348"/>
      <c r="E693" s="1348"/>
      <c r="F693" s="1348"/>
      <c r="G693" s="1348"/>
      <c r="H693" s="1348"/>
      <c r="I693" s="1348"/>
      <c r="J693" s="1348"/>
      <c r="K693" s="1348"/>
    </row>
    <row r="694" spans="2:11" hidden="1">
      <c r="B694" s="1348"/>
      <c r="C694" s="1348"/>
      <c r="D694" s="1348"/>
      <c r="E694" s="1348"/>
      <c r="F694" s="1348"/>
      <c r="G694" s="1348"/>
      <c r="H694" s="1348"/>
      <c r="I694" s="1348"/>
      <c r="J694" s="1348"/>
      <c r="K694" s="1348"/>
    </row>
    <row r="695" spans="2:11" hidden="1">
      <c r="B695" s="1348"/>
      <c r="C695" s="1348"/>
      <c r="D695" s="1348"/>
      <c r="E695" s="1348"/>
      <c r="F695" s="1348"/>
      <c r="G695" s="1348"/>
      <c r="H695" s="1348"/>
      <c r="I695" s="1348"/>
      <c r="J695" s="1348"/>
      <c r="K695" s="1348"/>
    </row>
    <row r="696" spans="2:11" hidden="1">
      <c r="B696" s="1348"/>
      <c r="C696" s="1348"/>
      <c r="D696" s="1348"/>
      <c r="E696" s="1348"/>
      <c r="F696" s="1348"/>
      <c r="G696" s="1348"/>
      <c r="H696" s="1348"/>
      <c r="I696" s="1348"/>
      <c r="J696" s="1348"/>
      <c r="K696" s="1348"/>
    </row>
    <row r="697" spans="2:11" hidden="1">
      <c r="B697" s="1348"/>
      <c r="C697" s="1348"/>
      <c r="D697" s="1348"/>
      <c r="E697" s="1348"/>
      <c r="F697" s="1348"/>
      <c r="G697" s="1348"/>
      <c r="H697" s="1348"/>
      <c r="I697" s="1348"/>
      <c r="J697" s="1348"/>
      <c r="K697" s="1348"/>
    </row>
    <row r="698" spans="2:11" hidden="1">
      <c r="B698" s="1348"/>
      <c r="C698" s="1348"/>
      <c r="D698" s="1348"/>
      <c r="E698" s="1348"/>
      <c r="F698" s="1348"/>
      <c r="G698" s="1348"/>
      <c r="H698" s="1348"/>
      <c r="I698" s="1348"/>
      <c r="J698" s="1348"/>
      <c r="K698" s="1348"/>
    </row>
    <row r="699" spans="2:11" hidden="1">
      <c r="B699" s="1348"/>
      <c r="C699" s="1348"/>
      <c r="D699" s="1348"/>
      <c r="E699" s="1348"/>
      <c r="F699" s="1348"/>
      <c r="G699" s="1348"/>
      <c r="H699" s="1348"/>
      <c r="I699" s="1348"/>
      <c r="J699" s="1348"/>
      <c r="K699" s="1348"/>
    </row>
    <row r="700" spans="2:11" hidden="1">
      <c r="B700" s="1348"/>
      <c r="C700" s="1348"/>
      <c r="D700" s="1348"/>
      <c r="E700" s="1348"/>
      <c r="F700" s="1348"/>
      <c r="G700" s="1348"/>
      <c r="H700" s="1348"/>
      <c r="I700" s="1348"/>
      <c r="J700" s="1348"/>
      <c r="K700" s="1348"/>
    </row>
    <row r="701" spans="2:11" hidden="1">
      <c r="B701" s="1348"/>
      <c r="C701" s="1348"/>
      <c r="D701" s="1348"/>
      <c r="E701" s="1348"/>
      <c r="F701" s="1348"/>
      <c r="G701" s="1348"/>
      <c r="H701" s="1348"/>
      <c r="I701" s="1348"/>
      <c r="J701" s="1348"/>
      <c r="K701" s="1348"/>
    </row>
    <row r="702" spans="2:11" hidden="1">
      <c r="B702" s="1348"/>
      <c r="C702" s="1348"/>
      <c r="D702" s="1348"/>
      <c r="E702" s="1348"/>
      <c r="F702" s="1348"/>
      <c r="G702" s="1348"/>
      <c r="H702" s="1348"/>
      <c r="I702" s="1348"/>
      <c r="J702" s="1348"/>
      <c r="K702" s="1348"/>
    </row>
    <row r="703" spans="2:11" hidden="1">
      <c r="B703" s="1348"/>
      <c r="C703" s="1348"/>
      <c r="D703" s="1348"/>
      <c r="E703" s="1348"/>
      <c r="F703" s="1348"/>
      <c r="G703" s="1348"/>
      <c r="H703" s="1348"/>
      <c r="I703" s="1348"/>
      <c r="J703" s="1348"/>
      <c r="K703" s="1348"/>
    </row>
    <row r="704" spans="2:11" hidden="1">
      <c r="B704" s="1348"/>
      <c r="C704" s="1348"/>
      <c r="D704" s="1348"/>
      <c r="E704" s="1348"/>
      <c r="F704" s="1348"/>
      <c r="G704" s="1348"/>
      <c r="H704" s="1348"/>
      <c r="I704" s="1348"/>
      <c r="J704" s="1348"/>
      <c r="K704" s="1348"/>
    </row>
    <row r="705" spans="2:11" hidden="1">
      <c r="B705" s="1348"/>
      <c r="C705" s="1348"/>
      <c r="D705" s="1348"/>
      <c r="E705" s="1348"/>
      <c r="F705" s="1348"/>
      <c r="G705" s="1348"/>
      <c r="H705" s="1348"/>
      <c r="I705" s="1348"/>
      <c r="J705" s="1348"/>
      <c r="K705" s="1348"/>
    </row>
    <row r="706" spans="2:11" hidden="1">
      <c r="B706" s="1348"/>
      <c r="C706" s="1348"/>
      <c r="D706" s="1348"/>
      <c r="E706" s="1348"/>
      <c r="F706" s="1348"/>
      <c r="G706" s="1348"/>
      <c r="H706" s="1348"/>
      <c r="I706" s="1348"/>
      <c r="J706" s="1348"/>
      <c r="K706" s="1348"/>
    </row>
    <row r="707" spans="2:11" hidden="1">
      <c r="B707" s="1348"/>
      <c r="C707" s="1348"/>
      <c r="D707" s="1348"/>
      <c r="E707" s="1348"/>
      <c r="F707" s="1348"/>
      <c r="G707" s="1348"/>
      <c r="H707" s="1348"/>
      <c r="I707" s="1348"/>
      <c r="J707" s="1348"/>
      <c r="K707" s="1348"/>
    </row>
    <row r="708" spans="2:11" hidden="1">
      <c r="B708" s="1348"/>
      <c r="C708" s="1348"/>
      <c r="D708" s="1348"/>
      <c r="E708" s="1348"/>
      <c r="F708" s="1348"/>
      <c r="G708" s="1348"/>
      <c r="H708" s="1348"/>
      <c r="I708" s="1348"/>
      <c r="J708" s="1348"/>
      <c r="K708" s="1348"/>
    </row>
    <row r="709" spans="2:11" hidden="1">
      <c r="B709" s="1348"/>
      <c r="C709" s="1348"/>
      <c r="D709" s="1348"/>
      <c r="E709" s="1348"/>
      <c r="F709" s="1348"/>
      <c r="G709" s="1348"/>
      <c r="H709" s="1348"/>
      <c r="I709" s="1348"/>
      <c r="J709" s="1348"/>
      <c r="K709" s="1348"/>
    </row>
    <row r="710" spans="2:11" hidden="1">
      <c r="B710" s="1348"/>
      <c r="C710" s="1348"/>
      <c r="D710" s="1348"/>
      <c r="E710" s="1348"/>
      <c r="F710" s="1348"/>
      <c r="G710" s="1348"/>
      <c r="H710" s="1348"/>
      <c r="I710" s="1348"/>
      <c r="J710" s="1348"/>
      <c r="K710" s="1348"/>
    </row>
    <row r="711" spans="2:11" hidden="1">
      <c r="B711" s="1348"/>
      <c r="C711" s="1348"/>
      <c r="D711" s="1348"/>
      <c r="E711" s="1348"/>
      <c r="F711" s="1348"/>
      <c r="G711" s="1348"/>
      <c r="H711" s="1348"/>
      <c r="I711" s="1348"/>
      <c r="J711" s="1348"/>
      <c r="K711" s="1348"/>
    </row>
    <row r="712" spans="2:11" hidden="1">
      <c r="B712" s="1348"/>
      <c r="C712" s="1348"/>
      <c r="D712" s="1348"/>
      <c r="E712" s="1348"/>
      <c r="F712" s="1348"/>
      <c r="G712" s="1348"/>
      <c r="H712" s="1348"/>
      <c r="I712" s="1348"/>
      <c r="J712" s="1348"/>
      <c r="K712" s="1348"/>
    </row>
    <row r="713" spans="2:11" hidden="1">
      <c r="B713" s="1348"/>
      <c r="C713" s="1348"/>
      <c r="D713" s="1348"/>
      <c r="E713" s="1348"/>
      <c r="F713" s="1348"/>
      <c r="G713" s="1348"/>
      <c r="H713" s="1348"/>
      <c r="I713" s="1348"/>
      <c r="J713" s="1348"/>
      <c r="K713" s="1348"/>
    </row>
    <row r="714" spans="2:11" hidden="1">
      <c r="B714" s="1348"/>
      <c r="C714" s="1348"/>
      <c r="D714" s="1348"/>
      <c r="E714" s="1348"/>
      <c r="F714" s="1348"/>
      <c r="G714" s="1348"/>
      <c r="H714" s="1348"/>
      <c r="I714" s="1348"/>
      <c r="J714" s="1348"/>
      <c r="K714" s="1348"/>
    </row>
    <row r="715" spans="2:11" hidden="1">
      <c r="B715" s="1348"/>
      <c r="C715" s="1348"/>
      <c r="D715" s="1348"/>
      <c r="E715" s="1348"/>
      <c r="F715" s="1348"/>
      <c r="G715" s="1348"/>
      <c r="H715" s="1348"/>
      <c r="I715" s="1348"/>
      <c r="J715" s="1348"/>
      <c r="K715" s="1348"/>
    </row>
    <row r="716" spans="2:11" hidden="1">
      <c r="B716" s="1348"/>
      <c r="C716" s="1348"/>
      <c r="D716" s="1348"/>
      <c r="E716" s="1348"/>
      <c r="F716" s="1348"/>
      <c r="G716" s="1348"/>
      <c r="H716" s="1348"/>
      <c r="I716" s="1348"/>
      <c r="J716" s="1348"/>
      <c r="K716" s="1348"/>
    </row>
    <row r="717" spans="2:11" hidden="1">
      <c r="B717" s="1348"/>
      <c r="C717" s="1348"/>
      <c r="D717" s="1348"/>
      <c r="E717" s="1348"/>
      <c r="F717" s="1348"/>
      <c r="G717" s="1348"/>
      <c r="H717" s="1348"/>
      <c r="I717" s="1348"/>
      <c r="J717" s="1348"/>
      <c r="K717" s="1348"/>
    </row>
    <row r="718" spans="2:11" hidden="1">
      <c r="B718" s="1348"/>
      <c r="C718" s="1348"/>
      <c r="D718" s="1348"/>
      <c r="E718" s="1348"/>
      <c r="F718" s="1348"/>
      <c r="G718" s="1348"/>
      <c r="H718" s="1348"/>
      <c r="I718" s="1348"/>
      <c r="J718" s="1348"/>
      <c r="K718" s="1348"/>
    </row>
    <row r="719" spans="2:11" hidden="1">
      <c r="B719" s="1348"/>
      <c r="C719" s="1348"/>
      <c r="D719" s="1348"/>
      <c r="E719" s="1348"/>
      <c r="F719" s="1348"/>
      <c r="G719" s="1348"/>
      <c r="H719" s="1348"/>
      <c r="I719" s="1348"/>
      <c r="J719" s="1348"/>
      <c r="K719" s="1348"/>
    </row>
    <row r="720" spans="2:11" hidden="1">
      <c r="B720" s="1348"/>
      <c r="C720" s="1348"/>
      <c r="D720" s="1348"/>
      <c r="E720" s="1348"/>
      <c r="F720" s="1348"/>
      <c r="G720" s="1348"/>
      <c r="H720" s="1348"/>
      <c r="I720" s="1348"/>
      <c r="J720" s="1348"/>
      <c r="K720" s="1348"/>
    </row>
    <row r="721" spans="2:11" hidden="1">
      <c r="B721" s="1348"/>
      <c r="C721" s="1348"/>
      <c r="D721" s="1348"/>
      <c r="E721" s="1348"/>
      <c r="F721" s="1348"/>
      <c r="G721" s="1348"/>
      <c r="H721" s="1348"/>
      <c r="I721" s="1348"/>
      <c r="J721" s="1348"/>
      <c r="K721" s="1348"/>
    </row>
    <row r="722" spans="2:11" hidden="1">
      <c r="B722" s="1348"/>
      <c r="C722" s="1348"/>
      <c r="D722" s="1348"/>
      <c r="E722" s="1348"/>
      <c r="F722" s="1348"/>
      <c r="G722" s="1348"/>
      <c r="H722" s="1348"/>
      <c r="I722" s="1348"/>
      <c r="J722" s="1348"/>
      <c r="K722" s="1348"/>
    </row>
    <row r="723" spans="2:11" hidden="1">
      <c r="B723" s="1348"/>
      <c r="C723" s="1348"/>
      <c r="D723" s="1348"/>
      <c r="E723" s="1348"/>
      <c r="F723" s="1348"/>
      <c r="G723" s="1348"/>
      <c r="H723" s="1348"/>
      <c r="I723" s="1348"/>
      <c r="J723" s="1348"/>
      <c r="K723" s="1348"/>
    </row>
    <row r="724" spans="2:11" hidden="1">
      <c r="B724" s="1348"/>
      <c r="C724" s="1348"/>
      <c r="D724" s="1348"/>
      <c r="E724" s="1348"/>
      <c r="F724" s="1348"/>
      <c r="G724" s="1348"/>
      <c r="H724" s="1348"/>
      <c r="I724" s="1348"/>
      <c r="J724" s="1348"/>
      <c r="K724" s="1348"/>
    </row>
    <row r="725" spans="2:11" hidden="1">
      <c r="B725" s="1348"/>
      <c r="C725" s="1348"/>
      <c r="D725" s="1348"/>
      <c r="E725" s="1348"/>
      <c r="F725" s="1348"/>
      <c r="G725" s="1348"/>
      <c r="H725" s="1348"/>
      <c r="I725" s="1348"/>
      <c r="J725" s="1348"/>
      <c r="K725" s="1348"/>
    </row>
    <row r="726" spans="2:11" hidden="1">
      <c r="B726" s="1348"/>
      <c r="C726" s="1348"/>
      <c r="D726" s="1348"/>
      <c r="E726" s="1348"/>
      <c r="F726" s="1348"/>
      <c r="G726" s="1348"/>
      <c r="H726" s="1348"/>
      <c r="I726" s="1348"/>
      <c r="J726" s="1348"/>
      <c r="K726" s="1348"/>
    </row>
    <row r="727" spans="2:11" hidden="1">
      <c r="B727" s="1348"/>
      <c r="C727" s="1348"/>
      <c r="D727" s="1348"/>
      <c r="E727" s="1348"/>
      <c r="F727" s="1348"/>
      <c r="G727" s="1348"/>
      <c r="H727" s="1348"/>
      <c r="I727" s="1348"/>
      <c r="J727" s="1348"/>
      <c r="K727" s="1348"/>
    </row>
    <row r="728" spans="2:11" hidden="1">
      <c r="B728" s="1348"/>
      <c r="C728" s="1348"/>
      <c r="D728" s="1348"/>
      <c r="E728" s="1348"/>
      <c r="F728" s="1348"/>
      <c r="G728" s="1348"/>
      <c r="H728" s="1348"/>
      <c r="I728" s="1348"/>
      <c r="J728" s="1348"/>
      <c r="K728" s="1348"/>
    </row>
    <row r="729" spans="2:11" hidden="1">
      <c r="B729" s="1348"/>
      <c r="C729" s="1348"/>
      <c r="D729" s="1348"/>
      <c r="E729" s="1348"/>
      <c r="F729" s="1348"/>
      <c r="G729" s="1348"/>
      <c r="H729" s="1348"/>
      <c r="I729" s="1348"/>
      <c r="J729" s="1348"/>
      <c r="K729" s="1348"/>
    </row>
    <row r="730" spans="2:11" hidden="1">
      <c r="B730" s="1348"/>
      <c r="C730" s="1348"/>
      <c r="D730" s="1348"/>
      <c r="E730" s="1348"/>
      <c r="F730" s="1348"/>
      <c r="G730" s="1348"/>
      <c r="H730" s="1348"/>
      <c r="I730" s="1348"/>
      <c r="J730" s="1348"/>
      <c r="K730" s="1348"/>
    </row>
    <row r="731" spans="2:11" hidden="1">
      <c r="B731" s="1348"/>
      <c r="C731" s="1348"/>
      <c r="D731" s="1348"/>
      <c r="E731" s="1348"/>
      <c r="F731" s="1348"/>
      <c r="G731" s="1348"/>
      <c r="H731" s="1348"/>
      <c r="I731" s="1348"/>
      <c r="J731" s="1348"/>
      <c r="K731" s="1348"/>
    </row>
    <row r="732" spans="2:11" hidden="1">
      <c r="B732" s="1348"/>
      <c r="C732" s="1348"/>
      <c r="D732" s="1348"/>
      <c r="E732" s="1348"/>
      <c r="F732" s="1348"/>
      <c r="G732" s="1348"/>
      <c r="H732" s="1348"/>
      <c r="I732" s="1348"/>
      <c r="J732" s="1348"/>
      <c r="K732" s="1348"/>
    </row>
    <row r="733" spans="2:11" hidden="1">
      <c r="B733" s="1348"/>
      <c r="C733" s="1348"/>
      <c r="D733" s="1348"/>
      <c r="E733" s="1348"/>
      <c r="F733" s="1348"/>
      <c r="G733" s="1348"/>
      <c r="H733" s="1348"/>
      <c r="I733" s="1348"/>
      <c r="J733" s="1348"/>
      <c r="K733" s="1348"/>
    </row>
    <row r="734" spans="2:11" hidden="1">
      <c r="B734" s="1348"/>
      <c r="C734" s="1348"/>
      <c r="D734" s="1348"/>
      <c r="E734" s="1348"/>
      <c r="F734" s="1348"/>
      <c r="G734" s="1348"/>
      <c r="H734" s="1348"/>
      <c r="I734" s="1348"/>
      <c r="J734" s="1348"/>
      <c r="K734" s="1348"/>
    </row>
    <row r="735" spans="2:11" hidden="1">
      <c r="B735" s="1348"/>
      <c r="C735" s="1348"/>
      <c r="D735" s="1348"/>
      <c r="E735" s="1348"/>
      <c r="F735" s="1348"/>
      <c r="G735" s="1348"/>
      <c r="H735" s="1348"/>
      <c r="I735" s="1348"/>
      <c r="J735" s="1348"/>
      <c r="K735" s="1348"/>
    </row>
    <row r="736" spans="2:11" hidden="1">
      <c r="B736" s="1348"/>
      <c r="C736" s="1348"/>
      <c r="D736" s="1348"/>
      <c r="E736" s="1348"/>
      <c r="F736" s="1348"/>
      <c r="G736" s="1348"/>
      <c r="H736" s="1348"/>
      <c r="I736" s="1348"/>
      <c r="J736" s="1348"/>
      <c r="K736" s="1348"/>
    </row>
    <row r="737" spans="2:11" hidden="1">
      <c r="B737" s="1348"/>
      <c r="C737" s="1348"/>
      <c r="D737" s="1348"/>
      <c r="E737" s="1348"/>
      <c r="F737" s="1348"/>
      <c r="G737" s="1348"/>
      <c r="H737" s="1348"/>
      <c r="I737" s="1348"/>
      <c r="J737" s="1348"/>
      <c r="K737" s="1348"/>
    </row>
    <row r="738" spans="2:11" hidden="1">
      <c r="B738" s="1348"/>
      <c r="C738" s="1348"/>
      <c r="D738" s="1348"/>
      <c r="E738" s="1348"/>
      <c r="F738" s="1348"/>
      <c r="G738" s="1348"/>
      <c r="H738" s="1348"/>
      <c r="I738" s="1348"/>
      <c r="J738" s="1348"/>
      <c r="K738" s="1348"/>
    </row>
    <row r="739" spans="2:11" hidden="1">
      <c r="B739" s="1348"/>
      <c r="C739" s="1348"/>
      <c r="D739" s="1348"/>
      <c r="E739" s="1348"/>
      <c r="F739" s="1348"/>
      <c r="G739" s="1348"/>
      <c r="H739" s="1348"/>
      <c r="I739" s="1348"/>
      <c r="J739" s="1348"/>
      <c r="K739" s="1348"/>
    </row>
    <row r="740" spans="2:11" hidden="1">
      <c r="B740" s="1348"/>
      <c r="C740" s="1348"/>
      <c r="D740" s="1348"/>
      <c r="E740" s="1348"/>
      <c r="F740" s="1348"/>
      <c r="G740" s="1348"/>
      <c r="H740" s="1348"/>
      <c r="I740" s="1348"/>
      <c r="J740" s="1348"/>
      <c r="K740" s="1348"/>
    </row>
    <row r="741" spans="2:11" hidden="1">
      <c r="B741" s="1348"/>
      <c r="C741" s="1348"/>
      <c r="D741" s="1348"/>
      <c r="E741" s="1348"/>
      <c r="F741" s="1348"/>
      <c r="G741" s="1348"/>
      <c r="H741" s="1348"/>
      <c r="I741" s="1348"/>
      <c r="J741" s="1348"/>
      <c r="K741" s="1348"/>
    </row>
    <row r="742" spans="2:11" hidden="1">
      <c r="B742" s="1348"/>
      <c r="C742" s="1348"/>
      <c r="D742" s="1348"/>
      <c r="E742" s="1348"/>
      <c r="F742" s="1348"/>
      <c r="G742" s="1348"/>
      <c r="H742" s="1348"/>
      <c r="I742" s="1348"/>
      <c r="J742" s="1348"/>
      <c r="K742" s="1348"/>
    </row>
    <row r="743" spans="2:11" hidden="1">
      <c r="B743" s="1348"/>
      <c r="C743" s="1348"/>
      <c r="D743" s="1348"/>
      <c r="E743" s="1348"/>
      <c r="F743" s="1348"/>
      <c r="G743" s="1348"/>
      <c r="H743" s="1348"/>
      <c r="I743" s="1348"/>
      <c r="J743" s="1348"/>
      <c r="K743" s="1348"/>
    </row>
    <row r="744" spans="2:11" hidden="1">
      <c r="B744" s="1348"/>
      <c r="C744" s="1348"/>
      <c r="D744" s="1348"/>
      <c r="E744" s="1348"/>
      <c r="F744" s="1348"/>
      <c r="G744" s="1348"/>
      <c r="H744" s="1348"/>
      <c r="I744" s="1348"/>
      <c r="J744" s="1348"/>
      <c r="K744" s="1348"/>
    </row>
    <row r="745" spans="2:11" hidden="1">
      <c r="B745" s="1348"/>
      <c r="C745" s="1348"/>
      <c r="D745" s="1348"/>
      <c r="E745" s="1348"/>
      <c r="F745" s="1348"/>
      <c r="G745" s="1348"/>
      <c r="H745" s="1348"/>
      <c r="I745" s="1348"/>
      <c r="J745" s="1348"/>
      <c r="K745" s="1348"/>
    </row>
    <row r="746" spans="2:11" hidden="1">
      <c r="B746" s="1348"/>
      <c r="C746" s="1348"/>
      <c r="D746" s="1348"/>
      <c r="E746" s="1348"/>
      <c r="F746" s="1348"/>
      <c r="G746" s="1348"/>
      <c r="H746" s="1348"/>
      <c r="I746" s="1348"/>
      <c r="J746" s="1348"/>
      <c r="K746" s="1348"/>
    </row>
    <row r="747" spans="2:11" hidden="1">
      <c r="B747" s="1348"/>
      <c r="C747" s="1348"/>
      <c r="D747" s="1348"/>
      <c r="E747" s="1348"/>
      <c r="F747" s="1348"/>
      <c r="G747" s="1348"/>
      <c r="H747" s="1348"/>
      <c r="I747" s="1348"/>
      <c r="J747" s="1348"/>
      <c r="K747" s="1348"/>
    </row>
    <row r="748" spans="2:11" hidden="1">
      <c r="B748" s="1348"/>
      <c r="C748" s="1348"/>
      <c r="D748" s="1348"/>
      <c r="E748" s="1348"/>
      <c r="F748" s="1348"/>
      <c r="G748" s="1348"/>
      <c r="H748" s="1348"/>
      <c r="I748" s="1348"/>
      <c r="J748" s="1348"/>
      <c r="K748" s="1348"/>
    </row>
    <row r="749" spans="2:11" hidden="1">
      <c r="B749" s="1348"/>
      <c r="C749" s="1348"/>
      <c r="D749" s="1348"/>
      <c r="E749" s="1348"/>
      <c r="F749" s="1348"/>
      <c r="G749" s="1348"/>
      <c r="H749" s="1348"/>
      <c r="I749" s="1348"/>
      <c r="J749" s="1348"/>
      <c r="K749" s="1348"/>
    </row>
    <row r="750" spans="2:11" hidden="1">
      <c r="B750" s="1348"/>
      <c r="C750" s="1348"/>
      <c r="D750" s="1348"/>
      <c r="E750" s="1348"/>
      <c r="F750" s="1348"/>
      <c r="G750" s="1348"/>
      <c r="H750" s="1348"/>
      <c r="I750" s="1348"/>
      <c r="J750" s="1348"/>
      <c r="K750" s="1348"/>
    </row>
    <row r="751" spans="2:11" hidden="1">
      <c r="B751" s="1348"/>
      <c r="C751" s="1348"/>
      <c r="D751" s="1348"/>
      <c r="E751" s="1348"/>
      <c r="F751" s="1348"/>
      <c r="G751" s="1348"/>
      <c r="H751" s="1348"/>
      <c r="I751" s="1348"/>
      <c r="J751" s="1348"/>
      <c r="K751" s="1348"/>
    </row>
    <row r="752" spans="2:11" hidden="1">
      <c r="B752" s="1348"/>
      <c r="C752" s="1348"/>
      <c r="D752" s="1348"/>
      <c r="E752" s="1348"/>
      <c r="F752" s="1348"/>
      <c r="G752" s="1348"/>
      <c r="H752" s="1348"/>
      <c r="I752" s="1348"/>
      <c r="J752" s="1348"/>
      <c r="K752" s="1348"/>
    </row>
    <row r="753" spans="2:11" hidden="1">
      <c r="B753" s="1348"/>
      <c r="C753" s="1348"/>
      <c r="D753" s="1348"/>
      <c r="E753" s="1348"/>
      <c r="F753" s="1348"/>
      <c r="G753" s="1348"/>
      <c r="H753" s="1348"/>
      <c r="I753" s="1348"/>
      <c r="J753" s="1348"/>
      <c r="K753" s="1348"/>
    </row>
    <row r="754" spans="2:11" hidden="1">
      <c r="B754" s="1348"/>
      <c r="C754" s="1348"/>
      <c r="D754" s="1348"/>
      <c r="E754" s="1348"/>
      <c r="F754" s="1348"/>
      <c r="G754" s="1348"/>
      <c r="H754" s="1348"/>
      <c r="I754" s="1348"/>
      <c r="J754" s="1348"/>
      <c r="K754" s="1348"/>
    </row>
    <row r="755" spans="2:11" hidden="1">
      <c r="B755" s="1348"/>
      <c r="C755" s="1348"/>
      <c r="D755" s="1348"/>
      <c r="E755" s="1348"/>
      <c r="F755" s="1348"/>
      <c r="G755" s="1348"/>
      <c r="H755" s="1348"/>
      <c r="I755" s="1348"/>
      <c r="J755" s="1348"/>
      <c r="K755" s="1348"/>
    </row>
    <row r="756" spans="2:11" hidden="1">
      <c r="B756" s="1348"/>
      <c r="C756" s="1348"/>
      <c r="D756" s="1348"/>
      <c r="E756" s="1348"/>
      <c r="F756" s="1348"/>
      <c r="G756" s="1348"/>
      <c r="H756" s="1348"/>
      <c r="I756" s="1348"/>
      <c r="J756" s="1348"/>
      <c r="K756" s="1348"/>
    </row>
    <row r="757" spans="2:11" hidden="1">
      <c r="B757" s="1348"/>
      <c r="C757" s="1348"/>
      <c r="D757" s="1348"/>
      <c r="E757" s="1348"/>
      <c r="F757" s="1348"/>
      <c r="G757" s="1348"/>
      <c r="H757" s="1348"/>
      <c r="I757" s="1348"/>
      <c r="J757" s="1348"/>
      <c r="K757" s="1348"/>
    </row>
    <row r="758" spans="2:11" hidden="1">
      <c r="B758" s="1348"/>
      <c r="C758" s="1348"/>
      <c r="D758" s="1348"/>
      <c r="E758" s="1348"/>
      <c r="F758" s="1348"/>
      <c r="G758" s="1348"/>
      <c r="H758" s="1348"/>
      <c r="I758" s="1348"/>
      <c r="J758" s="1348"/>
      <c r="K758" s="1348"/>
    </row>
    <row r="759" spans="2:11" hidden="1">
      <c r="B759" s="1348"/>
      <c r="C759" s="1348"/>
      <c r="D759" s="1348"/>
      <c r="E759" s="1348"/>
      <c r="F759" s="1348"/>
      <c r="G759" s="1348"/>
      <c r="H759" s="1348"/>
      <c r="I759" s="1348"/>
      <c r="J759" s="1348"/>
      <c r="K759" s="1348"/>
    </row>
    <row r="760" spans="2:11" hidden="1">
      <c r="B760" s="1348"/>
      <c r="C760" s="1348"/>
      <c r="D760" s="1348"/>
      <c r="E760" s="1348"/>
      <c r="F760" s="1348"/>
      <c r="G760" s="1348"/>
      <c r="H760" s="1348"/>
      <c r="I760" s="1348"/>
      <c r="J760" s="1348"/>
      <c r="K760" s="1348"/>
    </row>
    <row r="761" spans="2:11" hidden="1">
      <c r="B761" s="1348"/>
      <c r="C761" s="1348"/>
      <c r="D761" s="1348"/>
      <c r="E761" s="1348"/>
      <c r="F761" s="1348"/>
      <c r="G761" s="1348"/>
      <c r="H761" s="1348"/>
      <c r="I761" s="1348"/>
      <c r="J761" s="1348"/>
      <c r="K761" s="1348"/>
    </row>
    <row r="762" spans="2:11" hidden="1">
      <c r="B762" s="1348"/>
      <c r="C762" s="1348"/>
      <c r="D762" s="1348"/>
      <c r="E762" s="1348"/>
      <c r="F762" s="1348"/>
      <c r="G762" s="1348"/>
      <c r="H762" s="1348"/>
      <c r="I762" s="1348"/>
      <c r="J762" s="1348"/>
      <c r="K762" s="1348"/>
    </row>
    <row r="763" spans="2:11" hidden="1">
      <c r="B763" s="1348"/>
      <c r="C763" s="1348"/>
      <c r="D763" s="1348"/>
      <c r="E763" s="1348"/>
      <c r="F763" s="1348"/>
      <c r="G763" s="1348"/>
      <c r="H763" s="1348"/>
      <c r="I763" s="1348"/>
      <c r="J763" s="1348"/>
      <c r="K763" s="1348"/>
    </row>
    <row r="764" spans="2:11" hidden="1">
      <c r="B764" s="1348"/>
      <c r="C764" s="1348"/>
      <c r="D764" s="1348"/>
      <c r="E764" s="1348"/>
      <c r="F764" s="1348"/>
      <c r="G764" s="1348"/>
      <c r="H764" s="1348"/>
      <c r="I764" s="1348"/>
      <c r="J764" s="1348"/>
      <c r="K764" s="1348"/>
    </row>
    <row r="765" spans="2:11" hidden="1">
      <c r="B765" s="1348"/>
      <c r="C765" s="1348"/>
      <c r="D765" s="1348"/>
      <c r="E765" s="1348"/>
      <c r="F765" s="1348"/>
      <c r="G765" s="1348"/>
      <c r="H765" s="1348"/>
      <c r="I765" s="1348"/>
      <c r="J765" s="1348"/>
      <c r="K765" s="1348"/>
    </row>
    <row r="766" spans="2:11" hidden="1">
      <c r="B766" s="1348"/>
      <c r="C766" s="1348"/>
      <c r="D766" s="1348"/>
      <c r="E766" s="1348"/>
      <c r="F766" s="1348"/>
      <c r="G766" s="1348"/>
      <c r="H766" s="1348"/>
      <c r="I766" s="1348"/>
      <c r="J766" s="1348"/>
      <c r="K766" s="1348"/>
    </row>
    <row r="767" spans="2:11" hidden="1">
      <c r="B767" s="1348"/>
      <c r="C767" s="1348"/>
      <c r="D767" s="1348"/>
      <c r="E767" s="1348"/>
      <c r="F767" s="1348"/>
      <c r="G767" s="1348"/>
      <c r="H767" s="1348"/>
      <c r="I767" s="1348"/>
      <c r="J767" s="1348"/>
      <c r="K767" s="1348"/>
    </row>
    <row r="768" spans="2:11" hidden="1">
      <c r="B768" s="1348"/>
      <c r="C768" s="1348"/>
      <c r="D768" s="1348"/>
      <c r="E768" s="1348"/>
      <c r="F768" s="1348"/>
      <c r="G768" s="1348"/>
      <c r="H768" s="1348"/>
      <c r="I768" s="1348"/>
      <c r="J768" s="1348"/>
      <c r="K768" s="1348"/>
    </row>
    <row r="769" spans="2:11" hidden="1">
      <c r="B769" s="1348"/>
      <c r="C769" s="1348"/>
      <c r="D769" s="1348"/>
      <c r="E769" s="1348"/>
      <c r="F769" s="1348"/>
      <c r="G769" s="1348"/>
      <c r="H769" s="1348"/>
      <c r="I769" s="1348"/>
      <c r="J769" s="1348"/>
      <c r="K769" s="1348"/>
    </row>
    <row r="770" spans="2:11" hidden="1">
      <c r="B770" s="1348"/>
      <c r="C770" s="1348"/>
      <c r="D770" s="1348"/>
      <c r="E770" s="1348"/>
      <c r="F770" s="1348"/>
      <c r="G770" s="1348"/>
      <c r="H770" s="1348"/>
      <c r="I770" s="1348"/>
      <c r="J770" s="1348"/>
      <c r="K770" s="1348"/>
    </row>
    <row r="771" spans="2:11" hidden="1">
      <c r="B771" s="1348"/>
      <c r="C771" s="1348"/>
      <c r="D771" s="1348"/>
      <c r="E771" s="1348"/>
      <c r="F771" s="1348"/>
      <c r="G771" s="1348"/>
      <c r="H771" s="1348"/>
      <c r="I771" s="1348"/>
      <c r="J771" s="1348"/>
      <c r="K771" s="1348"/>
    </row>
    <row r="772" spans="2:11" hidden="1">
      <c r="B772" s="1348"/>
      <c r="C772" s="1348"/>
      <c r="D772" s="1348"/>
      <c r="E772" s="1348"/>
      <c r="F772" s="1348"/>
      <c r="G772" s="1348"/>
      <c r="H772" s="1348"/>
      <c r="I772" s="1348"/>
      <c r="J772" s="1348"/>
      <c r="K772" s="1348"/>
    </row>
    <row r="773" spans="2:11" hidden="1">
      <c r="B773" s="1348"/>
      <c r="C773" s="1348"/>
      <c r="D773" s="1348"/>
      <c r="E773" s="1348"/>
      <c r="F773" s="1348"/>
      <c r="G773" s="1348"/>
      <c r="H773" s="1348"/>
      <c r="I773" s="1348"/>
      <c r="J773" s="1348"/>
      <c r="K773" s="1348"/>
    </row>
    <row r="774" spans="2:11" hidden="1">
      <c r="B774" s="1348"/>
      <c r="C774" s="1348"/>
      <c r="D774" s="1348"/>
      <c r="E774" s="1348"/>
      <c r="F774" s="1348"/>
      <c r="G774" s="1348"/>
      <c r="H774" s="1348"/>
      <c r="I774" s="1348"/>
      <c r="J774" s="1348"/>
      <c r="K774" s="1348"/>
    </row>
    <row r="775" spans="2:11" hidden="1">
      <c r="B775" s="1348"/>
      <c r="C775" s="1348"/>
      <c r="D775" s="1348"/>
      <c r="E775" s="1348"/>
      <c r="F775" s="1348"/>
      <c r="G775" s="1348"/>
      <c r="H775" s="1348"/>
      <c r="I775" s="1348"/>
      <c r="J775" s="1348"/>
      <c r="K775" s="1348"/>
    </row>
    <row r="776" spans="2:11" hidden="1">
      <c r="B776" s="1348"/>
      <c r="C776" s="1348"/>
      <c r="D776" s="1348"/>
      <c r="E776" s="1348"/>
      <c r="F776" s="1348"/>
      <c r="G776" s="1348"/>
      <c r="H776" s="1348"/>
      <c r="I776" s="1348"/>
      <c r="J776" s="1348"/>
      <c r="K776" s="1348"/>
    </row>
    <row r="777" spans="2:11" hidden="1">
      <c r="B777" s="1348"/>
      <c r="C777" s="1348"/>
      <c r="D777" s="1348"/>
      <c r="E777" s="1348"/>
      <c r="F777" s="1348"/>
      <c r="G777" s="1348"/>
      <c r="H777" s="1348"/>
      <c r="I777" s="1348"/>
      <c r="J777" s="1348"/>
      <c r="K777" s="1348"/>
    </row>
    <row r="778" spans="2:11" hidden="1">
      <c r="B778" s="1348"/>
      <c r="C778" s="1348"/>
      <c r="D778" s="1348"/>
      <c r="E778" s="1348"/>
      <c r="F778" s="1348"/>
      <c r="G778" s="1348"/>
      <c r="H778" s="1348"/>
      <c r="I778" s="1348"/>
      <c r="J778" s="1348"/>
      <c r="K778" s="1348"/>
    </row>
    <row r="779" spans="2:11" hidden="1">
      <c r="B779" s="1348"/>
      <c r="C779" s="1348"/>
      <c r="D779" s="1348"/>
      <c r="E779" s="1348"/>
      <c r="F779" s="1348"/>
      <c r="G779" s="1348"/>
      <c r="H779" s="1348"/>
      <c r="I779" s="1348"/>
      <c r="J779" s="1348"/>
      <c r="K779" s="1348"/>
    </row>
    <row r="780" spans="2:11" hidden="1">
      <c r="B780" s="1348"/>
      <c r="C780" s="1348"/>
      <c r="D780" s="1348"/>
      <c r="E780" s="1348"/>
      <c r="F780" s="1348"/>
      <c r="G780" s="1348"/>
      <c r="H780" s="1348"/>
      <c r="I780" s="1348"/>
      <c r="J780" s="1348"/>
      <c r="K780" s="1348"/>
    </row>
    <row r="781" spans="2:11" hidden="1">
      <c r="B781" s="1348"/>
      <c r="C781" s="1348"/>
      <c r="D781" s="1348"/>
      <c r="E781" s="1348"/>
      <c r="F781" s="1348"/>
      <c r="G781" s="1348"/>
      <c r="H781" s="1348"/>
      <c r="I781" s="1348"/>
      <c r="J781" s="1348"/>
      <c r="K781" s="1348"/>
    </row>
    <row r="782" spans="2:11" hidden="1">
      <c r="B782" s="1348"/>
      <c r="C782" s="1348"/>
      <c r="D782" s="1348"/>
      <c r="E782" s="1348"/>
      <c r="F782" s="1348"/>
      <c r="G782" s="1348"/>
      <c r="H782" s="1348"/>
      <c r="I782" s="1348"/>
      <c r="J782" s="1348"/>
      <c r="K782" s="1348"/>
    </row>
    <row r="783" spans="2:11" hidden="1">
      <c r="B783" s="1348"/>
      <c r="C783" s="1348"/>
      <c r="D783" s="1348"/>
      <c r="E783" s="1348"/>
      <c r="F783" s="1348"/>
      <c r="G783" s="1348"/>
      <c r="H783" s="1348"/>
      <c r="I783" s="1348"/>
      <c r="J783" s="1348"/>
      <c r="K783" s="1348"/>
    </row>
    <row r="784" spans="2:11" hidden="1">
      <c r="B784" s="1348"/>
      <c r="C784" s="1348"/>
      <c r="D784" s="1348"/>
      <c r="E784" s="1348"/>
      <c r="F784" s="1348"/>
      <c r="G784" s="1348"/>
      <c r="H784" s="1348"/>
      <c r="I784" s="1348"/>
      <c r="J784" s="1348"/>
      <c r="K784" s="1348"/>
    </row>
    <row r="785" spans="2:11" hidden="1">
      <c r="B785" s="1348"/>
      <c r="C785" s="1348"/>
      <c r="D785" s="1348"/>
      <c r="E785" s="1348"/>
      <c r="F785" s="1348"/>
      <c r="G785" s="1348"/>
      <c r="H785" s="1348"/>
      <c r="I785" s="1348"/>
      <c r="J785" s="1348"/>
      <c r="K785" s="1348"/>
    </row>
    <row r="786" spans="2:11" hidden="1">
      <c r="B786" s="1348"/>
      <c r="C786" s="1348"/>
      <c r="D786" s="1348"/>
      <c r="E786" s="1348"/>
      <c r="F786" s="1348"/>
      <c r="G786" s="1348"/>
      <c r="H786" s="1348"/>
      <c r="I786" s="1348"/>
      <c r="J786" s="1348"/>
      <c r="K786" s="1348"/>
    </row>
    <row r="787" spans="2:11" hidden="1">
      <c r="B787" s="1348"/>
      <c r="C787" s="1348"/>
      <c r="D787" s="1348"/>
      <c r="E787" s="1348"/>
      <c r="F787" s="1348"/>
      <c r="G787" s="1348"/>
      <c r="H787" s="1348"/>
      <c r="I787" s="1348"/>
      <c r="J787" s="1348"/>
      <c r="K787" s="1348"/>
    </row>
    <row r="788" spans="2:11" hidden="1">
      <c r="B788" s="1348"/>
      <c r="C788" s="1348"/>
      <c r="D788" s="1348"/>
      <c r="E788" s="1348"/>
      <c r="F788" s="1348"/>
      <c r="G788" s="1348"/>
      <c r="H788" s="1348"/>
      <c r="I788" s="1348"/>
      <c r="J788" s="1348"/>
      <c r="K788" s="1348"/>
    </row>
    <row r="789" spans="2:11" hidden="1">
      <c r="B789" s="1348"/>
      <c r="C789" s="1348"/>
      <c r="D789" s="1348"/>
      <c r="E789" s="1348"/>
      <c r="F789" s="1348"/>
      <c r="G789" s="1348"/>
      <c r="H789" s="1348"/>
      <c r="I789" s="1348"/>
      <c r="J789" s="1348"/>
      <c r="K789" s="1348"/>
    </row>
    <row r="790" spans="2:11" hidden="1">
      <c r="B790" s="1348"/>
      <c r="C790" s="1348"/>
      <c r="D790" s="1348"/>
      <c r="E790" s="1348"/>
      <c r="F790" s="1348"/>
      <c r="G790" s="1348"/>
      <c r="H790" s="1348"/>
      <c r="I790" s="1348"/>
      <c r="J790" s="1348"/>
      <c r="K790" s="1348"/>
    </row>
    <row r="791" spans="2:11" hidden="1">
      <c r="B791" s="1348"/>
      <c r="C791" s="1348"/>
      <c r="D791" s="1348"/>
      <c r="E791" s="1348"/>
      <c r="F791" s="1348"/>
      <c r="G791" s="1348"/>
      <c r="H791" s="1348"/>
      <c r="I791" s="1348"/>
      <c r="J791" s="1348"/>
      <c r="K791" s="1348"/>
    </row>
    <row r="792" spans="2:11" hidden="1">
      <c r="B792" s="1348"/>
      <c r="C792" s="1348"/>
      <c r="D792" s="1348"/>
      <c r="E792" s="1348"/>
      <c r="F792" s="1348"/>
      <c r="G792" s="1348"/>
      <c r="H792" s="1348"/>
      <c r="I792" s="1348"/>
      <c r="J792" s="1348"/>
      <c r="K792" s="1348"/>
    </row>
    <row r="793" spans="2:11" hidden="1">
      <c r="B793" s="1348"/>
      <c r="C793" s="1348"/>
      <c r="D793" s="1348"/>
      <c r="E793" s="1348"/>
      <c r="F793" s="1348"/>
      <c r="G793" s="1348"/>
      <c r="H793" s="1348"/>
      <c r="I793" s="1348"/>
      <c r="J793" s="1348"/>
      <c r="K793" s="1348"/>
    </row>
    <row r="794" spans="2:11" hidden="1">
      <c r="B794" s="1348"/>
      <c r="C794" s="1348"/>
      <c r="D794" s="1348"/>
      <c r="E794" s="1348"/>
      <c r="F794" s="1348"/>
      <c r="G794" s="1348"/>
      <c r="H794" s="1348"/>
      <c r="I794" s="1348"/>
      <c r="J794" s="1348"/>
      <c r="K794" s="1348"/>
    </row>
    <row r="795" spans="2:11" hidden="1">
      <c r="B795" s="1348"/>
      <c r="C795" s="1348"/>
      <c r="D795" s="1348"/>
      <c r="E795" s="1348"/>
      <c r="F795" s="1348"/>
      <c r="G795" s="1348"/>
      <c r="H795" s="1348"/>
      <c r="I795" s="1348"/>
      <c r="J795" s="1348"/>
      <c r="K795" s="1348"/>
    </row>
    <row r="796" spans="2:11" hidden="1">
      <c r="B796" s="1348"/>
      <c r="C796" s="1348"/>
      <c r="D796" s="1348"/>
      <c r="E796" s="1348"/>
      <c r="F796" s="1348"/>
      <c r="G796" s="1348"/>
      <c r="H796" s="1348"/>
      <c r="I796" s="1348"/>
      <c r="J796" s="1348"/>
      <c r="K796" s="1348"/>
    </row>
    <row r="797" spans="2:11" hidden="1">
      <c r="B797" s="1348"/>
      <c r="C797" s="1348"/>
      <c r="D797" s="1348"/>
      <c r="E797" s="1348"/>
      <c r="F797" s="1348"/>
      <c r="G797" s="1348"/>
      <c r="H797" s="1348"/>
      <c r="I797" s="1348"/>
      <c r="J797" s="1348"/>
      <c r="K797" s="1348"/>
    </row>
    <row r="798" spans="2:11" hidden="1">
      <c r="B798" s="1348"/>
      <c r="C798" s="1348"/>
      <c r="D798" s="1348"/>
      <c r="E798" s="1348"/>
      <c r="F798" s="1348"/>
      <c r="G798" s="1348"/>
      <c r="H798" s="1348"/>
      <c r="I798" s="1348"/>
      <c r="J798" s="1348"/>
      <c r="K798" s="1348"/>
    </row>
    <row r="799" spans="2:11" hidden="1">
      <c r="B799" s="1348"/>
      <c r="C799" s="1348"/>
      <c r="D799" s="1348"/>
      <c r="E799" s="1348"/>
      <c r="F799" s="1348"/>
      <c r="G799" s="1348"/>
      <c r="H799" s="1348"/>
      <c r="I799" s="1348"/>
      <c r="J799" s="1348"/>
      <c r="K799" s="1348"/>
    </row>
    <row r="800" spans="2:11" hidden="1">
      <c r="B800" s="1348"/>
      <c r="C800" s="1348"/>
      <c r="D800" s="1348"/>
      <c r="E800" s="1348"/>
      <c r="F800" s="1348"/>
      <c r="G800" s="1348"/>
      <c r="H800" s="1348"/>
      <c r="I800" s="1348"/>
      <c r="J800" s="1348"/>
      <c r="K800" s="1348"/>
    </row>
    <row r="801" spans="2:11" hidden="1">
      <c r="B801" s="1348"/>
      <c r="C801" s="1348"/>
      <c r="D801" s="1348"/>
      <c r="E801" s="1348"/>
      <c r="F801" s="1348"/>
      <c r="G801" s="1348"/>
      <c r="H801" s="1348"/>
      <c r="I801" s="1348"/>
      <c r="J801" s="1348"/>
      <c r="K801" s="1348"/>
    </row>
    <row r="802" spans="2:11" hidden="1">
      <c r="B802" s="1348"/>
      <c r="C802" s="1348"/>
      <c r="D802" s="1348"/>
      <c r="E802" s="1348"/>
      <c r="F802" s="1348"/>
      <c r="G802" s="1348"/>
      <c r="H802" s="1348"/>
      <c r="I802" s="1348"/>
      <c r="J802" s="1348"/>
      <c r="K802" s="1348"/>
    </row>
    <row r="803" spans="2:11" hidden="1">
      <c r="B803" s="1348"/>
      <c r="C803" s="1348"/>
      <c r="D803" s="1348"/>
      <c r="E803" s="1348"/>
      <c r="F803" s="1348"/>
      <c r="G803" s="1348"/>
      <c r="H803" s="1348"/>
      <c r="I803" s="1348"/>
      <c r="J803" s="1348"/>
      <c r="K803" s="1348"/>
    </row>
    <row r="804" spans="2:11" hidden="1">
      <c r="B804" s="1348"/>
      <c r="C804" s="1348"/>
      <c r="D804" s="1348"/>
      <c r="E804" s="1348"/>
      <c r="F804" s="1348"/>
      <c r="G804" s="1348"/>
      <c r="H804" s="1348"/>
      <c r="I804" s="1348"/>
      <c r="J804" s="1348"/>
      <c r="K804" s="1348"/>
    </row>
    <row r="805" spans="2:11" hidden="1">
      <c r="B805" s="1348"/>
      <c r="C805" s="1348"/>
      <c r="D805" s="1348"/>
      <c r="E805" s="1348"/>
      <c r="F805" s="1348"/>
      <c r="G805" s="1348"/>
      <c r="H805" s="1348"/>
      <c r="I805" s="1348"/>
      <c r="J805" s="1348"/>
      <c r="K805" s="1348"/>
    </row>
    <row r="806" spans="2:11" hidden="1">
      <c r="B806" s="1348"/>
      <c r="C806" s="1348"/>
      <c r="D806" s="1348"/>
      <c r="E806" s="1348"/>
      <c r="F806" s="1348"/>
      <c r="G806" s="1348"/>
      <c r="H806" s="1348"/>
      <c r="I806" s="1348"/>
      <c r="J806" s="1348"/>
      <c r="K806" s="1348"/>
    </row>
    <row r="807" spans="2:11" hidden="1">
      <c r="B807" s="1348"/>
      <c r="C807" s="1348"/>
      <c r="D807" s="1348"/>
      <c r="E807" s="1348"/>
      <c r="F807" s="1348"/>
      <c r="G807" s="1348"/>
      <c r="H807" s="1348"/>
      <c r="I807" s="1348"/>
      <c r="J807" s="1348"/>
      <c r="K807" s="1348"/>
    </row>
    <row r="808" spans="2:11" hidden="1">
      <c r="B808" s="1348"/>
      <c r="C808" s="1348"/>
      <c r="D808" s="1348"/>
      <c r="E808" s="1348"/>
      <c r="F808" s="1348"/>
      <c r="G808" s="1348"/>
      <c r="H808" s="1348"/>
      <c r="I808" s="1348"/>
      <c r="J808" s="1348"/>
      <c r="K808" s="1348"/>
    </row>
    <row r="809" spans="2:11" hidden="1">
      <c r="B809" s="1348"/>
      <c r="C809" s="1348"/>
      <c r="D809" s="1348"/>
      <c r="E809" s="1348"/>
      <c r="F809" s="1348"/>
      <c r="G809" s="1348"/>
      <c r="H809" s="1348"/>
      <c r="I809" s="1348"/>
      <c r="J809" s="1348"/>
      <c r="K809" s="1348"/>
    </row>
    <row r="810" spans="2:11" hidden="1">
      <c r="B810" s="1348"/>
      <c r="C810" s="1348"/>
      <c r="D810" s="1348"/>
      <c r="E810" s="1348"/>
      <c r="F810" s="1348"/>
      <c r="G810" s="1348"/>
      <c r="H810" s="1348"/>
      <c r="I810" s="1348"/>
      <c r="J810" s="1348"/>
      <c r="K810" s="1348"/>
    </row>
    <row r="811" spans="2:11" hidden="1">
      <c r="B811" s="1348"/>
      <c r="C811" s="1348"/>
      <c r="D811" s="1348"/>
      <c r="E811" s="1348"/>
      <c r="F811" s="1348"/>
      <c r="G811" s="1348"/>
      <c r="H811" s="1348"/>
      <c r="I811" s="1348"/>
      <c r="J811" s="1348"/>
      <c r="K811" s="1348"/>
    </row>
    <row r="812" spans="2:11" hidden="1">
      <c r="B812" s="1348"/>
      <c r="C812" s="1348"/>
      <c r="D812" s="1348"/>
      <c r="E812" s="1348"/>
      <c r="F812" s="1348"/>
      <c r="G812" s="1348"/>
      <c r="H812" s="1348"/>
      <c r="I812" s="1348"/>
      <c r="J812" s="1348"/>
      <c r="K812" s="1348"/>
    </row>
    <row r="813" spans="2:11" hidden="1">
      <c r="B813" s="1348"/>
      <c r="C813" s="1348"/>
      <c r="D813" s="1348"/>
      <c r="E813" s="1348"/>
      <c r="F813" s="1348"/>
      <c r="G813" s="1348"/>
      <c r="H813" s="1348"/>
      <c r="I813" s="1348"/>
      <c r="J813" s="1348"/>
      <c r="K813" s="1348"/>
    </row>
    <row r="814" spans="2:11" hidden="1">
      <c r="B814" s="1348"/>
      <c r="C814" s="1348"/>
      <c r="D814" s="1348"/>
      <c r="E814" s="1348"/>
      <c r="F814" s="1348"/>
      <c r="G814" s="1348"/>
      <c r="H814" s="1348"/>
      <c r="I814" s="1348"/>
      <c r="J814" s="1348"/>
      <c r="K814" s="1348"/>
    </row>
    <row r="815" spans="2:11" hidden="1">
      <c r="B815" s="1348"/>
      <c r="C815" s="1348"/>
      <c r="D815" s="1348"/>
      <c r="E815" s="1348"/>
      <c r="F815" s="1348"/>
      <c r="G815" s="1348"/>
      <c r="H815" s="1348"/>
      <c r="I815" s="1348"/>
      <c r="J815" s="1348"/>
      <c r="K815" s="1348"/>
    </row>
    <row r="816" spans="2:11" hidden="1">
      <c r="B816" s="1348"/>
      <c r="C816" s="1348"/>
      <c r="D816" s="1348"/>
      <c r="E816" s="1348"/>
      <c r="F816" s="1348"/>
      <c r="G816" s="1348"/>
      <c r="H816" s="1348"/>
      <c r="I816" s="1348"/>
      <c r="J816" s="1348"/>
      <c r="K816" s="1348"/>
    </row>
    <row r="817" spans="2:11" hidden="1">
      <c r="B817" s="1348"/>
      <c r="C817" s="1348"/>
      <c r="D817" s="1348"/>
      <c r="E817" s="1348"/>
      <c r="F817" s="1348"/>
      <c r="G817" s="1348"/>
      <c r="H817" s="1348"/>
      <c r="I817" s="1348"/>
      <c r="J817" s="1348"/>
      <c r="K817" s="1348"/>
    </row>
    <row r="818" spans="2:11" hidden="1">
      <c r="B818" s="1348"/>
      <c r="C818" s="1348"/>
      <c r="D818" s="1348"/>
      <c r="E818" s="1348"/>
      <c r="F818" s="1348"/>
      <c r="G818" s="1348"/>
      <c r="H818" s="1348"/>
      <c r="I818" s="1348"/>
      <c r="J818" s="1348"/>
      <c r="K818" s="1348"/>
    </row>
    <row r="819" spans="2:11" hidden="1">
      <c r="B819" s="1348"/>
      <c r="C819" s="1348"/>
      <c r="D819" s="1348"/>
      <c r="E819" s="1348"/>
      <c r="F819" s="1348"/>
      <c r="G819" s="1348"/>
      <c r="H819" s="1348"/>
      <c r="I819" s="1348"/>
      <c r="J819" s="1348"/>
      <c r="K819" s="1348"/>
    </row>
    <row r="820" spans="2:11" hidden="1">
      <c r="B820" s="1348"/>
      <c r="C820" s="1348"/>
      <c r="D820" s="1348"/>
      <c r="E820" s="1348"/>
      <c r="F820" s="1348"/>
      <c r="G820" s="1348"/>
      <c r="H820" s="1348"/>
      <c r="I820" s="1348"/>
      <c r="J820" s="1348"/>
      <c r="K820" s="1348"/>
    </row>
    <row r="821" spans="2:11" hidden="1">
      <c r="B821" s="1348"/>
      <c r="C821" s="1348"/>
      <c r="D821" s="1348"/>
      <c r="E821" s="1348"/>
      <c r="F821" s="1348"/>
      <c r="G821" s="1348"/>
      <c r="H821" s="1348"/>
      <c r="I821" s="1348"/>
      <c r="J821" s="1348"/>
      <c r="K821" s="1348"/>
    </row>
    <row r="822" spans="2:11" hidden="1">
      <c r="B822" s="1348"/>
      <c r="C822" s="1348"/>
      <c r="D822" s="1348"/>
      <c r="E822" s="1348"/>
      <c r="F822" s="1348"/>
      <c r="G822" s="1348"/>
      <c r="H822" s="1348"/>
      <c r="I822" s="1348"/>
      <c r="J822" s="1348"/>
      <c r="K822" s="1348"/>
    </row>
    <row r="823" spans="2:11" hidden="1">
      <c r="B823" s="1348"/>
      <c r="C823" s="1348"/>
      <c r="D823" s="1348"/>
      <c r="E823" s="1348"/>
      <c r="F823" s="1348"/>
      <c r="G823" s="1348"/>
      <c r="H823" s="1348"/>
      <c r="I823" s="1348"/>
      <c r="J823" s="1348"/>
      <c r="K823" s="1348"/>
    </row>
    <row r="824" spans="2:11" hidden="1">
      <c r="B824" s="1348"/>
      <c r="C824" s="1348"/>
      <c r="D824" s="1348"/>
      <c r="E824" s="1348"/>
      <c r="F824" s="1348"/>
      <c r="G824" s="1348"/>
      <c r="H824" s="1348"/>
      <c r="I824" s="1348"/>
      <c r="J824" s="1348"/>
      <c r="K824" s="1348"/>
    </row>
    <row r="825" spans="2:11" hidden="1">
      <c r="B825" s="1348"/>
      <c r="C825" s="1348"/>
      <c r="D825" s="1348"/>
      <c r="E825" s="1348"/>
      <c r="F825" s="1348"/>
      <c r="G825" s="1348"/>
      <c r="H825" s="1348"/>
      <c r="I825" s="1348"/>
      <c r="J825" s="1348"/>
      <c r="K825" s="1348"/>
    </row>
    <row r="826" spans="2:11" hidden="1">
      <c r="B826" s="1348"/>
      <c r="C826" s="1348"/>
      <c r="D826" s="1348"/>
      <c r="E826" s="1348"/>
      <c r="F826" s="1348"/>
      <c r="G826" s="1348"/>
      <c r="H826" s="1348"/>
      <c r="I826" s="1348"/>
      <c r="J826" s="1348"/>
      <c r="K826" s="1348"/>
    </row>
    <row r="827" spans="2:11" hidden="1">
      <c r="B827" s="1348"/>
      <c r="C827" s="1348"/>
      <c r="D827" s="1348"/>
      <c r="E827" s="1348"/>
      <c r="F827" s="1348"/>
      <c r="G827" s="1348"/>
      <c r="H827" s="1348"/>
      <c r="I827" s="1348"/>
      <c r="J827" s="1348"/>
      <c r="K827" s="1348"/>
    </row>
    <row r="828" spans="2:11" hidden="1">
      <c r="B828" s="1348"/>
      <c r="C828" s="1348"/>
      <c r="D828" s="1348"/>
      <c r="E828" s="1348"/>
      <c r="F828" s="1348"/>
      <c r="G828" s="1348"/>
      <c r="H828" s="1348"/>
      <c r="I828" s="1348"/>
      <c r="J828" s="1348"/>
      <c r="K828" s="1348"/>
    </row>
    <row r="829" spans="2:11" hidden="1">
      <c r="B829" s="1348"/>
      <c r="C829" s="1348"/>
      <c r="D829" s="1348"/>
      <c r="E829" s="1348"/>
      <c r="F829" s="1348"/>
      <c r="G829" s="1348"/>
      <c r="H829" s="1348"/>
      <c r="I829" s="1348"/>
      <c r="J829" s="1348"/>
      <c r="K829" s="1348"/>
    </row>
    <row r="830" spans="2:11" hidden="1">
      <c r="B830" s="1348"/>
      <c r="C830" s="1348"/>
      <c r="D830" s="1348"/>
      <c r="E830" s="1348"/>
      <c r="F830" s="1348"/>
      <c r="G830" s="1348"/>
      <c r="H830" s="1348"/>
      <c r="I830" s="1348"/>
      <c r="J830" s="1348"/>
      <c r="K830" s="1348"/>
    </row>
    <row r="831" spans="2:11" hidden="1">
      <c r="B831" s="1348"/>
      <c r="C831" s="1348"/>
      <c r="D831" s="1348"/>
      <c r="E831" s="1348"/>
      <c r="F831" s="1348"/>
      <c r="G831" s="1348"/>
      <c r="H831" s="1348"/>
      <c r="I831" s="1348"/>
      <c r="J831" s="1348"/>
      <c r="K831" s="1348"/>
    </row>
    <row r="832" spans="2:11" hidden="1">
      <c r="B832" s="1348"/>
      <c r="C832" s="1348"/>
      <c r="D832" s="1348"/>
      <c r="E832" s="1348"/>
      <c r="F832" s="1348"/>
      <c r="G832" s="1348"/>
      <c r="H832" s="1348"/>
      <c r="I832" s="1348"/>
      <c r="J832" s="1348"/>
      <c r="K832" s="1348"/>
    </row>
    <row r="833" spans="2:11" hidden="1">
      <c r="B833" s="1348"/>
      <c r="C833" s="1348"/>
      <c r="D833" s="1348"/>
      <c r="E833" s="1348"/>
      <c r="F833" s="1348"/>
      <c r="G833" s="1348"/>
      <c r="H833" s="1348"/>
      <c r="I833" s="1348"/>
      <c r="J833" s="1348"/>
      <c r="K833" s="1348"/>
    </row>
    <row r="834" spans="2:11" hidden="1">
      <c r="B834" s="1348"/>
      <c r="C834" s="1348"/>
      <c r="D834" s="1348"/>
      <c r="E834" s="1348"/>
      <c r="F834" s="1348"/>
      <c r="G834" s="1348"/>
      <c r="H834" s="1348"/>
      <c r="I834" s="1348"/>
      <c r="J834" s="1348"/>
      <c r="K834" s="1348"/>
    </row>
    <row r="835" spans="2:11" hidden="1">
      <c r="B835" s="1348"/>
      <c r="C835" s="1348"/>
      <c r="D835" s="1348"/>
      <c r="E835" s="1348"/>
      <c r="F835" s="1348"/>
      <c r="G835" s="1348"/>
      <c r="H835" s="1348"/>
      <c r="I835" s="1348"/>
      <c r="J835" s="1348"/>
      <c r="K835" s="1348"/>
    </row>
    <row r="836" spans="2:11" hidden="1">
      <c r="B836" s="1348"/>
      <c r="C836" s="1348"/>
      <c r="D836" s="1348"/>
      <c r="E836" s="1348"/>
      <c r="F836" s="1348"/>
      <c r="G836" s="1348"/>
      <c r="H836" s="1348"/>
      <c r="I836" s="1348"/>
      <c r="J836" s="1348"/>
      <c r="K836" s="1348"/>
    </row>
    <row r="837" spans="2:11" hidden="1">
      <c r="B837" s="1348"/>
      <c r="C837" s="1348"/>
      <c r="D837" s="1348"/>
      <c r="E837" s="1348"/>
      <c r="F837" s="1348"/>
      <c r="G837" s="1348"/>
      <c r="H837" s="1348"/>
      <c r="I837" s="1348"/>
      <c r="J837" s="1348"/>
      <c r="K837" s="1348"/>
    </row>
    <row r="838" spans="2:11" hidden="1">
      <c r="B838" s="1348"/>
      <c r="C838" s="1348"/>
      <c r="D838" s="1348"/>
      <c r="E838" s="1348"/>
      <c r="F838" s="1348"/>
      <c r="G838" s="1348"/>
      <c r="H838" s="1348"/>
      <c r="I838" s="1348"/>
      <c r="J838" s="1348"/>
      <c r="K838" s="1348"/>
    </row>
    <row r="839" spans="2:11" hidden="1">
      <c r="B839" s="1348"/>
      <c r="C839" s="1348"/>
      <c r="D839" s="1348"/>
      <c r="E839" s="1348"/>
      <c r="F839" s="1348"/>
      <c r="G839" s="1348"/>
      <c r="H839" s="1348"/>
      <c r="I839" s="1348"/>
      <c r="J839" s="1348"/>
      <c r="K839" s="1348"/>
    </row>
    <row r="840" spans="2:11" hidden="1">
      <c r="B840" s="1348"/>
      <c r="C840" s="1348"/>
      <c r="D840" s="1348"/>
      <c r="E840" s="1348"/>
      <c r="F840" s="1348"/>
      <c r="G840" s="1348"/>
      <c r="H840" s="1348"/>
      <c r="I840" s="1348"/>
      <c r="J840" s="1348"/>
      <c r="K840" s="1348"/>
    </row>
    <row r="841" spans="2:11" hidden="1">
      <c r="B841" s="1348"/>
      <c r="C841" s="1348"/>
      <c r="D841" s="1348"/>
      <c r="E841" s="1348"/>
      <c r="F841" s="1348"/>
      <c r="G841" s="1348"/>
      <c r="H841" s="1348"/>
      <c r="I841" s="1348"/>
      <c r="J841" s="1348"/>
      <c r="K841" s="1348"/>
    </row>
    <row r="842" spans="2:11" hidden="1">
      <c r="B842" s="1348"/>
      <c r="C842" s="1348"/>
      <c r="D842" s="1348"/>
      <c r="E842" s="1348"/>
      <c r="F842" s="1348"/>
      <c r="G842" s="1348"/>
      <c r="H842" s="1348"/>
      <c r="I842" s="1348"/>
      <c r="J842" s="1348"/>
      <c r="K842" s="1348"/>
    </row>
    <row r="843" spans="2:11" hidden="1">
      <c r="B843" s="1348"/>
      <c r="C843" s="1348"/>
      <c r="D843" s="1348"/>
      <c r="E843" s="1348"/>
      <c r="F843" s="1348"/>
      <c r="G843" s="1348"/>
      <c r="H843" s="1348"/>
      <c r="I843" s="1348"/>
      <c r="J843" s="1348"/>
      <c r="K843" s="1348"/>
    </row>
    <row r="844" spans="2:11" hidden="1">
      <c r="B844" s="1348"/>
      <c r="C844" s="1348"/>
      <c r="D844" s="1348"/>
      <c r="E844" s="1348"/>
      <c r="F844" s="1348"/>
      <c r="G844" s="1348"/>
      <c r="H844" s="1348"/>
      <c r="I844" s="1348"/>
      <c r="J844" s="1348"/>
      <c r="K844" s="1348"/>
    </row>
    <row r="845" spans="2:11" hidden="1">
      <c r="B845" s="1348"/>
      <c r="C845" s="1348"/>
      <c r="D845" s="1348"/>
      <c r="E845" s="1348"/>
      <c r="F845" s="1348"/>
      <c r="G845" s="1348"/>
      <c r="H845" s="1348"/>
      <c r="I845" s="1348"/>
      <c r="J845" s="1348"/>
      <c r="K845" s="1348"/>
    </row>
    <row r="846" spans="2:11" hidden="1">
      <c r="B846" s="1348"/>
      <c r="C846" s="1348"/>
      <c r="D846" s="1348"/>
      <c r="E846" s="1348"/>
      <c r="F846" s="1348"/>
      <c r="G846" s="1348"/>
      <c r="H846" s="1348"/>
      <c r="I846" s="1348"/>
      <c r="J846" s="1348"/>
      <c r="K846" s="1348"/>
    </row>
    <row r="847" spans="2:11" hidden="1">
      <c r="B847" s="1348"/>
      <c r="C847" s="1348"/>
      <c r="D847" s="1348"/>
      <c r="E847" s="1348"/>
      <c r="F847" s="1348"/>
      <c r="G847" s="1348"/>
      <c r="H847" s="1348"/>
      <c r="I847" s="1348"/>
      <c r="J847" s="1348"/>
      <c r="K847" s="1348"/>
    </row>
    <row r="848" spans="2:11" hidden="1">
      <c r="B848" s="1348"/>
      <c r="C848" s="1348"/>
      <c r="D848" s="1348"/>
      <c r="E848" s="1348"/>
      <c r="F848" s="1348"/>
      <c r="G848" s="1348"/>
      <c r="H848" s="1348"/>
      <c r="I848" s="1348"/>
      <c r="J848" s="1348"/>
      <c r="K848" s="1348"/>
    </row>
    <row r="849" spans="2:11" hidden="1">
      <c r="B849" s="1348"/>
      <c r="C849" s="1348"/>
      <c r="D849" s="1348"/>
      <c r="E849" s="1348"/>
      <c r="F849" s="1348"/>
      <c r="G849" s="1348"/>
      <c r="H849" s="1348"/>
      <c r="I849" s="1348"/>
      <c r="J849" s="1348"/>
      <c r="K849" s="1348"/>
    </row>
    <row r="850" spans="2:11" hidden="1">
      <c r="B850" s="1348"/>
      <c r="C850" s="1348"/>
      <c r="D850" s="1348"/>
      <c r="E850" s="1348"/>
      <c r="F850" s="1348"/>
      <c r="G850" s="1348"/>
      <c r="H850" s="1348"/>
      <c r="I850" s="1348"/>
      <c r="J850" s="1348"/>
      <c r="K850" s="1348"/>
    </row>
    <row r="851" spans="2:11" hidden="1">
      <c r="B851" s="1348"/>
      <c r="C851" s="1348"/>
      <c r="D851" s="1348"/>
      <c r="E851" s="1348"/>
      <c r="F851" s="1348"/>
      <c r="G851" s="1348"/>
      <c r="H851" s="1348"/>
      <c r="I851" s="1348"/>
      <c r="J851" s="1348"/>
      <c r="K851" s="1348"/>
    </row>
    <row r="852" spans="2:11" hidden="1">
      <c r="B852" s="1348"/>
      <c r="C852" s="1348"/>
      <c r="D852" s="1348"/>
      <c r="E852" s="1348"/>
      <c r="F852" s="1348"/>
      <c r="G852" s="1348"/>
      <c r="H852" s="1348"/>
      <c r="I852" s="1348"/>
      <c r="J852" s="1348"/>
      <c r="K852" s="1348"/>
    </row>
    <row r="853" spans="2:11" hidden="1">
      <c r="B853" s="1348"/>
      <c r="C853" s="1348"/>
      <c r="D853" s="1348"/>
      <c r="E853" s="1348"/>
      <c r="F853" s="1348"/>
      <c r="G853" s="1348"/>
      <c r="H853" s="1348"/>
      <c r="I853" s="1348"/>
      <c r="J853" s="1348"/>
      <c r="K853" s="1348"/>
    </row>
    <row r="854" spans="2:11" hidden="1">
      <c r="B854" s="1348"/>
      <c r="C854" s="1348"/>
      <c r="D854" s="1348"/>
      <c r="E854" s="1348"/>
      <c r="F854" s="1348"/>
      <c r="G854" s="1348"/>
      <c r="H854" s="1348"/>
      <c r="I854" s="1348"/>
      <c r="J854" s="1348"/>
      <c r="K854" s="1348"/>
    </row>
    <row r="855" spans="2:11" hidden="1">
      <c r="B855" s="1348"/>
      <c r="C855" s="1348"/>
      <c r="D855" s="1348"/>
      <c r="E855" s="1348"/>
      <c r="F855" s="1348"/>
      <c r="G855" s="1348"/>
      <c r="H855" s="1348"/>
      <c r="I855" s="1348"/>
      <c r="J855" s="1348"/>
      <c r="K855" s="1348"/>
    </row>
    <row r="856" spans="2:11" hidden="1">
      <c r="B856" s="1348"/>
      <c r="C856" s="1348"/>
      <c r="D856" s="1348"/>
      <c r="E856" s="1348"/>
      <c r="F856" s="1348"/>
      <c r="G856" s="1348"/>
      <c r="H856" s="1348"/>
      <c r="I856" s="1348"/>
      <c r="J856" s="1348"/>
      <c r="K856" s="1348"/>
    </row>
    <row r="857" spans="2:11" hidden="1">
      <c r="B857" s="1348"/>
      <c r="C857" s="1348"/>
      <c r="D857" s="1348"/>
      <c r="E857" s="1348"/>
      <c r="F857" s="1348"/>
      <c r="G857" s="1348"/>
      <c r="H857" s="1348"/>
      <c r="I857" s="1348"/>
      <c r="J857" s="1348"/>
      <c r="K857" s="1348"/>
    </row>
    <row r="858" spans="2:11" hidden="1">
      <c r="B858" s="1348"/>
      <c r="C858" s="1348"/>
      <c r="D858" s="1348"/>
      <c r="E858" s="1348"/>
      <c r="F858" s="1348"/>
      <c r="G858" s="1348"/>
      <c r="H858" s="1348"/>
      <c r="I858" s="1348"/>
      <c r="J858" s="1348"/>
      <c r="K858" s="1348"/>
    </row>
    <row r="859" spans="2:11" hidden="1">
      <c r="B859" s="1348"/>
      <c r="C859" s="1348"/>
      <c r="D859" s="1348"/>
      <c r="E859" s="1348"/>
      <c r="F859" s="1348"/>
      <c r="G859" s="1348"/>
      <c r="H859" s="1348"/>
      <c r="I859" s="1348"/>
      <c r="J859" s="1348"/>
      <c r="K859" s="1348"/>
    </row>
    <row r="860" spans="2:11" hidden="1">
      <c r="B860" s="1348"/>
      <c r="C860" s="1348"/>
      <c r="D860" s="1348"/>
      <c r="E860" s="1348"/>
      <c r="F860" s="1348"/>
      <c r="G860" s="1348"/>
      <c r="H860" s="1348"/>
      <c r="I860" s="1348"/>
      <c r="J860" s="1348"/>
      <c r="K860" s="1348"/>
    </row>
    <row r="861" spans="2:11" hidden="1">
      <c r="B861" s="1348"/>
      <c r="C861" s="1348"/>
      <c r="D861" s="1348"/>
      <c r="E861" s="1348"/>
      <c r="F861" s="1348"/>
      <c r="G861" s="1348"/>
      <c r="H861" s="1348"/>
      <c r="I861" s="1348"/>
      <c r="J861" s="1348"/>
      <c r="K861" s="1348"/>
    </row>
    <row r="862" spans="2:11" hidden="1">
      <c r="B862" s="1348"/>
      <c r="C862" s="1348"/>
      <c r="D862" s="1348"/>
      <c r="E862" s="1348"/>
      <c r="F862" s="1348"/>
      <c r="G862" s="1348"/>
      <c r="H862" s="1348"/>
      <c r="I862" s="1348"/>
      <c r="J862" s="1348"/>
      <c r="K862" s="1348"/>
    </row>
    <row r="863" spans="2:11" hidden="1">
      <c r="B863" s="1348"/>
      <c r="C863" s="1348"/>
      <c r="D863" s="1348"/>
      <c r="E863" s="1348"/>
      <c r="F863" s="1348"/>
      <c r="G863" s="1348"/>
      <c r="H863" s="1348"/>
      <c r="I863" s="1348"/>
      <c r="J863" s="1348"/>
      <c r="K863" s="1348"/>
    </row>
    <row r="864" spans="2:11" hidden="1">
      <c r="B864" s="1348"/>
      <c r="C864" s="1348"/>
      <c r="D864" s="1348"/>
      <c r="E864" s="1348"/>
      <c r="F864" s="1348"/>
      <c r="G864" s="1348"/>
      <c r="H864" s="1348"/>
      <c r="I864" s="1348"/>
      <c r="J864" s="1348"/>
      <c r="K864" s="1348"/>
    </row>
    <row r="865" spans="2:11" hidden="1">
      <c r="B865" s="1348"/>
      <c r="C865" s="1348"/>
      <c r="D865" s="1348"/>
      <c r="E865" s="1348"/>
      <c r="F865" s="1348"/>
      <c r="G865" s="1348"/>
      <c r="H865" s="1348"/>
      <c r="I865" s="1348"/>
      <c r="J865" s="1348"/>
      <c r="K865" s="1348"/>
    </row>
    <row r="866" spans="2:11" hidden="1">
      <c r="B866" s="1348"/>
      <c r="C866" s="1348"/>
      <c r="D866" s="1348"/>
      <c r="E866" s="1348"/>
      <c r="F866" s="1348"/>
      <c r="G866" s="1348"/>
      <c r="H866" s="1348"/>
      <c r="I866" s="1348"/>
      <c r="J866" s="1348"/>
      <c r="K866" s="1348"/>
    </row>
    <row r="867" spans="2:11" hidden="1">
      <c r="B867" s="1348"/>
      <c r="C867" s="1348"/>
      <c r="D867" s="1348"/>
      <c r="E867" s="1348"/>
      <c r="F867" s="1348"/>
      <c r="G867" s="1348"/>
      <c r="H867" s="1348"/>
      <c r="I867" s="1348"/>
      <c r="J867" s="1348"/>
      <c r="K867" s="1348"/>
    </row>
    <row r="868" spans="2:11" hidden="1">
      <c r="B868" s="1348"/>
      <c r="C868" s="1348"/>
      <c r="D868" s="1348"/>
      <c r="E868" s="1348"/>
      <c r="F868" s="1348"/>
      <c r="G868" s="1348"/>
      <c r="H868" s="1348"/>
      <c r="I868" s="1348"/>
      <c r="J868" s="1348"/>
      <c r="K868" s="1348"/>
    </row>
    <row r="869" spans="2:11" hidden="1">
      <c r="B869" s="1348"/>
      <c r="C869" s="1348"/>
      <c r="D869" s="1348"/>
      <c r="E869" s="1348"/>
      <c r="F869" s="1348"/>
      <c r="G869" s="1348"/>
      <c r="H869" s="1348"/>
      <c r="I869" s="1348"/>
      <c r="J869" s="1348"/>
      <c r="K869" s="1348"/>
    </row>
    <row r="870" spans="2:11" hidden="1">
      <c r="B870" s="1348"/>
      <c r="C870" s="1348"/>
      <c r="D870" s="1348"/>
      <c r="E870" s="1348"/>
      <c r="F870" s="1348"/>
      <c r="G870" s="1348"/>
      <c r="H870" s="1348"/>
      <c r="I870" s="1348"/>
      <c r="J870" s="1348"/>
      <c r="K870" s="1348"/>
    </row>
    <row r="871" spans="2:11" hidden="1">
      <c r="B871" s="1348"/>
      <c r="C871" s="1348"/>
      <c r="D871" s="1348"/>
      <c r="E871" s="1348"/>
      <c r="F871" s="1348"/>
      <c r="G871" s="1348"/>
      <c r="H871" s="1348"/>
      <c r="I871" s="1348"/>
      <c r="J871" s="1348"/>
      <c r="K871" s="1348"/>
    </row>
    <row r="872" spans="2:11" hidden="1">
      <c r="B872" s="1348"/>
      <c r="C872" s="1348"/>
      <c r="D872" s="1348"/>
      <c r="E872" s="1348"/>
      <c r="F872" s="1348"/>
      <c r="G872" s="1348"/>
      <c r="H872" s="1348"/>
      <c r="I872" s="1348"/>
      <c r="J872" s="1348"/>
      <c r="K872" s="1348"/>
    </row>
    <row r="873" spans="2:11" hidden="1">
      <c r="B873" s="1348"/>
      <c r="C873" s="1348"/>
      <c r="D873" s="1348"/>
      <c r="E873" s="1348"/>
      <c r="F873" s="1348"/>
      <c r="G873" s="1348"/>
      <c r="H873" s="1348"/>
      <c r="I873" s="1348"/>
      <c r="J873" s="1348"/>
      <c r="K873" s="1348"/>
    </row>
    <row r="874" spans="2:11" hidden="1">
      <c r="B874" s="1348"/>
      <c r="C874" s="1348"/>
      <c r="D874" s="1348"/>
      <c r="E874" s="1348"/>
      <c r="F874" s="1348"/>
      <c r="G874" s="1348"/>
      <c r="H874" s="1348"/>
      <c r="I874" s="1348"/>
      <c r="J874" s="1348"/>
      <c r="K874" s="1348"/>
    </row>
    <row r="875" spans="2:11" hidden="1">
      <c r="B875" s="1348"/>
      <c r="C875" s="1348"/>
      <c r="D875" s="1348"/>
      <c r="E875" s="1348"/>
      <c r="F875" s="1348"/>
      <c r="G875" s="1348"/>
      <c r="H875" s="1348"/>
      <c r="I875" s="1348"/>
      <c r="J875" s="1348"/>
      <c r="K875" s="1348"/>
    </row>
    <row r="876" spans="2:11" hidden="1">
      <c r="B876" s="1348"/>
      <c r="C876" s="1348"/>
      <c r="D876" s="1348"/>
      <c r="E876" s="1348"/>
      <c r="F876" s="1348"/>
      <c r="G876" s="1348"/>
      <c r="H876" s="1348"/>
      <c r="I876" s="1348"/>
      <c r="J876" s="1348"/>
      <c r="K876" s="1348"/>
    </row>
    <row r="877" spans="2:11" hidden="1">
      <c r="B877" s="1348"/>
      <c r="C877" s="1348"/>
      <c r="D877" s="1348"/>
      <c r="E877" s="1348"/>
      <c r="F877" s="1348"/>
      <c r="G877" s="1348"/>
      <c r="H877" s="1348"/>
      <c r="I877" s="1348"/>
      <c r="J877" s="1348"/>
      <c r="K877" s="1348"/>
    </row>
    <row r="878" spans="2:11" hidden="1">
      <c r="B878" s="1348"/>
      <c r="C878" s="1348"/>
      <c r="D878" s="1348"/>
      <c r="E878" s="1348"/>
      <c r="F878" s="1348"/>
      <c r="G878" s="1348"/>
      <c r="H878" s="1348"/>
      <c r="I878" s="1348"/>
      <c r="J878" s="1348"/>
      <c r="K878" s="1348"/>
    </row>
    <row r="879" spans="2:11" hidden="1">
      <c r="B879" s="1348"/>
      <c r="C879" s="1348"/>
      <c r="D879" s="1348"/>
      <c r="E879" s="1348"/>
      <c r="F879" s="1348"/>
      <c r="G879" s="1348"/>
      <c r="H879" s="1348"/>
      <c r="I879" s="1348"/>
      <c r="J879" s="1348"/>
      <c r="K879" s="1348"/>
    </row>
    <row r="880" spans="2:11" hidden="1">
      <c r="B880" s="1348"/>
      <c r="C880" s="1348"/>
      <c r="D880" s="1348"/>
      <c r="E880" s="1348"/>
      <c r="F880" s="1348"/>
      <c r="G880" s="1348"/>
      <c r="H880" s="1348"/>
      <c r="I880" s="1348"/>
      <c r="J880" s="1348"/>
      <c r="K880" s="1348"/>
    </row>
    <row r="881" spans="2:11" hidden="1">
      <c r="B881" s="1348"/>
      <c r="C881" s="1348"/>
      <c r="D881" s="1348"/>
      <c r="E881" s="1348"/>
      <c r="F881" s="1348"/>
      <c r="G881" s="1348"/>
      <c r="H881" s="1348"/>
      <c r="I881" s="1348"/>
      <c r="J881" s="1348"/>
      <c r="K881" s="1348"/>
    </row>
    <row r="882" spans="2:11" hidden="1">
      <c r="B882" s="1348"/>
      <c r="C882" s="1348"/>
      <c r="D882" s="1348"/>
      <c r="E882" s="1348"/>
      <c r="F882" s="1348"/>
      <c r="G882" s="1348"/>
      <c r="H882" s="1348"/>
      <c r="I882" s="1348"/>
      <c r="J882" s="1348"/>
      <c r="K882" s="1348"/>
    </row>
    <row r="883" spans="2:11" hidden="1">
      <c r="B883" s="1348"/>
      <c r="C883" s="1348"/>
      <c r="D883" s="1348"/>
      <c r="E883" s="1348"/>
      <c r="F883" s="1348"/>
      <c r="G883" s="1348"/>
      <c r="H883" s="1348"/>
      <c r="I883" s="1348"/>
      <c r="J883" s="1348"/>
      <c r="K883" s="1348"/>
    </row>
    <row r="884" spans="2:11" hidden="1">
      <c r="B884" s="1348"/>
      <c r="C884" s="1348"/>
      <c r="D884" s="1348"/>
      <c r="E884" s="1348"/>
      <c r="F884" s="1348"/>
      <c r="G884" s="1348"/>
      <c r="H884" s="1348"/>
      <c r="I884" s="1348"/>
      <c r="J884" s="1348"/>
      <c r="K884" s="1348"/>
    </row>
    <row r="885" spans="2:11" hidden="1">
      <c r="B885" s="1348"/>
      <c r="C885" s="1348"/>
      <c r="D885" s="1348"/>
      <c r="E885" s="1348"/>
      <c r="F885" s="1348"/>
      <c r="G885" s="1348"/>
      <c r="H885" s="1348"/>
      <c r="I885" s="1348"/>
      <c r="J885" s="1348"/>
      <c r="K885" s="1348"/>
    </row>
    <row r="886" spans="2:11" hidden="1">
      <c r="B886" s="1348"/>
      <c r="C886" s="1348"/>
      <c r="D886" s="1348"/>
      <c r="E886" s="1348"/>
      <c r="F886" s="1348"/>
      <c r="G886" s="1348"/>
      <c r="H886" s="1348"/>
      <c r="I886" s="1348"/>
      <c r="J886" s="1348"/>
      <c r="K886" s="1348"/>
    </row>
    <row r="887" spans="2:11" hidden="1">
      <c r="B887" s="1348"/>
      <c r="C887" s="1348"/>
      <c r="D887" s="1348"/>
      <c r="E887" s="1348"/>
      <c r="F887" s="1348"/>
      <c r="G887" s="1348"/>
      <c r="H887" s="1348"/>
      <c r="I887" s="1348"/>
      <c r="J887" s="1348"/>
      <c r="K887" s="1348"/>
    </row>
    <row r="888" spans="2:11" hidden="1">
      <c r="B888" s="1348"/>
      <c r="C888" s="1348"/>
      <c r="D888" s="1348"/>
      <c r="E888" s="1348"/>
      <c r="F888" s="1348"/>
      <c r="G888" s="1348"/>
      <c r="H888" s="1348"/>
      <c r="I888" s="1348"/>
      <c r="J888" s="1348"/>
      <c r="K888" s="1348"/>
    </row>
    <row r="889" spans="2:11" hidden="1">
      <c r="B889" s="1348"/>
      <c r="C889" s="1348"/>
      <c r="D889" s="1348"/>
      <c r="E889" s="1348"/>
      <c r="F889" s="1348"/>
      <c r="G889" s="1348"/>
      <c r="H889" s="1348"/>
      <c r="I889" s="1348"/>
      <c r="J889" s="1348"/>
      <c r="K889" s="1348"/>
    </row>
    <row r="890" spans="2:11" hidden="1">
      <c r="B890" s="1348"/>
      <c r="C890" s="1348"/>
      <c r="D890" s="1348"/>
      <c r="E890" s="1348"/>
      <c r="F890" s="1348"/>
      <c r="G890" s="1348"/>
      <c r="H890" s="1348"/>
      <c r="I890" s="1348"/>
      <c r="J890" s="1348"/>
      <c r="K890" s="1348"/>
    </row>
    <row r="891" spans="2:11" hidden="1">
      <c r="B891" s="1348"/>
      <c r="C891" s="1348"/>
      <c r="D891" s="1348"/>
      <c r="E891" s="1348"/>
      <c r="F891" s="1348"/>
      <c r="G891" s="1348"/>
      <c r="H891" s="1348"/>
      <c r="I891" s="1348"/>
      <c r="J891" s="1348"/>
      <c r="K891" s="1348"/>
    </row>
    <row r="892" spans="2:11" hidden="1">
      <c r="B892" s="1348"/>
      <c r="C892" s="1348"/>
      <c r="D892" s="1348"/>
      <c r="E892" s="1348"/>
      <c r="F892" s="1348"/>
      <c r="G892" s="1348"/>
      <c r="H892" s="1348"/>
      <c r="I892" s="1348"/>
      <c r="J892" s="1348"/>
      <c r="K892" s="1348"/>
    </row>
    <row r="893" spans="2:11" hidden="1">
      <c r="B893" s="1348"/>
      <c r="C893" s="1348"/>
      <c r="D893" s="1348"/>
      <c r="E893" s="1348"/>
      <c r="F893" s="1348"/>
      <c r="G893" s="1348"/>
      <c r="H893" s="1348"/>
      <c r="I893" s="1348"/>
      <c r="J893" s="1348"/>
      <c r="K893" s="1348"/>
    </row>
    <row r="894" spans="2:11" hidden="1">
      <c r="B894" s="1348"/>
      <c r="C894" s="1348"/>
      <c r="D894" s="1348"/>
      <c r="E894" s="1348"/>
      <c r="F894" s="1348"/>
      <c r="G894" s="1348"/>
      <c r="H894" s="1348"/>
      <c r="I894" s="1348"/>
      <c r="J894" s="1348"/>
      <c r="K894" s="1348"/>
    </row>
    <row r="895" spans="2:11" hidden="1">
      <c r="B895" s="1348"/>
      <c r="C895" s="1348"/>
      <c r="D895" s="1348"/>
      <c r="E895" s="1348"/>
      <c r="F895" s="1348"/>
      <c r="G895" s="1348"/>
      <c r="H895" s="1348"/>
      <c r="I895" s="1348"/>
      <c r="J895" s="1348"/>
      <c r="K895" s="1348"/>
    </row>
    <row r="896" spans="2:11" hidden="1">
      <c r="B896" s="1348"/>
      <c r="C896" s="1348"/>
      <c r="D896" s="1348"/>
      <c r="E896" s="1348"/>
      <c r="F896" s="1348"/>
      <c r="G896" s="1348"/>
      <c r="H896" s="1348"/>
      <c r="I896" s="1348"/>
      <c r="J896" s="1348"/>
      <c r="K896" s="1348"/>
    </row>
    <row r="897" spans="2:11" hidden="1">
      <c r="B897" s="1348"/>
      <c r="C897" s="1348"/>
      <c r="D897" s="1348"/>
      <c r="E897" s="1348"/>
      <c r="F897" s="1348"/>
      <c r="G897" s="1348"/>
      <c r="H897" s="1348"/>
      <c r="I897" s="1348"/>
      <c r="J897" s="1348"/>
      <c r="K897" s="1348"/>
    </row>
    <row r="898" spans="2:11" hidden="1">
      <c r="B898" s="1348"/>
      <c r="C898" s="1348"/>
      <c r="D898" s="1348"/>
      <c r="E898" s="1348"/>
      <c r="F898" s="1348"/>
      <c r="G898" s="1348"/>
      <c r="H898" s="1348"/>
      <c r="I898" s="1348"/>
      <c r="J898" s="1348"/>
      <c r="K898" s="1348"/>
    </row>
    <row r="899" spans="2:11" hidden="1">
      <c r="B899" s="1348"/>
      <c r="C899" s="1348"/>
      <c r="D899" s="1348"/>
      <c r="E899" s="1348"/>
      <c r="F899" s="1348"/>
      <c r="G899" s="1348"/>
      <c r="H899" s="1348"/>
      <c r="I899" s="1348"/>
      <c r="J899" s="1348"/>
      <c r="K899" s="1348"/>
    </row>
    <row r="900" spans="2:11" hidden="1">
      <c r="B900" s="1348"/>
      <c r="C900" s="1348"/>
      <c r="D900" s="1348"/>
      <c r="E900" s="1348"/>
      <c r="F900" s="1348"/>
      <c r="G900" s="1348"/>
      <c r="H900" s="1348"/>
      <c r="I900" s="1348"/>
      <c r="J900" s="1348"/>
      <c r="K900" s="1348"/>
    </row>
    <row r="901" spans="2:11" hidden="1">
      <c r="B901" s="1348"/>
      <c r="C901" s="1348"/>
      <c r="D901" s="1348"/>
      <c r="E901" s="1348"/>
      <c r="F901" s="1348"/>
      <c r="G901" s="1348"/>
      <c r="H901" s="1348"/>
      <c r="I901" s="1348"/>
      <c r="J901" s="1348"/>
      <c r="K901" s="1348"/>
    </row>
    <row r="902" spans="2:11" hidden="1">
      <c r="B902" s="1348"/>
      <c r="C902" s="1348"/>
      <c r="D902" s="1348"/>
      <c r="E902" s="1348"/>
      <c r="F902" s="1348"/>
      <c r="G902" s="1348"/>
      <c r="H902" s="1348"/>
      <c r="I902" s="1348"/>
      <c r="J902" s="1348"/>
      <c r="K902" s="1348"/>
    </row>
    <row r="903" spans="2:11" hidden="1">
      <c r="B903" s="1348"/>
      <c r="C903" s="1348"/>
      <c r="D903" s="1348"/>
      <c r="E903" s="1348"/>
      <c r="F903" s="1348"/>
      <c r="G903" s="1348"/>
      <c r="H903" s="1348"/>
      <c r="I903" s="1348"/>
      <c r="J903" s="1348"/>
      <c r="K903" s="1348"/>
    </row>
    <row r="904" spans="2:11" hidden="1">
      <c r="B904" s="1348"/>
      <c r="C904" s="1348"/>
      <c r="D904" s="1348"/>
      <c r="E904" s="1348"/>
      <c r="F904" s="1348"/>
      <c r="G904" s="1348"/>
      <c r="H904" s="1348"/>
      <c r="I904" s="1348"/>
      <c r="J904" s="1348"/>
      <c r="K904" s="1348"/>
    </row>
    <row r="905" spans="2:11" hidden="1">
      <c r="B905" s="1348"/>
      <c r="C905" s="1348"/>
      <c r="D905" s="1348"/>
      <c r="E905" s="1348"/>
      <c r="F905" s="1348"/>
      <c r="G905" s="1348"/>
      <c r="H905" s="1348"/>
      <c r="I905" s="1348"/>
      <c r="J905" s="1348"/>
      <c r="K905" s="1348"/>
    </row>
    <row r="906" spans="2:11" hidden="1">
      <c r="B906" s="1348"/>
      <c r="C906" s="1348"/>
      <c r="D906" s="1348"/>
      <c r="E906" s="1348"/>
      <c r="F906" s="1348"/>
      <c r="G906" s="1348"/>
      <c r="H906" s="1348"/>
      <c r="I906" s="1348"/>
      <c r="J906" s="1348"/>
      <c r="K906" s="1348"/>
    </row>
    <row r="907" spans="2:11" hidden="1">
      <c r="B907" s="1348"/>
      <c r="C907" s="1348"/>
      <c r="D907" s="1348"/>
      <c r="E907" s="1348"/>
      <c r="F907" s="1348"/>
      <c r="G907" s="1348"/>
      <c r="H907" s="1348"/>
      <c r="I907" s="1348"/>
      <c r="J907" s="1348"/>
      <c r="K907" s="1348"/>
    </row>
    <row r="908" spans="2:11" hidden="1">
      <c r="B908" s="1348"/>
      <c r="C908" s="1348"/>
      <c r="D908" s="1348"/>
      <c r="E908" s="1348"/>
      <c r="F908" s="1348"/>
      <c r="G908" s="1348"/>
      <c r="H908" s="1348"/>
      <c r="I908" s="1348"/>
      <c r="J908" s="1348"/>
      <c r="K908" s="1348"/>
    </row>
    <row r="909" spans="2:11" hidden="1">
      <c r="B909" s="1348"/>
      <c r="C909" s="1348"/>
      <c r="D909" s="1348"/>
      <c r="E909" s="1348"/>
      <c r="F909" s="1348"/>
      <c r="G909" s="1348"/>
      <c r="H909" s="1348"/>
      <c r="I909" s="1348"/>
      <c r="J909" s="1348"/>
      <c r="K909" s="1348"/>
    </row>
    <row r="910" spans="2:11" hidden="1">
      <c r="B910" s="1348"/>
      <c r="C910" s="1348"/>
      <c r="D910" s="1348"/>
      <c r="E910" s="1348"/>
      <c r="F910" s="1348"/>
      <c r="G910" s="1348"/>
      <c r="H910" s="1348"/>
      <c r="I910" s="1348"/>
      <c r="J910" s="1348"/>
      <c r="K910" s="1348"/>
    </row>
    <row r="911" spans="2:11" hidden="1">
      <c r="B911" s="1348"/>
      <c r="C911" s="1348"/>
      <c r="D911" s="1348"/>
      <c r="E911" s="1348"/>
      <c r="F911" s="1348"/>
      <c r="G911" s="1348"/>
      <c r="H911" s="1348"/>
      <c r="I911" s="1348"/>
      <c r="J911" s="1348"/>
      <c r="K911" s="1348"/>
    </row>
    <row r="912" spans="2:11" hidden="1">
      <c r="B912" s="1348"/>
      <c r="C912" s="1348"/>
      <c r="D912" s="1348"/>
      <c r="E912" s="1348"/>
      <c r="F912" s="1348"/>
      <c r="G912" s="1348"/>
      <c r="H912" s="1348"/>
      <c r="I912" s="1348"/>
      <c r="J912" s="1348"/>
      <c r="K912" s="1348"/>
    </row>
    <row r="913" spans="2:11" hidden="1">
      <c r="B913" s="1348"/>
      <c r="C913" s="1348"/>
      <c r="D913" s="1348"/>
      <c r="E913" s="1348"/>
      <c r="F913" s="1348"/>
      <c r="G913" s="1348"/>
      <c r="H913" s="1348"/>
      <c r="I913" s="1348"/>
      <c r="J913" s="1348"/>
      <c r="K913" s="1348"/>
    </row>
    <row r="914" spans="2:11" hidden="1">
      <c r="B914" s="1348"/>
      <c r="C914" s="1348"/>
      <c r="D914" s="1348"/>
      <c r="E914" s="1348"/>
      <c r="F914" s="1348"/>
      <c r="G914" s="1348"/>
      <c r="H914" s="1348"/>
      <c r="I914" s="1348"/>
      <c r="J914" s="1348"/>
      <c r="K914" s="1348"/>
    </row>
    <row r="915" spans="2:11" hidden="1">
      <c r="B915" s="1348"/>
      <c r="C915" s="1348"/>
      <c r="D915" s="1348"/>
      <c r="E915" s="1348"/>
      <c r="F915" s="1348"/>
      <c r="G915" s="1348"/>
      <c r="H915" s="1348"/>
      <c r="I915" s="1348"/>
      <c r="J915" s="1348"/>
      <c r="K915" s="1348"/>
    </row>
    <row r="916" spans="2:11" hidden="1">
      <c r="B916" s="1348"/>
      <c r="C916" s="1348"/>
      <c r="D916" s="1348"/>
      <c r="E916" s="1348"/>
      <c r="F916" s="1348"/>
      <c r="G916" s="1348"/>
      <c r="H916" s="1348"/>
      <c r="I916" s="1348"/>
      <c r="J916" s="1348"/>
      <c r="K916" s="1348"/>
    </row>
    <row r="917" spans="2:11" hidden="1">
      <c r="B917" s="1348"/>
      <c r="C917" s="1348"/>
      <c r="D917" s="1348"/>
      <c r="E917" s="1348"/>
      <c r="F917" s="1348"/>
      <c r="G917" s="1348"/>
      <c r="H917" s="1348"/>
      <c r="I917" s="1348"/>
      <c r="J917" s="1348"/>
      <c r="K917" s="1348"/>
    </row>
    <row r="918" spans="2:11" hidden="1">
      <c r="B918" s="1348"/>
      <c r="C918" s="1348"/>
      <c r="D918" s="1348"/>
      <c r="E918" s="1348"/>
      <c r="F918" s="1348"/>
      <c r="G918" s="1348"/>
      <c r="H918" s="1348"/>
      <c r="I918" s="1348"/>
      <c r="J918" s="1348"/>
      <c r="K918" s="1348"/>
    </row>
    <row r="919" spans="2:11" hidden="1">
      <c r="B919" s="1348"/>
      <c r="C919" s="1348"/>
      <c r="D919" s="1348"/>
      <c r="E919" s="1348"/>
      <c r="F919" s="1348"/>
      <c r="G919" s="1348"/>
      <c r="H919" s="1348"/>
      <c r="I919" s="1348"/>
      <c r="J919" s="1348"/>
      <c r="K919" s="1348"/>
    </row>
    <row r="920" spans="2:11" hidden="1">
      <c r="B920" s="1348"/>
      <c r="C920" s="1348"/>
      <c r="D920" s="1348"/>
      <c r="E920" s="1348"/>
      <c r="F920" s="1348"/>
      <c r="G920" s="1348"/>
      <c r="H920" s="1348"/>
      <c r="I920" s="1348"/>
      <c r="J920" s="1348"/>
      <c r="K920" s="1348"/>
    </row>
    <row r="921" spans="2:11" hidden="1">
      <c r="B921" s="1348"/>
      <c r="C921" s="1348"/>
      <c r="D921" s="1348"/>
      <c r="E921" s="1348"/>
      <c r="F921" s="1348"/>
      <c r="G921" s="1348"/>
      <c r="H921" s="1348"/>
      <c r="I921" s="1348"/>
      <c r="J921" s="1348"/>
      <c r="K921" s="1348"/>
    </row>
    <row r="922" spans="2:11" hidden="1">
      <c r="B922" s="1348"/>
      <c r="C922" s="1348"/>
      <c r="D922" s="1348"/>
      <c r="E922" s="1348"/>
      <c r="F922" s="1348"/>
      <c r="G922" s="1348"/>
      <c r="H922" s="1348"/>
      <c r="I922" s="1348"/>
      <c r="J922" s="1348"/>
      <c r="K922" s="1348"/>
    </row>
    <row r="923" spans="2:11" hidden="1">
      <c r="B923" s="1348"/>
      <c r="C923" s="1348"/>
      <c r="D923" s="1348"/>
      <c r="E923" s="1348"/>
      <c r="F923" s="1348"/>
      <c r="G923" s="1348"/>
      <c r="H923" s="1348"/>
      <c r="I923" s="1348"/>
      <c r="J923" s="1348"/>
      <c r="K923" s="1348"/>
    </row>
    <row r="924" spans="2:11" hidden="1">
      <c r="B924" s="1348"/>
      <c r="C924" s="1348"/>
      <c r="D924" s="1348"/>
      <c r="E924" s="1348"/>
      <c r="F924" s="1348"/>
      <c r="G924" s="1348"/>
      <c r="H924" s="1348"/>
      <c r="I924" s="1348"/>
      <c r="J924" s="1348"/>
      <c r="K924" s="1348"/>
    </row>
    <row r="925" spans="2:11" hidden="1">
      <c r="B925" s="1348"/>
      <c r="C925" s="1348"/>
      <c r="D925" s="1348"/>
      <c r="E925" s="1348"/>
      <c r="F925" s="1348"/>
      <c r="G925" s="1348"/>
      <c r="H925" s="1348"/>
      <c r="I925" s="1348"/>
      <c r="J925" s="1348"/>
      <c r="K925" s="1348"/>
    </row>
    <row r="926" spans="2:11" hidden="1">
      <c r="B926" s="1348"/>
      <c r="C926" s="1348"/>
      <c r="D926" s="1348"/>
      <c r="E926" s="1348"/>
      <c r="F926" s="1348"/>
      <c r="G926" s="1348"/>
      <c r="H926" s="1348"/>
      <c r="I926" s="1348"/>
      <c r="J926" s="1348"/>
      <c r="K926" s="1348"/>
    </row>
    <row r="927" spans="2:11" hidden="1">
      <c r="B927" s="1348"/>
      <c r="C927" s="1348"/>
      <c r="D927" s="1348"/>
      <c r="E927" s="1348"/>
      <c r="F927" s="1348"/>
      <c r="G927" s="1348"/>
      <c r="H927" s="1348"/>
      <c r="I927" s="1348"/>
      <c r="J927" s="1348"/>
      <c r="K927" s="1348"/>
    </row>
    <row r="928" spans="2:11" hidden="1">
      <c r="B928" s="1348"/>
      <c r="C928" s="1348"/>
      <c r="D928" s="1348"/>
      <c r="E928" s="1348"/>
      <c r="F928" s="1348"/>
      <c r="G928" s="1348"/>
      <c r="H928" s="1348"/>
      <c r="I928" s="1348"/>
      <c r="J928" s="1348"/>
      <c r="K928" s="1348"/>
    </row>
    <row r="929" spans="2:11" hidden="1">
      <c r="B929" s="1348"/>
      <c r="C929" s="1348"/>
      <c r="D929" s="1348"/>
      <c r="E929" s="1348"/>
      <c r="F929" s="1348"/>
      <c r="G929" s="1348"/>
      <c r="H929" s="1348"/>
      <c r="I929" s="1348"/>
      <c r="J929" s="1348"/>
      <c r="K929" s="1348"/>
    </row>
    <row r="930" spans="2:11" hidden="1">
      <c r="B930" s="1348"/>
      <c r="C930" s="1348"/>
      <c r="D930" s="1348"/>
      <c r="E930" s="1348"/>
      <c r="F930" s="1348"/>
      <c r="G930" s="1348"/>
      <c r="H930" s="1348"/>
      <c r="I930" s="1348"/>
      <c r="J930" s="1348"/>
      <c r="K930" s="1348"/>
    </row>
    <row r="931" spans="2:11" hidden="1">
      <c r="B931" s="1348"/>
      <c r="C931" s="1348"/>
      <c r="D931" s="1348"/>
      <c r="E931" s="1348"/>
      <c r="F931" s="1348"/>
      <c r="G931" s="1348"/>
      <c r="H931" s="1348"/>
      <c r="I931" s="1348"/>
      <c r="J931" s="1348"/>
      <c r="K931" s="1348"/>
    </row>
    <row r="932" spans="2:11" hidden="1">
      <c r="B932" s="1348"/>
      <c r="C932" s="1348"/>
      <c r="D932" s="1348"/>
      <c r="E932" s="1348"/>
      <c r="F932" s="1348"/>
      <c r="G932" s="1348"/>
      <c r="H932" s="1348"/>
      <c r="I932" s="1348"/>
      <c r="J932" s="1348"/>
      <c r="K932" s="1348"/>
    </row>
    <row r="933" spans="2:11" hidden="1">
      <c r="B933" s="1348"/>
      <c r="C933" s="1348"/>
      <c r="D933" s="1348"/>
      <c r="E933" s="1348"/>
      <c r="F933" s="1348"/>
      <c r="G933" s="1348"/>
      <c r="H933" s="1348"/>
      <c r="I933" s="1348"/>
      <c r="J933" s="1348"/>
      <c r="K933" s="1348"/>
    </row>
    <row r="934" spans="2:11" hidden="1">
      <c r="B934" s="1348"/>
      <c r="C934" s="1348"/>
      <c r="D934" s="1348"/>
      <c r="E934" s="1348"/>
      <c r="F934" s="1348"/>
      <c r="G934" s="1348"/>
      <c r="H934" s="1348"/>
      <c r="I934" s="1348"/>
      <c r="J934" s="1348"/>
      <c r="K934" s="1348"/>
    </row>
    <row r="935" spans="2:11" hidden="1">
      <c r="B935" s="1348"/>
      <c r="C935" s="1348"/>
      <c r="D935" s="1348"/>
      <c r="E935" s="1348"/>
      <c r="F935" s="1348"/>
      <c r="G935" s="1348"/>
      <c r="H935" s="1348"/>
      <c r="I935" s="1348"/>
      <c r="J935" s="1348"/>
      <c r="K935" s="1348"/>
    </row>
    <row r="936" spans="2:11" hidden="1">
      <c r="B936" s="1348"/>
      <c r="C936" s="1348"/>
      <c r="D936" s="1348"/>
      <c r="E936" s="1348"/>
      <c r="F936" s="1348"/>
      <c r="G936" s="1348"/>
      <c r="H936" s="1348"/>
      <c r="I936" s="1348"/>
      <c r="J936" s="1348"/>
      <c r="K936" s="1348"/>
    </row>
    <row r="937" spans="2:11" hidden="1">
      <c r="B937" s="1348"/>
      <c r="C937" s="1348"/>
      <c r="D937" s="1348"/>
      <c r="E937" s="1348"/>
      <c r="F937" s="1348"/>
      <c r="G937" s="1348"/>
      <c r="H937" s="1348"/>
      <c r="I937" s="1348"/>
      <c r="J937" s="1348"/>
      <c r="K937" s="1348"/>
    </row>
    <row r="938" spans="2:11" hidden="1">
      <c r="B938" s="1348"/>
      <c r="C938" s="1348"/>
      <c r="D938" s="1348"/>
      <c r="E938" s="1348"/>
      <c r="F938" s="1348"/>
      <c r="G938" s="1348"/>
      <c r="H938" s="1348"/>
      <c r="I938" s="1348"/>
      <c r="J938" s="1348"/>
      <c r="K938" s="1348"/>
    </row>
    <row r="939" spans="2:11" hidden="1">
      <c r="B939" s="1348"/>
      <c r="C939" s="1348"/>
      <c r="D939" s="1348"/>
      <c r="E939" s="1348"/>
      <c r="F939" s="1348"/>
      <c r="G939" s="1348"/>
      <c r="H939" s="1348"/>
      <c r="I939" s="1348"/>
      <c r="J939" s="1348"/>
      <c r="K939" s="1348"/>
    </row>
    <row r="940" spans="2:11" hidden="1">
      <c r="B940" s="1348"/>
      <c r="C940" s="1348"/>
      <c r="D940" s="1348"/>
      <c r="E940" s="1348"/>
      <c r="F940" s="1348"/>
      <c r="G940" s="1348"/>
      <c r="H940" s="1348"/>
      <c r="I940" s="1348"/>
      <c r="J940" s="1348"/>
      <c r="K940" s="1348"/>
    </row>
    <row r="941" spans="2:11" hidden="1">
      <c r="B941" s="1348"/>
      <c r="C941" s="1348"/>
      <c r="D941" s="1348"/>
      <c r="E941" s="1348"/>
      <c r="F941" s="1348"/>
      <c r="G941" s="1348"/>
      <c r="H941" s="1348"/>
      <c r="I941" s="1348"/>
      <c r="J941" s="1348"/>
      <c r="K941" s="1348"/>
    </row>
    <row r="942" spans="2:11" hidden="1">
      <c r="B942" s="1348"/>
      <c r="C942" s="1348"/>
      <c r="D942" s="1348"/>
      <c r="E942" s="1348"/>
      <c r="F942" s="1348"/>
      <c r="G942" s="1348"/>
      <c r="H942" s="1348"/>
      <c r="I942" s="1348"/>
      <c r="J942" s="1348"/>
      <c r="K942" s="1348"/>
    </row>
    <row r="943" spans="2:11" hidden="1">
      <c r="B943" s="1348"/>
      <c r="C943" s="1348"/>
      <c r="D943" s="1348"/>
      <c r="E943" s="1348"/>
      <c r="F943" s="1348"/>
      <c r="G943" s="1348"/>
      <c r="H943" s="1348"/>
      <c r="I943" s="1348"/>
      <c r="J943" s="1348"/>
      <c r="K943" s="1348"/>
    </row>
    <row r="944" spans="2:11" hidden="1">
      <c r="B944" s="1348"/>
      <c r="C944" s="1348"/>
      <c r="D944" s="1348"/>
      <c r="E944" s="1348"/>
      <c r="F944" s="1348"/>
      <c r="G944" s="1348"/>
      <c r="H944" s="1348"/>
      <c r="I944" s="1348"/>
      <c r="J944" s="1348"/>
      <c r="K944" s="1348"/>
    </row>
    <row r="945" spans="2:11" hidden="1">
      <c r="B945" s="1348"/>
      <c r="C945" s="1348"/>
      <c r="D945" s="1348"/>
      <c r="E945" s="1348"/>
      <c r="F945" s="1348"/>
      <c r="G945" s="1348"/>
      <c r="H945" s="1348"/>
      <c r="I945" s="1348"/>
      <c r="J945" s="1348"/>
      <c r="K945" s="1348"/>
    </row>
    <row r="946" spans="2:11" hidden="1">
      <c r="B946" s="1348"/>
      <c r="C946" s="1348"/>
      <c r="D946" s="1348"/>
      <c r="E946" s="1348"/>
      <c r="F946" s="1348"/>
      <c r="G946" s="1348"/>
      <c r="H946" s="1348"/>
      <c r="I946" s="1348"/>
      <c r="J946" s="1348"/>
      <c r="K946" s="1348"/>
    </row>
    <row r="947" spans="2:11" hidden="1">
      <c r="B947" s="1348"/>
      <c r="C947" s="1348"/>
      <c r="D947" s="1348"/>
      <c r="E947" s="1348"/>
      <c r="F947" s="1348"/>
      <c r="G947" s="1348"/>
      <c r="H947" s="1348"/>
      <c r="I947" s="1348"/>
      <c r="J947" s="1348"/>
      <c r="K947" s="1348"/>
    </row>
    <row r="948" spans="2:11" hidden="1">
      <c r="B948" s="1348"/>
      <c r="C948" s="1348"/>
      <c r="D948" s="1348"/>
      <c r="E948" s="1348"/>
      <c r="F948" s="1348"/>
      <c r="G948" s="1348"/>
      <c r="H948" s="1348"/>
      <c r="I948" s="1348"/>
      <c r="J948" s="1348"/>
      <c r="K948" s="1348"/>
    </row>
    <row r="949" spans="2:11" hidden="1">
      <c r="B949" s="1348"/>
      <c r="C949" s="1348"/>
      <c r="D949" s="1348"/>
      <c r="E949" s="1348"/>
      <c r="F949" s="1348"/>
      <c r="G949" s="1348"/>
      <c r="H949" s="1348"/>
      <c r="I949" s="1348"/>
      <c r="J949" s="1348"/>
      <c r="K949" s="1348"/>
    </row>
    <row r="950" spans="2:11" hidden="1">
      <c r="B950" s="1348"/>
      <c r="C950" s="1348"/>
      <c r="D950" s="1348"/>
      <c r="E950" s="1348"/>
      <c r="F950" s="1348"/>
      <c r="G950" s="1348"/>
      <c r="H950" s="1348"/>
      <c r="I950" s="1348"/>
      <c r="J950" s="1348"/>
      <c r="K950" s="1348"/>
    </row>
    <row r="951" spans="2:11" hidden="1">
      <c r="B951" s="1348"/>
      <c r="C951" s="1348"/>
      <c r="D951" s="1348"/>
      <c r="E951" s="1348"/>
      <c r="F951" s="1348"/>
      <c r="G951" s="1348"/>
      <c r="H951" s="1348"/>
      <c r="I951" s="1348"/>
      <c r="J951" s="1348"/>
      <c r="K951" s="1348"/>
    </row>
    <row r="952" spans="2:11" hidden="1">
      <c r="B952" s="1348"/>
      <c r="C952" s="1348"/>
      <c r="D952" s="1348"/>
      <c r="E952" s="1348"/>
      <c r="F952" s="1348"/>
      <c r="G952" s="1348"/>
      <c r="H952" s="1348"/>
      <c r="I952" s="1348"/>
      <c r="J952" s="1348"/>
      <c r="K952" s="1348"/>
    </row>
    <row r="953" spans="2:11" hidden="1">
      <c r="B953" s="1348"/>
      <c r="C953" s="1348"/>
      <c r="D953" s="1348"/>
      <c r="E953" s="1348"/>
      <c r="F953" s="1348"/>
      <c r="G953" s="1348"/>
      <c r="H953" s="1348"/>
      <c r="I953" s="1348"/>
      <c r="J953" s="1348"/>
      <c r="K953" s="1348"/>
    </row>
    <row r="954" spans="2:11" hidden="1">
      <c r="B954" s="1348"/>
      <c r="C954" s="1348"/>
      <c r="D954" s="1348"/>
      <c r="E954" s="1348"/>
      <c r="F954" s="1348"/>
      <c r="G954" s="1348"/>
      <c r="H954" s="1348"/>
      <c r="I954" s="1348"/>
      <c r="J954" s="1348"/>
      <c r="K954" s="1348"/>
    </row>
    <row r="955" spans="2:11" hidden="1">
      <c r="B955" s="1348"/>
      <c r="C955" s="1348"/>
      <c r="D955" s="1348"/>
      <c r="E955" s="1348"/>
      <c r="F955" s="1348"/>
      <c r="G955" s="1348"/>
      <c r="H955" s="1348"/>
      <c r="I955" s="1348"/>
      <c r="J955" s="1348"/>
      <c r="K955" s="1348"/>
    </row>
    <row r="956" spans="2:11" hidden="1">
      <c r="B956" s="1348"/>
      <c r="C956" s="1348"/>
      <c r="D956" s="1348"/>
      <c r="E956" s="1348"/>
      <c r="F956" s="1348"/>
      <c r="G956" s="1348"/>
      <c r="H956" s="1348"/>
      <c r="I956" s="1348"/>
      <c r="J956" s="1348"/>
      <c r="K956" s="1348"/>
    </row>
    <row r="957" spans="2:11" hidden="1">
      <c r="B957" s="1348"/>
      <c r="C957" s="1348"/>
      <c r="D957" s="1348"/>
      <c r="E957" s="1348"/>
      <c r="F957" s="1348"/>
      <c r="G957" s="1348"/>
      <c r="H957" s="1348"/>
      <c r="I957" s="1348"/>
      <c r="J957" s="1348"/>
      <c r="K957" s="1348"/>
    </row>
    <row r="958" spans="2:11" hidden="1">
      <c r="B958" s="1348"/>
      <c r="C958" s="1348"/>
      <c r="D958" s="1348"/>
      <c r="E958" s="1348"/>
      <c r="F958" s="1348"/>
      <c r="G958" s="1348"/>
      <c r="H958" s="1348"/>
      <c r="I958" s="1348"/>
      <c r="J958" s="1348"/>
      <c r="K958" s="1348"/>
    </row>
    <row r="959" spans="2:11" hidden="1">
      <c r="B959" s="1348"/>
      <c r="C959" s="1348"/>
      <c r="D959" s="1348"/>
      <c r="E959" s="1348"/>
      <c r="F959" s="1348"/>
      <c r="G959" s="1348"/>
      <c r="H959" s="1348"/>
      <c r="I959" s="1348"/>
      <c r="J959" s="1348"/>
      <c r="K959" s="1348"/>
    </row>
    <row r="960" spans="2:11" hidden="1">
      <c r="B960" s="1348"/>
      <c r="C960" s="1348"/>
      <c r="D960" s="1348"/>
      <c r="E960" s="1348"/>
      <c r="F960" s="1348"/>
      <c r="G960" s="1348"/>
      <c r="H960" s="1348"/>
      <c r="I960" s="1348"/>
      <c r="J960" s="1348"/>
      <c r="K960" s="1348"/>
    </row>
    <row r="961" spans="2:11" hidden="1">
      <c r="B961" s="1348"/>
      <c r="C961" s="1348"/>
      <c r="D961" s="1348"/>
      <c r="E961" s="1348"/>
      <c r="F961" s="1348"/>
      <c r="G961" s="1348"/>
      <c r="H961" s="1348"/>
      <c r="I961" s="1348"/>
      <c r="J961" s="1348"/>
      <c r="K961" s="1348"/>
    </row>
    <row r="962" spans="2:11" hidden="1">
      <c r="B962" s="1348"/>
      <c r="C962" s="1348"/>
      <c r="D962" s="1348"/>
      <c r="E962" s="1348"/>
      <c r="F962" s="1348"/>
      <c r="G962" s="1348"/>
      <c r="H962" s="1348"/>
      <c r="I962" s="1348"/>
      <c r="J962" s="1348"/>
      <c r="K962" s="1348"/>
    </row>
    <row r="963" spans="2:11" hidden="1">
      <c r="B963" s="1348"/>
      <c r="C963" s="1348"/>
      <c r="D963" s="1348"/>
      <c r="E963" s="1348"/>
      <c r="F963" s="1348"/>
      <c r="G963" s="1348"/>
      <c r="H963" s="1348"/>
      <c r="I963" s="1348"/>
      <c r="J963" s="1348"/>
      <c r="K963" s="1348"/>
    </row>
    <row r="964" spans="2:11" hidden="1">
      <c r="B964" s="1348"/>
      <c r="C964" s="1348"/>
      <c r="D964" s="1348"/>
      <c r="E964" s="1348"/>
      <c r="F964" s="1348"/>
      <c r="G964" s="1348"/>
      <c r="H964" s="1348"/>
      <c r="I964" s="1348"/>
      <c r="J964" s="1348"/>
      <c r="K964" s="1348"/>
    </row>
    <row r="965" spans="2:11" hidden="1">
      <c r="B965" s="1348"/>
      <c r="C965" s="1348"/>
      <c r="D965" s="1348"/>
      <c r="E965" s="1348"/>
      <c r="F965" s="1348"/>
      <c r="G965" s="1348"/>
      <c r="H965" s="1348"/>
      <c r="I965" s="1348"/>
      <c r="J965" s="1348"/>
      <c r="K965" s="1348"/>
    </row>
    <row r="966" spans="2:11" hidden="1">
      <c r="B966" s="1348"/>
      <c r="C966" s="1348"/>
      <c r="D966" s="1348"/>
      <c r="E966" s="1348"/>
      <c r="F966" s="1348"/>
      <c r="G966" s="1348"/>
      <c r="H966" s="1348"/>
      <c r="I966" s="1348"/>
      <c r="J966" s="1348"/>
      <c r="K966" s="1348"/>
    </row>
    <row r="967" spans="2:11" hidden="1">
      <c r="B967" s="1348"/>
      <c r="C967" s="1348"/>
      <c r="D967" s="1348"/>
      <c r="E967" s="1348"/>
      <c r="F967" s="1348"/>
      <c r="G967" s="1348"/>
      <c r="H967" s="1348"/>
      <c r="I967" s="1348"/>
      <c r="J967" s="1348"/>
      <c r="K967" s="1348"/>
    </row>
    <row r="968" spans="2:11" hidden="1">
      <c r="B968" s="1348"/>
      <c r="C968" s="1348"/>
      <c r="D968" s="1348"/>
      <c r="E968" s="1348"/>
      <c r="F968" s="1348"/>
      <c r="G968" s="1348"/>
      <c r="H968" s="1348"/>
      <c r="I968" s="1348"/>
      <c r="J968" s="1348"/>
      <c r="K968" s="1348"/>
    </row>
    <row r="969" spans="2:11" hidden="1">
      <c r="B969" s="1348"/>
      <c r="C969" s="1348"/>
      <c r="D969" s="1348"/>
      <c r="E969" s="1348"/>
      <c r="F969" s="1348"/>
      <c r="G969" s="1348"/>
      <c r="H969" s="1348"/>
      <c r="I969" s="1348"/>
      <c r="J969" s="1348"/>
      <c r="K969" s="1348"/>
    </row>
    <row r="970" spans="2:11" hidden="1">
      <c r="B970" s="1348"/>
      <c r="C970" s="1348"/>
      <c r="D970" s="1348"/>
      <c r="E970" s="1348"/>
      <c r="F970" s="1348"/>
      <c r="G970" s="1348"/>
      <c r="H970" s="1348"/>
      <c r="I970" s="1348"/>
      <c r="J970" s="1348"/>
      <c r="K970" s="1348"/>
    </row>
    <row r="971" spans="2:11" hidden="1">
      <c r="B971" s="1348"/>
      <c r="C971" s="1348"/>
      <c r="D971" s="1348"/>
      <c r="E971" s="1348"/>
      <c r="F971" s="1348"/>
      <c r="G971" s="1348"/>
      <c r="H971" s="1348"/>
      <c r="I971" s="1348"/>
      <c r="J971" s="1348"/>
      <c r="K971" s="1348"/>
    </row>
    <row r="972" spans="2:11" hidden="1">
      <c r="B972" s="1348"/>
      <c r="C972" s="1348"/>
      <c r="D972" s="1348"/>
      <c r="E972" s="1348"/>
      <c r="F972" s="1348"/>
      <c r="G972" s="1348"/>
      <c r="H972" s="1348"/>
      <c r="I972" s="1348"/>
      <c r="J972" s="1348"/>
      <c r="K972" s="1348"/>
    </row>
    <row r="973" spans="2:11" hidden="1">
      <c r="B973" s="1348"/>
      <c r="C973" s="1348"/>
      <c r="D973" s="1348"/>
      <c r="E973" s="1348"/>
      <c r="F973" s="1348"/>
      <c r="G973" s="1348"/>
      <c r="H973" s="1348"/>
      <c r="I973" s="1348"/>
      <c r="J973" s="1348"/>
      <c r="K973" s="1348"/>
    </row>
    <row r="974" spans="2:11" hidden="1">
      <c r="B974" s="1348"/>
      <c r="C974" s="1348"/>
      <c r="D974" s="1348"/>
      <c r="E974" s="1348"/>
      <c r="F974" s="1348"/>
      <c r="G974" s="1348"/>
      <c r="H974" s="1348"/>
      <c r="I974" s="1348"/>
      <c r="J974" s="1348"/>
      <c r="K974" s="1348"/>
    </row>
    <row r="975" spans="2:11" hidden="1">
      <c r="B975" s="1348"/>
      <c r="C975" s="1348"/>
      <c r="D975" s="1348"/>
      <c r="E975" s="1348"/>
      <c r="F975" s="1348"/>
      <c r="G975" s="1348"/>
      <c r="H975" s="1348"/>
      <c r="I975" s="1348"/>
      <c r="J975" s="1348"/>
      <c r="K975" s="1348"/>
    </row>
    <row r="976" spans="2:11" hidden="1">
      <c r="B976" s="1348"/>
      <c r="C976" s="1348"/>
      <c r="D976" s="1348"/>
      <c r="E976" s="1348"/>
      <c r="F976" s="1348"/>
      <c r="G976" s="1348"/>
      <c r="H976" s="1348"/>
      <c r="I976" s="1348"/>
      <c r="J976" s="1348"/>
      <c r="K976" s="1348"/>
    </row>
    <row r="977" spans="2:11" hidden="1">
      <c r="B977" s="1348"/>
      <c r="C977" s="1348"/>
      <c r="D977" s="1348"/>
      <c r="E977" s="1348"/>
      <c r="F977" s="1348"/>
      <c r="G977" s="1348"/>
      <c r="H977" s="1348"/>
      <c r="I977" s="1348"/>
      <c r="J977" s="1348"/>
      <c r="K977" s="1348"/>
    </row>
    <row r="978" spans="2:11" hidden="1">
      <c r="B978" s="1348"/>
      <c r="C978" s="1348"/>
      <c r="D978" s="1348"/>
      <c r="E978" s="1348"/>
      <c r="F978" s="1348"/>
      <c r="G978" s="1348"/>
      <c r="H978" s="1348"/>
      <c r="I978" s="1348"/>
      <c r="J978" s="1348"/>
      <c r="K978" s="1348"/>
    </row>
    <row r="979" spans="2:11" hidden="1">
      <c r="B979" s="1348"/>
      <c r="C979" s="1348"/>
      <c r="D979" s="1348"/>
      <c r="E979" s="1348"/>
      <c r="F979" s="1348"/>
      <c r="G979" s="1348"/>
      <c r="H979" s="1348"/>
      <c r="I979" s="1348"/>
      <c r="J979" s="1348"/>
      <c r="K979" s="1348"/>
    </row>
    <row r="980" spans="2:11" hidden="1">
      <c r="B980" s="1348"/>
      <c r="C980" s="1348"/>
      <c r="D980" s="1348"/>
      <c r="E980" s="1348"/>
      <c r="F980" s="1348"/>
      <c r="G980" s="1348"/>
      <c r="H980" s="1348"/>
      <c r="I980" s="1348"/>
      <c r="J980" s="1348"/>
      <c r="K980" s="1348"/>
    </row>
    <row r="981" spans="2:11" hidden="1">
      <c r="B981" s="1348"/>
      <c r="C981" s="1348"/>
      <c r="D981" s="1348"/>
      <c r="E981" s="1348"/>
      <c r="F981" s="1348"/>
      <c r="G981" s="1348"/>
      <c r="H981" s="1348"/>
      <c r="I981" s="1348"/>
      <c r="J981" s="1348"/>
      <c r="K981" s="1348"/>
    </row>
    <row r="982" spans="2:11" hidden="1">
      <c r="B982" s="1348"/>
      <c r="C982" s="1348"/>
      <c r="D982" s="1348"/>
      <c r="E982" s="1348"/>
      <c r="F982" s="1348"/>
      <c r="G982" s="1348"/>
      <c r="H982" s="1348"/>
      <c r="I982" s="1348"/>
      <c r="J982" s="1348"/>
      <c r="K982" s="1348"/>
    </row>
    <row r="983" spans="2:11" hidden="1">
      <c r="B983" s="1348"/>
      <c r="C983" s="1348"/>
      <c r="D983" s="1348"/>
      <c r="E983" s="1348"/>
      <c r="F983" s="1348"/>
      <c r="G983" s="1348"/>
      <c r="H983" s="1348"/>
      <c r="I983" s="1348"/>
      <c r="J983" s="1348"/>
      <c r="K983" s="1348"/>
    </row>
    <row r="984" spans="2:11" hidden="1">
      <c r="B984" s="1348"/>
      <c r="C984" s="1348"/>
      <c r="D984" s="1348"/>
      <c r="E984" s="1348"/>
      <c r="F984" s="1348"/>
      <c r="G984" s="1348"/>
      <c r="H984" s="1348"/>
      <c r="I984" s="1348"/>
      <c r="J984" s="1348"/>
      <c r="K984" s="1348"/>
    </row>
    <row r="985" spans="2:11" hidden="1">
      <c r="B985" s="1348"/>
      <c r="C985" s="1348"/>
      <c r="D985" s="1348"/>
      <c r="E985" s="1348"/>
      <c r="F985" s="1348"/>
      <c r="G985" s="1348"/>
      <c r="H985" s="1348"/>
      <c r="I985" s="1348"/>
      <c r="J985" s="1348"/>
      <c r="K985" s="1348"/>
    </row>
    <row r="986" spans="2:11" hidden="1">
      <c r="B986" s="1348"/>
      <c r="C986" s="1348"/>
      <c r="D986" s="1348"/>
      <c r="E986" s="1348"/>
      <c r="F986" s="1348"/>
      <c r="G986" s="1348"/>
      <c r="H986" s="1348"/>
      <c r="I986" s="1348"/>
      <c r="J986" s="1348"/>
      <c r="K986" s="1348"/>
    </row>
    <row r="987" spans="2:11" hidden="1">
      <c r="B987" s="1348"/>
      <c r="C987" s="1348"/>
      <c r="D987" s="1348"/>
      <c r="E987" s="1348"/>
      <c r="F987" s="1348"/>
      <c r="G987" s="1348"/>
      <c r="H987" s="1348"/>
      <c r="I987" s="1348"/>
      <c r="J987" s="1348"/>
      <c r="K987" s="1348"/>
    </row>
    <row r="988" spans="2:11" hidden="1">
      <c r="B988" s="1348"/>
      <c r="C988" s="1348"/>
      <c r="D988" s="1348"/>
      <c r="E988" s="1348"/>
      <c r="F988" s="1348"/>
      <c r="G988" s="1348"/>
      <c r="H988" s="1348"/>
      <c r="I988" s="1348"/>
      <c r="J988" s="1348"/>
      <c r="K988" s="1348"/>
    </row>
    <row r="989" spans="2:11" hidden="1">
      <c r="B989" s="1348"/>
      <c r="C989" s="1348"/>
      <c r="D989" s="1348"/>
      <c r="E989" s="1348"/>
      <c r="F989" s="1348"/>
      <c r="G989" s="1348"/>
      <c r="H989" s="1348"/>
      <c r="I989" s="1348"/>
      <c r="J989" s="1348"/>
      <c r="K989" s="1348"/>
    </row>
    <row r="990" spans="2:11" hidden="1">
      <c r="B990" s="1348"/>
      <c r="C990" s="1348"/>
      <c r="D990" s="1348"/>
      <c r="E990" s="1348"/>
      <c r="F990" s="1348"/>
      <c r="G990" s="1348"/>
      <c r="H990" s="1348"/>
      <c r="I990" s="1348"/>
      <c r="J990" s="1348"/>
      <c r="K990" s="1348"/>
    </row>
    <row r="991" spans="2:11" hidden="1">
      <c r="B991" s="1348"/>
      <c r="C991" s="1348"/>
      <c r="D991" s="1348"/>
      <c r="E991" s="1348"/>
      <c r="F991" s="1348"/>
      <c r="G991" s="1348"/>
      <c r="H991" s="1348"/>
      <c r="I991" s="1348"/>
      <c r="J991" s="1348"/>
      <c r="K991" s="1348"/>
    </row>
    <row r="992" spans="2:11" hidden="1">
      <c r="B992" s="1348"/>
      <c r="C992" s="1348"/>
      <c r="D992" s="1348"/>
      <c r="E992" s="1348"/>
      <c r="F992" s="1348"/>
      <c r="G992" s="1348"/>
      <c r="H992" s="1348"/>
      <c r="I992" s="1348"/>
      <c r="J992" s="1348"/>
      <c r="K992" s="1348"/>
    </row>
    <row r="993" spans="2:11" hidden="1">
      <c r="B993" s="1348"/>
      <c r="C993" s="1348"/>
      <c r="D993" s="1348"/>
      <c r="E993" s="1348"/>
      <c r="F993" s="1348"/>
      <c r="G993" s="1348"/>
      <c r="H993" s="1348"/>
      <c r="I993" s="1348"/>
      <c r="J993" s="1348"/>
      <c r="K993" s="1348"/>
    </row>
    <row r="994" spans="2:11" hidden="1">
      <c r="B994" s="1348"/>
      <c r="C994" s="1348"/>
      <c r="D994" s="1348"/>
      <c r="E994" s="1348"/>
      <c r="F994" s="1348"/>
      <c r="G994" s="1348"/>
      <c r="H994" s="1348"/>
      <c r="I994" s="1348"/>
      <c r="J994" s="1348"/>
      <c r="K994" s="1348"/>
    </row>
    <row r="995" spans="2:11" hidden="1">
      <c r="B995" s="1348"/>
      <c r="C995" s="1348"/>
      <c r="D995" s="1348"/>
      <c r="E995" s="1348"/>
      <c r="F995" s="1348"/>
      <c r="G995" s="1348"/>
      <c r="H995" s="1348"/>
      <c r="I995" s="1348"/>
      <c r="J995" s="1348"/>
      <c r="K995" s="1348"/>
    </row>
    <row r="996" spans="2:11" hidden="1">
      <c r="B996" s="1348"/>
      <c r="C996" s="1348"/>
      <c r="D996" s="1348"/>
      <c r="E996" s="1348"/>
      <c r="F996" s="1348"/>
      <c r="G996" s="1348"/>
      <c r="H996" s="1348"/>
      <c r="I996" s="1348"/>
      <c r="J996" s="1348"/>
      <c r="K996" s="1348"/>
    </row>
    <row r="997" spans="2:11" hidden="1">
      <c r="B997" s="1348"/>
      <c r="C997" s="1348"/>
      <c r="D997" s="1348"/>
      <c r="E997" s="1348"/>
      <c r="F997" s="1348"/>
      <c r="G997" s="1348"/>
      <c r="H997" s="1348"/>
      <c r="I997" s="1348"/>
      <c r="J997" s="1348"/>
      <c r="K997" s="1348"/>
    </row>
    <row r="998" spans="2:11" hidden="1">
      <c r="B998" s="1348"/>
      <c r="C998" s="1348"/>
      <c r="D998" s="1348"/>
      <c r="E998" s="1348"/>
      <c r="F998" s="1348"/>
      <c r="G998" s="1348"/>
      <c r="H998" s="1348"/>
      <c r="I998" s="1348"/>
      <c r="J998" s="1348"/>
      <c r="K998" s="1348"/>
    </row>
    <row r="999" spans="2:11" hidden="1">
      <c r="B999" s="1348"/>
      <c r="C999" s="1348"/>
      <c r="D999" s="1348"/>
      <c r="E999" s="1348"/>
      <c r="F999" s="1348"/>
      <c r="G999" s="1348"/>
      <c r="H999" s="1348"/>
      <c r="I999" s="1348"/>
      <c r="J999" s="1348"/>
      <c r="K999" s="1348"/>
    </row>
    <row r="1000" spans="2:11" hidden="1">
      <c r="B1000" s="1348"/>
      <c r="C1000" s="1348"/>
      <c r="D1000" s="1348"/>
      <c r="E1000" s="1348"/>
      <c r="F1000" s="1348"/>
      <c r="G1000" s="1348"/>
      <c r="H1000" s="1348"/>
      <c r="I1000" s="1348"/>
      <c r="J1000" s="1348"/>
      <c r="K1000" s="1348"/>
    </row>
    <row r="1001" spans="2:11" hidden="1">
      <c r="B1001" s="1348"/>
      <c r="C1001" s="1348"/>
      <c r="D1001" s="1348"/>
      <c r="E1001" s="1348"/>
      <c r="F1001" s="1348"/>
      <c r="G1001" s="1348"/>
      <c r="H1001" s="1348"/>
      <c r="I1001" s="1348"/>
      <c r="J1001" s="1348"/>
      <c r="K1001" s="1348"/>
    </row>
    <row r="1002" spans="2:11" hidden="1">
      <c r="B1002" s="1348"/>
      <c r="C1002" s="1348"/>
      <c r="D1002" s="1348"/>
      <c r="E1002" s="1348"/>
      <c r="F1002" s="1348"/>
      <c r="G1002" s="1348"/>
      <c r="H1002" s="1348"/>
      <c r="I1002" s="1348"/>
      <c r="J1002" s="1348"/>
      <c r="K1002" s="1348"/>
    </row>
    <row r="1003" spans="2:11" hidden="1">
      <c r="B1003" s="1348"/>
      <c r="C1003" s="1348"/>
      <c r="D1003" s="1348"/>
      <c r="E1003" s="1348"/>
      <c r="F1003" s="1348"/>
      <c r="G1003" s="1348"/>
      <c r="H1003" s="1348"/>
      <c r="I1003" s="1348"/>
      <c r="J1003" s="1348"/>
      <c r="K1003" s="1348"/>
    </row>
    <row r="1004" spans="2:11" hidden="1">
      <c r="B1004" s="1348"/>
      <c r="C1004" s="1348"/>
      <c r="D1004" s="1348"/>
      <c r="E1004" s="1348"/>
      <c r="F1004" s="1348"/>
      <c r="G1004" s="1348"/>
      <c r="H1004" s="1348"/>
      <c r="I1004" s="1348"/>
      <c r="J1004" s="1348"/>
      <c r="K1004" s="1348"/>
    </row>
    <row r="1005" spans="2:11" hidden="1">
      <c r="B1005" s="1348"/>
      <c r="C1005" s="1348"/>
      <c r="D1005" s="1348"/>
      <c r="E1005" s="1348"/>
      <c r="F1005" s="1348"/>
      <c r="G1005" s="1348"/>
      <c r="H1005" s="1348"/>
      <c r="I1005" s="1348"/>
      <c r="J1005" s="1348"/>
      <c r="K1005" s="1348"/>
    </row>
    <row r="1006" spans="2:11" hidden="1">
      <c r="B1006" s="1348"/>
      <c r="C1006" s="1348"/>
      <c r="D1006" s="1348"/>
      <c r="E1006" s="1348"/>
      <c r="F1006" s="1348"/>
      <c r="G1006" s="1348"/>
      <c r="H1006" s="1348"/>
      <c r="I1006" s="1348"/>
      <c r="J1006" s="1348"/>
      <c r="K1006" s="1348"/>
    </row>
    <row r="1007" spans="2:11" hidden="1">
      <c r="B1007" s="1348"/>
      <c r="C1007" s="1348"/>
      <c r="D1007" s="1348"/>
      <c r="E1007" s="1348"/>
      <c r="F1007" s="1348"/>
      <c r="G1007" s="1348"/>
      <c r="H1007" s="1348"/>
      <c r="I1007" s="1348"/>
      <c r="J1007" s="1348"/>
      <c r="K1007" s="1348"/>
    </row>
    <row r="1008" spans="2:11" hidden="1">
      <c r="B1008" s="1348"/>
      <c r="C1008" s="1348"/>
      <c r="D1008" s="1348"/>
      <c r="E1008" s="1348"/>
      <c r="F1008" s="1348"/>
      <c r="G1008" s="1348"/>
      <c r="H1008" s="1348"/>
      <c r="I1008" s="1348"/>
      <c r="J1008" s="1348"/>
      <c r="K1008" s="1348"/>
    </row>
    <row r="1009" spans="2:11" hidden="1">
      <c r="B1009" s="1348"/>
      <c r="C1009" s="1348"/>
      <c r="D1009" s="1348"/>
      <c r="E1009" s="1348"/>
      <c r="F1009" s="1348"/>
      <c r="G1009" s="1348"/>
      <c r="H1009" s="1348"/>
      <c r="I1009" s="1348"/>
      <c r="J1009" s="1348"/>
      <c r="K1009" s="1348"/>
    </row>
    <row r="1010" spans="2:11" hidden="1">
      <c r="B1010" s="1348"/>
      <c r="C1010" s="1348"/>
      <c r="D1010" s="1348"/>
      <c r="E1010" s="1348"/>
      <c r="F1010" s="1348"/>
      <c r="G1010" s="1348"/>
      <c r="H1010" s="1348"/>
      <c r="I1010" s="1348"/>
      <c r="J1010" s="1348"/>
      <c r="K1010" s="1348"/>
    </row>
    <row r="1011" spans="2:11" hidden="1">
      <c r="B1011" s="1348"/>
      <c r="C1011" s="1348"/>
      <c r="D1011" s="1348"/>
      <c r="E1011" s="1348"/>
      <c r="F1011" s="1348"/>
      <c r="G1011" s="1348"/>
      <c r="H1011" s="1348"/>
      <c r="I1011" s="1348"/>
      <c r="J1011" s="1348"/>
      <c r="K1011" s="1348"/>
    </row>
    <row r="1012" spans="2:11" hidden="1">
      <c r="B1012" s="1348"/>
      <c r="C1012" s="1348"/>
      <c r="D1012" s="1348"/>
      <c r="E1012" s="1348"/>
      <c r="F1012" s="1348"/>
      <c r="G1012" s="1348"/>
      <c r="H1012" s="1348"/>
      <c r="I1012" s="1348"/>
      <c r="J1012" s="1348"/>
      <c r="K1012" s="1348"/>
    </row>
    <row r="1013" spans="2:11" hidden="1">
      <c r="B1013" s="1348"/>
      <c r="C1013" s="1348"/>
      <c r="D1013" s="1348"/>
      <c r="E1013" s="1348"/>
      <c r="F1013" s="1348"/>
      <c r="G1013" s="1348"/>
      <c r="H1013" s="1348"/>
      <c r="I1013" s="1348"/>
      <c r="J1013" s="1348"/>
      <c r="K1013" s="1348"/>
    </row>
    <row r="1014" spans="2:11" hidden="1">
      <c r="B1014" s="1348"/>
      <c r="C1014" s="1348"/>
      <c r="D1014" s="1348"/>
      <c r="E1014" s="1348"/>
      <c r="F1014" s="1348"/>
      <c r="G1014" s="1348"/>
      <c r="H1014" s="1348"/>
      <c r="I1014" s="1348"/>
      <c r="J1014" s="1348"/>
      <c r="K1014" s="1348"/>
    </row>
    <row r="1015" spans="2:11" hidden="1">
      <c r="B1015" s="1348"/>
      <c r="C1015" s="1348"/>
      <c r="D1015" s="1348"/>
      <c r="E1015" s="1348"/>
      <c r="F1015" s="1348"/>
      <c r="G1015" s="1348"/>
      <c r="H1015" s="1348"/>
      <c r="I1015" s="1348"/>
      <c r="J1015" s="1348"/>
      <c r="K1015" s="1348"/>
    </row>
    <row r="1016" spans="2:11" hidden="1">
      <c r="B1016" s="1348"/>
      <c r="C1016" s="1348"/>
      <c r="D1016" s="1348"/>
      <c r="E1016" s="1348"/>
      <c r="F1016" s="1348"/>
      <c r="G1016" s="1348"/>
      <c r="H1016" s="1348"/>
      <c r="I1016" s="1348"/>
      <c r="J1016" s="1348"/>
      <c r="K1016" s="1348"/>
    </row>
    <row r="1017" spans="2:11" hidden="1">
      <c r="B1017" s="1348"/>
      <c r="C1017" s="1348"/>
      <c r="D1017" s="1348"/>
      <c r="E1017" s="1348"/>
      <c r="F1017" s="1348"/>
      <c r="G1017" s="1348"/>
      <c r="H1017" s="1348"/>
      <c r="I1017" s="1348"/>
      <c r="J1017" s="1348"/>
      <c r="K1017" s="1348"/>
    </row>
    <row r="1018" spans="2:11" hidden="1">
      <c r="B1018" s="1348"/>
      <c r="C1018" s="1348"/>
      <c r="D1018" s="1348"/>
      <c r="E1018" s="1348"/>
      <c r="F1018" s="1348"/>
      <c r="G1018" s="1348"/>
      <c r="H1018" s="1348"/>
      <c r="I1018" s="1348"/>
      <c r="J1018" s="1348"/>
      <c r="K1018" s="1348"/>
    </row>
    <row r="1019" spans="2:11" hidden="1">
      <c r="B1019" s="1348"/>
      <c r="C1019" s="1348"/>
      <c r="D1019" s="1348"/>
      <c r="E1019" s="1348"/>
      <c r="F1019" s="1348"/>
      <c r="G1019" s="1348"/>
      <c r="H1019" s="1348"/>
      <c r="I1019" s="1348"/>
      <c r="J1019" s="1348"/>
      <c r="K1019" s="1348"/>
    </row>
    <row r="1020" spans="2:11" hidden="1">
      <c r="B1020" s="1348"/>
      <c r="C1020" s="1348"/>
      <c r="D1020" s="1348"/>
      <c r="E1020" s="1348"/>
      <c r="F1020" s="1348"/>
      <c r="G1020" s="1348"/>
      <c r="H1020" s="1348"/>
      <c r="I1020" s="1348"/>
      <c r="J1020" s="1348"/>
      <c r="K1020" s="1348"/>
    </row>
    <row r="1021" spans="2:11" hidden="1">
      <c r="B1021" s="1348"/>
      <c r="C1021" s="1348"/>
      <c r="D1021" s="1348"/>
      <c r="E1021" s="1348"/>
      <c r="F1021" s="1348"/>
      <c r="G1021" s="1348"/>
      <c r="H1021" s="1348"/>
      <c r="I1021" s="1348"/>
      <c r="J1021" s="1348"/>
      <c r="K1021" s="1348"/>
    </row>
    <row r="1022" spans="2:11" hidden="1">
      <c r="B1022" s="1348"/>
      <c r="C1022" s="1348"/>
      <c r="D1022" s="1348"/>
      <c r="E1022" s="1348"/>
      <c r="F1022" s="1348"/>
      <c r="G1022" s="1348"/>
      <c r="H1022" s="1348"/>
      <c r="I1022" s="1348"/>
      <c r="J1022" s="1348"/>
      <c r="K1022" s="1348"/>
    </row>
    <row r="1023" spans="2:11" hidden="1">
      <c r="B1023" s="1348"/>
      <c r="C1023" s="1348"/>
      <c r="D1023" s="1348"/>
      <c r="E1023" s="1348"/>
      <c r="F1023" s="1348"/>
      <c r="G1023" s="1348"/>
      <c r="H1023" s="1348"/>
      <c r="I1023" s="1348"/>
      <c r="J1023" s="1348"/>
      <c r="K1023" s="1348"/>
    </row>
    <row r="1024" spans="2:11" hidden="1">
      <c r="B1024" s="1348"/>
      <c r="C1024" s="1348"/>
      <c r="D1024" s="1348"/>
      <c r="E1024" s="1348"/>
      <c r="F1024" s="1348"/>
      <c r="G1024" s="1348"/>
      <c r="H1024" s="1348"/>
      <c r="I1024" s="1348"/>
      <c r="J1024" s="1348"/>
      <c r="K1024" s="1348"/>
    </row>
    <row r="1025" spans="2:11" hidden="1">
      <c r="B1025" s="1348"/>
      <c r="C1025" s="1348"/>
      <c r="D1025" s="1348"/>
      <c r="E1025" s="1348"/>
      <c r="F1025" s="1348"/>
      <c r="G1025" s="1348"/>
      <c r="H1025" s="1348"/>
      <c r="I1025" s="1348"/>
      <c r="J1025" s="1348"/>
      <c r="K1025" s="1348"/>
    </row>
    <row r="1026" spans="2:11" hidden="1">
      <c r="B1026" s="1348"/>
      <c r="C1026" s="1348"/>
      <c r="D1026" s="1348"/>
      <c r="E1026" s="1348"/>
      <c r="F1026" s="1348"/>
      <c r="G1026" s="1348"/>
      <c r="H1026" s="1348"/>
      <c r="I1026" s="1348"/>
      <c r="J1026" s="1348"/>
      <c r="K1026" s="1348"/>
    </row>
    <row r="1027" spans="2:11" hidden="1">
      <c r="B1027" s="1348"/>
      <c r="C1027" s="1348"/>
      <c r="D1027" s="1348"/>
      <c r="E1027" s="1348"/>
      <c r="F1027" s="1348"/>
      <c r="G1027" s="1348"/>
      <c r="H1027" s="1348"/>
      <c r="I1027" s="1348"/>
      <c r="J1027" s="1348"/>
      <c r="K1027" s="1348"/>
    </row>
    <row r="1028" spans="2:11" hidden="1">
      <c r="B1028" s="1348"/>
      <c r="C1028" s="1348"/>
      <c r="D1028" s="1348"/>
      <c r="E1028" s="1348"/>
      <c r="F1028" s="1348"/>
      <c r="G1028" s="1348"/>
      <c r="H1028" s="1348"/>
      <c r="I1028" s="1348"/>
      <c r="J1028" s="1348"/>
      <c r="K1028" s="1348"/>
    </row>
    <row r="1029" spans="2:11" hidden="1">
      <c r="B1029" s="1348"/>
      <c r="C1029" s="1348"/>
      <c r="D1029" s="1348"/>
      <c r="E1029" s="1348"/>
      <c r="F1029" s="1348"/>
      <c r="G1029" s="1348"/>
      <c r="H1029" s="1348"/>
      <c r="I1029" s="1348"/>
      <c r="J1029" s="1348"/>
      <c r="K1029" s="1348"/>
    </row>
    <row r="1030" spans="2:11" hidden="1">
      <c r="B1030" s="1348"/>
      <c r="C1030" s="1348"/>
      <c r="D1030" s="1348"/>
      <c r="E1030" s="1348"/>
      <c r="F1030" s="1348"/>
      <c r="G1030" s="1348"/>
      <c r="H1030" s="1348"/>
      <c r="I1030" s="1348"/>
      <c r="J1030" s="1348"/>
      <c r="K1030" s="1348"/>
    </row>
    <row r="1031" spans="2:11" hidden="1">
      <c r="B1031" s="1348"/>
      <c r="C1031" s="1348"/>
      <c r="D1031" s="1348"/>
      <c r="E1031" s="1348"/>
      <c r="F1031" s="1348"/>
      <c r="G1031" s="1348"/>
      <c r="H1031" s="1348"/>
      <c r="I1031" s="1348"/>
      <c r="J1031" s="1348"/>
      <c r="K1031" s="1348"/>
    </row>
    <row r="1032" spans="2:11" hidden="1">
      <c r="B1032" s="1348"/>
      <c r="C1032" s="1348"/>
      <c r="D1032" s="1348"/>
      <c r="E1032" s="1348"/>
      <c r="F1032" s="1348"/>
      <c r="G1032" s="1348"/>
      <c r="H1032" s="1348"/>
      <c r="I1032" s="1348"/>
      <c r="J1032" s="1348"/>
      <c r="K1032" s="1348"/>
    </row>
    <row r="1033" spans="2:11" hidden="1">
      <c r="B1033" s="1348"/>
      <c r="C1033" s="1348"/>
      <c r="D1033" s="1348"/>
      <c r="E1033" s="1348"/>
      <c r="F1033" s="1348"/>
      <c r="G1033" s="1348"/>
      <c r="H1033" s="1348"/>
      <c r="I1033" s="1348"/>
      <c r="J1033" s="1348"/>
      <c r="K1033" s="1348"/>
    </row>
    <row r="1034" spans="2:11" hidden="1">
      <c r="B1034" s="1348"/>
      <c r="C1034" s="1348"/>
      <c r="D1034" s="1348"/>
      <c r="E1034" s="1348"/>
      <c r="F1034" s="1348"/>
      <c r="G1034" s="1348"/>
      <c r="H1034" s="1348"/>
      <c r="I1034" s="1348"/>
      <c r="J1034" s="1348"/>
      <c r="K1034" s="1348"/>
    </row>
    <row r="1035" spans="2:11" hidden="1">
      <c r="B1035" s="1348"/>
      <c r="C1035" s="1348"/>
      <c r="D1035" s="1348"/>
      <c r="E1035" s="1348"/>
      <c r="F1035" s="1348"/>
      <c r="G1035" s="1348"/>
      <c r="H1035" s="1348"/>
      <c r="I1035" s="1348"/>
      <c r="J1035" s="1348"/>
      <c r="K1035" s="1348"/>
    </row>
    <row r="1036" spans="2:11" hidden="1">
      <c r="B1036" s="1348"/>
      <c r="C1036" s="1348"/>
      <c r="D1036" s="1348"/>
      <c r="E1036" s="1348"/>
      <c r="F1036" s="1348"/>
      <c r="G1036" s="1348"/>
      <c r="H1036" s="1348"/>
      <c r="I1036" s="1348"/>
      <c r="J1036" s="1348"/>
      <c r="K1036" s="1348"/>
    </row>
    <row r="1037" spans="2:11" hidden="1">
      <c r="B1037" s="1348"/>
      <c r="C1037" s="1348"/>
      <c r="D1037" s="1348"/>
      <c r="E1037" s="1348"/>
      <c r="F1037" s="1348"/>
      <c r="G1037" s="1348"/>
      <c r="H1037" s="1348"/>
      <c r="I1037" s="1348"/>
      <c r="J1037" s="1348"/>
      <c r="K1037" s="1348"/>
    </row>
    <row r="1038" spans="2:11" hidden="1">
      <c r="B1038" s="1348"/>
      <c r="C1038" s="1348"/>
      <c r="D1038" s="1348"/>
      <c r="E1038" s="1348"/>
      <c r="F1038" s="1348"/>
      <c r="G1038" s="1348"/>
      <c r="H1038" s="1348"/>
      <c r="I1038" s="1348"/>
      <c r="J1038" s="1348"/>
      <c r="K1038" s="1348"/>
    </row>
    <row r="1039" spans="2:11" hidden="1">
      <c r="B1039" s="1348"/>
      <c r="C1039" s="1348"/>
      <c r="D1039" s="1348"/>
      <c r="E1039" s="1348"/>
      <c r="F1039" s="1348"/>
      <c r="G1039" s="1348"/>
      <c r="H1039" s="1348"/>
      <c r="I1039" s="1348"/>
      <c r="J1039" s="1348"/>
      <c r="K1039" s="1348"/>
    </row>
    <row r="1040" spans="2:11" hidden="1">
      <c r="B1040" s="1348"/>
      <c r="C1040" s="1348"/>
      <c r="D1040" s="1348"/>
      <c r="E1040" s="1348"/>
      <c r="F1040" s="1348"/>
      <c r="G1040" s="1348"/>
      <c r="H1040" s="1348"/>
      <c r="I1040" s="1348"/>
      <c r="J1040" s="1348"/>
      <c r="K1040" s="1348"/>
    </row>
    <row r="1041" spans="2:11" hidden="1">
      <c r="B1041" s="1348"/>
      <c r="C1041" s="1348"/>
      <c r="D1041" s="1348"/>
      <c r="E1041" s="1348"/>
      <c r="F1041" s="1348"/>
      <c r="G1041" s="1348"/>
      <c r="H1041" s="1348"/>
      <c r="I1041" s="1348"/>
      <c r="J1041" s="1348"/>
      <c r="K1041" s="1348"/>
    </row>
    <row r="1042" spans="2:11" hidden="1">
      <c r="B1042" s="1348"/>
      <c r="C1042" s="1348"/>
      <c r="D1042" s="1348"/>
      <c r="E1042" s="1348"/>
      <c r="F1042" s="1348"/>
      <c r="G1042" s="1348"/>
      <c r="H1042" s="1348"/>
      <c r="I1042" s="1348"/>
      <c r="J1042" s="1348"/>
      <c r="K1042" s="1348"/>
    </row>
    <row r="1043" spans="2:11" hidden="1">
      <c r="B1043" s="1348"/>
      <c r="C1043" s="1348"/>
      <c r="D1043" s="1348"/>
      <c r="E1043" s="1348"/>
      <c r="F1043" s="1348"/>
      <c r="G1043" s="1348"/>
      <c r="H1043" s="1348"/>
      <c r="I1043" s="1348"/>
      <c r="J1043" s="1348"/>
      <c r="K1043" s="1348"/>
    </row>
    <row r="1044" spans="2:11" hidden="1">
      <c r="B1044" s="1348"/>
      <c r="C1044" s="1348"/>
      <c r="D1044" s="1348"/>
      <c r="E1044" s="1348"/>
      <c r="F1044" s="1348"/>
      <c r="G1044" s="1348"/>
      <c r="H1044" s="1348"/>
      <c r="I1044" s="1348"/>
      <c r="J1044" s="1348"/>
      <c r="K1044" s="1348"/>
    </row>
    <row r="1045" spans="2:11" hidden="1">
      <c r="B1045" s="1348"/>
      <c r="C1045" s="1348"/>
      <c r="D1045" s="1348"/>
      <c r="E1045" s="1348"/>
      <c r="F1045" s="1348"/>
      <c r="G1045" s="1348"/>
      <c r="H1045" s="1348"/>
      <c r="I1045" s="1348"/>
      <c r="J1045" s="1348"/>
      <c r="K1045" s="1348"/>
    </row>
    <row r="1046" spans="2:11" hidden="1">
      <c r="B1046" s="1348"/>
      <c r="C1046" s="1348"/>
      <c r="D1046" s="1348"/>
      <c r="E1046" s="1348"/>
      <c r="F1046" s="1348"/>
      <c r="G1046" s="1348"/>
      <c r="H1046" s="1348"/>
      <c r="I1046" s="1348"/>
      <c r="J1046" s="1348"/>
      <c r="K1046" s="1348"/>
    </row>
    <row r="1047" spans="2:11" hidden="1">
      <c r="B1047" s="1348"/>
      <c r="C1047" s="1348"/>
      <c r="D1047" s="1348"/>
      <c r="E1047" s="1348"/>
      <c r="F1047" s="1348"/>
      <c r="G1047" s="1348"/>
      <c r="H1047" s="1348"/>
      <c r="I1047" s="1348"/>
      <c r="J1047" s="1348"/>
      <c r="K1047" s="1348"/>
    </row>
    <row r="1048" spans="2:11" hidden="1">
      <c r="B1048" s="1348"/>
      <c r="C1048" s="1348"/>
      <c r="D1048" s="1348"/>
      <c r="E1048" s="1348"/>
      <c r="F1048" s="1348"/>
      <c r="G1048" s="1348"/>
      <c r="H1048" s="1348"/>
      <c r="I1048" s="1348"/>
      <c r="J1048" s="1348"/>
      <c r="K1048" s="1348"/>
    </row>
    <row r="1049" spans="2:11" hidden="1">
      <c r="B1049" s="1348"/>
      <c r="C1049" s="1348"/>
      <c r="D1049" s="1348"/>
      <c r="E1049" s="1348"/>
      <c r="F1049" s="1348"/>
      <c r="G1049" s="1348"/>
      <c r="H1049" s="1348"/>
      <c r="I1049" s="1348"/>
      <c r="J1049" s="1348"/>
      <c r="K1049" s="1348"/>
    </row>
    <row r="1050" spans="2:11" hidden="1">
      <c r="B1050" s="1348"/>
      <c r="C1050" s="1348"/>
      <c r="D1050" s="1348"/>
      <c r="E1050" s="1348"/>
      <c r="F1050" s="1348"/>
      <c r="G1050" s="1348"/>
      <c r="H1050" s="1348"/>
      <c r="I1050" s="1348"/>
      <c r="J1050" s="1348"/>
      <c r="K1050" s="1348"/>
    </row>
    <row r="1051" spans="2:11" hidden="1">
      <c r="B1051" s="1348"/>
      <c r="C1051" s="1348"/>
      <c r="D1051" s="1348"/>
      <c r="E1051" s="1348"/>
      <c r="F1051" s="1348"/>
      <c r="G1051" s="1348"/>
      <c r="H1051" s="1348"/>
      <c r="I1051" s="1348"/>
      <c r="J1051" s="1348"/>
      <c r="K1051" s="1348"/>
    </row>
    <row r="1052" spans="2:11" hidden="1">
      <c r="B1052" s="1348"/>
      <c r="C1052" s="1348"/>
      <c r="D1052" s="1348"/>
      <c r="E1052" s="1348"/>
      <c r="F1052" s="1348"/>
      <c r="G1052" s="1348"/>
      <c r="H1052" s="1348"/>
      <c r="I1052" s="1348"/>
      <c r="J1052" s="1348"/>
      <c r="K1052" s="1348"/>
    </row>
    <row r="1053" spans="2:11" hidden="1">
      <c r="B1053" s="1348"/>
      <c r="C1053" s="1348"/>
      <c r="D1053" s="1348"/>
      <c r="E1053" s="1348"/>
      <c r="F1053" s="1348"/>
      <c r="G1053" s="1348"/>
      <c r="H1053" s="1348"/>
      <c r="I1053" s="1348"/>
      <c r="J1053" s="1348"/>
      <c r="K1053" s="1348"/>
    </row>
    <row r="1054" spans="2:11" hidden="1">
      <c r="B1054" s="1348"/>
      <c r="C1054" s="1348"/>
      <c r="D1054" s="1348"/>
      <c r="E1054" s="1348"/>
      <c r="F1054" s="1348"/>
      <c r="G1054" s="1348"/>
      <c r="H1054" s="1348"/>
      <c r="I1054" s="1348"/>
      <c r="J1054" s="1348"/>
      <c r="K1054" s="1348"/>
    </row>
    <row r="1055" spans="2:11" hidden="1">
      <c r="B1055" s="1348"/>
      <c r="C1055" s="1348"/>
      <c r="D1055" s="1348"/>
      <c r="E1055" s="1348"/>
      <c r="F1055" s="1348"/>
      <c r="G1055" s="1348"/>
      <c r="H1055" s="1348"/>
      <c r="I1055" s="1348"/>
      <c r="J1055" s="1348"/>
      <c r="K1055" s="1348"/>
    </row>
    <row r="1056" spans="2:11" hidden="1">
      <c r="B1056" s="1348"/>
      <c r="C1056" s="1348"/>
      <c r="D1056" s="1348"/>
      <c r="E1056" s="1348"/>
      <c r="F1056" s="1348"/>
      <c r="G1056" s="1348"/>
      <c r="H1056" s="1348"/>
      <c r="I1056" s="1348"/>
      <c r="J1056" s="1348"/>
      <c r="K1056" s="1348"/>
    </row>
    <row r="1057" spans="2:11" hidden="1">
      <c r="B1057" s="1348"/>
      <c r="C1057" s="1348"/>
      <c r="D1057" s="1348"/>
      <c r="E1057" s="1348"/>
      <c r="F1057" s="1348"/>
      <c r="G1057" s="1348"/>
      <c r="H1057" s="1348"/>
      <c r="I1057" s="1348"/>
      <c r="J1057" s="1348"/>
      <c r="K1057" s="1348"/>
    </row>
    <row r="1058" spans="2:11" hidden="1">
      <c r="B1058" s="1348"/>
      <c r="C1058" s="1348"/>
      <c r="D1058" s="1348"/>
      <c r="E1058" s="1348"/>
      <c r="F1058" s="1348"/>
      <c r="G1058" s="1348"/>
      <c r="H1058" s="1348"/>
      <c r="I1058" s="1348"/>
      <c r="J1058" s="1348"/>
      <c r="K1058" s="1348"/>
    </row>
    <row r="1059" spans="2:11" hidden="1">
      <c r="B1059" s="1348"/>
      <c r="C1059" s="1348"/>
      <c r="D1059" s="1348"/>
      <c r="E1059" s="1348"/>
      <c r="F1059" s="1348"/>
      <c r="G1059" s="1348"/>
      <c r="H1059" s="1348"/>
      <c r="I1059" s="1348"/>
      <c r="J1059" s="1348"/>
      <c r="K1059" s="1348"/>
    </row>
    <row r="1060" spans="2:11" hidden="1">
      <c r="B1060" s="1348"/>
      <c r="C1060" s="1348"/>
      <c r="D1060" s="1348"/>
      <c r="E1060" s="1348"/>
      <c r="F1060" s="1348"/>
      <c r="G1060" s="1348"/>
      <c r="H1060" s="1348"/>
      <c r="I1060" s="1348"/>
      <c r="J1060" s="1348"/>
      <c r="K1060" s="1348"/>
    </row>
    <row r="1061" spans="2:11" hidden="1">
      <c r="B1061" s="1348"/>
      <c r="C1061" s="1348"/>
      <c r="D1061" s="1348"/>
      <c r="E1061" s="1348"/>
      <c r="F1061" s="1348"/>
      <c r="G1061" s="1348"/>
      <c r="H1061" s="1348"/>
      <c r="I1061" s="1348"/>
      <c r="J1061" s="1348"/>
      <c r="K1061" s="1348"/>
    </row>
    <row r="1062" spans="2:11" hidden="1">
      <c r="B1062" s="1348"/>
      <c r="C1062" s="1348"/>
      <c r="D1062" s="1348"/>
      <c r="E1062" s="1348"/>
      <c r="F1062" s="1348"/>
      <c r="G1062" s="1348"/>
      <c r="H1062" s="1348"/>
      <c r="I1062" s="1348"/>
      <c r="J1062" s="1348"/>
      <c r="K1062" s="1348"/>
    </row>
    <row r="1063" spans="2:11" hidden="1">
      <c r="B1063" s="1348"/>
      <c r="C1063" s="1348"/>
      <c r="D1063" s="1348"/>
      <c r="E1063" s="1348"/>
      <c r="F1063" s="1348"/>
      <c r="G1063" s="1348"/>
      <c r="H1063" s="1348"/>
      <c r="I1063" s="1348"/>
      <c r="J1063" s="1348"/>
      <c r="K1063" s="1348"/>
    </row>
    <row r="1064" spans="2:11" hidden="1">
      <c r="B1064" s="1348"/>
      <c r="C1064" s="1348"/>
      <c r="D1064" s="1348"/>
      <c r="E1064" s="1348"/>
      <c r="F1064" s="1348"/>
      <c r="G1064" s="1348"/>
      <c r="H1064" s="1348"/>
      <c r="I1064" s="1348"/>
      <c r="J1064" s="1348"/>
      <c r="K1064" s="1348"/>
    </row>
    <row r="1065" spans="2:11" hidden="1">
      <c r="B1065" s="1348"/>
      <c r="C1065" s="1348"/>
      <c r="D1065" s="1348"/>
      <c r="E1065" s="1348"/>
      <c r="F1065" s="1348"/>
      <c r="G1065" s="1348"/>
      <c r="H1065" s="1348"/>
      <c r="I1065" s="1348"/>
      <c r="J1065" s="1348"/>
      <c r="K1065" s="1348"/>
    </row>
    <row r="1066" spans="2:11" hidden="1">
      <c r="B1066" s="1348"/>
      <c r="C1066" s="1348"/>
      <c r="D1066" s="1348"/>
      <c r="E1066" s="1348"/>
      <c r="F1066" s="1348"/>
      <c r="G1066" s="1348"/>
      <c r="H1066" s="1348"/>
      <c r="I1066" s="1348"/>
      <c r="J1066" s="1348"/>
      <c r="K1066" s="1348"/>
    </row>
    <row r="1067" spans="2:11" hidden="1">
      <c r="B1067" s="1348"/>
      <c r="C1067" s="1348"/>
      <c r="D1067" s="1348"/>
      <c r="E1067" s="1348"/>
      <c r="F1067" s="1348"/>
      <c r="G1067" s="1348"/>
      <c r="H1067" s="1348"/>
      <c r="I1067" s="1348"/>
      <c r="J1067" s="1348"/>
      <c r="K1067" s="1348"/>
    </row>
    <row r="1068" spans="2:11" hidden="1">
      <c r="B1068" s="1348"/>
      <c r="C1068" s="1348"/>
      <c r="D1068" s="1348"/>
      <c r="E1068" s="1348"/>
      <c r="F1068" s="1348"/>
      <c r="G1068" s="1348"/>
      <c r="H1068" s="1348"/>
      <c r="I1068" s="1348"/>
      <c r="J1068" s="1348"/>
      <c r="K1068" s="1348"/>
    </row>
    <row r="1069" spans="2:11" hidden="1">
      <c r="B1069" s="1348"/>
      <c r="C1069" s="1348"/>
      <c r="D1069" s="1348"/>
      <c r="E1069" s="1348"/>
      <c r="F1069" s="1348"/>
      <c r="G1069" s="1348"/>
      <c r="H1069" s="1348"/>
      <c r="I1069" s="1348"/>
      <c r="J1069" s="1348"/>
      <c r="K1069" s="1348"/>
    </row>
    <row r="1070" spans="2:11" hidden="1">
      <c r="B1070" s="1348"/>
      <c r="C1070" s="1348"/>
      <c r="D1070" s="1348"/>
      <c r="E1070" s="1348"/>
      <c r="F1070" s="1348"/>
      <c r="G1070" s="1348"/>
      <c r="H1070" s="1348"/>
      <c r="I1070" s="1348"/>
      <c r="J1070" s="1348"/>
      <c r="K1070" s="1348"/>
    </row>
    <row r="1071" spans="2:11" hidden="1">
      <c r="B1071" s="1348"/>
      <c r="C1071" s="1348"/>
      <c r="D1071" s="1348"/>
      <c r="E1071" s="1348"/>
      <c r="F1071" s="1348"/>
      <c r="G1071" s="1348"/>
      <c r="H1071" s="1348"/>
      <c r="I1071" s="1348"/>
      <c r="J1071" s="1348"/>
      <c r="K1071" s="1348"/>
    </row>
    <row r="1072" spans="2:11" hidden="1">
      <c r="B1072" s="1348"/>
      <c r="C1072" s="1348"/>
      <c r="D1072" s="1348"/>
      <c r="E1072" s="1348"/>
      <c r="F1072" s="1348"/>
      <c r="G1072" s="1348"/>
      <c r="H1072" s="1348"/>
      <c r="I1072" s="1348"/>
      <c r="J1072" s="1348"/>
      <c r="K1072" s="1348"/>
    </row>
    <row r="1073" spans="2:11" hidden="1">
      <c r="B1073" s="1348"/>
      <c r="C1073" s="1348"/>
      <c r="D1073" s="1348"/>
      <c r="E1073" s="1348"/>
      <c r="F1073" s="1348"/>
      <c r="G1073" s="1348"/>
      <c r="H1073" s="1348"/>
      <c r="I1073" s="1348"/>
      <c r="J1073" s="1348"/>
      <c r="K1073" s="1348"/>
    </row>
    <row r="1074" spans="2:11" hidden="1">
      <c r="B1074" s="1348"/>
      <c r="C1074" s="1348"/>
      <c r="D1074" s="1348"/>
      <c r="E1074" s="1348"/>
      <c r="F1074" s="1348"/>
      <c r="G1074" s="1348"/>
      <c r="H1074" s="1348"/>
      <c r="I1074" s="1348"/>
      <c r="J1074" s="1348"/>
      <c r="K1074" s="1348"/>
    </row>
    <row r="1075" spans="2:11" hidden="1">
      <c r="B1075" s="1348"/>
      <c r="C1075" s="1348"/>
      <c r="D1075" s="1348"/>
      <c r="E1075" s="1348"/>
      <c r="F1075" s="1348"/>
      <c r="G1075" s="1348"/>
      <c r="H1075" s="1348"/>
      <c r="I1075" s="1348"/>
      <c r="J1075" s="1348"/>
      <c r="K1075" s="1348"/>
    </row>
    <row r="1076" spans="2:11" hidden="1">
      <c r="B1076" s="1348"/>
      <c r="C1076" s="1348"/>
      <c r="D1076" s="1348"/>
      <c r="E1076" s="1348"/>
      <c r="F1076" s="1348"/>
      <c r="G1076" s="1348"/>
      <c r="H1076" s="1348"/>
      <c r="I1076" s="1348"/>
      <c r="J1076" s="1348"/>
      <c r="K1076" s="1348"/>
    </row>
    <row r="1077" spans="2:11" hidden="1">
      <c r="B1077" s="1348"/>
      <c r="C1077" s="1348"/>
      <c r="D1077" s="1348"/>
      <c r="E1077" s="1348"/>
      <c r="F1077" s="1348"/>
      <c r="G1077" s="1348"/>
      <c r="H1077" s="1348"/>
      <c r="I1077" s="1348"/>
      <c r="J1077" s="1348"/>
      <c r="K1077" s="1348"/>
    </row>
    <row r="1078" spans="2:11" hidden="1">
      <c r="B1078" s="1348"/>
      <c r="C1078" s="1348"/>
      <c r="D1078" s="1348"/>
      <c r="E1078" s="1348"/>
      <c r="F1078" s="1348"/>
      <c r="G1078" s="1348"/>
      <c r="H1078" s="1348"/>
      <c r="I1078" s="1348"/>
      <c r="J1078" s="1348"/>
      <c r="K1078" s="1348"/>
    </row>
    <row r="1079" spans="2:11" hidden="1">
      <c r="B1079" s="1348"/>
      <c r="C1079" s="1348"/>
      <c r="D1079" s="1348"/>
      <c r="E1079" s="1348"/>
      <c r="F1079" s="1348"/>
      <c r="G1079" s="1348"/>
      <c r="H1079" s="1348"/>
      <c r="I1079" s="1348"/>
      <c r="J1079" s="1348"/>
      <c r="K1079" s="1348"/>
    </row>
    <row r="1080" spans="2:11" hidden="1">
      <c r="B1080" s="1348"/>
      <c r="C1080" s="1348"/>
      <c r="D1080" s="1348"/>
      <c r="E1080" s="1348"/>
      <c r="F1080" s="1348"/>
      <c r="G1080" s="1348"/>
      <c r="H1080" s="1348"/>
      <c r="I1080" s="1348"/>
      <c r="J1080" s="1348"/>
      <c r="K1080" s="1348"/>
    </row>
    <row r="1081" spans="2:11" hidden="1">
      <c r="B1081" s="1348"/>
      <c r="C1081" s="1348"/>
      <c r="D1081" s="1348"/>
      <c r="E1081" s="1348"/>
      <c r="F1081" s="1348"/>
      <c r="G1081" s="1348"/>
      <c r="H1081" s="1348"/>
      <c r="I1081" s="1348"/>
      <c r="J1081" s="1348"/>
      <c r="K1081" s="1348"/>
    </row>
    <row r="1082" spans="2:11" hidden="1">
      <c r="B1082" s="1348"/>
      <c r="C1082" s="1348"/>
      <c r="D1082" s="1348"/>
      <c r="E1082" s="1348"/>
      <c r="F1082" s="1348"/>
      <c r="G1082" s="1348"/>
      <c r="H1082" s="1348"/>
      <c r="I1082" s="1348"/>
      <c r="J1082" s="1348"/>
      <c r="K1082" s="1348"/>
    </row>
    <row r="1083" spans="2:11" hidden="1">
      <c r="B1083" s="1348"/>
      <c r="C1083" s="1348"/>
      <c r="D1083" s="1348"/>
      <c r="E1083" s="1348"/>
      <c r="F1083" s="1348"/>
      <c r="G1083" s="1348"/>
      <c r="H1083" s="1348"/>
      <c r="I1083" s="1348"/>
      <c r="J1083" s="1348"/>
      <c r="K1083" s="1348"/>
    </row>
    <row r="1084" spans="2:11" hidden="1">
      <c r="B1084" s="1348"/>
      <c r="C1084" s="1348"/>
      <c r="D1084" s="1348"/>
      <c r="E1084" s="1348"/>
      <c r="F1084" s="1348"/>
      <c r="G1084" s="1348"/>
      <c r="H1084" s="1348"/>
      <c r="I1084" s="1348"/>
      <c r="J1084" s="1348"/>
      <c r="K1084" s="1348"/>
    </row>
    <row r="1085" spans="2:11" hidden="1">
      <c r="B1085" s="1348"/>
      <c r="C1085" s="1348"/>
      <c r="D1085" s="1348"/>
      <c r="E1085" s="1348"/>
      <c r="F1085" s="1348"/>
      <c r="G1085" s="1348"/>
      <c r="H1085" s="1348"/>
      <c r="I1085" s="1348"/>
      <c r="J1085" s="1348"/>
      <c r="K1085" s="1348"/>
    </row>
    <row r="1086" spans="2:11" hidden="1">
      <c r="B1086" s="1348"/>
      <c r="C1086" s="1348"/>
      <c r="D1086" s="1348"/>
      <c r="E1086" s="1348"/>
      <c r="F1086" s="1348"/>
      <c r="G1086" s="1348"/>
      <c r="H1086" s="1348"/>
      <c r="I1086" s="1348"/>
      <c r="J1086" s="1348"/>
      <c r="K1086" s="1348"/>
    </row>
    <row r="1087" spans="2:11" hidden="1">
      <c r="B1087" s="1348"/>
      <c r="C1087" s="1348"/>
      <c r="D1087" s="1348"/>
      <c r="E1087" s="1348"/>
      <c r="F1087" s="1348"/>
      <c r="G1087" s="1348"/>
      <c r="H1087" s="1348"/>
      <c r="I1087" s="1348"/>
      <c r="J1087" s="1348"/>
      <c r="K1087" s="1348"/>
    </row>
    <row r="1088" spans="2:11" hidden="1">
      <c r="B1088" s="1348"/>
      <c r="C1088" s="1348"/>
      <c r="D1088" s="1348"/>
      <c r="E1088" s="1348"/>
      <c r="F1088" s="1348"/>
      <c r="G1088" s="1348"/>
      <c r="H1088" s="1348"/>
      <c r="I1088" s="1348"/>
      <c r="J1088" s="1348"/>
      <c r="K1088" s="1348"/>
    </row>
    <row r="1089" spans="2:11" hidden="1">
      <c r="B1089" s="1348"/>
      <c r="C1089" s="1348"/>
      <c r="D1089" s="1348"/>
      <c r="E1089" s="1348"/>
      <c r="F1089" s="1348"/>
      <c r="G1089" s="1348"/>
      <c r="H1089" s="1348"/>
      <c r="I1089" s="1348"/>
      <c r="J1089" s="1348"/>
      <c r="K1089" s="1348"/>
    </row>
    <row r="1090" spans="2:11" hidden="1">
      <c r="B1090" s="1348"/>
      <c r="C1090" s="1348"/>
      <c r="D1090" s="1348"/>
      <c r="E1090" s="1348"/>
      <c r="F1090" s="1348"/>
      <c r="G1090" s="1348"/>
      <c r="H1090" s="1348"/>
      <c r="I1090" s="1348"/>
      <c r="J1090" s="1348"/>
      <c r="K1090" s="1348"/>
    </row>
    <row r="1091" spans="2:11" hidden="1">
      <c r="B1091" s="1348"/>
      <c r="C1091" s="1348"/>
      <c r="D1091" s="1348"/>
      <c r="E1091" s="1348"/>
      <c r="F1091" s="1348"/>
      <c r="G1091" s="1348"/>
      <c r="H1091" s="1348"/>
      <c r="I1091" s="1348"/>
      <c r="J1091" s="1348"/>
      <c r="K1091" s="1348"/>
    </row>
    <row r="1092" spans="2:11" hidden="1">
      <c r="B1092" s="1348"/>
      <c r="C1092" s="1348"/>
      <c r="D1092" s="1348"/>
      <c r="E1092" s="1348"/>
      <c r="F1092" s="1348"/>
      <c r="G1092" s="1348"/>
      <c r="H1092" s="1348"/>
      <c r="I1092" s="1348"/>
      <c r="J1092" s="1348"/>
      <c r="K1092" s="1348"/>
    </row>
    <row r="1093" spans="2:11" hidden="1">
      <c r="B1093" s="1348"/>
      <c r="C1093" s="1348"/>
      <c r="D1093" s="1348"/>
      <c r="E1093" s="1348"/>
      <c r="F1093" s="1348"/>
      <c r="G1093" s="1348"/>
      <c r="H1093" s="1348"/>
      <c r="I1093" s="1348"/>
      <c r="J1093" s="1348"/>
      <c r="K1093" s="1348"/>
    </row>
    <row r="1094" spans="2:11" hidden="1">
      <c r="B1094" s="1348"/>
      <c r="C1094" s="1348"/>
      <c r="D1094" s="1348"/>
      <c r="E1094" s="1348"/>
      <c r="F1094" s="1348"/>
      <c r="G1094" s="1348"/>
      <c r="H1094" s="1348"/>
      <c r="I1094" s="1348"/>
      <c r="J1094" s="1348"/>
      <c r="K1094" s="1348"/>
    </row>
    <row r="1095" spans="2:11" hidden="1">
      <c r="B1095" s="1348"/>
      <c r="C1095" s="1348"/>
      <c r="D1095" s="1348"/>
      <c r="E1095" s="1348"/>
      <c r="F1095" s="1348"/>
      <c r="G1095" s="1348"/>
      <c r="H1095" s="1348"/>
      <c r="I1095" s="1348"/>
      <c r="J1095" s="1348"/>
      <c r="K1095" s="1348"/>
    </row>
    <row r="1096" spans="2:11" hidden="1">
      <c r="B1096" s="1348"/>
      <c r="C1096" s="1348"/>
      <c r="D1096" s="1348"/>
      <c r="E1096" s="1348"/>
      <c r="F1096" s="1348"/>
      <c r="G1096" s="1348"/>
      <c r="H1096" s="1348"/>
      <c r="I1096" s="1348"/>
      <c r="J1096" s="1348"/>
      <c r="K1096" s="1348"/>
    </row>
    <row r="1097" spans="2:11" hidden="1">
      <c r="B1097" s="1348"/>
      <c r="C1097" s="1348"/>
      <c r="D1097" s="1348"/>
      <c r="E1097" s="1348"/>
      <c r="F1097" s="1348"/>
      <c r="G1097" s="1348"/>
      <c r="H1097" s="1348"/>
      <c r="I1097" s="1348"/>
      <c r="J1097" s="1348"/>
      <c r="K1097" s="1348"/>
    </row>
    <row r="1098" spans="2:11" hidden="1">
      <c r="B1098" s="1348"/>
      <c r="C1098" s="1348"/>
      <c r="D1098" s="1348"/>
      <c r="E1098" s="1348"/>
      <c r="F1098" s="1348"/>
      <c r="G1098" s="1348"/>
      <c r="H1098" s="1348"/>
      <c r="I1098" s="1348"/>
      <c r="J1098" s="1348"/>
      <c r="K1098" s="1348"/>
    </row>
    <row r="1099" spans="2:11" hidden="1">
      <c r="B1099" s="1348"/>
      <c r="C1099" s="1348"/>
      <c r="D1099" s="1348"/>
      <c r="E1099" s="1348"/>
      <c r="F1099" s="1348"/>
      <c r="G1099" s="1348"/>
      <c r="H1099" s="1348"/>
      <c r="I1099" s="1348"/>
      <c r="J1099" s="1348"/>
      <c r="K1099" s="1348"/>
    </row>
    <row r="1100" spans="2:11" hidden="1">
      <c r="B1100" s="1348"/>
      <c r="C1100" s="1348"/>
      <c r="D1100" s="1348"/>
      <c r="E1100" s="1348"/>
      <c r="F1100" s="1348"/>
      <c r="G1100" s="1348"/>
      <c r="H1100" s="1348"/>
      <c r="I1100" s="1348"/>
      <c r="J1100" s="1348"/>
      <c r="K1100" s="1348"/>
    </row>
    <row r="1101" spans="2:11" hidden="1">
      <c r="B1101" s="1348"/>
      <c r="C1101" s="1348"/>
      <c r="D1101" s="1348"/>
      <c r="E1101" s="1348"/>
      <c r="F1101" s="1348"/>
      <c r="G1101" s="1348"/>
      <c r="H1101" s="1348"/>
      <c r="I1101" s="1348"/>
      <c r="J1101" s="1348"/>
      <c r="K1101" s="1348"/>
    </row>
    <row r="1102" spans="2:11" hidden="1">
      <c r="B1102" s="1348"/>
      <c r="C1102" s="1348"/>
      <c r="D1102" s="1348"/>
      <c r="E1102" s="1348"/>
      <c r="F1102" s="1348"/>
      <c r="G1102" s="1348"/>
      <c r="H1102" s="1348"/>
      <c r="I1102" s="1348"/>
      <c r="J1102" s="1348"/>
      <c r="K1102" s="1348"/>
    </row>
    <row r="1103" spans="2:11" hidden="1">
      <c r="B1103" s="1348"/>
      <c r="C1103" s="1348"/>
      <c r="D1103" s="1348"/>
      <c r="E1103" s="1348"/>
      <c r="F1103" s="1348"/>
      <c r="G1103" s="1348"/>
      <c r="H1103" s="1348"/>
      <c r="I1103" s="1348"/>
      <c r="J1103" s="1348"/>
      <c r="K1103" s="1348"/>
    </row>
    <row r="1104" spans="2:11" hidden="1">
      <c r="B1104" s="1348"/>
      <c r="C1104" s="1348"/>
      <c r="D1104" s="1348"/>
      <c r="E1104" s="1348"/>
      <c r="F1104" s="1348"/>
      <c r="G1104" s="1348"/>
      <c r="H1104" s="1348"/>
      <c r="I1104" s="1348"/>
      <c r="J1104" s="1348"/>
      <c r="K1104" s="1348"/>
    </row>
    <row r="1105" spans="2:11" hidden="1">
      <c r="B1105" s="1348"/>
      <c r="C1105" s="1348"/>
      <c r="D1105" s="1348"/>
      <c r="E1105" s="1348"/>
      <c r="F1105" s="1348"/>
      <c r="G1105" s="1348"/>
      <c r="H1105" s="1348"/>
      <c r="I1105" s="1348"/>
      <c r="J1105" s="1348"/>
      <c r="K1105" s="1348"/>
    </row>
    <row r="1106" spans="2:11" hidden="1">
      <c r="B1106" s="1348"/>
      <c r="C1106" s="1348"/>
      <c r="D1106" s="1348"/>
      <c r="E1106" s="1348"/>
      <c r="F1106" s="1348"/>
      <c r="G1106" s="1348"/>
      <c r="H1106" s="1348"/>
      <c r="I1106" s="1348"/>
      <c r="J1106" s="1348"/>
      <c r="K1106" s="1348"/>
    </row>
    <row r="1107" spans="2:11" hidden="1">
      <c r="B1107" s="1348"/>
      <c r="C1107" s="1348"/>
      <c r="D1107" s="1348"/>
      <c r="E1107" s="1348"/>
      <c r="F1107" s="1348"/>
      <c r="G1107" s="1348"/>
      <c r="H1107" s="1348"/>
      <c r="I1107" s="1348"/>
      <c r="J1107" s="1348"/>
      <c r="K1107" s="1348"/>
    </row>
    <row r="1108" spans="2:11" hidden="1">
      <c r="B1108" s="1348"/>
      <c r="C1108" s="1348"/>
      <c r="D1108" s="1348"/>
      <c r="E1108" s="1348"/>
      <c r="F1108" s="1348"/>
      <c r="G1108" s="1348"/>
      <c r="H1108" s="1348"/>
      <c r="I1108" s="1348"/>
      <c r="J1108" s="1348"/>
      <c r="K1108" s="1348"/>
    </row>
    <row r="1109" spans="2:11" hidden="1">
      <c r="B1109" s="1348"/>
      <c r="C1109" s="1348"/>
      <c r="D1109" s="1348"/>
      <c r="E1109" s="1348"/>
      <c r="F1109" s="1348"/>
      <c r="G1109" s="1348"/>
      <c r="H1109" s="1348"/>
      <c r="I1109" s="1348"/>
      <c r="J1109" s="1348"/>
      <c r="K1109" s="1348"/>
    </row>
    <row r="1110" spans="2:11" hidden="1">
      <c r="B1110" s="1348"/>
      <c r="C1110" s="1348"/>
      <c r="D1110" s="1348"/>
      <c r="E1110" s="1348"/>
      <c r="F1110" s="1348"/>
      <c r="G1110" s="1348"/>
      <c r="H1110" s="1348"/>
      <c r="I1110" s="1348"/>
      <c r="J1110" s="1348"/>
      <c r="K1110" s="1348"/>
    </row>
    <row r="1111" spans="2:11" hidden="1">
      <c r="B1111" s="1348"/>
      <c r="C1111" s="1348"/>
      <c r="D1111" s="1348"/>
      <c r="E1111" s="1348"/>
      <c r="F1111" s="1348"/>
      <c r="G1111" s="1348"/>
      <c r="H1111" s="1348"/>
      <c r="I1111" s="1348"/>
      <c r="J1111" s="1348"/>
      <c r="K1111" s="1348"/>
    </row>
    <row r="1112" spans="2:11" hidden="1">
      <c r="B1112" s="1348"/>
      <c r="C1112" s="1348"/>
      <c r="D1112" s="1348"/>
      <c r="E1112" s="1348"/>
      <c r="F1112" s="1348"/>
      <c r="G1112" s="1348"/>
      <c r="H1112" s="1348"/>
      <c r="I1112" s="1348"/>
      <c r="J1112" s="1348"/>
      <c r="K1112" s="1348"/>
    </row>
    <row r="1113" spans="2:11" hidden="1">
      <c r="B1113" s="1348"/>
      <c r="C1113" s="1348"/>
      <c r="D1113" s="1348"/>
      <c r="E1113" s="1348"/>
      <c r="F1113" s="1348"/>
      <c r="G1113" s="1348"/>
      <c r="H1113" s="1348"/>
      <c r="I1113" s="1348"/>
      <c r="J1113" s="1348"/>
      <c r="K1113" s="1348"/>
    </row>
    <row r="1114" spans="2:11" hidden="1">
      <c r="B1114" s="1348"/>
      <c r="C1114" s="1348"/>
      <c r="D1114" s="1348"/>
      <c r="E1114" s="1348"/>
      <c r="F1114" s="1348"/>
      <c r="G1114" s="1348"/>
      <c r="H1114" s="1348"/>
      <c r="I1114" s="1348"/>
      <c r="J1114" s="1348"/>
      <c r="K1114" s="1348"/>
    </row>
    <row r="1115" spans="2:11" hidden="1">
      <c r="B1115" s="1348"/>
      <c r="C1115" s="1348"/>
      <c r="D1115" s="1348"/>
      <c r="E1115" s="1348"/>
      <c r="F1115" s="1348"/>
      <c r="G1115" s="1348"/>
      <c r="H1115" s="1348"/>
      <c r="I1115" s="1348"/>
      <c r="J1115" s="1348"/>
      <c r="K1115" s="1348"/>
    </row>
    <row r="1116" spans="2:11" hidden="1">
      <c r="B1116" s="1348"/>
      <c r="C1116" s="1348"/>
      <c r="D1116" s="1348"/>
      <c r="E1116" s="1348"/>
      <c r="F1116" s="1348"/>
      <c r="G1116" s="1348"/>
      <c r="H1116" s="1348"/>
      <c r="I1116" s="1348"/>
      <c r="J1116" s="1348"/>
      <c r="K1116" s="1348"/>
    </row>
    <row r="1117" spans="2:11" hidden="1">
      <c r="B1117" s="1348"/>
      <c r="C1117" s="1348"/>
      <c r="D1117" s="1348"/>
      <c r="E1117" s="1348"/>
      <c r="F1117" s="1348"/>
      <c r="G1117" s="1348"/>
      <c r="H1117" s="1348"/>
      <c r="I1117" s="1348"/>
      <c r="J1117" s="1348"/>
      <c r="K1117" s="1348"/>
    </row>
    <row r="1118" spans="2:11" hidden="1">
      <c r="B1118" s="1348"/>
      <c r="C1118" s="1348"/>
      <c r="D1118" s="1348"/>
      <c r="E1118" s="1348"/>
      <c r="F1118" s="1348"/>
      <c r="G1118" s="1348"/>
      <c r="H1118" s="1348"/>
      <c r="I1118" s="1348"/>
      <c r="J1118" s="1348"/>
      <c r="K1118" s="1348"/>
    </row>
    <row r="1119" spans="2:11" hidden="1">
      <c r="B1119" s="1348"/>
      <c r="C1119" s="1348"/>
      <c r="D1119" s="1348"/>
      <c r="E1119" s="1348"/>
      <c r="F1119" s="1348"/>
      <c r="G1119" s="1348"/>
      <c r="H1119" s="1348"/>
      <c r="I1119" s="1348"/>
      <c r="J1119" s="1348"/>
      <c r="K1119" s="1348"/>
    </row>
    <row r="1120" spans="2:11" hidden="1">
      <c r="B1120" s="1348"/>
      <c r="C1120" s="1348"/>
      <c r="D1120" s="1348"/>
      <c r="E1120" s="1348"/>
      <c r="F1120" s="1348"/>
      <c r="G1120" s="1348"/>
      <c r="H1120" s="1348"/>
      <c r="I1120" s="1348"/>
      <c r="J1120" s="1348"/>
      <c r="K1120" s="1348"/>
    </row>
    <row r="1121" spans="2:11" hidden="1">
      <c r="B1121" s="1348"/>
      <c r="C1121" s="1348"/>
      <c r="D1121" s="1348"/>
      <c r="E1121" s="1348"/>
      <c r="F1121" s="1348"/>
      <c r="G1121" s="1348"/>
      <c r="H1121" s="1348"/>
      <c r="I1121" s="1348"/>
      <c r="J1121" s="1348"/>
      <c r="K1121" s="1348"/>
    </row>
    <row r="1122" spans="2:11" hidden="1">
      <c r="B1122" s="1348"/>
      <c r="C1122" s="1348"/>
      <c r="D1122" s="1348"/>
      <c r="E1122" s="1348"/>
      <c r="F1122" s="1348"/>
      <c r="G1122" s="1348"/>
      <c r="H1122" s="1348"/>
      <c r="I1122" s="1348"/>
      <c r="J1122" s="1348"/>
      <c r="K1122" s="1348"/>
    </row>
    <row r="1123" spans="2:11" hidden="1">
      <c r="B1123" s="1348"/>
      <c r="C1123" s="1348"/>
      <c r="D1123" s="1348"/>
      <c r="E1123" s="1348"/>
      <c r="F1123" s="1348"/>
      <c r="G1123" s="1348"/>
      <c r="H1123" s="1348"/>
      <c r="I1123" s="1348"/>
      <c r="J1123" s="1348"/>
      <c r="K1123" s="1348"/>
    </row>
    <row r="1124" spans="2:11" hidden="1">
      <c r="B1124" s="1348"/>
      <c r="C1124" s="1348"/>
      <c r="D1124" s="1348"/>
      <c r="E1124" s="1348"/>
      <c r="F1124" s="1348"/>
      <c r="G1124" s="1348"/>
      <c r="H1124" s="1348"/>
      <c r="I1124" s="1348"/>
      <c r="J1124" s="1348"/>
      <c r="K1124" s="1348"/>
    </row>
    <row r="1125" spans="2:11" hidden="1">
      <c r="B1125" s="1348"/>
      <c r="C1125" s="1348"/>
      <c r="D1125" s="1348"/>
      <c r="E1125" s="1348"/>
      <c r="F1125" s="1348"/>
      <c r="G1125" s="1348"/>
      <c r="H1125" s="1348"/>
      <c r="I1125" s="1348"/>
      <c r="J1125" s="1348"/>
      <c r="K1125" s="1348"/>
    </row>
    <row r="1126" spans="2:11" hidden="1">
      <c r="B1126" s="1348"/>
      <c r="C1126" s="1348"/>
      <c r="D1126" s="1348"/>
      <c r="E1126" s="1348"/>
      <c r="F1126" s="1348"/>
      <c r="G1126" s="1348"/>
      <c r="H1126" s="1348"/>
      <c r="I1126" s="1348"/>
      <c r="J1126" s="1348"/>
      <c r="K1126" s="1348"/>
    </row>
    <row r="1127" spans="2:11" hidden="1">
      <c r="B1127" s="1348"/>
      <c r="C1127" s="1348"/>
      <c r="D1127" s="1348"/>
      <c r="E1127" s="1348"/>
      <c r="F1127" s="1348"/>
      <c r="G1127" s="1348"/>
      <c r="H1127" s="1348"/>
      <c r="I1127" s="1348"/>
      <c r="J1127" s="1348"/>
      <c r="K1127" s="1348"/>
    </row>
    <row r="1128" spans="2:11" hidden="1">
      <c r="B1128" s="1348"/>
      <c r="C1128" s="1348"/>
      <c r="D1128" s="1348"/>
      <c r="E1128" s="1348"/>
      <c r="F1128" s="1348"/>
      <c r="G1128" s="1348"/>
      <c r="H1128" s="1348"/>
      <c r="I1128" s="1348"/>
      <c r="J1128" s="1348"/>
      <c r="K1128" s="1348"/>
    </row>
    <row r="1129" spans="2:11" hidden="1">
      <c r="B1129" s="1348"/>
      <c r="C1129" s="1348"/>
      <c r="D1129" s="1348"/>
      <c r="E1129" s="1348"/>
      <c r="F1129" s="1348"/>
      <c r="G1129" s="1348"/>
      <c r="H1129" s="1348"/>
      <c r="I1129" s="1348"/>
      <c r="J1129" s="1348"/>
      <c r="K1129" s="1348"/>
    </row>
    <row r="1130" spans="2:11" hidden="1">
      <c r="B1130" s="1348"/>
      <c r="C1130" s="1348"/>
      <c r="D1130" s="1348"/>
      <c r="E1130" s="1348"/>
      <c r="F1130" s="1348"/>
      <c r="G1130" s="1348"/>
      <c r="H1130" s="1348"/>
      <c r="I1130" s="1348"/>
      <c r="J1130" s="1348"/>
      <c r="K1130" s="1348"/>
    </row>
    <row r="1131" spans="2:11" hidden="1">
      <c r="B1131" s="1348"/>
      <c r="C1131" s="1348"/>
      <c r="D1131" s="1348"/>
      <c r="E1131" s="1348"/>
      <c r="F1131" s="1348"/>
      <c r="G1131" s="1348"/>
      <c r="H1131" s="1348"/>
      <c r="I1131" s="1348"/>
      <c r="J1131" s="1348"/>
      <c r="K1131" s="1348"/>
    </row>
    <row r="1132" spans="2:11" hidden="1">
      <c r="B1132" s="1348"/>
      <c r="C1132" s="1348"/>
      <c r="D1132" s="1348"/>
      <c r="E1132" s="1348"/>
      <c r="F1132" s="1348"/>
      <c r="G1132" s="1348"/>
      <c r="H1132" s="1348"/>
      <c r="I1132" s="1348"/>
      <c r="J1132" s="1348"/>
      <c r="K1132" s="1348"/>
    </row>
    <row r="1133" spans="2:11" hidden="1">
      <c r="B1133" s="1348"/>
      <c r="C1133" s="1348"/>
      <c r="D1133" s="1348"/>
      <c r="E1133" s="1348"/>
      <c r="F1133" s="1348"/>
      <c r="G1133" s="1348"/>
      <c r="H1133" s="1348"/>
      <c r="I1133" s="1348"/>
      <c r="J1133" s="1348"/>
      <c r="K1133" s="1348"/>
    </row>
    <row r="1134" spans="2:11" hidden="1">
      <c r="B1134" s="1348"/>
      <c r="C1134" s="1348"/>
      <c r="D1134" s="1348"/>
      <c r="E1134" s="1348"/>
      <c r="F1134" s="1348"/>
      <c r="G1134" s="1348"/>
      <c r="H1134" s="1348"/>
      <c r="I1134" s="1348"/>
      <c r="J1134" s="1348"/>
      <c r="K1134" s="1348"/>
    </row>
    <row r="1135" spans="2:11" hidden="1">
      <c r="B1135" s="1348"/>
      <c r="C1135" s="1348"/>
      <c r="D1135" s="1348"/>
      <c r="E1135" s="1348"/>
      <c r="F1135" s="1348"/>
      <c r="G1135" s="1348"/>
      <c r="H1135" s="1348"/>
      <c r="I1135" s="1348"/>
      <c r="J1135" s="1348"/>
      <c r="K1135" s="1348"/>
    </row>
    <row r="1136" spans="2:11" hidden="1">
      <c r="B1136" s="1348"/>
      <c r="C1136" s="1348"/>
      <c r="D1136" s="1348"/>
      <c r="E1136" s="1348"/>
      <c r="F1136" s="1348"/>
      <c r="G1136" s="1348"/>
      <c r="H1136" s="1348"/>
      <c r="I1136" s="1348"/>
      <c r="J1136" s="1348"/>
      <c r="K1136" s="1348"/>
    </row>
    <row r="1137" spans="2:11" hidden="1">
      <c r="B1137" s="1348"/>
      <c r="C1137" s="1348"/>
      <c r="D1137" s="1348"/>
      <c r="E1137" s="1348"/>
      <c r="F1137" s="1348"/>
      <c r="G1137" s="1348"/>
      <c r="H1137" s="1348"/>
      <c r="I1137" s="1348"/>
      <c r="J1137" s="1348"/>
      <c r="K1137" s="1348"/>
    </row>
    <row r="1138" spans="2:11" hidden="1">
      <c r="B1138" s="1348"/>
      <c r="C1138" s="1348"/>
      <c r="D1138" s="1348"/>
      <c r="E1138" s="1348"/>
      <c r="F1138" s="1348"/>
      <c r="G1138" s="1348"/>
      <c r="H1138" s="1348"/>
      <c r="I1138" s="1348"/>
      <c r="J1138" s="1348"/>
      <c r="K1138" s="1348"/>
    </row>
    <row r="1139" spans="2:11" hidden="1">
      <c r="B1139" s="1348"/>
      <c r="C1139" s="1348"/>
      <c r="D1139" s="1348"/>
      <c r="E1139" s="1348"/>
      <c r="F1139" s="1348"/>
      <c r="G1139" s="1348"/>
      <c r="H1139" s="1348"/>
      <c r="I1139" s="1348"/>
      <c r="J1139" s="1348"/>
      <c r="K1139" s="1348"/>
    </row>
    <row r="1140" spans="2:11" hidden="1">
      <c r="B1140" s="1348"/>
      <c r="C1140" s="1348"/>
      <c r="D1140" s="1348"/>
      <c r="E1140" s="1348"/>
      <c r="F1140" s="1348"/>
      <c r="G1140" s="1348"/>
      <c r="H1140" s="1348"/>
      <c r="I1140" s="1348"/>
      <c r="J1140" s="1348"/>
      <c r="K1140" s="1348"/>
    </row>
    <row r="1141" spans="2:11" hidden="1">
      <c r="B1141" s="1348"/>
      <c r="C1141" s="1348"/>
      <c r="D1141" s="1348"/>
      <c r="E1141" s="1348"/>
      <c r="F1141" s="1348"/>
      <c r="G1141" s="1348"/>
      <c r="H1141" s="1348"/>
      <c r="I1141" s="1348"/>
      <c r="J1141" s="1348"/>
      <c r="K1141" s="1348"/>
    </row>
    <row r="1142" spans="2:11" hidden="1">
      <c r="B1142" s="1348"/>
      <c r="C1142" s="1348"/>
      <c r="D1142" s="1348"/>
      <c r="E1142" s="1348"/>
      <c r="F1142" s="1348"/>
      <c r="G1142" s="1348"/>
      <c r="H1142" s="1348"/>
      <c r="I1142" s="1348"/>
      <c r="J1142" s="1348"/>
      <c r="K1142" s="1348"/>
    </row>
    <row r="1143" spans="2:11" hidden="1">
      <c r="B1143" s="1348"/>
      <c r="C1143" s="1348"/>
      <c r="D1143" s="1348"/>
      <c r="E1143" s="1348"/>
      <c r="F1143" s="1348"/>
      <c r="G1143" s="1348"/>
      <c r="H1143" s="1348"/>
      <c r="I1143" s="1348"/>
      <c r="J1143" s="1348"/>
      <c r="K1143" s="1348"/>
    </row>
    <row r="1144" spans="2:11" hidden="1">
      <c r="B1144" s="1348"/>
      <c r="C1144" s="1348"/>
      <c r="D1144" s="1348"/>
      <c r="E1144" s="1348"/>
      <c r="F1144" s="1348"/>
      <c r="G1144" s="1348"/>
      <c r="H1144" s="1348"/>
      <c r="I1144" s="1348"/>
      <c r="J1144" s="1348"/>
      <c r="K1144" s="1348"/>
    </row>
    <row r="1145" spans="2:11" hidden="1">
      <c r="B1145" s="1348"/>
      <c r="C1145" s="1348"/>
      <c r="D1145" s="1348"/>
      <c r="E1145" s="1348"/>
      <c r="F1145" s="1348"/>
      <c r="G1145" s="1348"/>
      <c r="H1145" s="1348"/>
      <c r="I1145" s="1348"/>
      <c r="J1145" s="1348"/>
      <c r="K1145" s="1348"/>
    </row>
    <row r="1146" spans="2:11" hidden="1">
      <c r="B1146" s="1348"/>
      <c r="C1146" s="1348"/>
      <c r="D1146" s="1348"/>
      <c r="E1146" s="1348"/>
      <c r="F1146" s="1348"/>
      <c r="G1146" s="1348"/>
      <c r="H1146" s="1348"/>
      <c r="I1146" s="1348"/>
      <c r="J1146" s="1348"/>
      <c r="K1146" s="1348"/>
    </row>
    <row r="1147" spans="2:11" hidden="1">
      <c r="B1147" s="1348"/>
      <c r="C1147" s="1348"/>
      <c r="D1147" s="1348"/>
      <c r="E1147" s="1348"/>
      <c r="F1147" s="1348"/>
      <c r="G1147" s="1348"/>
      <c r="H1147" s="1348"/>
      <c r="I1147" s="1348"/>
      <c r="J1147" s="1348"/>
      <c r="K1147" s="1348"/>
    </row>
    <row r="1148" spans="2:11" hidden="1">
      <c r="B1148" s="1348"/>
      <c r="C1148" s="1348"/>
      <c r="D1148" s="1348"/>
      <c r="E1148" s="1348"/>
      <c r="F1148" s="1348"/>
      <c r="G1148" s="1348"/>
      <c r="H1148" s="1348"/>
      <c r="I1148" s="1348"/>
      <c r="J1148" s="1348"/>
      <c r="K1148" s="1348"/>
    </row>
    <row r="1149" spans="2:11" hidden="1">
      <c r="B1149" s="1348"/>
      <c r="C1149" s="1348"/>
      <c r="D1149" s="1348"/>
      <c r="E1149" s="1348"/>
      <c r="F1149" s="1348"/>
      <c r="G1149" s="1348"/>
      <c r="H1149" s="1348"/>
      <c r="I1149" s="1348"/>
      <c r="J1149" s="1348"/>
      <c r="K1149" s="1348"/>
    </row>
    <row r="1150" spans="2:11" hidden="1">
      <c r="B1150" s="1348"/>
      <c r="C1150" s="1348"/>
      <c r="D1150" s="1348"/>
      <c r="E1150" s="1348"/>
      <c r="F1150" s="1348"/>
      <c r="G1150" s="1348"/>
      <c r="H1150" s="1348"/>
      <c r="I1150" s="1348"/>
      <c r="J1150" s="1348"/>
      <c r="K1150" s="1348"/>
    </row>
    <row r="1151" spans="2:11" hidden="1">
      <c r="B1151" s="1348"/>
      <c r="C1151" s="1348"/>
      <c r="D1151" s="1348"/>
      <c r="E1151" s="1348"/>
      <c r="F1151" s="1348"/>
      <c r="G1151" s="1348"/>
      <c r="H1151" s="1348"/>
      <c r="I1151" s="1348"/>
      <c r="J1151" s="1348"/>
      <c r="K1151" s="1348"/>
    </row>
    <row r="1152" spans="2:11" hidden="1">
      <c r="B1152" s="1348"/>
      <c r="C1152" s="1348"/>
      <c r="D1152" s="1348"/>
      <c r="E1152" s="1348"/>
      <c r="F1152" s="1348"/>
      <c r="G1152" s="1348"/>
      <c r="H1152" s="1348"/>
      <c r="I1152" s="1348"/>
      <c r="J1152" s="1348"/>
      <c r="K1152" s="1348"/>
    </row>
    <row r="1153" spans="2:11" hidden="1">
      <c r="B1153" s="1348"/>
      <c r="C1153" s="1348"/>
      <c r="D1153" s="1348"/>
      <c r="E1153" s="1348"/>
      <c r="F1153" s="1348"/>
      <c r="G1153" s="1348"/>
      <c r="H1153" s="1348"/>
      <c r="I1153" s="1348"/>
      <c r="J1153" s="1348"/>
      <c r="K1153" s="1348"/>
    </row>
    <row r="1154" spans="2:11" hidden="1">
      <c r="B1154" s="1348"/>
      <c r="C1154" s="1348"/>
      <c r="D1154" s="1348"/>
      <c r="E1154" s="1348"/>
      <c r="F1154" s="1348"/>
      <c r="G1154" s="1348"/>
      <c r="H1154" s="1348"/>
      <c r="I1154" s="1348"/>
      <c r="J1154" s="1348"/>
      <c r="K1154" s="1348"/>
    </row>
    <row r="1155" spans="2:11" hidden="1">
      <c r="B1155" s="1348"/>
      <c r="C1155" s="1348"/>
      <c r="D1155" s="1348"/>
      <c r="E1155" s="1348"/>
      <c r="F1155" s="1348"/>
      <c r="G1155" s="1348"/>
      <c r="H1155" s="1348"/>
      <c r="I1155" s="1348"/>
      <c r="J1155" s="1348"/>
      <c r="K1155" s="1348"/>
    </row>
    <row r="1156" spans="2:11" hidden="1">
      <c r="B1156" s="1348"/>
      <c r="C1156" s="1348"/>
      <c r="D1156" s="1348"/>
      <c r="E1156" s="1348"/>
      <c r="F1156" s="1348"/>
      <c r="G1156" s="1348"/>
      <c r="H1156" s="1348"/>
      <c r="I1156" s="1348"/>
      <c r="J1156" s="1348"/>
      <c r="K1156" s="1348"/>
    </row>
    <row r="1157" spans="2:11" hidden="1">
      <c r="B1157" s="1348"/>
      <c r="C1157" s="1348"/>
      <c r="D1157" s="1348"/>
      <c r="E1157" s="1348"/>
      <c r="F1157" s="1348"/>
      <c r="G1157" s="1348"/>
      <c r="H1157" s="1348"/>
      <c r="I1157" s="1348"/>
      <c r="J1157" s="1348"/>
      <c r="K1157" s="1348"/>
    </row>
    <row r="1158" spans="2:11" hidden="1">
      <c r="B1158" s="1348"/>
      <c r="C1158" s="1348"/>
      <c r="D1158" s="1348"/>
      <c r="E1158" s="1348"/>
      <c r="F1158" s="1348"/>
      <c r="G1158" s="1348"/>
      <c r="H1158" s="1348"/>
      <c r="I1158" s="1348"/>
      <c r="J1158" s="1348"/>
      <c r="K1158" s="1348"/>
    </row>
    <row r="1159" spans="2:11" hidden="1">
      <c r="B1159" s="1348"/>
      <c r="C1159" s="1348"/>
      <c r="D1159" s="1348"/>
      <c r="E1159" s="1348"/>
      <c r="F1159" s="1348"/>
      <c r="G1159" s="1348"/>
      <c r="H1159" s="1348"/>
      <c r="I1159" s="1348"/>
      <c r="J1159" s="1348"/>
      <c r="K1159" s="1348"/>
    </row>
    <row r="1160" spans="2:11" hidden="1">
      <c r="B1160" s="1348"/>
      <c r="C1160" s="1348"/>
      <c r="D1160" s="1348"/>
      <c r="E1160" s="1348"/>
      <c r="F1160" s="1348"/>
      <c r="G1160" s="1348"/>
      <c r="H1160" s="1348"/>
      <c r="I1160" s="1348"/>
      <c r="J1160" s="1348"/>
      <c r="K1160" s="1348"/>
    </row>
    <row r="1161" spans="2:11" hidden="1">
      <c r="B1161" s="1348"/>
      <c r="C1161" s="1348"/>
      <c r="D1161" s="1348"/>
      <c r="E1161" s="1348"/>
      <c r="F1161" s="1348"/>
      <c r="G1161" s="1348"/>
      <c r="H1161" s="1348"/>
      <c r="I1161" s="1348"/>
      <c r="J1161" s="1348"/>
      <c r="K1161" s="1348"/>
    </row>
    <row r="1162" spans="2:11" hidden="1">
      <c r="B1162" s="1348"/>
      <c r="C1162" s="1348"/>
      <c r="D1162" s="1348"/>
      <c r="E1162" s="1348"/>
      <c r="F1162" s="1348"/>
      <c r="G1162" s="1348"/>
      <c r="H1162" s="1348"/>
      <c r="I1162" s="1348"/>
      <c r="J1162" s="1348"/>
      <c r="K1162" s="1348"/>
    </row>
    <row r="1163" spans="2:11" hidden="1">
      <c r="B1163" s="1348"/>
      <c r="C1163" s="1348"/>
      <c r="D1163" s="1348"/>
      <c r="E1163" s="1348"/>
      <c r="F1163" s="1348"/>
      <c r="G1163" s="1348"/>
      <c r="H1163" s="1348"/>
      <c r="I1163" s="1348"/>
      <c r="J1163" s="1348"/>
      <c r="K1163" s="1348"/>
    </row>
    <row r="1164" spans="2:11" hidden="1">
      <c r="B1164" s="1348"/>
      <c r="C1164" s="1348"/>
      <c r="D1164" s="1348"/>
      <c r="E1164" s="1348"/>
      <c r="F1164" s="1348"/>
      <c r="G1164" s="1348"/>
      <c r="H1164" s="1348"/>
      <c r="I1164" s="1348"/>
      <c r="J1164" s="1348"/>
      <c r="K1164" s="1348"/>
    </row>
    <row r="1165" spans="2:11" hidden="1">
      <c r="B1165" s="1348"/>
      <c r="C1165" s="1348"/>
      <c r="D1165" s="1348"/>
      <c r="E1165" s="1348"/>
      <c r="F1165" s="1348"/>
      <c r="G1165" s="1348"/>
      <c r="H1165" s="1348"/>
      <c r="I1165" s="1348"/>
      <c r="J1165" s="1348"/>
      <c r="K1165" s="1348"/>
    </row>
    <row r="1166" spans="2:11" hidden="1">
      <c r="B1166" s="1348"/>
      <c r="C1166" s="1348"/>
      <c r="D1166" s="1348"/>
      <c r="E1166" s="1348"/>
      <c r="F1166" s="1348"/>
      <c r="G1166" s="1348"/>
      <c r="H1166" s="1348"/>
      <c r="I1166" s="1348"/>
      <c r="J1166" s="1348"/>
      <c r="K1166" s="1348"/>
    </row>
    <row r="1167" spans="2:11" hidden="1">
      <c r="B1167" s="1348"/>
      <c r="C1167" s="1348"/>
      <c r="D1167" s="1348"/>
      <c r="E1167" s="1348"/>
      <c r="F1167" s="1348"/>
      <c r="G1167" s="1348"/>
      <c r="H1167" s="1348"/>
      <c r="I1167" s="1348"/>
      <c r="J1167" s="1348"/>
      <c r="K1167" s="1348"/>
    </row>
    <row r="1168" spans="2:11" hidden="1">
      <c r="B1168" s="1348"/>
      <c r="C1168" s="1348"/>
      <c r="D1168" s="1348"/>
      <c r="E1168" s="1348"/>
      <c r="F1168" s="1348"/>
      <c r="G1168" s="1348"/>
      <c r="H1168" s="1348"/>
      <c r="I1168" s="1348"/>
      <c r="J1168" s="1348"/>
      <c r="K1168" s="1348"/>
    </row>
    <row r="1169" spans="2:11" hidden="1">
      <c r="B1169" s="1348"/>
      <c r="C1169" s="1348"/>
      <c r="D1169" s="1348"/>
      <c r="E1169" s="1348"/>
      <c r="F1169" s="1348"/>
      <c r="G1169" s="1348"/>
      <c r="H1169" s="1348"/>
      <c r="I1169" s="1348"/>
      <c r="J1169" s="1348"/>
      <c r="K1169" s="1348"/>
    </row>
    <row r="1170" spans="2:11" hidden="1">
      <c r="B1170" s="1348"/>
      <c r="C1170" s="1348"/>
      <c r="D1170" s="1348"/>
      <c r="E1170" s="1348"/>
      <c r="F1170" s="1348"/>
      <c r="G1170" s="1348"/>
      <c r="H1170" s="1348"/>
      <c r="I1170" s="1348"/>
      <c r="J1170" s="1348"/>
      <c r="K1170" s="1348"/>
    </row>
    <row r="1171" spans="2:11" hidden="1">
      <c r="B1171" s="1348"/>
      <c r="C1171" s="1348"/>
      <c r="D1171" s="1348"/>
      <c r="E1171" s="1348"/>
      <c r="F1171" s="1348"/>
      <c r="G1171" s="1348"/>
      <c r="H1171" s="1348"/>
      <c r="I1171" s="1348"/>
      <c r="J1171" s="1348"/>
      <c r="K1171" s="1348"/>
    </row>
    <row r="1172" spans="2:11" hidden="1">
      <c r="B1172" s="1348"/>
      <c r="C1172" s="1348"/>
      <c r="D1172" s="1348"/>
      <c r="E1172" s="1348"/>
      <c r="F1172" s="1348"/>
      <c r="G1172" s="1348"/>
      <c r="H1172" s="1348"/>
      <c r="I1172" s="1348"/>
      <c r="J1172" s="1348"/>
      <c r="K1172" s="1348"/>
    </row>
    <row r="1173" spans="2:11" hidden="1">
      <c r="B1173" s="1348"/>
      <c r="C1173" s="1348"/>
      <c r="D1173" s="1348"/>
      <c r="E1173" s="1348"/>
      <c r="F1173" s="1348"/>
      <c r="G1173" s="1348"/>
      <c r="H1173" s="1348"/>
      <c r="I1173" s="1348"/>
      <c r="J1173" s="1348"/>
      <c r="K1173" s="1348"/>
    </row>
    <row r="1174" spans="2:11" hidden="1">
      <c r="B1174" s="1348"/>
      <c r="C1174" s="1348"/>
      <c r="D1174" s="1348"/>
      <c r="E1174" s="1348"/>
      <c r="F1174" s="1348"/>
      <c r="G1174" s="1348"/>
      <c r="H1174" s="1348"/>
      <c r="I1174" s="1348"/>
      <c r="J1174" s="1348"/>
      <c r="K1174" s="1348"/>
    </row>
    <row r="1175" spans="2:11" hidden="1">
      <c r="B1175" s="1348"/>
      <c r="C1175" s="1348"/>
      <c r="D1175" s="1348"/>
      <c r="E1175" s="1348"/>
      <c r="F1175" s="1348"/>
      <c r="G1175" s="1348"/>
      <c r="H1175" s="1348"/>
      <c r="I1175" s="1348"/>
      <c r="J1175" s="1348"/>
      <c r="K1175" s="1348"/>
    </row>
    <row r="1176" spans="2:11" hidden="1">
      <c r="B1176" s="1348"/>
      <c r="C1176" s="1348"/>
      <c r="D1176" s="1348"/>
      <c r="E1176" s="1348"/>
      <c r="F1176" s="1348"/>
      <c r="G1176" s="1348"/>
      <c r="H1176" s="1348"/>
      <c r="I1176" s="1348"/>
      <c r="J1176" s="1348"/>
      <c r="K1176" s="1348"/>
    </row>
    <row r="1177" spans="2:11" hidden="1">
      <c r="B1177" s="1348"/>
      <c r="C1177" s="1348"/>
      <c r="D1177" s="1348"/>
      <c r="E1177" s="1348"/>
      <c r="F1177" s="1348"/>
      <c r="G1177" s="1348"/>
      <c r="H1177" s="1348"/>
      <c r="I1177" s="1348"/>
      <c r="J1177" s="1348"/>
      <c r="K1177" s="1348"/>
    </row>
    <row r="1178" spans="2:11" hidden="1">
      <c r="B1178" s="1348"/>
      <c r="C1178" s="1348"/>
      <c r="D1178" s="1348"/>
      <c r="E1178" s="1348"/>
      <c r="F1178" s="1348"/>
      <c r="G1178" s="1348"/>
      <c r="H1178" s="1348"/>
      <c r="I1178" s="1348"/>
      <c r="J1178" s="1348"/>
      <c r="K1178" s="1348"/>
    </row>
    <row r="1179" spans="2:11" hidden="1">
      <c r="B1179" s="1348"/>
      <c r="C1179" s="1348"/>
      <c r="D1179" s="1348"/>
      <c r="E1179" s="1348"/>
      <c r="F1179" s="1348"/>
      <c r="G1179" s="1348"/>
      <c r="H1179" s="1348"/>
      <c r="I1179" s="1348"/>
      <c r="J1179" s="1348"/>
      <c r="K1179" s="1348"/>
    </row>
    <row r="1180" spans="2:11" hidden="1">
      <c r="B1180" s="1348"/>
      <c r="C1180" s="1348"/>
      <c r="D1180" s="1348"/>
      <c r="E1180" s="1348"/>
      <c r="F1180" s="1348"/>
      <c r="G1180" s="1348"/>
      <c r="H1180" s="1348"/>
      <c r="I1180" s="1348"/>
      <c r="J1180" s="1348"/>
      <c r="K1180" s="1348"/>
    </row>
    <row r="1181" spans="2:11" hidden="1">
      <c r="B1181" s="1348"/>
      <c r="C1181" s="1348"/>
      <c r="D1181" s="1348"/>
      <c r="E1181" s="1348"/>
      <c r="F1181" s="1348"/>
      <c r="G1181" s="1348"/>
      <c r="H1181" s="1348"/>
      <c r="I1181" s="1348"/>
      <c r="J1181" s="1348"/>
      <c r="K1181" s="1348"/>
    </row>
    <row r="1182" spans="2:11" hidden="1">
      <c r="B1182" s="1348"/>
      <c r="C1182" s="1348"/>
      <c r="D1182" s="1348"/>
      <c r="E1182" s="1348"/>
      <c r="F1182" s="1348"/>
      <c r="G1182" s="1348"/>
      <c r="H1182" s="1348"/>
      <c r="I1182" s="1348"/>
      <c r="J1182" s="1348"/>
      <c r="K1182" s="1348"/>
    </row>
    <row r="1183" spans="2:11" hidden="1">
      <c r="B1183" s="1348"/>
      <c r="C1183" s="1348"/>
      <c r="D1183" s="1348"/>
      <c r="E1183" s="1348"/>
      <c r="F1183" s="1348"/>
      <c r="G1183" s="1348"/>
      <c r="H1183" s="1348"/>
      <c r="I1183" s="1348"/>
      <c r="J1183" s="1348"/>
      <c r="K1183" s="1348"/>
    </row>
    <row r="1184" spans="2:11" hidden="1">
      <c r="B1184" s="1348"/>
      <c r="C1184" s="1348"/>
      <c r="D1184" s="1348"/>
      <c r="E1184" s="1348"/>
      <c r="F1184" s="1348"/>
      <c r="G1184" s="1348"/>
      <c r="H1184" s="1348"/>
      <c r="I1184" s="1348"/>
      <c r="J1184" s="1348"/>
      <c r="K1184" s="1348"/>
    </row>
    <row r="1185" spans="2:11" hidden="1">
      <c r="B1185" s="1348"/>
      <c r="C1185" s="1348"/>
      <c r="D1185" s="1348"/>
      <c r="E1185" s="1348"/>
      <c r="F1185" s="1348"/>
      <c r="G1185" s="1348"/>
      <c r="H1185" s="1348"/>
      <c r="I1185" s="1348"/>
      <c r="J1185" s="1348"/>
      <c r="K1185" s="1348"/>
    </row>
    <row r="1186" spans="2:11" hidden="1">
      <c r="B1186" s="1348"/>
      <c r="C1186" s="1348"/>
      <c r="D1186" s="1348"/>
      <c r="E1186" s="1348"/>
      <c r="F1186" s="1348"/>
      <c r="G1186" s="1348"/>
      <c r="H1186" s="1348"/>
      <c r="I1186" s="1348"/>
      <c r="J1186" s="1348"/>
      <c r="K1186" s="1348"/>
    </row>
    <row r="1187" spans="2:11" hidden="1">
      <c r="B1187" s="1348"/>
      <c r="C1187" s="1348"/>
      <c r="D1187" s="1348"/>
      <c r="E1187" s="1348"/>
      <c r="F1187" s="1348"/>
      <c r="G1187" s="1348"/>
      <c r="H1187" s="1348"/>
      <c r="I1187" s="1348"/>
      <c r="J1187" s="1348"/>
      <c r="K1187" s="1348"/>
    </row>
    <row r="1188" spans="2:11" hidden="1">
      <c r="B1188" s="1348"/>
      <c r="C1188" s="1348"/>
      <c r="D1188" s="1348"/>
      <c r="E1188" s="1348"/>
      <c r="F1188" s="1348"/>
      <c r="G1188" s="1348"/>
      <c r="H1188" s="1348"/>
      <c r="I1188" s="1348"/>
      <c r="J1188" s="1348"/>
      <c r="K1188" s="1348"/>
    </row>
    <row r="1189" spans="2:11" hidden="1">
      <c r="B1189" s="1348"/>
      <c r="C1189" s="1348"/>
      <c r="D1189" s="1348"/>
      <c r="E1189" s="1348"/>
      <c r="F1189" s="1348"/>
      <c r="G1189" s="1348"/>
      <c r="H1189" s="1348"/>
      <c r="I1189" s="1348"/>
      <c r="J1189" s="1348"/>
      <c r="K1189" s="1348"/>
    </row>
    <row r="1190" spans="2:11" hidden="1">
      <c r="B1190" s="1348"/>
      <c r="C1190" s="1348"/>
      <c r="D1190" s="1348"/>
      <c r="E1190" s="1348"/>
      <c r="F1190" s="1348"/>
      <c r="G1190" s="1348"/>
      <c r="H1190" s="1348"/>
      <c r="I1190" s="1348"/>
      <c r="J1190" s="1348"/>
      <c r="K1190" s="1348"/>
    </row>
    <row r="1191" spans="2:11" hidden="1">
      <c r="B1191" s="1348"/>
      <c r="C1191" s="1348"/>
      <c r="D1191" s="1348"/>
      <c r="E1191" s="1348"/>
      <c r="F1191" s="1348"/>
      <c r="G1191" s="1348"/>
      <c r="H1191" s="1348"/>
      <c r="I1191" s="1348"/>
      <c r="J1191" s="1348"/>
      <c r="K1191" s="1348"/>
    </row>
    <row r="1192" spans="2:11" hidden="1">
      <c r="B1192" s="1348"/>
      <c r="C1192" s="1348"/>
      <c r="D1192" s="1348"/>
      <c r="E1192" s="1348"/>
      <c r="F1192" s="1348"/>
      <c r="G1192" s="1348"/>
      <c r="H1192" s="1348"/>
      <c r="I1192" s="1348"/>
      <c r="J1192" s="1348"/>
      <c r="K1192" s="1348"/>
    </row>
    <row r="1193" spans="2:11" hidden="1">
      <c r="B1193" s="1348"/>
      <c r="C1193" s="1348"/>
      <c r="D1193" s="1348"/>
      <c r="E1193" s="1348"/>
      <c r="F1193" s="1348"/>
      <c r="G1193" s="1348"/>
      <c r="H1193" s="1348"/>
      <c r="I1193" s="1348"/>
      <c r="J1193" s="1348"/>
      <c r="K1193" s="1348"/>
    </row>
    <row r="1194" spans="2:11" hidden="1">
      <c r="B1194" s="1348"/>
      <c r="C1194" s="1348"/>
      <c r="D1194" s="1348"/>
      <c r="E1194" s="1348"/>
      <c r="F1194" s="1348"/>
      <c r="G1194" s="1348"/>
      <c r="H1194" s="1348"/>
      <c r="I1194" s="1348"/>
      <c r="J1194" s="1348"/>
      <c r="K1194" s="1348"/>
    </row>
    <row r="1195" spans="2:11" hidden="1">
      <c r="B1195" s="1348"/>
      <c r="C1195" s="1348"/>
      <c r="D1195" s="1348"/>
      <c r="E1195" s="1348"/>
      <c r="F1195" s="1348"/>
      <c r="G1195" s="1348"/>
      <c r="H1195" s="1348"/>
      <c r="I1195" s="1348"/>
      <c r="J1195" s="1348"/>
      <c r="K1195" s="1348"/>
    </row>
    <row r="1196" spans="2:11" hidden="1">
      <c r="B1196" s="1348"/>
      <c r="C1196" s="1348"/>
      <c r="D1196" s="1348"/>
      <c r="E1196" s="1348"/>
      <c r="F1196" s="1348"/>
      <c r="G1196" s="1348"/>
      <c r="H1196" s="1348"/>
      <c r="I1196" s="1348"/>
      <c r="J1196" s="1348"/>
      <c r="K1196" s="1348"/>
    </row>
    <row r="1197" spans="2:11" hidden="1">
      <c r="B1197" s="1348"/>
      <c r="C1197" s="1348"/>
      <c r="D1197" s="1348"/>
      <c r="E1197" s="1348"/>
      <c r="F1197" s="1348"/>
      <c r="G1197" s="1348"/>
      <c r="H1197" s="1348"/>
      <c r="I1197" s="1348"/>
      <c r="J1197" s="1348"/>
      <c r="K1197" s="1348"/>
    </row>
    <row r="1198" spans="2:11" hidden="1">
      <c r="B1198" s="1348"/>
      <c r="C1198" s="1348"/>
      <c r="D1198" s="1348"/>
      <c r="E1198" s="1348"/>
      <c r="F1198" s="1348"/>
      <c r="G1198" s="1348"/>
      <c r="H1198" s="1348"/>
      <c r="I1198" s="1348"/>
      <c r="J1198" s="1348"/>
      <c r="K1198" s="1348"/>
    </row>
    <row r="1199" spans="2:11" hidden="1">
      <c r="B1199" s="1348"/>
      <c r="C1199" s="1348"/>
      <c r="D1199" s="1348"/>
      <c r="E1199" s="1348"/>
      <c r="F1199" s="1348"/>
      <c r="G1199" s="1348"/>
      <c r="H1199" s="1348"/>
      <c r="I1199" s="1348"/>
      <c r="J1199" s="1348"/>
      <c r="K1199" s="1348"/>
    </row>
    <row r="1200" spans="2:11" hidden="1">
      <c r="B1200" s="1348"/>
      <c r="C1200" s="1348"/>
      <c r="D1200" s="1348"/>
      <c r="E1200" s="1348"/>
      <c r="F1200" s="1348"/>
      <c r="G1200" s="1348"/>
      <c r="H1200" s="1348"/>
      <c r="I1200" s="1348"/>
      <c r="J1200" s="1348"/>
      <c r="K1200" s="1348"/>
    </row>
    <row r="1201" spans="2:11" hidden="1">
      <c r="B1201" s="1348"/>
      <c r="C1201" s="1348"/>
      <c r="D1201" s="1348"/>
      <c r="E1201" s="1348"/>
      <c r="F1201" s="1348"/>
      <c r="G1201" s="1348"/>
      <c r="H1201" s="1348"/>
      <c r="I1201" s="1348"/>
      <c r="J1201" s="1348"/>
      <c r="K1201" s="1348"/>
    </row>
    <row r="1202" spans="2:11" hidden="1">
      <c r="B1202" s="1348"/>
      <c r="C1202" s="1348"/>
      <c r="D1202" s="1348"/>
      <c r="E1202" s="1348"/>
      <c r="F1202" s="1348"/>
      <c r="G1202" s="1348"/>
      <c r="H1202" s="1348"/>
      <c r="I1202" s="1348"/>
      <c r="J1202" s="1348"/>
      <c r="K1202" s="1348"/>
    </row>
    <row r="1203" spans="2:11" hidden="1">
      <c r="B1203" s="1348"/>
      <c r="C1203" s="1348"/>
      <c r="D1203" s="1348"/>
      <c r="E1203" s="1348"/>
      <c r="F1203" s="1348"/>
      <c r="G1203" s="1348"/>
      <c r="H1203" s="1348"/>
      <c r="I1203" s="1348"/>
      <c r="J1203" s="1348"/>
      <c r="K1203" s="1348"/>
    </row>
    <row r="1204" spans="2:11" hidden="1">
      <c r="B1204" s="1348"/>
      <c r="C1204" s="1348"/>
      <c r="D1204" s="1348"/>
      <c r="E1204" s="1348"/>
      <c r="F1204" s="1348"/>
      <c r="G1204" s="1348"/>
      <c r="H1204" s="1348"/>
      <c r="I1204" s="1348"/>
      <c r="J1204" s="1348"/>
      <c r="K1204" s="1348"/>
    </row>
    <row r="1205" spans="2:11" hidden="1">
      <c r="B1205" s="1348"/>
      <c r="C1205" s="1348"/>
      <c r="D1205" s="1348"/>
      <c r="E1205" s="1348"/>
      <c r="F1205" s="1348"/>
      <c r="G1205" s="1348"/>
      <c r="H1205" s="1348"/>
      <c r="I1205" s="1348"/>
      <c r="J1205" s="1348"/>
      <c r="K1205" s="1348"/>
    </row>
    <row r="1206" spans="2:11" hidden="1">
      <c r="B1206" s="1348"/>
      <c r="C1206" s="1348"/>
      <c r="D1206" s="1348"/>
      <c r="E1206" s="1348"/>
      <c r="F1206" s="1348"/>
      <c r="G1206" s="1348"/>
      <c r="H1206" s="1348"/>
      <c r="I1206" s="1348"/>
      <c r="J1206" s="1348"/>
      <c r="K1206" s="1348"/>
    </row>
    <row r="1207" spans="2:11" hidden="1">
      <c r="B1207" s="1348"/>
      <c r="C1207" s="1348"/>
      <c r="D1207" s="1348"/>
      <c r="E1207" s="1348"/>
      <c r="F1207" s="1348"/>
      <c r="G1207" s="1348"/>
      <c r="H1207" s="1348"/>
      <c r="I1207" s="1348"/>
      <c r="J1207" s="1348"/>
      <c r="K1207" s="1348"/>
    </row>
    <row r="1208" spans="2:11" hidden="1">
      <c r="B1208" s="1348"/>
      <c r="C1208" s="1348"/>
      <c r="D1208" s="1348"/>
      <c r="E1208" s="1348"/>
      <c r="F1208" s="1348"/>
      <c r="G1208" s="1348"/>
      <c r="H1208" s="1348"/>
      <c r="I1208" s="1348"/>
      <c r="J1208" s="1348"/>
      <c r="K1208" s="1348"/>
    </row>
    <row r="1209" spans="2:11" hidden="1">
      <c r="B1209" s="1348"/>
      <c r="C1209" s="1348"/>
      <c r="D1209" s="1348"/>
      <c r="E1209" s="1348"/>
      <c r="F1209" s="1348"/>
      <c r="G1209" s="1348"/>
      <c r="H1209" s="1348"/>
      <c r="I1209" s="1348"/>
      <c r="J1209" s="1348"/>
      <c r="K1209" s="1348"/>
    </row>
    <row r="1210" spans="2:11" hidden="1">
      <c r="B1210" s="1348"/>
      <c r="C1210" s="1348"/>
      <c r="D1210" s="1348"/>
      <c r="E1210" s="1348"/>
      <c r="F1210" s="1348"/>
      <c r="G1210" s="1348"/>
      <c r="H1210" s="1348"/>
      <c r="I1210" s="1348"/>
      <c r="J1210" s="1348"/>
      <c r="K1210" s="1348"/>
    </row>
    <row r="1211" spans="2:11" hidden="1">
      <c r="B1211" s="1348"/>
      <c r="C1211" s="1348"/>
      <c r="D1211" s="1348"/>
      <c r="E1211" s="1348"/>
      <c r="F1211" s="1348"/>
      <c r="G1211" s="1348"/>
      <c r="H1211" s="1348"/>
      <c r="I1211" s="1348"/>
      <c r="J1211" s="1348"/>
      <c r="K1211" s="1348"/>
    </row>
    <row r="1212" spans="2:11" hidden="1">
      <c r="B1212" s="1348"/>
      <c r="C1212" s="1348"/>
      <c r="D1212" s="1348"/>
      <c r="E1212" s="1348"/>
      <c r="F1212" s="1348"/>
      <c r="G1212" s="1348"/>
      <c r="H1212" s="1348"/>
      <c r="I1212" s="1348"/>
      <c r="J1212" s="1348"/>
      <c r="K1212" s="1348"/>
    </row>
    <row r="1213" spans="2:11" hidden="1">
      <c r="B1213" s="1348"/>
      <c r="C1213" s="1348"/>
      <c r="D1213" s="1348"/>
      <c r="E1213" s="1348"/>
      <c r="F1213" s="1348"/>
      <c r="G1213" s="1348"/>
      <c r="H1213" s="1348"/>
      <c r="I1213" s="1348"/>
      <c r="J1213" s="1348"/>
      <c r="K1213" s="1348"/>
    </row>
    <row r="1214" spans="2:11" hidden="1">
      <c r="B1214" s="1348"/>
      <c r="C1214" s="1348"/>
      <c r="D1214" s="1348"/>
      <c r="E1214" s="1348"/>
      <c r="F1214" s="1348"/>
      <c r="G1214" s="1348"/>
      <c r="H1214" s="1348"/>
      <c r="I1214" s="1348"/>
      <c r="J1214" s="1348"/>
      <c r="K1214" s="1348"/>
    </row>
    <row r="1215" spans="2:11" hidden="1">
      <c r="B1215" s="1348"/>
      <c r="C1215" s="1348"/>
      <c r="D1215" s="1348"/>
      <c r="E1215" s="1348"/>
      <c r="F1215" s="1348"/>
      <c r="G1215" s="1348"/>
      <c r="H1215" s="1348"/>
      <c r="I1215" s="1348"/>
      <c r="J1215" s="1348"/>
      <c r="K1215" s="1348"/>
    </row>
    <row r="1216" spans="2:11" hidden="1">
      <c r="B1216" s="1348"/>
      <c r="C1216" s="1348"/>
      <c r="D1216" s="1348"/>
      <c r="E1216" s="1348"/>
      <c r="F1216" s="1348"/>
      <c r="G1216" s="1348"/>
      <c r="H1216" s="1348"/>
      <c r="I1216" s="1348"/>
      <c r="J1216" s="1348"/>
      <c r="K1216" s="1348"/>
    </row>
    <row r="1217" spans="2:11" hidden="1">
      <c r="B1217" s="1348"/>
      <c r="C1217" s="1348"/>
      <c r="D1217" s="1348"/>
      <c r="E1217" s="1348"/>
      <c r="F1217" s="1348"/>
      <c r="G1217" s="1348"/>
      <c r="H1217" s="1348"/>
      <c r="I1217" s="1348"/>
      <c r="J1217" s="1348"/>
      <c r="K1217" s="1348"/>
    </row>
    <row r="1218" spans="2:11" hidden="1">
      <c r="B1218" s="1348"/>
      <c r="C1218" s="1348"/>
      <c r="D1218" s="1348"/>
      <c r="E1218" s="1348"/>
      <c r="F1218" s="1348"/>
      <c r="G1218" s="1348"/>
      <c r="H1218" s="1348"/>
      <c r="I1218" s="1348"/>
      <c r="J1218" s="1348"/>
      <c r="K1218" s="1348"/>
    </row>
    <row r="1219" spans="2:11" hidden="1">
      <c r="B1219" s="1348"/>
      <c r="C1219" s="1348"/>
      <c r="D1219" s="1348"/>
      <c r="E1219" s="1348"/>
      <c r="F1219" s="1348"/>
      <c r="G1219" s="1348"/>
      <c r="H1219" s="1348"/>
      <c r="I1219" s="1348"/>
      <c r="J1219" s="1348"/>
      <c r="K1219" s="1348"/>
    </row>
    <row r="1220" spans="2:11" hidden="1">
      <c r="B1220" s="1348"/>
      <c r="C1220" s="1348"/>
      <c r="D1220" s="1348"/>
      <c r="E1220" s="1348"/>
      <c r="F1220" s="1348"/>
      <c r="G1220" s="1348"/>
      <c r="H1220" s="1348"/>
      <c r="I1220" s="1348"/>
      <c r="J1220" s="1348"/>
      <c r="K1220" s="1348"/>
    </row>
    <row r="1221" spans="2:11" hidden="1">
      <c r="B1221" s="1348"/>
      <c r="C1221" s="1348"/>
      <c r="D1221" s="1348"/>
      <c r="E1221" s="1348"/>
      <c r="F1221" s="1348"/>
      <c r="G1221" s="1348"/>
      <c r="H1221" s="1348"/>
      <c r="I1221" s="1348"/>
      <c r="J1221" s="1348"/>
      <c r="K1221" s="1348"/>
    </row>
    <row r="1222" spans="2:11" hidden="1">
      <c r="B1222" s="1348"/>
      <c r="C1222" s="1348"/>
      <c r="D1222" s="1348"/>
      <c r="E1222" s="1348"/>
      <c r="F1222" s="1348"/>
      <c r="G1222" s="1348"/>
      <c r="H1222" s="1348"/>
      <c r="I1222" s="1348"/>
      <c r="J1222" s="1348"/>
      <c r="K1222" s="1348"/>
    </row>
    <row r="1223" spans="2:11" hidden="1">
      <c r="B1223" s="1348"/>
      <c r="C1223" s="1348"/>
      <c r="D1223" s="1348"/>
      <c r="E1223" s="1348"/>
      <c r="F1223" s="1348"/>
      <c r="G1223" s="1348"/>
      <c r="H1223" s="1348"/>
      <c r="I1223" s="1348"/>
      <c r="J1223" s="1348"/>
      <c r="K1223" s="1348"/>
    </row>
    <row r="1224" spans="2:11" hidden="1">
      <c r="B1224" s="1348"/>
      <c r="C1224" s="1348"/>
      <c r="D1224" s="1348"/>
      <c r="E1224" s="1348"/>
      <c r="F1224" s="1348"/>
      <c r="G1224" s="1348"/>
      <c r="H1224" s="1348"/>
      <c r="I1224" s="1348"/>
      <c r="J1224" s="1348"/>
      <c r="K1224" s="1348"/>
    </row>
    <row r="1225" spans="2:11" hidden="1">
      <c r="B1225" s="1348"/>
      <c r="C1225" s="1348"/>
      <c r="D1225" s="1348"/>
      <c r="E1225" s="1348"/>
      <c r="F1225" s="1348"/>
      <c r="G1225" s="1348"/>
      <c r="H1225" s="1348"/>
      <c r="I1225" s="1348"/>
      <c r="J1225" s="1348"/>
      <c r="K1225" s="1348"/>
    </row>
    <row r="1226" spans="2:11" hidden="1">
      <c r="B1226" s="1348"/>
      <c r="C1226" s="1348"/>
      <c r="D1226" s="1348"/>
      <c r="E1226" s="1348"/>
      <c r="F1226" s="1348"/>
      <c r="G1226" s="1348"/>
      <c r="H1226" s="1348"/>
      <c r="I1226" s="1348"/>
      <c r="J1226" s="1348"/>
      <c r="K1226" s="1348"/>
    </row>
    <row r="1227" spans="2:11" hidden="1">
      <c r="B1227" s="1348"/>
      <c r="C1227" s="1348"/>
      <c r="D1227" s="1348"/>
      <c r="E1227" s="1348"/>
      <c r="F1227" s="1348"/>
      <c r="G1227" s="1348"/>
      <c r="H1227" s="1348"/>
      <c r="I1227" s="1348"/>
      <c r="J1227" s="1348"/>
      <c r="K1227" s="1348"/>
    </row>
    <row r="1228" spans="2:11" hidden="1">
      <c r="B1228" s="1348"/>
      <c r="C1228" s="1348"/>
      <c r="D1228" s="1348"/>
      <c r="E1228" s="1348"/>
      <c r="F1228" s="1348"/>
      <c r="G1228" s="1348"/>
      <c r="H1228" s="1348"/>
      <c r="I1228" s="1348"/>
      <c r="J1228" s="1348"/>
      <c r="K1228" s="1348"/>
    </row>
    <row r="1229" spans="2:11" hidden="1">
      <c r="B1229" s="1348"/>
      <c r="C1229" s="1348"/>
      <c r="D1229" s="1348"/>
      <c r="E1229" s="1348"/>
      <c r="F1229" s="1348"/>
      <c r="G1229" s="1348"/>
      <c r="H1229" s="1348"/>
      <c r="I1229" s="1348"/>
      <c r="J1229" s="1348"/>
      <c r="K1229" s="1348"/>
    </row>
    <row r="1230" spans="2:11" hidden="1">
      <c r="B1230" s="1348"/>
      <c r="C1230" s="1348"/>
      <c r="D1230" s="1348"/>
      <c r="E1230" s="1348"/>
      <c r="F1230" s="1348"/>
      <c r="G1230" s="1348"/>
      <c r="H1230" s="1348"/>
      <c r="I1230" s="1348"/>
      <c r="J1230" s="1348"/>
      <c r="K1230" s="1348"/>
    </row>
    <row r="1231" spans="2:11" hidden="1">
      <c r="B1231" s="1348"/>
      <c r="C1231" s="1348"/>
      <c r="D1231" s="1348"/>
      <c r="E1231" s="1348"/>
      <c r="F1231" s="1348"/>
      <c r="G1231" s="1348"/>
      <c r="H1231" s="1348"/>
      <c r="I1231" s="1348"/>
      <c r="J1231" s="1348"/>
      <c r="K1231" s="1348"/>
    </row>
    <row r="1232" spans="2:11" hidden="1">
      <c r="B1232" s="1348"/>
      <c r="C1232" s="1348"/>
      <c r="D1232" s="1348"/>
      <c r="E1232" s="1348"/>
      <c r="F1232" s="1348"/>
      <c r="G1232" s="1348"/>
      <c r="H1232" s="1348"/>
      <c r="I1232" s="1348"/>
      <c r="J1232" s="1348"/>
      <c r="K1232" s="1348"/>
    </row>
    <row r="1233" spans="2:11" hidden="1">
      <c r="B1233" s="1348"/>
      <c r="C1233" s="1348"/>
      <c r="D1233" s="1348"/>
      <c r="E1233" s="1348"/>
      <c r="F1233" s="1348"/>
      <c r="G1233" s="1348"/>
      <c r="H1233" s="1348"/>
      <c r="I1233" s="1348"/>
      <c r="J1233" s="1348"/>
      <c r="K1233" s="1348"/>
    </row>
    <row r="1234" spans="2:11" hidden="1">
      <c r="B1234" s="1348"/>
      <c r="C1234" s="1348"/>
      <c r="D1234" s="1348"/>
      <c r="E1234" s="1348"/>
      <c r="F1234" s="1348"/>
      <c r="G1234" s="1348"/>
      <c r="H1234" s="1348"/>
      <c r="I1234" s="1348"/>
      <c r="J1234" s="1348"/>
      <c r="K1234" s="1348"/>
    </row>
    <row r="1235" spans="2:11" hidden="1">
      <c r="B1235" s="1348"/>
      <c r="C1235" s="1348"/>
      <c r="D1235" s="1348"/>
      <c r="E1235" s="1348"/>
      <c r="F1235" s="1348"/>
      <c r="G1235" s="1348"/>
      <c r="H1235" s="1348"/>
      <c r="I1235" s="1348"/>
      <c r="J1235" s="1348"/>
      <c r="K1235" s="1348"/>
    </row>
    <row r="1236" spans="2:11" hidden="1">
      <c r="B1236" s="1348"/>
      <c r="C1236" s="1348"/>
      <c r="D1236" s="1348"/>
      <c r="E1236" s="1348"/>
      <c r="F1236" s="1348"/>
      <c r="G1236" s="1348"/>
      <c r="H1236" s="1348"/>
      <c r="I1236" s="1348"/>
      <c r="J1236" s="1348"/>
      <c r="K1236" s="1348"/>
    </row>
    <row r="1237" spans="2:11" hidden="1">
      <c r="B1237" s="1348"/>
      <c r="C1237" s="1348"/>
      <c r="D1237" s="1348"/>
      <c r="E1237" s="1348"/>
      <c r="F1237" s="1348"/>
      <c r="G1237" s="1348"/>
      <c r="H1237" s="1348"/>
      <c r="I1237" s="1348"/>
      <c r="J1237" s="1348"/>
      <c r="K1237" s="1348"/>
    </row>
    <row r="1238" spans="2:11" hidden="1">
      <c r="B1238" s="1348"/>
      <c r="C1238" s="1348"/>
      <c r="D1238" s="1348"/>
      <c r="E1238" s="1348"/>
      <c r="F1238" s="1348"/>
      <c r="G1238" s="1348"/>
      <c r="H1238" s="1348"/>
      <c r="I1238" s="1348"/>
      <c r="J1238" s="1348"/>
      <c r="K1238" s="1348"/>
    </row>
    <row r="1239" spans="2:11" hidden="1">
      <c r="B1239" s="1348"/>
      <c r="C1239" s="1348"/>
      <c r="D1239" s="1348"/>
      <c r="E1239" s="1348"/>
      <c r="F1239" s="1348"/>
      <c r="G1239" s="1348"/>
      <c r="H1239" s="1348"/>
      <c r="I1239" s="1348"/>
      <c r="J1239" s="1348"/>
      <c r="K1239" s="1348"/>
    </row>
    <row r="1240" spans="2:11" hidden="1">
      <c r="B1240" s="1348"/>
      <c r="C1240" s="1348"/>
      <c r="D1240" s="1348"/>
      <c r="E1240" s="1348"/>
      <c r="F1240" s="1348"/>
      <c r="G1240" s="1348"/>
      <c r="H1240" s="1348"/>
      <c r="I1240" s="1348"/>
      <c r="J1240" s="1348"/>
      <c r="K1240" s="1348"/>
    </row>
    <row r="1241" spans="2:11" hidden="1">
      <c r="B1241" s="1348"/>
      <c r="C1241" s="1348"/>
      <c r="D1241" s="1348"/>
      <c r="E1241" s="1348"/>
      <c r="F1241" s="1348"/>
      <c r="G1241" s="1348"/>
      <c r="H1241" s="1348"/>
      <c r="I1241" s="1348"/>
      <c r="J1241" s="1348"/>
      <c r="K1241" s="1348"/>
    </row>
    <row r="1242" spans="2:11" hidden="1">
      <c r="B1242" s="1348"/>
      <c r="C1242" s="1348"/>
      <c r="D1242" s="1348"/>
      <c r="E1242" s="1348"/>
      <c r="F1242" s="1348"/>
      <c r="G1242" s="1348"/>
      <c r="H1242" s="1348"/>
      <c r="I1242" s="1348"/>
      <c r="J1242" s="1348"/>
      <c r="K1242" s="1348"/>
    </row>
    <row r="1243" spans="2:11" hidden="1">
      <c r="B1243" s="1348"/>
      <c r="C1243" s="1348"/>
      <c r="D1243" s="1348"/>
      <c r="E1243" s="1348"/>
      <c r="F1243" s="1348"/>
      <c r="G1243" s="1348"/>
      <c r="H1243" s="1348"/>
      <c r="I1243" s="1348"/>
      <c r="J1243" s="1348"/>
      <c r="K1243" s="1348"/>
    </row>
    <row r="1244" spans="2:11" hidden="1">
      <c r="B1244" s="1348"/>
      <c r="C1244" s="1348"/>
      <c r="D1244" s="1348"/>
      <c r="E1244" s="1348"/>
      <c r="F1244" s="1348"/>
      <c r="G1244" s="1348"/>
      <c r="H1244" s="1348"/>
      <c r="I1244" s="1348"/>
      <c r="J1244" s="1348"/>
      <c r="K1244" s="1348"/>
    </row>
    <row r="1245" spans="2:11" hidden="1">
      <c r="B1245" s="1348"/>
      <c r="C1245" s="1348"/>
      <c r="D1245" s="1348"/>
      <c r="E1245" s="1348"/>
      <c r="F1245" s="1348"/>
      <c r="G1245" s="1348"/>
      <c r="H1245" s="1348"/>
      <c r="I1245" s="1348"/>
      <c r="J1245" s="1348"/>
      <c r="K1245" s="1348"/>
    </row>
    <row r="1246" spans="2:11" hidden="1">
      <c r="B1246" s="1348"/>
      <c r="C1246" s="1348"/>
      <c r="D1246" s="1348"/>
      <c r="E1246" s="1348"/>
      <c r="F1246" s="1348"/>
      <c r="G1246" s="1348"/>
      <c r="H1246" s="1348"/>
      <c r="I1246" s="1348"/>
      <c r="J1246" s="1348"/>
      <c r="K1246" s="1348"/>
    </row>
    <row r="1247" spans="2:11" hidden="1">
      <c r="B1247" s="1348"/>
      <c r="C1247" s="1348"/>
      <c r="D1247" s="1348"/>
      <c r="E1247" s="1348"/>
      <c r="F1247" s="1348"/>
      <c r="G1247" s="1348"/>
      <c r="H1247" s="1348"/>
      <c r="I1247" s="1348"/>
      <c r="J1247" s="1348"/>
      <c r="K1247" s="1348"/>
    </row>
    <row r="1248" spans="2:11" hidden="1">
      <c r="B1248" s="1348"/>
      <c r="C1248" s="1348"/>
      <c r="D1248" s="1348"/>
      <c r="E1248" s="1348"/>
      <c r="F1248" s="1348"/>
      <c r="G1248" s="1348"/>
      <c r="H1248" s="1348"/>
      <c r="I1248" s="1348"/>
      <c r="J1248" s="1348"/>
      <c r="K1248" s="1348"/>
    </row>
    <row r="1249" spans="2:11" hidden="1">
      <c r="B1249" s="1348"/>
      <c r="C1249" s="1348"/>
      <c r="D1249" s="1348"/>
      <c r="E1249" s="1348"/>
      <c r="F1249" s="1348"/>
      <c r="G1249" s="1348"/>
      <c r="H1249" s="1348"/>
      <c r="I1249" s="1348"/>
      <c r="J1249" s="1348"/>
      <c r="K1249" s="1348"/>
    </row>
    <row r="1250" spans="2:11" hidden="1">
      <c r="B1250" s="1348"/>
      <c r="C1250" s="1348"/>
      <c r="D1250" s="1348"/>
      <c r="E1250" s="1348"/>
      <c r="F1250" s="1348"/>
      <c r="G1250" s="1348"/>
      <c r="H1250" s="1348"/>
      <c r="I1250" s="1348"/>
      <c r="J1250" s="1348"/>
      <c r="K1250" s="1348"/>
    </row>
    <row r="1251" spans="2:11" hidden="1">
      <c r="B1251" s="1348"/>
      <c r="C1251" s="1348"/>
      <c r="D1251" s="1348"/>
      <c r="E1251" s="1348"/>
      <c r="F1251" s="1348"/>
      <c r="G1251" s="1348"/>
      <c r="H1251" s="1348"/>
      <c r="I1251" s="1348"/>
      <c r="J1251" s="1348"/>
      <c r="K1251" s="1348"/>
    </row>
    <row r="1252" spans="2:11" hidden="1">
      <c r="B1252" s="1348"/>
      <c r="C1252" s="1348"/>
      <c r="D1252" s="1348"/>
      <c r="E1252" s="1348"/>
      <c r="F1252" s="1348"/>
      <c r="G1252" s="1348"/>
      <c r="H1252" s="1348"/>
      <c r="I1252" s="1348"/>
      <c r="J1252" s="1348"/>
      <c r="K1252" s="1348"/>
    </row>
    <row r="1253" spans="2:11" hidden="1">
      <c r="B1253" s="1348"/>
      <c r="C1253" s="1348"/>
      <c r="D1253" s="1348"/>
      <c r="E1253" s="1348"/>
      <c r="F1253" s="1348"/>
      <c r="G1253" s="1348"/>
      <c r="H1253" s="1348"/>
      <c r="I1253" s="1348"/>
      <c r="J1253" s="1348"/>
      <c r="K1253" s="1348"/>
    </row>
    <row r="1254" spans="2:11" hidden="1">
      <c r="B1254" s="1348"/>
      <c r="C1254" s="1348"/>
      <c r="D1254" s="1348"/>
      <c r="E1254" s="1348"/>
      <c r="F1254" s="1348"/>
      <c r="G1254" s="1348"/>
      <c r="H1254" s="1348"/>
      <c r="I1254" s="1348"/>
      <c r="J1254" s="1348"/>
      <c r="K1254" s="1348"/>
    </row>
    <row r="1255" spans="2:11" hidden="1">
      <c r="B1255" s="1348"/>
      <c r="C1255" s="1348"/>
      <c r="D1255" s="1348"/>
      <c r="E1255" s="1348"/>
      <c r="F1255" s="1348"/>
      <c r="G1255" s="1348"/>
      <c r="H1255" s="1348"/>
      <c r="I1255" s="1348"/>
      <c r="J1255" s="1348"/>
      <c r="K1255" s="1348"/>
    </row>
    <row r="1256" spans="2:11" hidden="1">
      <c r="B1256" s="1348"/>
      <c r="C1256" s="1348"/>
      <c r="D1256" s="1348"/>
      <c r="E1256" s="1348"/>
      <c r="F1256" s="1348"/>
      <c r="G1256" s="1348"/>
      <c r="H1256" s="1348"/>
      <c r="I1256" s="1348"/>
      <c r="J1256" s="1348"/>
      <c r="K1256" s="1348"/>
    </row>
    <row r="1257" spans="2:11" hidden="1">
      <c r="B1257" s="1348"/>
      <c r="C1257" s="1348"/>
      <c r="D1257" s="1348"/>
      <c r="E1257" s="1348"/>
      <c r="F1257" s="1348"/>
      <c r="G1257" s="1348"/>
      <c r="H1257" s="1348"/>
      <c r="I1257" s="1348"/>
      <c r="J1257" s="1348"/>
      <c r="K1257" s="1348"/>
    </row>
    <row r="1258" spans="2:11" hidden="1">
      <c r="B1258" s="1348"/>
      <c r="C1258" s="1348"/>
      <c r="D1258" s="1348"/>
      <c r="E1258" s="1348"/>
      <c r="F1258" s="1348"/>
      <c r="G1258" s="1348"/>
      <c r="H1258" s="1348"/>
      <c r="I1258" s="1348"/>
      <c r="J1258" s="1348"/>
      <c r="K1258" s="1348"/>
    </row>
    <row r="1259" spans="2:11" hidden="1">
      <c r="B1259" s="1348"/>
      <c r="C1259" s="1348"/>
      <c r="D1259" s="1348"/>
      <c r="E1259" s="1348"/>
      <c r="F1259" s="1348"/>
      <c r="G1259" s="1348"/>
      <c r="H1259" s="1348"/>
      <c r="I1259" s="1348"/>
      <c r="J1259" s="1348"/>
      <c r="K1259" s="1348"/>
    </row>
    <row r="1260" spans="2:11" hidden="1">
      <c r="B1260" s="1348"/>
      <c r="C1260" s="1348"/>
      <c r="D1260" s="1348"/>
      <c r="E1260" s="1348"/>
      <c r="F1260" s="1348"/>
      <c r="G1260" s="1348"/>
      <c r="H1260" s="1348"/>
      <c r="I1260" s="1348"/>
      <c r="J1260" s="1348"/>
      <c r="K1260" s="1348"/>
    </row>
    <row r="1261" spans="2:11" hidden="1">
      <c r="B1261" s="1348"/>
      <c r="C1261" s="1348"/>
      <c r="D1261" s="1348"/>
      <c r="E1261" s="1348"/>
      <c r="F1261" s="1348"/>
      <c r="G1261" s="1348"/>
      <c r="H1261" s="1348"/>
      <c r="I1261" s="1348"/>
      <c r="J1261" s="1348"/>
      <c r="K1261" s="1348"/>
    </row>
    <row r="1262" spans="2:11" hidden="1">
      <c r="B1262" s="1348"/>
      <c r="C1262" s="1348"/>
      <c r="D1262" s="1348"/>
      <c r="E1262" s="1348"/>
      <c r="F1262" s="1348"/>
      <c r="G1262" s="1348"/>
      <c r="H1262" s="1348"/>
      <c r="I1262" s="1348"/>
      <c r="J1262" s="1348"/>
      <c r="K1262" s="1348"/>
    </row>
    <row r="1263" spans="2:11" hidden="1">
      <c r="B1263" s="1348"/>
      <c r="C1263" s="1348"/>
      <c r="D1263" s="1348"/>
      <c r="E1263" s="1348"/>
      <c r="F1263" s="1348"/>
      <c r="G1263" s="1348"/>
      <c r="H1263" s="1348"/>
      <c r="I1263" s="1348"/>
      <c r="J1263" s="1348"/>
      <c r="K1263" s="1348"/>
    </row>
    <row r="1264" spans="2:11" hidden="1">
      <c r="B1264" s="1348"/>
      <c r="C1264" s="1348"/>
      <c r="D1264" s="1348"/>
      <c r="E1264" s="1348"/>
      <c r="F1264" s="1348"/>
      <c r="G1264" s="1348"/>
      <c r="H1264" s="1348"/>
      <c r="I1264" s="1348"/>
      <c r="J1264" s="1348"/>
      <c r="K1264" s="1348"/>
    </row>
    <row r="1265" spans="2:11" hidden="1">
      <c r="B1265" s="1348"/>
      <c r="C1265" s="1348"/>
      <c r="D1265" s="1348"/>
      <c r="E1265" s="1348"/>
      <c r="F1265" s="1348"/>
      <c r="G1265" s="1348"/>
      <c r="H1265" s="1348"/>
      <c r="I1265" s="1348"/>
      <c r="J1265" s="1348"/>
      <c r="K1265" s="1348"/>
    </row>
    <row r="1266" spans="2:11" hidden="1">
      <c r="B1266" s="1348"/>
      <c r="C1266" s="1348"/>
      <c r="D1266" s="1348"/>
      <c r="E1266" s="1348"/>
      <c r="F1266" s="1348"/>
      <c r="G1266" s="1348"/>
      <c r="H1266" s="1348"/>
      <c r="I1266" s="1348"/>
      <c r="J1266" s="1348"/>
      <c r="K1266" s="1348"/>
    </row>
    <row r="1267" spans="2:11" hidden="1">
      <c r="B1267" s="1348"/>
      <c r="C1267" s="1348"/>
      <c r="D1267" s="1348"/>
      <c r="E1267" s="1348"/>
      <c r="F1267" s="1348"/>
      <c r="G1267" s="1348"/>
      <c r="H1267" s="1348"/>
      <c r="I1267" s="1348"/>
      <c r="J1267" s="1348"/>
      <c r="K1267" s="1348"/>
    </row>
    <row r="1268" spans="2:11" hidden="1">
      <c r="B1268" s="1348"/>
      <c r="C1268" s="1348"/>
      <c r="D1268" s="1348"/>
      <c r="E1268" s="1348"/>
      <c r="F1268" s="1348"/>
      <c r="G1268" s="1348"/>
      <c r="H1268" s="1348"/>
      <c r="I1268" s="1348"/>
      <c r="J1268" s="1348"/>
      <c r="K1268" s="1348"/>
    </row>
    <row r="1269" spans="2:11" hidden="1">
      <c r="B1269" s="1348"/>
      <c r="C1269" s="1348"/>
      <c r="D1269" s="1348"/>
      <c r="E1269" s="1348"/>
      <c r="F1269" s="1348"/>
      <c r="G1269" s="1348"/>
      <c r="H1269" s="1348"/>
      <c r="I1269" s="1348"/>
      <c r="J1269" s="1348"/>
      <c r="K1269" s="1348"/>
    </row>
    <row r="1270" spans="2:11" hidden="1">
      <c r="B1270" s="1348"/>
      <c r="C1270" s="1348"/>
      <c r="D1270" s="1348"/>
      <c r="E1270" s="1348"/>
      <c r="F1270" s="1348"/>
      <c r="G1270" s="1348"/>
      <c r="H1270" s="1348"/>
      <c r="I1270" s="1348"/>
      <c r="J1270" s="1348"/>
      <c r="K1270" s="1348"/>
    </row>
    <row r="1271" spans="2:11" hidden="1">
      <c r="B1271" s="1348"/>
      <c r="C1271" s="1348"/>
      <c r="D1271" s="1348"/>
      <c r="E1271" s="1348"/>
      <c r="F1271" s="1348"/>
      <c r="G1271" s="1348"/>
      <c r="H1271" s="1348"/>
      <c r="I1271" s="1348"/>
      <c r="J1271" s="1348"/>
      <c r="K1271" s="1348"/>
    </row>
    <row r="1272" spans="2:11" hidden="1">
      <c r="B1272" s="1348"/>
      <c r="C1272" s="1348"/>
      <c r="D1272" s="1348"/>
      <c r="E1272" s="1348"/>
      <c r="F1272" s="1348"/>
      <c r="G1272" s="1348"/>
      <c r="H1272" s="1348"/>
      <c r="I1272" s="1348"/>
      <c r="J1272" s="1348"/>
      <c r="K1272" s="1348"/>
    </row>
    <row r="1273" spans="2:11" hidden="1">
      <c r="B1273" s="1348"/>
      <c r="C1273" s="1348"/>
      <c r="D1273" s="1348"/>
      <c r="E1273" s="1348"/>
      <c r="F1273" s="1348"/>
      <c r="G1273" s="1348"/>
      <c r="H1273" s="1348"/>
      <c r="I1273" s="1348"/>
      <c r="J1273" s="1348"/>
      <c r="K1273" s="1348"/>
    </row>
    <row r="1274" spans="2:11" hidden="1">
      <c r="B1274" s="1348"/>
      <c r="C1274" s="1348"/>
      <c r="D1274" s="1348"/>
      <c r="E1274" s="1348"/>
      <c r="F1274" s="1348"/>
      <c r="G1274" s="1348"/>
      <c r="H1274" s="1348"/>
      <c r="I1274" s="1348"/>
      <c r="J1274" s="1348"/>
      <c r="K1274" s="1348"/>
    </row>
    <row r="1275" spans="2:11" hidden="1">
      <c r="B1275" s="1348"/>
      <c r="C1275" s="1348"/>
      <c r="D1275" s="1348"/>
      <c r="E1275" s="1348"/>
      <c r="F1275" s="1348"/>
      <c r="G1275" s="1348"/>
      <c r="H1275" s="1348"/>
      <c r="I1275" s="1348"/>
      <c r="J1275" s="1348"/>
      <c r="K1275" s="1348"/>
    </row>
    <row r="1276" spans="2:11" hidden="1">
      <c r="B1276" s="1348"/>
      <c r="C1276" s="1348"/>
      <c r="D1276" s="1348"/>
      <c r="E1276" s="1348"/>
      <c r="F1276" s="1348"/>
      <c r="G1276" s="1348"/>
      <c r="H1276" s="1348"/>
      <c r="I1276" s="1348"/>
      <c r="J1276" s="1348"/>
      <c r="K1276" s="1348"/>
    </row>
    <row r="1277" spans="2:11" hidden="1">
      <c r="B1277" s="1348"/>
      <c r="C1277" s="1348"/>
      <c r="D1277" s="1348"/>
      <c r="E1277" s="1348"/>
      <c r="F1277" s="1348"/>
      <c r="G1277" s="1348"/>
      <c r="H1277" s="1348"/>
      <c r="I1277" s="1348"/>
      <c r="J1277" s="1348"/>
      <c r="K1277" s="1348"/>
    </row>
    <row r="1278" spans="2:11" hidden="1">
      <c r="B1278" s="1348"/>
      <c r="C1278" s="1348"/>
      <c r="D1278" s="1348"/>
      <c r="E1278" s="1348"/>
      <c r="F1278" s="1348"/>
      <c r="G1278" s="1348"/>
      <c r="H1278" s="1348"/>
      <c r="I1278" s="1348"/>
      <c r="J1278" s="1348"/>
      <c r="K1278" s="1348"/>
    </row>
    <row r="1279" spans="2:11" hidden="1">
      <c r="B1279" s="1348"/>
      <c r="C1279" s="1348"/>
      <c r="D1279" s="1348"/>
      <c r="E1279" s="1348"/>
      <c r="F1279" s="1348"/>
      <c r="G1279" s="1348"/>
      <c r="H1279" s="1348"/>
      <c r="I1279" s="1348"/>
      <c r="J1279" s="1348"/>
      <c r="K1279" s="1348"/>
    </row>
    <row r="1280" spans="2:11" hidden="1">
      <c r="B1280" s="1348"/>
      <c r="C1280" s="1348"/>
      <c r="D1280" s="1348"/>
      <c r="E1280" s="1348"/>
      <c r="F1280" s="1348"/>
      <c r="G1280" s="1348"/>
      <c r="H1280" s="1348"/>
      <c r="I1280" s="1348"/>
      <c r="J1280" s="1348"/>
      <c r="K1280" s="1348"/>
    </row>
    <row r="1281" spans="2:11" hidden="1">
      <c r="B1281" s="1348"/>
      <c r="C1281" s="1348"/>
      <c r="D1281" s="1348"/>
      <c r="E1281" s="1348"/>
      <c r="F1281" s="1348"/>
      <c r="G1281" s="1348"/>
      <c r="H1281" s="1348"/>
      <c r="I1281" s="1348"/>
      <c r="J1281" s="1348"/>
      <c r="K1281" s="1348"/>
    </row>
    <row r="1282" spans="2:11" hidden="1">
      <c r="B1282" s="1348"/>
      <c r="C1282" s="1348"/>
      <c r="D1282" s="1348"/>
      <c r="E1282" s="1348"/>
      <c r="F1282" s="1348"/>
      <c r="G1282" s="1348"/>
      <c r="H1282" s="1348"/>
      <c r="I1282" s="1348"/>
      <c r="J1282" s="1348"/>
      <c r="K1282" s="1348"/>
    </row>
    <row r="1283" spans="2:11" hidden="1">
      <c r="B1283" s="1348"/>
      <c r="C1283" s="1348"/>
      <c r="D1283" s="1348"/>
      <c r="E1283" s="1348"/>
      <c r="F1283" s="1348"/>
      <c r="G1283" s="1348"/>
      <c r="H1283" s="1348"/>
      <c r="I1283" s="1348"/>
      <c r="J1283" s="1348"/>
      <c r="K1283" s="1348"/>
    </row>
    <row r="1284" spans="2:11" hidden="1">
      <c r="B1284" s="1348"/>
      <c r="C1284" s="1348"/>
      <c r="D1284" s="1348"/>
      <c r="E1284" s="1348"/>
      <c r="F1284" s="1348"/>
      <c r="G1284" s="1348"/>
      <c r="H1284" s="1348"/>
      <c r="I1284" s="1348"/>
      <c r="J1284" s="1348"/>
      <c r="K1284" s="1348"/>
    </row>
    <row r="1285" spans="2:11" hidden="1">
      <c r="B1285" s="1348"/>
      <c r="C1285" s="1348"/>
      <c r="D1285" s="1348"/>
      <c r="E1285" s="1348"/>
      <c r="F1285" s="1348"/>
      <c r="G1285" s="1348"/>
      <c r="H1285" s="1348"/>
      <c r="I1285" s="1348"/>
      <c r="J1285" s="1348"/>
      <c r="K1285" s="1348"/>
    </row>
    <row r="1286" spans="2:11" hidden="1">
      <c r="B1286" s="1348"/>
      <c r="C1286" s="1348"/>
      <c r="D1286" s="1348"/>
      <c r="E1286" s="1348"/>
      <c r="F1286" s="1348"/>
      <c r="G1286" s="1348"/>
      <c r="H1286" s="1348"/>
      <c r="I1286" s="1348"/>
      <c r="J1286" s="1348"/>
      <c r="K1286" s="1348"/>
    </row>
    <row r="1287" spans="2:11" hidden="1">
      <c r="B1287" s="1348"/>
      <c r="C1287" s="1348"/>
      <c r="D1287" s="1348"/>
      <c r="E1287" s="1348"/>
      <c r="F1287" s="1348"/>
      <c r="G1287" s="1348"/>
      <c r="H1287" s="1348"/>
      <c r="I1287" s="1348"/>
      <c r="J1287" s="1348"/>
      <c r="K1287" s="1348"/>
    </row>
    <row r="1288" spans="2:11" hidden="1">
      <c r="B1288" s="1348"/>
      <c r="C1288" s="1348"/>
      <c r="D1288" s="1348"/>
      <c r="E1288" s="1348"/>
      <c r="F1288" s="1348"/>
      <c r="G1288" s="1348"/>
      <c r="H1288" s="1348"/>
      <c r="I1288" s="1348"/>
      <c r="J1288" s="1348"/>
      <c r="K1288" s="1348"/>
    </row>
    <row r="1289" spans="2:11" hidden="1">
      <c r="B1289" s="1348"/>
      <c r="C1289" s="1348"/>
      <c r="D1289" s="1348"/>
      <c r="E1289" s="1348"/>
      <c r="F1289" s="1348"/>
      <c r="G1289" s="1348"/>
      <c r="H1289" s="1348"/>
      <c r="I1289" s="1348"/>
      <c r="J1289" s="1348"/>
      <c r="K1289" s="1348"/>
    </row>
    <row r="1290" spans="2:11" hidden="1">
      <c r="B1290" s="1348"/>
      <c r="C1290" s="1348"/>
      <c r="D1290" s="1348"/>
      <c r="E1290" s="1348"/>
      <c r="F1290" s="1348"/>
      <c r="G1290" s="1348"/>
      <c r="H1290" s="1348"/>
      <c r="I1290" s="1348"/>
      <c r="J1290" s="1348"/>
      <c r="K1290" s="1348"/>
    </row>
    <row r="1291" spans="2:11" hidden="1">
      <c r="B1291" s="1348"/>
      <c r="C1291" s="1348"/>
      <c r="D1291" s="1348"/>
      <c r="E1291" s="1348"/>
      <c r="F1291" s="1348"/>
      <c r="G1291" s="1348"/>
      <c r="H1291" s="1348"/>
      <c r="I1291" s="1348"/>
      <c r="J1291" s="1348"/>
      <c r="K1291" s="1348"/>
    </row>
    <row r="1292" spans="2:11" hidden="1">
      <c r="B1292" s="1348"/>
      <c r="C1292" s="1348"/>
      <c r="D1292" s="1348"/>
      <c r="E1292" s="1348"/>
      <c r="F1292" s="1348"/>
      <c r="G1292" s="1348"/>
      <c r="H1292" s="1348"/>
      <c r="I1292" s="1348"/>
      <c r="J1292" s="1348"/>
      <c r="K1292" s="1348"/>
    </row>
    <row r="1293" spans="2:11" hidden="1">
      <c r="B1293" s="1348"/>
      <c r="C1293" s="1348"/>
      <c r="D1293" s="1348"/>
      <c r="E1293" s="1348"/>
      <c r="F1293" s="1348"/>
      <c r="G1293" s="1348"/>
      <c r="H1293" s="1348"/>
      <c r="I1293" s="1348"/>
      <c r="J1293" s="1348"/>
      <c r="K1293" s="1348"/>
    </row>
    <row r="1294" spans="2:11" hidden="1">
      <c r="B1294" s="1348"/>
      <c r="C1294" s="1348"/>
      <c r="D1294" s="1348"/>
      <c r="E1294" s="1348"/>
      <c r="F1294" s="1348"/>
      <c r="G1294" s="1348"/>
      <c r="H1294" s="1348"/>
      <c r="I1294" s="1348"/>
      <c r="J1294" s="1348"/>
      <c r="K1294" s="1348"/>
    </row>
    <row r="1295" spans="2:11" hidden="1">
      <c r="B1295" s="1348"/>
      <c r="C1295" s="1348"/>
      <c r="D1295" s="1348"/>
      <c r="E1295" s="1348"/>
      <c r="F1295" s="1348"/>
      <c r="G1295" s="1348"/>
      <c r="H1295" s="1348"/>
      <c r="I1295" s="1348"/>
      <c r="J1295" s="1348"/>
      <c r="K1295" s="1348"/>
    </row>
    <row r="1296" spans="2:11" hidden="1">
      <c r="B1296" s="1348"/>
      <c r="C1296" s="1348"/>
      <c r="D1296" s="1348"/>
      <c r="E1296" s="1348"/>
      <c r="F1296" s="1348"/>
      <c r="G1296" s="1348"/>
      <c r="H1296" s="1348"/>
      <c r="I1296" s="1348"/>
      <c r="J1296" s="1348"/>
      <c r="K1296" s="1348"/>
    </row>
    <row r="1297" spans="2:11" hidden="1">
      <c r="B1297" s="1348"/>
      <c r="C1297" s="1348"/>
      <c r="D1297" s="1348"/>
      <c r="E1297" s="1348"/>
      <c r="F1297" s="1348"/>
      <c r="G1297" s="1348"/>
      <c r="H1297" s="1348"/>
      <c r="I1297" s="1348"/>
      <c r="J1297" s="1348"/>
      <c r="K1297" s="1348"/>
    </row>
    <row r="1298" spans="2:11" hidden="1">
      <c r="B1298" s="1348"/>
      <c r="C1298" s="1348"/>
      <c r="D1298" s="1348"/>
      <c r="E1298" s="1348"/>
      <c r="F1298" s="1348"/>
      <c r="G1298" s="1348"/>
      <c r="H1298" s="1348"/>
      <c r="I1298" s="1348"/>
      <c r="J1298" s="1348"/>
      <c r="K1298" s="1348"/>
    </row>
    <row r="1299" spans="2:11" hidden="1">
      <c r="B1299" s="1348"/>
      <c r="C1299" s="1348"/>
      <c r="D1299" s="1348"/>
      <c r="E1299" s="1348"/>
      <c r="F1299" s="1348"/>
      <c r="G1299" s="1348"/>
      <c r="H1299" s="1348"/>
      <c r="I1299" s="1348"/>
      <c r="J1299" s="1348"/>
      <c r="K1299" s="1348"/>
    </row>
    <row r="1300" spans="2:11" hidden="1">
      <c r="B1300" s="1348"/>
      <c r="C1300" s="1348"/>
      <c r="D1300" s="1348"/>
      <c r="E1300" s="1348"/>
      <c r="F1300" s="1348"/>
      <c r="G1300" s="1348"/>
      <c r="H1300" s="1348"/>
      <c r="I1300" s="1348"/>
      <c r="J1300" s="1348"/>
      <c r="K1300" s="1348"/>
    </row>
    <row r="1301" spans="2:11" hidden="1">
      <c r="B1301" s="1348"/>
      <c r="C1301" s="1348"/>
      <c r="D1301" s="1348"/>
      <c r="E1301" s="1348"/>
      <c r="F1301" s="1348"/>
      <c r="G1301" s="1348"/>
      <c r="H1301" s="1348"/>
      <c r="I1301" s="1348"/>
      <c r="J1301" s="1348"/>
      <c r="K1301" s="1348"/>
    </row>
    <row r="1302" spans="2:11" hidden="1">
      <c r="B1302" s="1348"/>
      <c r="C1302" s="1348"/>
      <c r="D1302" s="1348"/>
      <c r="E1302" s="1348"/>
      <c r="F1302" s="1348"/>
      <c r="G1302" s="1348"/>
      <c r="H1302" s="1348"/>
      <c r="I1302" s="1348"/>
      <c r="J1302" s="1348"/>
      <c r="K1302" s="1348"/>
    </row>
    <row r="1303" spans="2:11" hidden="1">
      <c r="B1303" s="1348"/>
      <c r="C1303" s="1348"/>
      <c r="D1303" s="1348"/>
      <c r="E1303" s="1348"/>
      <c r="F1303" s="1348"/>
      <c r="G1303" s="1348"/>
      <c r="H1303" s="1348"/>
      <c r="I1303" s="1348"/>
      <c r="J1303" s="1348"/>
      <c r="K1303" s="1348"/>
    </row>
    <row r="1304" spans="2:11" hidden="1">
      <c r="B1304" s="1348"/>
      <c r="C1304" s="1348"/>
      <c r="D1304" s="1348"/>
      <c r="E1304" s="1348"/>
      <c r="F1304" s="1348"/>
      <c r="G1304" s="1348"/>
      <c r="H1304" s="1348"/>
      <c r="I1304" s="1348"/>
      <c r="J1304" s="1348"/>
      <c r="K1304" s="1348"/>
    </row>
    <row r="1305" spans="2:11" hidden="1">
      <c r="B1305" s="1348"/>
      <c r="C1305" s="1348"/>
      <c r="D1305" s="1348"/>
      <c r="E1305" s="1348"/>
      <c r="F1305" s="1348"/>
      <c r="G1305" s="1348"/>
      <c r="H1305" s="1348"/>
      <c r="I1305" s="1348"/>
      <c r="J1305" s="1348"/>
      <c r="K1305" s="1348"/>
    </row>
    <row r="1306" spans="2:11" hidden="1">
      <c r="B1306" s="1348"/>
      <c r="C1306" s="1348"/>
      <c r="D1306" s="1348"/>
      <c r="E1306" s="1348"/>
      <c r="F1306" s="1348"/>
      <c r="G1306" s="1348"/>
      <c r="H1306" s="1348"/>
      <c r="I1306" s="1348"/>
      <c r="J1306" s="1348"/>
      <c r="K1306" s="1348"/>
    </row>
    <row r="1307" spans="2:11" hidden="1">
      <c r="B1307" s="1348"/>
      <c r="C1307" s="1348"/>
      <c r="D1307" s="1348"/>
      <c r="E1307" s="1348"/>
      <c r="F1307" s="1348"/>
      <c r="G1307" s="1348"/>
      <c r="H1307" s="1348"/>
      <c r="I1307" s="1348"/>
      <c r="J1307" s="1348"/>
      <c r="K1307" s="1348"/>
    </row>
    <row r="1308" spans="2:11" hidden="1">
      <c r="B1308" s="1348"/>
      <c r="C1308" s="1348"/>
      <c r="D1308" s="1348"/>
      <c r="E1308" s="1348"/>
      <c r="F1308" s="1348"/>
      <c r="G1308" s="1348"/>
      <c r="H1308" s="1348"/>
      <c r="I1308" s="1348"/>
      <c r="J1308" s="1348"/>
      <c r="K1308" s="1348"/>
    </row>
    <row r="1309" spans="2:11" hidden="1">
      <c r="B1309" s="1348"/>
      <c r="C1309" s="1348"/>
      <c r="D1309" s="1348"/>
      <c r="E1309" s="1348"/>
      <c r="F1309" s="1348"/>
      <c r="G1309" s="1348"/>
      <c r="H1309" s="1348"/>
      <c r="I1309" s="1348"/>
      <c r="J1309" s="1348"/>
      <c r="K1309" s="1348"/>
    </row>
    <row r="1310" spans="2:11" hidden="1">
      <c r="B1310" s="1348"/>
      <c r="C1310" s="1348"/>
      <c r="D1310" s="1348"/>
      <c r="E1310" s="1348"/>
      <c r="F1310" s="1348"/>
      <c r="G1310" s="1348"/>
      <c r="H1310" s="1348"/>
      <c r="I1310" s="1348"/>
      <c r="J1310" s="1348"/>
      <c r="K1310" s="1348"/>
    </row>
    <row r="1311" spans="2:11" hidden="1">
      <c r="B1311" s="1348"/>
      <c r="C1311" s="1348"/>
      <c r="D1311" s="1348"/>
      <c r="E1311" s="1348"/>
      <c r="F1311" s="1348"/>
      <c r="G1311" s="1348"/>
      <c r="H1311" s="1348"/>
      <c r="I1311" s="1348"/>
      <c r="J1311" s="1348"/>
      <c r="K1311" s="1348"/>
    </row>
    <row r="1312" spans="2:11" hidden="1">
      <c r="B1312" s="1348"/>
      <c r="C1312" s="1348"/>
      <c r="D1312" s="1348"/>
      <c r="E1312" s="1348"/>
      <c r="F1312" s="1348"/>
      <c r="G1312" s="1348"/>
      <c r="H1312" s="1348"/>
      <c r="I1312" s="1348"/>
      <c r="J1312" s="1348"/>
      <c r="K1312" s="1348"/>
    </row>
    <row r="1313" spans="2:11" hidden="1">
      <c r="B1313" s="1348"/>
      <c r="C1313" s="1348"/>
      <c r="D1313" s="1348"/>
      <c r="E1313" s="1348"/>
      <c r="F1313" s="1348"/>
      <c r="G1313" s="1348"/>
      <c r="H1313" s="1348"/>
      <c r="I1313" s="1348"/>
      <c r="J1313" s="1348"/>
      <c r="K1313" s="1348"/>
    </row>
    <row r="1314" spans="2:11" hidden="1">
      <c r="B1314" s="1348"/>
      <c r="C1314" s="1348"/>
      <c r="D1314" s="1348"/>
      <c r="E1314" s="1348"/>
      <c r="F1314" s="1348"/>
      <c r="G1314" s="1348"/>
      <c r="H1314" s="1348"/>
      <c r="I1314" s="1348"/>
      <c r="J1314" s="1348"/>
      <c r="K1314" s="1348"/>
    </row>
    <row r="1315" spans="2:11" hidden="1">
      <c r="B1315" s="1348"/>
      <c r="C1315" s="1348"/>
      <c r="D1315" s="1348"/>
      <c r="E1315" s="1348"/>
      <c r="F1315" s="1348"/>
      <c r="G1315" s="1348"/>
      <c r="H1315" s="1348"/>
      <c r="I1315" s="1348"/>
      <c r="J1315" s="1348"/>
      <c r="K1315" s="1348"/>
    </row>
    <row r="1316" spans="2:11" hidden="1">
      <c r="B1316" s="1348"/>
      <c r="C1316" s="1348"/>
      <c r="D1316" s="1348"/>
      <c r="E1316" s="1348"/>
      <c r="F1316" s="1348"/>
      <c r="G1316" s="1348"/>
      <c r="H1316" s="1348"/>
      <c r="I1316" s="1348"/>
      <c r="J1316" s="1348"/>
      <c r="K1316" s="1348"/>
    </row>
    <row r="1317" spans="2:11" hidden="1">
      <c r="B1317" s="1348"/>
      <c r="C1317" s="1348"/>
      <c r="D1317" s="1348"/>
      <c r="E1317" s="1348"/>
      <c r="F1317" s="1348"/>
      <c r="G1317" s="1348"/>
      <c r="H1317" s="1348"/>
      <c r="I1317" s="1348"/>
      <c r="J1317" s="1348"/>
      <c r="K1317" s="1348"/>
    </row>
    <row r="1318" spans="2:11" hidden="1">
      <c r="B1318" s="1348"/>
      <c r="C1318" s="1348"/>
      <c r="D1318" s="1348"/>
      <c r="E1318" s="1348"/>
      <c r="F1318" s="1348"/>
      <c r="G1318" s="1348"/>
      <c r="H1318" s="1348"/>
      <c r="I1318" s="1348"/>
      <c r="J1318" s="1348"/>
      <c r="K1318" s="1348"/>
    </row>
    <row r="1319" spans="2:11" hidden="1">
      <c r="B1319" s="1348"/>
      <c r="C1319" s="1348"/>
      <c r="D1319" s="1348"/>
      <c r="E1319" s="1348"/>
      <c r="F1319" s="1348"/>
      <c r="G1319" s="1348"/>
      <c r="H1319" s="1348"/>
      <c r="I1319" s="1348"/>
      <c r="J1319" s="1348"/>
      <c r="K1319" s="1348"/>
    </row>
    <row r="1320" spans="2:11" hidden="1">
      <c r="B1320" s="1348"/>
      <c r="C1320" s="1348"/>
      <c r="D1320" s="1348"/>
      <c r="E1320" s="1348"/>
      <c r="F1320" s="1348"/>
      <c r="G1320" s="1348"/>
      <c r="H1320" s="1348"/>
      <c r="I1320" s="1348"/>
      <c r="J1320" s="1348"/>
      <c r="K1320" s="1348"/>
    </row>
    <row r="1321" spans="2:11" hidden="1">
      <c r="B1321" s="1348"/>
      <c r="C1321" s="1348"/>
      <c r="D1321" s="1348"/>
      <c r="E1321" s="1348"/>
      <c r="F1321" s="1348"/>
      <c r="G1321" s="1348"/>
      <c r="H1321" s="1348"/>
      <c r="I1321" s="1348"/>
      <c r="J1321" s="1348"/>
      <c r="K1321" s="1348"/>
    </row>
    <row r="1322" spans="2:11" hidden="1">
      <c r="B1322" s="1348"/>
      <c r="C1322" s="1348"/>
      <c r="D1322" s="1348"/>
      <c r="E1322" s="1348"/>
      <c r="F1322" s="1348"/>
      <c r="G1322" s="1348"/>
      <c r="H1322" s="1348"/>
      <c r="I1322" s="1348"/>
      <c r="J1322" s="1348"/>
      <c r="K1322" s="1348"/>
    </row>
    <row r="1323" spans="2:11" hidden="1">
      <c r="B1323" s="1348"/>
      <c r="C1323" s="1348"/>
      <c r="D1323" s="1348"/>
      <c r="E1323" s="1348"/>
      <c r="F1323" s="1348"/>
      <c r="G1323" s="1348"/>
      <c r="H1323" s="1348"/>
      <c r="I1323" s="1348"/>
      <c r="J1323" s="1348"/>
      <c r="K1323" s="1348"/>
    </row>
    <row r="1324" spans="2:11" hidden="1">
      <c r="B1324" s="1348"/>
      <c r="C1324" s="1348"/>
      <c r="D1324" s="1348"/>
      <c r="E1324" s="1348"/>
      <c r="F1324" s="1348"/>
      <c r="G1324" s="1348"/>
      <c r="H1324" s="1348"/>
      <c r="I1324" s="1348"/>
      <c r="J1324" s="1348"/>
      <c r="K1324" s="1348"/>
    </row>
    <row r="1325" spans="2:11" hidden="1">
      <c r="B1325" s="1348"/>
      <c r="C1325" s="1348"/>
      <c r="D1325" s="1348"/>
      <c r="E1325" s="1348"/>
      <c r="F1325" s="1348"/>
      <c r="G1325" s="1348"/>
      <c r="H1325" s="1348"/>
      <c r="I1325" s="1348"/>
      <c r="J1325" s="1348"/>
      <c r="K1325" s="1348"/>
    </row>
    <row r="1326" spans="2:11" hidden="1">
      <c r="B1326" s="1348"/>
      <c r="C1326" s="1348"/>
      <c r="D1326" s="1348"/>
      <c r="E1326" s="1348"/>
      <c r="F1326" s="1348"/>
      <c r="G1326" s="1348"/>
      <c r="H1326" s="1348"/>
      <c r="I1326" s="1348"/>
      <c r="J1326" s="1348"/>
      <c r="K1326" s="1348"/>
    </row>
    <row r="1327" spans="2:11" hidden="1">
      <c r="B1327" s="1348"/>
      <c r="C1327" s="1348"/>
      <c r="D1327" s="1348"/>
      <c r="E1327" s="1348"/>
      <c r="F1327" s="1348"/>
      <c r="G1327" s="1348"/>
      <c r="H1327" s="1348"/>
      <c r="I1327" s="1348"/>
      <c r="J1327" s="1348"/>
      <c r="K1327" s="1348"/>
    </row>
    <row r="1328" spans="2:11" hidden="1">
      <c r="B1328" s="1348"/>
      <c r="C1328" s="1348"/>
      <c r="D1328" s="1348"/>
      <c r="E1328" s="1348"/>
      <c r="F1328" s="1348"/>
      <c r="G1328" s="1348"/>
      <c r="H1328" s="1348"/>
      <c r="I1328" s="1348"/>
      <c r="J1328" s="1348"/>
      <c r="K1328" s="1348"/>
    </row>
    <row r="1329" spans="2:11" hidden="1">
      <c r="B1329" s="1348"/>
      <c r="C1329" s="1348"/>
      <c r="D1329" s="1348"/>
      <c r="E1329" s="1348"/>
      <c r="F1329" s="1348"/>
      <c r="G1329" s="1348"/>
      <c r="H1329" s="1348"/>
      <c r="I1329" s="1348"/>
      <c r="J1329" s="1348"/>
      <c r="K1329" s="1348"/>
    </row>
    <row r="1330" spans="2:11" hidden="1">
      <c r="B1330" s="1348"/>
      <c r="C1330" s="1348"/>
      <c r="D1330" s="1348"/>
      <c r="E1330" s="1348"/>
      <c r="F1330" s="1348"/>
      <c r="G1330" s="1348"/>
      <c r="H1330" s="1348"/>
      <c r="I1330" s="1348"/>
      <c r="J1330" s="1348"/>
      <c r="K1330" s="1348"/>
    </row>
    <row r="1331" spans="2:11" hidden="1">
      <c r="B1331" s="1348"/>
      <c r="C1331" s="1348"/>
      <c r="D1331" s="1348"/>
      <c r="E1331" s="1348"/>
      <c r="F1331" s="1348"/>
      <c r="G1331" s="1348"/>
      <c r="H1331" s="1348"/>
      <c r="I1331" s="1348"/>
      <c r="J1331" s="1348"/>
      <c r="K1331" s="1348"/>
    </row>
    <row r="1332" spans="2:11" hidden="1">
      <c r="B1332" s="1348"/>
      <c r="C1332" s="1348"/>
      <c r="D1332" s="1348"/>
      <c r="E1332" s="1348"/>
      <c r="F1332" s="1348"/>
      <c r="G1332" s="1348"/>
      <c r="H1332" s="1348"/>
      <c r="I1332" s="1348"/>
      <c r="J1332" s="1348"/>
      <c r="K1332" s="1348"/>
    </row>
    <row r="1333" spans="2:11" hidden="1">
      <c r="B1333" s="1348"/>
      <c r="C1333" s="1348"/>
      <c r="D1333" s="1348"/>
      <c r="E1333" s="1348"/>
      <c r="F1333" s="1348"/>
      <c r="G1333" s="1348"/>
      <c r="H1333" s="1348"/>
      <c r="I1333" s="1348"/>
      <c r="J1333" s="1348"/>
      <c r="K1333" s="1348"/>
    </row>
    <row r="1334" spans="2:11" hidden="1">
      <c r="B1334" s="1348"/>
      <c r="C1334" s="1348"/>
      <c r="D1334" s="1348"/>
      <c r="E1334" s="1348"/>
      <c r="F1334" s="1348"/>
      <c r="G1334" s="1348"/>
      <c r="H1334" s="1348"/>
      <c r="I1334" s="1348"/>
      <c r="J1334" s="1348"/>
      <c r="K1334" s="1348"/>
    </row>
    <row r="1335" spans="2:11" hidden="1">
      <c r="B1335" s="1348"/>
      <c r="C1335" s="1348"/>
      <c r="D1335" s="1348"/>
      <c r="E1335" s="1348"/>
      <c r="F1335" s="1348"/>
      <c r="G1335" s="1348"/>
      <c r="H1335" s="1348"/>
      <c r="I1335" s="1348"/>
      <c r="J1335" s="1348"/>
      <c r="K1335" s="1348"/>
    </row>
    <row r="1336" spans="2:11" hidden="1">
      <c r="B1336" s="1348"/>
      <c r="C1336" s="1348"/>
      <c r="D1336" s="1348"/>
      <c r="E1336" s="1348"/>
      <c r="F1336" s="1348"/>
      <c r="G1336" s="1348"/>
      <c r="H1336" s="1348"/>
      <c r="I1336" s="1348"/>
      <c r="J1336" s="1348"/>
      <c r="K1336" s="1348"/>
    </row>
    <row r="1337" spans="2:11" hidden="1">
      <c r="B1337" s="1348"/>
      <c r="C1337" s="1348"/>
      <c r="D1337" s="1348"/>
      <c r="E1337" s="1348"/>
      <c r="F1337" s="1348"/>
      <c r="G1337" s="1348"/>
      <c r="H1337" s="1348"/>
      <c r="I1337" s="1348"/>
      <c r="J1337" s="1348"/>
      <c r="K1337" s="1348"/>
    </row>
    <row r="1338" spans="2:11" hidden="1">
      <c r="B1338" s="1348"/>
      <c r="C1338" s="1348"/>
      <c r="D1338" s="1348"/>
      <c r="E1338" s="1348"/>
      <c r="F1338" s="1348"/>
      <c r="G1338" s="1348"/>
      <c r="H1338" s="1348"/>
      <c r="I1338" s="1348"/>
      <c r="J1338" s="1348"/>
      <c r="K1338" s="1348"/>
    </row>
    <row r="1339" spans="2:11" hidden="1">
      <c r="B1339" s="1348"/>
      <c r="C1339" s="1348"/>
      <c r="D1339" s="1348"/>
      <c r="E1339" s="1348"/>
      <c r="F1339" s="1348"/>
      <c r="G1339" s="1348"/>
      <c r="H1339" s="1348"/>
      <c r="I1339" s="1348"/>
      <c r="J1339" s="1348"/>
      <c r="K1339" s="1348"/>
    </row>
    <row r="1340" spans="2:11" hidden="1">
      <c r="B1340" s="1348"/>
      <c r="C1340" s="1348"/>
      <c r="D1340" s="1348"/>
      <c r="E1340" s="1348"/>
      <c r="F1340" s="1348"/>
      <c r="G1340" s="1348"/>
      <c r="H1340" s="1348"/>
      <c r="I1340" s="1348"/>
      <c r="J1340" s="1348"/>
      <c r="K1340" s="1348"/>
    </row>
    <row r="1341" spans="2:11" hidden="1">
      <c r="B1341" s="1348"/>
      <c r="C1341" s="1348"/>
      <c r="D1341" s="1348"/>
      <c r="E1341" s="1348"/>
      <c r="F1341" s="1348"/>
      <c r="G1341" s="1348"/>
      <c r="H1341" s="1348"/>
      <c r="I1341" s="1348"/>
      <c r="J1341" s="1348"/>
      <c r="K1341" s="1348"/>
    </row>
    <row r="1342" spans="2:11" hidden="1">
      <c r="B1342" s="1348"/>
      <c r="C1342" s="1348"/>
      <c r="D1342" s="1348"/>
      <c r="E1342" s="1348"/>
      <c r="F1342" s="1348"/>
      <c r="G1342" s="1348"/>
      <c r="H1342" s="1348"/>
      <c r="I1342" s="1348"/>
      <c r="J1342" s="1348"/>
      <c r="K1342" s="1348"/>
    </row>
    <row r="1343" spans="2:11" hidden="1">
      <c r="B1343" s="1348"/>
      <c r="C1343" s="1348"/>
      <c r="D1343" s="1348"/>
      <c r="E1343" s="1348"/>
      <c r="F1343" s="1348"/>
      <c r="G1343" s="1348"/>
      <c r="H1343" s="1348"/>
      <c r="I1343" s="1348"/>
      <c r="J1343" s="1348"/>
      <c r="K1343" s="1348"/>
    </row>
    <row r="1344" spans="2:11" hidden="1">
      <c r="B1344" s="1348"/>
      <c r="C1344" s="1348"/>
      <c r="D1344" s="1348"/>
      <c r="E1344" s="1348"/>
      <c r="F1344" s="1348"/>
      <c r="G1344" s="1348"/>
      <c r="H1344" s="1348"/>
      <c r="I1344" s="1348"/>
      <c r="J1344" s="1348"/>
      <c r="K1344" s="1348"/>
    </row>
    <row r="1345" spans="2:11" hidden="1">
      <c r="B1345" s="1348"/>
      <c r="C1345" s="1348"/>
      <c r="D1345" s="1348"/>
      <c r="E1345" s="1348"/>
      <c r="F1345" s="1348"/>
      <c r="G1345" s="1348"/>
      <c r="H1345" s="1348"/>
      <c r="I1345" s="1348"/>
      <c r="J1345" s="1348"/>
      <c r="K1345" s="1348"/>
    </row>
    <row r="1346" spans="2:11" hidden="1">
      <c r="B1346" s="1348"/>
      <c r="C1346" s="1348"/>
      <c r="D1346" s="1348"/>
      <c r="E1346" s="1348"/>
      <c r="F1346" s="1348"/>
      <c r="G1346" s="1348"/>
      <c r="H1346" s="1348"/>
      <c r="I1346" s="1348"/>
      <c r="J1346" s="1348"/>
      <c r="K1346" s="1348"/>
    </row>
    <row r="1347" spans="2:11" hidden="1">
      <c r="B1347" s="1348"/>
      <c r="C1347" s="1348"/>
      <c r="D1347" s="1348"/>
      <c r="E1347" s="1348"/>
      <c r="F1347" s="1348"/>
      <c r="G1347" s="1348"/>
      <c r="H1347" s="1348"/>
      <c r="I1347" s="1348"/>
      <c r="J1347" s="1348"/>
      <c r="K1347" s="1348"/>
    </row>
    <row r="1348" spans="2:11" hidden="1">
      <c r="B1348" s="1348"/>
      <c r="C1348" s="1348"/>
      <c r="D1348" s="1348"/>
      <c r="E1348" s="1348"/>
      <c r="F1348" s="1348"/>
      <c r="G1348" s="1348"/>
      <c r="H1348" s="1348"/>
      <c r="I1348" s="1348"/>
      <c r="J1348" s="1348"/>
      <c r="K1348" s="1348"/>
    </row>
    <row r="1349" spans="2:11" hidden="1">
      <c r="B1349" s="1348"/>
      <c r="C1349" s="1348"/>
      <c r="D1349" s="1348"/>
      <c r="E1349" s="1348"/>
      <c r="F1349" s="1348"/>
      <c r="G1349" s="1348"/>
      <c r="H1349" s="1348"/>
      <c r="I1349" s="1348"/>
      <c r="J1349" s="1348"/>
      <c r="K1349" s="1348"/>
    </row>
    <row r="1350" spans="2:11" hidden="1">
      <c r="B1350" s="1348"/>
      <c r="C1350" s="1348"/>
      <c r="D1350" s="1348"/>
      <c r="E1350" s="1348"/>
      <c r="F1350" s="1348"/>
      <c r="G1350" s="1348"/>
      <c r="H1350" s="1348"/>
      <c r="I1350" s="1348"/>
      <c r="J1350" s="1348"/>
      <c r="K1350" s="1348"/>
    </row>
    <row r="1351" spans="2:11" hidden="1">
      <c r="B1351" s="1348"/>
      <c r="C1351" s="1348"/>
      <c r="D1351" s="1348"/>
      <c r="E1351" s="1348"/>
      <c r="F1351" s="1348"/>
      <c r="G1351" s="1348"/>
      <c r="H1351" s="1348"/>
      <c r="I1351" s="1348"/>
      <c r="J1351" s="1348"/>
      <c r="K1351" s="1348"/>
    </row>
    <row r="1352" spans="2:11" hidden="1">
      <c r="B1352" s="1348"/>
      <c r="C1352" s="1348"/>
      <c r="D1352" s="1348"/>
      <c r="E1352" s="1348"/>
      <c r="F1352" s="1348"/>
      <c r="G1352" s="1348"/>
      <c r="H1352" s="1348"/>
      <c r="I1352" s="1348"/>
      <c r="J1352" s="1348"/>
      <c r="K1352" s="1348"/>
    </row>
    <row r="1353" spans="2:11" hidden="1">
      <c r="B1353" s="1348"/>
      <c r="C1353" s="1348"/>
      <c r="D1353" s="1348"/>
      <c r="E1353" s="1348"/>
      <c r="F1353" s="1348"/>
      <c r="G1353" s="1348"/>
      <c r="H1353" s="1348"/>
      <c r="I1353" s="1348"/>
      <c r="J1353" s="1348"/>
      <c r="K1353" s="1348"/>
    </row>
    <row r="1354" spans="2:11" hidden="1">
      <c r="B1354" s="1348"/>
      <c r="C1354" s="1348"/>
      <c r="D1354" s="1348"/>
      <c r="E1354" s="1348"/>
      <c r="F1354" s="1348"/>
      <c r="G1354" s="1348"/>
      <c r="H1354" s="1348"/>
      <c r="I1354" s="1348"/>
      <c r="J1354" s="1348"/>
      <c r="K1354" s="1348"/>
    </row>
    <row r="1355" spans="2:11" hidden="1">
      <c r="B1355" s="1348"/>
      <c r="C1355" s="1348"/>
      <c r="D1355" s="1348"/>
      <c r="E1355" s="1348"/>
      <c r="F1355" s="1348"/>
      <c r="G1355" s="1348"/>
      <c r="H1355" s="1348"/>
      <c r="I1355" s="1348"/>
      <c r="J1355" s="1348"/>
      <c r="K1355" s="1348"/>
    </row>
    <row r="1356" spans="2:11" hidden="1">
      <c r="B1356" s="1348"/>
      <c r="C1356" s="1348"/>
      <c r="D1356" s="1348"/>
      <c r="E1356" s="1348"/>
      <c r="F1356" s="1348"/>
      <c r="G1356" s="1348"/>
      <c r="H1356" s="1348"/>
      <c r="I1356" s="1348"/>
      <c r="J1356" s="1348"/>
      <c r="K1356" s="1348"/>
    </row>
    <row r="1357" spans="2:11" hidden="1">
      <c r="B1357" s="1348"/>
      <c r="C1357" s="1348"/>
      <c r="D1357" s="1348"/>
      <c r="E1357" s="1348"/>
      <c r="F1357" s="1348"/>
      <c r="G1357" s="1348"/>
      <c r="H1357" s="1348"/>
      <c r="I1357" s="1348"/>
      <c r="J1357" s="1348"/>
      <c r="K1357" s="1348"/>
    </row>
    <row r="1358" spans="2:11" hidden="1">
      <c r="B1358" s="1348"/>
      <c r="C1358" s="1348"/>
      <c r="D1358" s="1348"/>
      <c r="E1358" s="1348"/>
      <c r="F1358" s="1348"/>
      <c r="G1358" s="1348"/>
      <c r="H1358" s="1348"/>
      <c r="I1358" s="1348"/>
      <c r="J1358" s="1348"/>
      <c r="K1358" s="1348"/>
    </row>
    <row r="1359" spans="2:11" hidden="1">
      <c r="B1359" s="1348"/>
      <c r="C1359" s="1348"/>
      <c r="D1359" s="1348"/>
      <c r="E1359" s="1348"/>
      <c r="F1359" s="1348"/>
      <c r="G1359" s="1348"/>
      <c r="H1359" s="1348"/>
      <c r="I1359" s="1348"/>
      <c r="J1359" s="1348"/>
      <c r="K1359" s="1348"/>
    </row>
    <row r="1360" spans="2:11" hidden="1">
      <c r="B1360" s="1348"/>
      <c r="C1360" s="1348"/>
      <c r="D1360" s="1348"/>
      <c r="E1360" s="1348"/>
      <c r="F1360" s="1348"/>
      <c r="G1360" s="1348"/>
      <c r="H1360" s="1348"/>
      <c r="I1360" s="1348"/>
      <c r="J1360" s="1348"/>
      <c r="K1360" s="1348"/>
    </row>
    <row r="1361" spans="2:11" hidden="1">
      <c r="B1361" s="1348"/>
      <c r="C1361" s="1348"/>
      <c r="D1361" s="1348"/>
      <c r="E1361" s="1348"/>
      <c r="F1361" s="1348"/>
      <c r="G1361" s="1348"/>
      <c r="H1361" s="1348"/>
      <c r="I1361" s="1348"/>
      <c r="J1361" s="1348"/>
      <c r="K1361" s="1348"/>
    </row>
    <row r="1362" spans="2:11" hidden="1">
      <c r="B1362" s="1348"/>
      <c r="C1362" s="1348"/>
      <c r="D1362" s="1348"/>
      <c r="E1362" s="1348"/>
      <c r="F1362" s="1348"/>
      <c r="G1362" s="1348"/>
      <c r="H1362" s="1348"/>
      <c r="I1362" s="1348"/>
      <c r="J1362" s="1348"/>
      <c r="K1362" s="1348"/>
    </row>
    <row r="1363" spans="2:11" hidden="1">
      <c r="B1363" s="1348"/>
      <c r="C1363" s="1348"/>
      <c r="D1363" s="1348"/>
      <c r="E1363" s="1348"/>
      <c r="F1363" s="1348"/>
      <c r="G1363" s="1348"/>
      <c r="H1363" s="1348"/>
      <c r="I1363" s="1348"/>
      <c r="J1363" s="1348"/>
      <c r="K1363" s="1348"/>
    </row>
    <row r="1364" spans="2:11" hidden="1">
      <c r="B1364" s="1348"/>
      <c r="C1364" s="1348"/>
      <c r="D1364" s="1348"/>
      <c r="E1364" s="1348"/>
      <c r="F1364" s="1348"/>
      <c r="G1364" s="1348"/>
      <c r="H1364" s="1348"/>
      <c r="I1364" s="1348"/>
      <c r="J1364" s="1348"/>
      <c r="K1364" s="1348"/>
    </row>
    <row r="1365" spans="2:11" hidden="1">
      <c r="B1365" s="1348"/>
      <c r="C1365" s="1348"/>
      <c r="D1365" s="1348"/>
      <c r="E1365" s="1348"/>
      <c r="F1365" s="1348"/>
      <c r="G1365" s="1348"/>
      <c r="H1365" s="1348"/>
      <c r="I1365" s="1348"/>
      <c r="J1365" s="1348"/>
      <c r="K1365" s="1348"/>
    </row>
    <row r="1366" spans="2:11" hidden="1">
      <c r="B1366" s="1348"/>
      <c r="C1366" s="1348"/>
      <c r="D1366" s="1348"/>
      <c r="E1366" s="1348"/>
      <c r="F1366" s="1348"/>
      <c r="G1366" s="1348"/>
      <c r="H1366" s="1348"/>
      <c r="I1366" s="1348"/>
      <c r="J1366" s="1348"/>
      <c r="K1366" s="1348"/>
    </row>
    <row r="1367" spans="2:11" hidden="1">
      <c r="B1367" s="1348"/>
      <c r="C1367" s="1348"/>
      <c r="D1367" s="1348"/>
      <c r="E1367" s="1348"/>
      <c r="F1367" s="1348"/>
      <c r="G1367" s="1348"/>
      <c r="H1367" s="1348"/>
      <c r="I1367" s="1348"/>
      <c r="J1367" s="1348"/>
      <c r="K1367" s="1348"/>
    </row>
    <row r="1368" spans="2:11" hidden="1">
      <c r="B1368" s="1348"/>
      <c r="C1368" s="1348"/>
      <c r="D1368" s="1348"/>
      <c r="E1368" s="1348"/>
      <c r="F1368" s="1348"/>
      <c r="G1368" s="1348"/>
      <c r="H1368" s="1348"/>
      <c r="I1368" s="1348"/>
      <c r="J1368" s="1348"/>
      <c r="K1368" s="1348"/>
    </row>
    <row r="1369" spans="2:11" hidden="1">
      <c r="B1369" s="1348"/>
      <c r="C1369" s="1348"/>
      <c r="D1369" s="1348"/>
      <c r="E1369" s="1348"/>
      <c r="F1369" s="1348"/>
      <c r="G1369" s="1348"/>
      <c r="H1369" s="1348"/>
      <c r="I1369" s="1348"/>
      <c r="J1369" s="1348"/>
      <c r="K1369" s="1348"/>
    </row>
    <row r="1370" spans="2:11" hidden="1">
      <c r="B1370" s="1348"/>
      <c r="C1370" s="1348"/>
      <c r="D1370" s="1348"/>
      <c r="E1370" s="1348"/>
      <c r="F1370" s="1348"/>
      <c r="G1370" s="1348"/>
      <c r="H1370" s="1348"/>
      <c r="I1370" s="1348"/>
      <c r="J1370" s="1348"/>
      <c r="K1370" s="1348"/>
    </row>
    <row r="1371" spans="2:11" hidden="1">
      <c r="B1371" s="1348"/>
      <c r="C1371" s="1348"/>
      <c r="D1371" s="1348"/>
      <c r="E1371" s="1348"/>
      <c r="F1371" s="1348"/>
      <c r="G1371" s="1348"/>
      <c r="H1371" s="1348"/>
      <c r="I1371" s="1348"/>
      <c r="J1371" s="1348"/>
      <c r="K1371" s="1348"/>
    </row>
    <row r="1372" spans="2:11" hidden="1">
      <c r="B1372" s="1348"/>
      <c r="C1372" s="1348"/>
      <c r="D1372" s="1348"/>
      <c r="E1372" s="1348"/>
      <c r="F1372" s="1348"/>
      <c r="G1372" s="1348"/>
      <c r="H1372" s="1348"/>
      <c r="I1372" s="1348"/>
      <c r="J1372" s="1348"/>
      <c r="K1372" s="1348"/>
    </row>
    <row r="1373" spans="2:11" hidden="1">
      <c r="B1373" s="1348"/>
      <c r="C1373" s="1348"/>
      <c r="D1373" s="1348"/>
      <c r="E1373" s="1348"/>
      <c r="F1373" s="1348"/>
      <c r="G1373" s="1348"/>
      <c r="H1373" s="1348"/>
      <c r="I1373" s="1348"/>
      <c r="J1373" s="1348"/>
      <c r="K1373" s="1348"/>
    </row>
    <row r="1374" spans="2:11" hidden="1">
      <c r="B1374" s="1348"/>
      <c r="C1374" s="1348"/>
      <c r="D1374" s="1348"/>
      <c r="E1374" s="1348"/>
      <c r="F1374" s="1348"/>
      <c r="G1374" s="1348"/>
      <c r="H1374" s="1348"/>
      <c r="I1374" s="1348"/>
      <c r="J1374" s="1348"/>
      <c r="K1374" s="1348"/>
    </row>
    <row r="1375" spans="2:11" hidden="1">
      <c r="B1375" s="1348"/>
      <c r="C1375" s="1348"/>
      <c r="D1375" s="1348"/>
      <c r="E1375" s="1348"/>
      <c r="F1375" s="1348"/>
      <c r="G1375" s="1348"/>
      <c r="H1375" s="1348"/>
      <c r="I1375" s="1348"/>
      <c r="J1375" s="1348"/>
      <c r="K1375" s="1348"/>
    </row>
    <row r="1376" spans="2:11" hidden="1">
      <c r="B1376" s="1348"/>
      <c r="C1376" s="1348"/>
      <c r="D1376" s="1348"/>
      <c r="E1376" s="1348"/>
      <c r="F1376" s="1348"/>
      <c r="G1376" s="1348"/>
      <c r="H1376" s="1348"/>
      <c r="I1376" s="1348"/>
      <c r="J1376" s="1348"/>
      <c r="K1376" s="1348"/>
    </row>
    <row r="1377" spans="2:11" hidden="1">
      <c r="B1377" s="1348"/>
      <c r="C1377" s="1348"/>
      <c r="D1377" s="1348"/>
      <c r="E1377" s="1348"/>
      <c r="F1377" s="1348"/>
      <c r="G1377" s="1348"/>
      <c r="H1377" s="1348"/>
      <c r="I1377" s="1348"/>
      <c r="J1377" s="1348"/>
      <c r="K1377" s="1348"/>
    </row>
    <row r="1378" spans="2:11" hidden="1">
      <c r="B1378" s="1348"/>
      <c r="C1378" s="1348"/>
      <c r="D1378" s="1348"/>
      <c r="E1378" s="1348"/>
      <c r="F1378" s="1348"/>
      <c r="G1378" s="1348"/>
      <c r="H1378" s="1348"/>
      <c r="I1378" s="1348"/>
      <c r="J1378" s="1348"/>
      <c r="K1378" s="1348"/>
    </row>
    <row r="1379" spans="2:11" hidden="1">
      <c r="B1379" s="1348"/>
      <c r="C1379" s="1348"/>
      <c r="D1379" s="1348"/>
      <c r="E1379" s="1348"/>
      <c r="F1379" s="1348"/>
      <c r="G1379" s="1348"/>
      <c r="H1379" s="1348"/>
      <c r="I1379" s="1348"/>
      <c r="J1379" s="1348"/>
      <c r="K1379" s="1348"/>
    </row>
    <row r="1380" spans="2:11" hidden="1">
      <c r="B1380" s="1348"/>
      <c r="C1380" s="1348"/>
      <c r="D1380" s="1348"/>
      <c r="E1380" s="1348"/>
      <c r="F1380" s="1348"/>
      <c r="G1380" s="1348"/>
      <c r="H1380" s="1348"/>
      <c r="I1380" s="1348"/>
      <c r="J1380" s="1348"/>
      <c r="K1380" s="1348"/>
    </row>
    <row r="1381" spans="2:11" hidden="1">
      <c r="B1381" s="1348"/>
      <c r="C1381" s="1348"/>
      <c r="D1381" s="1348"/>
      <c r="E1381" s="1348"/>
      <c r="F1381" s="1348"/>
      <c r="G1381" s="1348"/>
      <c r="H1381" s="1348"/>
      <c r="I1381" s="1348"/>
      <c r="J1381" s="1348"/>
      <c r="K1381" s="1348"/>
    </row>
    <row r="1382" spans="2:11" hidden="1">
      <c r="B1382" s="1348"/>
      <c r="C1382" s="1348"/>
      <c r="D1382" s="1348"/>
      <c r="E1382" s="1348"/>
      <c r="F1382" s="1348"/>
      <c r="G1382" s="1348"/>
      <c r="H1382" s="1348"/>
      <c r="I1382" s="1348"/>
      <c r="J1382" s="1348"/>
      <c r="K1382" s="1348"/>
    </row>
    <row r="1383" spans="2:11" hidden="1">
      <c r="B1383" s="1348"/>
      <c r="C1383" s="1348"/>
      <c r="D1383" s="1348"/>
      <c r="E1383" s="1348"/>
      <c r="F1383" s="1348"/>
      <c r="G1383" s="1348"/>
      <c r="H1383" s="1348"/>
      <c r="I1383" s="1348"/>
      <c r="J1383" s="1348"/>
      <c r="K1383" s="1348"/>
    </row>
    <row r="1384" spans="2:11" hidden="1">
      <c r="B1384" s="1348"/>
      <c r="C1384" s="1348"/>
      <c r="D1384" s="1348"/>
      <c r="E1384" s="1348"/>
      <c r="F1384" s="1348"/>
      <c r="G1384" s="1348"/>
      <c r="H1384" s="1348"/>
      <c r="I1384" s="1348"/>
      <c r="J1384" s="1348"/>
      <c r="K1384" s="1348"/>
    </row>
    <row r="1385" spans="2:11" hidden="1">
      <c r="B1385" s="1348"/>
      <c r="C1385" s="1348"/>
      <c r="D1385" s="1348"/>
      <c r="E1385" s="1348"/>
      <c r="F1385" s="1348"/>
      <c r="G1385" s="1348"/>
      <c r="H1385" s="1348"/>
      <c r="I1385" s="1348"/>
      <c r="J1385" s="1348"/>
      <c r="K1385" s="1348"/>
    </row>
    <row r="1386" spans="2:11" hidden="1">
      <c r="B1386" s="1348"/>
      <c r="C1386" s="1348"/>
      <c r="D1386" s="1348"/>
      <c r="E1386" s="1348"/>
      <c r="F1386" s="1348"/>
      <c r="G1386" s="1348"/>
      <c r="H1386" s="1348"/>
      <c r="I1386" s="1348"/>
      <c r="J1386" s="1348"/>
      <c r="K1386" s="1348"/>
    </row>
    <row r="1387" spans="2:11" hidden="1">
      <c r="B1387" s="1348"/>
      <c r="C1387" s="1348"/>
      <c r="D1387" s="1348"/>
      <c r="E1387" s="1348"/>
      <c r="F1387" s="1348"/>
      <c r="G1387" s="1348"/>
      <c r="H1387" s="1348"/>
      <c r="I1387" s="1348"/>
      <c r="J1387" s="1348"/>
      <c r="K1387" s="1348"/>
    </row>
    <row r="1388" spans="2:11" hidden="1">
      <c r="B1388" s="1348"/>
      <c r="C1388" s="1348"/>
      <c r="D1388" s="1348"/>
      <c r="E1388" s="1348"/>
      <c r="F1388" s="1348"/>
      <c r="G1388" s="1348"/>
      <c r="H1388" s="1348"/>
      <c r="I1388" s="1348"/>
      <c r="J1388" s="1348"/>
      <c r="K1388" s="1348"/>
    </row>
    <row r="1389" spans="2:11" hidden="1">
      <c r="B1389" s="1348"/>
      <c r="C1389" s="1348"/>
      <c r="D1389" s="1348"/>
      <c r="E1389" s="1348"/>
      <c r="F1389" s="1348"/>
      <c r="G1389" s="1348"/>
      <c r="H1389" s="1348"/>
      <c r="I1389" s="1348"/>
      <c r="J1389" s="1348"/>
      <c r="K1389" s="1348"/>
    </row>
    <row r="1390" spans="2:11" hidden="1">
      <c r="B1390" s="1348"/>
      <c r="C1390" s="1348"/>
      <c r="D1390" s="1348"/>
      <c r="E1390" s="1348"/>
      <c r="F1390" s="1348"/>
      <c r="G1390" s="1348"/>
      <c r="H1390" s="1348"/>
      <c r="I1390" s="1348"/>
      <c r="J1390" s="1348"/>
      <c r="K1390" s="1348"/>
    </row>
    <row r="1391" spans="2:11" hidden="1">
      <c r="B1391" s="1348"/>
      <c r="C1391" s="1348"/>
      <c r="D1391" s="1348"/>
      <c r="E1391" s="1348"/>
      <c r="F1391" s="1348"/>
      <c r="G1391" s="1348"/>
      <c r="H1391" s="1348"/>
      <c r="I1391" s="1348"/>
      <c r="J1391" s="1348"/>
      <c r="K1391" s="1348"/>
    </row>
    <row r="1392" spans="2:11" hidden="1">
      <c r="B1392" s="1348"/>
      <c r="C1392" s="1348"/>
      <c r="D1392" s="1348"/>
      <c r="E1392" s="1348"/>
      <c r="F1392" s="1348"/>
      <c r="G1392" s="1348"/>
      <c r="H1392" s="1348"/>
      <c r="I1392" s="1348"/>
      <c r="J1392" s="1348"/>
      <c r="K1392" s="1348"/>
    </row>
    <row r="1393" spans="2:11" hidden="1">
      <c r="B1393" s="1348"/>
      <c r="C1393" s="1348"/>
      <c r="D1393" s="1348"/>
      <c r="E1393" s="1348"/>
      <c r="F1393" s="1348"/>
      <c r="G1393" s="1348"/>
      <c r="H1393" s="1348"/>
      <c r="I1393" s="1348"/>
      <c r="J1393" s="1348"/>
      <c r="K1393" s="1348"/>
    </row>
    <row r="1394" spans="2:11" hidden="1">
      <c r="B1394" s="1348"/>
      <c r="C1394" s="1348"/>
      <c r="D1394" s="1348"/>
      <c r="E1394" s="1348"/>
      <c r="F1394" s="1348"/>
      <c r="G1394" s="1348"/>
      <c r="H1394" s="1348"/>
      <c r="I1394" s="1348"/>
      <c r="J1394" s="1348"/>
      <c r="K1394" s="1348"/>
    </row>
    <row r="1395" spans="2:11" hidden="1">
      <c r="B1395" s="1348"/>
      <c r="C1395" s="1348"/>
      <c r="D1395" s="1348"/>
      <c r="E1395" s="1348"/>
      <c r="F1395" s="1348"/>
      <c r="G1395" s="1348"/>
      <c r="H1395" s="1348"/>
      <c r="I1395" s="1348"/>
      <c r="J1395" s="1348"/>
      <c r="K1395" s="1348"/>
    </row>
    <row r="1396" spans="2:11" hidden="1">
      <c r="B1396" s="1348"/>
      <c r="C1396" s="1348"/>
      <c r="D1396" s="1348"/>
      <c r="E1396" s="1348"/>
      <c r="F1396" s="1348"/>
      <c r="G1396" s="1348"/>
      <c r="H1396" s="1348"/>
      <c r="I1396" s="1348"/>
      <c r="J1396" s="1348"/>
      <c r="K1396" s="1348"/>
    </row>
    <row r="1397" spans="2:11" hidden="1">
      <c r="B1397" s="1348"/>
      <c r="C1397" s="1348"/>
      <c r="D1397" s="1348"/>
      <c r="E1397" s="1348"/>
      <c r="F1397" s="1348"/>
      <c r="G1397" s="1348"/>
      <c r="H1397" s="1348"/>
      <c r="I1397" s="1348"/>
      <c r="J1397" s="1348"/>
      <c r="K1397" s="1348"/>
    </row>
    <row r="1398" spans="2:11" hidden="1">
      <c r="B1398" s="1348"/>
      <c r="C1398" s="1348"/>
      <c r="D1398" s="1348"/>
      <c r="E1398" s="1348"/>
      <c r="F1398" s="1348"/>
      <c r="G1398" s="1348"/>
      <c r="H1398" s="1348"/>
      <c r="I1398" s="1348"/>
      <c r="J1398" s="1348"/>
      <c r="K1398" s="1348"/>
    </row>
    <row r="1399" spans="2:11" hidden="1">
      <c r="B1399" s="1348"/>
      <c r="C1399" s="1348"/>
      <c r="D1399" s="1348"/>
      <c r="E1399" s="1348"/>
      <c r="F1399" s="1348"/>
      <c r="G1399" s="1348"/>
      <c r="H1399" s="1348"/>
      <c r="I1399" s="1348"/>
      <c r="J1399" s="1348"/>
      <c r="K1399" s="1348"/>
    </row>
    <row r="1400" spans="2:11" hidden="1">
      <c r="B1400" s="1348"/>
      <c r="C1400" s="1348"/>
      <c r="D1400" s="1348"/>
      <c r="E1400" s="1348"/>
      <c r="F1400" s="1348"/>
      <c r="G1400" s="1348"/>
      <c r="H1400" s="1348"/>
      <c r="I1400" s="1348"/>
      <c r="J1400" s="1348"/>
      <c r="K1400" s="1348"/>
    </row>
    <row r="1401" spans="2:11" hidden="1">
      <c r="B1401" s="1348"/>
      <c r="C1401" s="1348"/>
      <c r="D1401" s="1348"/>
      <c r="E1401" s="1348"/>
      <c r="F1401" s="1348"/>
      <c r="G1401" s="1348"/>
      <c r="H1401" s="1348"/>
      <c r="I1401" s="1348"/>
      <c r="J1401" s="1348"/>
      <c r="K1401" s="1348"/>
    </row>
    <row r="1402" spans="2:11" hidden="1">
      <c r="B1402" s="1348"/>
      <c r="C1402" s="1348"/>
      <c r="D1402" s="1348"/>
      <c r="E1402" s="1348"/>
      <c r="F1402" s="1348"/>
      <c r="G1402" s="1348"/>
      <c r="H1402" s="1348"/>
      <c r="I1402" s="1348"/>
      <c r="J1402" s="1348"/>
      <c r="K1402" s="1348"/>
    </row>
    <row r="1403" spans="2:11" hidden="1">
      <c r="B1403" s="1348"/>
      <c r="C1403" s="1348"/>
      <c r="D1403" s="1348"/>
      <c r="E1403" s="1348"/>
      <c r="F1403" s="1348"/>
      <c r="G1403" s="1348"/>
      <c r="H1403" s="1348"/>
      <c r="I1403" s="1348"/>
      <c r="J1403" s="1348"/>
      <c r="K1403" s="1348"/>
    </row>
    <row r="1404" spans="2:11" hidden="1">
      <c r="B1404" s="1348"/>
      <c r="C1404" s="1348"/>
      <c r="D1404" s="1348"/>
      <c r="E1404" s="1348"/>
      <c r="F1404" s="1348"/>
      <c r="G1404" s="1348"/>
      <c r="H1404" s="1348"/>
      <c r="I1404" s="1348"/>
      <c r="J1404" s="1348"/>
      <c r="K1404" s="1348"/>
    </row>
    <row r="1405" spans="2:11" hidden="1">
      <c r="B1405" s="1348"/>
      <c r="C1405" s="1348"/>
      <c r="D1405" s="1348"/>
      <c r="E1405" s="1348"/>
      <c r="F1405" s="1348"/>
      <c r="G1405" s="1348"/>
      <c r="H1405" s="1348"/>
      <c r="I1405" s="1348"/>
      <c r="J1405" s="1348"/>
      <c r="K1405" s="1348"/>
    </row>
    <row r="1406" spans="2:11" hidden="1">
      <c r="B1406" s="1348"/>
      <c r="C1406" s="1348"/>
      <c r="D1406" s="1348"/>
      <c r="E1406" s="1348"/>
      <c r="F1406" s="1348"/>
      <c r="G1406" s="1348"/>
      <c r="H1406" s="1348"/>
      <c r="I1406" s="1348"/>
      <c r="J1406" s="1348"/>
      <c r="K1406" s="1348"/>
    </row>
    <row r="1407" spans="2:11" hidden="1">
      <c r="B1407" s="1348"/>
      <c r="C1407" s="1348"/>
      <c r="D1407" s="1348"/>
      <c r="E1407" s="1348"/>
      <c r="F1407" s="1348"/>
      <c r="G1407" s="1348"/>
      <c r="H1407" s="1348"/>
      <c r="I1407" s="1348"/>
      <c r="J1407" s="1348"/>
      <c r="K1407" s="1348"/>
    </row>
    <row r="1408" spans="2:11" hidden="1">
      <c r="B1408" s="1348"/>
      <c r="C1408" s="1348"/>
      <c r="D1408" s="1348"/>
      <c r="E1408" s="1348"/>
      <c r="F1408" s="1348"/>
      <c r="G1408" s="1348"/>
      <c r="H1408" s="1348"/>
      <c r="I1408" s="1348"/>
      <c r="J1408" s="1348"/>
      <c r="K1408" s="1348"/>
    </row>
    <row r="1409" spans="2:11" hidden="1">
      <c r="B1409" s="1348"/>
      <c r="C1409" s="1348"/>
      <c r="D1409" s="1348"/>
      <c r="E1409" s="1348"/>
      <c r="F1409" s="1348"/>
      <c r="G1409" s="1348"/>
      <c r="H1409" s="1348"/>
      <c r="I1409" s="1348"/>
      <c r="J1409" s="1348"/>
      <c r="K1409" s="1348"/>
    </row>
    <row r="1410" spans="2:11" hidden="1">
      <c r="B1410" s="1348"/>
      <c r="C1410" s="1348"/>
      <c r="D1410" s="1348"/>
      <c r="E1410" s="1348"/>
      <c r="F1410" s="1348"/>
      <c r="G1410" s="1348"/>
      <c r="H1410" s="1348"/>
      <c r="I1410" s="1348"/>
      <c r="J1410" s="1348"/>
      <c r="K1410" s="1348"/>
    </row>
    <row r="1411" spans="2:11" hidden="1">
      <c r="B1411" s="1348"/>
      <c r="C1411" s="1348"/>
      <c r="D1411" s="1348"/>
      <c r="E1411" s="1348"/>
      <c r="F1411" s="1348"/>
      <c r="G1411" s="1348"/>
      <c r="H1411" s="1348"/>
      <c r="I1411" s="1348"/>
      <c r="J1411" s="1348"/>
      <c r="K1411" s="1348"/>
    </row>
    <row r="1412" spans="2:11" hidden="1">
      <c r="B1412" s="1348"/>
      <c r="C1412" s="1348"/>
      <c r="D1412" s="1348"/>
      <c r="E1412" s="1348"/>
      <c r="F1412" s="1348"/>
      <c r="G1412" s="1348"/>
      <c r="H1412" s="1348"/>
      <c r="I1412" s="1348"/>
      <c r="J1412" s="1348"/>
      <c r="K1412" s="1348"/>
    </row>
    <row r="1413" spans="2:11" hidden="1">
      <c r="B1413" s="1348"/>
      <c r="C1413" s="1348"/>
      <c r="D1413" s="1348"/>
      <c r="E1413" s="1348"/>
      <c r="F1413" s="1348"/>
      <c r="G1413" s="1348"/>
      <c r="H1413" s="1348"/>
      <c r="I1413" s="1348"/>
      <c r="J1413" s="1348"/>
      <c r="K1413" s="1348"/>
    </row>
    <row r="1414" spans="2:11" hidden="1">
      <c r="B1414" s="1348"/>
      <c r="C1414" s="1348"/>
      <c r="D1414" s="1348"/>
      <c r="E1414" s="1348"/>
      <c r="F1414" s="1348"/>
      <c r="G1414" s="1348"/>
      <c r="H1414" s="1348"/>
      <c r="I1414" s="1348"/>
      <c r="J1414" s="1348"/>
      <c r="K1414" s="1348"/>
    </row>
    <row r="1415" spans="2:11" hidden="1">
      <c r="B1415" s="1348"/>
      <c r="C1415" s="1348"/>
      <c r="D1415" s="1348"/>
      <c r="E1415" s="1348"/>
      <c r="F1415" s="1348"/>
      <c r="G1415" s="1348"/>
      <c r="H1415" s="1348"/>
      <c r="I1415" s="1348"/>
      <c r="J1415" s="1348"/>
      <c r="K1415" s="1348"/>
    </row>
    <row r="1416" spans="2:11" hidden="1">
      <c r="B1416" s="1348"/>
      <c r="C1416" s="1348"/>
      <c r="D1416" s="1348"/>
      <c r="E1416" s="1348"/>
      <c r="F1416" s="1348"/>
      <c r="G1416" s="1348"/>
      <c r="H1416" s="1348"/>
      <c r="I1416" s="1348"/>
      <c r="J1416" s="1348"/>
      <c r="K1416" s="1348"/>
    </row>
    <row r="1417" spans="2:11" hidden="1">
      <c r="B1417" s="1348"/>
      <c r="C1417" s="1348"/>
      <c r="D1417" s="1348"/>
      <c r="E1417" s="1348"/>
      <c r="F1417" s="1348"/>
      <c r="G1417" s="1348"/>
      <c r="H1417" s="1348"/>
      <c r="I1417" s="1348"/>
      <c r="J1417" s="1348"/>
      <c r="K1417" s="1348"/>
    </row>
    <row r="1418" spans="2:11" hidden="1">
      <c r="B1418" s="1348"/>
      <c r="C1418" s="1348"/>
      <c r="D1418" s="1348"/>
      <c r="E1418" s="1348"/>
      <c r="F1418" s="1348"/>
      <c r="G1418" s="1348"/>
      <c r="H1418" s="1348"/>
      <c r="I1418" s="1348"/>
      <c r="J1418" s="1348"/>
      <c r="K1418" s="1348"/>
    </row>
    <row r="1419" spans="2:11" hidden="1">
      <c r="B1419" s="1348"/>
      <c r="C1419" s="1348"/>
      <c r="D1419" s="1348"/>
      <c r="E1419" s="1348"/>
      <c r="F1419" s="1348"/>
      <c r="G1419" s="1348"/>
      <c r="H1419" s="1348"/>
      <c r="I1419" s="1348"/>
      <c r="J1419" s="1348"/>
      <c r="K1419" s="1348"/>
    </row>
    <row r="1420" spans="2:11" hidden="1">
      <c r="B1420" s="1348"/>
      <c r="C1420" s="1348"/>
      <c r="D1420" s="1348"/>
      <c r="E1420" s="1348"/>
      <c r="F1420" s="1348"/>
      <c r="G1420" s="1348"/>
      <c r="H1420" s="1348"/>
      <c r="I1420" s="1348"/>
      <c r="J1420" s="1348"/>
      <c r="K1420" s="1348"/>
    </row>
    <row r="1421" spans="2:11" hidden="1">
      <c r="B1421" s="1348"/>
      <c r="C1421" s="1348"/>
      <c r="D1421" s="1348"/>
      <c r="E1421" s="1348"/>
      <c r="F1421" s="1348"/>
      <c r="G1421" s="1348"/>
      <c r="H1421" s="1348"/>
      <c r="I1421" s="1348"/>
      <c r="J1421" s="1348"/>
      <c r="K1421" s="1348"/>
    </row>
    <row r="1422" spans="2:11" hidden="1">
      <c r="B1422" s="1348"/>
      <c r="C1422" s="1348"/>
      <c r="D1422" s="1348"/>
      <c r="E1422" s="1348"/>
      <c r="F1422" s="1348"/>
      <c r="G1422" s="1348"/>
      <c r="H1422" s="1348"/>
      <c r="I1422" s="1348"/>
      <c r="J1422" s="1348"/>
      <c r="K1422" s="1348"/>
    </row>
    <row r="1423" spans="2:11" hidden="1">
      <c r="B1423" s="1348"/>
      <c r="C1423" s="1348"/>
      <c r="D1423" s="1348"/>
      <c r="E1423" s="1348"/>
      <c r="F1423" s="1348"/>
      <c r="G1423" s="1348"/>
      <c r="H1423" s="1348"/>
      <c r="I1423" s="1348"/>
      <c r="J1423" s="1348"/>
      <c r="K1423" s="1348"/>
    </row>
    <row r="1424" spans="2:11" hidden="1">
      <c r="B1424" s="1348"/>
      <c r="C1424" s="1348"/>
      <c r="D1424" s="1348"/>
      <c r="E1424" s="1348"/>
      <c r="F1424" s="1348"/>
      <c r="G1424" s="1348"/>
      <c r="H1424" s="1348"/>
      <c r="I1424" s="1348"/>
      <c r="J1424" s="1348"/>
      <c r="K1424" s="1348"/>
    </row>
    <row r="1425" spans="2:11" hidden="1">
      <c r="B1425" s="1348"/>
      <c r="C1425" s="1348"/>
      <c r="D1425" s="1348"/>
      <c r="E1425" s="1348"/>
      <c r="F1425" s="1348"/>
      <c r="G1425" s="1348"/>
      <c r="H1425" s="1348"/>
      <c r="I1425" s="1348"/>
      <c r="J1425" s="1348"/>
      <c r="K1425" s="1348"/>
    </row>
    <row r="1426" spans="2:11" hidden="1">
      <c r="B1426" s="1348"/>
      <c r="C1426" s="1348"/>
      <c r="D1426" s="1348"/>
      <c r="E1426" s="1348"/>
      <c r="F1426" s="1348"/>
      <c r="G1426" s="1348"/>
      <c r="H1426" s="1348"/>
      <c r="I1426" s="1348"/>
      <c r="J1426" s="1348"/>
      <c r="K1426" s="1348"/>
    </row>
    <row r="1427" spans="2:11" hidden="1">
      <c r="B1427" s="1348"/>
      <c r="C1427" s="1348"/>
      <c r="D1427" s="1348"/>
      <c r="E1427" s="1348"/>
      <c r="F1427" s="1348"/>
      <c r="G1427" s="1348"/>
      <c r="H1427" s="1348"/>
      <c r="I1427" s="1348"/>
      <c r="J1427" s="1348"/>
      <c r="K1427" s="1348"/>
    </row>
    <row r="1428" spans="2:11" hidden="1">
      <c r="B1428" s="1348"/>
      <c r="C1428" s="1348"/>
      <c r="D1428" s="1348"/>
      <c r="E1428" s="1348"/>
      <c r="F1428" s="1348"/>
      <c r="G1428" s="1348"/>
      <c r="H1428" s="1348"/>
      <c r="I1428" s="1348"/>
      <c r="J1428" s="1348"/>
      <c r="K1428" s="1348"/>
    </row>
    <row r="1429" spans="2:11" hidden="1">
      <c r="B1429" s="1348"/>
      <c r="C1429" s="1348"/>
      <c r="D1429" s="1348"/>
      <c r="E1429" s="1348"/>
      <c r="F1429" s="1348"/>
      <c r="G1429" s="1348"/>
      <c r="H1429" s="1348"/>
      <c r="I1429" s="1348"/>
      <c r="J1429" s="1348"/>
      <c r="K1429" s="1348"/>
    </row>
    <row r="1430" spans="2:11" hidden="1">
      <c r="B1430" s="1348"/>
      <c r="C1430" s="1348"/>
      <c r="D1430" s="1348"/>
      <c r="E1430" s="1348"/>
      <c r="F1430" s="1348"/>
      <c r="G1430" s="1348"/>
      <c r="H1430" s="1348"/>
      <c r="I1430" s="1348"/>
      <c r="J1430" s="1348"/>
      <c r="K1430" s="1348"/>
    </row>
    <row r="1431" spans="2:11" hidden="1">
      <c r="B1431" s="1348"/>
      <c r="C1431" s="1348"/>
      <c r="D1431" s="1348"/>
      <c r="E1431" s="1348"/>
      <c r="F1431" s="1348"/>
      <c r="G1431" s="1348"/>
      <c r="H1431" s="1348"/>
      <c r="I1431" s="1348"/>
      <c r="J1431" s="1348"/>
      <c r="K1431" s="1348"/>
    </row>
    <row r="1432" spans="2:11" hidden="1">
      <c r="B1432" s="1348"/>
      <c r="C1432" s="1348"/>
      <c r="D1432" s="1348"/>
      <c r="E1432" s="1348"/>
      <c r="F1432" s="1348"/>
      <c r="G1432" s="1348"/>
      <c r="H1432" s="1348"/>
      <c r="I1432" s="1348"/>
      <c r="J1432" s="1348"/>
      <c r="K1432" s="1348"/>
    </row>
    <row r="1433" spans="2:11" hidden="1">
      <c r="B1433" s="1348"/>
      <c r="C1433" s="1348"/>
      <c r="D1433" s="1348"/>
      <c r="E1433" s="1348"/>
      <c r="F1433" s="1348"/>
      <c r="G1433" s="1348"/>
      <c r="H1433" s="1348"/>
      <c r="I1433" s="1348"/>
      <c r="J1433" s="1348"/>
      <c r="K1433" s="1348"/>
    </row>
    <row r="1434" spans="2:11" hidden="1">
      <c r="B1434" s="1348"/>
      <c r="C1434" s="1348"/>
      <c r="D1434" s="1348"/>
      <c r="E1434" s="1348"/>
      <c r="F1434" s="1348"/>
      <c r="G1434" s="1348"/>
      <c r="H1434" s="1348"/>
      <c r="I1434" s="1348"/>
      <c r="J1434" s="1348"/>
      <c r="K1434" s="1348"/>
    </row>
    <row r="1435" spans="2:11" hidden="1">
      <c r="B1435" s="1348"/>
      <c r="C1435" s="1348"/>
      <c r="D1435" s="1348"/>
      <c r="E1435" s="1348"/>
      <c r="F1435" s="1348"/>
      <c r="G1435" s="1348"/>
      <c r="H1435" s="1348"/>
      <c r="I1435" s="1348"/>
      <c r="J1435" s="1348"/>
      <c r="K1435" s="1348"/>
    </row>
    <row r="1436" spans="2:11" hidden="1">
      <c r="B1436" s="1348"/>
      <c r="C1436" s="1348"/>
      <c r="D1436" s="1348"/>
      <c r="E1436" s="1348"/>
      <c r="F1436" s="1348"/>
      <c r="G1436" s="1348"/>
      <c r="H1436" s="1348"/>
      <c r="I1436" s="1348"/>
      <c r="J1436" s="1348"/>
      <c r="K1436" s="1348"/>
    </row>
    <row r="1437" spans="2:11" hidden="1">
      <c r="B1437" s="1348"/>
      <c r="C1437" s="1348"/>
      <c r="D1437" s="1348"/>
      <c r="E1437" s="1348"/>
      <c r="F1437" s="1348"/>
      <c r="G1437" s="1348"/>
      <c r="H1437" s="1348"/>
      <c r="I1437" s="1348"/>
      <c r="J1437" s="1348"/>
      <c r="K1437" s="1348"/>
    </row>
    <row r="1438" spans="2:11" hidden="1">
      <c r="B1438" s="1348"/>
      <c r="C1438" s="1348"/>
      <c r="D1438" s="1348"/>
      <c r="E1438" s="1348"/>
      <c r="F1438" s="1348"/>
      <c r="G1438" s="1348"/>
      <c r="H1438" s="1348"/>
      <c r="I1438" s="1348"/>
      <c r="J1438" s="1348"/>
      <c r="K1438" s="1348"/>
    </row>
    <row r="1439" spans="2:11" hidden="1">
      <c r="B1439" s="1348"/>
      <c r="C1439" s="1348"/>
      <c r="D1439" s="1348"/>
      <c r="E1439" s="1348"/>
      <c r="F1439" s="1348"/>
      <c r="G1439" s="1348"/>
      <c r="H1439" s="1348"/>
      <c r="I1439" s="1348"/>
      <c r="J1439" s="1348"/>
      <c r="K1439" s="1348"/>
    </row>
    <row r="1440" spans="2:11" hidden="1">
      <c r="B1440" s="1348"/>
      <c r="C1440" s="1348"/>
      <c r="D1440" s="1348"/>
      <c r="E1440" s="1348"/>
      <c r="F1440" s="1348"/>
      <c r="G1440" s="1348"/>
      <c r="H1440" s="1348"/>
      <c r="I1440" s="1348"/>
      <c r="J1440" s="1348"/>
      <c r="K1440" s="1348"/>
    </row>
    <row r="1441" spans="2:11" hidden="1">
      <c r="B1441" s="1348"/>
      <c r="C1441" s="1348"/>
      <c r="D1441" s="1348"/>
      <c r="E1441" s="1348"/>
      <c r="F1441" s="1348"/>
      <c r="G1441" s="1348"/>
      <c r="H1441" s="1348"/>
      <c r="I1441" s="1348"/>
      <c r="J1441" s="1348"/>
      <c r="K1441" s="1348"/>
    </row>
    <row r="1442" spans="2:11" hidden="1">
      <c r="B1442" s="1348"/>
      <c r="C1442" s="1348"/>
      <c r="D1442" s="1348"/>
      <c r="E1442" s="1348"/>
      <c r="F1442" s="1348"/>
      <c r="G1442" s="1348"/>
      <c r="H1442" s="1348"/>
      <c r="I1442" s="1348"/>
      <c r="J1442" s="1348"/>
      <c r="K1442" s="1348"/>
    </row>
    <row r="1443" spans="2:11" hidden="1">
      <c r="B1443" s="1348"/>
      <c r="C1443" s="1348"/>
      <c r="D1443" s="1348"/>
      <c r="E1443" s="1348"/>
      <c r="F1443" s="1348"/>
      <c r="G1443" s="1348"/>
      <c r="H1443" s="1348"/>
      <c r="I1443" s="1348"/>
      <c r="J1443" s="1348"/>
      <c r="K1443" s="1348"/>
    </row>
    <row r="1444" spans="2:11" hidden="1">
      <c r="B1444" s="1348"/>
      <c r="C1444" s="1348"/>
      <c r="D1444" s="1348"/>
      <c r="E1444" s="1348"/>
      <c r="F1444" s="1348"/>
      <c r="G1444" s="1348"/>
      <c r="H1444" s="1348"/>
      <c r="I1444" s="1348"/>
      <c r="J1444" s="1348"/>
      <c r="K1444" s="1348"/>
    </row>
    <row r="1445" spans="2:11" hidden="1">
      <c r="B1445" s="1348"/>
      <c r="C1445" s="1348"/>
      <c r="D1445" s="1348"/>
      <c r="E1445" s="1348"/>
      <c r="F1445" s="1348"/>
      <c r="G1445" s="1348"/>
      <c r="H1445" s="1348"/>
      <c r="I1445" s="1348"/>
      <c r="J1445" s="1348"/>
      <c r="K1445" s="1348"/>
    </row>
    <row r="1446" spans="2:11" hidden="1">
      <c r="B1446" s="1348"/>
      <c r="C1446" s="1348"/>
      <c r="D1446" s="1348"/>
      <c r="E1446" s="1348"/>
      <c r="F1446" s="1348"/>
      <c r="G1446" s="1348"/>
      <c r="H1446" s="1348"/>
      <c r="I1446" s="1348"/>
      <c r="J1446" s="1348"/>
      <c r="K1446" s="1348"/>
    </row>
    <row r="1447" spans="2:11" hidden="1">
      <c r="B1447" s="1348"/>
      <c r="C1447" s="1348"/>
      <c r="D1447" s="1348"/>
      <c r="E1447" s="1348"/>
      <c r="F1447" s="1348"/>
      <c r="G1447" s="1348"/>
      <c r="H1447" s="1348"/>
      <c r="I1447" s="1348"/>
      <c r="J1447" s="1348"/>
      <c r="K1447" s="1348"/>
    </row>
    <row r="1448" spans="2:11" hidden="1">
      <c r="B1448" s="1348"/>
      <c r="C1448" s="1348"/>
      <c r="D1448" s="1348"/>
      <c r="E1448" s="1348"/>
      <c r="F1448" s="1348"/>
      <c r="G1448" s="1348"/>
      <c r="H1448" s="1348"/>
      <c r="I1448" s="1348"/>
      <c r="J1448" s="1348"/>
      <c r="K1448" s="1348"/>
    </row>
    <row r="1449" spans="2:11" hidden="1">
      <c r="B1449" s="1348"/>
      <c r="C1449" s="1348"/>
      <c r="D1449" s="1348"/>
      <c r="E1449" s="1348"/>
      <c r="F1449" s="1348"/>
      <c r="G1449" s="1348"/>
      <c r="H1449" s="1348"/>
      <c r="I1449" s="1348"/>
      <c r="J1449" s="1348"/>
      <c r="K1449" s="1348"/>
    </row>
    <row r="1450" spans="2:11" hidden="1">
      <c r="B1450" s="1348"/>
      <c r="C1450" s="1348"/>
      <c r="D1450" s="1348"/>
      <c r="E1450" s="1348"/>
      <c r="F1450" s="1348"/>
      <c r="G1450" s="1348"/>
      <c r="H1450" s="1348"/>
      <c r="I1450" s="1348"/>
      <c r="J1450" s="1348"/>
      <c r="K1450" s="1348"/>
    </row>
    <row r="1451" spans="2:11" hidden="1">
      <c r="B1451" s="1348"/>
      <c r="C1451" s="1348"/>
      <c r="D1451" s="1348"/>
      <c r="E1451" s="1348"/>
      <c r="F1451" s="1348"/>
      <c r="G1451" s="1348"/>
      <c r="H1451" s="1348"/>
      <c r="I1451" s="1348"/>
      <c r="J1451" s="1348"/>
      <c r="K1451" s="1348"/>
    </row>
    <row r="1452" spans="2:11" hidden="1">
      <c r="B1452" s="1348"/>
      <c r="C1452" s="1348"/>
      <c r="D1452" s="1348"/>
      <c r="E1452" s="1348"/>
      <c r="F1452" s="1348"/>
      <c r="G1452" s="1348"/>
      <c r="H1452" s="1348"/>
      <c r="I1452" s="1348"/>
      <c r="J1452" s="1348"/>
      <c r="K1452" s="1348"/>
    </row>
    <row r="1453" spans="2:11" hidden="1">
      <c r="B1453" s="1348"/>
      <c r="C1453" s="1348"/>
      <c r="D1453" s="1348"/>
      <c r="E1453" s="1348"/>
      <c r="F1453" s="1348"/>
      <c r="G1453" s="1348"/>
      <c r="H1453" s="1348"/>
      <c r="I1453" s="1348"/>
      <c r="J1453" s="1348"/>
      <c r="K1453" s="1348"/>
    </row>
    <row r="1454" spans="2:11" hidden="1">
      <c r="B1454" s="1348"/>
      <c r="C1454" s="1348"/>
      <c r="D1454" s="1348"/>
      <c r="E1454" s="1348"/>
      <c r="F1454" s="1348"/>
      <c r="G1454" s="1348"/>
      <c r="H1454" s="1348"/>
      <c r="I1454" s="1348"/>
      <c r="J1454" s="1348"/>
      <c r="K1454" s="1348"/>
    </row>
    <row r="1455" spans="2:11" hidden="1">
      <c r="B1455" s="1348"/>
      <c r="C1455" s="1348"/>
      <c r="D1455" s="1348"/>
      <c r="E1455" s="1348"/>
      <c r="F1455" s="1348"/>
      <c r="G1455" s="1348"/>
      <c r="H1455" s="1348"/>
      <c r="I1455" s="1348"/>
      <c r="J1455" s="1348"/>
      <c r="K1455" s="1348"/>
    </row>
    <row r="1456" spans="2:11" hidden="1">
      <c r="B1456" s="1348"/>
      <c r="C1456" s="1348"/>
      <c r="D1456" s="1348"/>
      <c r="E1456" s="1348"/>
      <c r="F1456" s="1348"/>
      <c r="G1456" s="1348"/>
      <c r="H1456" s="1348"/>
      <c r="I1456" s="1348"/>
      <c r="J1456" s="1348"/>
      <c r="K1456" s="1348"/>
    </row>
    <row r="1457" spans="2:11" hidden="1">
      <c r="B1457" s="1348"/>
      <c r="C1457" s="1348"/>
      <c r="D1457" s="1348"/>
      <c r="E1457" s="1348"/>
      <c r="F1457" s="1348"/>
      <c r="G1457" s="1348"/>
      <c r="H1457" s="1348"/>
      <c r="I1457" s="1348"/>
      <c r="J1457" s="1348"/>
      <c r="K1457" s="1348"/>
    </row>
    <row r="1458" spans="2:11" hidden="1">
      <c r="B1458" s="1348"/>
      <c r="C1458" s="1348"/>
      <c r="D1458" s="1348"/>
      <c r="E1458" s="1348"/>
      <c r="F1458" s="1348"/>
      <c r="G1458" s="1348"/>
      <c r="H1458" s="1348"/>
      <c r="I1458" s="1348"/>
      <c r="J1458" s="1348"/>
      <c r="K1458" s="1348"/>
    </row>
    <row r="1459" spans="2:11" hidden="1">
      <c r="B1459" s="1348"/>
      <c r="C1459" s="1348"/>
      <c r="D1459" s="1348"/>
      <c r="E1459" s="1348"/>
      <c r="F1459" s="1348"/>
      <c r="G1459" s="1348"/>
      <c r="H1459" s="1348"/>
      <c r="I1459" s="1348"/>
      <c r="J1459" s="1348"/>
      <c r="K1459" s="1348"/>
    </row>
    <row r="1460" spans="2:11" hidden="1">
      <c r="B1460" s="1348"/>
      <c r="C1460" s="1348"/>
      <c r="D1460" s="1348"/>
      <c r="E1460" s="1348"/>
      <c r="F1460" s="1348"/>
      <c r="G1460" s="1348"/>
      <c r="H1460" s="1348"/>
      <c r="I1460" s="1348"/>
      <c r="J1460" s="1348"/>
      <c r="K1460" s="1348"/>
    </row>
    <row r="1461" spans="2:11" hidden="1">
      <c r="B1461" s="1348"/>
      <c r="C1461" s="1348"/>
      <c r="D1461" s="1348"/>
      <c r="E1461" s="1348"/>
      <c r="F1461" s="1348"/>
      <c r="G1461" s="1348"/>
      <c r="H1461" s="1348"/>
      <c r="I1461" s="1348"/>
      <c r="J1461" s="1348"/>
      <c r="K1461" s="1348"/>
    </row>
    <row r="1462" spans="2:11" hidden="1">
      <c r="B1462" s="1348"/>
      <c r="C1462" s="1348"/>
      <c r="D1462" s="1348"/>
      <c r="E1462" s="1348"/>
      <c r="F1462" s="1348"/>
      <c r="G1462" s="1348"/>
      <c r="H1462" s="1348"/>
      <c r="I1462" s="1348"/>
      <c r="J1462" s="1348"/>
      <c r="K1462" s="1348"/>
    </row>
    <row r="1463" spans="2:11" hidden="1">
      <c r="B1463" s="1348"/>
      <c r="C1463" s="1348"/>
      <c r="D1463" s="1348"/>
      <c r="E1463" s="1348"/>
      <c r="F1463" s="1348"/>
      <c r="G1463" s="1348"/>
      <c r="H1463" s="1348"/>
      <c r="I1463" s="1348"/>
      <c r="J1463" s="1348"/>
      <c r="K1463" s="1348"/>
    </row>
    <row r="1464" spans="2:11" hidden="1">
      <c r="B1464" s="1348"/>
      <c r="C1464" s="1348"/>
      <c r="D1464" s="1348"/>
      <c r="E1464" s="1348"/>
      <c r="F1464" s="1348"/>
      <c r="G1464" s="1348"/>
      <c r="H1464" s="1348"/>
      <c r="I1464" s="1348"/>
      <c r="J1464" s="1348"/>
      <c r="K1464" s="1348"/>
    </row>
    <row r="1465" spans="2:11" hidden="1">
      <c r="B1465" s="1348"/>
      <c r="C1465" s="1348"/>
      <c r="D1465" s="1348"/>
      <c r="E1465" s="1348"/>
      <c r="F1465" s="1348"/>
      <c r="G1465" s="1348"/>
      <c r="H1465" s="1348"/>
      <c r="I1465" s="1348"/>
      <c r="J1465" s="1348"/>
      <c r="K1465" s="1348"/>
    </row>
    <row r="1466" spans="2:11" hidden="1">
      <c r="B1466" s="1348"/>
      <c r="C1466" s="1348"/>
      <c r="D1466" s="1348"/>
      <c r="E1466" s="1348"/>
      <c r="F1466" s="1348"/>
      <c r="G1466" s="1348"/>
      <c r="H1466" s="1348"/>
      <c r="I1466" s="1348"/>
      <c r="J1466" s="1348"/>
      <c r="K1466" s="1348"/>
    </row>
    <row r="1467" spans="2:11" hidden="1">
      <c r="B1467" s="1348"/>
      <c r="C1467" s="1348"/>
      <c r="D1467" s="1348"/>
      <c r="E1467" s="1348"/>
      <c r="F1467" s="1348"/>
      <c r="G1467" s="1348"/>
      <c r="H1467" s="1348"/>
      <c r="I1467" s="1348"/>
      <c r="J1467" s="1348"/>
      <c r="K1467" s="1348"/>
    </row>
    <row r="1468" spans="2:11" hidden="1">
      <c r="B1468" s="1348"/>
      <c r="C1468" s="1348"/>
      <c r="D1468" s="1348"/>
      <c r="E1468" s="1348"/>
      <c r="F1468" s="1348"/>
      <c r="G1468" s="1348"/>
      <c r="H1468" s="1348"/>
      <c r="I1468" s="1348"/>
      <c r="J1468" s="1348"/>
      <c r="K1468" s="1348"/>
    </row>
    <row r="1469" spans="2:11" hidden="1">
      <c r="B1469" s="1348"/>
      <c r="C1469" s="1348"/>
      <c r="D1469" s="1348"/>
      <c r="E1469" s="1348"/>
      <c r="F1469" s="1348"/>
      <c r="G1469" s="1348"/>
      <c r="H1469" s="1348"/>
      <c r="I1469" s="1348"/>
      <c r="J1469" s="1348"/>
      <c r="K1469" s="1348"/>
    </row>
    <row r="1470" spans="2:11" hidden="1">
      <c r="B1470" s="1348"/>
      <c r="C1470" s="1348"/>
      <c r="D1470" s="1348"/>
      <c r="E1470" s="1348"/>
      <c r="F1470" s="1348"/>
      <c r="G1470" s="1348"/>
      <c r="H1470" s="1348"/>
      <c r="I1470" s="1348"/>
      <c r="J1470" s="1348"/>
      <c r="K1470" s="1348"/>
    </row>
    <row r="1471" spans="2:11" hidden="1">
      <c r="B1471" s="1348"/>
      <c r="C1471" s="1348"/>
      <c r="D1471" s="1348"/>
      <c r="E1471" s="1348"/>
      <c r="F1471" s="1348"/>
      <c r="G1471" s="1348"/>
      <c r="H1471" s="1348"/>
      <c r="I1471" s="1348"/>
      <c r="J1471" s="1348"/>
      <c r="K1471" s="1348"/>
    </row>
    <row r="1472" spans="2:11" hidden="1">
      <c r="B1472" s="1348"/>
      <c r="C1472" s="1348"/>
      <c r="D1472" s="1348"/>
      <c r="E1472" s="1348"/>
      <c r="F1472" s="1348"/>
      <c r="G1472" s="1348"/>
      <c r="H1472" s="1348"/>
      <c r="I1472" s="1348"/>
      <c r="J1472" s="1348"/>
      <c r="K1472" s="1348"/>
    </row>
    <row r="1473" spans="2:11" hidden="1">
      <c r="B1473" s="1348"/>
      <c r="C1473" s="1348"/>
      <c r="D1473" s="1348"/>
      <c r="E1473" s="1348"/>
      <c r="F1473" s="1348"/>
      <c r="G1473" s="1348"/>
      <c r="H1473" s="1348"/>
      <c r="I1473" s="1348"/>
      <c r="J1473" s="1348"/>
      <c r="K1473" s="1348"/>
    </row>
    <row r="1474" spans="2:11" hidden="1">
      <c r="B1474" s="1348"/>
      <c r="C1474" s="1348"/>
      <c r="D1474" s="1348"/>
      <c r="E1474" s="1348"/>
      <c r="F1474" s="1348"/>
      <c r="G1474" s="1348"/>
      <c r="H1474" s="1348"/>
      <c r="I1474" s="1348"/>
      <c r="J1474" s="1348"/>
      <c r="K1474" s="1348"/>
    </row>
    <row r="1475" spans="2:11" hidden="1">
      <c r="B1475" s="1348"/>
      <c r="C1475" s="1348"/>
      <c r="D1475" s="1348"/>
      <c r="E1475" s="1348"/>
      <c r="F1475" s="1348"/>
      <c r="G1475" s="1348"/>
      <c r="H1475" s="1348"/>
      <c r="I1475" s="1348"/>
      <c r="J1475" s="1348"/>
      <c r="K1475" s="1348"/>
    </row>
    <row r="1476" spans="2:11" hidden="1">
      <c r="B1476" s="1348"/>
      <c r="C1476" s="1348"/>
      <c r="D1476" s="1348"/>
      <c r="E1476" s="1348"/>
      <c r="F1476" s="1348"/>
      <c r="G1476" s="1348"/>
      <c r="H1476" s="1348"/>
      <c r="I1476" s="1348"/>
      <c r="J1476" s="1348"/>
      <c r="K1476" s="1348"/>
    </row>
    <row r="1477" spans="2:11" hidden="1">
      <c r="B1477" s="1348"/>
      <c r="C1477" s="1348"/>
      <c r="D1477" s="1348"/>
      <c r="E1477" s="1348"/>
      <c r="F1477" s="1348"/>
      <c r="G1477" s="1348"/>
      <c r="H1477" s="1348"/>
      <c r="I1477" s="1348"/>
      <c r="J1477" s="1348"/>
      <c r="K1477" s="1348"/>
    </row>
    <row r="1478" spans="2:11" hidden="1">
      <c r="B1478" s="1348"/>
      <c r="C1478" s="1348"/>
      <c r="D1478" s="1348"/>
      <c r="E1478" s="1348"/>
      <c r="F1478" s="1348"/>
      <c r="G1478" s="1348"/>
      <c r="H1478" s="1348"/>
      <c r="I1478" s="1348"/>
      <c r="J1478" s="1348"/>
      <c r="K1478" s="1348"/>
    </row>
    <row r="1479" spans="2:11" hidden="1">
      <c r="B1479" s="1348"/>
      <c r="C1479" s="1348"/>
      <c r="D1479" s="1348"/>
      <c r="E1479" s="1348"/>
      <c r="F1479" s="1348"/>
      <c r="G1479" s="1348"/>
      <c r="H1479" s="1348"/>
      <c r="I1479" s="1348"/>
      <c r="J1479" s="1348"/>
      <c r="K1479" s="1348"/>
    </row>
    <row r="1480" spans="2:11" hidden="1">
      <c r="B1480" s="1348"/>
      <c r="C1480" s="1348"/>
      <c r="D1480" s="1348"/>
      <c r="E1480" s="1348"/>
      <c r="F1480" s="1348"/>
      <c r="G1480" s="1348"/>
      <c r="H1480" s="1348"/>
      <c r="I1480" s="1348"/>
      <c r="J1480" s="1348"/>
      <c r="K1480" s="1348"/>
    </row>
    <row r="1481" spans="2:11" hidden="1">
      <c r="B1481" s="1348"/>
      <c r="C1481" s="1348"/>
      <c r="D1481" s="1348"/>
      <c r="E1481" s="1348"/>
      <c r="F1481" s="1348"/>
      <c r="G1481" s="1348"/>
      <c r="H1481" s="1348"/>
      <c r="I1481" s="1348"/>
      <c r="J1481" s="1348"/>
      <c r="K1481" s="1348"/>
    </row>
    <row r="1482" spans="2:11" hidden="1">
      <c r="B1482" s="1348"/>
      <c r="C1482" s="1348"/>
      <c r="D1482" s="1348"/>
      <c r="E1482" s="1348"/>
      <c r="F1482" s="1348"/>
      <c r="G1482" s="1348"/>
      <c r="H1482" s="1348"/>
      <c r="I1482" s="1348"/>
      <c r="J1482" s="1348"/>
      <c r="K1482" s="1348"/>
    </row>
    <row r="1483" spans="2:11" hidden="1">
      <c r="B1483" s="1348"/>
      <c r="C1483" s="1348"/>
      <c r="D1483" s="1348"/>
      <c r="E1483" s="1348"/>
      <c r="F1483" s="1348"/>
      <c r="G1483" s="1348"/>
      <c r="H1483" s="1348"/>
      <c r="I1483" s="1348"/>
      <c r="J1483" s="1348"/>
      <c r="K1483" s="1348"/>
    </row>
    <row r="1484" spans="2:11" hidden="1">
      <c r="B1484" s="1348"/>
      <c r="C1484" s="1348"/>
      <c r="D1484" s="1348"/>
      <c r="E1484" s="1348"/>
      <c r="F1484" s="1348"/>
      <c r="G1484" s="1348"/>
      <c r="H1484" s="1348"/>
      <c r="I1484" s="1348"/>
      <c r="J1484" s="1348"/>
      <c r="K1484" s="1348"/>
    </row>
    <row r="1485" spans="2:11" hidden="1">
      <c r="B1485" s="1348"/>
      <c r="C1485" s="1348"/>
      <c r="D1485" s="1348"/>
      <c r="E1485" s="1348"/>
      <c r="F1485" s="1348"/>
      <c r="G1485" s="1348"/>
      <c r="H1485" s="1348"/>
      <c r="I1485" s="1348"/>
      <c r="J1485" s="1348"/>
      <c r="K1485" s="1348"/>
    </row>
    <row r="1486" spans="2:11" hidden="1">
      <c r="B1486" s="1348"/>
      <c r="C1486" s="1348"/>
      <c r="D1486" s="1348"/>
      <c r="E1486" s="1348"/>
      <c r="F1486" s="1348"/>
      <c r="G1486" s="1348"/>
      <c r="H1486" s="1348"/>
      <c r="I1486" s="1348"/>
      <c r="J1486" s="1348"/>
      <c r="K1486" s="1348"/>
    </row>
    <row r="1487" spans="2:11" hidden="1">
      <c r="B1487" s="1348"/>
      <c r="C1487" s="1348"/>
      <c r="D1487" s="1348"/>
      <c r="E1487" s="1348"/>
      <c r="F1487" s="1348"/>
      <c r="G1487" s="1348"/>
      <c r="H1487" s="1348"/>
      <c r="I1487" s="1348"/>
      <c r="J1487" s="1348"/>
      <c r="K1487" s="1348"/>
    </row>
    <row r="1488" spans="2:11" hidden="1">
      <c r="B1488" s="1348"/>
      <c r="C1488" s="1348"/>
      <c r="D1488" s="1348"/>
      <c r="E1488" s="1348"/>
      <c r="F1488" s="1348"/>
      <c r="G1488" s="1348"/>
      <c r="H1488" s="1348"/>
      <c r="I1488" s="1348"/>
      <c r="J1488" s="1348"/>
      <c r="K1488" s="1348"/>
    </row>
    <row r="1489" spans="2:11" hidden="1">
      <c r="B1489" s="1348"/>
      <c r="C1489" s="1348"/>
      <c r="D1489" s="1348"/>
      <c r="E1489" s="1348"/>
      <c r="F1489" s="1348"/>
      <c r="G1489" s="1348"/>
      <c r="H1489" s="1348"/>
      <c r="I1489" s="1348"/>
      <c r="J1489" s="1348"/>
      <c r="K1489" s="1348"/>
    </row>
    <row r="1490" spans="2:11" hidden="1">
      <c r="B1490" s="1348"/>
      <c r="C1490" s="1348"/>
      <c r="D1490" s="1348"/>
      <c r="E1490" s="1348"/>
      <c r="F1490" s="1348"/>
      <c r="G1490" s="1348"/>
      <c r="H1490" s="1348"/>
      <c r="I1490" s="1348"/>
      <c r="J1490" s="1348"/>
      <c r="K1490" s="1348"/>
    </row>
    <row r="1491" spans="2:11" hidden="1">
      <c r="B1491" s="1348"/>
      <c r="C1491" s="1348"/>
      <c r="D1491" s="1348"/>
      <c r="E1491" s="1348"/>
      <c r="F1491" s="1348"/>
      <c r="G1491" s="1348"/>
      <c r="H1491" s="1348"/>
      <c r="I1491" s="1348"/>
      <c r="J1491" s="1348"/>
      <c r="K1491" s="1348"/>
    </row>
    <row r="1492" spans="2:11" hidden="1">
      <c r="B1492" s="1348"/>
      <c r="C1492" s="1348"/>
      <c r="D1492" s="1348"/>
      <c r="E1492" s="1348"/>
      <c r="F1492" s="1348"/>
      <c r="G1492" s="1348"/>
      <c r="H1492" s="1348"/>
      <c r="I1492" s="1348"/>
      <c r="J1492" s="1348"/>
      <c r="K1492" s="1348"/>
    </row>
    <row r="1493" spans="2:11" hidden="1">
      <c r="B1493" s="1348"/>
      <c r="C1493" s="1348"/>
      <c r="D1493" s="1348"/>
      <c r="E1493" s="1348"/>
      <c r="F1493" s="1348"/>
      <c r="G1493" s="1348"/>
      <c r="H1493" s="1348"/>
      <c r="I1493" s="1348"/>
      <c r="J1493" s="1348"/>
      <c r="K1493" s="1348"/>
    </row>
    <row r="1494" spans="2:11" hidden="1">
      <c r="B1494" s="1348"/>
      <c r="C1494" s="1348"/>
      <c r="D1494" s="1348"/>
      <c r="E1494" s="1348"/>
      <c r="F1494" s="1348"/>
      <c r="G1494" s="1348"/>
      <c r="H1494" s="1348"/>
      <c r="I1494" s="1348"/>
      <c r="J1494" s="1348"/>
      <c r="K1494" s="1348"/>
    </row>
    <row r="1495" spans="2:11" hidden="1">
      <c r="B1495" s="1348"/>
      <c r="C1495" s="1348"/>
      <c r="D1495" s="1348"/>
      <c r="E1495" s="1348"/>
      <c r="F1495" s="1348"/>
      <c r="G1495" s="1348"/>
      <c r="H1495" s="1348"/>
      <c r="I1495" s="1348"/>
      <c r="J1495" s="1348"/>
      <c r="K1495" s="1348"/>
    </row>
    <row r="1496" spans="2:11" hidden="1">
      <c r="B1496" s="1348"/>
      <c r="C1496" s="1348"/>
      <c r="D1496" s="1348"/>
      <c r="E1496" s="1348"/>
      <c r="F1496" s="1348"/>
      <c r="G1496" s="1348"/>
      <c r="H1496" s="1348"/>
      <c r="I1496" s="1348"/>
      <c r="J1496" s="1348"/>
      <c r="K1496" s="1348"/>
    </row>
    <row r="1497" spans="2:11" hidden="1">
      <c r="B1497" s="1348"/>
      <c r="C1497" s="1348"/>
      <c r="D1497" s="1348"/>
      <c r="E1497" s="1348"/>
      <c r="F1497" s="1348"/>
      <c r="G1497" s="1348"/>
      <c r="H1497" s="1348"/>
      <c r="I1497" s="1348"/>
      <c r="J1497" s="1348"/>
      <c r="K1497" s="1348"/>
    </row>
    <row r="1498" spans="2:11" hidden="1">
      <c r="B1498" s="1348"/>
      <c r="C1498" s="1348"/>
      <c r="D1498" s="1348"/>
      <c r="E1498" s="1348"/>
      <c r="F1498" s="1348"/>
      <c r="G1498" s="1348"/>
      <c r="H1498" s="1348"/>
      <c r="I1498" s="1348"/>
      <c r="J1498" s="1348"/>
      <c r="K1498" s="1348"/>
    </row>
    <row r="1499" spans="2:11" hidden="1">
      <c r="B1499" s="1348"/>
      <c r="C1499" s="1348"/>
      <c r="D1499" s="1348"/>
      <c r="E1499" s="1348"/>
      <c r="F1499" s="1348"/>
      <c r="G1499" s="1348"/>
      <c r="H1499" s="1348"/>
      <c r="I1499" s="1348"/>
      <c r="J1499" s="1348"/>
      <c r="K1499" s="1348"/>
    </row>
    <row r="1500" spans="2:11" hidden="1">
      <c r="B1500" s="1348"/>
      <c r="C1500" s="1348"/>
      <c r="D1500" s="1348"/>
      <c r="E1500" s="1348"/>
      <c r="F1500" s="1348"/>
      <c r="G1500" s="1348"/>
      <c r="H1500" s="1348"/>
      <c r="I1500" s="1348"/>
      <c r="J1500" s="1348"/>
      <c r="K1500" s="1348"/>
    </row>
    <row r="1501" spans="2:11" hidden="1">
      <c r="B1501" s="1348"/>
      <c r="C1501" s="1348"/>
      <c r="D1501" s="1348"/>
      <c r="E1501" s="1348"/>
      <c r="F1501" s="1348"/>
      <c r="G1501" s="1348"/>
      <c r="H1501" s="1348"/>
      <c r="I1501" s="1348"/>
      <c r="J1501" s="1348"/>
      <c r="K1501" s="1348"/>
    </row>
    <row r="1502" spans="2:11" hidden="1">
      <c r="B1502" s="1348"/>
      <c r="C1502" s="1348"/>
      <c r="D1502" s="1348"/>
      <c r="E1502" s="1348"/>
      <c r="F1502" s="1348"/>
      <c r="G1502" s="1348"/>
      <c r="H1502" s="1348"/>
      <c r="I1502" s="1348"/>
      <c r="J1502" s="1348"/>
      <c r="K1502" s="1348"/>
    </row>
    <row r="1503" spans="2:11" hidden="1">
      <c r="B1503" s="1348"/>
      <c r="C1503" s="1348"/>
      <c r="D1503" s="1348"/>
      <c r="E1503" s="1348"/>
      <c r="F1503" s="1348"/>
      <c r="G1503" s="1348"/>
      <c r="H1503" s="1348"/>
      <c r="I1503" s="1348"/>
      <c r="J1503" s="1348"/>
      <c r="K1503" s="1348"/>
    </row>
    <row r="1504" spans="2:11" hidden="1">
      <c r="B1504" s="1348"/>
      <c r="C1504" s="1348"/>
      <c r="D1504" s="1348"/>
      <c r="E1504" s="1348"/>
      <c r="F1504" s="1348"/>
      <c r="G1504" s="1348"/>
      <c r="H1504" s="1348"/>
      <c r="I1504" s="1348"/>
      <c r="J1504" s="1348"/>
      <c r="K1504" s="1348"/>
    </row>
    <row r="1505" spans="2:11" hidden="1">
      <c r="B1505" s="1348"/>
      <c r="C1505" s="1348"/>
      <c r="D1505" s="1348"/>
      <c r="E1505" s="1348"/>
      <c r="F1505" s="1348"/>
      <c r="G1505" s="1348"/>
      <c r="H1505" s="1348"/>
      <c r="I1505" s="1348"/>
      <c r="J1505" s="1348"/>
      <c r="K1505" s="1348"/>
    </row>
    <row r="1506" spans="2:11" hidden="1">
      <c r="B1506" s="1348"/>
      <c r="C1506" s="1348"/>
      <c r="D1506" s="1348"/>
      <c r="E1506" s="1348"/>
      <c r="F1506" s="1348"/>
      <c r="G1506" s="1348"/>
      <c r="H1506" s="1348"/>
      <c r="I1506" s="1348"/>
      <c r="J1506" s="1348"/>
      <c r="K1506" s="1348"/>
    </row>
    <row r="1507" spans="2:11" hidden="1">
      <c r="B1507" s="1348"/>
      <c r="C1507" s="1348"/>
      <c r="D1507" s="1348"/>
      <c r="E1507" s="1348"/>
      <c r="F1507" s="1348"/>
      <c r="G1507" s="1348"/>
      <c r="H1507" s="1348"/>
      <c r="I1507" s="1348"/>
      <c r="J1507" s="1348"/>
      <c r="K1507" s="1348"/>
    </row>
    <row r="1508" spans="2:11" hidden="1">
      <c r="B1508" s="1348"/>
      <c r="C1508" s="1348"/>
      <c r="D1508" s="1348"/>
      <c r="E1508" s="1348"/>
      <c r="F1508" s="1348"/>
      <c r="G1508" s="1348"/>
      <c r="H1508" s="1348"/>
      <c r="I1508" s="1348"/>
      <c r="J1508" s="1348"/>
      <c r="K1508" s="1348"/>
    </row>
    <row r="1509" spans="2:11" hidden="1">
      <c r="B1509" s="1348"/>
      <c r="C1509" s="1348"/>
      <c r="D1509" s="1348"/>
      <c r="E1509" s="1348"/>
      <c r="F1509" s="1348"/>
      <c r="G1509" s="1348"/>
      <c r="H1509" s="1348"/>
      <c r="I1509" s="1348"/>
      <c r="J1509" s="1348"/>
      <c r="K1509" s="1348"/>
    </row>
    <row r="1510" spans="2:11" hidden="1">
      <c r="B1510" s="1348"/>
      <c r="C1510" s="1348"/>
      <c r="D1510" s="1348"/>
      <c r="E1510" s="1348"/>
      <c r="F1510" s="1348"/>
      <c r="G1510" s="1348"/>
      <c r="H1510" s="1348"/>
      <c r="I1510" s="1348"/>
      <c r="J1510" s="1348"/>
      <c r="K1510" s="1348"/>
    </row>
    <row r="1511" spans="2:11" hidden="1">
      <c r="B1511" s="1348"/>
      <c r="C1511" s="1348"/>
      <c r="D1511" s="1348"/>
      <c r="E1511" s="1348"/>
      <c r="F1511" s="1348"/>
      <c r="G1511" s="1348"/>
      <c r="H1511" s="1348"/>
      <c r="I1511" s="1348"/>
      <c r="J1511" s="1348"/>
      <c r="K1511" s="1348"/>
    </row>
    <row r="1512" spans="2:11" hidden="1">
      <c r="B1512" s="1348"/>
      <c r="C1512" s="1348"/>
      <c r="D1512" s="1348"/>
      <c r="E1512" s="1348"/>
      <c r="F1512" s="1348"/>
      <c r="G1512" s="1348"/>
      <c r="H1512" s="1348"/>
      <c r="I1512" s="1348"/>
      <c r="J1512" s="1348"/>
      <c r="K1512" s="1348"/>
    </row>
    <row r="1513" spans="2:11" hidden="1">
      <c r="B1513" s="1348"/>
      <c r="C1513" s="1348"/>
      <c r="D1513" s="1348"/>
      <c r="E1513" s="1348"/>
      <c r="F1513" s="1348"/>
      <c r="G1513" s="1348"/>
      <c r="H1513" s="1348"/>
      <c r="I1513" s="1348"/>
      <c r="J1513" s="1348"/>
      <c r="K1513" s="1348"/>
    </row>
    <row r="1514" spans="2:11" hidden="1">
      <c r="B1514" s="1348"/>
      <c r="C1514" s="1348"/>
      <c r="D1514" s="1348"/>
      <c r="E1514" s="1348"/>
      <c r="F1514" s="1348"/>
      <c r="G1514" s="1348"/>
      <c r="H1514" s="1348"/>
      <c r="I1514" s="1348"/>
      <c r="J1514" s="1348"/>
      <c r="K1514" s="1348"/>
    </row>
    <row r="1515" spans="2:11" hidden="1">
      <c r="B1515" s="1348"/>
      <c r="C1515" s="1348"/>
      <c r="D1515" s="1348"/>
      <c r="E1515" s="1348"/>
      <c r="F1515" s="1348"/>
      <c r="G1515" s="1348"/>
      <c r="H1515" s="1348"/>
      <c r="I1515" s="1348"/>
      <c r="J1515" s="1348"/>
      <c r="K1515" s="1348"/>
    </row>
    <row r="1516" spans="2:11" hidden="1">
      <c r="B1516" s="1348"/>
      <c r="C1516" s="1348"/>
      <c r="D1516" s="1348"/>
      <c r="E1516" s="1348"/>
      <c r="F1516" s="1348"/>
      <c r="G1516" s="1348"/>
      <c r="H1516" s="1348"/>
      <c r="I1516" s="1348"/>
      <c r="J1516" s="1348"/>
      <c r="K1516" s="1348"/>
    </row>
    <row r="1517" spans="2:11" hidden="1">
      <c r="B1517" s="1348"/>
      <c r="C1517" s="1348"/>
      <c r="D1517" s="1348"/>
      <c r="E1517" s="1348"/>
      <c r="F1517" s="1348"/>
      <c r="G1517" s="1348"/>
      <c r="H1517" s="1348"/>
      <c r="I1517" s="1348"/>
      <c r="J1517" s="1348"/>
      <c r="K1517" s="1348"/>
    </row>
    <row r="1518" spans="2:11" hidden="1">
      <c r="B1518" s="1348"/>
      <c r="C1518" s="1348"/>
      <c r="D1518" s="1348"/>
      <c r="E1518" s="1348"/>
      <c r="F1518" s="1348"/>
      <c r="G1518" s="1348"/>
      <c r="H1518" s="1348"/>
      <c r="I1518" s="1348"/>
      <c r="J1518" s="1348"/>
      <c r="K1518" s="1348"/>
    </row>
    <row r="1519" spans="2:11" hidden="1">
      <c r="B1519" s="1348"/>
      <c r="C1519" s="1348"/>
      <c r="D1519" s="1348"/>
      <c r="E1519" s="1348"/>
      <c r="F1519" s="1348"/>
      <c r="G1519" s="1348"/>
      <c r="H1519" s="1348"/>
      <c r="I1519" s="1348"/>
      <c r="J1519" s="1348"/>
      <c r="K1519" s="1348"/>
    </row>
    <row r="1520" spans="2:11" hidden="1">
      <c r="B1520" s="1348"/>
      <c r="C1520" s="1348"/>
      <c r="D1520" s="1348"/>
      <c r="E1520" s="1348"/>
      <c r="F1520" s="1348"/>
      <c r="G1520" s="1348"/>
      <c r="H1520" s="1348"/>
      <c r="I1520" s="1348"/>
      <c r="J1520" s="1348"/>
      <c r="K1520" s="1348"/>
    </row>
    <row r="1521" spans="2:11" hidden="1">
      <c r="B1521" s="1348"/>
      <c r="C1521" s="1348"/>
      <c r="D1521" s="1348"/>
      <c r="E1521" s="1348"/>
      <c r="F1521" s="1348"/>
      <c r="G1521" s="1348"/>
      <c r="H1521" s="1348"/>
      <c r="I1521" s="1348"/>
      <c r="J1521" s="1348"/>
      <c r="K1521" s="1348"/>
    </row>
    <row r="1522" spans="2:11" hidden="1">
      <c r="B1522" s="1348"/>
      <c r="C1522" s="1348"/>
      <c r="D1522" s="1348"/>
      <c r="E1522" s="1348"/>
      <c r="F1522" s="1348"/>
      <c r="G1522" s="1348"/>
      <c r="H1522" s="1348"/>
      <c r="I1522" s="1348"/>
      <c r="J1522" s="1348"/>
      <c r="K1522" s="1348"/>
    </row>
    <row r="1523" spans="2:11" hidden="1">
      <c r="B1523" s="1348"/>
      <c r="C1523" s="1348"/>
      <c r="D1523" s="1348"/>
      <c r="E1523" s="1348"/>
      <c r="F1523" s="1348"/>
      <c r="G1523" s="1348"/>
      <c r="H1523" s="1348"/>
      <c r="I1523" s="1348"/>
      <c r="J1523" s="1348"/>
      <c r="K1523" s="1348"/>
    </row>
    <row r="1524" spans="2:11" hidden="1">
      <c r="B1524" s="1348"/>
      <c r="C1524" s="1348"/>
      <c r="D1524" s="1348"/>
      <c r="E1524" s="1348"/>
      <c r="F1524" s="1348"/>
      <c r="G1524" s="1348"/>
      <c r="H1524" s="1348"/>
      <c r="I1524" s="1348"/>
      <c r="J1524" s="1348"/>
      <c r="K1524" s="1348"/>
    </row>
    <row r="1525" spans="2:11" hidden="1">
      <c r="B1525" s="1348"/>
      <c r="C1525" s="1348"/>
      <c r="D1525" s="1348"/>
      <c r="E1525" s="1348"/>
      <c r="F1525" s="1348"/>
      <c r="G1525" s="1348"/>
      <c r="H1525" s="1348"/>
      <c r="I1525" s="1348"/>
      <c r="J1525" s="1348"/>
      <c r="K1525" s="1348"/>
    </row>
    <row r="1526" spans="2:11" hidden="1">
      <c r="B1526" s="1348"/>
      <c r="C1526" s="1348"/>
      <c r="D1526" s="1348"/>
      <c r="E1526" s="1348"/>
      <c r="F1526" s="1348"/>
      <c r="G1526" s="1348"/>
      <c r="H1526" s="1348"/>
      <c r="I1526" s="1348"/>
      <c r="J1526" s="1348"/>
      <c r="K1526" s="1348"/>
    </row>
    <row r="1527" spans="2:11" hidden="1">
      <c r="B1527" s="1348"/>
      <c r="C1527" s="1348"/>
      <c r="D1527" s="1348"/>
      <c r="E1527" s="1348"/>
      <c r="F1527" s="1348"/>
      <c r="G1527" s="1348"/>
      <c r="H1527" s="1348"/>
      <c r="I1527" s="1348"/>
      <c r="J1527" s="1348"/>
      <c r="K1527" s="1348"/>
    </row>
    <row r="1528" spans="2:11" hidden="1">
      <c r="B1528" s="1348"/>
      <c r="C1528" s="1348"/>
      <c r="D1528" s="1348"/>
      <c r="E1528" s="1348"/>
      <c r="F1528" s="1348"/>
      <c r="G1528" s="1348"/>
      <c r="H1528" s="1348"/>
      <c r="I1528" s="1348"/>
      <c r="J1528" s="1348"/>
      <c r="K1528" s="1348"/>
    </row>
    <row r="1529" spans="2:11" hidden="1">
      <c r="B1529" s="1348"/>
      <c r="C1529" s="1348"/>
      <c r="D1529" s="1348"/>
      <c r="E1529" s="1348"/>
      <c r="F1529" s="1348"/>
      <c r="G1529" s="1348"/>
      <c r="H1529" s="1348"/>
      <c r="I1529" s="1348"/>
      <c r="J1529" s="1348"/>
      <c r="K1529" s="1348"/>
    </row>
    <row r="1530" spans="2:11" hidden="1">
      <c r="B1530" s="1348"/>
      <c r="C1530" s="1348"/>
      <c r="D1530" s="1348"/>
      <c r="E1530" s="1348"/>
      <c r="F1530" s="1348"/>
      <c r="G1530" s="1348"/>
      <c r="H1530" s="1348"/>
      <c r="I1530" s="1348"/>
      <c r="J1530" s="1348"/>
      <c r="K1530" s="1348"/>
    </row>
    <row r="1531" spans="2:11" hidden="1">
      <c r="B1531" s="1348"/>
      <c r="C1531" s="1348"/>
      <c r="D1531" s="1348"/>
      <c r="E1531" s="1348"/>
      <c r="F1531" s="1348"/>
      <c r="G1531" s="1348"/>
      <c r="H1531" s="1348"/>
      <c r="I1531" s="1348"/>
      <c r="J1531" s="1348"/>
      <c r="K1531" s="1348"/>
    </row>
    <row r="1532" spans="2:11" hidden="1">
      <c r="B1532" s="1348"/>
      <c r="C1532" s="1348"/>
      <c r="D1532" s="1348"/>
      <c r="E1532" s="1348"/>
      <c r="F1532" s="1348"/>
      <c r="G1532" s="1348"/>
      <c r="H1532" s="1348"/>
      <c r="I1532" s="1348"/>
      <c r="J1532" s="1348"/>
      <c r="K1532" s="1348"/>
    </row>
    <row r="1533" spans="2:11" hidden="1">
      <c r="B1533" s="1348"/>
      <c r="C1533" s="1348"/>
      <c r="D1533" s="1348"/>
      <c r="E1533" s="1348"/>
      <c r="F1533" s="1348"/>
      <c r="G1533" s="1348"/>
      <c r="H1533" s="1348"/>
      <c r="I1533" s="1348"/>
      <c r="J1533" s="1348"/>
      <c r="K1533" s="1348"/>
    </row>
    <row r="1534" spans="2:11" hidden="1">
      <c r="B1534" s="1348"/>
      <c r="C1534" s="1348"/>
      <c r="D1534" s="1348"/>
      <c r="E1534" s="1348"/>
      <c r="F1534" s="1348"/>
      <c r="G1534" s="1348"/>
      <c r="H1534" s="1348"/>
      <c r="I1534" s="1348"/>
      <c r="J1534" s="1348"/>
      <c r="K1534" s="1348"/>
    </row>
    <row r="1535" spans="2:11" hidden="1">
      <c r="B1535" s="1348"/>
      <c r="C1535" s="1348"/>
      <c r="D1535" s="1348"/>
      <c r="E1535" s="1348"/>
      <c r="F1535" s="1348"/>
      <c r="G1535" s="1348"/>
      <c r="H1535" s="1348"/>
      <c r="I1535" s="1348"/>
      <c r="J1535" s="1348"/>
      <c r="K1535" s="1348"/>
    </row>
    <row r="1536" spans="2:11" hidden="1">
      <c r="B1536" s="1348"/>
      <c r="C1536" s="1348"/>
      <c r="D1536" s="1348"/>
      <c r="E1536" s="1348"/>
      <c r="F1536" s="1348"/>
      <c r="G1536" s="1348"/>
      <c r="H1536" s="1348"/>
      <c r="I1536" s="1348"/>
      <c r="J1536" s="1348"/>
      <c r="K1536" s="1348"/>
    </row>
    <row r="1537" spans="2:11" hidden="1">
      <c r="B1537" s="1348"/>
      <c r="C1537" s="1348"/>
      <c r="D1537" s="1348"/>
      <c r="E1537" s="1348"/>
      <c r="F1537" s="1348"/>
      <c r="G1537" s="1348"/>
      <c r="H1537" s="1348"/>
      <c r="I1537" s="1348"/>
      <c r="J1537" s="1348"/>
      <c r="K1537" s="1348"/>
    </row>
    <row r="1538" spans="2:11" hidden="1">
      <c r="B1538" s="1348"/>
      <c r="C1538" s="1348"/>
      <c r="D1538" s="1348"/>
      <c r="E1538" s="1348"/>
      <c r="F1538" s="1348"/>
      <c r="G1538" s="1348"/>
      <c r="H1538" s="1348"/>
      <c r="I1538" s="1348"/>
      <c r="J1538" s="1348"/>
      <c r="K1538" s="1348"/>
    </row>
    <row r="1539" spans="2:11" hidden="1">
      <c r="B1539" s="1348"/>
      <c r="C1539" s="1348"/>
      <c r="D1539" s="1348"/>
      <c r="E1539" s="1348"/>
      <c r="F1539" s="1348"/>
      <c r="G1539" s="1348"/>
      <c r="H1539" s="1348"/>
      <c r="I1539" s="1348"/>
      <c r="J1539" s="1348"/>
      <c r="K1539" s="1348"/>
    </row>
    <row r="1540" spans="2:11" hidden="1">
      <c r="B1540" s="1348"/>
      <c r="C1540" s="1348"/>
      <c r="D1540" s="1348"/>
      <c r="E1540" s="1348"/>
      <c r="F1540" s="1348"/>
      <c r="G1540" s="1348"/>
      <c r="H1540" s="1348"/>
      <c r="I1540" s="1348"/>
      <c r="J1540" s="1348"/>
      <c r="K1540" s="1348"/>
    </row>
    <row r="1541" spans="2:11" hidden="1">
      <c r="B1541" s="1348"/>
      <c r="C1541" s="1348"/>
      <c r="D1541" s="1348"/>
      <c r="E1541" s="1348"/>
      <c r="F1541" s="1348"/>
      <c r="G1541" s="1348"/>
      <c r="H1541" s="1348"/>
      <c r="I1541" s="1348"/>
      <c r="J1541" s="1348"/>
      <c r="K1541" s="1348"/>
    </row>
    <row r="1542" spans="2:11" hidden="1">
      <c r="B1542" s="1348"/>
      <c r="C1542" s="1348"/>
      <c r="D1542" s="1348"/>
      <c r="E1542" s="1348"/>
      <c r="F1542" s="1348"/>
      <c r="G1542" s="1348"/>
      <c r="H1542" s="1348"/>
      <c r="I1542" s="1348"/>
      <c r="J1542" s="1348"/>
      <c r="K1542" s="1348"/>
    </row>
    <row r="1543" spans="2:11" hidden="1">
      <c r="B1543" s="1348"/>
      <c r="C1543" s="1348"/>
      <c r="D1543" s="1348"/>
      <c r="E1543" s="1348"/>
      <c r="F1543" s="1348"/>
      <c r="G1543" s="1348"/>
      <c r="H1543" s="1348"/>
      <c r="I1543" s="1348"/>
      <c r="J1543" s="1348"/>
      <c r="K1543" s="1348"/>
    </row>
    <row r="1544" spans="2:11" hidden="1">
      <c r="B1544" s="1348"/>
      <c r="C1544" s="1348"/>
      <c r="D1544" s="1348"/>
      <c r="E1544" s="1348"/>
      <c r="F1544" s="1348"/>
      <c r="G1544" s="1348"/>
      <c r="H1544" s="1348"/>
      <c r="I1544" s="1348"/>
      <c r="J1544" s="1348"/>
      <c r="K1544" s="1348"/>
    </row>
    <row r="1545" spans="2:11" hidden="1">
      <c r="B1545" s="1348"/>
      <c r="C1545" s="1348"/>
      <c r="D1545" s="1348"/>
      <c r="E1545" s="1348"/>
      <c r="F1545" s="1348"/>
      <c r="G1545" s="1348"/>
      <c r="H1545" s="1348"/>
      <c r="I1545" s="1348"/>
      <c r="J1545" s="1348"/>
      <c r="K1545" s="1348"/>
    </row>
    <row r="1546" spans="2:11" hidden="1">
      <c r="B1546" s="1348"/>
      <c r="C1546" s="1348"/>
      <c r="D1546" s="1348"/>
      <c r="E1546" s="1348"/>
      <c r="F1546" s="1348"/>
      <c r="G1546" s="1348"/>
      <c r="H1546" s="1348"/>
      <c r="I1546" s="1348"/>
      <c r="J1546" s="1348"/>
      <c r="K1546" s="1348"/>
    </row>
    <row r="1547" spans="2:11" hidden="1">
      <c r="B1547" s="1348"/>
      <c r="C1547" s="1348"/>
      <c r="D1547" s="1348"/>
      <c r="E1547" s="1348"/>
      <c r="F1547" s="1348"/>
      <c r="G1547" s="1348"/>
      <c r="H1547" s="1348"/>
      <c r="I1547" s="1348"/>
      <c r="J1547" s="1348"/>
      <c r="K1547" s="1348"/>
    </row>
    <row r="1548" spans="2:11" hidden="1">
      <c r="B1548" s="1348"/>
      <c r="C1548" s="1348"/>
      <c r="D1548" s="1348"/>
      <c r="E1548" s="1348"/>
      <c r="F1548" s="1348"/>
      <c r="G1548" s="1348"/>
      <c r="H1548" s="1348"/>
      <c r="I1548" s="1348"/>
      <c r="J1548" s="1348"/>
      <c r="K1548" s="1348"/>
    </row>
    <row r="1549" spans="2:11" hidden="1">
      <c r="B1549" s="1348"/>
      <c r="C1549" s="1348"/>
      <c r="D1549" s="1348"/>
      <c r="E1549" s="1348"/>
      <c r="F1549" s="1348"/>
      <c r="G1549" s="1348"/>
      <c r="H1549" s="1348"/>
      <c r="I1549" s="1348"/>
      <c r="J1549" s="1348"/>
      <c r="K1549" s="1348"/>
    </row>
    <row r="1550" spans="2:11" hidden="1">
      <c r="B1550" s="1348"/>
      <c r="C1550" s="1348"/>
      <c r="D1550" s="1348"/>
      <c r="E1550" s="1348"/>
      <c r="F1550" s="1348"/>
      <c r="G1550" s="1348"/>
      <c r="H1550" s="1348"/>
      <c r="I1550" s="1348"/>
      <c r="J1550" s="1348"/>
      <c r="K1550" s="1348"/>
    </row>
    <row r="1551" spans="2:11" hidden="1">
      <c r="B1551" s="1348"/>
      <c r="C1551" s="1348"/>
      <c r="D1551" s="1348"/>
      <c r="E1551" s="1348"/>
      <c r="F1551" s="1348"/>
      <c r="G1551" s="1348"/>
      <c r="H1551" s="1348"/>
      <c r="I1551" s="1348"/>
      <c r="J1551" s="1348"/>
      <c r="K1551" s="1348"/>
    </row>
    <row r="1552" spans="2:11" hidden="1">
      <c r="B1552" s="1348"/>
      <c r="C1552" s="1348"/>
      <c r="D1552" s="1348"/>
      <c r="E1552" s="1348"/>
      <c r="F1552" s="1348"/>
      <c r="G1552" s="1348"/>
      <c r="H1552" s="1348"/>
      <c r="I1552" s="1348"/>
      <c r="J1552" s="1348"/>
      <c r="K1552" s="1348"/>
    </row>
    <row r="1553" spans="2:11" hidden="1">
      <c r="B1553" s="1348"/>
      <c r="C1553" s="1348"/>
      <c r="D1553" s="1348"/>
      <c r="E1553" s="1348"/>
      <c r="F1553" s="1348"/>
      <c r="G1553" s="1348"/>
      <c r="H1553" s="1348"/>
      <c r="I1553" s="1348"/>
      <c r="J1553" s="1348"/>
      <c r="K1553" s="1348"/>
    </row>
    <row r="1554" spans="2:11" hidden="1">
      <c r="B1554" s="1348"/>
      <c r="C1554" s="1348"/>
      <c r="D1554" s="1348"/>
      <c r="E1554" s="1348"/>
      <c r="F1554" s="1348"/>
      <c r="G1554" s="1348"/>
      <c r="H1554" s="1348"/>
      <c r="I1554" s="1348"/>
      <c r="J1554" s="1348"/>
      <c r="K1554" s="1348"/>
    </row>
    <row r="1555" spans="2:11" hidden="1">
      <c r="B1555" s="1348"/>
      <c r="C1555" s="1348"/>
      <c r="D1555" s="1348"/>
      <c r="E1555" s="1348"/>
      <c r="F1555" s="1348"/>
      <c r="G1555" s="1348"/>
      <c r="H1555" s="1348"/>
      <c r="I1555" s="1348"/>
      <c r="J1555" s="1348"/>
      <c r="K1555" s="1348"/>
    </row>
    <row r="1556" spans="2:11" hidden="1">
      <c r="B1556" s="1348"/>
      <c r="C1556" s="1348"/>
      <c r="D1556" s="1348"/>
      <c r="E1556" s="1348"/>
      <c r="F1556" s="1348"/>
      <c r="G1556" s="1348"/>
      <c r="H1556" s="1348"/>
      <c r="I1556" s="1348"/>
      <c r="J1556" s="1348"/>
      <c r="K1556" s="1348"/>
    </row>
    <row r="1557" spans="2:11" hidden="1">
      <c r="B1557" s="1348"/>
      <c r="C1557" s="1348"/>
      <c r="D1557" s="1348"/>
      <c r="E1557" s="1348"/>
      <c r="F1557" s="1348"/>
      <c r="G1557" s="1348"/>
      <c r="H1557" s="1348"/>
      <c r="I1557" s="1348"/>
      <c r="J1557" s="1348"/>
      <c r="K1557" s="1348"/>
    </row>
    <row r="1558" spans="2:11" hidden="1">
      <c r="B1558" s="1348"/>
      <c r="C1558" s="1348"/>
      <c r="D1558" s="1348"/>
      <c r="E1558" s="1348"/>
      <c r="F1558" s="1348"/>
      <c r="G1558" s="1348"/>
      <c r="H1558" s="1348"/>
      <c r="I1558" s="1348"/>
      <c r="J1558" s="1348"/>
      <c r="K1558" s="1348"/>
    </row>
    <row r="1559" spans="2:11" hidden="1">
      <c r="B1559" s="1348"/>
      <c r="C1559" s="1348"/>
      <c r="D1559" s="1348"/>
      <c r="E1559" s="1348"/>
      <c r="F1559" s="1348"/>
      <c r="G1559" s="1348"/>
      <c r="H1559" s="1348"/>
      <c r="I1559" s="1348"/>
      <c r="J1559" s="1348"/>
      <c r="K1559" s="1348"/>
    </row>
    <row r="1560" spans="2:11" hidden="1">
      <c r="B1560" s="1348"/>
      <c r="C1560" s="1348"/>
      <c r="D1560" s="1348"/>
      <c r="E1560" s="1348"/>
      <c r="F1560" s="1348"/>
      <c r="G1560" s="1348"/>
      <c r="H1560" s="1348"/>
      <c r="I1560" s="1348"/>
      <c r="J1560" s="1348"/>
      <c r="K1560" s="1348"/>
    </row>
    <row r="1561" spans="2:11" hidden="1">
      <c r="B1561" s="1348"/>
      <c r="C1561" s="1348"/>
      <c r="D1561" s="1348"/>
      <c r="E1561" s="1348"/>
      <c r="F1561" s="1348"/>
      <c r="G1561" s="1348"/>
      <c r="H1561" s="1348"/>
      <c r="I1561" s="1348"/>
      <c r="J1561" s="1348"/>
      <c r="K1561" s="1348"/>
    </row>
    <row r="1562" spans="2:11" hidden="1">
      <c r="B1562" s="1348"/>
      <c r="C1562" s="1348"/>
      <c r="D1562" s="1348"/>
      <c r="E1562" s="1348"/>
      <c r="F1562" s="1348"/>
      <c r="G1562" s="1348"/>
      <c r="H1562" s="1348"/>
      <c r="I1562" s="1348"/>
      <c r="J1562" s="1348"/>
      <c r="K1562" s="1348"/>
    </row>
    <row r="1563" spans="2:11" hidden="1">
      <c r="B1563" s="1348"/>
      <c r="C1563" s="1348"/>
      <c r="D1563" s="1348"/>
      <c r="E1563" s="1348"/>
      <c r="F1563" s="1348"/>
      <c r="G1563" s="1348"/>
      <c r="H1563" s="1348"/>
      <c r="I1563" s="1348"/>
      <c r="J1563" s="1348"/>
      <c r="K1563" s="1348"/>
    </row>
    <row r="1564" spans="2:11" hidden="1">
      <c r="B1564" s="1348"/>
      <c r="C1564" s="1348"/>
      <c r="D1564" s="1348"/>
      <c r="E1564" s="1348"/>
      <c r="F1564" s="1348"/>
      <c r="G1564" s="1348"/>
      <c r="H1564" s="1348"/>
      <c r="I1564" s="1348"/>
      <c r="J1564" s="1348"/>
      <c r="K1564" s="1348"/>
    </row>
    <row r="1565" spans="2:11" hidden="1">
      <c r="B1565" s="1348"/>
      <c r="C1565" s="1348"/>
      <c r="D1565" s="1348"/>
      <c r="E1565" s="1348"/>
      <c r="F1565" s="1348"/>
      <c r="G1565" s="1348"/>
      <c r="H1565" s="1348"/>
      <c r="I1565" s="1348"/>
      <c r="J1565" s="1348"/>
      <c r="K1565" s="1348"/>
    </row>
    <row r="1566" spans="2:11" hidden="1">
      <c r="B1566" s="1348"/>
      <c r="C1566" s="1348"/>
      <c r="D1566" s="1348"/>
      <c r="E1566" s="1348"/>
      <c r="F1566" s="1348"/>
      <c r="G1566" s="1348"/>
      <c r="H1566" s="1348"/>
      <c r="I1566" s="1348"/>
      <c r="J1566" s="1348"/>
      <c r="K1566" s="1348"/>
    </row>
    <row r="1567" spans="2:11" hidden="1">
      <c r="B1567" s="1348"/>
      <c r="C1567" s="1348"/>
      <c r="D1567" s="1348"/>
      <c r="E1567" s="1348"/>
      <c r="F1567" s="1348"/>
      <c r="G1567" s="1348"/>
      <c r="H1567" s="1348"/>
      <c r="I1567" s="1348"/>
      <c r="J1567" s="1348"/>
      <c r="K1567" s="1348"/>
    </row>
    <row r="1568" spans="2:11" hidden="1">
      <c r="B1568" s="1348"/>
      <c r="C1568" s="1348"/>
      <c r="D1568" s="1348"/>
      <c r="E1568" s="1348"/>
      <c r="F1568" s="1348"/>
      <c r="G1568" s="1348"/>
      <c r="H1568" s="1348"/>
      <c r="I1568" s="1348"/>
      <c r="J1568" s="1348"/>
      <c r="K1568" s="1348"/>
    </row>
    <row r="1569" spans="2:11" hidden="1">
      <c r="B1569" s="1348"/>
      <c r="C1569" s="1348"/>
      <c r="D1569" s="1348"/>
      <c r="E1569" s="1348"/>
      <c r="F1569" s="1348"/>
      <c r="G1569" s="1348"/>
      <c r="H1569" s="1348"/>
      <c r="I1569" s="1348"/>
      <c r="J1569" s="1348"/>
      <c r="K1569" s="1348"/>
    </row>
    <row r="1570" spans="2:11" hidden="1">
      <c r="B1570" s="1348"/>
      <c r="C1570" s="1348"/>
      <c r="D1570" s="1348"/>
      <c r="E1570" s="1348"/>
      <c r="F1570" s="1348"/>
      <c r="G1570" s="1348"/>
      <c r="H1570" s="1348"/>
      <c r="I1570" s="1348"/>
      <c r="J1570" s="1348"/>
      <c r="K1570" s="1348"/>
    </row>
    <row r="1571" spans="2:11" hidden="1">
      <c r="B1571" s="1348"/>
      <c r="C1571" s="1348"/>
      <c r="D1571" s="1348"/>
      <c r="E1571" s="1348"/>
      <c r="F1571" s="1348"/>
      <c r="G1571" s="1348"/>
      <c r="H1571" s="1348"/>
      <c r="I1571" s="1348"/>
      <c r="J1571" s="1348"/>
      <c r="K1571" s="1348"/>
    </row>
    <row r="1572" spans="2:11" hidden="1">
      <c r="B1572" s="1348"/>
      <c r="C1572" s="1348"/>
      <c r="D1572" s="1348"/>
      <c r="E1572" s="1348"/>
      <c r="F1572" s="1348"/>
      <c r="G1572" s="1348"/>
      <c r="H1572" s="1348"/>
      <c r="I1572" s="1348"/>
      <c r="J1572" s="1348"/>
      <c r="K1572" s="1348"/>
    </row>
    <row r="1573" spans="2:11" hidden="1">
      <c r="B1573" s="1348"/>
      <c r="C1573" s="1348"/>
      <c r="D1573" s="1348"/>
      <c r="E1573" s="1348"/>
      <c r="F1573" s="1348"/>
      <c r="G1573" s="1348"/>
      <c r="H1573" s="1348"/>
      <c r="I1573" s="1348"/>
      <c r="J1573" s="1348"/>
      <c r="K1573" s="1348"/>
    </row>
    <row r="1574" spans="2:11" hidden="1">
      <c r="B1574" s="1348"/>
      <c r="C1574" s="1348"/>
      <c r="D1574" s="1348"/>
      <c r="E1574" s="1348"/>
      <c r="F1574" s="1348"/>
      <c r="G1574" s="1348"/>
      <c r="H1574" s="1348"/>
      <c r="I1574" s="1348"/>
      <c r="J1574" s="1348"/>
      <c r="K1574" s="1348"/>
    </row>
    <row r="1575" spans="2:11" hidden="1">
      <c r="B1575" s="1348"/>
      <c r="C1575" s="1348"/>
      <c r="D1575" s="1348"/>
      <c r="E1575" s="1348"/>
      <c r="F1575" s="1348"/>
      <c r="G1575" s="1348"/>
      <c r="H1575" s="1348"/>
      <c r="I1575" s="1348"/>
      <c r="J1575" s="1348"/>
      <c r="K1575" s="1348"/>
    </row>
    <row r="1576" spans="2:11" hidden="1">
      <c r="B1576" s="1348"/>
      <c r="C1576" s="1348"/>
      <c r="D1576" s="1348"/>
      <c r="E1576" s="1348"/>
      <c r="F1576" s="1348"/>
      <c r="G1576" s="1348"/>
      <c r="H1576" s="1348"/>
      <c r="I1576" s="1348"/>
      <c r="J1576" s="1348"/>
      <c r="K1576" s="1348"/>
    </row>
    <row r="1577" spans="2:11" hidden="1">
      <c r="B1577" s="1348"/>
      <c r="C1577" s="1348"/>
      <c r="D1577" s="1348"/>
      <c r="E1577" s="1348"/>
      <c r="F1577" s="1348"/>
      <c r="G1577" s="1348"/>
      <c r="H1577" s="1348"/>
      <c r="I1577" s="1348"/>
      <c r="J1577" s="1348"/>
      <c r="K1577" s="1348"/>
    </row>
    <row r="1578" spans="2:11" hidden="1">
      <c r="B1578" s="1348"/>
      <c r="C1578" s="1348"/>
      <c r="D1578" s="1348"/>
      <c r="E1578" s="1348"/>
      <c r="F1578" s="1348"/>
      <c r="G1578" s="1348"/>
      <c r="H1578" s="1348"/>
      <c r="I1578" s="1348"/>
      <c r="J1578" s="1348"/>
      <c r="K1578" s="1348"/>
    </row>
    <row r="1579" spans="2:11" hidden="1">
      <c r="B1579" s="1348"/>
      <c r="C1579" s="1348"/>
      <c r="D1579" s="1348"/>
      <c r="E1579" s="1348"/>
      <c r="F1579" s="1348"/>
      <c r="G1579" s="1348"/>
      <c r="H1579" s="1348"/>
      <c r="I1579" s="1348"/>
      <c r="J1579" s="1348"/>
      <c r="K1579" s="1348"/>
    </row>
    <row r="1580" spans="2:11" hidden="1">
      <c r="B1580" s="1348"/>
      <c r="C1580" s="1348"/>
      <c r="D1580" s="1348"/>
      <c r="E1580" s="1348"/>
      <c r="F1580" s="1348"/>
      <c r="G1580" s="1348"/>
      <c r="H1580" s="1348"/>
      <c r="I1580" s="1348"/>
      <c r="J1580" s="1348"/>
      <c r="K1580" s="1348"/>
    </row>
    <row r="1581" spans="2:11" hidden="1">
      <c r="B1581" s="1348"/>
      <c r="C1581" s="1348"/>
      <c r="D1581" s="1348"/>
      <c r="E1581" s="1348"/>
      <c r="F1581" s="1348"/>
      <c r="G1581" s="1348"/>
      <c r="H1581" s="1348"/>
      <c r="I1581" s="1348"/>
      <c r="J1581" s="1348"/>
      <c r="K1581" s="1348"/>
    </row>
    <row r="1582" spans="2:11" hidden="1">
      <c r="B1582" s="1348"/>
      <c r="C1582" s="1348"/>
      <c r="D1582" s="1348"/>
      <c r="E1582" s="1348"/>
      <c r="F1582" s="1348"/>
      <c r="G1582" s="1348"/>
      <c r="H1582" s="1348"/>
      <c r="I1582" s="1348"/>
      <c r="J1582" s="1348"/>
      <c r="K1582" s="1348"/>
    </row>
    <row r="1583" spans="2:11" hidden="1">
      <c r="B1583" s="1348"/>
      <c r="C1583" s="1348"/>
      <c r="D1583" s="1348"/>
      <c r="E1583" s="1348"/>
      <c r="F1583" s="1348"/>
      <c r="G1583" s="1348"/>
      <c r="H1583" s="1348"/>
      <c r="I1583" s="1348"/>
      <c r="J1583" s="1348"/>
      <c r="K1583" s="1348"/>
    </row>
    <row r="1584" spans="2:11" hidden="1">
      <c r="B1584" s="1348"/>
      <c r="C1584" s="1348"/>
      <c r="D1584" s="1348"/>
      <c r="E1584" s="1348"/>
      <c r="F1584" s="1348"/>
      <c r="G1584" s="1348"/>
      <c r="H1584" s="1348"/>
      <c r="I1584" s="1348"/>
      <c r="J1584" s="1348"/>
      <c r="K1584" s="1348"/>
    </row>
    <row r="1585" spans="2:11" hidden="1">
      <c r="B1585" s="1348"/>
      <c r="C1585" s="1348"/>
      <c r="D1585" s="1348"/>
      <c r="E1585" s="1348"/>
      <c r="F1585" s="1348"/>
      <c r="G1585" s="1348"/>
      <c r="H1585" s="1348"/>
      <c r="I1585" s="1348"/>
      <c r="J1585" s="1348"/>
      <c r="K1585" s="1348"/>
    </row>
    <row r="1586" spans="2:11" hidden="1">
      <c r="B1586" s="1348"/>
      <c r="C1586" s="1348"/>
      <c r="D1586" s="1348"/>
      <c r="E1586" s="1348"/>
      <c r="F1586" s="1348"/>
      <c r="G1586" s="1348"/>
      <c r="H1586" s="1348"/>
      <c r="I1586" s="1348"/>
      <c r="J1586" s="1348"/>
      <c r="K1586" s="1348"/>
    </row>
    <row r="1587" spans="2:11" hidden="1">
      <c r="B1587" s="1348"/>
      <c r="C1587" s="1348"/>
      <c r="D1587" s="1348"/>
      <c r="E1587" s="1348"/>
      <c r="F1587" s="1348"/>
      <c r="G1587" s="1348"/>
      <c r="H1587" s="1348"/>
      <c r="I1587" s="1348"/>
      <c r="J1587" s="1348"/>
      <c r="K1587" s="1348"/>
    </row>
    <row r="1588" spans="2:11" hidden="1">
      <c r="B1588" s="1348"/>
      <c r="C1588" s="1348"/>
      <c r="D1588" s="1348"/>
      <c r="E1588" s="1348"/>
      <c r="F1588" s="1348"/>
      <c r="G1588" s="1348"/>
      <c r="H1588" s="1348"/>
      <c r="I1588" s="1348"/>
      <c r="J1588" s="1348"/>
      <c r="K1588" s="1348"/>
    </row>
    <row r="1589" spans="2:11" hidden="1">
      <c r="B1589" s="1348"/>
      <c r="C1589" s="1348"/>
      <c r="D1589" s="1348"/>
      <c r="E1589" s="1348"/>
      <c r="F1589" s="1348"/>
      <c r="G1589" s="1348"/>
      <c r="H1589" s="1348"/>
      <c r="I1589" s="1348"/>
      <c r="J1589" s="1348"/>
      <c r="K1589" s="1348"/>
    </row>
    <row r="1590" spans="2:11" hidden="1">
      <c r="B1590" s="1348"/>
      <c r="C1590" s="1348"/>
      <c r="D1590" s="1348"/>
      <c r="E1590" s="1348"/>
      <c r="F1590" s="1348"/>
      <c r="G1590" s="1348"/>
      <c r="H1590" s="1348"/>
      <c r="I1590" s="1348"/>
      <c r="J1590" s="1348"/>
      <c r="K1590" s="1348"/>
    </row>
    <row r="1591" spans="2:11" hidden="1">
      <c r="B1591" s="1348"/>
      <c r="C1591" s="1348"/>
      <c r="D1591" s="1348"/>
      <c r="E1591" s="1348"/>
      <c r="F1591" s="1348"/>
      <c r="G1591" s="1348"/>
      <c r="H1591" s="1348"/>
      <c r="I1591" s="1348"/>
      <c r="J1591" s="1348"/>
      <c r="K1591" s="1348"/>
    </row>
    <row r="1592" spans="2:11" hidden="1">
      <c r="B1592" s="1348"/>
      <c r="C1592" s="1348"/>
      <c r="D1592" s="1348"/>
      <c r="E1592" s="1348"/>
      <c r="F1592" s="1348"/>
      <c r="G1592" s="1348"/>
      <c r="H1592" s="1348"/>
      <c r="I1592" s="1348"/>
      <c r="J1592" s="1348"/>
      <c r="K1592" s="1348"/>
    </row>
    <row r="1593" spans="2:11" hidden="1">
      <c r="B1593" s="1348"/>
      <c r="C1593" s="1348"/>
      <c r="D1593" s="1348"/>
      <c r="E1593" s="1348"/>
      <c r="F1593" s="1348"/>
      <c r="G1593" s="1348"/>
      <c r="H1593" s="1348"/>
      <c r="I1593" s="1348"/>
      <c r="J1593" s="1348"/>
      <c r="K1593" s="1348"/>
    </row>
    <row r="1594" spans="2:11" hidden="1">
      <c r="B1594" s="1348"/>
      <c r="C1594" s="1348"/>
      <c r="D1594" s="1348"/>
      <c r="E1594" s="1348"/>
      <c r="F1594" s="1348"/>
      <c r="G1594" s="1348"/>
      <c r="H1594" s="1348"/>
      <c r="I1594" s="1348"/>
      <c r="J1594" s="1348"/>
      <c r="K1594" s="1348"/>
    </row>
    <row r="1595" spans="2:11" hidden="1">
      <c r="B1595" s="1348"/>
      <c r="C1595" s="1348"/>
      <c r="D1595" s="1348"/>
      <c r="E1595" s="1348"/>
      <c r="F1595" s="1348"/>
      <c r="G1595" s="1348"/>
      <c r="H1595" s="1348"/>
      <c r="I1595" s="1348"/>
      <c r="J1595" s="1348"/>
      <c r="K1595" s="1348"/>
    </row>
    <row r="1596" spans="2:11" hidden="1">
      <c r="B1596" s="1348"/>
      <c r="C1596" s="1348"/>
      <c r="D1596" s="1348"/>
      <c r="E1596" s="1348"/>
      <c r="F1596" s="1348"/>
      <c r="G1596" s="1348"/>
      <c r="H1596" s="1348"/>
      <c r="I1596" s="1348"/>
      <c r="J1596" s="1348"/>
      <c r="K1596" s="1348"/>
    </row>
    <row r="1597" spans="2:11" hidden="1">
      <c r="B1597" s="1348"/>
      <c r="C1597" s="1348"/>
      <c r="D1597" s="1348"/>
      <c r="E1597" s="1348"/>
      <c r="F1597" s="1348"/>
      <c r="G1597" s="1348"/>
      <c r="H1597" s="1348"/>
      <c r="I1597" s="1348"/>
      <c r="J1597" s="1348"/>
      <c r="K1597" s="1348"/>
    </row>
    <row r="1598" spans="2:11" hidden="1">
      <c r="B1598" s="1348"/>
      <c r="C1598" s="1348"/>
      <c r="D1598" s="1348"/>
      <c r="E1598" s="1348"/>
      <c r="F1598" s="1348"/>
      <c r="G1598" s="1348"/>
      <c r="H1598" s="1348"/>
      <c r="I1598" s="1348"/>
      <c r="J1598" s="1348"/>
      <c r="K1598" s="1348"/>
    </row>
    <row r="1599" spans="2:11" hidden="1">
      <c r="B1599" s="1348"/>
      <c r="C1599" s="1348"/>
      <c r="D1599" s="1348"/>
      <c r="E1599" s="1348"/>
      <c r="F1599" s="1348"/>
      <c r="G1599" s="1348"/>
      <c r="H1599" s="1348"/>
      <c r="I1599" s="1348"/>
      <c r="J1599" s="1348"/>
      <c r="K1599" s="1348"/>
    </row>
    <row r="1600" spans="2:11" hidden="1">
      <c r="B1600" s="1348"/>
      <c r="C1600" s="1348"/>
      <c r="D1600" s="1348"/>
      <c r="E1600" s="1348"/>
      <c r="F1600" s="1348"/>
      <c r="G1600" s="1348"/>
      <c r="H1600" s="1348"/>
      <c r="I1600" s="1348"/>
      <c r="J1600" s="1348"/>
      <c r="K1600" s="1348"/>
    </row>
    <row r="1601" spans="2:11" hidden="1">
      <c r="B1601" s="1348"/>
      <c r="C1601" s="1348"/>
      <c r="D1601" s="1348"/>
      <c r="E1601" s="1348"/>
      <c r="F1601" s="1348"/>
      <c r="G1601" s="1348"/>
      <c r="H1601" s="1348"/>
      <c r="I1601" s="1348"/>
      <c r="J1601" s="1348"/>
      <c r="K1601" s="1348"/>
    </row>
    <row r="1602" spans="2:11" hidden="1">
      <c r="B1602" s="1348"/>
      <c r="C1602" s="1348"/>
      <c r="D1602" s="1348"/>
      <c r="E1602" s="1348"/>
      <c r="F1602" s="1348"/>
      <c r="G1602" s="1348"/>
      <c r="H1602" s="1348"/>
      <c r="I1602" s="1348"/>
      <c r="J1602" s="1348"/>
      <c r="K1602" s="1348"/>
    </row>
    <row r="1603" spans="2:11" hidden="1">
      <c r="B1603" s="1348"/>
      <c r="C1603" s="1348"/>
      <c r="D1603" s="1348"/>
      <c r="E1603" s="1348"/>
      <c r="F1603" s="1348"/>
      <c r="G1603" s="1348"/>
      <c r="H1603" s="1348"/>
      <c r="I1603" s="1348"/>
      <c r="J1603" s="1348"/>
      <c r="K1603" s="1348"/>
    </row>
    <row r="1604" spans="2:11" hidden="1">
      <c r="B1604" s="1348"/>
      <c r="C1604" s="1348"/>
      <c r="D1604" s="1348"/>
      <c r="E1604" s="1348"/>
      <c r="F1604" s="1348"/>
      <c r="G1604" s="1348"/>
      <c r="H1604" s="1348"/>
      <c r="I1604" s="1348"/>
      <c r="J1604" s="1348"/>
      <c r="K1604" s="1348"/>
    </row>
    <row r="1605" spans="2:11" hidden="1">
      <c r="B1605" s="1348"/>
      <c r="C1605" s="1348"/>
      <c r="D1605" s="1348"/>
      <c r="E1605" s="1348"/>
      <c r="F1605" s="1348"/>
      <c r="G1605" s="1348"/>
      <c r="H1605" s="1348"/>
      <c r="I1605" s="1348"/>
      <c r="J1605" s="1348"/>
      <c r="K1605" s="1348"/>
    </row>
    <row r="1606" spans="2:11" hidden="1">
      <c r="B1606" s="1348"/>
      <c r="C1606" s="1348"/>
      <c r="D1606" s="1348"/>
      <c r="E1606" s="1348"/>
      <c r="F1606" s="1348"/>
      <c r="G1606" s="1348"/>
      <c r="H1606" s="1348"/>
      <c r="I1606" s="1348"/>
      <c r="J1606" s="1348"/>
      <c r="K1606" s="1348"/>
    </row>
    <row r="1607" spans="2:11" hidden="1">
      <c r="B1607" s="1348"/>
      <c r="C1607" s="1348"/>
      <c r="D1607" s="1348"/>
      <c r="E1607" s="1348"/>
      <c r="F1607" s="1348"/>
      <c r="G1607" s="1348"/>
      <c r="H1607" s="1348"/>
      <c r="I1607" s="1348"/>
      <c r="J1607" s="1348"/>
      <c r="K1607" s="1348"/>
    </row>
    <row r="1608" spans="2:11" hidden="1">
      <c r="B1608" s="1348"/>
      <c r="C1608" s="1348"/>
      <c r="D1608" s="1348"/>
      <c r="E1608" s="1348"/>
      <c r="F1608" s="1348"/>
      <c r="G1608" s="1348"/>
      <c r="H1608" s="1348"/>
      <c r="I1608" s="1348"/>
      <c r="J1608" s="1348"/>
      <c r="K1608" s="1348"/>
    </row>
    <row r="1609" spans="2:11" hidden="1">
      <c r="B1609" s="1348"/>
      <c r="C1609" s="1348"/>
      <c r="D1609" s="1348"/>
      <c r="E1609" s="1348"/>
      <c r="F1609" s="1348"/>
      <c r="G1609" s="1348"/>
      <c r="H1609" s="1348"/>
      <c r="I1609" s="1348"/>
      <c r="J1609" s="1348"/>
      <c r="K1609" s="1348"/>
    </row>
    <row r="1610" spans="2:11" hidden="1">
      <c r="B1610" s="1348"/>
      <c r="C1610" s="1348"/>
      <c r="D1610" s="1348"/>
      <c r="E1610" s="1348"/>
      <c r="F1610" s="1348"/>
      <c r="G1610" s="1348"/>
      <c r="H1610" s="1348"/>
      <c r="I1610" s="1348"/>
      <c r="J1610" s="1348"/>
      <c r="K1610" s="1348"/>
    </row>
    <row r="1611" spans="2:11" hidden="1">
      <c r="B1611" s="1348"/>
      <c r="C1611" s="1348"/>
      <c r="D1611" s="1348"/>
      <c r="E1611" s="1348"/>
      <c r="F1611" s="1348"/>
      <c r="G1611" s="1348"/>
      <c r="H1611" s="1348"/>
      <c r="I1611" s="1348"/>
      <c r="J1611" s="1348"/>
      <c r="K1611" s="1348"/>
    </row>
    <row r="1612" spans="2:11" hidden="1">
      <c r="B1612" s="1348"/>
      <c r="C1612" s="1348"/>
      <c r="D1612" s="1348"/>
      <c r="E1612" s="1348"/>
      <c r="F1612" s="1348"/>
      <c r="G1612" s="1348"/>
      <c r="H1612" s="1348"/>
      <c r="I1612" s="1348"/>
      <c r="J1612" s="1348"/>
      <c r="K1612" s="1348"/>
    </row>
    <row r="1613" spans="2:11" hidden="1">
      <c r="B1613" s="1348"/>
      <c r="C1613" s="1348"/>
      <c r="D1613" s="1348"/>
      <c r="E1613" s="1348"/>
      <c r="F1613" s="1348"/>
      <c r="G1613" s="1348"/>
      <c r="H1613" s="1348"/>
      <c r="I1613" s="1348"/>
      <c r="J1613" s="1348"/>
      <c r="K1613" s="1348"/>
    </row>
    <row r="1614" spans="2:11" hidden="1">
      <c r="B1614" s="1348"/>
      <c r="C1614" s="1348"/>
      <c r="D1614" s="1348"/>
      <c r="E1614" s="1348"/>
      <c r="F1614" s="1348"/>
      <c r="G1614" s="1348"/>
      <c r="H1614" s="1348"/>
      <c r="I1614" s="1348"/>
      <c r="J1614" s="1348"/>
      <c r="K1614" s="1348"/>
    </row>
    <row r="1615" spans="2:11" hidden="1">
      <c r="B1615" s="1348"/>
      <c r="C1615" s="1348"/>
      <c r="D1615" s="1348"/>
      <c r="E1615" s="1348"/>
      <c r="F1615" s="1348"/>
      <c r="G1615" s="1348"/>
      <c r="H1615" s="1348"/>
      <c r="I1615" s="1348"/>
      <c r="J1615" s="1348"/>
      <c r="K1615" s="1348"/>
    </row>
    <row r="1616" spans="2:11" hidden="1">
      <c r="B1616" s="1348"/>
      <c r="C1616" s="1348"/>
      <c r="D1616" s="1348"/>
      <c r="E1616" s="1348"/>
      <c r="F1616" s="1348"/>
      <c r="G1616" s="1348"/>
      <c r="H1616" s="1348"/>
      <c r="I1616" s="1348"/>
      <c r="J1616" s="1348"/>
      <c r="K1616" s="1348"/>
    </row>
    <row r="1617" spans="2:11" hidden="1">
      <c r="B1617" s="1348"/>
      <c r="C1617" s="1348"/>
      <c r="D1617" s="1348"/>
      <c r="E1617" s="1348"/>
      <c r="F1617" s="1348"/>
      <c r="G1617" s="1348"/>
      <c r="H1617" s="1348"/>
      <c r="I1617" s="1348"/>
      <c r="J1617" s="1348"/>
      <c r="K1617" s="1348"/>
    </row>
    <row r="1618" spans="2:11" hidden="1">
      <c r="B1618" s="1348"/>
      <c r="C1618" s="1348"/>
      <c r="D1618" s="1348"/>
      <c r="E1618" s="1348"/>
      <c r="F1618" s="1348"/>
      <c r="G1618" s="1348"/>
      <c r="H1618" s="1348"/>
      <c r="I1618" s="1348"/>
      <c r="J1618" s="1348"/>
      <c r="K1618" s="1348"/>
    </row>
    <row r="1619" spans="2:11" hidden="1">
      <c r="B1619" s="1348"/>
      <c r="C1619" s="1348"/>
      <c r="D1619" s="1348"/>
      <c r="E1619" s="1348"/>
      <c r="F1619" s="1348"/>
      <c r="G1619" s="1348"/>
      <c r="H1619" s="1348"/>
      <c r="I1619" s="1348"/>
      <c r="J1619" s="1348"/>
      <c r="K1619" s="1348"/>
    </row>
    <row r="1620" spans="2:11" hidden="1">
      <c r="B1620" s="1348"/>
      <c r="C1620" s="1348"/>
      <c r="D1620" s="1348"/>
      <c r="E1620" s="1348"/>
      <c r="F1620" s="1348"/>
      <c r="G1620" s="1348"/>
      <c r="H1620" s="1348"/>
      <c r="I1620" s="1348"/>
      <c r="J1620" s="1348"/>
      <c r="K1620" s="1348"/>
    </row>
    <row r="1621" spans="2:11" hidden="1">
      <c r="B1621" s="1348"/>
      <c r="C1621" s="1348"/>
      <c r="D1621" s="1348"/>
      <c r="E1621" s="1348"/>
      <c r="F1621" s="1348"/>
      <c r="G1621" s="1348"/>
      <c r="H1621" s="1348"/>
      <c r="I1621" s="1348"/>
      <c r="J1621" s="1348"/>
      <c r="K1621" s="1348"/>
    </row>
    <row r="1622" spans="2:11" hidden="1">
      <c r="B1622" s="1348"/>
      <c r="C1622" s="1348"/>
      <c r="D1622" s="1348"/>
      <c r="E1622" s="1348"/>
      <c r="F1622" s="1348"/>
      <c r="G1622" s="1348"/>
      <c r="H1622" s="1348"/>
      <c r="I1622" s="1348"/>
      <c r="J1622" s="1348"/>
      <c r="K1622" s="1348"/>
    </row>
    <row r="1623" spans="2:11" hidden="1">
      <c r="B1623" s="1348"/>
      <c r="C1623" s="1348"/>
      <c r="D1623" s="1348"/>
      <c r="E1623" s="1348"/>
      <c r="F1623" s="1348"/>
      <c r="G1623" s="1348"/>
      <c r="H1623" s="1348"/>
      <c r="I1623" s="1348"/>
      <c r="J1623" s="1348"/>
      <c r="K1623" s="1348"/>
    </row>
    <row r="1624" spans="2:11" hidden="1">
      <c r="B1624" s="1348"/>
      <c r="C1624" s="1348"/>
      <c r="D1624" s="1348"/>
      <c r="E1624" s="1348"/>
      <c r="F1624" s="1348"/>
      <c r="G1624" s="1348"/>
      <c r="H1624" s="1348"/>
      <c r="I1624" s="1348"/>
      <c r="J1624" s="1348"/>
      <c r="K1624" s="1348"/>
    </row>
    <row r="1625" spans="2:11" hidden="1">
      <c r="B1625" s="1348"/>
      <c r="C1625" s="1348"/>
      <c r="D1625" s="1348"/>
      <c r="E1625" s="1348"/>
      <c r="F1625" s="1348"/>
      <c r="G1625" s="1348"/>
      <c r="H1625" s="1348"/>
      <c r="I1625" s="1348"/>
      <c r="J1625" s="1348"/>
      <c r="K1625" s="1348"/>
    </row>
    <row r="1626" spans="2:11" hidden="1">
      <c r="B1626" s="1348"/>
      <c r="C1626" s="1348"/>
      <c r="D1626" s="1348"/>
      <c r="E1626" s="1348"/>
      <c r="F1626" s="1348"/>
      <c r="G1626" s="1348"/>
      <c r="H1626" s="1348"/>
      <c r="I1626" s="1348"/>
      <c r="J1626" s="1348"/>
      <c r="K1626" s="1348"/>
    </row>
    <row r="1627" spans="2:11" hidden="1">
      <c r="B1627" s="1348"/>
      <c r="C1627" s="1348"/>
      <c r="D1627" s="1348"/>
      <c r="E1627" s="1348"/>
      <c r="F1627" s="1348"/>
      <c r="G1627" s="1348"/>
      <c r="H1627" s="1348"/>
      <c r="I1627" s="1348"/>
      <c r="J1627" s="1348"/>
      <c r="K1627" s="1348"/>
    </row>
    <row r="1628" spans="2:11" hidden="1">
      <c r="B1628" s="1348"/>
      <c r="C1628" s="1348"/>
      <c r="D1628" s="1348"/>
      <c r="E1628" s="1348"/>
      <c r="F1628" s="1348"/>
      <c r="G1628" s="1348"/>
      <c r="H1628" s="1348"/>
      <c r="I1628" s="1348"/>
      <c r="J1628" s="1348"/>
      <c r="K1628" s="1348"/>
    </row>
    <row r="1629" spans="2:11" hidden="1">
      <c r="B1629" s="1348"/>
      <c r="C1629" s="1348"/>
      <c r="D1629" s="1348"/>
      <c r="E1629" s="1348"/>
      <c r="F1629" s="1348"/>
      <c r="G1629" s="1348"/>
      <c r="H1629" s="1348"/>
      <c r="I1629" s="1348"/>
      <c r="J1629" s="1348"/>
      <c r="K1629" s="1348"/>
    </row>
    <row r="1630" spans="2:11" hidden="1">
      <c r="B1630" s="1348"/>
      <c r="C1630" s="1348"/>
      <c r="D1630" s="1348"/>
      <c r="E1630" s="1348"/>
      <c r="F1630" s="1348"/>
      <c r="G1630" s="1348"/>
      <c r="H1630" s="1348"/>
      <c r="I1630" s="1348"/>
      <c r="J1630" s="1348"/>
      <c r="K1630" s="1348"/>
    </row>
    <row r="1631" spans="2:11" hidden="1">
      <c r="B1631" s="1348"/>
      <c r="C1631" s="1348"/>
      <c r="D1631" s="1348"/>
      <c r="E1631" s="1348"/>
      <c r="F1631" s="1348"/>
      <c r="G1631" s="1348"/>
      <c r="H1631" s="1348"/>
      <c r="I1631" s="1348"/>
      <c r="J1631" s="1348"/>
      <c r="K1631" s="1348"/>
    </row>
    <row r="1632" spans="2:11" hidden="1">
      <c r="B1632" s="1348"/>
      <c r="C1632" s="1348"/>
      <c r="D1632" s="1348"/>
      <c r="E1632" s="1348"/>
      <c r="F1632" s="1348"/>
      <c r="G1632" s="1348"/>
      <c r="H1632" s="1348"/>
      <c r="I1632" s="1348"/>
      <c r="J1632" s="1348"/>
      <c r="K1632" s="1348"/>
    </row>
    <row r="1633" spans="2:11" hidden="1">
      <c r="B1633" s="1348"/>
      <c r="C1633" s="1348"/>
      <c r="D1633" s="1348"/>
      <c r="E1633" s="1348"/>
      <c r="F1633" s="1348"/>
      <c r="G1633" s="1348"/>
      <c r="H1633" s="1348"/>
      <c r="I1633" s="1348"/>
      <c r="J1633" s="1348"/>
      <c r="K1633" s="1348"/>
    </row>
    <row r="1634" spans="2:11" hidden="1">
      <c r="B1634" s="1348"/>
      <c r="C1634" s="1348"/>
      <c r="D1634" s="1348"/>
      <c r="E1634" s="1348"/>
      <c r="F1634" s="1348"/>
      <c r="G1634" s="1348"/>
      <c r="H1634" s="1348"/>
      <c r="I1634" s="1348"/>
      <c r="J1634" s="1348"/>
      <c r="K1634" s="1348"/>
    </row>
    <row r="1635" spans="2:11" hidden="1">
      <c r="B1635" s="1348"/>
      <c r="C1635" s="1348"/>
      <c r="D1635" s="1348"/>
      <c r="E1635" s="1348"/>
      <c r="F1635" s="1348"/>
      <c r="G1635" s="1348"/>
      <c r="H1635" s="1348"/>
      <c r="I1635" s="1348"/>
      <c r="J1635" s="1348"/>
      <c r="K1635" s="1348"/>
    </row>
    <row r="1636" spans="2:11" hidden="1">
      <c r="B1636" s="1348"/>
      <c r="C1636" s="1348"/>
      <c r="D1636" s="1348"/>
      <c r="E1636" s="1348"/>
      <c r="F1636" s="1348"/>
      <c r="G1636" s="1348"/>
      <c r="H1636" s="1348"/>
      <c r="I1636" s="1348"/>
      <c r="J1636" s="1348"/>
      <c r="K1636" s="1348"/>
    </row>
    <row r="1637" spans="2:11" hidden="1">
      <c r="B1637" s="1348"/>
      <c r="C1637" s="1348"/>
      <c r="D1637" s="1348"/>
      <c r="E1637" s="1348"/>
      <c r="F1637" s="1348"/>
      <c r="G1637" s="1348"/>
      <c r="H1637" s="1348"/>
      <c r="I1637" s="1348"/>
      <c r="J1637" s="1348"/>
      <c r="K1637" s="1348"/>
    </row>
    <row r="1638" spans="2:11" hidden="1">
      <c r="B1638" s="1348"/>
      <c r="C1638" s="1348"/>
      <c r="D1638" s="1348"/>
      <c r="E1638" s="1348"/>
      <c r="F1638" s="1348"/>
      <c r="G1638" s="1348"/>
      <c r="H1638" s="1348"/>
      <c r="I1638" s="1348"/>
      <c r="J1638" s="1348"/>
      <c r="K1638" s="1348"/>
    </row>
    <row r="1639" spans="2:11" hidden="1">
      <c r="B1639" s="1348"/>
      <c r="C1639" s="1348"/>
      <c r="D1639" s="1348"/>
      <c r="E1639" s="1348"/>
      <c r="F1639" s="1348"/>
      <c r="G1639" s="1348"/>
      <c r="H1639" s="1348"/>
      <c r="I1639" s="1348"/>
      <c r="J1639" s="1348"/>
      <c r="K1639" s="1348"/>
    </row>
    <row r="1640" spans="2:11" hidden="1">
      <c r="B1640" s="1348"/>
      <c r="C1640" s="1348"/>
      <c r="D1640" s="1348"/>
      <c r="E1640" s="1348"/>
      <c r="F1640" s="1348"/>
      <c r="G1640" s="1348"/>
      <c r="H1640" s="1348"/>
      <c r="I1640" s="1348"/>
      <c r="J1640" s="1348"/>
      <c r="K1640" s="1348"/>
    </row>
    <row r="1641" spans="2:11" hidden="1">
      <c r="B1641" s="1348"/>
      <c r="C1641" s="1348"/>
      <c r="D1641" s="1348"/>
      <c r="E1641" s="1348"/>
      <c r="F1641" s="1348"/>
      <c r="G1641" s="1348"/>
      <c r="H1641" s="1348"/>
      <c r="I1641" s="1348"/>
      <c r="J1641" s="1348"/>
      <c r="K1641" s="1348"/>
    </row>
    <row r="1642" spans="2:11" hidden="1">
      <c r="B1642" s="1348"/>
      <c r="C1642" s="1348"/>
      <c r="D1642" s="1348"/>
      <c r="E1642" s="1348"/>
      <c r="F1642" s="1348"/>
      <c r="G1642" s="1348"/>
      <c r="H1642" s="1348"/>
      <c r="I1642" s="1348"/>
      <c r="J1642" s="1348"/>
      <c r="K1642" s="1348"/>
    </row>
    <row r="1643" spans="2:11" hidden="1">
      <c r="B1643" s="1348"/>
      <c r="C1643" s="1348"/>
      <c r="D1643" s="1348"/>
      <c r="E1643" s="1348"/>
      <c r="F1643" s="1348"/>
      <c r="G1643" s="1348"/>
      <c r="H1643" s="1348"/>
      <c r="I1643" s="1348"/>
      <c r="J1643" s="1348"/>
      <c r="K1643" s="1348"/>
    </row>
    <row r="1644" spans="2:11" hidden="1">
      <c r="B1644" s="1348"/>
      <c r="C1644" s="1348"/>
      <c r="D1644" s="1348"/>
      <c r="E1644" s="1348"/>
      <c r="F1644" s="1348"/>
      <c r="G1644" s="1348"/>
      <c r="H1644" s="1348"/>
      <c r="I1644" s="1348"/>
      <c r="J1644" s="1348"/>
      <c r="K1644" s="1348"/>
    </row>
    <row r="1645" spans="2:11" hidden="1">
      <c r="B1645" s="1348"/>
      <c r="C1645" s="1348"/>
      <c r="D1645" s="1348"/>
      <c r="E1645" s="1348"/>
      <c r="F1645" s="1348"/>
      <c r="G1645" s="1348"/>
      <c r="H1645" s="1348"/>
      <c r="I1645" s="1348"/>
      <c r="J1645" s="1348"/>
      <c r="K1645" s="1348"/>
    </row>
    <row r="1646" spans="2:11" hidden="1">
      <c r="B1646" s="1348"/>
      <c r="C1646" s="1348"/>
      <c r="D1646" s="1348"/>
      <c r="E1646" s="1348"/>
      <c r="F1646" s="1348"/>
      <c r="G1646" s="1348"/>
      <c r="H1646" s="1348"/>
      <c r="I1646" s="1348"/>
      <c r="J1646" s="1348"/>
      <c r="K1646" s="1348"/>
    </row>
    <row r="1647" spans="2:11" hidden="1">
      <c r="B1647" s="1348"/>
      <c r="C1647" s="1348"/>
      <c r="D1647" s="1348"/>
      <c r="E1647" s="1348"/>
      <c r="F1647" s="1348"/>
      <c r="G1647" s="1348"/>
      <c r="H1647" s="1348"/>
      <c r="I1647" s="1348"/>
      <c r="J1647" s="1348"/>
      <c r="K1647" s="1348"/>
    </row>
    <row r="1648" spans="2:11" hidden="1">
      <c r="B1648" s="1348"/>
      <c r="C1648" s="1348"/>
      <c r="D1648" s="1348"/>
      <c r="E1648" s="1348"/>
      <c r="F1648" s="1348"/>
      <c r="G1648" s="1348"/>
      <c r="H1648" s="1348"/>
      <c r="I1648" s="1348"/>
      <c r="J1648" s="1348"/>
      <c r="K1648" s="1348"/>
    </row>
    <row r="1649" spans="2:11" hidden="1">
      <c r="B1649" s="1348"/>
      <c r="C1649" s="1348"/>
      <c r="D1649" s="1348"/>
      <c r="E1649" s="1348"/>
      <c r="F1649" s="1348"/>
      <c r="G1649" s="1348"/>
      <c r="H1649" s="1348"/>
      <c r="I1649" s="1348"/>
      <c r="J1649" s="1348"/>
      <c r="K1649" s="1348"/>
    </row>
    <row r="1650" spans="2:11" hidden="1">
      <c r="B1650" s="1348"/>
      <c r="C1650" s="1348"/>
      <c r="D1650" s="1348"/>
      <c r="E1650" s="1348"/>
      <c r="F1650" s="1348"/>
      <c r="G1650" s="1348"/>
      <c r="H1650" s="1348"/>
      <c r="I1650" s="1348"/>
      <c r="J1650" s="1348"/>
      <c r="K1650" s="1348"/>
    </row>
    <row r="1651" spans="2:11" hidden="1">
      <c r="B1651" s="1348"/>
      <c r="C1651" s="1348"/>
      <c r="D1651" s="1348"/>
      <c r="E1651" s="1348"/>
      <c r="F1651" s="1348"/>
      <c r="G1651" s="1348"/>
      <c r="H1651" s="1348"/>
      <c r="I1651" s="1348"/>
      <c r="J1651" s="1348"/>
      <c r="K1651" s="1348"/>
    </row>
    <row r="1652" spans="2:11" hidden="1">
      <c r="B1652" s="1348"/>
      <c r="C1652" s="1348"/>
      <c r="D1652" s="1348"/>
      <c r="E1652" s="1348"/>
      <c r="F1652" s="1348"/>
      <c r="G1652" s="1348"/>
      <c r="H1652" s="1348"/>
      <c r="I1652" s="1348"/>
      <c r="J1652" s="1348"/>
      <c r="K1652" s="1348"/>
    </row>
    <row r="1653" spans="2:11" hidden="1">
      <c r="B1653" s="1348"/>
      <c r="C1653" s="1348"/>
      <c r="D1653" s="1348"/>
      <c r="E1653" s="1348"/>
      <c r="F1653" s="1348"/>
      <c r="G1653" s="1348"/>
      <c r="H1653" s="1348"/>
      <c r="I1653" s="1348"/>
      <c r="J1653" s="1348"/>
      <c r="K1653" s="1348"/>
    </row>
    <row r="1654" spans="2:11" hidden="1">
      <c r="B1654" s="1348"/>
      <c r="C1654" s="1348"/>
      <c r="D1654" s="1348"/>
      <c r="E1654" s="1348"/>
      <c r="F1654" s="1348"/>
      <c r="G1654" s="1348"/>
      <c r="H1654" s="1348"/>
      <c r="I1654" s="1348"/>
      <c r="J1654" s="1348"/>
      <c r="K1654" s="1348"/>
    </row>
    <row r="1655" spans="2:11" hidden="1">
      <c r="B1655" s="1348"/>
      <c r="C1655" s="1348"/>
      <c r="D1655" s="1348"/>
      <c r="E1655" s="1348"/>
      <c r="F1655" s="1348"/>
      <c r="G1655" s="1348"/>
      <c r="H1655" s="1348"/>
      <c r="I1655" s="1348"/>
      <c r="J1655" s="1348"/>
      <c r="K1655" s="1348"/>
    </row>
    <row r="1656" spans="2:11" hidden="1">
      <c r="B1656" s="1348"/>
      <c r="C1656" s="1348"/>
      <c r="D1656" s="1348"/>
      <c r="E1656" s="1348"/>
      <c r="F1656" s="1348"/>
      <c r="G1656" s="1348"/>
      <c r="H1656" s="1348"/>
      <c r="I1656" s="1348"/>
      <c r="J1656" s="1348"/>
      <c r="K1656" s="1348"/>
    </row>
    <row r="1657" spans="2:11" hidden="1">
      <c r="B1657" s="1348"/>
      <c r="C1657" s="1348"/>
      <c r="D1657" s="1348"/>
      <c r="E1657" s="1348"/>
      <c r="F1657" s="1348"/>
      <c r="G1657" s="1348"/>
      <c r="H1657" s="1348"/>
      <c r="I1657" s="1348"/>
      <c r="J1657" s="1348"/>
      <c r="K1657" s="1348"/>
    </row>
    <row r="1658" spans="2:11" hidden="1">
      <c r="B1658" s="1348"/>
      <c r="C1658" s="1348"/>
      <c r="D1658" s="1348"/>
      <c r="E1658" s="1348"/>
      <c r="F1658" s="1348"/>
      <c r="G1658" s="1348"/>
      <c r="H1658" s="1348"/>
      <c r="I1658" s="1348"/>
      <c r="J1658" s="1348"/>
      <c r="K1658" s="1348"/>
    </row>
    <row r="1659" spans="2:11" hidden="1">
      <c r="B1659" s="1348"/>
      <c r="C1659" s="1348"/>
      <c r="D1659" s="1348"/>
      <c r="E1659" s="1348"/>
      <c r="F1659" s="1348"/>
      <c r="G1659" s="1348"/>
      <c r="H1659" s="1348"/>
      <c r="I1659" s="1348"/>
      <c r="J1659" s="1348"/>
      <c r="K1659" s="1348"/>
    </row>
    <row r="1660" spans="2:11" hidden="1">
      <c r="B1660" s="1348"/>
      <c r="C1660" s="1348"/>
      <c r="D1660" s="1348"/>
      <c r="E1660" s="1348"/>
      <c r="F1660" s="1348"/>
      <c r="G1660" s="1348"/>
      <c r="H1660" s="1348"/>
      <c r="I1660" s="1348"/>
      <c r="J1660" s="1348"/>
      <c r="K1660" s="1348"/>
    </row>
    <row r="1661" spans="2:11" hidden="1">
      <c r="B1661" s="1348"/>
      <c r="C1661" s="1348"/>
      <c r="D1661" s="1348"/>
      <c r="E1661" s="1348"/>
      <c r="F1661" s="1348"/>
      <c r="G1661" s="1348"/>
      <c r="H1661" s="1348"/>
      <c r="I1661" s="1348"/>
      <c r="J1661" s="1348"/>
      <c r="K1661" s="1348"/>
    </row>
    <row r="1662" spans="2:11" hidden="1">
      <c r="B1662" s="1348"/>
      <c r="C1662" s="1348"/>
      <c r="D1662" s="1348"/>
      <c r="E1662" s="1348"/>
      <c r="F1662" s="1348"/>
      <c r="G1662" s="1348"/>
      <c r="H1662" s="1348"/>
      <c r="I1662" s="1348"/>
      <c r="J1662" s="1348"/>
      <c r="K1662" s="1348"/>
    </row>
    <row r="1663" spans="2:11" hidden="1">
      <c r="B1663" s="1348"/>
      <c r="C1663" s="1348"/>
      <c r="D1663" s="1348"/>
      <c r="E1663" s="1348"/>
      <c r="F1663" s="1348"/>
      <c r="G1663" s="1348"/>
      <c r="H1663" s="1348"/>
      <c r="I1663" s="1348"/>
      <c r="J1663" s="1348"/>
      <c r="K1663" s="1348"/>
    </row>
    <row r="1664" spans="2:11" hidden="1">
      <c r="B1664" s="1348"/>
      <c r="C1664" s="1348"/>
      <c r="D1664" s="1348"/>
      <c r="E1664" s="1348"/>
      <c r="F1664" s="1348"/>
      <c r="G1664" s="1348"/>
      <c r="H1664" s="1348"/>
      <c r="I1664" s="1348"/>
      <c r="J1664" s="1348"/>
      <c r="K1664" s="1348"/>
    </row>
    <row r="1665" spans="2:11" hidden="1">
      <c r="B1665" s="1348"/>
      <c r="C1665" s="1348"/>
      <c r="D1665" s="1348"/>
      <c r="E1665" s="1348"/>
      <c r="F1665" s="1348"/>
      <c r="G1665" s="1348"/>
      <c r="H1665" s="1348"/>
      <c r="I1665" s="1348"/>
      <c r="J1665" s="1348"/>
      <c r="K1665" s="1348"/>
    </row>
    <row r="1666" spans="2:11" hidden="1">
      <c r="B1666" s="1348"/>
      <c r="C1666" s="1348"/>
      <c r="D1666" s="1348"/>
      <c r="E1666" s="1348"/>
      <c r="F1666" s="1348"/>
      <c r="G1666" s="1348"/>
      <c r="H1666" s="1348"/>
      <c r="I1666" s="1348"/>
      <c r="J1666" s="1348"/>
      <c r="K1666" s="1348"/>
    </row>
    <row r="1667" spans="2:11" hidden="1">
      <c r="B1667" s="1348"/>
      <c r="C1667" s="1348"/>
      <c r="D1667" s="1348"/>
      <c r="E1667" s="1348"/>
      <c r="F1667" s="1348"/>
      <c r="G1667" s="1348"/>
      <c r="H1667" s="1348"/>
      <c r="I1667" s="1348"/>
      <c r="J1667" s="1348"/>
      <c r="K1667" s="1348"/>
    </row>
    <row r="1668" spans="2:11" hidden="1">
      <c r="B1668" s="1348"/>
      <c r="C1668" s="1348"/>
      <c r="D1668" s="1348"/>
      <c r="E1668" s="1348"/>
      <c r="F1668" s="1348"/>
      <c r="G1668" s="1348"/>
      <c r="H1668" s="1348"/>
      <c r="I1668" s="1348"/>
      <c r="J1668" s="1348"/>
      <c r="K1668" s="1348"/>
    </row>
    <row r="1669" spans="2:11" hidden="1">
      <c r="B1669" s="1348"/>
      <c r="C1669" s="1348"/>
      <c r="D1669" s="1348"/>
      <c r="E1669" s="1348"/>
      <c r="F1669" s="1348"/>
      <c r="G1669" s="1348"/>
      <c r="H1669" s="1348"/>
      <c r="I1669" s="1348"/>
      <c r="J1669" s="1348"/>
      <c r="K1669" s="1348"/>
    </row>
    <row r="1670" spans="2:11" hidden="1">
      <c r="B1670" s="1348"/>
      <c r="C1670" s="1348"/>
      <c r="D1670" s="1348"/>
      <c r="E1670" s="1348"/>
      <c r="F1670" s="1348"/>
      <c r="G1670" s="1348"/>
      <c r="H1670" s="1348"/>
      <c r="I1670" s="1348"/>
      <c r="J1670" s="1348"/>
      <c r="K1670" s="1348"/>
    </row>
    <row r="1671" spans="2:11" hidden="1">
      <c r="B1671" s="1348"/>
      <c r="C1671" s="1348"/>
      <c r="D1671" s="1348"/>
      <c r="E1671" s="1348"/>
      <c r="F1671" s="1348"/>
      <c r="G1671" s="1348"/>
      <c r="H1671" s="1348"/>
      <c r="I1671" s="1348"/>
      <c r="J1671" s="1348"/>
      <c r="K1671" s="1348"/>
    </row>
    <row r="1672" spans="2:11" hidden="1">
      <c r="B1672" s="1348"/>
      <c r="C1672" s="1348"/>
      <c r="D1672" s="1348"/>
      <c r="E1672" s="1348"/>
      <c r="F1672" s="1348"/>
      <c r="G1672" s="1348"/>
      <c r="H1672" s="1348"/>
      <c r="I1672" s="1348"/>
      <c r="J1672" s="1348"/>
      <c r="K1672" s="1348"/>
    </row>
    <row r="1673" spans="2:11" hidden="1">
      <c r="B1673" s="1348"/>
      <c r="C1673" s="1348"/>
      <c r="D1673" s="1348"/>
      <c r="E1673" s="1348"/>
      <c r="F1673" s="1348"/>
      <c r="G1673" s="1348"/>
      <c r="H1673" s="1348"/>
      <c r="I1673" s="1348"/>
      <c r="J1673" s="1348"/>
      <c r="K1673" s="1348"/>
    </row>
    <row r="1674" spans="2:11" hidden="1">
      <c r="B1674" s="1348"/>
      <c r="C1674" s="1348"/>
      <c r="D1674" s="1348"/>
      <c r="E1674" s="1348"/>
      <c r="F1674" s="1348"/>
      <c r="G1674" s="1348"/>
      <c r="H1674" s="1348"/>
      <c r="I1674" s="1348"/>
      <c r="J1674" s="1348"/>
      <c r="K1674" s="1348"/>
    </row>
    <row r="1675" spans="2:11" hidden="1">
      <c r="B1675" s="1348"/>
      <c r="C1675" s="1348"/>
      <c r="D1675" s="1348"/>
      <c r="E1675" s="1348"/>
      <c r="F1675" s="1348"/>
      <c r="G1675" s="1348"/>
      <c r="H1675" s="1348"/>
      <c r="I1675" s="1348"/>
      <c r="J1675" s="1348"/>
      <c r="K1675" s="1348"/>
    </row>
    <row r="1676" spans="2:11" hidden="1">
      <c r="B1676" s="1348"/>
      <c r="C1676" s="1348"/>
      <c r="D1676" s="1348"/>
      <c r="E1676" s="1348"/>
      <c r="F1676" s="1348"/>
      <c r="G1676" s="1348"/>
      <c r="H1676" s="1348"/>
      <c r="I1676" s="1348"/>
      <c r="J1676" s="1348"/>
      <c r="K1676" s="1348"/>
    </row>
    <row r="1677" spans="2:11" hidden="1">
      <c r="B1677" s="1348"/>
      <c r="C1677" s="1348"/>
      <c r="D1677" s="1348"/>
      <c r="E1677" s="1348"/>
      <c r="F1677" s="1348"/>
      <c r="G1677" s="1348"/>
      <c r="H1677" s="1348"/>
      <c r="I1677" s="1348"/>
      <c r="J1677" s="1348"/>
      <c r="K1677" s="1348"/>
    </row>
    <row r="1678" spans="2:11" hidden="1">
      <c r="B1678" s="1348"/>
      <c r="C1678" s="1348"/>
      <c r="D1678" s="1348"/>
      <c r="E1678" s="1348"/>
      <c r="F1678" s="1348"/>
      <c r="G1678" s="1348"/>
      <c r="H1678" s="1348"/>
      <c r="I1678" s="1348"/>
      <c r="J1678" s="1348"/>
      <c r="K1678" s="1348"/>
    </row>
    <row r="1679" spans="2:11" hidden="1">
      <c r="B1679" s="1348"/>
      <c r="C1679" s="1348"/>
      <c r="D1679" s="1348"/>
      <c r="E1679" s="1348"/>
      <c r="F1679" s="1348"/>
      <c r="G1679" s="1348"/>
      <c r="H1679" s="1348"/>
      <c r="I1679" s="1348"/>
      <c r="J1679" s="1348"/>
      <c r="K1679" s="1348"/>
    </row>
    <row r="1680" spans="2:11" hidden="1">
      <c r="B1680" s="1348"/>
      <c r="C1680" s="1348"/>
      <c r="D1680" s="1348"/>
      <c r="E1680" s="1348"/>
      <c r="F1680" s="1348"/>
      <c r="G1680" s="1348"/>
      <c r="H1680" s="1348"/>
      <c r="I1680" s="1348"/>
      <c r="J1680" s="1348"/>
      <c r="K1680" s="1348"/>
    </row>
    <row r="1681" spans="2:11" hidden="1">
      <c r="B1681" s="1348"/>
      <c r="C1681" s="1348"/>
      <c r="D1681" s="1348"/>
      <c r="E1681" s="1348"/>
      <c r="F1681" s="1348"/>
      <c r="G1681" s="1348"/>
      <c r="H1681" s="1348"/>
      <c r="I1681" s="1348"/>
      <c r="J1681" s="1348"/>
      <c r="K1681" s="1348"/>
    </row>
    <row r="1682" spans="2:11" hidden="1">
      <c r="B1682" s="1348"/>
      <c r="C1682" s="1348"/>
      <c r="D1682" s="1348"/>
      <c r="E1682" s="1348"/>
      <c r="F1682" s="1348"/>
      <c r="G1682" s="1348"/>
      <c r="H1682" s="1348"/>
      <c r="I1682" s="1348"/>
      <c r="J1682" s="1348"/>
      <c r="K1682" s="1348"/>
    </row>
    <row r="1683" spans="2:11" hidden="1">
      <c r="B1683" s="1348"/>
      <c r="C1683" s="1348"/>
      <c r="D1683" s="1348"/>
      <c r="E1683" s="1348"/>
      <c r="F1683" s="1348"/>
      <c r="G1683" s="1348"/>
      <c r="H1683" s="1348"/>
      <c r="I1683" s="1348"/>
      <c r="J1683" s="1348"/>
      <c r="K1683" s="1348"/>
    </row>
    <row r="1684" spans="2:11" hidden="1">
      <c r="B1684" s="1348"/>
      <c r="C1684" s="1348"/>
      <c r="D1684" s="1348"/>
      <c r="E1684" s="1348"/>
      <c r="F1684" s="1348"/>
      <c r="G1684" s="1348"/>
      <c r="H1684" s="1348"/>
      <c r="I1684" s="1348"/>
      <c r="J1684" s="1348"/>
      <c r="K1684" s="1348"/>
    </row>
    <row r="1685" spans="2:11" hidden="1">
      <c r="B1685" s="1348"/>
      <c r="C1685" s="1348"/>
      <c r="D1685" s="1348"/>
      <c r="E1685" s="1348"/>
      <c r="F1685" s="1348"/>
      <c r="G1685" s="1348"/>
      <c r="H1685" s="1348"/>
      <c r="I1685" s="1348"/>
      <c r="J1685" s="1348"/>
      <c r="K1685" s="1348"/>
    </row>
    <row r="1686" spans="2:11" hidden="1">
      <c r="B1686" s="1348"/>
      <c r="C1686" s="1348"/>
      <c r="D1686" s="1348"/>
      <c r="E1686" s="1348"/>
      <c r="F1686" s="1348"/>
      <c r="G1686" s="1348"/>
      <c r="H1686" s="1348"/>
      <c r="I1686" s="1348"/>
      <c r="J1686" s="1348"/>
      <c r="K1686" s="1348"/>
    </row>
    <row r="1687" spans="2:11" hidden="1">
      <c r="B1687" s="1348"/>
      <c r="C1687" s="1348"/>
      <c r="D1687" s="1348"/>
      <c r="E1687" s="1348"/>
      <c r="F1687" s="1348"/>
      <c r="G1687" s="1348"/>
      <c r="H1687" s="1348"/>
      <c r="I1687" s="1348"/>
      <c r="J1687" s="1348"/>
      <c r="K1687" s="1348"/>
    </row>
    <row r="1688" spans="2:11" hidden="1">
      <c r="B1688" s="1348"/>
      <c r="C1688" s="1348"/>
      <c r="D1688" s="1348"/>
      <c r="E1688" s="1348"/>
      <c r="F1688" s="1348"/>
      <c r="G1688" s="1348"/>
      <c r="H1688" s="1348"/>
      <c r="I1688" s="1348"/>
      <c r="J1688" s="1348"/>
      <c r="K1688" s="1348"/>
    </row>
    <row r="1689" spans="2:11" hidden="1">
      <c r="B1689" s="1348"/>
      <c r="C1689" s="1348"/>
      <c r="D1689" s="1348"/>
      <c r="E1689" s="1348"/>
      <c r="F1689" s="1348"/>
      <c r="G1689" s="1348"/>
      <c r="H1689" s="1348"/>
      <c r="I1689" s="1348"/>
      <c r="J1689" s="1348"/>
      <c r="K1689" s="1348"/>
    </row>
    <row r="1690" spans="2:11" hidden="1">
      <c r="B1690" s="1348"/>
      <c r="C1690" s="1348"/>
      <c r="D1690" s="1348"/>
      <c r="E1690" s="1348"/>
      <c r="F1690" s="1348"/>
      <c r="G1690" s="1348"/>
      <c r="H1690" s="1348"/>
      <c r="I1690" s="1348"/>
      <c r="J1690" s="1348"/>
      <c r="K1690" s="1348"/>
    </row>
    <row r="1691" spans="2:11" hidden="1">
      <c r="B1691" s="1348"/>
      <c r="C1691" s="1348"/>
      <c r="D1691" s="1348"/>
      <c r="E1691" s="1348"/>
      <c r="F1691" s="1348"/>
      <c r="G1691" s="1348"/>
      <c r="H1691" s="1348"/>
      <c r="I1691" s="1348"/>
      <c r="J1691" s="1348"/>
      <c r="K1691" s="1348"/>
    </row>
    <row r="1692" spans="2:11" hidden="1">
      <c r="B1692" s="1348"/>
      <c r="C1692" s="1348"/>
      <c r="D1692" s="1348"/>
      <c r="E1692" s="1348"/>
      <c r="F1692" s="1348"/>
      <c r="G1692" s="1348"/>
      <c r="H1692" s="1348"/>
      <c r="I1692" s="1348"/>
      <c r="J1692" s="1348"/>
      <c r="K1692" s="1348"/>
    </row>
    <row r="1693" spans="2:11" hidden="1">
      <c r="B1693" s="1348"/>
      <c r="C1693" s="1348"/>
      <c r="D1693" s="1348"/>
      <c r="E1693" s="1348"/>
      <c r="F1693" s="1348"/>
      <c r="G1693" s="1348"/>
      <c r="H1693" s="1348"/>
      <c r="I1693" s="1348"/>
      <c r="J1693" s="1348"/>
      <c r="K1693" s="1348"/>
    </row>
    <row r="1694" spans="2:11" hidden="1">
      <c r="B1694" s="1348"/>
      <c r="C1694" s="1348"/>
      <c r="D1694" s="1348"/>
      <c r="E1694" s="1348"/>
      <c r="F1694" s="1348"/>
      <c r="G1694" s="1348"/>
      <c r="H1694" s="1348"/>
      <c r="I1694" s="1348"/>
      <c r="J1694" s="1348"/>
      <c r="K1694" s="1348"/>
    </row>
    <row r="1695" spans="2:11" hidden="1">
      <c r="B1695" s="1348"/>
      <c r="C1695" s="1348"/>
      <c r="D1695" s="1348"/>
      <c r="E1695" s="1348"/>
      <c r="F1695" s="1348"/>
      <c r="G1695" s="1348"/>
      <c r="H1695" s="1348"/>
      <c r="I1695" s="1348"/>
      <c r="J1695" s="1348"/>
      <c r="K1695" s="1348"/>
    </row>
    <row r="1696" spans="2:11" hidden="1">
      <c r="B1696" s="1348"/>
      <c r="C1696" s="1348"/>
      <c r="D1696" s="1348"/>
      <c r="E1696" s="1348"/>
      <c r="F1696" s="1348"/>
      <c r="G1696" s="1348"/>
      <c r="H1696" s="1348"/>
      <c r="I1696" s="1348"/>
      <c r="J1696" s="1348"/>
      <c r="K1696" s="1348"/>
    </row>
    <row r="1697" spans="2:11" hidden="1">
      <c r="B1697" s="1348"/>
      <c r="C1697" s="1348"/>
      <c r="D1697" s="1348"/>
      <c r="E1697" s="1348"/>
      <c r="F1697" s="1348"/>
      <c r="G1697" s="1348"/>
      <c r="H1697" s="1348"/>
      <c r="I1697" s="1348"/>
      <c r="J1697" s="1348"/>
      <c r="K1697" s="1348"/>
    </row>
    <row r="1698" spans="2:11" hidden="1">
      <c r="B1698" s="1348"/>
      <c r="C1698" s="1348"/>
      <c r="D1698" s="1348"/>
      <c r="E1698" s="1348"/>
      <c r="F1698" s="1348"/>
      <c r="G1698" s="1348"/>
      <c r="H1698" s="1348"/>
      <c r="I1698" s="1348"/>
      <c r="J1698" s="1348"/>
      <c r="K1698" s="1348"/>
    </row>
    <row r="1699" spans="2:11" hidden="1">
      <c r="B1699" s="1348"/>
      <c r="C1699" s="1348"/>
      <c r="D1699" s="1348"/>
      <c r="E1699" s="1348"/>
      <c r="F1699" s="1348"/>
      <c r="G1699" s="1348"/>
      <c r="H1699" s="1348"/>
      <c r="I1699" s="1348"/>
      <c r="J1699" s="1348"/>
      <c r="K1699" s="1348"/>
    </row>
    <row r="1700" spans="2:11" hidden="1">
      <c r="B1700" s="1348"/>
      <c r="C1700" s="1348"/>
      <c r="D1700" s="1348"/>
      <c r="E1700" s="1348"/>
      <c r="F1700" s="1348"/>
      <c r="G1700" s="1348"/>
      <c r="H1700" s="1348"/>
      <c r="I1700" s="1348"/>
      <c r="J1700" s="1348"/>
      <c r="K1700" s="1348"/>
    </row>
    <row r="1701" spans="2:11" hidden="1">
      <c r="B1701" s="1348"/>
      <c r="C1701" s="1348"/>
      <c r="D1701" s="1348"/>
      <c r="E1701" s="1348"/>
      <c r="F1701" s="1348"/>
      <c r="G1701" s="1348"/>
      <c r="H1701" s="1348"/>
      <c r="I1701" s="1348"/>
      <c r="J1701" s="1348"/>
      <c r="K1701" s="1348"/>
    </row>
    <row r="1702" spans="2:11" hidden="1">
      <c r="B1702" s="1348"/>
      <c r="C1702" s="1348"/>
      <c r="D1702" s="1348"/>
      <c r="E1702" s="1348"/>
      <c r="F1702" s="1348"/>
      <c r="G1702" s="1348"/>
      <c r="H1702" s="1348"/>
      <c r="I1702" s="1348"/>
      <c r="J1702" s="1348"/>
      <c r="K1702" s="1348"/>
    </row>
    <row r="1703" spans="2:11" hidden="1">
      <c r="B1703" s="1348"/>
      <c r="C1703" s="1348"/>
      <c r="D1703" s="1348"/>
      <c r="E1703" s="1348"/>
      <c r="F1703" s="1348"/>
      <c r="G1703" s="1348"/>
      <c r="H1703" s="1348"/>
      <c r="I1703" s="1348"/>
      <c r="J1703" s="1348"/>
      <c r="K1703" s="1348"/>
    </row>
    <row r="1704" spans="2:11" hidden="1">
      <c r="B1704" s="1348"/>
      <c r="C1704" s="1348"/>
      <c r="D1704" s="1348"/>
      <c r="E1704" s="1348"/>
      <c r="F1704" s="1348"/>
      <c r="G1704" s="1348"/>
      <c r="H1704" s="1348"/>
      <c r="I1704" s="1348"/>
      <c r="J1704" s="1348"/>
      <c r="K1704" s="1348"/>
    </row>
    <row r="1705" spans="2:11" hidden="1">
      <c r="B1705" s="1348"/>
      <c r="C1705" s="1348"/>
      <c r="D1705" s="1348"/>
      <c r="E1705" s="1348"/>
      <c r="F1705" s="1348"/>
      <c r="G1705" s="1348"/>
      <c r="H1705" s="1348"/>
      <c r="I1705" s="1348"/>
      <c r="J1705" s="1348"/>
      <c r="K1705" s="1348"/>
    </row>
    <row r="1706" spans="2:11" hidden="1">
      <c r="B1706" s="1348"/>
      <c r="C1706" s="1348"/>
      <c r="D1706" s="1348"/>
      <c r="E1706" s="1348"/>
      <c r="F1706" s="1348"/>
      <c r="G1706" s="1348"/>
      <c r="H1706" s="1348"/>
      <c r="I1706" s="1348"/>
      <c r="J1706" s="1348"/>
      <c r="K1706" s="1348"/>
    </row>
    <row r="1707" spans="2:11" hidden="1">
      <c r="B1707" s="1348"/>
      <c r="C1707" s="1348"/>
      <c r="D1707" s="1348"/>
      <c r="E1707" s="1348"/>
      <c r="F1707" s="1348"/>
      <c r="G1707" s="1348"/>
      <c r="H1707" s="1348"/>
      <c r="I1707" s="1348"/>
      <c r="J1707" s="1348"/>
      <c r="K1707" s="1348"/>
    </row>
    <row r="1708" spans="2:11" hidden="1">
      <c r="B1708" s="1348"/>
      <c r="C1708" s="1348"/>
      <c r="D1708" s="1348"/>
      <c r="E1708" s="1348"/>
      <c r="F1708" s="1348"/>
      <c r="G1708" s="1348"/>
      <c r="H1708" s="1348"/>
      <c r="I1708" s="1348"/>
      <c r="J1708" s="1348"/>
      <c r="K1708" s="1348"/>
    </row>
    <row r="1709" spans="2:11" hidden="1">
      <c r="B1709" s="1348"/>
      <c r="C1709" s="1348"/>
      <c r="D1709" s="1348"/>
      <c r="E1709" s="1348"/>
      <c r="F1709" s="1348"/>
      <c r="G1709" s="1348"/>
      <c r="H1709" s="1348"/>
      <c r="I1709" s="1348"/>
      <c r="J1709" s="1348"/>
      <c r="K1709" s="1348"/>
    </row>
    <row r="1710" spans="2:11" hidden="1">
      <c r="B1710" s="1348"/>
      <c r="C1710" s="1348"/>
      <c r="D1710" s="1348"/>
      <c r="E1710" s="1348"/>
      <c r="F1710" s="1348"/>
      <c r="G1710" s="1348"/>
      <c r="H1710" s="1348"/>
      <c r="I1710" s="1348"/>
      <c r="J1710" s="1348"/>
      <c r="K1710" s="1348"/>
    </row>
    <row r="1711" spans="2:11" hidden="1">
      <c r="B1711" s="1348"/>
      <c r="C1711" s="1348"/>
      <c r="D1711" s="1348"/>
      <c r="E1711" s="1348"/>
      <c r="F1711" s="1348"/>
      <c r="G1711" s="1348"/>
      <c r="H1711" s="1348"/>
      <c r="I1711" s="1348"/>
      <c r="J1711" s="1348"/>
      <c r="K1711" s="1348"/>
    </row>
    <row r="1712" spans="2:11" hidden="1">
      <c r="B1712" s="1348"/>
      <c r="C1712" s="1348"/>
      <c r="D1712" s="1348"/>
      <c r="E1712" s="1348"/>
      <c r="F1712" s="1348"/>
      <c r="G1712" s="1348"/>
      <c r="H1712" s="1348"/>
      <c r="I1712" s="1348"/>
      <c r="J1712" s="1348"/>
      <c r="K1712" s="1348"/>
    </row>
    <row r="1713" spans="2:11" hidden="1">
      <c r="B1713" s="1348"/>
      <c r="C1713" s="1348"/>
      <c r="D1713" s="1348"/>
      <c r="E1713" s="1348"/>
      <c r="F1713" s="1348"/>
      <c r="G1713" s="1348"/>
      <c r="H1713" s="1348"/>
      <c r="I1713" s="1348"/>
      <c r="J1713" s="1348"/>
      <c r="K1713" s="1348"/>
    </row>
    <row r="1714" spans="2:11" hidden="1">
      <c r="B1714" s="1348"/>
      <c r="C1714" s="1348"/>
      <c r="D1714" s="1348"/>
      <c r="E1714" s="1348"/>
      <c r="F1714" s="1348"/>
      <c r="G1714" s="1348"/>
      <c r="H1714" s="1348"/>
      <c r="I1714" s="1348"/>
      <c r="J1714" s="1348"/>
      <c r="K1714" s="1348"/>
    </row>
    <row r="1715" spans="2:11" hidden="1">
      <c r="B1715" s="1348"/>
      <c r="C1715" s="1348"/>
      <c r="D1715" s="1348"/>
      <c r="E1715" s="1348"/>
      <c r="F1715" s="1348"/>
      <c r="G1715" s="1348"/>
      <c r="H1715" s="1348"/>
      <c r="I1715" s="1348"/>
      <c r="J1715" s="1348"/>
      <c r="K1715" s="1348"/>
    </row>
    <row r="1716" spans="2:11" hidden="1">
      <c r="B1716" s="1348"/>
      <c r="C1716" s="1348"/>
      <c r="D1716" s="1348"/>
      <c r="E1716" s="1348"/>
      <c r="F1716" s="1348"/>
      <c r="G1716" s="1348"/>
      <c r="H1716" s="1348"/>
      <c r="I1716" s="1348"/>
      <c r="J1716" s="1348"/>
      <c r="K1716" s="1348"/>
    </row>
    <row r="1717" spans="2:11" hidden="1">
      <c r="B1717" s="1348"/>
      <c r="C1717" s="1348"/>
      <c r="D1717" s="1348"/>
      <c r="E1717" s="1348"/>
      <c r="F1717" s="1348"/>
      <c r="G1717" s="1348"/>
      <c r="H1717" s="1348"/>
      <c r="I1717" s="1348"/>
      <c r="J1717" s="1348"/>
      <c r="K1717" s="1348"/>
    </row>
    <row r="1718" spans="2:11" hidden="1">
      <c r="B1718" s="1348"/>
      <c r="C1718" s="1348"/>
      <c r="D1718" s="1348"/>
      <c r="E1718" s="1348"/>
      <c r="F1718" s="1348"/>
      <c r="G1718" s="1348"/>
      <c r="H1718" s="1348"/>
      <c r="I1718" s="1348"/>
      <c r="J1718" s="1348"/>
      <c r="K1718" s="1348"/>
    </row>
    <row r="1719" spans="2:11" hidden="1">
      <c r="B1719" s="1348"/>
      <c r="C1719" s="1348"/>
      <c r="D1719" s="1348"/>
      <c r="E1719" s="1348"/>
      <c r="F1719" s="1348"/>
      <c r="G1719" s="1348"/>
      <c r="H1719" s="1348"/>
      <c r="I1719" s="1348"/>
      <c r="J1719" s="1348"/>
      <c r="K1719" s="1348"/>
    </row>
    <row r="1720" spans="2:11" hidden="1">
      <c r="B1720" s="1348"/>
      <c r="C1720" s="1348"/>
      <c r="D1720" s="1348"/>
      <c r="E1720" s="1348"/>
      <c r="F1720" s="1348"/>
      <c r="G1720" s="1348"/>
      <c r="H1720" s="1348"/>
      <c r="I1720" s="1348"/>
      <c r="J1720" s="1348"/>
      <c r="K1720" s="1348"/>
    </row>
    <row r="1721" spans="2:11" hidden="1">
      <c r="B1721" s="1348"/>
      <c r="C1721" s="1348"/>
      <c r="D1721" s="1348"/>
      <c r="E1721" s="1348"/>
      <c r="F1721" s="1348"/>
      <c r="G1721" s="1348"/>
      <c r="H1721" s="1348"/>
      <c r="I1721" s="1348"/>
      <c r="J1721" s="1348"/>
      <c r="K1721" s="1348"/>
    </row>
    <row r="1722" spans="2:11" hidden="1">
      <c r="B1722" s="1348"/>
      <c r="C1722" s="1348"/>
      <c r="D1722" s="1348"/>
      <c r="E1722" s="1348"/>
      <c r="F1722" s="1348"/>
      <c r="G1722" s="1348"/>
      <c r="H1722" s="1348"/>
      <c r="I1722" s="1348"/>
      <c r="J1722" s="1348"/>
      <c r="K1722" s="1348"/>
    </row>
    <row r="1723" spans="2:11" hidden="1">
      <c r="B1723" s="1348"/>
      <c r="C1723" s="1348"/>
      <c r="D1723" s="1348"/>
      <c r="E1723" s="1348"/>
      <c r="F1723" s="1348"/>
      <c r="G1723" s="1348"/>
      <c r="H1723" s="1348"/>
      <c r="I1723" s="1348"/>
      <c r="J1723" s="1348"/>
      <c r="K1723" s="1348"/>
    </row>
    <row r="1724" spans="2:11" hidden="1">
      <c r="B1724" s="1348"/>
      <c r="C1724" s="1348"/>
      <c r="D1724" s="1348"/>
      <c r="E1724" s="1348"/>
      <c r="F1724" s="1348"/>
      <c r="G1724" s="1348"/>
      <c r="H1724" s="1348"/>
      <c r="I1724" s="1348"/>
      <c r="J1724" s="1348"/>
      <c r="K1724" s="1348"/>
    </row>
    <row r="1725" spans="2:11" hidden="1">
      <c r="B1725" s="1348"/>
      <c r="C1725" s="1348"/>
      <c r="D1725" s="1348"/>
      <c r="E1725" s="1348"/>
      <c r="F1725" s="1348"/>
      <c r="G1725" s="1348"/>
      <c r="H1725" s="1348"/>
      <c r="I1725" s="1348"/>
      <c r="J1725" s="1348"/>
      <c r="K1725" s="1348"/>
    </row>
    <row r="1726" spans="2:11" hidden="1">
      <c r="B1726" s="1348"/>
      <c r="C1726" s="1348"/>
      <c r="D1726" s="1348"/>
      <c r="E1726" s="1348"/>
      <c r="F1726" s="1348"/>
      <c r="G1726" s="1348"/>
      <c r="H1726" s="1348"/>
      <c r="I1726" s="1348"/>
      <c r="J1726" s="1348"/>
      <c r="K1726" s="1348"/>
    </row>
    <row r="1727" spans="2:11" hidden="1">
      <c r="B1727" s="1348"/>
      <c r="C1727" s="1348"/>
      <c r="D1727" s="1348"/>
      <c r="E1727" s="1348"/>
      <c r="F1727" s="1348"/>
      <c r="G1727" s="1348"/>
      <c r="H1727" s="1348"/>
      <c r="I1727" s="1348"/>
      <c r="J1727" s="1348"/>
      <c r="K1727" s="1348"/>
    </row>
    <row r="1728" spans="2:11" hidden="1">
      <c r="B1728" s="1348"/>
      <c r="C1728" s="1348"/>
      <c r="D1728" s="1348"/>
      <c r="E1728" s="1348"/>
      <c r="F1728" s="1348"/>
      <c r="G1728" s="1348"/>
      <c r="H1728" s="1348"/>
      <c r="I1728" s="1348"/>
      <c r="J1728" s="1348"/>
      <c r="K1728" s="1348"/>
    </row>
    <row r="1729" spans="2:11" hidden="1">
      <c r="B1729" s="1348"/>
      <c r="C1729" s="1348"/>
      <c r="D1729" s="1348"/>
      <c r="E1729" s="1348"/>
      <c r="F1729" s="1348"/>
      <c r="G1729" s="1348"/>
      <c r="H1729" s="1348"/>
      <c r="I1729" s="1348"/>
      <c r="J1729" s="1348"/>
      <c r="K1729" s="1348"/>
    </row>
    <row r="1730" spans="2:11" hidden="1">
      <c r="B1730" s="1348"/>
      <c r="C1730" s="1348"/>
      <c r="D1730" s="1348"/>
      <c r="E1730" s="1348"/>
      <c r="F1730" s="1348"/>
      <c r="G1730" s="1348"/>
      <c r="H1730" s="1348"/>
      <c r="I1730" s="1348"/>
      <c r="J1730" s="1348"/>
      <c r="K1730" s="1348"/>
    </row>
    <row r="1731" spans="2:11" hidden="1">
      <c r="B1731" s="1348"/>
      <c r="C1731" s="1348"/>
      <c r="D1731" s="1348"/>
      <c r="E1731" s="1348"/>
      <c r="F1731" s="1348"/>
      <c r="G1731" s="1348"/>
      <c r="H1731" s="1348"/>
      <c r="I1731" s="1348"/>
      <c r="J1731" s="1348"/>
      <c r="K1731" s="1348"/>
    </row>
    <row r="1732" spans="2:11" hidden="1">
      <c r="B1732" s="1348"/>
      <c r="C1732" s="1348"/>
      <c r="D1732" s="1348"/>
      <c r="E1732" s="1348"/>
      <c r="F1732" s="1348"/>
      <c r="G1732" s="1348"/>
      <c r="H1732" s="1348"/>
      <c r="I1732" s="1348"/>
      <c r="J1732" s="1348"/>
      <c r="K1732" s="1348"/>
    </row>
    <row r="1733" spans="2:11" hidden="1">
      <c r="B1733" s="1348"/>
      <c r="C1733" s="1348"/>
      <c r="D1733" s="1348"/>
      <c r="E1733" s="1348"/>
      <c r="F1733" s="1348"/>
      <c r="G1733" s="1348"/>
      <c r="H1733" s="1348"/>
      <c r="I1733" s="1348"/>
      <c r="J1733" s="1348"/>
      <c r="K1733" s="1348"/>
    </row>
    <row r="1734" spans="2:11" hidden="1">
      <c r="B1734" s="1348"/>
      <c r="C1734" s="1348"/>
      <c r="D1734" s="1348"/>
      <c r="E1734" s="1348"/>
      <c r="F1734" s="1348"/>
      <c r="G1734" s="1348"/>
      <c r="H1734" s="1348"/>
      <c r="I1734" s="1348"/>
      <c r="J1734" s="1348"/>
      <c r="K1734" s="1348"/>
    </row>
    <row r="1735" spans="2:11" hidden="1">
      <c r="B1735" s="1348"/>
      <c r="C1735" s="1348"/>
      <c r="D1735" s="1348"/>
      <c r="E1735" s="1348"/>
      <c r="F1735" s="1348"/>
      <c r="G1735" s="1348"/>
      <c r="H1735" s="1348"/>
      <c r="I1735" s="1348"/>
      <c r="J1735" s="1348"/>
      <c r="K1735" s="1348"/>
    </row>
    <row r="1736" spans="2:11" hidden="1">
      <c r="B1736" s="1348"/>
      <c r="C1736" s="1348"/>
      <c r="D1736" s="1348"/>
      <c r="E1736" s="1348"/>
      <c r="F1736" s="1348"/>
      <c r="G1736" s="1348"/>
      <c r="H1736" s="1348"/>
      <c r="I1736" s="1348"/>
      <c r="J1736" s="1348"/>
      <c r="K1736" s="1348"/>
    </row>
    <row r="1737" spans="2:11" hidden="1">
      <c r="B1737" s="1348"/>
      <c r="C1737" s="1348"/>
      <c r="D1737" s="1348"/>
      <c r="E1737" s="1348"/>
      <c r="F1737" s="1348"/>
      <c r="G1737" s="1348"/>
      <c r="H1737" s="1348"/>
      <c r="I1737" s="1348"/>
      <c r="J1737" s="1348"/>
      <c r="K1737" s="1348"/>
    </row>
    <row r="1738" spans="2:11" hidden="1">
      <c r="B1738" s="1348"/>
      <c r="C1738" s="1348"/>
      <c r="D1738" s="1348"/>
      <c r="E1738" s="1348"/>
      <c r="F1738" s="1348"/>
      <c r="G1738" s="1348"/>
      <c r="H1738" s="1348"/>
      <c r="I1738" s="1348"/>
      <c r="J1738" s="1348"/>
      <c r="K1738" s="1348"/>
    </row>
    <row r="1739" spans="2:11" hidden="1">
      <c r="B1739" s="1348"/>
      <c r="C1739" s="1348"/>
      <c r="D1739" s="1348"/>
      <c r="E1739" s="1348"/>
      <c r="F1739" s="1348"/>
      <c r="G1739" s="1348"/>
      <c r="H1739" s="1348"/>
      <c r="I1739" s="1348"/>
      <c r="J1739" s="1348"/>
      <c r="K1739" s="1348"/>
    </row>
    <row r="1740" spans="2:11" hidden="1">
      <c r="B1740" s="1348"/>
      <c r="C1740" s="1348"/>
      <c r="D1740" s="1348"/>
      <c r="E1740" s="1348"/>
      <c r="F1740" s="1348"/>
      <c r="G1740" s="1348"/>
      <c r="H1740" s="1348"/>
      <c r="I1740" s="1348"/>
      <c r="J1740" s="1348"/>
      <c r="K1740" s="1348"/>
    </row>
    <row r="1741" spans="2:11" hidden="1">
      <c r="B1741" s="1348"/>
      <c r="C1741" s="1348"/>
      <c r="D1741" s="1348"/>
      <c r="E1741" s="1348"/>
      <c r="F1741" s="1348"/>
      <c r="G1741" s="1348"/>
      <c r="H1741" s="1348"/>
      <c r="I1741" s="1348"/>
      <c r="J1741" s="1348"/>
      <c r="K1741" s="1348"/>
    </row>
    <row r="1742" spans="2:11" hidden="1">
      <c r="B1742" s="1348"/>
      <c r="C1742" s="1348"/>
      <c r="D1742" s="1348"/>
      <c r="E1742" s="1348"/>
      <c r="F1742" s="1348"/>
      <c r="G1742" s="1348"/>
      <c r="H1742" s="1348"/>
      <c r="I1742" s="1348"/>
      <c r="J1742" s="1348"/>
      <c r="K1742" s="1348"/>
    </row>
    <row r="1743" spans="2:11" hidden="1">
      <c r="B1743" s="1348"/>
      <c r="C1743" s="1348"/>
      <c r="D1743" s="1348"/>
      <c r="E1743" s="1348"/>
      <c r="F1743" s="1348"/>
      <c r="G1743" s="1348"/>
      <c r="H1743" s="1348"/>
      <c r="I1743" s="1348"/>
      <c r="J1743" s="1348"/>
      <c r="K1743" s="1348"/>
    </row>
    <row r="1744" spans="2:11" hidden="1">
      <c r="B1744" s="1348"/>
      <c r="C1744" s="1348"/>
      <c r="D1744" s="1348"/>
      <c r="E1744" s="1348"/>
      <c r="F1744" s="1348"/>
      <c r="G1744" s="1348"/>
      <c r="H1744" s="1348"/>
      <c r="I1744" s="1348"/>
      <c r="J1744" s="1348"/>
      <c r="K1744" s="1348"/>
    </row>
    <row r="1745" spans="2:11" hidden="1">
      <c r="B1745" s="1348"/>
      <c r="C1745" s="1348"/>
      <c r="D1745" s="1348"/>
      <c r="E1745" s="1348"/>
      <c r="F1745" s="1348"/>
      <c r="G1745" s="1348"/>
      <c r="H1745" s="1348"/>
      <c r="I1745" s="1348"/>
      <c r="J1745" s="1348"/>
      <c r="K1745" s="1348"/>
    </row>
    <row r="1746" spans="2:11" hidden="1">
      <c r="B1746" s="1348"/>
      <c r="C1746" s="1348"/>
      <c r="D1746" s="1348"/>
      <c r="E1746" s="1348"/>
      <c r="F1746" s="1348"/>
      <c r="G1746" s="1348"/>
      <c r="H1746" s="1348"/>
      <c r="I1746" s="1348"/>
      <c r="J1746" s="1348"/>
      <c r="K1746" s="1348"/>
    </row>
    <row r="1747" spans="2:11" hidden="1">
      <c r="B1747" s="1348"/>
      <c r="C1747" s="1348"/>
      <c r="D1747" s="1348"/>
      <c r="E1747" s="1348"/>
      <c r="F1747" s="1348"/>
      <c r="G1747" s="1348"/>
      <c r="H1747" s="1348"/>
      <c r="I1747" s="1348"/>
      <c r="J1747" s="1348"/>
      <c r="K1747" s="1348"/>
    </row>
    <row r="1748" spans="2:11" hidden="1">
      <c r="B1748" s="1348"/>
      <c r="C1748" s="1348"/>
      <c r="D1748" s="1348"/>
      <c r="E1748" s="1348"/>
      <c r="F1748" s="1348"/>
      <c r="G1748" s="1348"/>
      <c r="H1748" s="1348"/>
      <c r="I1748" s="1348"/>
      <c r="J1748" s="1348"/>
      <c r="K1748" s="1348"/>
    </row>
    <row r="1749" spans="2:11" hidden="1">
      <c r="B1749" s="1348"/>
      <c r="C1749" s="1348"/>
      <c r="D1749" s="1348"/>
      <c r="E1749" s="1348"/>
      <c r="F1749" s="1348"/>
      <c r="G1749" s="1348"/>
      <c r="H1749" s="1348"/>
      <c r="I1749" s="1348"/>
      <c r="J1749" s="1348"/>
      <c r="K1749" s="1348"/>
    </row>
    <row r="1750" spans="2:11" hidden="1">
      <c r="B1750" s="1348"/>
      <c r="C1750" s="1348"/>
      <c r="D1750" s="1348"/>
      <c r="E1750" s="1348"/>
      <c r="F1750" s="1348"/>
      <c r="G1750" s="1348"/>
      <c r="H1750" s="1348"/>
      <c r="I1750" s="1348"/>
      <c r="J1750" s="1348"/>
      <c r="K1750" s="1348"/>
    </row>
    <row r="1751" spans="2:11" hidden="1">
      <c r="B1751" s="1348"/>
      <c r="C1751" s="1348"/>
      <c r="D1751" s="1348"/>
      <c r="E1751" s="1348"/>
      <c r="F1751" s="1348"/>
      <c r="G1751" s="1348"/>
      <c r="H1751" s="1348"/>
      <c r="I1751" s="1348"/>
      <c r="J1751" s="1348"/>
      <c r="K1751" s="1348"/>
    </row>
    <row r="1752" spans="2:11" hidden="1">
      <c r="B1752" s="1348"/>
      <c r="C1752" s="1348"/>
      <c r="D1752" s="1348"/>
      <c r="E1752" s="1348"/>
      <c r="F1752" s="1348"/>
      <c r="G1752" s="1348"/>
      <c r="H1752" s="1348"/>
      <c r="I1752" s="1348"/>
      <c r="J1752" s="1348"/>
      <c r="K1752" s="1348"/>
    </row>
    <row r="1753" spans="2:11" hidden="1">
      <c r="B1753" s="1348"/>
      <c r="C1753" s="1348"/>
      <c r="D1753" s="1348"/>
      <c r="E1753" s="1348"/>
      <c r="F1753" s="1348"/>
      <c r="G1753" s="1348"/>
      <c r="H1753" s="1348"/>
      <c r="I1753" s="1348"/>
      <c r="J1753" s="1348"/>
      <c r="K1753" s="1348"/>
    </row>
    <row r="1754" spans="2:11" hidden="1">
      <c r="B1754" s="1348"/>
      <c r="C1754" s="1348"/>
      <c r="D1754" s="1348"/>
      <c r="E1754" s="1348"/>
      <c r="F1754" s="1348"/>
      <c r="G1754" s="1348"/>
      <c r="H1754" s="1348"/>
      <c r="I1754" s="1348"/>
      <c r="J1754" s="1348"/>
      <c r="K1754" s="1348"/>
    </row>
    <row r="1755" spans="2:11" hidden="1">
      <c r="B1755" s="1348"/>
      <c r="C1755" s="1348"/>
      <c r="D1755" s="1348"/>
      <c r="E1755" s="1348"/>
      <c r="F1755" s="1348"/>
      <c r="G1755" s="1348"/>
      <c r="H1755" s="1348"/>
      <c r="I1755" s="1348"/>
      <c r="J1755" s="1348"/>
      <c r="K1755" s="1348"/>
    </row>
    <row r="1756" spans="2:11" hidden="1">
      <c r="B1756" s="1348"/>
      <c r="C1756" s="1348"/>
      <c r="D1756" s="1348"/>
      <c r="E1756" s="1348"/>
      <c r="F1756" s="1348"/>
      <c r="G1756" s="1348"/>
      <c r="H1756" s="1348"/>
      <c r="I1756" s="1348"/>
      <c r="J1756" s="1348"/>
      <c r="K1756" s="1348"/>
    </row>
    <row r="1757" spans="2:11" hidden="1">
      <c r="B1757" s="1348"/>
      <c r="C1757" s="1348"/>
      <c r="D1757" s="1348"/>
      <c r="E1757" s="1348"/>
      <c r="F1757" s="1348"/>
      <c r="G1757" s="1348"/>
      <c r="H1757" s="1348"/>
      <c r="I1757" s="1348"/>
      <c r="J1757" s="1348"/>
      <c r="K1757" s="1348"/>
    </row>
    <row r="1758" spans="2:11" hidden="1">
      <c r="B1758" s="1348"/>
      <c r="C1758" s="1348"/>
      <c r="D1758" s="1348"/>
      <c r="E1758" s="1348"/>
      <c r="F1758" s="1348"/>
      <c r="G1758" s="1348"/>
      <c r="H1758" s="1348"/>
      <c r="I1758" s="1348"/>
      <c r="J1758" s="1348"/>
      <c r="K1758" s="1348"/>
    </row>
    <row r="1759" spans="2:11" hidden="1">
      <c r="B1759" s="1348"/>
      <c r="C1759" s="1348"/>
      <c r="D1759" s="1348"/>
      <c r="E1759" s="1348"/>
      <c r="F1759" s="1348"/>
      <c r="G1759" s="1348"/>
      <c r="H1759" s="1348"/>
      <c r="I1759" s="1348"/>
      <c r="J1759" s="1348"/>
      <c r="K1759" s="1348"/>
    </row>
    <row r="1760" spans="2:11" hidden="1">
      <c r="B1760" s="1348"/>
      <c r="C1760" s="1348"/>
      <c r="D1760" s="1348"/>
      <c r="E1760" s="1348"/>
      <c r="F1760" s="1348"/>
      <c r="G1760" s="1348"/>
      <c r="H1760" s="1348"/>
      <c r="I1760" s="1348"/>
      <c r="J1760" s="1348"/>
      <c r="K1760" s="1348"/>
    </row>
    <row r="1761" spans="2:11" hidden="1">
      <c r="B1761" s="1348"/>
      <c r="C1761" s="1348"/>
      <c r="D1761" s="1348"/>
      <c r="E1761" s="1348"/>
      <c r="F1761" s="1348"/>
      <c r="G1761" s="1348"/>
      <c r="H1761" s="1348"/>
      <c r="I1761" s="1348"/>
      <c r="J1761" s="1348"/>
      <c r="K1761" s="1348"/>
    </row>
    <row r="1762" spans="2:11" hidden="1">
      <c r="B1762" s="1348"/>
      <c r="C1762" s="1348"/>
      <c r="D1762" s="1348"/>
      <c r="E1762" s="1348"/>
      <c r="F1762" s="1348"/>
      <c r="G1762" s="1348"/>
      <c r="H1762" s="1348"/>
      <c r="I1762" s="1348"/>
      <c r="J1762" s="1348"/>
      <c r="K1762" s="1348"/>
    </row>
    <row r="1763" spans="2:11" hidden="1">
      <c r="B1763" s="1348"/>
      <c r="C1763" s="1348"/>
      <c r="D1763" s="1348"/>
      <c r="E1763" s="1348"/>
      <c r="F1763" s="1348"/>
      <c r="G1763" s="1348"/>
      <c r="H1763" s="1348"/>
      <c r="I1763" s="1348"/>
      <c r="J1763" s="1348"/>
      <c r="K1763" s="1348"/>
    </row>
    <row r="1764" spans="2:11" hidden="1">
      <c r="B1764" s="1348"/>
      <c r="C1764" s="1348"/>
      <c r="D1764" s="1348"/>
      <c r="E1764" s="1348"/>
      <c r="F1764" s="1348"/>
      <c r="G1764" s="1348"/>
      <c r="H1764" s="1348"/>
      <c r="I1764" s="1348"/>
      <c r="J1764" s="1348"/>
      <c r="K1764" s="1348"/>
    </row>
    <row r="1765" spans="2:11" hidden="1">
      <c r="B1765" s="1348"/>
      <c r="C1765" s="1348"/>
      <c r="D1765" s="1348"/>
      <c r="E1765" s="1348"/>
      <c r="F1765" s="1348"/>
      <c r="G1765" s="1348"/>
      <c r="H1765" s="1348"/>
      <c r="I1765" s="1348"/>
      <c r="J1765" s="1348"/>
      <c r="K1765" s="1348"/>
    </row>
    <row r="1766" spans="2:11" hidden="1">
      <c r="B1766" s="1348"/>
      <c r="C1766" s="1348"/>
      <c r="D1766" s="1348"/>
      <c r="E1766" s="1348"/>
      <c r="F1766" s="1348"/>
      <c r="G1766" s="1348"/>
      <c r="H1766" s="1348"/>
      <c r="I1766" s="1348"/>
      <c r="J1766" s="1348"/>
      <c r="K1766" s="1348"/>
    </row>
    <row r="1767" spans="2:11" hidden="1">
      <c r="B1767" s="1348"/>
      <c r="C1767" s="1348"/>
      <c r="D1767" s="1348"/>
      <c r="E1767" s="1348"/>
      <c r="F1767" s="1348"/>
      <c r="G1767" s="1348"/>
      <c r="H1767" s="1348"/>
      <c r="I1767" s="1348"/>
      <c r="J1767" s="1348"/>
      <c r="K1767" s="1348"/>
    </row>
    <row r="1768" spans="2:11" hidden="1">
      <c r="B1768" s="1348"/>
      <c r="C1768" s="1348"/>
      <c r="D1768" s="1348"/>
      <c r="E1768" s="1348"/>
      <c r="F1768" s="1348"/>
      <c r="G1768" s="1348"/>
      <c r="H1768" s="1348"/>
      <c r="I1768" s="1348"/>
      <c r="J1768" s="1348"/>
      <c r="K1768" s="1348"/>
    </row>
    <row r="1769" spans="2:11" hidden="1">
      <c r="B1769" s="1348"/>
      <c r="C1769" s="1348"/>
      <c r="D1769" s="1348"/>
      <c r="E1769" s="1348"/>
      <c r="F1769" s="1348"/>
      <c r="G1769" s="1348"/>
      <c r="H1769" s="1348"/>
      <c r="I1769" s="1348"/>
      <c r="J1769" s="1348"/>
      <c r="K1769" s="1348"/>
    </row>
    <row r="1770" spans="2:11" hidden="1">
      <c r="B1770" s="1348"/>
      <c r="C1770" s="1348"/>
      <c r="D1770" s="1348"/>
      <c r="E1770" s="1348"/>
      <c r="F1770" s="1348"/>
      <c r="G1770" s="1348"/>
      <c r="H1770" s="1348"/>
      <c r="I1770" s="1348"/>
      <c r="J1770" s="1348"/>
      <c r="K1770" s="1348"/>
    </row>
    <row r="1771" spans="2:11" hidden="1">
      <c r="B1771" s="1348"/>
      <c r="C1771" s="1348"/>
      <c r="D1771" s="1348"/>
      <c r="E1771" s="1348"/>
      <c r="F1771" s="1348"/>
      <c r="G1771" s="1348"/>
      <c r="H1771" s="1348"/>
      <c r="I1771" s="1348"/>
      <c r="J1771" s="1348"/>
      <c r="K1771" s="1348"/>
    </row>
    <row r="1772" spans="2:11" hidden="1">
      <c r="B1772" s="1348"/>
      <c r="C1772" s="1348"/>
      <c r="D1772" s="1348"/>
      <c r="E1772" s="1348"/>
      <c r="F1772" s="1348"/>
      <c r="G1772" s="1348"/>
      <c r="H1772" s="1348"/>
      <c r="I1772" s="1348"/>
      <c r="J1772" s="1348"/>
      <c r="K1772" s="1348"/>
    </row>
    <row r="1773" spans="2:11" hidden="1">
      <c r="B1773" s="1348"/>
      <c r="C1773" s="1348"/>
      <c r="D1773" s="1348"/>
      <c r="E1773" s="1348"/>
      <c r="F1773" s="1348"/>
      <c r="G1773" s="1348"/>
      <c r="H1773" s="1348"/>
      <c r="I1773" s="1348"/>
      <c r="J1773" s="1348"/>
      <c r="K1773" s="1348"/>
    </row>
    <row r="1774" spans="2:11" hidden="1">
      <c r="B1774" s="1348"/>
      <c r="C1774" s="1348"/>
      <c r="D1774" s="1348"/>
      <c r="E1774" s="1348"/>
      <c r="F1774" s="1348"/>
      <c r="G1774" s="1348"/>
      <c r="H1774" s="1348"/>
      <c r="I1774" s="1348"/>
      <c r="J1774" s="1348"/>
      <c r="K1774" s="1348"/>
    </row>
    <row r="1775" spans="2:11" hidden="1">
      <c r="B1775" s="1348"/>
      <c r="C1775" s="1348"/>
      <c r="D1775" s="1348"/>
      <c r="E1775" s="1348"/>
      <c r="F1775" s="1348"/>
      <c r="G1775" s="1348"/>
      <c r="H1775" s="1348"/>
      <c r="I1775" s="1348"/>
      <c r="J1775" s="1348"/>
      <c r="K1775" s="1348"/>
    </row>
    <row r="1776" spans="2:11" hidden="1">
      <c r="B1776" s="1348"/>
      <c r="C1776" s="1348"/>
      <c r="D1776" s="1348"/>
      <c r="E1776" s="1348"/>
      <c r="F1776" s="1348"/>
      <c r="G1776" s="1348"/>
      <c r="H1776" s="1348"/>
      <c r="I1776" s="1348"/>
      <c r="J1776" s="1348"/>
      <c r="K1776" s="1348"/>
    </row>
    <row r="1777" spans="2:11" hidden="1">
      <c r="B1777" s="1348"/>
      <c r="C1777" s="1348"/>
      <c r="D1777" s="1348"/>
      <c r="E1777" s="1348"/>
      <c r="F1777" s="1348"/>
      <c r="G1777" s="1348"/>
      <c r="H1777" s="1348"/>
      <c r="I1777" s="1348"/>
      <c r="J1777" s="1348"/>
      <c r="K1777" s="1348"/>
    </row>
    <row r="1778" spans="2:11" hidden="1">
      <c r="B1778" s="1348"/>
      <c r="C1778" s="1348"/>
      <c r="D1778" s="1348"/>
      <c r="E1778" s="1348"/>
      <c r="F1778" s="1348"/>
      <c r="G1778" s="1348"/>
      <c r="H1778" s="1348"/>
      <c r="I1778" s="1348"/>
      <c r="J1778" s="1348"/>
      <c r="K1778" s="1348"/>
    </row>
    <row r="1779" spans="2:11" hidden="1">
      <c r="B1779" s="1348"/>
      <c r="C1779" s="1348"/>
      <c r="D1779" s="1348"/>
      <c r="E1779" s="1348"/>
      <c r="F1779" s="1348"/>
      <c r="G1779" s="1348"/>
      <c r="H1779" s="1348"/>
      <c r="I1779" s="1348"/>
      <c r="J1779" s="1348"/>
      <c r="K1779" s="1348"/>
    </row>
    <row r="1780" spans="2:11" hidden="1">
      <c r="B1780" s="1348"/>
      <c r="C1780" s="1348"/>
      <c r="D1780" s="1348"/>
      <c r="E1780" s="1348"/>
      <c r="F1780" s="1348"/>
      <c r="G1780" s="1348"/>
      <c r="H1780" s="1348"/>
      <c r="I1780" s="1348"/>
      <c r="J1780" s="1348"/>
      <c r="K1780" s="1348"/>
    </row>
    <row r="1781" spans="2:11" hidden="1">
      <c r="B1781" s="1348"/>
      <c r="C1781" s="1348"/>
      <c r="D1781" s="1348"/>
      <c r="E1781" s="1348"/>
      <c r="F1781" s="1348"/>
      <c r="G1781" s="1348"/>
      <c r="H1781" s="1348"/>
      <c r="I1781" s="1348"/>
      <c r="J1781" s="1348"/>
      <c r="K1781" s="1348"/>
    </row>
    <row r="1782" spans="2:11" hidden="1">
      <c r="B1782" s="1348"/>
      <c r="C1782" s="1348"/>
      <c r="D1782" s="1348"/>
      <c r="E1782" s="1348"/>
      <c r="F1782" s="1348"/>
      <c r="G1782" s="1348"/>
      <c r="H1782" s="1348"/>
      <c r="I1782" s="1348"/>
      <c r="J1782" s="1348"/>
      <c r="K1782" s="1348"/>
    </row>
    <row r="1783" spans="2:11" hidden="1">
      <c r="B1783" s="1348"/>
      <c r="C1783" s="1348"/>
      <c r="D1783" s="1348"/>
      <c r="E1783" s="1348"/>
      <c r="F1783" s="1348"/>
      <c r="G1783" s="1348"/>
      <c r="H1783" s="1348"/>
      <c r="I1783" s="1348"/>
      <c r="J1783" s="1348"/>
      <c r="K1783" s="1348"/>
    </row>
    <row r="1784" spans="2:11" hidden="1">
      <c r="B1784" s="1348"/>
      <c r="C1784" s="1348"/>
      <c r="D1784" s="1348"/>
      <c r="E1784" s="1348"/>
      <c r="F1784" s="1348"/>
      <c r="G1784" s="1348"/>
      <c r="H1784" s="1348"/>
      <c r="I1784" s="1348"/>
      <c r="J1784" s="1348"/>
      <c r="K1784" s="1348"/>
    </row>
    <row r="1785" spans="2:11" hidden="1">
      <c r="B1785" s="1348"/>
      <c r="C1785" s="1348"/>
      <c r="D1785" s="1348"/>
      <c r="E1785" s="1348"/>
      <c r="F1785" s="1348"/>
      <c r="G1785" s="1348"/>
      <c r="H1785" s="1348"/>
      <c r="I1785" s="1348"/>
      <c r="J1785" s="1348"/>
      <c r="K1785" s="1348"/>
    </row>
    <row r="1786" spans="2:11" hidden="1">
      <c r="B1786" s="1348"/>
      <c r="C1786" s="1348"/>
      <c r="D1786" s="1348"/>
      <c r="E1786" s="1348"/>
      <c r="F1786" s="1348"/>
      <c r="G1786" s="1348"/>
      <c r="H1786" s="1348"/>
      <c r="I1786" s="1348"/>
      <c r="J1786" s="1348"/>
      <c r="K1786" s="1348"/>
    </row>
    <row r="1787" spans="2:11" hidden="1">
      <c r="B1787" s="1348"/>
      <c r="C1787" s="1348"/>
      <c r="D1787" s="1348"/>
      <c r="E1787" s="1348"/>
      <c r="F1787" s="1348"/>
      <c r="G1787" s="1348"/>
      <c r="H1787" s="1348"/>
      <c r="I1787" s="1348"/>
      <c r="J1787" s="1348"/>
      <c r="K1787" s="1348"/>
    </row>
    <row r="1788" spans="2:11" hidden="1">
      <c r="B1788" s="1348"/>
      <c r="C1788" s="1348"/>
      <c r="D1788" s="1348"/>
      <c r="E1788" s="1348"/>
      <c r="F1788" s="1348"/>
      <c r="G1788" s="1348"/>
      <c r="H1788" s="1348"/>
      <c r="I1788" s="1348"/>
      <c r="J1788" s="1348"/>
      <c r="K1788" s="1348"/>
    </row>
    <row r="1789" spans="2:11" hidden="1">
      <c r="B1789" s="1348"/>
      <c r="C1789" s="1348"/>
      <c r="D1789" s="1348"/>
      <c r="E1789" s="1348"/>
      <c r="F1789" s="1348"/>
      <c r="G1789" s="1348"/>
      <c r="H1789" s="1348"/>
      <c r="I1789" s="1348"/>
      <c r="J1789" s="1348"/>
      <c r="K1789" s="1348"/>
    </row>
    <row r="1790" spans="2:11" hidden="1">
      <c r="B1790" s="1348"/>
      <c r="C1790" s="1348"/>
      <c r="D1790" s="1348"/>
      <c r="E1790" s="1348"/>
      <c r="F1790" s="1348"/>
      <c r="G1790" s="1348"/>
      <c r="H1790" s="1348"/>
      <c r="I1790" s="1348"/>
      <c r="J1790" s="1348"/>
      <c r="K1790" s="1348"/>
    </row>
    <row r="1791" spans="2:11" hidden="1">
      <c r="B1791" s="1348"/>
      <c r="C1791" s="1348"/>
      <c r="D1791" s="1348"/>
      <c r="E1791" s="1348"/>
      <c r="F1791" s="1348"/>
      <c r="G1791" s="1348"/>
      <c r="H1791" s="1348"/>
      <c r="I1791" s="1348"/>
      <c r="J1791" s="1348"/>
      <c r="K1791" s="1348"/>
    </row>
    <row r="1792" spans="2:11" hidden="1">
      <c r="B1792" s="1348"/>
      <c r="C1792" s="1348"/>
      <c r="D1792" s="1348"/>
      <c r="E1792" s="1348"/>
      <c r="F1792" s="1348"/>
      <c r="G1792" s="1348"/>
      <c r="H1792" s="1348"/>
      <c r="I1792" s="1348"/>
      <c r="J1792" s="1348"/>
      <c r="K1792" s="1348"/>
    </row>
    <row r="1793" spans="2:11" hidden="1">
      <c r="B1793" s="1348"/>
      <c r="C1793" s="1348"/>
      <c r="D1793" s="1348"/>
      <c r="E1793" s="1348"/>
      <c r="F1793" s="1348"/>
      <c r="G1793" s="1348"/>
      <c r="H1793" s="1348"/>
      <c r="I1793" s="1348"/>
      <c r="J1793" s="1348"/>
      <c r="K1793" s="1348"/>
    </row>
    <row r="1794" spans="2:11" hidden="1">
      <c r="B1794" s="1348"/>
      <c r="C1794" s="1348"/>
      <c r="D1794" s="1348"/>
      <c r="E1794" s="1348"/>
      <c r="F1794" s="1348"/>
      <c r="G1794" s="1348"/>
      <c r="H1794" s="1348"/>
      <c r="I1794" s="1348"/>
      <c r="J1794" s="1348"/>
      <c r="K1794" s="1348"/>
    </row>
    <row r="1795" spans="2:11" hidden="1">
      <c r="B1795" s="1348"/>
      <c r="C1795" s="1348"/>
      <c r="D1795" s="1348"/>
      <c r="E1795" s="1348"/>
      <c r="F1795" s="1348"/>
      <c r="G1795" s="1348"/>
      <c r="H1795" s="1348"/>
      <c r="I1795" s="1348"/>
      <c r="J1795" s="1348"/>
      <c r="K1795" s="1348"/>
    </row>
    <row r="1796" spans="2:11" hidden="1">
      <c r="B1796" s="1348"/>
      <c r="C1796" s="1348"/>
      <c r="D1796" s="1348"/>
      <c r="E1796" s="1348"/>
      <c r="F1796" s="1348"/>
      <c r="G1796" s="1348"/>
      <c r="H1796" s="1348"/>
      <c r="I1796" s="1348"/>
      <c r="J1796" s="1348"/>
      <c r="K1796" s="1348"/>
    </row>
    <row r="1797" spans="2:11" hidden="1">
      <c r="B1797" s="1348"/>
      <c r="C1797" s="1348"/>
      <c r="D1797" s="1348"/>
      <c r="E1797" s="1348"/>
      <c r="F1797" s="1348"/>
      <c r="G1797" s="1348"/>
      <c r="H1797" s="1348"/>
      <c r="I1797" s="1348"/>
      <c r="J1797" s="1348"/>
      <c r="K1797" s="1348"/>
    </row>
    <row r="1798" spans="2:11" hidden="1">
      <c r="B1798" s="1348"/>
      <c r="C1798" s="1348"/>
      <c r="D1798" s="1348"/>
      <c r="E1798" s="1348"/>
      <c r="F1798" s="1348"/>
      <c r="G1798" s="1348"/>
      <c r="H1798" s="1348"/>
      <c r="I1798" s="1348"/>
      <c r="J1798" s="1348"/>
      <c r="K1798" s="1348"/>
    </row>
    <row r="1799" spans="2:11" hidden="1">
      <c r="B1799" s="1348"/>
      <c r="C1799" s="1348"/>
      <c r="D1799" s="1348"/>
      <c r="E1799" s="1348"/>
      <c r="F1799" s="1348"/>
      <c r="G1799" s="1348"/>
      <c r="H1799" s="1348"/>
      <c r="I1799" s="1348"/>
      <c r="J1799" s="1348"/>
      <c r="K1799" s="1348"/>
    </row>
    <row r="1800" spans="2:11" hidden="1">
      <c r="B1800" s="1348"/>
      <c r="C1800" s="1348"/>
      <c r="D1800" s="1348"/>
      <c r="E1800" s="1348"/>
      <c r="F1800" s="1348"/>
      <c r="G1800" s="1348"/>
      <c r="H1800" s="1348"/>
      <c r="I1800" s="1348"/>
      <c r="J1800" s="1348"/>
      <c r="K1800" s="1348"/>
    </row>
    <row r="1801" spans="2:11" hidden="1">
      <c r="B1801" s="1348"/>
      <c r="C1801" s="1348"/>
      <c r="D1801" s="1348"/>
      <c r="E1801" s="1348"/>
      <c r="F1801" s="1348"/>
      <c r="G1801" s="1348"/>
      <c r="H1801" s="1348"/>
      <c r="I1801" s="1348"/>
      <c r="J1801" s="1348"/>
      <c r="K1801" s="1348"/>
    </row>
    <row r="1802" spans="2:11" hidden="1">
      <c r="B1802" s="1348"/>
      <c r="C1802" s="1348"/>
      <c r="D1802" s="1348"/>
      <c r="E1802" s="1348"/>
      <c r="F1802" s="1348"/>
      <c r="G1802" s="1348"/>
      <c r="H1802" s="1348"/>
      <c r="I1802" s="1348"/>
      <c r="J1802" s="1348"/>
      <c r="K1802" s="1348"/>
    </row>
    <row r="1803" spans="2:11" hidden="1">
      <c r="B1803" s="1348"/>
      <c r="C1803" s="1348"/>
      <c r="D1803" s="1348"/>
      <c r="E1803" s="1348"/>
      <c r="F1803" s="1348"/>
      <c r="G1803" s="1348"/>
      <c r="H1803" s="1348"/>
      <c r="I1803" s="1348"/>
      <c r="J1803" s="1348"/>
      <c r="K1803" s="1348"/>
    </row>
    <row r="1804" spans="2:11" hidden="1">
      <c r="B1804" s="1348"/>
      <c r="C1804" s="1348"/>
      <c r="D1804" s="1348"/>
      <c r="E1804" s="1348"/>
      <c r="F1804" s="1348"/>
      <c r="G1804" s="1348"/>
      <c r="H1804" s="1348"/>
      <c r="I1804" s="1348"/>
      <c r="J1804" s="1348"/>
      <c r="K1804" s="1348"/>
    </row>
    <row r="1805" spans="2:11" hidden="1">
      <c r="B1805" s="1348"/>
      <c r="C1805" s="1348"/>
      <c r="D1805" s="1348"/>
      <c r="E1805" s="1348"/>
      <c r="F1805" s="1348"/>
      <c r="G1805" s="1348"/>
      <c r="H1805" s="1348"/>
      <c r="I1805" s="1348"/>
      <c r="J1805" s="1348"/>
      <c r="K1805" s="1348"/>
    </row>
    <row r="1806" spans="2:11" hidden="1">
      <c r="B1806" s="1348"/>
      <c r="C1806" s="1348"/>
      <c r="D1806" s="1348"/>
      <c r="E1806" s="1348"/>
      <c r="F1806" s="1348"/>
      <c r="G1806" s="1348"/>
      <c r="H1806" s="1348"/>
      <c r="I1806" s="1348"/>
      <c r="J1806" s="1348"/>
      <c r="K1806" s="1348"/>
    </row>
    <row r="1807" spans="2:11" hidden="1">
      <c r="B1807" s="1348"/>
      <c r="C1807" s="1348"/>
      <c r="D1807" s="1348"/>
      <c r="E1807" s="1348"/>
      <c r="F1807" s="1348"/>
      <c r="G1807" s="1348"/>
      <c r="H1807" s="1348"/>
      <c r="I1807" s="1348"/>
      <c r="J1807" s="1348"/>
      <c r="K1807" s="1348"/>
    </row>
    <row r="1808" spans="2:11" hidden="1">
      <c r="B1808" s="1348"/>
      <c r="C1808" s="1348"/>
      <c r="D1808" s="1348"/>
      <c r="E1808" s="1348"/>
      <c r="F1808" s="1348"/>
      <c r="G1808" s="1348"/>
      <c r="H1808" s="1348"/>
      <c r="I1808" s="1348"/>
      <c r="J1808" s="1348"/>
      <c r="K1808" s="1348"/>
    </row>
    <row r="1809" spans="2:11" hidden="1">
      <c r="B1809" s="1348"/>
      <c r="C1809" s="1348"/>
      <c r="D1809" s="1348"/>
      <c r="E1809" s="1348"/>
      <c r="F1809" s="1348"/>
      <c r="G1809" s="1348"/>
      <c r="H1809" s="1348"/>
      <c r="I1809" s="1348"/>
      <c r="J1809" s="1348"/>
      <c r="K1809" s="1348"/>
    </row>
    <row r="1810" spans="2:11" hidden="1">
      <c r="B1810" s="1348"/>
      <c r="C1810" s="1348"/>
      <c r="D1810" s="1348"/>
      <c r="E1810" s="1348"/>
      <c r="F1810" s="1348"/>
      <c r="G1810" s="1348"/>
      <c r="H1810" s="1348"/>
      <c r="I1810" s="1348"/>
      <c r="J1810" s="1348"/>
      <c r="K1810" s="1348"/>
    </row>
    <row r="1811" spans="2:11" hidden="1">
      <c r="B1811" s="1348"/>
      <c r="C1811" s="1348"/>
      <c r="D1811" s="1348"/>
      <c r="E1811" s="1348"/>
      <c r="F1811" s="1348"/>
      <c r="G1811" s="1348"/>
      <c r="H1811" s="1348"/>
      <c r="I1811" s="1348"/>
      <c r="J1811" s="1348"/>
      <c r="K1811" s="1348"/>
    </row>
    <row r="1812" spans="2:11" hidden="1">
      <c r="B1812" s="1348"/>
      <c r="C1812" s="1348"/>
      <c r="D1812" s="1348"/>
      <c r="E1812" s="1348"/>
      <c r="F1812" s="1348"/>
      <c r="G1812" s="1348"/>
      <c r="H1812" s="1348"/>
      <c r="I1812" s="1348"/>
      <c r="J1812" s="1348"/>
      <c r="K1812" s="1348"/>
    </row>
    <row r="1813" spans="2:11" hidden="1">
      <c r="B1813" s="1348"/>
      <c r="C1813" s="1348"/>
      <c r="D1813" s="1348"/>
      <c r="E1813" s="1348"/>
      <c r="F1813" s="1348"/>
      <c r="G1813" s="1348"/>
      <c r="H1813" s="1348"/>
      <c r="I1813" s="1348"/>
      <c r="J1813" s="1348"/>
      <c r="K1813" s="1348"/>
    </row>
    <row r="1814" spans="2:11" hidden="1">
      <c r="B1814" s="1348"/>
      <c r="C1814" s="1348"/>
      <c r="D1814" s="1348"/>
      <c r="E1814" s="1348"/>
      <c r="F1814" s="1348"/>
      <c r="G1814" s="1348"/>
      <c r="H1814" s="1348"/>
      <c r="I1814" s="1348"/>
      <c r="J1814" s="1348"/>
      <c r="K1814" s="1348"/>
    </row>
    <row r="1815" spans="2:11" hidden="1">
      <c r="B1815" s="1348"/>
      <c r="C1815" s="1348"/>
      <c r="D1815" s="1348"/>
      <c r="E1815" s="1348"/>
      <c r="F1815" s="1348"/>
      <c r="G1815" s="1348"/>
      <c r="H1815" s="1348"/>
      <c r="I1815" s="1348"/>
      <c r="J1815" s="1348"/>
      <c r="K1815" s="1348"/>
    </row>
    <row r="1816" spans="2:11" hidden="1">
      <c r="B1816" s="1348"/>
      <c r="C1816" s="1348"/>
      <c r="D1816" s="1348"/>
      <c r="E1816" s="1348"/>
      <c r="F1816" s="1348"/>
      <c r="G1816" s="1348"/>
      <c r="H1816" s="1348"/>
      <c r="I1816" s="1348"/>
      <c r="J1816" s="1348"/>
      <c r="K1816" s="1348"/>
    </row>
    <row r="1817" spans="2:11" hidden="1">
      <c r="B1817" s="1348"/>
      <c r="C1817" s="1348"/>
      <c r="D1817" s="1348"/>
      <c r="E1817" s="1348"/>
      <c r="F1817" s="1348"/>
      <c r="G1817" s="1348"/>
      <c r="H1817" s="1348"/>
      <c r="I1817" s="1348"/>
      <c r="J1817" s="1348"/>
      <c r="K1817" s="1348"/>
    </row>
    <row r="1818" spans="2:11" hidden="1">
      <c r="B1818" s="1348"/>
      <c r="C1818" s="1348"/>
      <c r="D1818" s="1348"/>
      <c r="E1818" s="1348"/>
      <c r="F1818" s="1348"/>
      <c r="G1818" s="1348"/>
      <c r="H1818" s="1348"/>
      <c r="I1818" s="1348"/>
      <c r="J1818" s="1348"/>
      <c r="K1818" s="1348"/>
    </row>
    <row r="1819" spans="2:11" hidden="1">
      <c r="B1819" s="1348"/>
      <c r="C1819" s="1348"/>
      <c r="D1819" s="1348"/>
      <c r="E1819" s="1348"/>
      <c r="F1819" s="1348"/>
      <c r="G1819" s="1348"/>
      <c r="H1819" s="1348"/>
      <c r="I1819" s="1348"/>
      <c r="J1819" s="1348"/>
      <c r="K1819" s="1348"/>
    </row>
    <row r="1820" spans="2:11" hidden="1">
      <c r="B1820" s="1348"/>
      <c r="C1820" s="1348"/>
      <c r="D1820" s="1348"/>
      <c r="E1820" s="1348"/>
      <c r="F1820" s="1348"/>
      <c r="G1820" s="1348"/>
      <c r="H1820" s="1348"/>
      <c r="I1820" s="1348"/>
      <c r="J1820" s="1348"/>
      <c r="K1820" s="1348"/>
    </row>
    <row r="1821" spans="2:11" hidden="1">
      <c r="B1821" s="1348"/>
      <c r="C1821" s="1348"/>
      <c r="D1821" s="1348"/>
      <c r="E1821" s="1348"/>
      <c r="F1821" s="1348"/>
      <c r="G1821" s="1348"/>
      <c r="H1821" s="1348"/>
      <c r="I1821" s="1348"/>
      <c r="J1821" s="1348"/>
      <c r="K1821" s="1348"/>
    </row>
    <row r="1822" spans="2:11" hidden="1">
      <c r="B1822" s="1348"/>
      <c r="C1822" s="1348"/>
      <c r="D1822" s="1348"/>
      <c r="E1822" s="1348"/>
      <c r="F1822" s="1348"/>
      <c r="G1822" s="1348"/>
      <c r="H1822" s="1348"/>
      <c r="I1822" s="1348"/>
      <c r="J1822" s="1348"/>
      <c r="K1822" s="1348"/>
    </row>
    <row r="1823" spans="2:11" hidden="1">
      <c r="B1823" s="1348"/>
      <c r="C1823" s="1348"/>
      <c r="D1823" s="1348"/>
      <c r="E1823" s="1348"/>
      <c r="F1823" s="1348"/>
      <c r="G1823" s="1348"/>
      <c r="H1823" s="1348"/>
      <c r="I1823" s="1348"/>
      <c r="J1823" s="1348"/>
      <c r="K1823" s="1348"/>
    </row>
    <row r="1824" spans="2:11" hidden="1">
      <c r="B1824" s="1348"/>
      <c r="C1824" s="1348"/>
      <c r="D1824" s="1348"/>
      <c r="E1824" s="1348"/>
      <c r="F1824" s="1348"/>
      <c r="G1824" s="1348"/>
      <c r="H1824" s="1348"/>
      <c r="I1824" s="1348"/>
      <c r="J1824" s="1348"/>
      <c r="K1824" s="1348"/>
    </row>
    <row r="1825" spans="2:11" hidden="1">
      <c r="B1825" s="1348"/>
      <c r="C1825" s="1348"/>
      <c r="D1825" s="1348"/>
      <c r="E1825" s="1348"/>
      <c r="F1825" s="1348"/>
      <c r="G1825" s="1348"/>
      <c r="H1825" s="1348"/>
      <c r="I1825" s="1348"/>
      <c r="J1825" s="1348"/>
      <c r="K1825" s="1348"/>
    </row>
    <row r="1826" spans="2:11" hidden="1">
      <c r="B1826" s="1348"/>
      <c r="C1826" s="1348"/>
      <c r="D1826" s="1348"/>
      <c r="E1826" s="1348"/>
      <c r="F1826" s="1348"/>
      <c r="G1826" s="1348"/>
      <c r="H1826" s="1348"/>
      <c r="I1826" s="1348"/>
      <c r="J1826" s="1348"/>
      <c r="K1826" s="1348"/>
    </row>
    <row r="1827" spans="2:11" hidden="1">
      <c r="B1827" s="1348"/>
      <c r="C1827" s="1348"/>
      <c r="D1827" s="1348"/>
      <c r="E1827" s="1348"/>
      <c r="F1827" s="1348"/>
      <c r="G1827" s="1348"/>
      <c r="H1827" s="1348"/>
      <c r="I1827" s="1348"/>
      <c r="J1827" s="1348"/>
      <c r="K1827" s="1348"/>
    </row>
    <row r="1828" spans="2:11" hidden="1">
      <c r="B1828" s="1348"/>
      <c r="C1828" s="1348"/>
      <c r="D1828" s="1348"/>
      <c r="E1828" s="1348"/>
      <c r="F1828" s="1348"/>
      <c r="G1828" s="1348"/>
      <c r="H1828" s="1348"/>
      <c r="I1828" s="1348"/>
      <c r="J1828" s="1348"/>
      <c r="K1828" s="1348"/>
    </row>
    <row r="1829" spans="2:11" hidden="1">
      <c r="B1829" s="1348"/>
      <c r="C1829" s="1348"/>
      <c r="D1829" s="1348"/>
      <c r="E1829" s="1348"/>
      <c r="F1829" s="1348"/>
      <c r="G1829" s="1348"/>
      <c r="H1829" s="1348"/>
      <c r="I1829" s="1348"/>
      <c r="J1829" s="1348"/>
      <c r="K1829" s="1348"/>
    </row>
    <row r="1830" spans="2:11" hidden="1">
      <c r="B1830" s="1348"/>
      <c r="C1830" s="1348"/>
      <c r="D1830" s="1348"/>
      <c r="E1830" s="1348"/>
      <c r="F1830" s="1348"/>
      <c r="G1830" s="1348"/>
      <c r="H1830" s="1348"/>
      <c r="I1830" s="1348"/>
      <c r="J1830" s="1348"/>
      <c r="K1830" s="1348"/>
    </row>
    <row r="1831" spans="2:11" hidden="1">
      <c r="B1831" s="1348"/>
      <c r="C1831" s="1348"/>
      <c r="D1831" s="1348"/>
      <c r="E1831" s="1348"/>
      <c r="F1831" s="1348"/>
      <c r="G1831" s="1348"/>
      <c r="H1831" s="1348"/>
      <c r="I1831" s="1348"/>
      <c r="J1831" s="1348"/>
      <c r="K1831" s="1348"/>
    </row>
    <row r="1832" spans="2:11" hidden="1">
      <c r="B1832" s="1348"/>
      <c r="C1832" s="1348"/>
      <c r="D1832" s="1348"/>
      <c r="E1832" s="1348"/>
      <c r="F1832" s="1348"/>
      <c r="G1832" s="1348"/>
      <c r="H1832" s="1348"/>
      <c r="I1832" s="1348"/>
      <c r="J1832" s="1348"/>
      <c r="K1832" s="1348"/>
    </row>
    <row r="1833" spans="2:11" hidden="1">
      <c r="B1833" s="1348"/>
      <c r="C1833" s="1348"/>
      <c r="D1833" s="1348"/>
      <c r="E1833" s="1348"/>
      <c r="F1833" s="1348"/>
      <c r="G1833" s="1348"/>
      <c r="H1833" s="1348"/>
      <c r="I1833" s="1348"/>
      <c r="J1833" s="1348"/>
      <c r="K1833" s="1348"/>
    </row>
    <row r="1834" spans="2:11" hidden="1">
      <c r="B1834" s="1348"/>
      <c r="C1834" s="1348"/>
      <c r="D1834" s="1348"/>
      <c r="E1834" s="1348"/>
      <c r="F1834" s="1348"/>
      <c r="G1834" s="1348"/>
      <c r="H1834" s="1348"/>
      <c r="I1834" s="1348"/>
      <c r="J1834" s="1348"/>
      <c r="K1834" s="1348"/>
    </row>
    <row r="1835" spans="2:11" hidden="1">
      <c r="B1835" s="1348"/>
      <c r="C1835" s="1348"/>
      <c r="D1835" s="1348"/>
      <c r="E1835" s="1348"/>
      <c r="F1835" s="1348"/>
      <c r="G1835" s="1348"/>
      <c r="H1835" s="1348"/>
      <c r="I1835" s="1348"/>
      <c r="J1835" s="1348"/>
      <c r="K1835" s="1348"/>
    </row>
    <row r="1836" spans="2:11" hidden="1">
      <c r="B1836" s="1348"/>
      <c r="C1836" s="1348"/>
      <c r="D1836" s="1348"/>
      <c r="E1836" s="1348"/>
      <c r="F1836" s="1348"/>
      <c r="G1836" s="1348"/>
      <c r="H1836" s="1348"/>
      <c r="I1836" s="1348"/>
      <c r="J1836" s="1348"/>
      <c r="K1836" s="1348"/>
    </row>
    <row r="1837" spans="2:11" hidden="1">
      <c r="B1837" s="1348"/>
      <c r="C1837" s="1348"/>
      <c r="D1837" s="1348"/>
      <c r="E1837" s="1348"/>
      <c r="F1837" s="1348"/>
      <c r="G1837" s="1348"/>
      <c r="H1837" s="1348"/>
      <c r="I1837" s="1348"/>
      <c r="J1837" s="1348"/>
      <c r="K1837" s="1348"/>
    </row>
    <row r="1838" spans="2:11" hidden="1">
      <c r="B1838" s="1348"/>
      <c r="C1838" s="1348"/>
      <c r="D1838" s="1348"/>
      <c r="E1838" s="1348"/>
      <c r="F1838" s="1348"/>
      <c r="G1838" s="1348"/>
      <c r="H1838" s="1348"/>
      <c r="I1838" s="1348"/>
      <c r="J1838" s="1348"/>
      <c r="K1838" s="1348"/>
    </row>
    <row r="1839" spans="2:11" hidden="1">
      <c r="B1839" s="1348"/>
      <c r="C1839" s="1348"/>
      <c r="D1839" s="1348"/>
      <c r="E1839" s="1348"/>
      <c r="F1839" s="1348"/>
      <c r="G1839" s="1348"/>
      <c r="H1839" s="1348"/>
      <c r="I1839" s="1348"/>
      <c r="J1839" s="1348"/>
      <c r="K1839" s="1348"/>
    </row>
    <row r="1840" spans="2:11" hidden="1">
      <c r="B1840" s="1348"/>
      <c r="C1840" s="1348"/>
      <c r="D1840" s="1348"/>
      <c r="E1840" s="1348"/>
      <c r="F1840" s="1348"/>
      <c r="G1840" s="1348"/>
      <c r="H1840" s="1348"/>
      <c r="I1840" s="1348"/>
      <c r="J1840" s="1348"/>
      <c r="K1840" s="1348"/>
    </row>
    <row r="1841" spans="2:11" hidden="1">
      <c r="B1841" s="1348"/>
      <c r="C1841" s="1348"/>
      <c r="D1841" s="1348"/>
      <c r="E1841" s="1348"/>
      <c r="F1841" s="1348"/>
      <c r="G1841" s="1348"/>
      <c r="H1841" s="1348"/>
      <c r="I1841" s="1348"/>
      <c r="J1841" s="1348"/>
      <c r="K1841" s="1348"/>
    </row>
    <row r="1842" spans="2:11" hidden="1">
      <c r="B1842" s="1348"/>
      <c r="C1842" s="1348"/>
      <c r="D1842" s="1348"/>
      <c r="E1842" s="1348"/>
      <c r="F1842" s="1348"/>
      <c r="G1842" s="1348"/>
      <c r="H1842" s="1348"/>
      <c r="I1842" s="1348"/>
      <c r="J1842" s="1348"/>
      <c r="K1842" s="1348"/>
    </row>
    <row r="1843" spans="2:11" hidden="1">
      <c r="B1843" s="1348"/>
      <c r="C1843" s="1348"/>
      <c r="D1843" s="1348"/>
      <c r="E1843" s="1348"/>
      <c r="F1843" s="1348"/>
      <c r="G1843" s="1348"/>
      <c r="H1843" s="1348"/>
      <c r="I1843" s="1348"/>
      <c r="J1843" s="1348"/>
      <c r="K1843" s="1348"/>
    </row>
    <row r="1844" spans="2:11" hidden="1">
      <c r="B1844" s="1348"/>
      <c r="C1844" s="1348"/>
      <c r="D1844" s="1348"/>
      <c r="E1844" s="1348"/>
      <c r="F1844" s="1348"/>
      <c r="G1844" s="1348"/>
      <c r="H1844" s="1348"/>
      <c r="I1844" s="1348"/>
      <c r="J1844" s="1348"/>
      <c r="K1844" s="1348"/>
    </row>
    <row r="1845" spans="2:11" hidden="1">
      <c r="B1845" s="1348"/>
      <c r="C1845" s="1348"/>
      <c r="D1845" s="1348"/>
      <c r="E1845" s="1348"/>
      <c r="F1845" s="1348"/>
      <c r="G1845" s="1348"/>
      <c r="H1845" s="1348"/>
      <c r="I1845" s="1348"/>
      <c r="J1845" s="1348"/>
      <c r="K1845" s="1348"/>
    </row>
    <row r="1846" spans="2:11" hidden="1">
      <c r="B1846" s="1348"/>
      <c r="C1846" s="1348"/>
      <c r="D1846" s="1348"/>
      <c r="E1846" s="1348"/>
      <c r="F1846" s="1348"/>
      <c r="G1846" s="1348"/>
      <c r="H1846" s="1348"/>
      <c r="I1846" s="1348"/>
      <c r="J1846" s="1348"/>
      <c r="K1846" s="1348"/>
    </row>
    <row r="1847" spans="2:11" hidden="1">
      <c r="B1847" s="1348"/>
      <c r="C1847" s="1348"/>
      <c r="D1847" s="1348"/>
      <c r="E1847" s="1348"/>
      <c r="F1847" s="1348"/>
      <c r="G1847" s="1348"/>
      <c r="H1847" s="1348"/>
      <c r="I1847" s="1348"/>
      <c r="J1847" s="1348"/>
      <c r="K1847" s="1348"/>
    </row>
    <row r="1848" spans="2:11" hidden="1">
      <c r="B1848" s="1348"/>
      <c r="C1848" s="1348"/>
      <c r="D1848" s="1348"/>
      <c r="E1848" s="1348"/>
      <c r="F1848" s="1348"/>
      <c r="G1848" s="1348"/>
      <c r="H1848" s="1348"/>
      <c r="I1848" s="1348"/>
      <c r="J1848" s="1348"/>
      <c r="K1848" s="1348"/>
    </row>
    <row r="1849" spans="2:11" hidden="1">
      <c r="B1849" s="1348"/>
      <c r="C1849" s="1348"/>
      <c r="D1849" s="1348"/>
      <c r="E1849" s="1348"/>
      <c r="F1849" s="1348"/>
      <c r="G1849" s="1348"/>
      <c r="H1849" s="1348"/>
      <c r="I1849" s="1348"/>
      <c r="J1849" s="1348"/>
      <c r="K1849" s="1348"/>
    </row>
    <row r="1850" spans="2:11" hidden="1">
      <c r="B1850" s="1348"/>
      <c r="C1850" s="1348"/>
      <c r="D1850" s="1348"/>
      <c r="E1850" s="1348"/>
      <c r="F1850" s="1348"/>
      <c r="G1850" s="1348"/>
      <c r="H1850" s="1348"/>
      <c r="I1850" s="1348"/>
      <c r="J1850" s="1348"/>
      <c r="K1850" s="1348"/>
    </row>
    <row r="1851" spans="2:11" hidden="1">
      <c r="B1851" s="1348"/>
      <c r="C1851" s="1348"/>
      <c r="D1851" s="1348"/>
      <c r="E1851" s="1348"/>
      <c r="F1851" s="1348"/>
      <c r="G1851" s="1348"/>
      <c r="H1851" s="1348"/>
      <c r="I1851" s="1348"/>
      <c r="J1851" s="1348"/>
      <c r="K1851" s="1348"/>
    </row>
    <row r="1852" spans="2:11" hidden="1">
      <c r="B1852" s="1348"/>
      <c r="C1852" s="1348"/>
      <c r="D1852" s="1348"/>
      <c r="E1852" s="1348"/>
      <c r="F1852" s="1348"/>
      <c r="G1852" s="1348"/>
      <c r="H1852" s="1348"/>
      <c r="I1852" s="1348"/>
      <c r="J1852" s="1348"/>
      <c r="K1852" s="1348"/>
    </row>
    <row r="1853" spans="2:11" hidden="1">
      <c r="B1853" s="1348"/>
      <c r="C1853" s="1348"/>
      <c r="D1853" s="1348"/>
      <c r="E1853" s="1348"/>
      <c r="F1853" s="1348"/>
      <c r="G1853" s="1348"/>
      <c r="H1853" s="1348"/>
      <c r="I1853" s="1348"/>
      <c r="J1853" s="1348"/>
      <c r="K1853" s="1348"/>
    </row>
    <row r="1854" spans="2:11" hidden="1">
      <c r="B1854" s="1348"/>
      <c r="C1854" s="1348"/>
      <c r="D1854" s="1348"/>
      <c r="E1854" s="1348"/>
      <c r="F1854" s="1348"/>
      <c r="G1854" s="1348"/>
      <c r="H1854" s="1348"/>
      <c r="I1854" s="1348"/>
      <c r="J1854" s="1348"/>
      <c r="K1854" s="1348"/>
    </row>
    <row r="1855" spans="2:11" hidden="1">
      <c r="B1855" s="1348"/>
      <c r="C1855" s="1348"/>
      <c r="D1855" s="1348"/>
      <c r="E1855" s="1348"/>
      <c r="F1855" s="1348"/>
      <c r="G1855" s="1348"/>
      <c r="H1855" s="1348"/>
      <c r="I1855" s="1348"/>
      <c r="J1855" s="1348"/>
      <c r="K1855" s="1348"/>
    </row>
    <row r="1856" spans="2:11" hidden="1">
      <c r="B1856" s="1348"/>
      <c r="C1856" s="1348"/>
      <c r="D1856" s="1348"/>
      <c r="E1856" s="1348"/>
      <c r="F1856" s="1348"/>
      <c r="G1856" s="1348"/>
      <c r="H1856" s="1348"/>
      <c r="I1856" s="1348"/>
      <c r="J1856" s="1348"/>
      <c r="K1856" s="1348"/>
    </row>
    <row r="1857" spans="2:11" hidden="1">
      <c r="B1857" s="1348"/>
      <c r="C1857" s="1348"/>
      <c r="D1857" s="1348"/>
      <c r="E1857" s="1348"/>
      <c r="F1857" s="1348"/>
      <c r="G1857" s="1348"/>
      <c r="H1857" s="1348"/>
      <c r="I1857" s="1348"/>
      <c r="J1857" s="1348"/>
      <c r="K1857" s="1348"/>
    </row>
    <row r="1858" spans="2:11" hidden="1">
      <c r="B1858" s="1348"/>
      <c r="C1858" s="1348"/>
      <c r="D1858" s="1348"/>
      <c r="E1858" s="1348"/>
      <c r="F1858" s="1348"/>
      <c r="G1858" s="1348"/>
      <c r="H1858" s="1348"/>
      <c r="I1858" s="1348"/>
      <c r="J1858" s="1348"/>
      <c r="K1858" s="1348"/>
    </row>
    <row r="1859" spans="2:11" hidden="1">
      <c r="B1859" s="1348"/>
      <c r="C1859" s="1348"/>
      <c r="D1859" s="1348"/>
      <c r="E1859" s="1348"/>
      <c r="F1859" s="1348"/>
      <c r="G1859" s="1348"/>
      <c r="H1859" s="1348"/>
      <c r="I1859" s="1348"/>
      <c r="J1859" s="1348"/>
      <c r="K1859" s="1348"/>
    </row>
    <row r="1860" spans="2:11" hidden="1">
      <c r="B1860" s="1348"/>
      <c r="C1860" s="1348"/>
      <c r="D1860" s="1348"/>
      <c r="E1860" s="1348"/>
      <c r="F1860" s="1348"/>
      <c r="G1860" s="1348"/>
      <c r="H1860" s="1348"/>
      <c r="I1860" s="1348"/>
      <c r="J1860" s="1348"/>
      <c r="K1860" s="1348"/>
    </row>
    <row r="1861" spans="2:11" hidden="1">
      <c r="B1861" s="1348"/>
      <c r="C1861" s="1348"/>
      <c r="D1861" s="1348"/>
      <c r="E1861" s="1348"/>
      <c r="F1861" s="1348"/>
      <c r="G1861" s="1348"/>
      <c r="H1861" s="1348"/>
      <c r="I1861" s="1348"/>
      <c r="J1861" s="1348"/>
      <c r="K1861" s="1348"/>
    </row>
    <row r="1862" spans="2:11" hidden="1">
      <c r="B1862" s="1348"/>
      <c r="C1862" s="1348"/>
      <c r="D1862" s="1348"/>
      <c r="E1862" s="1348"/>
      <c r="F1862" s="1348"/>
      <c r="G1862" s="1348"/>
      <c r="H1862" s="1348"/>
      <c r="I1862" s="1348"/>
      <c r="J1862" s="1348"/>
      <c r="K1862" s="1348"/>
    </row>
    <row r="1863" spans="2:11" hidden="1">
      <c r="B1863" s="1348"/>
      <c r="C1863" s="1348"/>
      <c r="D1863" s="1348"/>
      <c r="E1863" s="1348"/>
      <c r="F1863" s="1348"/>
      <c r="G1863" s="1348"/>
      <c r="H1863" s="1348"/>
      <c r="I1863" s="1348"/>
      <c r="J1863" s="1348"/>
      <c r="K1863" s="1348"/>
    </row>
    <row r="1864" spans="2:11" hidden="1">
      <c r="B1864" s="1348"/>
      <c r="C1864" s="1348"/>
      <c r="D1864" s="1348"/>
      <c r="E1864" s="1348"/>
      <c r="F1864" s="1348"/>
      <c r="G1864" s="1348"/>
      <c r="H1864" s="1348"/>
      <c r="I1864" s="1348"/>
      <c r="J1864" s="1348"/>
      <c r="K1864" s="1348"/>
    </row>
    <row r="1865" spans="2:11" hidden="1">
      <c r="B1865" s="1348"/>
      <c r="C1865" s="1348"/>
      <c r="D1865" s="1348"/>
      <c r="E1865" s="1348"/>
      <c r="F1865" s="1348"/>
      <c r="G1865" s="1348"/>
      <c r="H1865" s="1348"/>
      <c r="I1865" s="1348"/>
      <c r="J1865" s="1348"/>
      <c r="K1865" s="1348"/>
    </row>
    <row r="1866" spans="2:11" hidden="1">
      <c r="B1866" s="1348"/>
      <c r="C1866" s="1348"/>
      <c r="D1866" s="1348"/>
      <c r="E1866" s="1348"/>
      <c r="F1866" s="1348"/>
      <c r="G1866" s="1348"/>
      <c r="H1866" s="1348"/>
      <c r="I1866" s="1348"/>
      <c r="J1866" s="1348"/>
      <c r="K1866" s="1348"/>
    </row>
    <row r="1867" spans="2:11" hidden="1">
      <c r="B1867" s="1348"/>
      <c r="C1867" s="1348"/>
      <c r="D1867" s="1348"/>
      <c r="E1867" s="1348"/>
      <c r="F1867" s="1348"/>
      <c r="G1867" s="1348"/>
      <c r="H1867" s="1348"/>
      <c r="I1867" s="1348"/>
      <c r="J1867" s="1348"/>
      <c r="K1867" s="1348"/>
    </row>
    <row r="1868" spans="2:11" hidden="1">
      <c r="B1868" s="1348"/>
      <c r="C1868" s="1348"/>
      <c r="D1868" s="1348"/>
      <c r="E1868" s="1348"/>
      <c r="F1868" s="1348"/>
      <c r="G1868" s="1348"/>
      <c r="H1868" s="1348"/>
      <c r="I1868" s="1348"/>
      <c r="J1868" s="1348"/>
      <c r="K1868" s="1348"/>
    </row>
    <row r="1869" spans="2:11" hidden="1">
      <c r="B1869" s="1348"/>
      <c r="C1869" s="1348"/>
      <c r="D1869" s="1348"/>
      <c r="E1869" s="1348"/>
      <c r="F1869" s="1348"/>
      <c r="G1869" s="1348"/>
      <c r="H1869" s="1348"/>
      <c r="I1869" s="1348"/>
      <c r="J1869" s="1348"/>
      <c r="K1869" s="1348"/>
    </row>
    <row r="1870" spans="2:11" hidden="1">
      <c r="B1870" s="1348"/>
      <c r="C1870" s="1348"/>
      <c r="D1870" s="1348"/>
      <c r="E1870" s="1348"/>
      <c r="F1870" s="1348"/>
      <c r="G1870" s="1348"/>
      <c r="H1870" s="1348"/>
      <c r="I1870" s="1348"/>
      <c r="J1870" s="1348"/>
      <c r="K1870" s="1348"/>
    </row>
    <row r="1871" spans="2:11" hidden="1">
      <c r="B1871" s="1348"/>
      <c r="C1871" s="1348"/>
      <c r="D1871" s="1348"/>
      <c r="E1871" s="1348"/>
      <c r="F1871" s="1348"/>
      <c r="G1871" s="1348"/>
      <c r="H1871" s="1348"/>
      <c r="I1871" s="1348"/>
      <c r="J1871" s="1348"/>
      <c r="K1871" s="1348"/>
    </row>
    <row r="1872" spans="2:11" hidden="1">
      <c r="B1872" s="1348"/>
      <c r="C1872" s="1348"/>
      <c r="D1872" s="1348"/>
      <c r="E1872" s="1348"/>
      <c r="F1872" s="1348"/>
      <c r="G1872" s="1348"/>
      <c r="H1872" s="1348"/>
      <c r="I1872" s="1348"/>
      <c r="J1872" s="1348"/>
      <c r="K1872" s="1348"/>
    </row>
    <row r="1873" spans="2:11" hidden="1">
      <c r="B1873" s="1348"/>
      <c r="C1873" s="1348"/>
      <c r="D1873" s="1348"/>
      <c r="E1873" s="1348"/>
      <c r="F1873" s="1348"/>
      <c r="G1873" s="1348"/>
      <c r="H1873" s="1348"/>
      <c r="I1873" s="1348"/>
      <c r="J1873" s="1348"/>
      <c r="K1873" s="1348"/>
    </row>
    <row r="1874" spans="2:11" hidden="1">
      <c r="B1874" s="1348"/>
      <c r="C1874" s="1348"/>
      <c r="D1874" s="1348"/>
      <c r="E1874" s="1348"/>
      <c r="F1874" s="1348"/>
      <c r="G1874" s="1348"/>
      <c r="H1874" s="1348"/>
      <c r="I1874" s="1348"/>
      <c r="J1874" s="1348"/>
      <c r="K1874" s="1348"/>
    </row>
    <row r="1875" spans="2:11" hidden="1">
      <c r="B1875" s="1348"/>
      <c r="C1875" s="1348"/>
      <c r="D1875" s="1348"/>
      <c r="E1875" s="1348"/>
      <c r="F1875" s="1348"/>
      <c r="G1875" s="1348"/>
      <c r="H1875" s="1348"/>
      <c r="I1875" s="1348"/>
      <c r="J1875" s="1348"/>
      <c r="K1875" s="1348"/>
    </row>
    <row r="1876" spans="2:11" hidden="1">
      <c r="B1876" s="1348"/>
      <c r="C1876" s="1348"/>
      <c r="D1876" s="1348"/>
      <c r="E1876" s="1348"/>
      <c r="F1876" s="1348"/>
      <c r="G1876" s="1348"/>
      <c r="H1876" s="1348"/>
      <c r="I1876" s="1348"/>
      <c r="J1876" s="1348"/>
      <c r="K1876" s="1348"/>
    </row>
    <row r="1877" spans="2:11" hidden="1">
      <c r="B1877" s="1348"/>
      <c r="C1877" s="1348"/>
      <c r="D1877" s="1348"/>
      <c r="E1877" s="1348"/>
      <c r="F1877" s="1348"/>
      <c r="G1877" s="1348"/>
      <c r="H1877" s="1348"/>
      <c r="I1877" s="1348"/>
      <c r="J1877" s="1348"/>
      <c r="K1877" s="1348"/>
    </row>
    <row r="1878" spans="2:11" hidden="1">
      <c r="B1878" s="1348"/>
      <c r="C1878" s="1348"/>
      <c r="D1878" s="1348"/>
      <c r="E1878" s="1348"/>
      <c r="F1878" s="1348"/>
      <c r="G1878" s="1348"/>
      <c r="H1878" s="1348"/>
      <c r="I1878" s="1348"/>
      <c r="J1878" s="1348"/>
      <c r="K1878" s="1348"/>
    </row>
    <row r="1879" spans="2:11" hidden="1">
      <c r="B1879" s="1348"/>
      <c r="C1879" s="1348"/>
      <c r="D1879" s="1348"/>
      <c r="E1879" s="1348"/>
      <c r="F1879" s="1348"/>
      <c r="G1879" s="1348"/>
      <c r="H1879" s="1348"/>
      <c r="I1879" s="1348"/>
      <c r="J1879" s="1348"/>
      <c r="K1879" s="1348"/>
    </row>
    <row r="1880" spans="2:11" hidden="1">
      <c r="B1880" s="1348"/>
      <c r="C1880" s="1348"/>
      <c r="D1880" s="1348"/>
      <c r="E1880" s="1348"/>
      <c r="F1880" s="1348"/>
      <c r="G1880" s="1348"/>
      <c r="H1880" s="1348"/>
      <c r="I1880" s="1348"/>
      <c r="J1880" s="1348"/>
      <c r="K1880" s="1348"/>
    </row>
    <row r="1881" spans="2:11" hidden="1">
      <c r="B1881" s="1348"/>
      <c r="C1881" s="1348"/>
      <c r="D1881" s="1348"/>
      <c r="E1881" s="1348"/>
      <c r="F1881" s="1348"/>
      <c r="G1881" s="1348"/>
      <c r="H1881" s="1348"/>
      <c r="I1881" s="1348"/>
      <c r="J1881" s="1348"/>
      <c r="K1881" s="1348"/>
    </row>
    <row r="1882" spans="2:11" hidden="1">
      <c r="B1882" s="1348"/>
      <c r="C1882" s="1348"/>
      <c r="D1882" s="1348"/>
      <c r="E1882" s="1348"/>
      <c r="F1882" s="1348"/>
      <c r="G1882" s="1348"/>
      <c r="H1882" s="1348"/>
      <c r="I1882" s="1348"/>
      <c r="J1882" s="1348"/>
      <c r="K1882" s="1348"/>
    </row>
    <row r="1883" spans="2:11" hidden="1">
      <c r="B1883" s="1348"/>
      <c r="C1883" s="1348"/>
      <c r="D1883" s="1348"/>
      <c r="E1883" s="1348"/>
      <c r="F1883" s="1348"/>
      <c r="G1883" s="1348"/>
      <c r="H1883" s="1348"/>
      <c r="I1883" s="1348"/>
      <c r="J1883" s="1348"/>
      <c r="K1883" s="1348"/>
    </row>
    <row r="1884" spans="2:11" hidden="1">
      <c r="B1884" s="1348"/>
      <c r="C1884" s="1348"/>
      <c r="D1884" s="1348"/>
      <c r="E1884" s="1348"/>
      <c r="F1884" s="1348"/>
      <c r="G1884" s="1348"/>
      <c r="H1884" s="1348"/>
      <c r="I1884" s="1348"/>
      <c r="J1884" s="1348"/>
      <c r="K1884" s="1348"/>
    </row>
    <row r="1885" spans="2:11" hidden="1">
      <c r="B1885" s="1348"/>
      <c r="C1885" s="1348"/>
      <c r="D1885" s="1348"/>
      <c r="E1885" s="1348"/>
      <c r="F1885" s="1348"/>
      <c r="G1885" s="1348"/>
      <c r="H1885" s="1348"/>
      <c r="I1885" s="1348"/>
      <c r="J1885" s="1348"/>
      <c r="K1885" s="1348"/>
    </row>
    <row r="1886" spans="2:11" hidden="1">
      <c r="B1886" s="1348"/>
      <c r="C1886" s="1348"/>
      <c r="D1886" s="1348"/>
      <c r="E1886" s="1348"/>
      <c r="F1886" s="1348"/>
      <c r="G1886" s="1348"/>
      <c r="H1886" s="1348"/>
      <c r="I1886" s="1348"/>
      <c r="J1886" s="1348"/>
      <c r="K1886" s="1348"/>
    </row>
    <row r="1887" spans="2:11" hidden="1">
      <c r="B1887" s="1348"/>
      <c r="C1887" s="1348"/>
      <c r="D1887" s="1348"/>
      <c r="E1887" s="1348"/>
      <c r="F1887" s="1348"/>
      <c r="G1887" s="1348"/>
      <c r="H1887" s="1348"/>
      <c r="I1887" s="1348"/>
      <c r="J1887" s="1348"/>
      <c r="K1887" s="1348"/>
    </row>
    <row r="1888" spans="2:11" hidden="1">
      <c r="B1888" s="1348"/>
      <c r="C1888" s="1348"/>
      <c r="D1888" s="1348"/>
      <c r="E1888" s="1348"/>
      <c r="F1888" s="1348"/>
      <c r="G1888" s="1348"/>
      <c r="H1888" s="1348"/>
      <c r="I1888" s="1348"/>
      <c r="J1888" s="1348"/>
      <c r="K1888" s="1348"/>
    </row>
    <row r="1889" spans="2:11" hidden="1">
      <c r="B1889" s="1348"/>
      <c r="C1889" s="1348"/>
      <c r="D1889" s="1348"/>
      <c r="E1889" s="1348"/>
      <c r="F1889" s="1348"/>
      <c r="G1889" s="1348"/>
      <c r="H1889" s="1348"/>
      <c r="I1889" s="1348"/>
      <c r="J1889" s="1348"/>
      <c r="K1889" s="1348"/>
    </row>
    <row r="1890" spans="2:11" hidden="1">
      <c r="B1890" s="1348"/>
      <c r="C1890" s="1348"/>
      <c r="D1890" s="1348"/>
      <c r="E1890" s="1348"/>
      <c r="F1890" s="1348"/>
      <c r="G1890" s="1348"/>
      <c r="H1890" s="1348"/>
      <c r="I1890" s="1348"/>
      <c r="J1890" s="1348"/>
      <c r="K1890" s="1348"/>
    </row>
    <row r="1891" spans="2:11" hidden="1">
      <c r="B1891" s="1348"/>
      <c r="C1891" s="1348"/>
      <c r="D1891" s="1348"/>
      <c r="E1891" s="1348"/>
      <c r="F1891" s="1348"/>
      <c r="G1891" s="1348"/>
      <c r="H1891" s="1348"/>
      <c r="I1891" s="1348"/>
      <c r="J1891" s="1348"/>
      <c r="K1891" s="1348"/>
    </row>
    <row r="1892" spans="2:11" hidden="1">
      <c r="B1892" s="1348"/>
      <c r="C1892" s="1348"/>
      <c r="D1892" s="1348"/>
      <c r="E1892" s="1348"/>
      <c r="F1892" s="1348"/>
      <c r="G1892" s="1348"/>
      <c r="H1892" s="1348"/>
      <c r="I1892" s="1348"/>
      <c r="J1892" s="1348"/>
      <c r="K1892" s="1348"/>
    </row>
    <row r="1893" spans="2:11" hidden="1">
      <c r="B1893" s="1348"/>
      <c r="C1893" s="1348"/>
      <c r="D1893" s="1348"/>
      <c r="E1893" s="1348"/>
      <c r="F1893" s="1348"/>
      <c r="G1893" s="1348"/>
      <c r="H1893" s="1348"/>
      <c r="I1893" s="1348"/>
      <c r="J1893" s="1348"/>
      <c r="K1893" s="1348"/>
    </row>
    <row r="1894" spans="2:11" hidden="1">
      <c r="B1894" s="1348"/>
      <c r="C1894" s="1348"/>
      <c r="D1894" s="1348"/>
      <c r="E1894" s="1348"/>
      <c r="F1894" s="1348"/>
      <c r="G1894" s="1348"/>
      <c r="H1894" s="1348"/>
      <c r="I1894" s="1348"/>
      <c r="J1894" s="1348"/>
      <c r="K1894" s="1348"/>
    </row>
    <row r="1895" spans="2:11" hidden="1">
      <c r="B1895" s="1348"/>
      <c r="C1895" s="1348"/>
      <c r="D1895" s="1348"/>
      <c r="E1895" s="1348"/>
      <c r="F1895" s="1348"/>
      <c r="G1895" s="1348"/>
      <c r="H1895" s="1348"/>
      <c r="I1895" s="1348"/>
      <c r="J1895" s="1348"/>
      <c r="K1895" s="1348"/>
    </row>
    <row r="1896" spans="2:11" hidden="1">
      <c r="B1896" s="1348"/>
      <c r="C1896" s="1348"/>
      <c r="D1896" s="1348"/>
      <c r="E1896" s="1348"/>
      <c r="F1896" s="1348"/>
      <c r="G1896" s="1348"/>
      <c r="H1896" s="1348"/>
      <c r="I1896" s="1348"/>
      <c r="J1896" s="1348"/>
      <c r="K1896" s="1348"/>
    </row>
    <row r="1897" spans="2:11" hidden="1">
      <c r="B1897" s="1348"/>
      <c r="C1897" s="1348"/>
      <c r="D1897" s="1348"/>
      <c r="E1897" s="1348"/>
      <c r="F1897" s="1348"/>
      <c r="G1897" s="1348"/>
      <c r="H1897" s="1348"/>
      <c r="I1897" s="1348"/>
      <c r="J1897" s="1348"/>
      <c r="K1897" s="1348"/>
    </row>
    <row r="1898" spans="2:11" hidden="1">
      <c r="B1898" s="1348"/>
      <c r="C1898" s="1348"/>
      <c r="D1898" s="1348"/>
      <c r="E1898" s="1348"/>
      <c r="F1898" s="1348"/>
      <c r="G1898" s="1348"/>
      <c r="H1898" s="1348"/>
      <c r="I1898" s="1348"/>
      <c r="J1898" s="1348"/>
      <c r="K1898" s="1348"/>
    </row>
    <row r="1899" spans="2:11" hidden="1">
      <c r="B1899" s="1348"/>
      <c r="C1899" s="1348"/>
      <c r="D1899" s="1348"/>
      <c r="E1899" s="1348"/>
      <c r="F1899" s="1348"/>
      <c r="G1899" s="1348"/>
      <c r="H1899" s="1348"/>
      <c r="I1899" s="1348"/>
      <c r="J1899" s="1348"/>
      <c r="K1899" s="1348"/>
    </row>
    <row r="1900" spans="2:11" hidden="1">
      <c r="B1900" s="1348"/>
      <c r="C1900" s="1348"/>
      <c r="D1900" s="1348"/>
      <c r="E1900" s="1348"/>
      <c r="F1900" s="1348"/>
      <c r="G1900" s="1348"/>
      <c r="H1900" s="1348"/>
      <c r="I1900" s="1348"/>
      <c r="J1900" s="1348"/>
      <c r="K1900" s="1348"/>
    </row>
    <row r="1901" spans="2:11" hidden="1">
      <c r="B1901" s="1348"/>
      <c r="C1901" s="1348"/>
      <c r="D1901" s="1348"/>
      <c r="E1901" s="1348"/>
      <c r="F1901" s="1348"/>
      <c r="G1901" s="1348"/>
      <c r="H1901" s="1348"/>
      <c r="I1901" s="1348"/>
      <c r="J1901" s="1348"/>
      <c r="K1901" s="1348"/>
    </row>
    <row r="1902" spans="2:11" hidden="1">
      <c r="B1902" s="1348"/>
      <c r="C1902" s="1348"/>
      <c r="D1902" s="1348"/>
      <c r="E1902" s="1348"/>
      <c r="F1902" s="1348"/>
      <c r="G1902" s="1348"/>
      <c r="H1902" s="1348"/>
      <c r="I1902" s="1348"/>
      <c r="J1902" s="1348"/>
      <c r="K1902" s="1348"/>
    </row>
    <row r="1903" spans="2:11" hidden="1">
      <c r="B1903" s="1348"/>
      <c r="C1903" s="1348"/>
      <c r="D1903" s="1348"/>
      <c r="E1903" s="1348"/>
      <c r="F1903" s="1348"/>
      <c r="G1903" s="1348"/>
      <c r="H1903" s="1348"/>
      <c r="I1903" s="1348"/>
      <c r="J1903" s="1348"/>
      <c r="K1903" s="1348"/>
    </row>
    <row r="1904" spans="2:11" hidden="1">
      <c r="B1904" s="1348"/>
      <c r="C1904" s="1348"/>
      <c r="D1904" s="1348"/>
      <c r="E1904" s="1348"/>
      <c r="F1904" s="1348"/>
      <c r="G1904" s="1348"/>
      <c r="H1904" s="1348"/>
      <c r="I1904" s="1348"/>
      <c r="J1904" s="1348"/>
      <c r="K1904" s="1348"/>
    </row>
    <row r="1905" spans="2:11" hidden="1">
      <c r="B1905" s="1348"/>
      <c r="C1905" s="1348"/>
      <c r="D1905" s="1348"/>
      <c r="E1905" s="1348"/>
      <c r="F1905" s="1348"/>
      <c r="G1905" s="1348"/>
      <c r="H1905" s="1348"/>
      <c r="I1905" s="1348"/>
      <c r="J1905" s="1348"/>
      <c r="K1905" s="1348"/>
    </row>
    <row r="1906" spans="2:11" hidden="1">
      <c r="B1906" s="1348"/>
      <c r="C1906" s="1348"/>
      <c r="D1906" s="1348"/>
      <c r="E1906" s="1348"/>
      <c r="F1906" s="1348"/>
      <c r="G1906" s="1348"/>
      <c r="H1906" s="1348"/>
      <c r="I1906" s="1348"/>
      <c r="J1906" s="1348"/>
      <c r="K1906" s="1348"/>
    </row>
    <row r="1907" spans="2:11" hidden="1">
      <c r="B1907" s="1348"/>
      <c r="C1907" s="1348"/>
      <c r="D1907" s="1348"/>
      <c r="E1907" s="1348"/>
      <c r="F1907" s="1348"/>
      <c r="G1907" s="1348"/>
      <c r="H1907" s="1348"/>
      <c r="I1907" s="1348"/>
      <c r="J1907" s="1348"/>
      <c r="K1907" s="1348"/>
    </row>
    <row r="1908" spans="2:11" hidden="1">
      <c r="B1908" s="1348"/>
      <c r="C1908" s="1348"/>
      <c r="D1908" s="1348"/>
      <c r="E1908" s="1348"/>
      <c r="F1908" s="1348"/>
      <c r="G1908" s="1348"/>
      <c r="H1908" s="1348"/>
      <c r="I1908" s="1348"/>
      <c r="J1908" s="1348"/>
      <c r="K1908" s="1348"/>
    </row>
    <row r="1909" spans="2:11" hidden="1">
      <c r="B1909" s="1348"/>
      <c r="C1909" s="1348"/>
      <c r="D1909" s="1348"/>
      <c r="E1909" s="1348"/>
      <c r="F1909" s="1348"/>
      <c r="G1909" s="1348"/>
      <c r="H1909" s="1348"/>
      <c r="I1909" s="1348"/>
      <c r="J1909" s="1348"/>
      <c r="K1909" s="1348"/>
    </row>
    <row r="1910" spans="2:11" hidden="1">
      <c r="B1910" s="1348"/>
      <c r="C1910" s="1348"/>
      <c r="D1910" s="1348"/>
      <c r="E1910" s="1348"/>
      <c r="F1910" s="1348"/>
      <c r="G1910" s="1348"/>
      <c r="H1910" s="1348"/>
      <c r="I1910" s="1348"/>
      <c r="J1910" s="1348"/>
      <c r="K1910" s="1348"/>
    </row>
    <row r="1911" spans="2:11" hidden="1">
      <c r="B1911" s="1348"/>
      <c r="C1911" s="1348"/>
      <c r="D1911" s="1348"/>
      <c r="E1911" s="1348"/>
      <c r="F1911" s="1348"/>
      <c r="G1911" s="1348"/>
      <c r="H1911" s="1348"/>
      <c r="I1911" s="1348"/>
      <c r="J1911" s="1348"/>
      <c r="K1911" s="1348"/>
    </row>
    <row r="1912" spans="2:11" hidden="1">
      <c r="B1912" s="1348"/>
      <c r="C1912" s="1348"/>
      <c r="D1912" s="1348"/>
      <c r="E1912" s="1348"/>
      <c r="F1912" s="1348"/>
      <c r="G1912" s="1348"/>
      <c r="H1912" s="1348"/>
      <c r="I1912" s="1348"/>
      <c r="J1912" s="1348"/>
      <c r="K1912" s="1348"/>
    </row>
    <row r="1913" spans="2:11" hidden="1">
      <c r="B1913" s="1348"/>
      <c r="C1913" s="1348"/>
      <c r="D1913" s="1348"/>
      <c r="E1913" s="1348"/>
      <c r="F1913" s="1348"/>
      <c r="G1913" s="1348"/>
      <c r="H1913" s="1348"/>
      <c r="I1913" s="1348"/>
      <c r="J1913" s="1348"/>
      <c r="K1913" s="1348"/>
    </row>
    <row r="1914" spans="2:11" hidden="1">
      <c r="B1914" s="1348"/>
      <c r="C1914" s="1348"/>
      <c r="D1914" s="1348"/>
      <c r="E1914" s="1348"/>
      <c r="F1914" s="1348"/>
      <c r="G1914" s="1348"/>
      <c r="H1914" s="1348"/>
      <c r="I1914" s="1348"/>
      <c r="J1914" s="1348"/>
      <c r="K1914" s="1348"/>
    </row>
    <row r="1915" spans="2:11" hidden="1">
      <c r="B1915" s="1348"/>
      <c r="C1915" s="1348"/>
      <c r="D1915" s="1348"/>
      <c r="E1915" s="1348"/>
      <c r="F1915" s="1348"/>
      <c r="G1915" s="1348"/>
      <c r="H1915" s="1348"/>
      <c r="I1915" s="1348"/>
      <c r="J1915" s="1348"/>
      <c r="K1915" s="1348"/>
    </row>
    <row r="1916" spans="2:11" hidden="1">
      <c r="B1916" s="1348"/>
      <c r="C1916" s="1348"/>
      <c r="D1916" s="1348"/>
      <c r="E1916" s="1348"/>
      <c r="F1916" s="1348"/>
      <c r="G1916" s="1348"/>
      <c r="H1916" s="1348"/>
      <c r="I1916" s="1348"/>
      <c r="J1916" s="1348"/>
      <c r="K1916" s="1348"/>
    </row>
    <row r="1917" spans="2:11" hidden="1">
      <c r="B1917" s="1348"/>
      <c r="C1917" s="1348"/>
      <c r="D1917" s="1348"/>
      <c r="E1917" s="1348"/>
      <c r="F1917" s="1348"/>
      <c r="G1917" s="1348"/>
      <c r="H1917" s="1348"/>
      <c r="I1917" s="1348"/>
      <c r="J1917" s="1348"/>
      <c r="K1917" s="1348"/>
    </row>
    <row r="1918" spans="2:11" hidden="1">
      <c r="B1918" s="1348"/>
      <c r="C1918" s="1348"/>
      <c r="D1918" s="1348"/>
      <c r="E1918" s="1348"/>
      <c r="F1918" s="1348"/>
      <c r="G1918" s="1348"/>
      <c r="H1918" s="1348"/>
      <c r="I1918" s="1348"/>
      <c r="J1918" s="1348"/>
      <c r="K1918" s="1348"/>
    </row>
    <row r="1919" spans="2:11" hidden="1">
      <c r="B1919" s="1348"/>
      <c r="C1919" s="1348"/>
      <c r="D1919" s="1348"/>
      <c r="E1919" s="1348"/>
      <c r="F1919" s="1348"/>
      <c r="G1919" s="1348"/>
      <c r="H1919" s="1348"/>
      <c r="I1919" s="1348"/>
      <c r="J1919" s="1348"/>
      <c r="K1919" s="1348"/>
    </row>
    <row r="1920" spans="2:11" hidden="1">
      <c r="B1920" s="1348"/>
      <c r="C1920" s="1348"/>
      <c r="D1920" s="1348"/>
      <c r="E1920" s="1348"/>
      <c r="F1920" s="1348"/>
      <c r="G1920" s="1348"/>
      <c r="H1920" s="1348"/>
      <c r="I1920" s="1348"/>
      <c r="J1920" s="1348"/>
      <c r="K1920" s="1348"/>
    </row>
    <row r="1921" spans="2:11" hidden="1">
      <c r="B1921" s="1348"/>
      <c r="C1921" s="1348"/>
      <c r="D1921" s="1348"/>
      <c r="E1921" s="1348"/>
      <c r="F1921" s="1348"/>
      <c r="G1921" s="1348"/>
      <c r="H1921" s="1348"/>
      <c r="I1921" s="1348"/>
      <c r="J1921" s="1348"/>
      <c r="K1921" s="1348"/>
    </row>
    <row r="1922" spans="2:11" hidden="1">
      <c r="B1922" s="1348"/>
      <c r="C1922" s="1348"/>
      <c r="D1922" s="1348"/>
      <c r="E1922" s="1348"/>
      <c r="F1922" s="1348"/>
      <c r="G1922" s="1348"/>
      <c r="H1922" s="1348"/>
      <c r="I1922" s="1348"/>
      <c r="J1922" s="1348"/>
      <c r="K1922" s="1348"/>
    </row>
    <row r="1923" spans="2:11" hidden="1">
      <c r="B1923" s="1348"/>
      <c r="C1923" s="1348"/>
      <c r="D1923" s="1348"/>
      <c r="E1923" s="1348"/>
      <c r="F1923" s="1348"/>
      <c r="G1923" s="1348"/>
      <c r="H1923" s="1348"/>
      <c r="I1923" s="1348"/>
      <c r="J1923" s="1348"/>
      <c r="K1923" s="1348"/>
    </row>
    <row r="1924" spans="2:11" hidden="1">
      <c r="B1924" s="1348"/>
      <c r="C1924" s="1348"/>
      <c r="D1924" s="1348"/>
      <c r="E1924" s="1348"/>
      <c r="F1924" s="1348"/>
      <c r="G1924" s="1348"/>
      <c r="H1924" s="1348"/>
      <c r="I1924" s="1348"/>
      <c r="J1924" s="1348"/>
      <c r="K1924" s="1348"/>
    </row>
    <row r="1925" spans="2:11" hidden="1">
      <c r="B1925" s="1348"/>
      <c r="C1925" s="1348"/>
      <c r="D1925" s="1348"/>
      <c r="E1925" s="1348"/>
      <c r="F1925" s="1348"/>
      <c r="G1925" s="1348"/>
      <c r="H1925" s="1348"/>
      <c r="I1925" s="1348"/>
      <c r="J1925" s="1348"/>
      <c r="K1925" s="1348"/>
    </row>
    <row r="1926" spans="2:11" hidden="1">
      <c r="B1926" s="1348"/>
      <c r="C1926" s="1348"/>
      <c r="D1926" s="1348"/>
      <c r="E1926" s="1348"/>
      <c r="F1926" s="1348"/>
      <c r="G1926" s="1348"/>
      <c r="H1926" s="1348"/>
      <c r="I1926" s="1348"/>
      <c r="J1926" s="1348"/>
      <c r="K1926" s="1348"/>
    </row>
    <row r="1927" spans="2:11" hidden="1">
      <c r="B1927" s="1348"/>
      <c r="C1927" s="1348"/>
      <c r="D1927" s="1348"/>
      <c r="E1927" s="1348"/>
      <c r="F1927" s="1348"/>
      <c r="G1927" s="1348"/>
      <c r="H1927" s="1348"/>
      <c r="I1927" s="1348"/>
      <c r="J1927" s="1348"/>
      <c r="K1927" s="1348"/>
    </row>
    <row r="1928" spans="2:11" hidden="1">
      <c r="B1928" s="1348"/>
      <c r="C1928" s="1348"/>
      <c r="D1928" s="1348"/>
      <c r="E1928" s="1348"/>
      <c r="F1928" s="1348"/>
      <c r="G1928" s="1348"/>
      <c r="H1928" s="1348"/>
      <c r="I1928" s="1348"/>
      <c r="J1928" s="1348"/>
      <c r="K1928" s="1348"/>
    </row>
    <row r="1929" spans="2:11" hidden="1">
      <c r="B1929" s="1348"/>
      <c r="C1929" s="1348"/>
      <c r="D1929" s="1348"/>
      <c r="E1929" s="1348"/>
      <c r="F1929" s="1348"/>
      <c r="G1929" s="1348"/>
      <c r="H1929" s="1348"/>
      <c r="I1929" s="1348"/>
      <c r="J1929" s="1348"/>
      <c r="K1929" s="1348"/>
    </row>
    <row r="1930" spans="2:11" hidden="1">
      <c r="B1930" s="1348"/>
      <c r="C1930" s="1348"/>
      <c r="D1930" s="1348"/>
      <c r="E1930" s="1348"/>
      <c r="F1930" s="1348"/>
      <c r="G1930" s="1348"/>
      <c r="H1930" s="1348"/>
      <c r="I1930" s="1348"/>
      <c r="J1930" s="1348"/>
      <c r="K1930" s="1348"/>
    </row>
    <row r="1931" spans="2:11" hidden="1">
      <c r="B1931" s="1348"/>
      <c r="C1931" s="1348"/>
      <c r="D1931" s="1348"/>
      <c r="E1931" s="1348"/>
      <c r="F1931" s="1348"/>
      <c r="G1931" s="1348"/>
      <c r="H1931" s="1348"/>
      <c r="I1931" s="1348"/>
      <c r="J1931" s="1348"/>
      <c r="K1931" s="1348"/>
    </row>
    <row r="1932" spans="2:11" hidden="1">
      <c r="B1932" s="1348"/>
      <c r="C1932" s="1348"/>
      <c r="D1932" s="1348"/>
      <c r="E1932" s="1348"/>
      <c r="F1932" s="1348"/>
      <c r="G1932" s="1348"/>
      <c r="H1932" s="1348"/>
      <c r="I1932" s="1348"/>
      <c r="J1932" s="1348"/>
      <c r="K1932" s="1348"/>
    </row>
    <row r="1933" spans="2:11" hidden="1">
      <c r="B1933" s="1348"/>
      <c r="C1933" s="1348"/>
      <c r="D1933" s="1348"/>
      <c r="E1933" s="1348"/>
      <c r="F1933" s="1348"/>
      <c r="G1933" s="1348"/>
      <c r="H1933" s="1348"/>
      <c r="I1933" s="1348"/>
      <c r="J1933" s="1348"/>
      <c r="K1933" s="1348"/>
    </row>
    <row r="1934" spans="2:11" hidden="1">
      <c r="B1934" s="1348"/>
      <c r="C1934" s="1348"/>
      <c r="D1934" s="1348"/>
      <c r="E1934" s="1348"/>
      <c r="F1934" s="1348"/>
      <c r="G1934" s="1348"/>
      <c r="H1934" s="1348"/>
      <c r="I1934" s="1348"/>
      <c r="J1934" s="1348"/>
      <c r="K1934" s="1348"/>
    </row>
    <row r="1935" spans="2:11" hidden="1">
      <c r="B1935" s="1348"/>
      <c r="C1935" s="1348"/>
      <c r="D1935" s="1348"/>
      <c r="E1935" s="1348"/>
      <c r="F1935" s="1348"/>
      <c r="G1935" s="1348"/>
      <c r="H1935" s="1348"/>
      <c r="I1935" s="1348"/>
      <c r="J1935" s="1348"/>
      <c r="K1935" s="1348"/>
    </row>
    <row r="1936" spans="2:11" hidden="1">
      <c r="B1936" s="1348"/>
      <c r="C1936" s="1348"/>
      <c r="D1936" s="1348"/>
      <c r="E1936" s="1348"/>
      <c r="F1936" s="1348"/>
      <c r="G1936" s="1348"/>
      <c r="H1936" s="1348"/>
      <c r="I1936" s="1348"/>
      <c r="J1936" s="1348"/>
      <c r="K1936" s="1348"/>
    </row>
    <row r="1937" spans="2:11" hidden="1">
      <c r="B1937" s="1348"/>
      <c r="C1937" s="1348"/>
      <c r="D1937" s="1348"/>
      <c r="E1937" s="1348"/>
      <c r="F1937" s="1348"/>
      <c r="G1937" s="1348"/>
      <c r="H1937" s="1348"/>
      <c r="I1937" s="1348"/>
      <c r="J1937" s="1348"/>
      <c r="K1937" s="1348"/>
    </row>
    <row r="1938" spans="2:11" hidden="1">
      <c r="B1938" s="1348"/>
      <c r="C1938" s="1348"/>
      <c r="D1938" s="1348"/>
      <c r="E1938" s="1348"/>
      <c r="F1938" s="1348"/>
      <c r="G1938" s="1348"/>
      <c r="H1938" s="1348"/>
      <c r="I1938" s="1348"/>
      <c r="J1938" s="1348"/>
      <c r="K1938" s="1348"/>
    </row>
    <row r="1939" spans="2:11" hidden="1">
      <c r="B1939" s="1348"/>
      <c r="C1939" s="1348"/>
      <c r="D1939" s="1348"/>
      <c r="E1939" s="1348"/>
      <c r="F1939" s="1348"/>
      <c r="G1939" s="1348"/>
      <c r="H1939" s="1348"/>
      <c r="I1939" s="1348"/>
      <c r="J1939" s="1348"/>
      <c r="K1939" s="1348"/>
    </row>
    <row r="1940" spans="2:11" hidden="1">
      <c r="B1940" s="1348"/>
      <c r="C1940" s="1348"/>
      <c r="D1940" s="1348"/>
      <c r="E1940" s="1348"/>
      <c r="F1940" s="1348"/>
      <c r="G1940" s="1348"/>
      <c r="H1940" s="1348"/>
      <c r="I1940" s="1348"/>
      <c r="J1940" s="1348"/>
      <c r="K1940" s="1348"/>
    </row>
    <row r="1941" spans="2:11" hidden="1">
      <c r="B1941" s="1348"/>
      <c r="C1941" s="1348"/>
      <c r="D1941" s="1348"/>
      <c r="E1941" s="1348"/>
      <c r="F1941" s="1348"/>
      <c r="G1941" s="1348"/>
      <c r="H1941" s="1348"/>
      <c r="I1941" s="1348"/>
      <c r="J1941" s="1348"/>
      <c r="K1941" s="1348"/>
    </row>
    <row r="1942" spans="2:11" hidden="1">
      <c r="B1942" s="1348"/>
      <c r="C1942" s="1348"/>
      <c r="D1942" s="1348"/>
      <c r="E1942" s="1348"/>
      <c r="F1942" s="1348"/>
      <c r="G1942" s="1348"/>
      <c r="H1942" s="1348"/>
      <c r="I1942" s="1348"/>
      <c r="J1942" s="1348"/>
      <c r="K1942" s="1348"/>
    </row>
    <row r="1943" spans="2:11" hidden="1">
      <c r="B1943" s="1348"/>
      <c r="C1943" s="1348"/>
      <c r="D1943" s="1348"/>
      <c r="E1943" s="1348"/>
      <c r="F1943" s="1348"/>
      <c r="G1943" s="1348"/>
      <c r="H1943" s="1348"/>
      <c r="I1943" s="1348"/>
      <c r="J1943" s="1348"/>
      <c r="K1943" s="1348"/>
    </row>
    <row r="1944" spans="2:11" hidden="1">
      <c r="B1944" s="1348"/>
      <c r="C1944" s="1348"/>
      <c r="D1944" s="1348"/>
      <c r="E1944" s="1348"/>
      <c r="F1944" s="1348"/>
      <c r="G1944" s="1348"/>
      <c r="H1944" s="1348"/>
      <c r="I1944" s="1348"/>
      <c r="J1944" s="1348"/>
      <c r="K1944" s="1348"/>
    </row>
    <row r="1945" spans="2:11" hidden="1">
      <c r="B1945" s="1348"/>
      <c r="C1945" s="1348"/>
      <c r="D1945" s="1348"/>
      <c r="E1945" s="1348"/>
      <c r="F1945" s="1348"/>
      <c r="G1945" s="1348"/>
      <c r="H1945" s="1348"/>
      <c r="I1945" s="1348"/>
      <c r="J1945" s="1348"/>
      <c r="K1945" s="1348"/>
    </row>
    <row r="1946" spans="2:11" hidden="1">
      <c r="B1946" s="1348"/>
      <c r="C1946" s="1348"/>
      <c r="D1946" s="1348"/>
      <c r="E1946" s="1348"/>
      <c r="F1946" s="1348"/>
      <c r="G1946" s="1348"/>
      <c r="H1946" s="1348"/>
      <c r="I1946" s="1348"/>
      <c r="J1946" s="1348"/>
      <c r="K1946" s="1348"/>
    </row>
    <row r="1947" spans="2:11" hidden="1">
      <c r="B1947" s="1348"/>
      <c r="C1947" s="1348"/>
      <c r="D1947" s="1348"/>
      <c r="E1947" s="1348"/>
      <c r="F1947" s="1348"/>
      <c r="G1947" s="1348"/>
      <c r="H1947" s="1348"/>
      <c r="I1947" s="1348"/>
      <c r="J1947" s="1348"/>
      <c r="K1947" s="1348"/>
    </row>
    <row r="1948" spans="2:11" hidden="1">
      <c r="B1948" s="1348"/>
      <c r="C1948" s="1348"/>
      <c r="D1948" s="1348"/>
      <c r="E1948" s="1348"/>
      <c r="F1948" s="1348"/>
      <c r="G1948" s="1348"/>
      <c r="H1948" s="1348"/>
      <c r="I1948" s="1348"/>
      <c r="J1948" s="1348"/>
      <c r="K1948" s="1348"/>
    </row>
    <row r="1949" spans="2:11" hidden="1">
      <c r="B1949" s="1348"/>
      <c r="C1949" s="1348"/>
      <c r="D1949" s="1348"/>
      <c r="E1949" s="1348"/>
      <c r="F1949" s="1348"/>
      <c r="G1949" s="1348"/>
      <c r="H1949" s="1348"/>
      <c r="I1949" s="1348"/>
      <c r="J1949" s="1348"/>
      <c r="K1949" s="1348"/>
    </row>
    <row r="1950" spans="2:11" hidden="1">
      <c r="B1950" s="1348"/>
      <c r="C1950" s="1348"/>
      <c r="D1950" s="1348"/>
      <c r="E1950" s="1348"/>
      <c r="F1950" s="1348"/>
      <c r="G1950" s="1348"/>
      <c r="H1950" s="1348"/>
      <c r="I1950" s="1348"/>
      <c r="J1950" s="1348"/>
      <c r="K1950" s="1348"/>
    </row>
    <row r="1951" spans="2:11" hidden="1">
      <c r="B1951" s="1348"/>
      <c r="C1951" s="1348"/>
      <c r="D1951" s="1348"/>
      <c r="E1951" s="1348"/>
      <c r="F1951" s="1348"/>
      <c r="G1951" s="1348"/>
      <c r="H1951" s="1348"/>
      <c r="I1951" s="1348"/>
      <c r="J1951" s="1348"/>
      <c r="K1951" s="1348"/>
    </row>
    <row r="1952" spans="2:11" hidden="1">
      <c r="B1952" s="1348"/>
      <c r="C1952" s="1348"/>
      <c r="D1952" s="1348"/>
      <c r="E1952" s="1348"/>
      <c r="F1952" s="1348"/>
      <c r="G1952" s="1348"/>
      <c r="H1952" s="1348"/>
      <c r="I1952" s="1348"/>
      <c r="J1952" s="1348"/>
      <c r="K1952" s="1348"/>
    </row>
    <row r="1953" spans="2:11" hidden="1">
      <c r="B1953" s="1348"/>
      <c r="C1953" s="1348"/>
      <c r="D1953" s="1348"/>
      <c r="E1953" s="1348"/>
      <c r="F1953" s="1348"/>
      <c r="G1953" s="1348"/>
      <c r="H1953" s="1348"/>
      <c r="I1953" s="1348"/>
      <c r="J1953" s="1348"/>
      <c r="K1953" s="1348"/>
    </row>
    <row r="1954" spans="2:11" hidden="1">
      <c r="B1954" s="1348"/>
      <c r="C1954" s="1348"/>
      <c r="D1954" s="1348"/>
      <c r="E1954" s="1348"/>
      <c r="F1954" s="1348"/>
      <c r="G1954" s="1348"/>
      <c r="H1954" s="1348"/>
      <c r="I1954" s="1348"/>
      <c r="J1954" s="1348"/>
      <c r="K1954" s="1348"/>
    </row>
    <row r="1955" spans="2:11" hidden="1">
      <c r="B1955" s="1348"/>
      <c r="C1955" s="1348"/>
      <c r="D1955" s="1348"/>
      <c r="E1955" s="1348"/>
      <c r="F1955" s="1348"/>
      <c r="G1955" s="1348"/>
      <c r="H1955" s="1348"/>
      <c r="I1955" s="1348"/>
      <c r="J1955" s="1348"/>
      <c r="K1955" s="1348"/>
    </row>
    <row r="1956" spans="2:11" hidden="1">
      <c r="B1956" s="1348"/>
      <c r="C1956" s="1348"/>
      <c r="D1956" s="1348"/>
      <c r="E1956" s="1348"/>
      <c r="F1956" s="1348"/>
      <c r="G1956" s="1348"/>
      <c r="H1956" s="1348"/>
      <c r="I1956" s="1348"/>
      <c r="J1956" s="1348"/>
      <c r="K1956" s="1348"/>
    </row>
    <row r="1957" spans="2:11" hidden="1">
      <c r="B1957" s="1348"/>
      <c r="C1957" s="1348"/>
      <c r="D1957" s="1348"/>
      <c r="E1957" s="1348"/>
      <c r="F1957" s="1348"/>
      <c r="G1957" s="1348"/>
      <c r="H1957" s="1348"/>
      <c r="I1957" s="1348"/>
      <c r="J1957" s="1348"/>
      <c r="K1957" s="1348"/>
    </row>
    <row r="1958" spans="2:11" hidden="1">
      <c r="B1958" s="1348"/>
      <c r="C1958" s="1348"/>
      <c r="D1958" s="1348"/>
      <c r="E1958" s="1348"/>
      <c r="F1958" s="1348"/>
      <c r="G1958" s="1348"/>
      <c r="H1958" s="1348"/>
      <c r="I1958" s="1348"/>
      <c r="J1958" s="1348"/>
      <c r="K1958" s="1348"/>
    </row>
    <row r="1959" spans="2:11" hidden="1">
      <c r="B1959" s="1348"/>
      <c r="C1959" s="1348"/>
      <c r="D1959" s="1348"/>
      <c r="E1959" s="1348"/>
      <c r="F1959" s="1348"/>
      <c r="G1959" s="1348"/>
      <c r="H1959" s="1348"/>
      <c r="I1959" s="1348"/>
      <c r="J1959" s="1348"/>
      <c r="K1959" s="1348"/>
    </row>
    <row r="1960" spans="2:11" hidden="1">
      <c r="B1960" s="1348"/>
      <c r="C1960" s="1348"/>
      <c r="D1960" s="1348"/>
      <c r="E1960" s="1348"/>
      <c r="F1960" s="1348"/>
      <c r="G1960" s="1348"/>
      <c r="H1960" s="1348"/>
      <c r="I1960" s="1348"/>
      <c r="J1960" s="1348"/>
      <c r="K1960" s="1348"/>
    </row>
    <row r="1961" spans="2:11" hidden="1">
      <c r="B1961" s="1348"/>
      <c r="C1961" s="1348"/>
      <c r="D1961" s="1348"/>
      <c r="E1961" s="1348"/>
      <c r="F1961" s="1348"/>
      <c r="G1961" s="1348"/>
      <c r="H1961" s="1348"/>
      <c r="I1961" s="1348"/>
      <c r="J1961" s="1348"/>
      <c r="K1961" s="1348"/>
    </row>
    <row r="1962" spans="2:11" hidden="1">
      <c r="B1962" s="1348"/>
      <c r="C1962" s="1348"/>
      <c r="D1962" s="1348"/>
      <c r="E1962" s="1348"/>
      <c r="F1962" s="1348"/>
      <c r="G1962" s="1348"/>
      <c r="H1962" s="1348"/>
      <c r="I1962" s="1348"/>
      <c r="J1962" s="1348"/>
      <c r="K1962" s="1348"/>
    </row>
    <row r="1963" spans="2:11" hidden="1">
      <c r="B1963" s="1348"/>
      <c r="C1963" s="1348"/>
      <c r="D1963" s="1348"/>
      <c r="E1963" s="1348"/>
      <c r="F1963" s="1348"/>
      <c r="G1963" s="1348"/>
      <c r="H1963" s="1348"/>
      <c r="I1963" s="1348"/>
      <c r="J1963" s="1348"/>
      <c r="K1963" s="1348"/>
    </row>
    <row r="1964" spans="2:11" hidden="1">
      <c r="B1964" s="1348"/>
      <c r="C1964" s="1348"/>
      <c r="D1964" s="1348"/>
      <c r="E1964" s="1348"/>
      <c r="F1964" s="1348"/>
      <c r="G1964" s="1348"/>
      <c r="H1964" s="1348"/>
      <c r="I1964" s="1348"/>
      <c r="J1964" s="1348"/>
      <c r="K1964" s="1348"/>
    </row>
    <row r="1965" spans="2:11" hidden="1">
      <c r="B1965" s="1348"/>
      <c r="C1965" s="1348"/>
      <c r="D1965" s="1348"/>
      <c r="E1965" s="1348"/>
      <c r="F1965" s="1348"/>
      <c r="G1965" s="1348"/>
      <c r="H1965" s="1348"/>
      <c r="I1965" s="1348"/>
      <c r="J1965" s="1348"/>
      <c r="K1965" s="1348"/>
    </row>
    <row r="1966" spans="2:11" hidden="1">
      <c r="B1966" s="1348"/>
      <c r="C1966" s="1348"/>
      <c r="D1966" s="1348"/>
      <c r="E1966" s="1348"/>
      <c r="F1966" s="1348"/>
      <c r="G1966" s="1348"/>
      <c r="H1966" s="1348"/>
      <c r="I1966" s="1348"/>
      <c r="J1966" s="1348"/>
      <c r="K1966" s="1348"/>
    </row>
    <row r="1967" spans="2:11" hidden="1">
      <c r="B1967" s="1348"/>
      <c r="C1967" s="1348"/>
      <c r="D1967" s="1348"/>
      <c r="E1967" s="1348"/>
      <c r="F1967" s="1348"/>
      <c r="G1967" s="1348"/>
      <c r="H1967" s="1348"/>
      <c r="I1967" s="1348"/>
      <c r="J1967" s="1348"/>
      <c r="K1967" s="1348"/>
    </row>
    <row r="1968" spans="2:11" hidden="1">
      <c r="B1968" s="1348"/>
      <c r="C1968" s="1348"/>
      <c r="D1968" s="1348"/>
      <c r="E1968" s="1348"/>
      <c r="F1968" s="1348"/>
      <c r="G1968" s="1348"/>
      <c r="H1968" s="1348"/>
      <c r="I1968" s="1348"/>
      <c r="J1968" s="1348"/>
      <c r="K1968" s="1348"/>
    </row>
    <row r="1969" spans="2:11" hidden="1">
      <c r="B1969" s="1348"/>
      <c r="C1969" s="1348"/>
      <c r="D1969" s="1348"/>
      <c r="E1969" s="1348"/>
      <c r="F1969" s="1348"/>
      <c r="G1969" s="1348"/>
      <c r="H1969" s="1348"/>
      <c r="I1969" s="1348"/>
      <c r="J1969" s="1348"/>
      <c r="K1969" s="1348"/>
    </row>
    <row r="1970" spans="2:11" hidden="1">
      <c r="B1970" s="1348"/>
      <c r="C1970" s="1348"/>
      <c r="D1970" s="1348"/>
      <c r="E1970" s="1348"/>
      <c r="F1970" s="1348"/>
      <c r="G1970" s="1348"/>
      <c r="H1970" s="1348"/>
      <c r="I1970" s="1348"/>
      <c r="J1970" s="1348"/>
      <c r="K1970" s="1348"/>
    </row>
    <row r="1971" spans="2:11" hidden="1">
      <c r="B1971" s="1348"/>
      <c r="C1971" s="1348"/>
      <c r="D1971" s="1348"/>
      <c r="E1971" s="1348"/>
      <c r="F1971" s="1348"/>
      <c r="G1971" s="1348"/>
      <c r="H1971" s="1348"/>
      <c r="I1971" s="1348"/>
      <c r="J1971" s="1348"/>
      <c r="K1971" s="1348"/>
    </row>
    <row r="1972" spans="2:11" hidden="1">
      <c r="B1972" s="1348"/>
      <c r="C1972" s="1348"/>
      <c r="D1972" s="1348"/>
      <c r="E1972" s="1348"/>
      <c r="F1972" s="1348"/>
      <c r="G1972" s="1348"/>
      <c r="H1972" s="1348"/>
      <c r="I1972" s="1348"/>
      <c r="J1972" s="1348"/>
      <c r="K1972" s="1348"/>
    </row>
    <row r="1973" spans="2:11" hidden="1">
      <c r="B1973" s="1348"/>
      <c r="C1973" s="1348"/>
      <c r="D1973" s="1348"/>
      <c r="E1973" s="1348"/>
      <c r="F1973" s="1348"/>
      <c r="G1973" s="1348"/>
      <c r="H1973" s="1348"/>
      <c r="I1973" s="1348"/>
      <c r="J1973" s="1348"/>
      <c r="K1973" s="1348"/>
    </row>
    <row r="1974" spans="2:11" hidden="1">
      <c r="B1974" s="1348"/>
      <c r="C1974" s="1348"/>
      <c r="D1974" s="1348"/>
      <c r="E1974" s="1348"/>
      <c r="F1974" s="1348"/>
      <c r="G1974" s="1348"/>
      <c r="H1974" s="1348"/>
      <c r="I1974" s="1348"/>
      <c r="J1974" s="1348"/>
      <c r="K1974" s="1348"/>
    </row>
    <row r="1975" spans="2:11" hidden="1">
      <c r="B1975" s="1348"/>
      <c r="C1975" s="1348"/>
      <c r="D1975" s="1348"/>
      <c r="E1975" s="1348"/>
      <c r="F1975" s="1348"/>
      <c r="G1975" s="1348"/>
      <c r="H1975" s="1348"/>
      <c r="I1975" s="1348"/>
      <c r="J1975" s="1348"/>
      <c r="K1975" s="1348"/>
    </row>
    <row r="1976" spans="2:11" hidden="1">
      <c r="B1976" s="1348"/>
      <c r="C1976" s="1348"/>
      <c r="D1976" s="1348"/>
      <c r="E1976" s="1348"/>
      <c r="F1976" s="1348"/>
      <c r="G1976" s="1348"/>
      <c r="H1976" s="1348"/>
      <c r="I1976" s="1348"/>
      <c r="J1976" s="1348"/>
      <c r="K1976" s="1348"/>
    </row>
    <row r="1977" spans="2:11" hidden="1">
      <c r="B1977" s="1348"/>
      <c r="C1977" s="1348"/>
      <c r="D1977" s="1348"/>
      <c r="E1977" s="1348"/>
      <c r="F1977" s="1348"/>
      <c r="G1977" s="1348"/>
      <c r="H1977" s="1348"/>
      <c r="I1977" s="1348"/>
      <c r="J1977" s="1348"/>
      <c r="K1977" s="1348"/>
    </row>
    <row r="1978" spans="2:11" hidden="1">
      <c r="B1978" s="1348"/>
      <c r="C1978" s="1348"/>
      <c r="D1978" s="1348"/>
      <c r="E1978" s="1348"/>
      <c r="F1978" s="1348"/>
      <c r="G1978" s="1348"/>
      <c r="H1978" s="1348"/>
      <c r="I1978" s="1348"/>
      <c r="J1978" s="1348"/>
      <c r="K1978" s="1348"/>
    </row>
    <row r="1979" spans="2:11" hidden="1">
      <c r="B1979" s="1348"/>
      <c r="C1979" s="1348"/>
      <c r="D1979" s="1348"/>
      <c r="E1979" s="1348"/>
      <c r="F1979" s="1348"/>
      <c r="G1979" s="1348"/>
      <c r="H1979" s="1348"/>
      <c r="I1979" s="1348"/>
      <c r="J1979" s="1348"/>
      <c r="K1979" s="1348"/>
    </row>
    <row r="1980" spans="2:11" hidden="1">
      <c r="B1980" s="1348"/>
      <c r="C1980" s="1348"/>
      <c r="D1980" s="1348"/>
      <c r="E1980" s="1348"/>
      <c r="F1980" s="1348"/>
      <c r="G1980" s="1348"/>
      <c r="H1980" s="1348"/>
      <c r="I1980" s="1348"/>
      <c r="J1980" s="1348"/>
      <c r="K1980" s="1348"/>
    </row>
    <row r="1981" spans="2:11" hidden="1">
      <c r="B1981" s="1348"/>
      <c r="C1981" s="1348"/>
      <c r="D1981" s="1348"/>
      <c r="E1981" s="1348"/>
      <c r="F1981" s="1348"/>
      <c r="G1981" s="1348"/>
      <c r="H1981" s="1348"/>
      <c r="I1981" s="1348"/>
      <c r="J1981" s="1348"/>
      <c r="K1981" s="1348"/>
    </row>
    <row r="1982" spans="2:11" hidden="1">
      <c r="B1982" s="1348"/>
      <c r="C1982" s="1348"/>
      <c r="D1982" s="1348"/>
      <c r="E1982" s="1348"/>
      <c r="F1982" s="1348"/>
      <c r="G1982" s="1348"/>
      <c r="H1982" s="1348"/>
      <c r="I1982" s="1348"/>
      <c r="J1982" s="1348"/>
      <c r="K1982" s="1348"/>
    </row>
    <row r="1983" spans="2:11" hidden="1">
      <c r="B1983" s="1348"/>
      <c r="C1983" s="1348"/>
      <c r="D1983" s="1348"/>
      <c r="E1983" s="1348"/>
      <c r="F1983" s="1348"/>
      <c r="G1983" s="1348"/>
      <c r="H1983" s="1348"/>
      <c r="I1983" s="1348"/>
      <c r="J1983" s="1348"/>
      <c r="K1983" s="1348"/>
    </row>
    <row r="1984" spans="2:11" hidden="1">
      <c r="B1984" s="1348"/>
      <c r="C1984" s="1348"/>
      <c r="D1984" s="1348"/>
      <c r="E1984" s="1348"/>
      <c r="F1984" s="1348"/>
      <c r="G1984" s="1348"/>
      <c r="H1984" s="1348"/>
      <c r="I1984" s="1348"/>
      <c r="J1984" s="1348"/>
      <c r="K1984" s="1348"/>
    </row>
    <row r="1985" spans="2:11" hidden="1">
      <c r="B1985" s="1348"/>
      <c r="C1985" s="1348"/>
      <c r="D1985" s="1348"/>
      <c r="E1985" s="1348"/>
      <c r="F1985" s="1348"/>
      <c r="G1985" s="1348"/>
      <c r="H1985" s="1348"/>
      <c r="I1985" s="1348"/>
      <c r="J1985" s="1348"/>
      <c r="K1985" s="1348"/>
    </row>
    <row r="1986" spans="2:11" hidden="1">
      <c r="B1986" s="1348"/>
      <c r="C1986" s="1348"/>
      <c r="D1986" s="1348"/>
      <c r="E1986" s="1348"/>
      <c r="F1986" s="1348"/>
      <c r="G1986" s="1348"/>
      <c r="H1986" s="1348"/>
      <c r="I1986" s="1348"/>
      <c r="J1986" s="1348"/>
      <c r="K1986" s="1348"/>
    </row>
    <row r="1987" spans="2:11" hidden="1">
      <c r="B1987" s="1348"/>
      <c r="C1987" s="1348"/>
      <c r="D1987" s="1348"/>
      <c r="E1987" s="1348"/>
      <c r="F1987" s="1348"/>
      <c r="G1987" s="1348"/>
      <c r="H1987" s="1348"/>
      <c r="I1987" s="1348"/>
      <c r="J1987" s="1348"/>
      <c r="K1987" s="1348"/>
    </row>
    <row r="1988" spans="2:11" hidden="1">
      <c r="B1988" s="1348"/>
      <c r="C1988" s="1348"/>
      <c r="D1988" s="1348"/>
      <c r="E1988" s="1348"/>
      <c r="F1988" s="1348"/>
      <c r="G1988" s="1348"/>
      <c r="H1988" s="1348"/>
      <c r="I1988" s="1348"/>
      <c r="J1988" s="1348"/>
      <c r="K1988" s="1348"/>
    </row>
    <row r="1989" spans="2:11" hidden="1">
      <c r="B1989" s="1348"/>
      <c r="C1989" s="1348"/>
      <c r="D1989" s="1348"/>
      <c r="E1989" s="1348"/>
      <c r="F1989" s="1348"/>
      <c r="G1989" s="1348"/>
      <c r="H1989" s="1348"/>
      <c r="I1989" s="1348"/>
      <c r="J1989" s="1348"/>
      <c r="K1989" s="1348"/>
    </row>
    <row r="1990" spans="2:11" hidden="1">
      <c r="B1990" s="1348"/>
      <c r="C1990" s="1348"/>
      <c r="D1990" s="1348"/>
      <c r="E1990" s="1348"/>
      <c r="F1990" s="1348"/>
      <c r="G1990" s="1348"/>
      <c r="H1990" s="1348"/>
      <c r="I1990" s="1348"/>
      <c r="J1990" s="1348"/>
      <c r="K1990" s="1348"/>
    </row>
    <row r="1991" spans="2:11" hidden="1">
      <c r="B1991" s="1348"/>
      <c r="C1991" s="1348"/>
      <c r="D1991" s="1348"/>
      <c r="E1991" s="1348"/>
      <c r="F1991" s="1348"/>
      <c r="G1991" s="1348"/>
      <c r="H1991" s="1348"/>
      <c r="I1991" s="1348"/>
      <c r="J1991" s="1348"/>
      <c r="K1991" s="1348"/>
    </row>
    <row r="1992" spans="2:11" hidden="1">
      <c r="B1992" s="1348"/>
      <c r="C1992" s="1348"/>
      <c r="D1992" s="1348"/>
      <c r="E1992" s="1348"/>
      <c r="F1992" s="1348"/>
      <c r="G1992" s="1348"/>
      <c r="H1992" s="1348"/>
      <c r="I1992" s="1348"/>
      <c r="J1992" s="1348"/>
      <c r="K1992" s="1348"/>
    </row>
    <row r="1993" spans="2:11" hidden="1">
      <c r="B1993" s="1348"/>
      <c r="C1993" s="1348"/>
      <c r="D1993" s="1348"/>
      <c r="E1993" s="1348"/>
      <c r="F1993" s="1348"/>
      <c r="G1993" s="1348"/>
      <c r="H1993" s="1348"/>
      <c r="I1993" s="1348"/>
      <c r="J1993" s="1348"/>
      <c r="K1993" s="1348"/>
    </row>
    <row r="1994" spans="2:11" hidden="1">
      <c r="B1994" s="1348"/>
      <c r="C1994" s="1348"/>
      <c r="D1994" s="1348"/>
      <c r="E1994" s="1348"/>
      <c r="F1994" s="1348"/>
      <c r="G1994" s="1348"/>
      <c r="H1994" s="1348"/>
      <c r="I1994" s="1348"/>
      <c r="J1994" s="1348"/>
      <c r="K1994" s="1348"/>
    </row>
    <row r="1995" spans="2:11" hidden="1">
      <c r="B1995" s="1348"/>
      <c r="C1995" s="1348"/>
      <c r="D1995" s="1348"/>
      <c r="E1995" s="1348"/>
      <c r="F1995" s="1348"/>
      <c r="G1995" s="1348"/>
      <c r="H1995" s="1348"/>
      <c r="I1995" s="1348"/>
      <c r="J1995" s="1348"/>
      <c r="K1995" s="1348"/>
    </row>
    <row r="1996" spans="2:11" hidden="1">
      <c r="B1996" s="1348"/>
      <c r="C1996" s="1348"/>
      <c r="D1996" s="1348"/>
      <c r="E1996" s="1348"/>
      <c r="F1996" s="1348"/>
      <c r="G1996" s="1348"/>
      <c r="H1996" s="1348"/>
      <c r="I1996" s="1348"/>
      <c r="J1996" s="1348"/>
      <c r="K1996" s="1348"/>
    </row>
    <row r="1997" spans="2:11" hidden="1">
      <c r="B1997" s="1348"/>
      <c r="C1997" s="1348"/>
      <c r="D1997" s="1348"/>
      <c r="E1997" s="1348"/>
      <c r="F1997" s="1348"/>
      <c r="G1997" s="1348"/>
      <c r="H1997" s="1348"/>
      <c r="I1997" s="1348"/>
      <c r="J1997" s="1348"/>
      <c r="K1997" s="1348"/>
    </row>
    <row r="1998" spans="2:11" hidden="1">
      <c r="B1998" s="1348"/>
      <c r="C1998" s="1348"/>
      <c r="D1998" s="1348"/>
      <c r="E1998" s="1348"/>
      <c r="F1998" s="1348"/>
      <c r="G1998" s="1348"/>
      <c r="H1998" s="1348"/>
      <c r="I1998" s="1348"/>
      <c r="J1998" s="1348"/>
      <c r="K1998" s="1348"/>
    </row>
    <row r="1999" spans="2:11" hidden="1">
      <c r="B1999" s="1348"/>
      <c r="C1999" s="1348"/>
      <c r="D1999" s="1348"/>
      <c r="E1999" s="1348"/>
      <c r="F1999" s="1348"/>
      <c r="G1999" s="1348"/>
      <c r="H1999" s="1348"/>
      <c r="I1999" s="1348"/>
      <c r="J1999" s="1348"/>
      <c r="K1999" s="1348"/>
    </row>
    <row r="2000" spans="2:11" hidden="1">
      <c r="B2000" s="1348"/>
      <c r="C2000" s="1348"/>
      <c r="D2000" s="1348"/>
      <c r="E2000" s="1348"/>
      <c r="F2000" s="1348"/>
      <c r="G2000" s="1348"/>
      <c r="H2000" s="1348"/>
      <c r="I2000" s="1348"/>
      <c r="J2000" s="1348"/>
      <c r="K2000" s="1348"/>
    </row>
    <row r="2001" spans="2:11" hidden="1">
      <c r="B2001" s="1348"/>
      <c r="C2001" s="1348"/>
      <c r="D2001" s="1348"/>
      <c r="E2001" s="1348"/>
      <c r="F2001" s="1348"/>
      <c r="G2001" s="1348"/>
      <c r="H2001" s="1348"/>
      <c r="I2001" s="1348"/>
      <c r="J2001" s="1348"/>
      <c r="K2001" s="1348"/>
    </row>
    <row r="2002" spans="2:11" hidden="1">
      <c r="B2002" s="1348"/>
      <c r="C2002" s="1348"/>
      <c r="D2002" s="1348"/>
      <c r="E2002" s="1348"/>
      <c r="F2002" s="1348"/>
      <c r="G2002" s="1348"/>
      <c r="H2002" s="1348"/>
      <c r="I2002" s="1348"/>
      <c r="J2002" s="1348"/>
      <c r="K2002" s="1348"/>
    </row>
    <row r="2003" spans="2:11" hidden="1">
      <c r="B2003" s="1348"/>
      <c r="C2003" s="1348"/>
      <c r="D2003" s="1348"/>
      <c r="E2003" s="1348"/>
      <c r="F2003" s="1348"/>
      <c r="G2003" s="1348"/>
      <c r="H2003" s="1348"/>
      <c r="I2003" s="1348"/>
      <c r="J2003" s="1348"/>
      <c r="K2003" s="1348"/>
    </row>
    <row r="2004" spans="2:11" hidden="1">
      <c r="B2004" s="1348"/>
      <c r="C2004" s="1348"/>
      <c r="D2004" s="1348"/>
      <c r="E2004" s="1348"/>
      <c r="F2004" s="1348"/>
      <c r="G2004" s="1348"/>
      <c r="H2004" s="1348"/>
      <c r="I2004" s="1348"/>
      <c r="J2004" s="1348"/>
      <c r="K2004" s="1348"/>
    </row>
    <row r="2005" spans="2:11" hidden="1">
      <c r="B2005" s="1348"/>
      <c r="C2005" s="1348"/>
      <c r="D2005" s="1348"/>
      <c r="E2005" s="1348"/>
      <c r="F2005" s="1348"/>
      <c r="G2005" s="1348"/>
      <c r="H2005" s="1348"/>
      <c r="I2005" s="1348"/>
      <c r="J2005" s="1348"/>
      <c r="K2005" s="1348"/>
    </row>
    <row r="2006" spans="2:11" hidden="1">
      <c r="B2006" s="1348"/>
      <c r="C2006" s="1348"/>
      <c r="D2006" s="1348"/>
      <c r="E2006" s="1348"/>
      <c r="F2006" s="1348"/>
      <c r="G2006" s="1348"/>
      <c r="H2006" s="1348"/>
      <c r="I2006" s="1348"/>
      <c r="J2006" s="1348"/>
      <c r="K2006" s="1348"/>
    </row>
    <row r="2007" spans="2:11" hidden="1">
      <c r="B2007" s="1348"/>
      <c r="C2007" s="1348"/>
      <c r="D2007" s="1348"/>
      <c r="E2007" s="1348"/>
      <c r="F2007" s="1348"/>
      <c r="G2007" s="1348"/>
      <c r="H2007" s="1348"/>
      <c r="I2007" s="1348"/>
      <c r="J2007" s="1348"/>
      <c r="K2007" s="1348"/>
    </row>
    <row r="2008" spans="2:11" hidden="1">
      <c r="B2008" s="1348"/>
      <c r="C2008" s="1348"/>
      <c r="D2008" s="1348"/>
      <c r="E2008" s="1348"/>
      <c r="F2008" s="1348"/>
      <c r="G2008" s="1348"/>
      <c r="H2008" s="1348"/>
      <c r="I2008" s="1348"/>
      <c r="J2008" s="1348"/>
      <c r="K2008" s="1348"/>
    </row>
    <row r="2009" spans="2:11" hidden="1">
      <c r="B2009" s="1348"/>
      <c r="C2009" s="1348"/>
      <c r="D2009" s="1348"/>
      <c r="E2009" s="1348"/>
      <c r="F2009" s="1348"/>
      <c r="G2009" s="1348"/>
      <c r="H2009" s="1348"/>
      <c r="I2009" s="1348"/>
      <c r="J2009" s="1348"/>
      <c r="K2009" s="1348"/>
    </row>
    <row r="2010" spans="2:11" hidden="1">
      <c r="B2010" s="1348"/>
      <c r="C2010" s="1348"/>
      <c r="D2010" s="1348"/>
      <c r="E2010" s="1348"/>
      <c r="F2010" s="1348"/>
      <c r="G2010" s="1348"/>
      <c r="H2010" s="1348"/>
      <c r="I2010" s="1348"/>
      <c r="J2010" s="1348"/>
      <c r="K2010" s="1348"/>
    </row>
    <row r="2011" spans="2:11" hidden="1">
      <c r="B2011" s="1348"/>
      <c r="C2011" s="1348"/>
      <c r="D2011" s="1348"/>
      <c r="E2011" s="1348"/>
      <c r="F2011" s="1348"/>
      <c r="G2011" s="1348"/>
      <c r="H2011" s="1348"/>
      <c r="I2011" s="1348"/>
      <c r="J2011" s="1348"/>
      <c r="K2011" s="1348"/>
    </row>
    <row r="2012" spans="2:11" hidden="1">
      <c r="B2012" s="1348"/>
      <c r="C2012" s="1348"/>
      <c r="D2012" s="1348"/>
      <c r="E2012" s="1348"/>
      <c r="F2012" s="1348"/>
      <c r="G2012" s="1348"/>
      <c r="H2012" s="1348"/>
      <c r="I2012" s="1348"/>
      <c r="J2012" s="1348"/>
      <c r="K2012" s="1348"/>
    </row>
    <row r="2013" spans="2:11" hidden="1">
      <c r="B2013" s="1348"/>
      <c r="C2013" s="1348"/>
      <c r="D2013" s="1348"/>
      <c r="E2013" s="1348"/>
      <c r="F2013" s="1348"/>
      <c r="G2013" s="1348"/>
      <c r="H2013" s="1348"/>
      <c r="I2013" s="1348"/>
      <c r="J2013" s="1348"/>
      <c r="K2013" s="1348"/>
    </row>
    <row r="2014" spans="2:11" hidden="1">
      <c r="B2014" s="1348"/>
      <c r="C2014" s="1348"/>
      <c r="D2014" s="1348"/>
      <c r="E2014" s="1348"/>
      <c r="F2014" s="1348"/>
      <c r="G2014" s="1348"/>
      <c r="H2014" s="1348"/>
      <c r="I2014" s="1348"/>
      <c r="J2014" s="1348"/>
      <c r="K2014" s="1348"/>
    </row>
    <row r="2015" spans="2:11" hidden="1">
      <c r="B2015" s="1348"/>
      <c r="C2015" s="1348"/>
      <c r="D2015" s="1348"/>
      <c r="E2015" s="1348"/>
      <c r="F2015" s="1348"/>
      <c r="G2015" s="1348"/>
      <c r="H2015" s="1348"/>
      <c r="I2015" s="1348"/>
      <c r="J2015" s="1348"/>
      <c r="K2015" s="1348"/>
    </row>
    <row r="2016" spans="2:11" hidden="1">
      <c r="B2016" s="1348"/>
      <c r="C2016" s="1348"/>
      <c r="D2016" s="1348"/>
      <c r="E2016" s="1348"/>
      <c r="F2016" s="1348"/>
      <c r="G2016" s="1348"/>
      <c r="H2016" s="1348"/>
      <c r="I2016" s="1348"/>
      <c r="J2016" s="1348"/>
      <c r="K2016" s="1348"/>
    </row>
    <row r="2017" spans="2:11" hidden="1">
      <c r="B2017" s="1348"/>
      <c r="C2017" s="1348"/>
      <c r="D2017" s="1348"/>
      <c r="E2017" s="1348"/>
      <c r="F2017" s="1348"/>
      <c r="G2017" s="1348"/>
      <c r="H2017" s="1348"/>
      <c r="I2017" s="1348"/>
      <c r="J2017" s="1348"/>
      <c r="K2017" s="1348"/>
    </row>
    <row r="2018" spans="2:11" hidden="1">
      <c r="B2018" s="1348"/>
      <c r="C2018" s="1348"/>
      <c r="D2018" s="1348"/>
      <c r="E2018" s="1348"/>
      <c r="F2018" s="1348"/>
      <c r="G2018" s="1348"/>
      <c r="H2018" s="1348"/>
      <c r="I2018" s="1348"/>
      <c r="J2018" s="1348"/>
      <c r="K2018" s="1348"/>
    </row>
    <row r="2019" spans="2:11" hidden="1">
      <c r="B2019" s="1348"/>
      <c r="C2019" s="1348"/>
      <c r="D2019" s="1348"/>
      <c r="E2019" s="1348"/>
      <c r="F2019" s="1348"/>
      <c r="G2019" s="1348"/>
      <c r="H2019" s="1348"/>
      <c r="I2019" s="1348"/>
      <c r="J2019" s="1348"/>
      <c r="K2019" s="1348"/>
    </row>
    <row r="2020" spans="2:11" hidden="1">
      <c r="B2020" s="1348"/>
      <c r="C2020" s="1348"/>
      <c r="D2020" s="1348"/>
      <c r="E2020" s="1348"/>
      <c r="F2020" s="1348"/>
      <c r="G2020" s="1348"/>
      <c r="H2020" s="1348"/>
      <c r="I2020" s="1348"/>
      <c r="J2020" s="1348"/>
      <c r="K2020" s="1348"/>
    </row>
    <row r="2021" spans="2:11" hidden="1">
      <c r="B2021" s="1348"/>
      <c r="C2021" s="1348"/>
      <c r="D2021" s="1348"/>
      <c r="E2021" s="1348"/>
      <c r="F2021" s="1348"/>
      <c r="G2021" s="1348"/>
      <c r="H2021" s="1348"/>
      <c r="I2021" s="1348"/>
      <c r="J2021" s="1348"/>
      <c r="K2021" s="1348"/>
    </row>
    <row r="2022" spans="2:11" hidden="1">
      <c r="B2022" s="1348"/>
      <c r="C2022" s="1348"/>
      <c r="D2022" s="1348"/>
      <c r="E2022" s="1348"/>
      <c r="F2022" s="1348"/>
      <c r="G2022" s="1348"/>
      <c r="H2022" s="1348"/>
      <c r="I2022" s="1348"/>
      <c r="J2022" s="1348"/>
      <c r="K2022" s="1348"/>
    </row>
    <row r="2023" spans="2:11" hidden="1">
      <c r="B2023" s="1348"/>
      <c r="C2023" s="1348"/>
      <c r="D2023" s="1348"/>
      <c r="E2023" s="1348"/>
      <c r="F2023" s="1348"/>
      <c r="G2023" s="1348"/>
      <c r="H2023" s="1348"/>
      <c r="I2023" s="1348"/>
      <c r="J2023" s="1348"/>
      <c r="K2023" s="1348"/>
    </row>
    <row r="2024" spans="2:11" hidden="1">
      <c r="B2024" s="1348"/>
      <c r="C2024" s="1348"/>
      <c r="D2024" s="1348"/>
      <c r="E2024" s="1348"/>
      <c r="F2024" s="1348"/>
      <c r="G2024" s="1348"/>
      <c r="H2024" s="1348"/>
      <c r="I2024" s="1348"/>
      <c r="J2024" s="1348"/>
      <c r="K2024" s="1348"/>
    </row>
    <row r="2025" spans="2:11" hidden="1">
      <c r="B2025" s="1348"/>
      <c r="C2025" s="1348"/>
      <c r="D2025" s="1348"/>
      <c r="E2025" s="1348"/>
      <c r="F2025" s="1348"/>
      <c r="G2025" s="1348"/>
      <c r="H2025" s="1348"/>
      <c r="I2025" s="1348"/>
      <c r="J2025" s="1348"/>
      <c r="K2025" s="1348"/>
    </row>
    <row r="2026" spans="2:11" hidden="1">
      <c r="B2026" s="1348"/>
      <c r="C2026" s="1348"/>
      <c r="D2026" s="1348"/>
      <c r="E2026" s="1348"/>
      <c r="F2026" s="1348"/>
      <c r="G2026" s="1348"/>
      <c r="H2026" s="1348"/>
      <c r="I2026" s="1348"/>
      <c r="J2026" s="1348"/>
      <c r="K2026" s="1348"/>
    </row>
    <row r="2027" spans="2:11" hidden="1">
      <c r="B2027" s="1348"/>
      <c r="C2027" s="1348"/>
      <c r="D2027" s="1348"/>
      <c r="E2027" s="1348"/>
      <c r="F2027" s="1348"/>
      <c r="G2027" s="1348"/>
      <c r="H2027" s="1348"/>
      <c r="I2027" s="1348"/>
      <c r="J2027" s="1348"/>
      <c r="K2027" s="1348"/>
    </row>
    <row r="2028" spans="2:11" hidden="1">
      <c r="B2028" s="1348"/>
      <c r="C2028" s="1348"/>
      <c r="D2028" s="1348"/>
      <c r="E2028" s="1348"/>
      <c r="F2028" s="1348"/>
      <c r="G2028" s="1348"/>
      <c r="H2028" s="1348"/>
      <c r="I2028" s="1348"/>
      <c r="J2028" s="1348"/>
      <c r="K2028" s="1348"/>
    </row>
    <row r="2029" spans="2:11" hidden="1">
      <c r="B2029" s="1348"/>
      <c r="C2029" s="1348"/>
      <c r="D2029" s="1348"/>
      <c r="E2029" s="1348"/>
      <c r="F2029" s="1348"/>
      <c r="G2029" s="1348"/>
      <c r="H2029" s="1348"/>
      <c r="I2029" s="1348"/>
      <c r="J2029" s="1348"/>
      <c r="K2029" s="1348"/>
    </row>
    <row r="2030" spans="2:11" hidden="1">
      <c r="B2030" s="1348"/>
      <c r="C2030" s="1348"/>
      <c r="D2030" s="1348"/>
      <c r="E2030" s="1348"/>
      <c r="F2030" s="1348"/>
      <c r="G2030" s="1348"/>
      <c r="H2030" s="1348"/>
      <c r="I2030" s="1348"/>
      <c r="J2030" s="1348"/>
      <c r="K2030" s="1348"/>
    </row>
    <row r="2031" spans="2:11" hidden="1">
      <c r="B2031" s="1348"/>
      <c r="C2031" s="1348"/>
      <c r="D2031" s="1348"/>
      <c r="E2031" s="1348"/>
      <c r="F2031" s="1348"/>
      <c r="G2031" s="1348"/>
      <c r="H2031" s="1348"/>
      <c r="I2031" s="1348"/>
      <c r="J2031" s="1348"/>
      <c r="K2031" s="1348"/>
    </row>
    <row r="2032" spans="2:11" hidden="1">
      <c r="B2032" s="1348"/>
      <c r="C2032" s="1348"/>
      <c r="D2032" s="1348"/>
      <c r="E2032" s="1348"/>
      <c r="F2032" s="1348"/>
      <c r="G2032" s="1348"/>
      <c r="H2032" s="1348"/>
      <c r="I2032" s="1348"/>
      <c r="J2032" s="1348"/>
      <c r="K2032" s="1348"/>
    </row>
    <row r="2033" spans="2:11" hidden="1">
      <c r="B2033" s="1348"/>
      <c r="C2033" s="1348"/>
      <c r="D2033" s="1348"/>
      <c r="E2033" s="1348"/>
      <c r="F2033" s="1348"/>
      <c r="G2033" s="1348"/>
      <c r="H2033" s="1348"/>
      <c r="I2033" s="1348"/>
      <c r="J2033" s="1348"/>
      <c r="K2033" s="1348"/>
    </row>
    <row r="2034" spans="2:11" hidden="1">
      <c r="B2034" s="1348"/>
      <c r="C2034" s="1348"/>
      <c r="D2034" s="1348"/>
      <c r="E2034" s="1348"/>
      <c r="F2034" s="1348"/>
      <c r="G2034" s="1348"/>
      <c r="H2034" s="1348"/>
      <c r="I2034" s="1348"/>
      <c r="J2034" s="1348"/>
      <c r="K2034" s="1348"/>
    </row>
    <row r="2035" spans="2:11" hidden="1">
      <c r="B2035" s="1348"/>
      <c r="C2035" s="1348"/>
      <c r="D2035" s="1348"/>
      <c r="E2035" s="1348"/>
      <c r="F2035" s="1348"/>
      <c r="G2035" s="1348"/>
      <c r="H2035" s="1348"/>
      <c r="I2035" s="1348"/>
      <c r="J2035" s="1348"/>
      <c r="K2035" s="1348"/>
    </row>
    <row r="2036" spans="2:11" hidden="1">
      <c r="B2036" s="1348"/>
      <c r="C2036" s="1348"/>
      <c r="D2036" s="1348"/>
      <c r="E2036" s="1348"/>
      <c r="F2036" s="1348"/>
      <c r="G2036" s="1348"/>
      <c r="H2036" s="1348"/>
      <c r="I2036" s="1348"/>
      <c r="J2036" s="1348"/>
      <c r="K2036" s="1348"/>
    </row>
    <row r="2037" spans="2:11" hidden="1">
      <c r="B2037" s="1348"/>
      <c r="C2037" s="1348"/>
      <c r="D2037" s="1348"/>
      <c r="E2037" s="1348"/>
      <c r="F2037" s="1348"/>
      <c r="G2037" s="1348"/>
      <c r="H2037" s="1348"/>
      <c r="I2037" s="1348"/>
      <c r="J2037" s="1348"/>
      <c r="K2037" s="1348"/>
    </row>
    <row r="2038" spans="2:11" hidden="1">
      <c r="B2038" s="1348"/>
      <c r="C2038" s="1348"/>
      <c r="D2038" s="1348"/>
      <c r="E2038" s="1348"/>
      <c r="F2038" s="1348"/>
      <c r="G2038" s="1348"/>
      <c r="H2038" s="1348"/>
      <c r="I2038" s="1348"/>
      <c r="J2038" s="1348"/>
      <c r="K2038" s="1348"/>
    </row>
    <row r="2039" spans="2:11" hidden="1">
      <c r="B2039" s="1348"/>
      <c r="C2039" s="1348"/>
      <c r="D2039" s="1348"/>
      <c r="E2039" s="1348"/>
      <c r="F2039" s="1348"/>
      <c r="G2039" s="1348"/>
      <c r="H2039" s="1348"/>
      <c r="I2039" s="1348"/>
      <c r="J2039" s="1348"/>
      <c r="K2039" s="1348"/>
    </row>
    <row r="2040" spans="2:11" hidden="1">
      <c r="B2040" s="1348"/>
      <c r="C2040" s="1348"/>
      <c r="D2040" s="1348"/>
      <c r="E2040" s="1348"/>
      <c r="F2040" s="1348"/>
      <c r="G2040" s="1348"/>
      <c r="H2040" s="1348"/>
      <c r="I2040" s="1348"/>
      <c r="J2040" s="1348"/>
      <c r="K2040" s="1348"/>
    </row>
    <row r="2041" spans="2:11" hidden="1">
      <c r="B2041" s="1348"/>
      <c r="C2041" s="1348"/>
      <c r="D2041" s="1348"/>
      <c r="E2041" s="1348"/>
      <c r="F2041" s="1348"/>
      <c r="G2041" s="1348"/>
      <c r="H2041" s="1348"/>
      <c r="I2041" s="1348"/>
      <c r="J2041" s="1348"/>
      <c r="K2041" s="1348"/>
    </row>
    <row r="2042" spans="2:11" hidden="1">
      <c r="B2042" s="1348"/>
      <c r="C2042" s="1348"/>
      <c r="D2042" s="1348"/>
      <c r="E2042" s="1348"/>
      <c r="F2042" s="1348"/>
      <c r="G2042" s="1348"/>
      <c r="H2042" s="1348"/>
      <c r="I2042" s="1348"/>
      <c r="J2042" s="1348"/>
      <c r="K2042" s="1348"/>
    </row>
    <row r="2043" spans="2:11" hidden="1">
      <c r="B2043" s="1348"/>
      <c r="C2043" s="1348"/>
      <c r="D2043" s="1348"/>
      <c r="E2043" s="1348"/>
      <c r="F2043" s="1348"/>
      <c r="G2043" s="1348"/>
      <c r="H2043" s="1348"/>
      <c r="I2043" s="1348"/>
      <c r="J2043" s="1348"/>
      <c r="K2043" s="1348"/>
    </row>
    <row r="2044" spans="2:11" hidden="1">
      <c r="B2044" s="1348"/>
      <c r="C2044" s="1348"/>
      <c r="D2044" s="1348"/>
      <c r="E2044" s="1348"/>
      <c r="F2044" s="1348"/>
      <c r="G2044" s="1348"/>
      <c r="H2044" s="1348"/>
      <c r="I2044" s="1348"/>
      <c r="J2044" s="1348"/>
      <c r="K2044" s="1348"/>
    </row>
    <row r="2045" spans="2:11" hidden="1">
      <c r="B2045" s="1348"/>
      <c r="C2045" s="1348"/>
      <c r="D2045" s="1348"/>
      <c r="E2045" s="1348"/>
      <c r="F2045" s="1348"/>
      <c r="G2045" s="1348"/>
      <c r="H2045" s="1348"/>
      <c r="I2045" s="1348"/>
      <c r="J2045" s="1348"/>
      <c r="K2045" s="1348"/>
    </row>
    <row r="2046" spans="2:11" hidden="1">
      <c r="B2046" s="1348"/>
      <c r="C2046" s="1348"/>
      <c r="D2046" s="1348"/>
      <c r="E2046" s="1348"/>
      <c r="F2046" s="1348"/>
      <c r="G2046" s="1348"/>
      <c r="H2046" s="1348"/>
      <c r="I2046" s="1348"/>
      <c r="J2046" s="1348"/>
      <c r="K2046" s="1348"/>
    </row>
    <row r="2047" spans="2:11" hidden="1">
      <c r="B2047" s="1348"/>
      <c r="C2047" s="1348"/>
      <c r="D2047" s="1348"/>
      <c r="E2047" s="1348"/>
      <c r="F2047" s="1348"/>
      <c r="G2047" s="1348"/>
      <c r="H2047" s="1348"/>
      <c r="I2047" s="1348"/>
      <c r="J2047" s="1348"/>
      <c r="K2047" s="1348"/>
    </row>
    <row r="2048" spans="2:11" hidden="1">
      <c r="B2048" s="1348"/>
      <c r="C2048" s="1348"/>
      <c r="D2048" s="1348"/>
      <c r="E2048" s="1348"/>
      <c r="F2048" s="1348"/>
      <c r="G2048" s="1348"/>
      <c r="H2048" s="1348"/>
      <c r="I2048" s="1348"/>
      <c r="J2048" s="1348"/>
      <c r="K2048" s="1348"/>
    </row>
    <row r="2049" spans="2:11" hidden="1">
      <c r="B2049" s="1348"/>
      <c r="C2049" s="1348"/>
      <c r="D2049" s="1348"/>
      <c r="E2049" s="1348"/>
      <c r="F2049" s="1348"/>
      <c r="G2049" s="1348"/>
      <c r="H2049" s="1348"/>
      <c r="I2049" s="1348"/>
      <c r="J2049" s="1348"/>
      <c r="K2049" s="1348"/>
    </row>
    <row r="2050" spans="2:11" hidden="1">
      <c r="B2050" s="1348"/>
      <c r="C2050" s="1348"/>
      <c r="D2050" s="1348"/>
      <c r="E2050" s="1348"/>
      <c r="F2050" s="1348"/>
      <c r="G2050" s="1348"/>
      <c r="H2050" s="1348"/>
      <c r="I2050" s="1348"/>
      <c r="J2050" s="1348"/>
      <c r="K2050" s="1348"/>
    </row>
    <row r="2051" spans="2:11" hidden="1">
      <c r="B2051" s="1348"/>
      <c r="C2051" s="1348"/>
      <c r="D2051" s="1348"/>
      <c r="E2051" s="1348"/>
      <c r="F2051" s="1348"/>
      <c r="G2051" s="1348"/>
      <c r="H2051" s="1348"/>
      <c r="I2051" s="1348"/>
      <c r="J2051" s="1348"/>
      <c r="K2051" s="1348"/>
    </row>
    <row r="2052" spans="2:11" hidden="1">
      <c r="B2052" s="1348"/>
      <c r="C2052" s="1348"/>
      <c r="D2052" s="1348"/>
      <c r="E2052" s="1348"/>
      <c r="F2052" s="1348"/>
      <c r="G2052" s="1348"/>
      <c r="H2052" s="1348"/>
      <c r="I2052" s="1348"/>
      <c r="J2052" s="1348"/>
      <c r="K2052" s="1348"/>
    </row>
    <row r="2053" spans="2:11" hidden="1">
      <c r="B2053" s="1348"/>
      <c r="C2053" s="1348"/>
      <c r="D2053" s="1348"/>
      <c r="E2053" s="1348"/>
      <c r="F2053" s="1348"/>
      <c r="G2053" s="1348"/>
      <c r="H2053" s="1348"/>
      <c r="I2053" s="1348"/>
      <c r="J2053" s="1348"/>
      <c r="K2053" s="1348"/>
    </row>
    <row r="2054" spans="2:11" hidden="1">
      <c r="B2054" s="1348"/>
      <c r="C2054" s="1348"/>
      <c r="D2054" s="1348"/>
      <c r="E2054" s="1348"/>
      <c r="F2054" s="1348"/>
      <c r="G2054" s="1348"/>
      <c r="H2054" s="1348"/>
      <c r="I2054" s="1348"/>
      <c r="J2054" s="1348"/>
      <c r="K2054" s="1348"/>
    </row>
    <row r="2055" spans="2:11" hidden="1">
      <c r="B2055" s="1348"/>
      <c r="C2055" s="1348"/>
      <c r="D2055" s="1348"/>
      <c r="E2055" s="1348"/>
      <c r="F2055" s="1348"/>
      <c r="G2055" s="1348"/>
      <c r="H2055" s="1348"/>
      <c r="I2055" s="1348"/>
      <c r="J2055" s="1348"/>
      <c r="K2055" s="1348"/>
    </row>
    <row r="2056" spans="2:11" hidden="1">
      <c r="B2056" s="1348"/>
      <c r="C2056" s="1348"/>
      <c r="D2056" s="1348"/>
      <c r="E2056" s="1348"/>
      <c r="F2056" s="1348"/>
      <c r="G2056" s="1348"/>
      <c r="H2056" s="1348"/>
      <c r="I2056" s="1348"/>
      <c r="J2056" s="1348"/>
      <c r="K2056" s="1348"/>
    </row>
    <row r="2057" spans="2:11" hidden="1">
      <c r="B2057" s="1348"/>
      <c r="C2057" s="1348"/>
      <c r="D2057" s="1348"/>
      <c r="E2057" s="1348"/>
      <c r="F2057" s="1348"/>
      <c r="G2057" s="1348"/>
      <c r="H2057" s="1348"/>
      <c r="I2057" s="1348"/>
      <c r="J2057" s="1348"/>
      <c r="K2057" s="1348"/>
    </row>
    <row r="2058" spans="2:11" hidden="1">
      <c r="B2058" s="1348"/>
      <c r="C2058" s="1348"/>
      <c r="D2058" s="1348"/>
      <c r="E2058" s="1348"/>
      <c r="F2058" s="1348"/>
      <c r="G2058" s="1348"/>
      <c r="H2058" s="1348"/>
      <c r="I2058" s="1348"/>
      <c r="J2058" s="1348"/>
      <c r="K2058" s="1348"/>
    </row>
    <row r="2059" spans="2:11" hidden="1">
      <c r="B2059" s="1348"/>
      <c r="C2059" s="1348"/>
      <c r="D2059" s="1348"/>
      <c r="E2059" s="1348"/>
      <c r="F2059" s="1348"/>
      <c r="G2059" s="1348"/>
      <c r="H2059" s="1348"/>
      <c r="I2059" s="1348"/>
      <c r="J2059" s="1348"/>
      <c r="K2059" s="1348"/>
    </row>
    <row r="2060" spans="2:11" hidden="1">
      <c r="B2060" s="1348"/>
      <c r="C2060" s="1348"/>
      <c r="D2060" s="1348"/>
      <c r="E2060" s="1348"/>
      <c r="F2060" s="1348"/>
      <c r="G2060" s="1348"/>
      <c r="H2060" s="1348"/>
      <c r="I2060" s="1348"/>
      <c r="J2060" s="1348"/>
      <c r="K2060" s="1348"/>
    </row>
    <row r="2061" spans="2:11" hidden="1">
      <c r="B2061" s="1348"/>
      <c r="C2061" s="1348"/>
      <c r="D2061" s="1348"/>
      <c r="E2061" s="1348"/>
      <c r="F2061" s="1348"/>
      <c r="G2061" s="1348"/>
      <c r="H2061" s="1348"/>
      <c r="I2061" s="1348"/>
      <c r="J2061" s="1348"/>
      <c r="K2061" s="1348"/>
    </row>
    <row r="2062" spans="2:11" hidden="1">
      <c r="B2062" s="1348"/>
      <c r="C2062" s="1348"/>
      <c r="D2062" s="1348"/>
      <c r="E2062" s="1348"/>
      <c r="F2062" s="1348"/>
      <c r="G2062" s="1348"/>
      <c r="H2062" s="1348"/>
      <c r="I2062" s="1348"/>
      <c r="J2062" s="1348"/>
      <c r="K2062" s="1348"/>
    </row>
    <row r="2063" spans="2:11" hidden="1">
      <c r="B2063" s="1348"/>
      <c r="C2063" s="1348"/>
      <c r="D2063" s="1348"/>
      <c r="E2063" s="1348"/>
      <c r="F2063" s="1348"/>
      <c r="G2063" s="1348"/>
      <c r="H2063" s="1348"/>
      <c r="I2063" s="1348"/>
      <c r="J2063" s="1348"/>
      <c r="K2063" s="1348"/>
    </row>
    <row r="2064" spans="2:11" hidden="1">
      <c r="B2064" s="1348"/>
      <c r="C2064" s="1348"/>
      <c r="D2064" s="1348"/>
      <c r="E2064" s="1348"/>
      <c r="F2064" s="1348"/>
      <c r="G2064" s="1348"/>
      <c r="H2064" s="1348"/>
      <c r="I2064" s="1348"/>
      <c r="J2064" s="1348"/>
      <c r="K2064" s="1348"/>
    </row>
    <row r="2065" spans="2:11" hidden="1">
      <c r="B2065" s="1348"/>
      <c r="C2065" s="1348"/>
      <c r="D2065" s="1348"/>
      <c r="E2065" s="1348"/>
      <c r="F2065" s="1348"/>
      <c r="G2065" s="1348"/>
      <c r="H2065" s="1348"/>
      <c r="I2065" s="1348"/>
      <c r="J2065" s="1348"/>
      <c r="K2065" s="1348"/>
    </row>
    <row r="2066" spans="2:11" hidden="1">
      <c r="B2066" s="1348"/>
      <c r="C2066" s="1348"/>
      <c r="D2066" s="1348"/>
      <c r="E2066" s="1348"/>
      <c r="F2066" s="1348"/>
      <c r="G2066" s="1348"/>
      <c r="H2066" s="1348"/>
      <c r="I2066" s="1348"/>
      <c r="J2066" s="1348"/>
      <c r="K2066" s="1348"/>
    </row>
    <row r="2067" spans="2:11" hidden="1">
      <c r="B2067" s="1348"/>
      <c r="C2067" s="1348"/>
      <c r="D2067" s="1348"/>
      <c r="E2067" s="1348"/>
      <c r="F2067" s="1348"/>
      <c r="G2067" s="1348"/>
      <c r="H2067" s="1348"/>
      <c r="I2067" s="1348"/>
      <c r="J2067" s="1348"/>
      <c r="K2067" s="1348"/>
    </row>
    <row r="2068" spans="2:11" hidden="1">
      <c r="B2068" s="1348"/>
      <c r="C2068" s="1348"/>
      <c r="D2068" s="1348"/>
      <c r="E2068" s="1348"/>
      <c r="F2068" s="1348"/>
      <c r="G2068" s="1348"/>
      <c r="H2068" s="1348"/>
      <c r="I2068" s="1348"/>
      <c r="J2068" s="1348"/>
      <c r="K2068" s="1348"/>
    </row>
    <row r="2069" spans="2:11" hidden="1">
      <c r="B2069" s="1348"/>
      <c r="C2069" s="1348"/>
      <c r="D2069" s="1348"/>
      <c r="E2069" s="1348"/>
      <c r="F2069" s="1348"/>
      <c r="G2069" s="1348"/>
      <c r="H2069" s="1348"/>
      <c r="I2069" s="1348"/>
      <c r="J2069" s="1348"/>
      <c r="K2069" s="1348"/>
    </row>
    <row r="2070" spans="2:11" hidden="1">
      <c r="B2070" s="1348"/>
      <c r="C2070" s="1348"/>
      <c r="D2070" s="1348"/>
      <c r="E2070" s="1348"/>
      <c r="F2070" s="1348"/>
      <c r="G2070" s="1348"/>
      <c r="H2070" s="1348"/>
      <c r="I2070" s="1348"/>
      <c r="J2070" s="1348"/>
      <c r="K2070" s="1348"/>
    </row>
    <row r="2071" spans="2:11" hidden="1">
      <c r="B2071" s="1348"/>
      <c r="C2071" s="1348"/>
      <c r="D2071" s="1348"/>
      <c r="E2071" s="1348"/>
      <c r="F2071" s="1348"/>
      <c r="G2071" s="1348"/>
      <c r="H2071" s="1348"/>
      <c r="I2071" s="1348"/>
      <c r="J2071" s="1348"/>
      <c r="K2071" s="1348"/>
    </row>
    <row r="2072" spans="2:11" hidden="1">
      <c r="B2072" s="1348"/>
      <c r="C2072" s="1348"/>
      <c r="D2072" s="1348"/>
      <c r="E2072" s="1348"/>
      <c r="F2072" s="1348"/>
      <c r="G2072" s="1348"/>
      <c r="H2072" s="1348"/>
      <c r="I2072" s="1348"/>
      <c r="J2072" s="1348"/>
      <c r="K2072" s="1348"/>
    </row>
    <row r="2073" spans="2:11" hidden="1">
      <c r="B2073" s="1348"/>
      <c r="C2073" s="1348"/>
      <c r="D2073" s="1348"/>
      <c r="E2073" s="1348"/>
      <c r="F2073" s="1348"/>
      <c r="G2073" s="1348"/>
      <c r="H2073" s="1348"/>
      <c r="I2073" s="1348"/>
      <c r="J2073" s="1348"/>
      <c r="K2073" s="1348"/>
    </row>
    <row r="2074" spans="2:11" hidden="1">
      <c r="B2074" s="1348"/>
      <c r="C2074" s="1348"/>
      <c r="D2074" s="1348"/>
      <c r="E2074" s="1348"/>
      <c r="F2074" s="1348"/>
      <c r="G2074" s="1348"/>
      <c r="H2074" s="1348"/>
      <c r="I2074" s="1348"/>
      <c r="J2074" s="1348"/>
      <c r="K2074" s="1348"/>
    </row>
    <row r="2075" spans="2:11" hidden="1">
      <c r="B2075" s="1348"/>
      <c r="C2075" s="1348"/>
      <c r="D2075" s="1348"/>
      <c r="E2075" s="1348"/>
      <c r="F2075" s="1348"/>
      <c r="G2075" s="1348"/>
      <c r="H2075" s="1348"/>
      <c r="I2075" s="1348"/>
      <c r="J2075" s="1348"/>
      <c r="K2075" s="1348"/>
    </row>
    <row r="2076" spans="2:11" hidden="1">
      <c r="B2076" s="1348"/>
      <c r="C2076" s="1348"/>
      <c r="D2076" s="1348"/>
      <c r="E2076" s="1348"/>
      <c r="F2076" s="1348"/>
      <c r="G2076" s="1348"/>
      <c r="H2076" s="1348"/>
      <c r="I2076" s="1348"/>
      <c r="J2076" s="1348"/>
      <c r="K2076" s="1348"/>
    </row>
    <row r="2077" spans="2:11" hidden="1">
      <c r="B2077" s="1348"/>
      <c r="C2077" s="1348"/>
      <c r="D2077" s="1348"/>
      <c r="E2077" s="1348"/>
      <c r="F2077" s="1348"/>
      <c r="G2077" s="1348"/>
      <c r="H2077" s="1348"/>
      <c r="I2077" s="1348"/>
      <c r="J2077" s="1348"/>
      <c r="K2077" s="1348"/>
    </row>
    <row r="2078" spans="2:11" hidden="1">
      <c r="B2078" s="1348"/>
      <c r="C2078" s="1348"/>
      <c r="D2078" s="1348"/>
      <c r="E2078" s="1348"/>
      <c r="F2078" s="1348"/>
      <c r="G2078" s="1348"/>
      <c r="H2078" s="1348"/>
      <c r="I2078" s="1348"/>
      <c r="J2078" s="1348"/>
      <c r="K2078" s="1348"/>
    </row>
    <row r="2079" spans="2:11" hidden="1">
      <c r="B2079" s="1348"/>
      <c r="C2079" s="1348"/>
      <c r="D2079" s="1348"/>
      <c r="E2079" s="1348"/>
      <c r="F2079" s="1348"/>
      <c r="G2079" s="1348"/>
      <c r="H2079" s="1348"/>
      <c r="I2079" s="1348"/>
      <c r="J2079" s="1348"/>
      <c r="K2079" s="1348"/>
    </row>
    <row r="2080" spans="2:11" hidden="1">
      <c r="B2080" s="1348"/>
      <c r="C2080" s="1348"/>
      <c r="D2080" s="1348"/>
      <c r="E2080" s="1348"/>
      <c r="F2080" s="1348"/>
      <c r="G2080" s="1348"/>
      <c r="H2080" s="1348"/>
      <c r="I2080" s="1348"/>
      <c r="J2080" s="1348"/>
      <c r="K2080" s="1348"/>
    </row>
    <row r="2081" spans="2:11" hidden="1">
      <c r="B2081" s="1348"/>
      <c r="C2081" s="1348"/>
      <c r="D2081" s="1348"/>
      <c r="E2081" s="1348"/>
      <c r="F2081" s="1348"/>
      <c r="G2081" s="1348"/>
      <c r="H2081" s="1348"/>
      <c r="I2081" s="1348"/>
      <c r="J2081" s="1348"/>
      <c r="K2081" s="1348"/>
    </row>
    <row r="2082" spans="2:11" hidden="1">
      <c r="B2082" s="1348"/>
      <c r="C2082" s="1348"/>
      <c r="D2082" s="1348"/>
      <c r="E2082" s="1348"/>
      <c r="F2082" s="1348"/>
      <c r="G2082" s="1348"/>
      <c r="H2082" s="1348"/>
      <c r="I2082" s="1348"/>
      <c r="J2082" s="1348"/>
      <c r="K2082" s="1348"/>
    </row>
    <row r="2083" spans="2:11" hidden="1">
      <c r="B2083" s="1348"/>
      <c r="C2083" s="1348"/>
      <c r="D2083" s="1348"/>
      <c r="E2083" s="1348"/>
      <c r="F2083" s="1348"/>
      <c r="G2083" s="1348"/>
      <c r="H2083" s="1348"/>
      <c r="I2083" s="1348"/>
      <c r="J2083" s="1348"/>
      <c r="K2083" s="1348"/>
    </row>
    <row r="2084" spans="2:11" hidden="1">
      <c r="B2084" s="1348"/>
      <c r="C2084" s="1348"/>
      <c r="D2084" s="1348"/>
      <c r="E2084" s="1348"/>
      <c r="F2084" s="1348"/>
      <c r="G2084" s="1348"/>
      <c r="H2084" s="1348"/>
      <c r="I2084" s="1348"/>
      <c r="J2084" s="1348"/>
      <c r="K2084" s="1348"/>
    </row>
    <row r="2085" spans="2:11" hidden="1">
      <c r="B2085" s="1348"/>
      <c r="C2085" s="1348"/>
      <c r="D2085" s="1348"/>
      <c r="E2085" s="1348"/>
      <c r="F2085" s="1348"/>
      <c r="G2085" s="1348"/>
      <c r="H2085" s="1348"/>
      <c r="I2085" s="1348"/>
      <c r="J2085" s="1348"/>
      <c r="K2085" s="1348"/>
    </row>
    <row r="2086" spans="2:11" hidden="1">
      <c r="B2086" s="1348"/>
      <c r="C2086" s="1348"/>
      <c r="D2086" s="1348"/>
      <c r="E2086" s="1348"/>
      <c r="F2086" s="1348"/>
      <c r="G2086" s="1348"/>
      <c r="H2086" s="1348"/>
      <c r="I2086" s="1348"/>
      <c r="J2086" s="1348"/>
      <c r="K2086" s="1348"/>
    </row>
    <row r="2087" spans="2:11" hidden="1">
      <c r="B2087" s="1348"/>
      <c r="C2087" s="1348"/>
      <c r="D2087" s="1348"/>
      <c r="E2087" s="1348"/>
      <c r="F2087" s="1348"/>
      <c r="G2087" s="1348"/>
      <c r="H2087" s="1348"/>
      <c r="I2087" s="1348"/>
      <c r="J2087" s="1348"/>
      <c r="K2087" s="1348"/>
    </row>
    <row r="2088" spans="2:11" hidden="1">
      <c r="B2088" s="1348"/>
      <c r="C2088" s="1348"/>
      <c r="D2088" s="1348"/>
      <c r="E2088" s="1348"/>
      <c r="F2088" s="1348"/>
      <c r="G2088" s="1348"/>
      <c r="H2088" s="1348"/>
      <c r="I2088" s="1348"/>
      <c r="J2088" s="1348"/>
      <c r="K2088" s="1348"/>
    </row>
    <row r="2089" spans="2:11" hidden="1">
      <c r="B2089" s="1348"/>
      <c r="C2089" s="1348"/>
      <c r="D2089" s="1348"/>
      <c r="E2089" s="1348"/>
      <c r="F2089" s="1348"/>
      <c r="G2089" s="1348"/>
      <c r="H2089" s="1348"/>
      <c r="I2089" s="1348"/>
      <c r="J2089" s="1348"/>
      <c r="K2089" s="1348"/>
    </row>
    <row r="2090" spans="2:11" hidden="1">
      <c r="B2090" s="1348"/>
      <c r="C2090" s="1348"/>
      <c r="D2090" s="1348"/>
      <c r="E2090" s="1348"/>
      <c r="F2090" s="1348"/>
      <c r="G2090" s="1348"/>
      <c r="H2090" s="1348"/>
      <c r="I2090" s="1348"/>
      <c r="J2090" s="1348"/>
      <c r="K2090" s="1348"/>
    </row>
    <row r="2091" spans="2:11" hidden="1">
      <c r="B2091" s="1348"/>
      <c r="C2091" s="1348"/>
      <c r="D2091" s="1348"/>
      <c r="E2091" s="1348"/>
      <c r="F2091" s="1348"/>
      <c r="G2091" s="1348"/>
      <c r="H2091" s="1348"/>
      <c r="I2091" s="1348"/>
      <c r="J2091" s="1348"/>
      <c r="K2091" s="1348"/>
    </row>
    <row r="2092" spans="2:11" hidden="1">
      <c r="B2092" s="1348"/>
      <c r="C2092" s="1348"/>
      <c r="D2092" s="1348"/>
      <c r="E2092" s="1348"/>
      <c r="F2092" s="1348"/>
      <c r="G2092" s="1348"/>
      <c r="H2092" s="1348"/>
      <c r="I2092" s="1348"/>
      <c r="J2092" s="1348"/>
      <c r="K2092" s="1348"/>
    </row>
    <row r="2093" spans="2:11" hidden="1">
      <c r="B2093" s="1348"/>
      <c r="C2093" s="1348"/>
      <c r="D2093" s="1348"/>
      <c r="E2093" s="1348"/>
      <c r="F2093" s="1348"/>
      <c r="G2093" s="1348"/>
      <c r="H2093" s="1348"/>
      <c r="I2093" s="1348"/>
      <c r="J2093" s="1348"/>
      <c r="K2093" s="1348"/>
    </row>
    <row r="2094" spans="2:11" hidden="1">
      <c r="B2094" s="1348"/>
      <c r="C2094" s="1348"/>
      <c r="D2094" s="1348"/>
      <c r="E2094" s="1348"/>
      <c r="F2094" s="1348"/>
      <c r="G2094" s="1348"/>
      <c r="H2094" s="1348"/>
      <c r="I2094" s="1348"/>
      <c r="J2094" s="1348"/>
      <c r="K2094" s="1348"/>
    </row>
    <row r="2095" spans="2:11" hidden="1">
      <c r="B2095" s="1348"/>
      <c r="C2095" s="1348"/>
      <c r="D2095" s="1348"/>
      <c r="E2095" s="1348"/>
      <c r="F2095" s="1348"/>
      <c r="G2095" s="1348"/>
      <c r="H2095" s="1348"/>
      <c r="I2095" s="1348"/>
      <c r="J2095" s="1348"/>
      <c r="K2095" s="1348"/>
    </row>
    <row r="2096" spans="2:11" hidden="1">
      <c r="B2096" s="1348"/>
      <c r="C2096" s="1348"/>
      <c r="D2096" s="1348"/>
      <c r="E2096" s="1348"/>
      <c r="F2096" s="1348"/>
      <c r="G2096" s="1348"/>
      <c r="H2096" s="1348"/>
      <c r="I2096" s="1348"/>
      <c r="J2096" s="1348"/>
      <c r="K2096" s="1348"/>
    </row>
    <row r="2097" spans="2:11" hidden="1">
      <c r="B2097" s="1348"/>
      <c r="C2097" s="1348"/>
      <c r="D2097" s="1348"/>
      <c r="E2097" s="1348"/>
      <c r="F2097" s="1348"/>
      <c r="G2097" s="1348"/>
      <c r="H2097" s="1348"/>
      <c r="I2097" s="1348"/>
      <c r="J2097" s="1348"/>
      <c r="K2097" s="1348"/>
    </row>
    <row r="2098" spans="2:11" hidden="1">
      <c r="B2098" s="1348"/>
      <c r="C2098" s="1348"/>
      <c r="D2098" s="1348"/>
      <c r="E2098" s="1348"/>
      <c r="F2098" s="1348"/>
      <c r="G2098" s="1348"/>
      <c r="H2098" s="1348"/>
      <c r="I2098" s="1348"/>
      <c r="J2098" s="1348"/>
      <c r="K2098" s="1348"/>
    </row>
    <row r="2099" spans="2:11" hidden="1">
      <c r="B2099" s="1348"/>
      <c r="C2099" s="1348"/>
      <c r="D2099" s="1348"/>
      <c r="E2099" s="1348"/>
      <c r="F2099" s="1348"/>
      <c r="G2099" s="1348"/>
      <c r="H2099" s="1348"/>
      <c r="I2099" s="1348"/>
      <c r="J2099" s="1348"/>
      <c r="K2099" s="1348"/>
    </row>
    <row r="2100" spans="2:11" hidden="1">
      <c r="B2100" s="1348"/>
      <c r="C2100" s="1348"/>
      <c r="D2100" s="1348"/>
      <c r="E2100" s="1348"/>
      <c r="F2100" s="1348"/>
      <c r="G2100" s="1348"/>
      <c r="H2100" s="1348"/>
      <c r="I2100" s="1348"/>
      <c r="J2100" s="1348"/>
      <c r="K2100" s="1348"/>
    </row>
    <row r="2101" spans="2:11" hidden="1">
      <c r="B2101" s="1348"/>
      <c r="C2101" s="1348"/>
      <c r="D2101" s="1348"/>
      <c r="E2101" s="1348"/>
      <c r="F2101" s="1348"/>
      <c r="G2101" s="1348"/>
      <c r="H2101" s="1348"/>
      <c r="I2101" s="1348"/>
      <c r="J2101" s="1348"/>
      <c r="K2101" s="1348"/>
    </row>
    <row r="2102" spans="2:11" hidden="1">
      <c r="B2102" s="1348"/>
      <c r="C2102" s="1348"/>
      <c r="D2102" s="1348"/>
      <c r="E2102" s="1348"/>
      <c r="F2102" s="1348"/>
      <c r="G2102" s="1348"/>
      <c r="H2102" s="1348"/>
      <c r="I2102" s="1348"/>
      <c r="J2102" s="1348"/>
      <c r="K2102" s="1348"/>
    </row>
    <row r="2103" spans="2:11" hidden="1">
      <c r="B2103" s="1348"/>
      <c r="C2103" s="1348"/>
      <c r="D2103" s="1348"/>
      <c r="E2103" s="1348"/>
      <c r="F2103" s="1348"/>
      <c r="G2103" s="1348"/>
      <c r="H2103" s="1348"/>
      <c r="I2103" s="1348"/>
      <c r="J2103" s="1348"/>
      <c r="K2103" s="1348"/>
    </row>
    <row r="2104" spans="2:11" hidden="1">
      <c r="B2104" s="1348"/>
      <c r="C2104" s="1348"/>
      <c r="D2104" s="1348"/>
      <c r="E2104" s="1348"/>
      <c r="F2104" s="1348"/>
      <c r="G2104" s="1348"/>
      <c r="H2104" s="1348"/>
      <c r="I2104" s="1348"/>
      <c r="J2104" s="1348"/>
      <c r="K2104" s="1348"/>
    </row>
    <row r="2105" spans="2:11" hidden="1">
      <c r="B2105" s="1348"/>
      <c r="C2105" s="1348"/>
      <c r="D2105" s="1348"/>
      <c r="E2105" s="1348"/>
      <c r="F2105" s="1348"/>
      <c r="G2105" s="1348"/>
      <c r="H2105" s="1348"/>
      <c r="I2105" s="1348"/>
      <c r="J2105" s="1348"/>
      <c r="K2105" s="1348"/>
    </row>
    <row r="2106" spans="2:11" hidden="1">
      <c r="B2106" s="1348"/>
      <c r="C2106" s="1348"/>
      <c r="D2106" s="1348"/>
      <c r="E2106" s="1348"/>
      <c r="F2106" s="1348"/>
      <c r="G2106" s="1348"/>
      <c r="H2106" s="1348"/>
      <c r="I2106" s="1348"/>
      <c r="J2106" s="1348"/>
      <c r="K2106" s="1348"/>
    </row>
    <row r="2107" spans="2:11" hidden="1">
      <c r="B2107" s="1348"/>
      <c r="C2107" s="1348"/>
      <c r="D2107" s="1348"/>
      <c r="E2107" s="1348"/>
      <c r="F2107" s="1348"/>
      <c r="G2107" s="1348"/>
      <c r="H2107" s="1348"/>
      <c r="I2107" s="1348"/>
      <c r="J2107" s="1348"/>
      <c r="K2107" s="1348"/>
    </row>
    <row r="2108" spans="2:11" hidden="1">
      <c r="B2108" s="1348"/>
      <c r="C2108" s="1348"/>
      <c r="D2108" s="1348"/>
      <c r="E2108" s="1348"/>
      <c r="F2108" s="1348"/>
      <c r="G2108" s="1348"/>
      <c r="H2108" s="1348"/>
      <c r="I2108" s="1348"/>
      <c r="J2108" s="1348"/>
      <c r="K2108" s="1348"/>
    </row>
    <row r="2109" spans="2:11" hidden="1">
      <c r="B2109" s="1348"/>
      <c r="C2109" s="1348"/>
      <c r="D2109" s="1348"/>
      <c r="E2109" s="1348"/>
      <c r="F2109" s="1348"/>
      <c r="G2109" s="1348"/>
      <c r="H2109" s="1348"/>
      <c r="I2109" s="1348"/>
      <c r="J2109" s="1348"/>
      <c r="K2109" s="1348"/>
    </row>
    <row r="2110" spans="2:11" hidden="1">
      <c r="B2110" s="1348"/>
      <c r="C2110" s="1348"/>
      <c r="D2110" s="1348"/>
      <c r="E2110" s="1348"/>
      <c r="F2110" s="1348"/>
      <c r="G2110" s="1348"/>
      <c r="H2110" s="1348"/>
      <c r="I2110" s="1348"/>
      <c r="J2110" s="1348"/>
      <c r="K2110" s="1348"/>
    </row>
    <row r="2111" spans="2:11" hidden="1">
      <c r="B2111" s="1348"/>
      <c r="C2111" s="1348"/>
      <c r="D2111" s="1348"/>
      <c r="E2111" s="1348"/>
      <c r="F2111" s="1348"/>
      <c r="G2111" s="1348"/>
      <c r="H2111" s="1348"/>
      <c r="I2111" s="1348"/>
      <c r="J2111" s="1348"/>
      <c r="K2111" s="1348"/>
    </row>
    <row r="2112" spans="2:11" hidden="1">
      <c r="B2112" s="1348"/>
      <c r="C2112" s="1348"/>
      <c r="D2112" s="1348"/>
      <c r="E2112" s="1348"/>
      <c r="F2112" s="1348"/>
      <c r="G2112" s="1348"/>
      <c r="H2112" s="1348"/>
      <c r="I2112" s="1348"/>
      <c r="J2112" s="1348"/>
      <c r="K2112" s="1348"/>
    </row>
    <row r="2113" spans="2:11" hidden="1">
      <c r="B2113" s="1348"/>
      <c r="C2113" s="1348"/>
      <c r="D2113" s="1348"/>
      <c r="E2113" s="1348"/>
      <c r="F2113" s="1348"/>
      <c r="G2113" s="1348"/>
      <c r="H2113" s="1348"/>
      <c r="I2113" s="1348"/>
      <c r="J2113" s="1348"/>
      <c r="K2113" s="1348"/>
    </row>
    <row r="2114" spans="2:11" hidden="1">
      <c r="B2114" s="1348"/>
      <c r="C2114" s="1348"/>
      <c r="D2114" s="1348"/>
      <c r="E2114" s="1348"/>
      <c r="F2114" s="1348"/>
      <c r="G2114" s="1348"/>
      <c r="H2114" s="1348"/>
      <c r="I2114" s="1348"/>
      <c r="J2114" s="1348"/>
      <c r="K2114" s="1348"/>
    </row>
    <row r="2115" spans="2:11" hidden="1">
      <c r="B2115" s="1348"/>
      <c r="C2115" s="1348"/>
      <c r="D2115" s="1348"/>
      <c r="E2115" s="1348"/>
      <c r="F2115" s="1348"/>
      <c r="G2115" s="1348"/>
      <c r="H2115" s="1348"/>
      <c r="I2115" s="1348"/>
      <c r="J2115" s="1348"/>
      <c r="K2115" s="1348"/>
    </row>
    <row r="2116" spans="2:11" hidden="1">
      <c r="B2116" s="1348"/>
      <c r="C2116" s="1348"/>
      <c r="D2116" s="1348"/>
      <c r="E2116" s="1348"/>
      <c r="F2116" s="1348"/>
      <c r="G2116" s="1348"/>
      <c r="H2116" s="1348"/>
      <c r="I2116" s="1348"/>
      <c r="J2116" s="1348"/>
      <c r="K2116" s="1348"/>
    </row>
    <row r="2117" spans="2:11" hidden="1">
      <c r="B2117" s="1348"/>
      <c r="C2117" s="1348"/>
      <c r="D2117" s="1348"/>
      <c r="E2117" s="1348"/>
      <c r="F2117" s="1348"/>
      <c r="G2117" s="1348"/>
      <c r="H2117" s="1348"/>
      <c r="I2117" s="1348"/>
      <c r="J2117" s="1348"/>
      <c r="K2117" s="1348"/>
    </row>
    <row r="2118" spans="2:11" hidden="1">
      <c r="B2118" s="1348"/>
      <c r="C2118" s="1348"/>
      <c r="D2118" s="1348"/>
      <c r="E2118" s="1348"/>
      <c r="F2118" s="1348"/>
      <c r="G2118" s="1348"/>
      <c r="H2118" s="1348"/>
      <c r="I2118" s="1348"/>
      <c r="J2118" s="1348"/>
      <c r="K2118" s="1348"/>
    </row>
    <row r="2119" spans="2:11" hidden="1">
      <c r="B2119" s="1348"/>
      <c r="C2119" s="1348"/>
      <c r="D2119" s="1348"/>
      <c r="E2119" s="1348"/>
      <c r="F2119" s="1348"/>
      <c r="G2119" s="1348"/>
      <c r="H2119" s="1348"/>
      <c r="I2119" s="1348"/>
      <c r="J2119" s="1348"/>
      <c r="K2119" s="1348"/>
    </row>
    <row r="2120" spans="2:11" hidden="1">
      <c r="B2120" s="1348"/>
      <c r="C2120" s="1348"/>
      <c r="D2120" s="1348"/>
      <c r="E2120" s="1348"/>
      <c r="F2120" s="1348"/>
      <c r="G2120" s="1348"/>
      <c r="H2120" s="1348"/>
      <c r="I2120" s="1348"/>
      <c r="J2120" s="1348"/>
      <c r="K2120" s="1348"/>
    </row>
    <row r="2121" spans="2:11" hidden="1">
      <c r="B2121" s="1348"/>
      <c r="C2121" s="1348"/>
      <c r="D2121" s="1348"/>
      <c r="E2121" s="1348"/>
      <c r="F2121" s="1348"/>
      <c r="G2121" s="1348"/>
      <c r="H2121" s="1348"/>
      <c r="I2121" s="1348"/>
      <c r="J2121" s="1348"/>
      <c r="K2121" s="1348"/>
    </row>
    <row r="2122" spans="2:11" hidden="1">
      <c r="B2122" s="1348"/>
      <c r="C2122" s="1348"/>
      <c r="D2122" s="1348"/>
      <c r="E2122" s="1348"/>
      <c r="F2122" s="1348"/>
      <c r="G2122" s="1348"/>
      <c r="H2122" s="1348"/>
      <c r="I2122" s="1348"/>
      <c r="J2122" s="1348"/>
      <c r="K2122" s="1348"/>
    </row>
    <row r="2123" spans="2:11" hidden="1">
      <c r="B2123" s="1348"/>
      <c r="C2123" s="1348"/>
      <c r="D2123" s="1348"/>
      <c r="E2123" s="1348"/>
      <c r="F2123" s="1348"/>
      <c r="G2123" s="1348"/>
      <c r="H2123" s="1348"/>
      <c r="I2123" s="1348"/>
      <c r="J2123" s="1348"/>
      <c r="K2123" s="1348"/>
    </row>
    <row r="2124" spans="2:11" hidden="1">
      <c r="B2124" s="1348"/>
      <c r="C2124" s="1348"/>
      <c r="D2124" s="1348"/>
      <c r="E2124" s="1348"/>
      <c r="F2124" s="1348"/>
      <c r="G2124" s="1348"/>
      <c r="H2124" s="1348"/>
      <c r="I2124" s="1348"/>
      <c r="J2124" s="1348"/>
      <c r="K2124" s="1348"/>
    </row>
    <row r="2125" spans="2:11" hidden="1">
      <c r="B2125" s="1348"/>
      <c r="C2125" s="1348"/>
      <c r="D2125" s="1348"/>
      <c r="E2125" s="1348"/>
      <c r="F2125" s="1348"/>
      <c r="G2125" s="1348"/>
      <c r="H2125" s="1348"/>
      <c r="I2125" s="1348"/>
      <c r="J2125" s="1348"/>
      <c r="K2125" s="1348"/>
    </row>
    <row r="2126" spans="2:11" hidden="1">
      <c r="B2126" s="1348"/>
      <c r="C2126" s="1348"/>
      <c r="D2126" s="1348"/>
      <c r="E2126" s="1348"/>
      <c r="F2126" s="1348"/>
      <c r="G2126" s="1348"/>
      <c r="H2126" s="1348"/>
      <c r="I2126" s="1348"/>
      <c r="J2126" s="1348"/>
      <c r="K2126" s="1348"/>
    </row>
    <row r="2127" spans="2:11" hidden="1">
      <c r="B2127" s="1348"/>
      <c r="C2127" s="1348"/>
      <c r="D2127" s="1348"/>
      <c r="E2127" s="1348"/>
      <c r="F2127" s="1348"/>
      <c r="G2127" s="1348"/>
      <c r="H2127" s="1348"/>
      <c r="I2127" s="1348"/>
      <c r="J2127" s="1348"/>
      <c r="K2127" s="1348"/>
    </row>
    <row r="2128" spans="2:11" hidden="1">
      <c r="B2128" s="1348"/>
      <c r="C2128" s="1348"/>
      <c r="D2128" s="1348"/>
      <c r="E2128" s="1348"/>
      <c r="F2128" s="1348"/>
      <c r="G2128" s="1348"/>
      <c r="H2128" s="1348"/>
      <c r="I2128" s="1348"/>
      <c r="J2128" s="1348"/>
      <c r="K2128" s="1348"/>
    </row>
    <row r="2129" spans="2:11" hidden="1">
      <c r="B2129" s="1348"/>
      <c r="C2129" s="1348"/>
      <c r="D2129" s="1348"/>
      <c r="E2129" s="1348"/>
      <c r="F2129" s="1348"/>
      <c r="G2129" s="1348"/>
      <c r="H2129" s="1348"/>
      <c r="I2129" s="1348"/>
      <c r="J2129" s="1348"/>
      <c r="K2129" s="1348"/>
    </row>
    <row r="2130" spans="2:11" hidden="1">
      <c r="B2130" s="1348"/>
      <c r="C2130" s="1348"/>
      <c r="D2130" s="1348"/>
      <c r="E2130" s="1348"/>
      <c r="F2130" s="1348"/>
      <c r="G2130" s="1348"/>
      <c r="H2130" s="1348"/>
      <c r="I2130" s="1348"/>
      <c r="J2130" s="1348"/>
      <c r="K2130" s="1348"/>
    </row>
    <row r="2131" spans="2:11" hidden="1">
      <c r="B2131" s="1348"/>
      <c r="C2131" s="1348"/>
      <c r="D2131" s="1348"/>
      <c r="E2131" s="1348"/>
      <c r="F2131" s="1348"/>
      <c r="G2131" s="1348"/>
      <c r="H2131" s="1348"/>
      <c r="I2131" s="1348"/>
      <c r="J2131" s="1348"/>
      <c r="K2131" s="1348"/>
    </row>
    <row r="2132" spans="2:11" hidden="1">
      <c r="B2132" s="1348"/>
      <c r="C2132" s="1348"/>
      <c r="D2132" s="1348"/>
      <c r="E2132" s="1348"/>
      <c r="F2132" s="1348"/>
      <c r="G2132" s="1348"/>
      <c r="H2132" s="1348"/>
      <c r="I2132" s="1348"/>
      <c r="J2132" s="1348"/>
      <c r="K2132" s="1348"/>
    </row>
    <row r="2133" spans="2:11" hidden="1">
      <c r="B2133" s="1348"/>
      <c r="C2133" s="1348"/>
      <c r="D2133" s="1348"/>
      <c r="E2133" s="1348"/>
      <c r="F2133" s="1348"/>
      <c r="G2133" s="1348"/>
      <c r="H2133" s="1348"/>
      <c r="I2133" s="1348"/>
      <c r="J2133" s="1348"/>
      <c r="K2133" s="1348"/>
    </row>
    <row r="2134" spans="2:11" hidden="1">
      <c r="B2134" s="1348"/>
      <c r="C2134" s="1348"/>
      <c r="D2134" s="1348"/>
      <c r="E2134" s="1348"/>
      <c r="F2134" s="1348"/>
      <c r="G2134" s="1348"/>
      <c r="H2134" s="1348"/>
      <c r="I2134" s="1348"/>
      <c r="J2134" s="1348"/>
      <c r="K2134" s="1348"/>
    </row>
    <row r="2135" spans="2:11" hidden="1">
      <c r="B2135" s="1348"/>
      <c r="C2135" s="1348"/>
      <c r="D2135" s="1348"/>
      <c r="E2135" s="1348"/>
      <c r="F2135" s="1348"/>
      <c r="G2135" s="1348"/>
      <c r="H2135" s="1348"/>
      <c r="I2135" s="1348"/>
      <c r="J2135" s="1348"/>
      <c r="K2135" s="1348"/>
    </row>
    <row r="2136" spans="2:11" hidden="1">
      <c r="B2136" s="1348"/>
      <c r="C2136" s="1348"/>
      <c r="D2136" s="1348"/>
      <c r="E2136" s="1348"/>
      <c r="F2136" s="1348"/>
      <c r="G2136" s="1348"/>
      <c r="H2136" s="1348"/>
      <c r="I2136" s="1348"/>
      <c r="J2136" s="1348"/>
      <c r="K2136" s="1348"/>
    </row>
    <row r="2137" spans="2:11" hidden="1">
      <c r="B2137" s="1348"/>
      <c r="C2137" s="1348"/>
      <c r="D2137" s="1348"/>
      <c r="E2137" s="1348"/>
      <c r="F2137" s="1348"/>
      <c r="G2137" s="1348"/>
      <c r="H2137" s="1348"/>
      <c r="I2137" s="1348"/>
      <c r="J2137" s="1348"/>
      <c r="K2137" s="1348"/>
    </row>
    <row r="2138" spans="2:11" hidden="1">
      <c r="B2138" s="1348"/>
      <c r="C2138" s="1348"/>
      <c r="D2138" s="1348"/>
      <c r="E2138" s="1348"/>
      <c r="F2138" s="1348"/>
      <c r="G2138" s="1348"/>
      <c r="H2138" s="1348"/>
      <c r="I2138" s="1348"/>
      <c r="J2138" s="1348"/>
      <c r="K2138" s="1348"/>
    </row>
    <row r="2139" spans="2:11" hidden="1">
      <c r="B2139" s="1348"/>
      <c r="C2139" s="1348"/>
      <c r="D2139" s="1348"/>
      <c r="E2139" s="1348"/>
      <c r="F2139" s="1348"/>
      <c r="G2139" s="1348"/>
      <c r="H2139" s="1348"/>
      <c r="I2139" s="1348"/>
      <c r="J2139" s="1348"/>
      <c r="K2139" s="1348"/>
    </row>
    <row r="2140" spans="2:11" hidden="1">
      <c r="B2140" s="1348"/>
      <c r="C2140" s="1348"/>
      <c r="D2140" s="1348"/>
      <c r="E2140" s="1348"/>
      <c r="F2140" s="1348"/>
      <c r="G2140" s="1348"/>
      <c r="H2140" s="1348"/>
      <c r="I2140" s="1348"/>
      <c r="J2140" s="1348"/>
      <c r="K2140" s="1348"/>
    </row>
    <row r="2141" spans="2:11" hidden="1">
      <c r="B2141" s="1348"/>
      <c r="C2141" s="1348"/>
      <c r="D2141" s="1348"/>
      <c r="E2141" s="1348"/>
      <c r="F2141" s="1348"/>
      <c r="G2141" s="1348"/>
      <c r="H2141" s="1348"/>
      <c r="I2141" s="1348"/>
      <c r="J2141" s="1348"/>
      <c r="K2141" s="1348"/>
    </row>
    <row r="2142" spans="2:11" hidden="1">
      <c r="B2142" s="1348"/>
      <c r="C2142" s="1348"/>
      <c r="D2142" s="1348"/>
      <c r="E2142" s="1348"/>
      <c r="F2142" s="1348"/>
      <c r="G2142" s="1348"/>
      <c r="H2142" s="1348"/>
      <c r="I2142" s="1348"/>
      <c r="J2142" s="1348"/>
      <c r="K2142" s="1348"/>
    </row>
    <row r="2143" spans="2:11" hidden="1">
      <c r="B2143" s="1348"/>
      <c r="C2143" s="1348"/>
      <c r="D2143" s="1348"/>
      <c r="E2143" s="1348"/>
      <c r="F2143" s="1348"/>
      <c r="G2143" s="1348"/>
      <c r="H2143" s="1348"/>
      <c r="I2143" s="1348"/>
      <c r="J2143" s="1348"/>
      <c r="K2143" s="1348"/>
    </row>
    <row r="2144" spans="2:11" hidden="1">
      <c r="B2144" s="1348"/>
      <c r="C2144" s="1348"/>
      <c r="D2144" s="1348"/>
      <c r="E2144" s="1348"/>
      <c r="F2144" s="1348"/>
      <c r="G2144" s="1348"/>
      <c r="H2144" s="1348"/>
      <c r="I2144" s="1348"/>
      <c r="J2144" s="1348"/>
      <c r="K2144" s="1348"/>
    </row>
    <row r="2145" spans="2:11" hidden="1">
      <c r="B2145" s="1348"/>
      <c r="C2145" s="1348"/>
      <c r="D2145" s="1348"/>
      <c r="E2145" s="1348"/>
      <c r="F2145" s="1348"/>
      <c r="G2145" s="1348"/>
      <c r="H2145" s="1348"/>
      <c r="I2145" s="1348"/>
      <c r="J2145" s="1348"/>
      <c r="K2145" s="1348"/>
    </row>
    <row r="2146" spans="2:11" hidden="1">
      <c r="B2146" s="1348"/>
      <c r="C2146" s="1348"/>
      <c r="D2146" s="1348"/>
      <c r="E2146" s="1348"/>
      <c r="F2146" s="1348"/>
      <c r="G2146" s="1348"/>
      <c r="H2146" s="1348"/>
      <c r="I2146" s="1348"/>
      <c r="J2146" s="1348"/>
      <c r="K2146" s="1348"/>
    </row>
    <row r="2147" spans="2:11" hidden="1">
      <c r="B2147" s="1348"/>
      <c r="C2147" s="1348"/>
      <c r="D2147" s="1348"/>
      <c r="E2147" s="1348"/>
      <c r="F2147" s="1348"/>
      <c r="G2147" s="1348"/>
      <c r="H2147" s="1348"/>
      <c r="I2147" s="1348"/>
      <c r="J2147" s="1348"/>
      <c r="K2147" s="1348"/>
    </row>
    <row r="2148" spans="2:11" hidden="1">
      <c r="B2148" s="1348"/>
      <c r="C2148" s="1348"/>
      <c r="D2148" s="1348"/>
      <c r="E2148" s="1348"/>
      <c r="F2148" s="1348"/>
      <c r="G2148" s="1348"/>
      <c r="H2148" s="1348"/>
      <c r="I2148" s="1348"/>
      <c r="J2148" s="1348"/>
      <c r="K2148" s="1348"/>
    </row>
    <row r="2149" spans="2:11" hidden="1">
      <c r="B2149" s="1348"/>
      <c r="C2149" s="1348"/>
      <c r="D2149" s="1348"/>
      <c r="E2149" s="1348"/>
      <c r="F2149" s="1348"/>
      <c r="G2149" s="1348"/>
      <c r="H2149" s="1348"/>
      <c r="I2149" s="1348"/>
      <c r="J2149" s="1348"/>
      <c r="K2149" s="1348"/>
    </row>
    <row r="2150" spans="2:11" hidden="1">
      <c r="B2150" s="1348"/>
      <c r="C2150" s="1348"/>
      <c r="D2150" s="1348"/>
      <c r="E2150" s="1348"/>
      <c r="F2150" s="1348"/>
      <c r="G2150" s="1348"/>
      <c r="H2150" s="1348"/>
      <c r="I2150" s="1348"/>
      <c r="J2150" s="1348"/>
      <c r="K2150" s="1348"/>
    </row>
    <row r="2151" spans="2:11" hidden="1">
      <c r="B2151" s="1348"/>
      <c r="C2151" s="1348"/>
      <c r="D2151" s="1348"/>
      <c r="E2151" s="1348"/>
      <c r="F2151" s="1348"/>
      <c r="G2151" s="1348"/>
      <c r="H2151" s="1348"/>
      <c r="I2151" s="1348"/>
      <c r="J2151" s="1348"/>
      <c r="K2151" s="1348"/>
    </row>
    <row r="2152" spans="2:11" hidden="1">
      <c r="B2152" s="1348"/>
      <c r="C2152" s="1348"/>
      <c r="D2152" s="1348"/>
      <c r="E2152" s="1348"/>
      <c r="F2152" s="1348"/>
      <c r="G2152" s="1348"/>
      <c r="H2152" s="1348"/>
      <c r="I2152" s="1348"/>
      <c r="J2152" s="1348"/>
      <c r="K2152" s="1348"/>
    </row>
    <row r="2153" spans="2:11" hidden="1">
      <c r="B2153" s="1348"/>
      <c r="C2153" s="1348"/>
      <c r="D2153" s="1348"/>
      <c r="E2153" s="1348"/>
      <c r="F2153" s="1348"/>
      <c r="G2153" s="1348"/>
      <c r="H2153" s="1348"/>
      <c r="I2153" s="1348"/>
      <c r="J2153" s="1348"/>
      <c r="K2153" s="1348"/>
    </row>
    <row r="2154" spans="2:11" hidden="1">
      <c r="B2154" s="1348"/>
      <c r="C2154" s="1348"/>
      <c r="D2154" s="1348"/>
      <c r="E2154" s="1348"/>
      <c r="F2154" s="1348"/>
      <c r="G2154" s="1348"/>
      <c r="H2154" s="1348"/>
      <c r="I2154" s="1348"/>
      <c r="J2154" s="1348"/>
      <c r="K2154" s="1348"/>
    </row>
    <row r="2155" spans="2:11" hidden="1">
      <c r="B2155" s="1348"/>
      <c r="C2155" s="1348"/>
      <c r="D2155" s="1348"/>
      <c r="E2155" s="1348"/>
      <c r="F2155" s="1348"/>
      <c r="G2155" s="1348"/>
      <c r="H2155" s="1348"/>
      <c r="I2155" s="1348"/>
      <c r="J2155" s="1348"/>
      <c r="K2155" s="1348"/>
    </row>
    <row r="2156" spans="2:11" hidden="1">
      <c r="B2156" s="1348"/>
      <c r="C2156" s="1348"/>
      <c r="D2156" s="1348"/>
      <c r="E2156" s="1348"/>
      <c r="F2156" s="1348"/>
      <c r="G2156" s="1348"/>
      <c r="H2156" s="1348"/>
      <c r="I2156" s="1348"/>
      <c r="J2156" s="1348"/>
      <c r="K2156" s="1348"/>
    </row>
    <row r="2157" spans="2:11" hidden="1">
      <c r="B2157" s="1348"/>
      <c r="C2157" s="1348"/>
      <c r="D2157" s="1348"/>
      <c r="E2157" s="1348"/>
      <c r="F2157" s="1348"/>
      <c r="G2157" s="1348"/>
      <c r="H2157" s="1348"/>
      <c r="I2157" s="1348"/>
      <c r="J2157" s="1348"/>
      <c r="K2157" s="1348"/>
    </row>
    <row r="2158" spans="2:11" hidden="1">
      <c r="B2158" s="1348"/>
      <c r="C2158" s="1348"/>
      <c r="D2158" s="1348"/>
      <c r="E2158" s="1348"/>
      <c r="F2158" s="1348"/>
      <c r="G2158" s="1348"/>
      <c r="H2158" s="1348"/>
      <c r="I2158" s="1348"/>
      <c r="J2158" s="1348"/>
      <c r="K2158" s="1348"/>
    </row>
    <row r="2159" spans="2:11" hidden="1">
      <c r="B2159" s="1348"/>
      <c r="C2159" s="1348"/>
      <c r="D2159" s="1348"/>
      <c r="E2159" s="1348"/>
      <c r="F2159" s="1348"/>
      <c r="G2159" s="1348"/>
      <c r="H2159" s="1348"/>
      <c r="I2159" s="1348"/>
      <c r="J2159" s="1348"/>
      <c r="K2159" s="1348"/>
    </row>
    <row r="2160" spans="2:11" hidden="1">
      <c r="B2160" s="1348"/>
      <c r="C2160" s="1348"/>
      <c r="D2160" s="1348"/>
      <c r="E2160" s="1348"/>
      <c r="F2160" s="1348"/>
      <c r="G2160" s="1348"/>
      <c r="H2160" s="1348"/>
      <c r="I2160" s="1348"/>
      <c r="J2160" s="1348"/>
      <c r="K2160" s="1348"/>
    </row>
    <row r="2161" spans="2:11" hidden="1">
      <c r="B2161" s="1348"/>
      <c r="C2161" s="1348"/>
      <c r="D2161" s="1348"/>
      <c r="E2161" s="1348"/>
      <c r="F2161" s="1348"/>
      <c r="G2161" s="1348"/>
      <c r="H2161" s="1348"/>
      <c r="I2161" s="1348"/>
      <c r="J2161" s="1348"/>
      <c r="K2161" s="1348"/>
    </row>
    <row r="2162" spans="2:11" hidden="1">
      <c r="B2162" s="1348"/>
      <c r="C2162" s="1348"/>
      <c r="D2162" s="1348"/>
      <c r="E2162" s="1348"/>
      <c r="F2162" s="1348"/>
      <c r="G2162" s="1348"/>
      <c r="H2162" s="1348"/>
      <c r="I2162" s="1348"/>
      <c r="J2162" s="1348"/>
      <c r="K2162" s="1348"/>
    </row>
    <row r="2163" spans="2:11" hidden="1">
      <c r="B2163" s="1348"/>
      <c r="C2163" s="1348"/>
      <c r="D2163" s="1348"/>
      <c r="E2163" s="1348"/>
      <c r="F2163" s="1348"/>
      <c r="G2163" s="1348"/>
      <c r="H2163" s="1348"/>
      <c r="I2163" s="1348"/>
      <c r="J2163" s="1348"/>
      <c r="K2163" s="1348"/>
    </row>
    <row r="2164" spans="2:11" hidden="1">
      <c r="B2164" s="1348"/>
      <c r="C2164" s="1348"/>
      <c r="D2164" s="1348"/>
      <c r="E2164" s="1348"/>
      <c r="F2164" s="1348"/>
      <c r="G2164" s="1348"/>
      <c r="H2164" s="1348"/>
      <c r="I2164" s="1348"/>
      <c r="J2164" s="1348"/>
      <c r="K2164" s="1348"/>
    </row>
    <row r="2165" spans="2:11" hidden="1">
      <c r="B2165" s="1348"/>
      <c r="C2165" s="1348"/>
      <c r="D2165" s="1348"/>
      <c r="E2165" s="1348"/>
      <c r="F2165" s="1348"/>
      <c r="G2165" s="1348"/>
      <c r="H2165" s="1348"/>
      <c r="I2165" s="1348"/>
      <c r="J2165" s="1348"/>
      <c r="K2165" s="1348"/>
    </row>
    <row r="2166" spans="2:11" hidden="1">
      <c r="B2166" s="1348"/>
      <c r="C2166" s="1348"/>
      <c r="D2166" s="1348"/>
      <c r="E2166" s="1348"/>
      <c r="F2166" s="1348"/>
      <c r="G2166" s="1348"/>
      <c r="H2166" s="1348"/>
      <c r="I2166" s="1348"/>
      <c r="J2166" s="1348"/>
      <c r="K2166" s="1348"/>
    </row>
    <row r="2167" spans="2:11" hidden="1">
      <c r="B2167" s="1348"/>
      <c r="C2167" s="1348"/>
      <c r="D2167" s="1348"/>
      <c r="E2167" s="1348"/>
      <c r="F2167" s="1348"/>
      <c r="G2167" s="1348"/>
      <c r="H2167" s="1348"/>
      <c r="I2167" s="1348"/>
      <c r="J2167" s="1348"/>
      <c r="K2167" s="1348"/>
    </row>
    <row r="2168" spans="2:11" hidden="1">
      <c r="B2168" s="1348"/>
      <c r="C2168" s="1348"/>
      <c r="D2168" s="1348"/>
      <c r="E2168" s="1348"/>
      <c r="F2168" s="1348"/>
      <c r="G2168" s="1348"/>
      <c r="H2168" s="1348"/>
      <c r="I2168" s="1348"/>
      <c r="J2168" s="1348"/>
      <c r="K2168" s="1348"/>
    </row>
    <row r="2169" spans="2:11" hidden="1">
      <c r="B2169" s="1348"/>
      <c r="C2169" s="1348"/>
      <c r="D2169" s="1348"/>
      <c r="E2169" s="1348"/>
      <c r="F2169" s="1348"/>
      <c r="G2169" s="1348"/>
      <c r="H2169" s="1348"/>
      <c r="I2169" s="1348"/>
      <c r="J2169" s="1348"/>
      <c r="K2169" s="1348"/>
    </row>
    <row r="2170" spans="2:11" hidden="1">
      <c r="B2170" s="1348"/>
      <c r="C2170" s="1348"/>
      <c r="D2170" s="1348"/>
      <c r="E2170" s="1348"/>
      <c r="F2170" s="1348"/>
      <c r="G2170" s="1348"/>
      <c r="H2170" s="1348"/>
      <c r="I2170" s="1348"/>
      <c r="J2170" s="1348"/>
      <c r="K2170" s="1348"/>
    </row>
    <row r="2171" spans="2:11" hidden="1">
      <c r="B2171" s="1348"/>
      <c r="C2171" s="1348"/>
      <c r="D2171" s="1348"/>
      <c r="E2171" s="1348"/>
      <c r="F2171" s="1348"/>
      <c r="G2171" s="1348"/>
      <c r="H2171" s="1348"/>
      <c r="I2171" s="1348"/>
      <c r="J2171" s="1348"/>
      <c r="K2171" s="1348"/>
    </row>
    <row r="2172" spans="2:11" hidden="1">
      <c r="B2172" s="1348"/>
      <c r="C2172" s="1348"/>
      <c r="D2172" s="1348"/>
      <c r="E2172" s="1348"/>
      <c r="F2172" s="1348"/>
      <c r="G2172" s="1348"/>
      <c r="H2172" s="1348"/>
      <c r="I2172" s="1348"/>
      <c r="J2172" s="1348"/>
      <c r="K2172" s="1348"/>
    </row>
    <row r="2173" spans="2:11" hidden="1">
      <c r="B2173" s="1348"/>
      <c r="C2173" s="1348"/>
      <c r="D2173" s="1348"/>
      <c r="E2173" s="1348"/>
      <c r="F2173" s="1348"/>
      <c r="G2173" s="1348"/>
      <c r="H2173" s="1348"/>
      <c r="I2173" s="1348"/>
      <c r="J2173" s="1348"/>
      <c r="K2173" s="1348"/>
    </row>
    <row r="2174" spans="2:11" hidden="1">
      <c r="B2174" s="1348"/>
      <c r="C2174" s="1348"/>
      <c r="D2174" s="1348"/>
      <c r="E2174" s="1348"/>
      <c r="F2174" s="1348"/>
      <c r="G2174" s="1348"/>
      <c r="H2174" s="1348"/>
      <c r="I2174" s="1348"/>
      <c r="J2174" s="1348"/>
      <c r="K2174" s="1348"/>
    </row>
    <row r="2175" spans="2:11" hidden="1">
      <c r="B2175" s="1348"/>
      <c r="C2175" s="1348"/>
      <c r="D2175" s="1348"/>
      <c r="E2175" s="1348"/>
      <c r="F2175" s="1348"/>
      <c r="G2175" s="1348"/>
      <c r="H2175" s="1348"/>
      <c r="I2175" s="1348"/>
      <c r="J2175" s="1348"/>
      <c r="K2175" s="1348"/>
    </row>
    <row r="2176" spans="2:11" hidden="1">
      <c r="B2176" s="1348"/>
      <c r="C2176" s="1348"/>
      <c r="D2176" s="1348"/>
      <c r="E2176" s="1348"/>
      <c r="F2176" s="1348"/>
      <c r="G2176" s="1348"/>
      <c r="H2176" s="1348"/>
      <c r="I2176" s="1348"/>
      <c r="J2176" s="1348"/>
      <c r="K2176" s="1348"/>
    </row>
    <row r="2177" spans="2:11" hidden="1">
      <c r="B2177" s="1348"/>
      <c r="C2177" s="1348"/>
      <c r="D2177" s="1348"/>
      <c r="E2177" s="1348"/>
      <c r="F2177" s="1348"/>
      <c r="G2177" s="1348"/>
      <c r="H2177" s="1348"/>
      <c r="I2177" s="1348"/>
      <c r="J2177" s="1348"/>
      <c r="K2177" s="1348"/>
    </row>
    <row r="2178" spans="2:11" hidden="1">
      <c r="B2178" s="1348"/>
      <c r="C2178" s="1348"/>
      <c r="D2178" s="1348"/>
      <c r="E2178" s="1348"/>
      <c r="F2178" s="1348"/>
      <c r="G2178" s="1348"/>
      <c r="H2178" s="1348"/>
      <c r="I2178" s="1348"/>
      <c r="J2178" s="1348"/>
      <c r="K2178" s="1348"/>
    </row>
    <row r="2179" spans="2:11" hidden="1">
      <c r="B2179" s="1348"/>
      <c r="C2179" s="1348"/>
      <c r="D2179" s="1348"/>
      <c r="E2179" s="1348"/>
      <c r="F2179" s="1348"/>
      <c r="G2179" s="1348"/>
      <c r="H2179" s="1348"/>
      <c r="I2179" s="1348"/>
      <c r="J2179" s="1348"/>
      <c r="K2179" s="1348"/>
    </row>
    <row r="2180" spans="2:11" hidden="1">
      <c r="B2180" s="1348"/>
      <c r="C2180" s="1348"/>
      <c r="D2180" s="1348"/>
      <c r="E2180" s="1348"/>
      <c r="F2180" s="1348"/>
      <c r="G2180" s="1348"/>
      <c r="H2180" s="1348"/>
      <c r="I2180" s="1348"/>
      <c r="J2180" s="1348"/>
      <c r="K2180" s="1348"/>
    </row>
    <row r="2181" spans="2:11" hidden="1">
      <c r="B2181" s="1348"/>
      <c r="C2181" s="1348"/>
      <c r="D2181" s="1348"/>
      <c r="E2181" s="1348"/>
      <c r="F2181" s="1348"/>
      <c r="G2181" s="1348"/>
      <c r="H2181" s="1348"/>
      <c r="I2181" s="1348"/>
      <c r="J2181" s="1348"/>
      <c r="K2181" s="1348"/>
    </row>
    <row r="2182" spans="2:11" hidden="1">
      <c r="B2182" s="1348"/>
      <c r="C2182" s="1348"/>
      <c r="D2182" s="1348"/>
      <c r="E2182" s="1348"/>
      <c r="F2182" s="1348"/>
      <c r="G2182" s="1348"/>
      <c r="H2182" s="1348"/>
      <c r="I2182" s="1348"/>
      <c r="J2182" s="1348"/>
      <c r="K2182" s="1348"/>
    </row>
    <row r="2183" spans="2:11" hidden="1">
      <c r="B2183" s="1348"/>
      <c r="C2183" s="1348"/>
      <c r="D2183" s="1348"/>
      <c r="E2183" s="1348"/>
      <c r="F2183" s="1348"/>
      <c r="G2183" s="1348"/>
      <c r="H2183" s="1348"/>
      <c r="I2183" s="1348"/>
      <c r="J2183" s="1348"/>
      <c r="K2183" s="1348"/>
    </row>
    <row r="2184" spans="2:11" hidden="1">
      <c r="B2184" s="1348"/>
      <c r="C2184" s="1348"/>
      <c r="D2184" s="1348"/>
      <c r="E2184" s="1348"/>
      <c r="F2184" s="1348"/>
      <c r="G2184" s="1348"/>
      <c r="H2184" s="1348"/>
      <c r="I2184" s="1348"/>
      <c r="J2184" s="1348"/>
      <c r="K2184" s="1348"/>
    </row>
    <row r="2185" spans="2:11" hidden="1">
      <c r="B2185" s="1348"/>
      <c r="C2185" s="1348"/>
      <c r="D2185" s="1348"/>
      <c r="E2185" s="1348"/>
      <c r="F2185" s="1348"/>
      <c r="G2185" s="1348"/>
      <c r="H2185" s="1348"/>
      <c r="I2185" s="1348"/>
      <c r="J2185" s="1348"/>
      <c r="K2185" s="1348"/>
    </row>
    <row r="2186" spans="2:11" hidden="1">
      <c r="B2186" s="1348"/>
      <c r="C2186" s="1348"/>
      <c r="D2186" s="1348"/>
      <c r="E2186" s="1348"/>
      <c r="F2186" s="1348"/>
      <c r="G2186" s="1348"/>
      <c r="H2186" s="1348"/>
      <c r="I2186" s="1348"/>
      <c r="J2186" s="1348"/>
      <c r="K2186" s="1348"/>
    </row>
    <row r="2187" spans="2:11" hidden="1">
      <c r="B2187" s="1348"/>
      <c r="C2187" s="1348"/>
      <c r="D2187" s="1348"/>
      <c r="E2187" s="1348"/>
      <c r="F2187" s="1348"/>
      <c r="G2187" s="1348"/>
      <c r="H2187" s="1348"/>
      <c r="I2187" s="1348"/>
      <c r="J2187" s="1348"/>
      <c r="K2187" s="1348"/>
    </row>
    <row r="2188" spans="2:11" hidden="1">
      <c r="B2188" s="1348"/>
      <c r="C2188" s="1348"/>
      <c r="D2188" s="1348"/>
      <c r="E2188" s="1348"/>
      <c r="F2188" s="1348"/>
      <c r="G2188" s="1348"/>
      <c r="H2188" s="1348"/>
      <c r="I2188" s="1348"/>
      <c r="J2188" s="1348"/>
      <c r="K2188" s="1348"/>
    </row>
    <row r="2189" spans="2:11" hidden="1">
      <c r="B2189" s="1348"/>
      <c r="C2189" s="1348"/>
      <c r="D2189" s="1348"/>
      <c r="E2189" s="1348"/>
      <c r="F2189" s="1348"/>
      <c r="G2189" s="1348"/>
      <c r="H2189" s="1348"/>
      <c r="I2189" s="1348"/>
      <c r="J2189" s="1348"/>
      <c r="K2189" s="1348"/>
    </row>
    <row r="2190" spans="2:11" hidden="1">
      <c r="B2190" s="1348"/>
      <c r="C2190" s="1348"/>
      <c r="D2190" s="1348"/>
      <c r="E2190" s="1348"/>
      <c r="F2190" s="1348"/>
      <c r="G2190" s="1348"/>
      <c r="H2190" s="1348"/>
      <c r="I2190" s="1348"/>
      <c r="J2190" s="1348"/>
      <c r="K2190" s="1348"/>
    </row>
    <row r="2191" spans="2:11" hidden="1">
      <c r="B2191" s="1348"/>
      <c r="C2191" s="1348"/>
      <c r="D2191" s="1348"/>
      <c r="E2191" s="1348"/>
      <c r="F2191" s="1348"/>
      <c r="G2191" s="1348"/>
      <c r="H2191" s="1348"/>
      <c r="I2191" s="1348"/>
      <c r="J2191" s="1348"/>
      <c r="K2191" s="1348"/>
    </row>
    <row r="2192" spans="2:11" hidden="1">
      <c r="B2192" s="1348"/>
      <c r="C2192" s="1348"/>
      <c r="D2192" s="1348"/>
      <c r="E2192" s="1348"/>
      <c r="F2192" s="1348"/>
      <c r="G2192" s="1348"/>
      <c r="H2192" s="1348"/>
      <c r="I2192" s="1348"/>
      <c r="J2192" s="1348"/>
      <c r="K2192" s="1348"/>
    </row>
    <row r="2193" spans="2:11" hidden="1">
      <c r="B2193" s="1348"/>
      <c r="C2193" s="1348"/>
      <c r="D2193" s="1348"/>
      <c r="E2193" s="1348"/>
      <c r="F2193" s="1348"/>
      <c r="G2193" s="1348"/>
      <c r="H2193" s="1348"/>
      <c r="I2193" s="1348"/>
      <c r="J2193" s="1348"/>
      <c r="K2193" s="1348"/>
    </row>
    <row r="2194" spans="2:11" hidden="1">
      <c r="B2194" s="1348"/>
      <c r="C2194" s="1348"/>
      <c r="D2194" s="1348"/>
      <c r="E2194" s="1348"/>
      <c r="F2194" s="1348"/>
      <c r="G2194" s="1348"/>
      <c r="H2194" s="1348"/>
      <c r="I2194" s="1348"/>
      <c r="J2194" s="1348"/>
      <c r="K2194" s="1348"/>
    </row>
    <row r="2195" spans="2:11" hidden="1">
      <c r="B2195" s="1348"/>
      <c r="C2195" s="1348"/>
      <c r="D2195" s="1348"/>
      <c r="E2195" s="1348"/>
      <c r="F2195" s="1348"/>
      <c r="G2195" s="1348"/>
      <c r="H2195" s="1348"/>
      <c r="I2195" s="1348"/>
      <c r="J2195" s="1348"/>
      <c r="K2195" s="1348"/>
    </row>
    <row r="2196" spans="2:11" hidden="1">
      <c r="B2196" s="1348"/>
      <c r="C2196" s="1348"/>
      <c r="D2196" s="1348"/>
      <c r="E2196" s="1348"/>
      <c r="F2196" s="1348"/>
      <c r="G2196" s="1348"/>
      <c r="H2196" s="1348"/>
      <c r="I2196" s="1348"/>
      <c r="J2196" s="1348"/>
      <c r="K2196" s="1348"/>
    </row>
    <row r="2197" spans="2:11" hidden="1">
      <c r="B2197" s="1348"/>
      <c r="C2197" s="1348"/>
      <c r="D2197" s="1348"/>
      <c r="E2197" s="1348"/>
      <c r="F2197" s="1348"/>
      <c r="G2197" s="1348"/>
      <c r="H2197" s="1348"/>
      <c r="I2197" s="1348"/>
      <c r="J2197" s="1348"/>
      <c r="K2197" s="1348"/>
    </row>
    <row r="2198" spans="2:11" hidden="1">
      <c r="B2198" s="1348"/>
      <c r="C2198" s="1348"/>
      <c r="D2198" s="1348"/>
      <c r="E2198" s="1348"/>
      <c r="F2198" s="1348"/>
      <c r="G2198" s="1348"/>
      <c r="H2198" s="1348"/>
      <c r="I2198" s="1348"/>
      <c r="J2198" s="1348"/>
      <c r="K2198" s="1348"/>
    </row>
    <row r="2199" spans="2:11" hidden="1">
      <c r="B2199" s="1348"/>
      <c r="C2199" s="1348"/>
      <c r="D2199" s="1348"/>
      <c r="E2199" s="1348"/>
      <c r="F2199" s="1348"/>
      <c r="G2199" s="1348"/>
      <c r="H2199" s="1348"/>
      <c r="I2199" s="1348"/>
      <c r="J2199" s="1348"/>
      <c r="K2199" s="1348"/>
    </row>
    <row r="2200" spans="2:11" hidden="1">
      <c r="B2200" s="1348"/>
      <c r="C2200" s="1348"/>
      <c r="D2200" s="1348"/>
      <c r="E2200" s="1348"/>
      <c r="F2200" s="1348"/>
      <c r="G2200" s="1348"/>
      <c r="H2200" s="1348"/>
      <c r="I2200" s="1348"/>
      <c r="J2200" s="1348"/>
      <c r="K2200" s="1348"/>
    </row>
    <row r="2201" spans="2:11" hidden="1">
      <c r="B2201" s="1348"/>
      <c r="C2201" s="1348"/>
      <c r="D2201" s="1348"/>
      <c r="E2201" s="1348"/>
      <c r="F2201" s="1348"/>
      <c r="G2201" s="1348"/>
      <c r="H2201" s="1348"/>
      <c r="I2201" s="1348"/>
      <c r="J2201" s="1348"/>
      <c r="K2201" s="1348"/>
    </row>
    <row r="2202" spans="2:11" hidden="1">
      <c r="B2202" s="1348"/>
      <c r="C2202" s="1348"/>
      <c r="D2202" s="1348"/>
      <c r="E2202" s="1348"/>
      <c r="F2202" s="1348"/>
      <c r="G2202" s="1348"/>
      <c r="H2202" s="1348"/>
      <c r="I2202" s="1348"/>
      <c r="J2202" s="1348"/>
      <c r="K2202" s="1348"/>
    </row>
    <row r="2203" spans="2:11" hidden="1">
      <c r="B2203" s="1348"/>
      <c r="C2203" s="1348"/>
      <c r="D2203" s="1348"/>
      <c r="E2203" s="1348"/>
      <c r="F2203" s="1348"/>
      <c r="G2203" s="1348"/>
      <c r="H2203" s="1348"/>
      <c r="I2203" s="1348"/>
      <c r="J2203" s="1348"/>
      <c r="K2203" s="1348"/>
    </row>
    <row r="2204" spans="2:11" hidden="1">
      <c r="B2204" s="1348"/>
      <c r="C2204" s="1348"/>
      <c r="D2204" s="1348"/>
      <c r="E2204" s="1348"/>
      <c r="F2204" s="1348"/>
      <c r="G2204" s="1348"/>
      <c r="H2204" s="1348"/>
      <c r="I2204" s="1348"/>
      <c r="J2204" s="1348"/>
      <c r="K2204" s="1348"/>
    </row>
    <row r="2205" spans="2:11" hidden="1">
      <c r="B2205" s="1348"/>
      <c r="C2205" s="1348"/>
      <c r="D2205" s="1348"/>
      <c r="E2205" s="1348"/>
      <c r="F2205" s="1348"/>
      <c r="G2205" s="1348"/>
      <c r="H2205" s="1348"/>
      <c r="I2205" s="1348"/>
      <c r="J2205" s="1348"/>
      <c r="K2205" s="1348"/>
    </row>
    <row r="2206" spans="2:11" hidden="1">
      <c r="B2206" s="1348"/>
      <c r="C2206" s="1348"/>
      <c r="D2206" s="1348"/>
      <c r="E2206" s="1348"/>
      <c r="F2206" s="1348"/>
      <c r="G2206" s="1348"/>
      <c r="H2206" s="1348"/>
      <c r="I2206" s="1348"/>
      <c r="J2206" s="1348"/>
      <c r="K2206" s="1348"/>
    </row>
    <row r="2207" spans="2:11" hidden="1">
      <c r="B2207" s="1348"/>
      <c r="C2207" s="1348"/>
      <c r="D2207" s="1348"/>
      <c r="E2207" s="1348"/>
      <c r="F2207" s="1348"/>
      <c r="G2207" s="1348"/>
      <c r="H2207" s="1348"/>
      <c r="I2207" s="1348"/>
      <c r="J2207" s="1348"/>
      <c r="K2207" s="1348"/>
    </row>
    <row r="2208" spans="2:11" hidden="1">
      <c r="B2208" s="1348"/>
      <c r="C2208" s="1348"/>
      <c r="D2208" s="1348"/>
      <c r="E2208" s="1348"/>
      <c r="F2208" s="1348"/>
      <c r="G2208" s="1348"/>
      <c r="H2208" s="1348"/>
      <c r="I2208" s="1348"/>
      <c r="J2208" s="1348"/>
      <c r="K2208" s="1348"/>
    </row>
    <row r="2209" spans="2:11" hidden="1">
      <c r="B2209" s="1348"/>
      <c r="C2209" s="1348"/>
      <c r="D2209" s="1348"/>
      <c r="E2209" s="1348"/>
      <c r="F2209" s="1348"/>
      <c r="G2209" s="1348"/>
      <c r="H2209" s="1348"/>
      <c r="I2209" s="1348"/>
      <c r="J2209" s="1348"/>
      <c r="K2209" s="1348"/>
    </row>
    <row r="2210" spans="2:11" hidden="1">
      <c r="B2210" s="1348"/>
      <c r="C2210" s="1348"/>
      <c r="D2210" s="1348"/>
      <c r="E2210" s="1348"/>
      <c r="F2210" s="1348"/>
      <c r="G2210" s="1348"/>
      <c r="H2210" s="1348"/>
      <c r="I2210" s="1348"/>
      <c r="J2210" s="1348"/>
      <c r="K2210" s="1348"/>
    </row>
    <row r="2211" spans="2:11" hidden="1">
      <c r="B2211" s="1348"/>
      <c r="C2211" s="1348"/>
      <c r="D2211" s="1348"/>
      <c r="E2211" s="1348"/>
      <c r="F2211" s="1348"/>
      <c r="G2211" s="1348"/>
      <c r="H2211" s="1348"/>
      <c r="I2211" s="1348"/>
      <c r="J2211" s="1348"/>
      <c r="K2211" s="1348"/>
    </row>
    <row r="2212" spans="2:11" hidden="1">
      <c r="B2212" s="1348"/>
      <c r="C2212" s="1348"/>
      <c r="D2212" s="1348"/>
      <c r="E2212" s="1348"/>
      <c r="F2212" s="1348"/>
      <c r="G2212" s="1348"/>
      <c r="H2212" s="1348"/>
      <c r="I2212" s="1348"/>
      <c r="J2212" s="1348"/>
      <c r="K2212" s="1348"/>
    </row>
    <row r="2213" spans="2:11" hidden="1">
      <c r="B2213" s="1348"/>
      <c r="C2213" s="1348"/>
      <c r="D2213" s="1348"/>
      <c r="E2213" s="1348"/>
      <c r="F2213" s="1348"/>
      <c r="G2213" s="1348"/>
      <c r="H2213" s="1348"/>
      <c r="I2213" s="1348"/>
      <c r="J2213" s="1348"/>
      <c r="K2213" s="1348"/>
    </row>
    <row r="2214" spans="2:11" hidden="1">
      <c r="B2214" s="1348"/>
      <c r="C2214" s="1348"/>
      <c r="D2214" s="1348"/>
      <c r="E2214" s="1348"/>
      <c r="F2214" s="1348"/>
      <c r="G2214" s="1348"/>
      <c r="H2214" s="1348"/>
      <c r="I2214" s="1348"/>
      <c r="J2214" s="1348"/>
      <c r="K2214" s="1348"/>
    </row>
    <row r="2215" spans="2:11" hidden="1">
      <c r="B2215" s="1348"/>
      <c r="C2215" s="1348"/>
      <c r="D2215" s="1348"/>
      <c r="E2215" s="1348"/>
      <c r="F2215" s="1348"/>
      <c r="G2215" s="1348"/>
      <c r="H2215" s="1348"/>
      <c r="I2215" s="1348"/>
      <c r="J2215" s="1348"/>
      <c r="K2215" s="1348"/>
    </row>
    <row r="2216" spans="2:11" hidden="1">
      <c r="B2216" s="1348"/>
      <c r="C2216" s="1348"/>
      <c r="D2216" s="1348"/>
      <c r="E2216" s="1348"/>
      <c r="F2216" s="1348"/>
      <c r="G2216" s="1348"/>
      <c r="H2216" s="1348"/>
      <c r="I2216" s="1348"/>
      <c r="J2216" s="1348"/>
      <c r="K2216" s="1348"/>
    </row>
    <row r="2217" spans="2:11" hidden="1">
      <c r="B2217" s="1348"/>
      <c r="C2217" s="1348"/>
      <c r="D2217" s="1348"/>
      <c r="E2217" s="1348"/>
      <c r="F2217" s="1348"/>
      <c r="G2217" s="1348"/>
      <c r="H2217" s="1348"/>
      <c r="I2217" s="1348"/>
      <c r="J2217" s="1348"/>
      <c r="K2217" s="1348"/>
    </row>
    <row r="2218" spans="2:11" hidden="1">
      <c r="B2218" s="1348"/>
      <c r="C2218" s="1348"/>
      <c r="D2218" s="1348"/>
      <c r="E2218" s="1348"/>
      <c r="F2218" s="1348"/>
      <c r="G2218" s="1348"/>
      <c r="H2218" s="1348"/>
      <c r="I2218" s="1348"/>
      <c r="J2218" s="1348"/>
      <c r="K2218" s="1348"/>
    </row>
    <row r="2219" spans="2:11" hidden="1">
      <c r="B2219" s="1348"/>
      <c r="C2219" s="1348"/>
      <c r="D2219" s="1348"/>
      <c r="E2219" s="1348"/>
      <c r="F2219" s="1348"/>
      <c r="G2219" s="1348"/>
      <c r="H2219" s="1348"/>
      <c r="I2219" s="1348"/>
      <c r="J2219" s="1348"/>
      <c r="K2219" s="1348"/>
    </row>
    <row r="2220" spans="2:11" hidden="1">
      <c r="B2220" s="1348"/>
      <c r="C2220" s="1348"/>
      <c r="D2220" s="1348"/>
      <c r="E2220" s="1348"/>
      <c r="F2220" s="1348"/>
      <c r="G2220" s="1348"/>
      <c r="H2220" s="1348"/>
      <c r="I2220" s="1348"/>
      <c r="J2220" s="1348"/>
      <c r="K2220" s="1348"/>
    </row>
    <row r="2221" spans="2:11" hidden="1">
      <c r="B2221" s="1348"/>
      <c r="C2221" s="1348"/>
      <c r="D2221" s="1348"/>
      <c r="E2221" s="1348"/>
      <c r="F2221" s="1348"/>
      <c r="G2221" s="1348"/>
      <c r="H2221" s="1348"/>
      <c r="I2221" s="1348"/>
      <c r="J2221" s="1348"/>
      <c r="K2221" s="1348"/>
    </row>
    <row r="2222" spans="2:11" hidden="1">
      <c r="B2222" s="1348"/>
      <c r="C2222" s="1348"/>
      <c r="D2222" s="1348"/>
      <c r="E2222" s="1348"/>
      <c r="F2222" s="1348"/>
      <c r="G2222" s="1348"/>
      <c r="H2222" s="1348"/>
      <c r="I2222" s="1348"/>
      <c r="J2222" s="1348"/>
      <c r="K2222" s="1348"/>
    </row>
    <row r="2223" spans="2:11" hidden="1">
      <c r="B2223" s="1348"/>
      <c r="C2223" s="1348"/>
      <c r="D2223" s="1348"/>
      <c r="E2223" s="1348"/>
      <c r="F2223" s="1348"/>
      <c r="G2223" s="1348"/>
      <c r="H2223" s="1348"/>
      <c r="I2223" s="1348"/>
      <c r="J2223" s="1348"/>
      <c r="K2223" s="1348"/>
    </row>
    <row r="2224" spans="2:11" hidden="1">
      <c r="B2224" s="1348"/>
      <c r="C2224" s="1348"/>
      <c r="D2224" s="1348"/>
      <c r="E2224" s="1348"/>
      <c r="F2224" s="1348"/>
      <c r="G2224" s="1348"/>
      <c r="H2224" s="1348"/>
      <c r="I2224" s="1348"/>
      <c r="J2224" s="1348"/>
      <c r="K2224" s="1348"/>
    </row>
    <row r="2225" spans="2:11" hidden="1">
      <c r="B2225" s="1348"/>
      <c r="C2225" s="1348"/>
      <c r="D2225" s="1348"/>
      <c r="E2225" s="1348"/>
      <c r="F2225" s="1348"/>
      <c r="G2225" s="1348"/>
      <c r="H2225" s="1348"/>
      <c r="I2225" s="1348"/>
      <c r="J2225" s="1348"/>
      <c r="K2225" s="1348"/>
    </row>
    <row r="2226" spans="2:11" hidden="1">
      <c r="B2226" s="1348"/>
      <c r="C2226" s="1348"/>
      <c r="D2226" s="1348"/>
      <c r="E2226" s="1348"/>
      <c r="F2226" s="1348"/>
      <c r="G2226" s="1348"/>
      <c r="H2226" s="1348"/>
      <c r="I2226" s="1348"/>
      <c r="J2226" s="1348"/>
      <c r="K2226" s="1348"/>
    </row>
    <row r="2227" spans="2:11" hidden="1">
      <c r="B2227" s="1348"/>
      <c r="C2227" s="1348"/>
      <c r="D2227" s="1348"/>
      <c r="E2227" s="1348"/>
      <c r="F2227" s="1348"/>
      <c r="G2227" s="1348"/>
      <c r="H2227" s="1348"/>
      <c r="I2227" s="1348"/>
      <c r="J2227" s="1348"/>
      <c r="K2227" s="1348"/>
    </row>
    <row r="2228" spans="2:11" hidden="1">
      <c r="B2228" s="1348"/>
      <c r="C2228" s="1348"/>
      <c r="D2228" s="1348"/>
      <c r="E2228" s="1348"/>
      <c r="F2228" s="1348"/>
      <c r="G2228" s="1348"/>
      <c r="H2228" s="1348"/>
      <c r="I2228" s="1348"/>
      <c r="J2228" s="1348"/>
      <c r="K2228" s="1348"/>
    </row>
    <row r="2229" spans="2:11" hidden="1">
      <c r="B2229" s="1348"/>
      <c r="C2229" s="1348"/>
      <c r="D2229" s="1348"/>
      <c r="E2229" s="1348"/>
      <c r="F2229" s="1348"/>
      <c r="G2229" s="1348"/>
      <c r="H2229" s="1348"/>
      <c r="I2229" s="1348"/>
      <c r="J2229" s="1348"/>
      <c r="K2229" s="1348"/>
    </row>
    <row r="2230" spans="2:11" hidden="1">
      <c r="B2230" s="1348"/>
      <c r="C2230" s="1348"/>
      <c r="D2230" s="1348"/>
      <c r="E2230" s="1348"/>
      <c r="F2230" s="1348"/>
      <c r="G2230" s="1348"/>
      <c r="H2230" s="1348"/>
      <c r="I2230" s="1348"/>
      <c r="J2230" s="1348"/>
      <c r="K2230" s="1348"/>
    </row>
    <row r="2231" spans="2:11" hidden="1">
      <c r="B2231" s="1348"/>
      <c r="C2231" s="1348"/>
      <c r="D2231" s="1348"/>
      <c r="E2231" s="1348"/>
      <c r="F2231" s="1348"/>
      <c r="G2231" s="1348"/>
      <c r="H2231" s="1348"/>
      <c r="I2231" s="1348"/>
      <c r="J2231" s="1348"/>
      <c r="K2231" s="1348"/>
    </row>
    <row r="2232" spans="2:11" hidden="1">
      <c r="B2232" s="1348"/>
      <c r="C2232" s="1348"/>
      <c r="D2232" s="1348"/>
      <c r="E2232" s="1348"/>
      <c r="F2232" s="1348"/>
      <c r="G2232" s="1348"/>
      <c r="H2232" s="1348"/>
      <c r="I2232" s="1348"/>
      <c r="J2232" s="1348"/>
      <c r="K2232" s="1348"/>
    </row>
    <row r="2233" spans="2:11" hidden="1">
      <c r="B2233" s="1348"/>
      <c r="C2233" s="1348"/>
      <c r="D2233" s="1348"/>
      <c r="E2233" s="1348"/>
      <c r="F2233" s="1348"/>
      <c r="G2233" s="1348"/>
      <c r="H2233" s="1348"/>
      <c r="I2233" s="1348"/>
      <c r="J2233" s="1348"/>
      <c r="K2233" s="1348"/>
    </row>
    <row r="2234" spans="2:11" hidden="1">
      <c r="B2234" s="1348"/>
      <c r="C2234" s="1348"/>
      <c r="D2234" s="1348"/>
      <c r="E2234" s="1348"/>
      <c r="F2234" s="1348"/>
      <c r="G2234" s="1348"/>
      <c r="H2234" s="1348"/>
      <c r="I2234" s="1348"/>
      <c r="J2234" s="1348"/>
      <c r="K2234" s="1348"/>
    </row>
    <row r="2235" spans="2:11" hidden="1">
      <c r="B2235" s="1348"/>
      <c r="C2235" s="1348"/>
      <c r="D2235" s="1348"/>
      <c r="E2235" s="1348"/>
      <c r="F2235" s="1348"/>
      <c r="G2235" s="1348"/>
      <c r="H2235" s="1348"/>
      <c r="I2235" s="1348"/>
      <c r="J2235" s="1348"/>
      <c r="K2235" s="1348"/>
    </row>
    <row r="2236" spans="2:11" hidden="1">
      <c r="B2236" s="1348"/>
      <c r="C2236" s="1348"/>
      <c r="D2236" s="1348"/>
      <c r="E2236" s="1348"/>
      <c r="F2236" s="1348"/>
      <c r="G2236" s="1348"/>
      <c r="H2236" s="1348"/>
      <c r="I2236" s="1348"/>
      <c r="J2236" s="1348"/>
      <c r="K2236" s="1348"/>
    </row>
    <row r="2237" spans="2:11" hidden="1">
      <c r="B2237" s="1348"/>
      <c r="C2237" s="1348"/>
      <c r="D2237" s="1348"/>
      <c r="E2237" s="1348"/>
      <c r="F2237" s="1348"/>
      <c r="G2237" s="1348"/>
      <c r="H2237" s="1348"/>
      <c r="I2237" s="1348"/>
      <c r="J2237" s="1348"/>
      <c r="K2237" s="1348"/>
    </row>
    <row r="2238" spans="2:11" hidden="1">
      <c r="B2238" s="1348"/>
      <c r="C2238" s="1348"/>
      <c r="D2238" s="1348"/>
      <c r="E2238" s="1348"/>
      <c r="F2238" s="1348"/>
      <c r="G2238" s="1348"/>
      <c r="H2238" s="1348"/>
      <c r="I2238" s="1348"/>
      <c r="J2238" s="1348"/>
      <c r="K2238" s="1348"/>
    </row>
    <row r="2239" spans="2:11" hidden="1">
      <c r="B2239" s="1348"/>
      <c r="C2239" s="1348"/>
      <c r="D2239" s="1348"/>
      <c r="E2239" s="1348"/>
      <c r="F2239" s="1348"/>
      <c r="G2239" s="1348"/>
      <c r="H2239" s="1348"/>
      <c r="I2239" s="1348"/>
      <c r="J2239" s="1348"/>
      <c r="K2239" s="1348"/>
    </row>
    <row r="2240" spans="2:11" hidden="1">
      <c r="B2240" s="1348"/>
      <c r="C2240" s="1348"/>
      <c r="D2240" s="1348"/>
      <c r="E2240" s="1348"/>
      <c r="F2240" s="1348"/>
      <c r="G2240" s="1348"/>
      <c r="H2240" s="1348"/>
      <c r="I2240" s="1348"/>
      <c r="J2240" s="1348"/>
      <c r="K2240" s="1348"/>
    </row>
    <row r="2241" spans="2:11" hidden="1">
      <c r="B2241" s="1348"/>
      <c r="C2241" s="1348"/>
      <c r="D2241" s="1348"/>
      <c r="E2241" s="1348"/>
      <c r="F2241" s="1348"/>
      <c r="G2241" s="1348"/>
      <c r="H2241" s="1348"/>
      <c r="I2241" s="1348"/>
      <c r="J2241" s="1348"/>
      <c r="K2241" s="1348"/>
    </row>
    <row r="2242" spans="2:11" hidden="1">
      <c r="B2242" s="1348"/>
      <c r="C2242" s="1348"/>
      <c r="D2242" s="1348"/>
      <c r="E2242" s="1348"/>
      <c r="F2242" s="1348"/>
      <c r="G2242" s="1348"/>
      <c r="H2242" s="1348"/>
      <c r="I2242" s="1348"/>
      <c r="J2242" s="1348"/>
      <c r="K2242" s="1348"/>
    </row>
    <row r="2243" spans="2:11" hidden="1">
      <c r="B2243" s="1348"/>
      <c r="C2243" s="1348"/>
      <c r="D2243" s="1348"/>
      <c r="E2243" s="1348"/>
      <c r="F2243" s="1348"/>
      <c r="G2243" s="1348"/>
      <c r="H2243" s="1348"/>
      <c r="I2243" s="1348"/>
      <c r="J2243" s="1348"/>
      <c r="K2243" s="1348"/>
    </row>
    <row r="2244" spans="2:11" hidden="1">
      <c r="B2244" s="1348"/>
      <c r="C2244" s="1348"/>
      <c r="D2244" s="1348"/>
      <c r="E2244" s="1348"/>
      <c r="F2244" s="1348"/>
      <c r="G2244" s="1348"/>
      <c r="H2244" s="1348"/>
      <c r="I2244" s="1348"/>
      <c r="J2244" s="1348"/>
      <c r="K2244" s="1348"/>
    </row>
    <row r="2245" spans="2:11" hidden="1">
      <c r="B2245" s="1348"/>
      <c r="C2245" s="1348"/>
      <c r="D2245" s="1348"/>
      <c r="E2245" s="1348"/>
      <c r="F2245" s="1348"/>
      <c r="G2245" s="1348"/>
      <c r="H2245" s="1348"/>
      <c r="I2245" s="1348"/>
      <c r="J2245" s="1348"/>
      <c r="K2245" s="1348"/>
    </row>
    <row r="2246" spans="2:11" hidden="1">
      <c r="B2246" s="1348"/>
      <c r="C2246" s="1348"/>
      <c r="D2246" s="1348"/>
      <c r="E2246" s="1348"/>
      <c r="F2246" s="1348"/>
      <c r="G2246" s="1348"/>
      <c r="H2246" s="1348"/>
      <c r="I2246" s="1348"/>
      <c r="J2246" s="1348"/>
      <c r="K2246" s="1348"/>
    </row>
    <row r="2247" spans="2:11" hidden="1">
      <c r="B2247" s="1348"/>
      <c r="C2247" s="1348"/>
      <c r="D2247" s="1348"/>
      <c r="E2247" s="1348"/>
      <c r="F2247" s="1348"/>
      <c r="G2247" s="1348"/>
      <c r="H2247" s="1348"/>
      <c r="I2247" s="1348"/>
      <c r="J2247" s="1348"/>
      <c r="K2247" s="1348"/>
    </row>
    <row r="2248" spans="2:11" hidden="1">
      <c r="B2248" s="1348"/>
      <c r="C2248" s="1348"/>
      <c r="D2248" s="1348"/>
      <c r="E2248" s="1348"/>
      <c r="F2248" s="1348"/>
      <c r="G2248" s="1348"/>
      <c r="H2248" s="1348"/>
      <c r="I2248" s="1348"/>
      <c r="J2248" s="1348"/>
      <c r="K2248" s="1348"/>
    </row>
    <row r="2249" spans="2:11" hidden="1">
      <c r="B2249" s="1348"/>
      <c r="C2249" s="1348"/>
      <c r="D2249" s="1348"/>
      <c r="E2249" s="1348"/>
      <c r="F2249" s="1348"/>
      <c r="G2249" s="1348"/>
      <c r="H2249" s="1348"/>
      <c r="I2249" s="1348"/>
      <c r="J2249" s="1348"/>
      <c r="K2249" s="1348"/>
    </row>
    <row r="2250" spans="2:11" hidden="1">
      <c r="B2250" s="1348"/>
      <c r="C2250" s="1348"/>
      <c r="D2250" s="1348"/>
      <c r="E2250" s="1348"/>
      <c r="F2250" s="1348"/>
      <c r="G2250" s="1348"/>
      <c r="H2250" s="1348"/>
      <c r="I2250" s="1348"/>
      <c r="J2250" s="1348"/>
      <c r="K2250" s="1348"/>
    </row>
    <row r="2251" spans="2:11" hidden="1">
      <c r="B2251" s="1348"/>
      <c r="C2251" s="1348"/>
      <c r="D2251" s="1348"/>
      <c r="E2251" s="1348"/>
      <c r="F2251" s="1348"/>
      <c r="G2251" s="1348"/>
      <c r="H2251" s="1348"/>
      <c r="I2251" s="1348"/>
      <c r="J2251" s="1348"/>
      <c r="K2251" s="1348"/>
    </row>
    <row r="2252" spans="2:11" hidden="1">
      <c r="B2252" s="1348"/>
      <c r="C2252" s="1348"/>
      <c r="D2252" s="1348"/>
      <c r="E2252" s="1348"/>
      <c r="F2252" s="1348"/>
      <c r="G2252" s="1348"/>
      <c r="H2252" s="1348"/>
      <c r="I2252" s="1348"/>
      <c r="J2252" s="1348"/>
      <c r="K2252" s="1348"/>
    </row>
    <row r="2253" spans="2:11" hidden="1">
      <c r="B2253" s="1348"/>
      <c r="C2253" s="1348"/>
      <c r="D2253" s="1348"/>
      <c r="E2253" s="1348"/>
      <c r="F2253" s="1348"/>
      <c r="G2253" s="1348"/>
      <c r="H2253" s="1348"/>
      <c r="I2253" s="1348"/>
      <c r="J2253" s="1348"/>
      <c r="K2253" s="1348"/>
    </row>
    <row r="2254" spans="2:11" hidden="1">
      <c r="B2254" s="1348"/>
      <c r="C2254" s="1348"/>
      <c r="D2254" s="1348"/>
      <c r="E2254" s="1348"/>
      <c r="F2254" s="1348"/>
      <c r="G2254" s="1348"/>
      <c r="H2254" s="1348"/>
      <c r="I2254" s="1348"/>
      <c r="J2254" s="1348"/>
      <c r="K2254" s="1348"/>
    </row>
    <row r="2255" spans="2:11" hidden="1">
      <c r="B2255" s="1348"/>
      <c r="C2255" s="1348"/>
      <c r="D2255" s="1348"/>
      <c r="E2255" s="1348"/>
      <c r="F2255" s="1348"/>
      <c r="G2255" s="1348"/>
      <c r="H2255" s="1348"/>
      <c r="I2255" s="1348"/>
      <c r="J2255" s="1348"/>
      <c r="K2255" s="1348"/>
    </row>
    <row r="2256" spans="2:11" hidden="1">
      <c r="B2256" s="1348"/>
      <c r="C2256" s="1348"/>
      <c r="D2256" s="1348"/>
      <c r="E2256" s="1348"/>
      <c r="F2256" s="1348"/>
      <c r="G2256" s="1348"/>
      <c r="H2256" s="1348"/>
      <c r="I2256" s="1348"/>
      <c r="J2256" s="1348"/>
      <c r="K2256" s="1348"/>
    </row>
    <row r="2257" spans="2:11" hidden="1">
      <c r="B2257" s="1348"/>
      <c r="C2257" s="1348"/>
      <c r="D2257" s="1348"/>
      <c r="E2257" s="1348"/>
      <c r="F2257" s="1348"/>
      <c r="G2257" s="1348"/>
      <c r="H2257" s="1348"/>
      <c r="I2257" s="1348"/>
      <c r="J2257" s="1348"/>
      <c r="K2257" s="1348"/>
    </row>
    <row r="2258" spans="2:11" hidden="1">
      <c r="B2258" s="1348"/>
      <c r="C2258" s="1348"/>
      <c r="D2258" s="1348"/>
      <c r="E2258" s="1348"/>
      <c r="F2258" s="1348"/>
      <c r="G2258" s="1348"/>
      <c r="H2258" s="1348"/>
      <c r="I2258" s="1348"/>
      <c r="J2258" s="1348"/>
      <c r="K2258" s="1348"/>
    </row>
    <row r="2259" spans="2:11" hidden="1">
      <c r="B2259" s="1348"/>
      <c r="C2259" s="1348"/>
      <c r="D2259" s="1348"/>
      <c r="E2259" s="1348"/>
      <c r="F2259" s="1348"/>
      <c r="G2259" s="1348"/>
      <c r="H2259" s="1348"/>
      <c r="I2259" s="1348"/>
      <c r="J2259" s="1348"/>
      <c r="K2259" s="1348"/>
    </row>
    <row r="2260" spans="2:11" hidden="1">
      <c r="B2260" s="1348"/>
      <c r="C2260" s="1348"/>
      <c r="D2260" s="1348"/>
      <c r="E2260" s="1348"/>
      <c r="F2260" s="1348"/>
      <c r="G2260" s="1348"/>
      <c r="H2260" s="1348"/>
      <c r="I2260" s="1348"/>
      <c r="J2260" s="1348"/>
      <c r="K2260" s="1348"/>
    </row>
    <row r="2261" spans="2:11" hidden="1">
      <c r="B2261" s="1348"/>
      <c r="C2261" s="1348"/>
      <c r="D2261" s="1348"/>
      <c r="E2261" s="1348"/>
      <c r="F2261" s="1348"/>
      <c r="G2261" s="1348"/>
      <c r="H2261" s="1348"/>
      <c r="I2261" s="1348"/>
      <c r="J2261" s="1348"/>
      <c r="K2261" s="1348"/>
    </row>
    <row r="2262" spans="2:11" hidden="1">
      <c r="B2262" s="1348"/>
      <c r="C2262" s="1348"/>
      <c r="D2262" s="1348"/>
      <c r="E2262" s="1348"/>
      <c r="F2262" s="1348"/>
      <c r="G2262" s="1348"/>
      <c r="H2262" s="1348"/>
      <c r="I2262" s="1348"/>
      <c r="J2262" s="1348"/>
      <c r="K2262" s="1348"/>
    </row>
    <row r="2263" spans="2:11" hidden="1">
      <c r="B2263" s="1348"/>
      <c r="C2263" s="1348"/>
      <c r="D2263" s="1348"/>
      <c r="E2263" s="1348"/>
      <c r="F2263" s="1348"/>
      <c r="G2263" s="1348"/>
      <c r="H2263" s="1348"/>
      <c r="I2263" s="1348"/>
      <c r="J2263" s="1348"/>
      <c r="K2263" s="1348"/>
    </row>
    <row r="2264" spans="2:11" hidden="1">
      <c r="B2264" s="1348"/>
      <c r="C2264" s="1348"/>
      <c r="D2264" s="1348"/>
      <c r="E2264" s="1348"/>
      <c r="F2264" s="1348"/>
      <c r="G2264" s="1348"/>
      <c r="H2264" s="1348"/>
      <c r="I2264" s="1348"/>
      <c r="J2264" s="1348"/>
      <c r="K2264" s="1348"/>
    </row>
    <row r="2265" spans="2:11" hidden="1">
      <c r="B2265" s="1348"/>
      <c r="C2265" s="1348"/>
      <c r="D2265" s="1348"/>
      <c r="E2265" s="1348"/>
      <c r="F2265" s="1348"/>
      <c r="G2265" s="1348"/>
      <c r="H2265" s="1348"/>
      <c r="I2265" s="1348"/>
      <c r="J2265" s="1348"/>
      <c r="K2265" s="1348"/>
    </row>
    <row r="2266" spans="2:11" hidden="1">
      <c r="B2266" s="1348"/>
      <c r="C2266" s="1348"/>
      <c r="D2266" s="1348"/>
      <c r="E2266" s="1348"/>
      <c r="F2266" s="1348"/>
      <c r="G2266" s="1348"/>
      <c r="H2266" s="1348"/>
      <c r="I2266" s="1348"/>
      <c r="J2266" s="1348"/>
      <c r="K2266" s="1348"/>
    </row>
    <row r="2267" spans="2:11" hidden="1">
      <c r="B2267" s="1348"/>
      <c r="C2267" s="1348"/>
      <c r="D2267" s="1348"/>
      <c r="E2267" s="1348"/>
      <c r="F2267" s="1348"/>
      <c r="G2267" s="1348"/>
      <c r="H2267" s="1348"/>
      <c r="I2267" s="1348"/>
      <c r="J2267" s="1348"/>
      <c r="K2267" s="1348"/>
    </row>
    <row r="2268" spans="2:11" hidden="1">
      <c r="B2268" s="1348"/>
      <c r="C2268" s="1348"/>
      <c r="D2268" s="1348"/>
      <c r="E2268" s="1348"/>
      <c r="F2268" s="1348"/>
      <c r="G2268" s="1348"/>
      <c r="H2268" s="1348"/>
      <c r="I2268" s="1348"/>
      <c r="J2268" s="1348"/>
      <c r="K2268" s="1348"/>
    </row>
    <row r="2269" spans="2:11" hidden="1">
      <c r="B2269" s="1348"/>
      <c r="C2269" s="1348"/>
      <c r="D2269" s="1348"/>
      <c r="E2269" s="1348"/>
      <c r="F2269" s="1348"/>
      <c r="G2269" s="1348"/>
      <c r="H2269" s="1348"/>
      <c r="I2269" s="1348"/>
      <c r="J2269" s="1348"/>
      <c r="K2269" s="1348"/>
    </row>
    <row r="2270" spans="2:11" hidden="1">
      <c r="B2270" s="1348"/>
      <c r="C2270" s="1348"/>
      <c r="D2270" s="1348"/>
      <c r="E2270" s="1348"/>
      <c r="F2270" s="1348"/>
      <c r="G2270" s="1348"/>
      <c r="H2270" s="1348"/>
      <c r="I2270" s="1348"/>
      <c r="J2270" s="1348"/>
      <c r="K2270" s="1348"/>
    </row>
    <row r="2271" spans="2:11" hidden="1">
      <c r="B2271" s="1348"/>
      <c r="C2271" s="1348"/>
      <c r="D2271" s="1348"/>
      <c r="E2271" s="1348"/>
      <c r="F2271" s="1348"/>
      <c r="G2271" s="1348"/>
      <c r="H2271" s="1348"/>
      <c r="I2271" s="1348"/>
      <c r="J2271" s="1348"/>
      <c r="K2271" s="1348"/>
    </row>
    <row r="2272" spans="2:11" hidden="1">
      <c r="B2272" s="1348"/>
      <c r="C2272" s="1348"/>
      <c r="D2272" s="1348"/>
      <c r="E2272" s="1348"/>
      <c r="F2272" s="1348"/>
      <c r="G2272" s="1348"/>
      <c r="H2272" s="1348"/>
      <c r="I2272" s="1348"/>
      <c r="J2272" s="1348"/>
      <c r="K2272" s="1348"/>
    </row>
    <row r="2273" spans="2:11" hidden="1">
      <c r="B2273" s="1348"/>
      <c r="C2273" s="1348"/>
      <c r="D2273" s="1348"/>
      <c r="E2273" s="1348"/>
      <c r="F2273" s="1348"/>
      <c r="G2273" s="1348"/>
      <c r="H2273" s="1348"/>
      <c r="I2273" s="1348"/>
      <c r="J2273" s="1348"/>
      <c r="K2273" s="1348"/>
    </row>
    <row r="2274" spans="2:11" hidden="1">
      <c r="B2274" s="1348"/>
      <c r="C2274" s="1348"/>
      <c r="D2274" s="1348"/>
      <c r="E2274" s="1348"/>
      <c r="F2274" s="1348"/>
      <c r="G2274" s="1348"/>
      <c r="H2274" s="1348"/>
      <c r="I2274" s="1348"/>
      <c r="J2274" s="1348"/>
      <c r="K2274" s="1348"/>
    </row>
    <row r="2275" spans="2:11" hidden="1">
      <c r="B2275" s="1348"/>
      <c r="C2275" s="1348"/>
      <c r="D2275" s="1348"/>
      <c r="E2275" s="1348"/>
      <c r="F2275" s="1348"/>
      <c r="G2275" s="1348"/>
      <c r="H2275" s="1348"/>
      <c r="I2275" s="1348"/>
      <c r="J2275" s="1348"/>
      <c r="K2275" s="1348"/>
    </row>
    <row r="2276" spans="2:11" hidden="1">
      <c r="B2276" s="1348"/>
      <c r="C2276" s="1348"/>
      <c r="D2276" s="1348"/>
      <c r="E2276" s="1348"/>
      <c r="F2276" s="1348"/>
      <c r="G2276" s="1348"/>
      <c r="H2276" s="1348"/>
      <c r="I2276" s="1348"/>
      <c r="J2276" s="1348"/>
      <c r="K2276" s="1348"/>
    </row>
    <row r="2277" spans="2:11" hidden="1">
      <c r="B2277" s="1348"/>
      <c r="C2277" s="1348"/>
      <c r="D2277" s="1348"/>
      <c r="E2277" s="1348"/>
      <c r="F2277" s="1348"/>
      <c r="G2277" s="1348"/>
      <c r="H2277" s="1348"/>
      <c r="I2277" s="1348"/>
      <c r="J2277" s="1348"/>
      <c r="K2277" s="1348"/>
    </row>
    <row r="2278" spans="2:11" hidden="1">
      <c r="B2278" s="1348"/>
      <c r="C2278" s="1348"/>
      <c r="D2278" s="1348"/>
      <c r="E2278" s="1348"/>
      <c r="F2278" s="1348"/>
      <c r="G2278" s="1348"/>
      <c r="H2278" s="1348"/>
      <c r="I2278" s="1348"/>
      <c r="J2278" s="1348"/>
      <c r="K2278" s="1348"/>
    </row>
    <row r="2279" spans="2:11" hidden="1">
      <c r="B2279" s="1348"/>
      <c r="C2279" s="1348"/>
      <c r="D2279" s="1348"/>
      <c r="E2279" s="1348"/>
      <c r="F2279" s="1348"/>
      <c r="G2279" s="1348"/>
      <c r="H2279" s="1348"/>
      <c r="I2279" s="1348"/>
      <c r="J2279" s="1348"/>
      <c r="K2279" s="1348"/>
    </row>
    <row r="2280" spans="2:11" hidden="1">
      <c r="B2280" s="1348"/>
      <c r="C2280" s="1348"/>
      <c r="D2280" s="1348"/>
      <c r="E2280" s="1348"/>
      <c r="F2280" s="1348"/>
      <c r="G2280" s="1348"/>
      <c r="H2280" s="1348"/>
      <c r="I2280" s="1348"/>
      <c r="J2280" s="1348"/>
      <c r="K2280" s="1348"/>
    </row>
    <row r="2281" spans="2:11" hidden="1">
      <c r="B2281" s="1348"/>
      <c r="C2281" s="1348"/>
      <c r="D2281" s="1348"/>
      <c r="E2281" s="1348"/>
      <c r="F2281" s="1348"/>
      <c r="G2281" s="1348"/>
      <c r="H2281" s="1348"/>
      <c r="I2281" s="1348"/>
      <c r="J2281" s="1348"/>
      <c r="K2281" s="1348"/>
    </row>
    <row r="2282" spans="2:11" hidden="1">
      <c r="B2282" s="1348"/>
      <c r="C2282" s="1348"/>
      <c r="D2282" s="1348"/>
      <c r="E2282" s="1348"/>
      <c r="F2282" s="1348"/>
      <c r="G2282" s="1348"/>
      <c r="H2282" s="1348"/>
      <c r="I2282" s="1348"/>
      <c r="J2282" s="1348"/>
      <c r="K2282" s="1348"/>
    </row>
    <row r="2283" spans="2:11" hidden="1">
      <c r="B2283" s="1348"/>
      <c r="C2283" s="1348"/>
      <c r="D2283" s="1348"/>
      <c r="E2283" s="1348"/>
      <c r="F2283" s="1348"/>
      <c r="G2283" s="1348"/>
      <c r="H2283" s="1348"/>
      <c r="I2283" s="1348"/>
      <c r="J2283" s="1348"/>
      <c r="K2283" s="1348"/>
    </row>
    <row r="2284" spans="2:11" hidden="1">
      <c r="B2284" s="1348"/>
      <c r="C2284" s="1348"/>
      <c r="D2284" s="1348"/>
      <c r="E2284" s="1348"/>
      <c r="F2284" s="1348"/>
      <c r="G2284" s="1348"/>
      <c r="H2284" s="1348"/>
      <c r="I2284" s="1348"/>
      <c r="J2284" s="1348"/>
      <c r="K2284" s="1348"/>
    </row>
    <row r="2285" spans="2:11" hidden="1">
      <c r="B2285" s="1348"/>
      <c r="C2285" s="1348"/>
      <c r="D2285" s="1348"/>
      <c r="E2285" s="1348"/>
      <c r="F2285" s="1348"/>
      <c r="G2285" s="1348"/>
      <c r="H2285" s="1348"/>
      <c r="I2285" s="1348"/>
      <c r="J2285" s="1348"/>
      <c r="K2285" s="1348"/>
    </row>
    <row r="2286" spans="2:11" hidden="1">
      <c r="B2286" s="1348"/>
      <c r="C2286" s="1348"/>
      <c r="D2286" s="1348"/>
      <c r="E2286" s="1348"/>
      <c r="F2286" s="1348"/>
      <c r="G2286" s="1348"/>
      <c r="H2286" s="1348"/>
      <c r="I2286" s="1348"/>
      <c r="J2286" s="1348"/>
      <c r="K2286" s="1348"/>
    </row>
    <row r="2287" spans="2:11" hidden="1">
      <c r="B2287" s="1348"/>
      <c r="C2287" s="1348"/>
      <c r="D2287" s="1348"/>
      <c r="E2287" s="1348"/>
      <c r="F2287" s="1348"/>
      <c r="G2287" s="1348"/>
      <c r="H2287" s="1348"/>
      <c r="I2287" s="1348"/>
      <c r="J2287" s="1348"/>
      <c r="K2287" s="1348"/>
    </row>
    <row r="2288" spans="2:11" hidden="1">
      <c r="B2288" s="1348"/>
      <c r="C2288" s="1348"/>
      <c r="D2288" s="1348"/>
      <c r="E2288" s="1348"/>
      <c r="F2288" s="1348"/>
      <c r="G2288" s="1348"/>
      <c r="H2288" s="1348"/>
      <c r="I2288" s="1348"/>
      <c r="J2288" s="1348"/>
      <c r="K2288" s="1348"/>
    </row>
    <row r="2289" spans="2:11" hidden="1">
      <c r="B2289" s="1348"/>
      <c r="C2289" s="1348"/>
      <c r="D2289" s="1348"/>
      <c r="E2289" s="1348"/>
      <c r="F2289" s="1348"/>
      <c r="G2289" s="1348"/>
      <c r="H2289" s="1348"/>
      <c r="I2289" s="1348"/>
      <c r="J2289" s="1348"/>
      <c r="K2289" s="1348"/>
    </row>
    <row r="2290" spans="2:11" hidden="1">
      <c r="B2290" s="1348"/>
      <c r="C2290" s="1348"/>
      <c r="D2290" s="1348"/>
      <c r="E2290" s="1348"/>
      <c r="F2290" s="1348"/>
      <c r="G2290" s="1348"/>
      <c r="H2290" s="1348"/>
      <c r="I2290" s="1348"/>
      <c r="J2290" s="1348"/>
      <c r="K2290" s="1348"/>
    </row>
    <row r="2291" spans="2:11" hidden="1">
      <c r="B2291" s="1348"/>
      <c r="C2291" s="1348"/>
      <c r="D2291" s="1348"/>
      <c r="E2291" s="1348"/>
      <c r="F2291" s="1348"/>
      <c r="G2291" s="1348"/>
      <c r="H2291" s="1348"/>
      <c r="I2291" s="1348"/>
      <c r="J2291" s="1348"/>
      <c r="K2291" s="1348"/>
    </row>
    <row r="2292" spans="2:11" hidden="1">
      <c r="B2292" s="1348"/>
      <c r="C2292" s="1348"/>
      <c r="D2292" s="1348"/>
      <c r="E2292" s="1348"/>
      <c r="F2292" s="1348"/>
      <c r="G2292" s="1348"/>
      <c r="H2292" s="1348"/>
      <c r="I2292" s="1348"/>
      <c r="J2292" s="1348"/>
      <c r="K2292" s="1348"/>
    </row>
    <row r="2293" spans="2:11" hidden="1">
      <c r="B2293" s="1348"/>
      <c r="C2293" s="1348"/>
      <c r="D2293" s="1348"/>
      <c r="E2293" s="1348"/>
      <c r="F2293" s="1348"/>
      <c r="G2293" s="1348"/>
      <c r="H2293" s="1348"/>
      <c r="I2293" s="1348"/>
      <c r="J2293" s="1348"/>
      <c r="K2293" s="1348"/>
    </row>
    <row r="2294" spans="2:11" hidden="1">
      <c r="B2294" s="1348"/>
      <c r="C2294" s="1348"/>
      <c r="D2294" s="1348"/>
      <c r="E2294" s="1348"/>
      <c r="F2294" s="1348"/>
      <c r="G2294" s="1348"/>
      <c r="H2294" s="1348"/>
      <c r="I2294" s="1348"/>
      <c r="J2294" s="1348"/>
      <c r="K2294" s="1348"/>
    </row>
    <row r="2295" spans="2:11" hidden="1">
      <c r="B2295" s="1348"/>
      <c r="C2295" s="1348"/>
      <c r="D2295" s="1348"/>
      <c r="E2295" s="1348"/>
      <c r="F2295" s="1348"/>
      <c r="G2295" s="1348"/>
      <c r="H2295" s="1348"/>
      <c r="I2295" s="1348"/>
      <c r="J2295" s="1348"/>
      <c r="K2295" s="1348"/>
    </row>
    <row r="2296" spans="2:11" hidden="1">
      <c r="B2296" s="1348"/>
      <c r="C2296" s="1348"/>
      <c r="D2296" s="1348"/>
      <c r="E2296" s="1348"/>
      <c r="F2296" s="1348"/>
      <c r="G2296" s="1348"/>
      <c r="H2296" s="1348"/>
      <c r="I2296" s="1348"/>
      <c r="J2296" s="1348"/>
      <c r="K2296" s="1348"/>
    </row>
    <row r="2297" spans="2:11" hidden="1">
      <c r="B2297" s="1348"/>
      <c r="C2297" s="1348"/>
      <c r="D2297" s="1348"/>
      <c r="E2297" s="1348"/>
      <c r="F2297" s="1348"/>
      <c r="G2297" s="1348"/>
      <c r="H2297" s="1348"/>
      <c r="I2297" s="1348"/>
      <c r="J2297" s="1348"/>
      <c r="K2297" s="1348"/>
    </row>
    <row r="2298" spans="2:11" hidden="1">
      <c r="B2298" s="1348"/>
      <c r="C2298" s="1348"/>
      <c r="D2298" s="1348"/>
      <c r="E2298" s="1348"/>
      <c r="F2298" s="1348"/>
      <c r="G2298" s="1348"/>
      <c r="H2298" s="1348"/>
      <c r="I2298" s="1348"/>
      <c r="J2298" s="1348"/>
      <c r="K2298" s="1348"/>
    </row>
    <row r="2299" spans="2:11" hidden="1">
      <c r="B2299" s="1348"/>
      <c r="C2299" s="1348"/>
      <c r="D2299" s="1348"/>
      <c r="E2299" s="1348"/>
      <c r="F2299" s="1348"/>
      <c r="G2299" s="1348"/>
      <c r="H2299" s="1348"/>
      <c r="I2299" s="1348"/>
      <c r="J2299" s="1348"/>
      <c r="K2299" s="1348"/>
    </row>
    <row r="2300" spans="2:11" hidden="1">
      <c r="B2300" s="1348"/>
      <c r="C2300" s="1348"/>
      <c r="D2300" s="1348"/>
      <c r="E2300" s="1348"/>
      <c r="F2300" s="1348"/>
      <c r="G2300" s="1348"/>
      <c r="H2300" s="1348"/>
      <c r="I2300" s="1348"/>
      <c r="J2300" s="1348"/>
      <c r="K2300" s="1348"/>
    </row>
    <row r="2301" spans="2:11" hidden="1">
      <c r="B2301" s="1348"/>
      <c r="C2301" s="1348"/>
      <c r="D2301" s="1348"/>
      <c r="E2301" s="1348"/>
      <c r="F2301" s="1348"/>
      <c r="G2301" s="1348"/>
      <c r="H2301" s="1348"/>
      <c r="I2301" s="1348"/>
      <c r="J2301" s="1348"/>
      <c r="K2301" s="1348"/>
    </row>
    <row r="2302" spans="2:11" hidden="1">
      <c r="B2302" s="1348"/>
      <c r="C2302" s="1348"/>
      <c r="D2302" s="1348"/>
      <c r="E2302" s="1348"/>
      <c r="F2302" s="1348"/>
      <c r="G2302" s="1348"/>
      <c r="H2302" s="1348"/>
      <c r="I2302" s="1348"/>
      <c r="J2302" s="1348"/>
      <c r="K2302" s="1348"/>
    </row>
    <row r="2303" spans="2:11" hidden="1">
      <c r="B2303" s="1348"/>
      <c r="C2303" s="1348"/>
      <c r="D2303" s="1348"/>
      <c r="E2303" s="1348"/>
      <c r="F2303" s="1348"/>
      <c r="G2303" s="1348"/>
      <c r="H2303" s="1348"/>
      <c r="I2303" s="1348"/>
      <c r="J2303" s="1348"/>
      <c r="K2303" s="1348"/>
    </row>
    <row r="2304" spans="2:11" hidden="1">
      <c r="B2304" s="1348"/>
      <c r="C2304" s="1348"/>
      <c r="D2304" s="1348"/>
      <c r="E2304" s="1348"/>
      <c r="F2304" s="1348"/>
      <c r="G2304" s="1348"/>
      <c r="H2304" s="1348"/>
      <c r="I2304" s="1348"/>
      <c r="J2304" s="1348"/>
      <c r="K2304" s="1348"/>
    </row>
    <row r="2305" spans="2:11" hidden="1">
      <c r="B2305" s="1348"/>
      <c r="C2305" s="1348"/>
      <c r="D2305" s="1348"/>
      <c r="E2305" s="1348"/>
      <c r="F2305" s="1348"/>
      <c r="G2305" s="1348"/>
      <c r="H2305" s="1348"/>
      <c r="I2305" s="1348"/>
      <c r="J2305" s="1348"/>
      <c r="K2305" s="1348"/>
    </row>
    <row r="2306" spans="2:11" hidden="1">
      <c r="B2306" s="1348"/>
      <c r="C2306" s="1348"/>
      <c r="D2306" s="1348"/>
      <c r="E2306" s="1348"/>
      <c r="F2306" s="1348"/>
      <c r="G2306" s="1348"/>
      <c r="H2306" s="1348"/>
      <c r="I2306" s="1348"/>
      <c r="J2306" s="1348"/>
      <c r="K2306" s="1348"/>
    </row>
    <row r="2307" spans="2:11" hidden="1">
      <c r="B2307" s="1348"/>
      <c r="C2307" s="1348"/>
      <c r="D2307" s="1348"/>
      <c r="E2307" s="1348"/>
      <c r="F2307" s="1348"/>
      <c r="G2307" s="1348"/>
      <c r="H2307" s="1348"/>
      <c r="I2307" s="1348"/>
      <c r="J2307" s="1348"/>
      <c r="K2307" s="1348"/>
    </row>
    <row r="2308" spans="2:11" hidden="1">
      <c r="B2308" s="1348"/>
      <c r="C2308" s="1348"/>
      <c r="D2308" s="1348"/>
      <c r="E2308" s="1348"/>
      <c r="F2308" s="1348"/>
      <c r="G2308" s="1348"/>
      <c r="H2308" s="1348"/>
      <c r="I2308" s="1348"/>
      <c r="J2308" s="1348"/>
      <c r="K2308" s="1348"/>
    </row>
    <row r="2309" spans="2:11" hidden="1">
      <c r="B2309" s="1348"/>
      <c r="C2309" s="1348"/>
      <c r="D2309" s="1348"/>
      <c r="E2309" s="1348"/>
      <c r="F2309" s="1348"/>
      <c r="G2309" s="1348"/>
      <c r="H2309" s="1348"/>
      <c r="I2309" s="1348"/>
      <c r="J2309" s="1348"/>
      <c r="K2309" s="1348"/>
    </row>
    <row r="2310" spans="2:11" hidden="1">
      <c r="B2310" s="1348"/>
      <c r="C2310" s="1348"/>
      <c r="D2310" s="1348"/>
      <c r="E2310" s="1348"/>
      <c r="F2310" s="1348"/>
      <c r="G2310" s="1348"/>
      <c r="H2310" s="1348"/>
      <c r="I2310" s="1348"/>
      <c r="J2310" s="1348"/>
      <c r="K2310" s="1348"/>
    </row>
    <row r="2311" spans="2:11" hidden="1">
      <c r="B2311" s="1348"/>
      <c r="C2311" s="1348"/>
      <c r="D2311" s="1348"/>
      <c r="E2311" s="1348"/>
      <c r="F2311" s="1348"/>
      <c r="G2311" s="1348"/>
      <c r="H2311" s="1348"/>
      <c r="I2311" s="1348"/>
      <c r="J2311" s="1348"/>
      <c r="K2311" s="1348"/>
    </row>
    <row r="2312" spans="2:11" hidden="1">
      <c r="B2312" s="1348"/>
      <c r="C2312" s="1348"/>
      <c r="D2312" s="1348"/>
      <c r="E2312" s="1348"/>
      <c r="F2312" s="1348"/>
      <c r="G2312" s="1348"/>
      <c r="H2312" s="1348"/>
      <c r="I2312" s="1348"/>
      <c r="J2312" s="1348"/>
      <c r="K2312" s="1348"/>
    </row>
    <row r="2313" spans="2:11" hidden="1">
      <c r="B2313" s="1348"/>
      <c r="C2313" s="1348"/>
      <c r="D2313" s="1348"/>
      <c r="E2313" s="1348"/>
      <c r="F2313" s="1348"/>
      <c r="G2313" s="1348"/>
      <c r="H2313" s="1348"/>
      <c r="I2313" s="1348"/>
      <c r="J2313" s="1348"/>
      <c r="K2313" s="1348"/>
    </row>
    <row r="2314" spans="2:11" hidden="1">
      <c r="B2314" s="1348"/>
      <c r="C2314" s="1348"/>
      <c r="D2314" s="1348"/>
      <c r="E2314" s="1348"/>
      <c r="F2314" s="1348"/>
      <c r="G2314" s="1348"/>
      <c r="H2314" s="1348"/>
      <c r="I2314" s="1348"/>
      <c r="J2314" s="1348"/>
      <c r="K2314" s="1348"/>
    </row>
    <row r="2315" spans="2:11" hidden="1">
      <c r="B2315" s="1348"/>
      <c r="C2315" s="1348"/>
      <c r="D2315" s="1348"/>
      <c r="E2315" s="1348"/>
      <c r="F2315" s="1348"/>
      <c r="G2315" s="1348"/>
      <c r="H2315" s="1348"/>
      <c r="I2315" s="1348"/>
      <c r="J2315" s="1348"/>
      <c r="K2315" s="1348"/>
    </row>
    <row r="2316" spans="2:11" hidden="1">
      <c r="B2316" s="1348"/>
      <c r="C2316" s="1348"/>
      <c r="D2316" s="1348"/>
      <c r="E2316" s="1348"/>
      <c r="F2316" s="1348"/>
      <c r="G2316" s="1348"/>
      <c r="H2316" s="1348"/>
      <c r="I2316" s="1348"/>
      <c r="J2316" s="1348"/>
      <c r="K2316" s="1348"/>
    </row>
    <row r="2317" spans="2:11" hidden="1">
      <c r="B2317" s="1348"/>
      <c r="C2317" s="1348"/>
      <c r="D2317" s="1348"/>
      <c r="E2317" s="1348"/>
      <c r="F2317" s="1348"/>
      <c r="G2317" s="1348"/>
      <c r="H2317" s="1348"/>
      <c r="I2317" s="1348"/>
      <c r="J2317" s="1348"/>
      <c r="K2317" s="1348"/>
    </row>
    <row r="2318" spans="2:11" hidden="1">
      <c r="B2318" s="1348"/>
      <c r="C2318" s="1348"/>
      <c r="D2318" s="1348"/>
      <c r="E2318" s="1348"/>
      <c r="F2318" s="1348"/>
      <c r="G2318" s="1348"/>
      <c r="H2318" s="1348"/>
      <c r="I2318" s="1348"/>
      <c r="J2318" s="1348"/>
      <c r="K2318" s="1348"/>
    </row>
    <row r="2319" spans="2:11" hidden="1">
      <c r="B2319" s="1348"/>
      <c r="C2319" s="1348"/>
      <c r="D2319" s="1348"/>
      <c r="E2319" s="1348"/>
      <c r="F2319" s="1348"/>
      <c r="G2319" s="1348"/>
      <c r="H2319" s="1348"/>
      <c r="I2319" s="1348"/>
      <c r="J2319" s="1348"/>
      <c r="K2319" s="1348"/>
    </row>
    <row r="2320" spans="2:11" hidden="1">
      <c r="B2320" s="1348"/>
      <c r="C2320" s="1348"/>
      <c r="D2320" s="1348"/>
      <c r="E2320" s="1348"/>
      <c r="F2320" s="1348"/>
      <c r="G2320" s="1348"/>
      <c r="H2320" s="1348"/>
      <c r="I2320" s="1348"/>
      <c r="J2320" s="1348"/>
      <c r="K2320" s="1348"/>
    </row>
    <row r="2321" spans="2:11" hidden="1">
      <c r="B2321" s="1348"/>
      <c r="C2321" s="1348"/>
      <c r="D2321" s="1348"/>
      <c r="E2321" s="1348"/>
      <c r="F2321" s="1348"/>
      <c r="G2321" s="1348"/>
      <c r="H2321" s="1348"/>
      <c r="I2321" s="1348"/>
      <c r="J2321" s="1348"/>
      <c r="K2321" s="1348"/>
    </row>
    <row r="2322" spans="2:11" hidden="1">
      <c r="B2322" s="1348"/>
      <c r="C2322" s="1348"/>
      <c r="D2322" s="1348"/>
      <c r="E2322" s="1348"/>
      <c r="F2322" s="1348"/>
      <c r="G2322" s="1348"/>
      <c r="H2322" s="1348"/>
      <c r="I2322" s="1348"/>
      <c r="J2322" s="1348"/>
      <c r="K2322" s="1348"/>
    </row>
    <row r="2323" spans="2:11" hidden="1">
      <c r="B2323" s="1348"/>
      <c r="C2323" s="1348"/>
      <c r="D2323" s="1348"/>
      <c r="E2323" s="1348"/>
      <c r="F2323" s="1348"/>
      <c r="G2323" s="1348"/>
      <c r="H2323" s="1348"/>
      <c r="I2323" s="1348"/>
      <c r="J2323" s="1348"/>
      <c r="K2323" s="1348"/>
    </row>
    <row r="2324" spans="2:11" hidden="1">
      <c r="B2324" s="1348"/>
      <c r="C2324" s="1348"/>
      <c r="D2324" s="1348"/>
      <c r="E2324" s="1348"/>
      <c r="F2324" s="1348"/>
      <c r="G2324" s="1348"/>
      <c r="H2324" s="1348"/>
      <c r="I2324" s="1348"/>
      <c r="J2324" s="1348"/>
      <c r="K2324" s="1348"/>
    </row>
    <row r="2325" spans="2:11" hidden="1">
      <c r="B2325" s="1348"/>
      <c r="C2325" s="1348"/>
      <c r="D2325" s="1348"/>
      <c r="E2325" s="1348"/>
      <c r="F2325" s="1348"/>
      <c r="G2325" s="1348"/>
      <c r="H2325" s="1348"/>
      <c r="I2325" s="1348"/>
      <c r="J2325" s="1348"/>
      <c r="K2325" s="1348"/>
    </row>
    <row r="2326" spans="2:11" hidden="1">
      <c r="B2326" s="1348"/>
      <c r="C2326" s="1348"/>
      <c r="D2326" s="1348"/>
      <c r="E2326" s="1348"/>
      <c r="F2326" s="1348"/>
      <c r="G2326" s="1348"/>
      <c r="H2326" s="1348"/>
      <c r="I2326" s="1348"/>
      <c r="J2326" s="1348"/>
      <c r="K2326" s="1348"/>
    </row>
    <row r="2327" spans="2:11" hidden="1">
      <c r="B2327" s="1348"/>
      <c r="C2327" s="1348"/>
      <c r="D2327" s="1348"/>
      <c r="E2327" s="1348"/>
      <c r="F2327" s="1348"/>
      <c r="G2327" s="1348"/>
      <c r="H2327" s="1348"/>
      <c r="I2327" s="1348"/>
      <c r="J2327" s="1348"/>
      <c r="K2327" s="1348"/>
    </row>
    <row r="2328" spans="2:11" hidden="1">
      <c r="B2328" s="1348"/>
      <c r="C2328" s="1348"/>
      <c r="D2328" s="1348"/>
      <c r="E2328" s="1348"/>
      <c r="F2328" s="1348"/>
      <c r="G2328" s="1348"/>
      <c r="H2328" s="1348"/>
      <c r="I2328" s="1348"/>
      <c r="J2328" s="1348"/>
      <c r="K2328" s="1348"/>
    </row>
    <row r="2329" spans="2:11" hidden="1">
      <c r="B2329" s="1348"/>
      <c r="C2329" s="1348"/>
      <c r="D2329" s="1348"/>
      <c r="E2329" s="1348"/>
      <c r="F2329" s="1348"/>
      <c r="G2329" s="1348"/>
      <c r="H2329" s="1348"/>
      <c r="I2329" s="1348"/>
      <c r="J2329" s="1348"/>
      <c r="K2329" s="1348"/>
    </row>
    <row r="2330" spans="2:11" hidden="1">
      <c r="B2330" s="1348"/>
      <c r="C2330" s="1348"/>
      <c r="D2330" s="1348"/>
      <c r="E2330" s="1348"/>
      <c r="F2330" s="1348"/>
      <c r="G2330" s="1348"/>
      <c r="H2330" s="1348"/>
      <c r="I2330" s="1348"/>
      <c r="J2330" s="1348"/>
      <c r="K2330" s="1348"/>
    </row>
    <row r="2331" spans="2:11" hidden="1">
      <c r="B2331" s="1348"/>
      <c r="C2331" s="1348"/>
      <c r="D2331" s="1348"/>
      <c r="E2331" s="1348"/>
      <c r="F2331" s="1348"/>
      <c r="G2331" s="1348"/>
      <c r="H2331" s="1348"/>
      <c r="I2331" s="1348"/>
      <c r="J2331" s="1348"/>
      <c r="K2331" s="1348"/>
    </row>
    <row r="2332" spans="2:11" hidden="1">
      <c r="B2332" s="1348"/>
      <c r="C2332" s="1348"/>
      <c r="D2332" s="1348"/>
      <c r="E2332" s="1348"/>
      <c r="F2332" s="1348"/>
      <c r="G2332" s="1348"/>
      <c r="H2332" s="1348"/>
      <c r="I2332" s="1348"/>
      <c r="J2332" s="1348"/>
      <c r="K2332" s="1348"/>
    </row>
    <row r="2333" spans="2:11" hidden="1">
      <c r="B2333" s="1348"/>
      <c r="C2333" s="1348"/>
      <c r="D2333" s="1348"/>
      <c r="E2333" s="1348"/>
      <c r="F2333" s="1348"/>
      <c r="G2333" s="1348"/>
      <c r="H2333" s="1348"/>
      <c r="I2333" s="1348"/>
      <c r="J2333" s="1348"/>
      <c r="K2333" s="1348"/>
    </row>
    <row r="2334" spans="2:11" hidden="1">
      <c r="B2334" s="1348"/>
      <c r="C2334" s="1348"/>
      <c r="D2334" s="1348"/>
      <c r="E2334" s="1348"/>
      <c r="F2334" s="1348"/>
      <c r="G2334" s="1348"/>
      <c r="H2334" s="1348"/>
      <c r="I2334" s="1348"/>
      <c r="J2334" s="1348"/>
      <c r="K2334" s="1348"/>
    </row>
    <row r="2335" spans="2:11" hidden="1">
      <c r="B2335" s="1348"/>
      <c r="C2335" s="1348"/>
      <c r="D2335" s="1348"/>
      <c r="E2335" s="1348"/>
      <c r="F2335" s="1348"/>
      <c r="G2335" s="1348"/>
      <c r="H2335" s="1348"/>
      <c r="I2335" s="1348"/>
      <c r="J2335" s="1348"/>
      <c r="K2335" s="1348"/>
    </row>
    <row r="2336" spans="2:11" hidden="1">
      <c r="B2336" s="1348"/>
      <c r="C2336" s="1348"/>
      <c r="D2336" s="1348"/>
      <c r="E2336" s="1348"/>
      <c r="F2336" s="1348"/>
      <c r="G2336" s="1348"/>
      <c r="H2336" s="1348"/>
      <c r="I2336" s="1348"/>
      <c r="J2336" s="1348"/>
      <c r="K2336" s="1348"/>
    </row>
    <row r="2337" spans="2:11" hidden="1">
      <c r="B2337" s="1348"/>
      <c r="C2337" s="1348"/>
      <c r="D2337" s="1348"/>
      <c r="E2337" s="1348"/>
      <c r="F2337" s="1348"/>
      <c r="G2337" s="1348"/>
      <c r="H2337" s="1348"/>
      <c r="I2337" s="1348"/>
      <c r="J2337" s="1348"/>
      <c r="K2337" s="1348"/>
    </row>
    <row r="2338" spans="2:11" hidden="1">
      <c r="B2338" s="1348"/>
      <c r="C2338" s="1348"/>
      <c r="D2338" s="1348"/>
      <c r="E2338" s="1348"/>
      <c r="F2338" s="1348"/>
      <c r="G2338" s="1348"/>
      <c r="H2338" s="1348"/>
      <c r="I2338" s="1348"/>
      <c r="J2338" s="1348"/>
      <c r="K2338" s="1348"/>
    </row>
    <row r="2339" spans="2:11" hidden="1">
      <c r="B2339" s="1348"/>
      <c r="C2339" s="1348"/>
      <c r="D2339" s="1348"/>
      <c r="E2339" s="1348"/>
      <c r="F2339" s="1348"/>
      <c r="G2339" s="1348"/>
      <c r="H2339" s="1348"/>
      <c r="I2339" s="1348"/>
      <c r="J2339" s="1348"/>
      <c r="K2339" s="1348"/>
    </row>
    <row r="2340" spans="2:11" hidden="1">
      <c r="B2340" s="1348"/>
      <c r="C2340" s="1348"/>
      <c r="D2340" s="1348"/>
      <c r="E2340" s="1348"/>
      <c r="F2340" s="1348"/>
      <c r="G2340" s="1348"/>
      <c r="H2340" s="1348"/>
      <c r="I2340" s="1348"/>
      <c r="J2340" s="1348"/>
      <c r="K2340" s="1348"/>
    </row>
    <row r="2341" spans="2:11" hidden="1">
      <c r="B2341" s="1348"/>
      <c r="C2341" s="1348"/>
      <c r="D2341" s="1348"/>
      <c r="E2341" s="1348"/>
      <c r="F2341" s="1348"/>
      <c r="G2341" s="1348"/>
      <c r="H2341" s="1348"/>
      <c r="I2341" s="1348"/>
      <c r="J2341" s="1348"/>
      <c r="K2341" s="1348"/>
    </row>
    <row r="2342" spans="2:11" hidden="1">
      <c r="B2342" s="1348"/>
      <c r="C2342" s="1348"/>
      <c r="D2342" s="1348"/>
      <c r="E2342" s="1348"/>
      <c r="F2342" s="1348"/>
      <c r="G2342" s="1348"/>
      <c r="H2342" s="1348"/>
      <c r="I2342" s="1348"/>
      <c r="J2342" s="1348"/>
      <c r="K2342" s="1348"/>
    </row>
    <row r="2343" spans="2:11" hidden="1">
      <c r="B2343" s="1348"/>
      <c r="C2343" s="1348"/>
      <c r="D2343" s="1348"/>
      <c r="E2343" s="1348"/>
      <c r="F2343" s="1348"/>
      <c r="G2343" s="1348"/>
      <c r="H2343" s="1348"/>
      <c r="I2343" s="1348"/>
      <c r="J2343" s="1348"/>
      <c r="K2343" s="1348"/>
    </row>
    <row r="2344" spans="2:11" hidden="1">
      <c r="B2344" s="1348"/>
      <c r="C2344" s="1348"/>
      <c r="D2344" s="1348"/>
      <c r="E2344" s="1348"/>
      <c r="F2344" s="1348"/>
      <c r="G2344" s="1348"/>
      <c r="H2344" s="1348"/>
      <c r="I2344" s="1348"/>
      <c r="J2344" s="1348"/>
      <c r="K2344" s="1348"/>
    </row>
    <row r="2345" spans="2:11" hidden="1">
      <c r="B2345" s="1348"/>
      <c r="C2345" s="1348"/>
      <c r="D2345" s="1348"/>
      <c r="E2345" s="1348"/>
      <c r="F2345" s="1348"/>
      <c r="G2345" s="1348"/>
      <c r="H2345" s="1348"/>
      <c r="I2345" s="1348"/>
      <c r="J2345" s="1348"/>
      <c r="K2345" s="1348"/>
    </row>
    <row r="2346" spans="2:11" hidden="1">
      <c r="B2346" s="1348"/>
      <c r="C2346" s="1348"/>
      <c r="D2346" s="1348"/>
      <c r="E2346" s="1348"/>
      <c r="F2346" s="1348"/>
      <c r="G2346" s="1348"/>
      <c r="H2346" s="1348"/>
      <c r="I2346" s="1348"/>
      <c r="J2346" s="1348"/>
      <c r="K2346" s="1348"/>
    </row>
    <row r="2347" spans="2:11" hidden="1">
      <c r="B2347" s="1348"/>
      <c r="C2347" s="1348"/>
      <c r="D2347" s="1348"/>
      <c r="E2347" s="1348"/>
      <c r="F2347" s="1348"/>
      <c r="G2347" s="1348"/>
      <c r="H2347" s="1348"/>
      <c r="I2347" s="1348"/>
      <c r="J2347" s="1348"/>
      <c r="K2347" s="1348"/>
    </row>
    <row r="2348" spans="2:11" hidden="1">
      <c r="B2348" s="1348"/>
      <c r="C2348" s="1348"/>
      <c r="D2348" s="1348"/>
      <c r="E2348" s="1348"/>
      <c r="F2348" s="1348"/>
      <c r="G2348" s="1348"/>
      <c r="H2348" s="1348"/>
      <c r="I2348" s="1348"/>
      <c r="J2348" s="1348"/>
      <c r="K2348" s="1348"/>
    </row>
    <row r="2349" spans="2:11" hidden="1">
      <c r="B2349" s="1348"/>
      <c r="C2349" s="1348"/>
      <c r="D2349" s="1348"/>
      <c r="E2349" s="1348"/>
      <c r="F2349" s="1348"/>
      <c r="G2349" s="1348"/>
      <c r="H2349" s="1348"/>
      <c r="I2349" s="1348"/>
      <c r="J2349" s="1348"/>
      <c r="K2349" s="1348"/>
    </row>
    <row r="2350" spans="2:11" hidden="1">
      <c r="B2350" s="1348"/>
      <c r="C2350" s="1348"/>
      <c r="D2350" s="1348"/>
      <c r="E2350" s="1348"/>
      <c r="F2350" s="1348"/>
      <c r="G2350" s="1348"/>
      <c r="H2350" s="1348"/>
      <c r="I2350" s="1348"/>
      <c r="J2350" s="1348"/>
      <c r="K2350" s="1348"/>
    </row>
    <row r="2351" spans="2:11" hidden="1">
      <c r="B2351" s="1348"/>
      <c r="C2351" s="1348"/>
      <c r="D2351" s="1348"/>
      <c r="E2351" s="1348"/>
      <c r="F2351" s="1348"/>
      <c r="G2351" s="1348"/>
      <c r="H2351" s="1348"/>
      <c r="I2351" s="1348"/>
      <c r="J2351" s="1348"/>
      <c r="K2351" s="1348"/>
    </row>
    <row r="2352" spans="2:11" hidden="1">
      <c r="B2352" s="1348"/>
      <c r="C2352" s="1348"/>
      <c r="D2352" s="1348"/>
      <c r="E2352" s="1348"/>
      <c r="F2352" s="1348"/>
      <c r="G2352" s="1348"/>
      <c r="H2352" s="1348"/>
      <c r="I2352" s="1348"/>
      <c r="J2352" s="1348"/>
      <c r="K2352" s="1348"/>
    </row>
    <row r="2353" spans="2:11" hidden="1">
      <c r="B2353" s="1348"/>
      <c r="C2353" s="1348"/>
      <c r="D2353" s="1348"/>
      <c r="E2353" s="1348"/>
      <c r="F2353" s="1348"/>
      <c r="G2353" s="1348"/>
      <c r="H2353" s="1348"/>
      <c r="I2353" s="1348"/>
      <c r="J2353" s="1348"/>
      <c r="K2353" s="1348"/>
    </row>
    <row r="2354" spans="2:11" hidden="1">
      <c r="B2354" s="1348"/>
      <c r="C2354" s="1348"/>
      <c r="D2354" s="1348"/>
      <c r="E2354" s="1348"/>
      <c r="F2354" s="1348"/>
      <c r="G2354" s="1348"/>
      <c r="H2354" s="1348"/>
      <c r="I2354" s="1348"/>
      <c r="J2354" s="1348"/>
      <c r="K2354" s="1348"/>
    </row>
    <row r="2355" spans="2:11" hidden="1">
      <c r="B2355" s="1348"/>
      <c r="C2355" s="1348"/>
      <c r="D2355" s="1348"/>
      <c r="E2355" s="1348"/>
      <c r="F2355" s="1348"/>
      <c r="G2355" s="1348"/>
      <c r="H2355" s="1348"/>
      <c r="I2355" s="1348"/>
      <c r="J2355" s="1348"/>
      <c r="K2355" s="1348"/>
    </row>
    <row r="2356" spans="2:11" hidden="1">
      <c r="B2356" s="1348"/>
      <c r="C2356" s="1348"/>
      <c r="D2356" s="1348"/>
      <c r="E2356" s="1348"/>
      <c r="F2356" s="1348"/>
      <c r="G2356" s="1348"/>
      <c r="H2356" s="1348"/>
      <c r="I2356" s="1348"/>
      <c r="J2356" s="1348"/>
      <c r="K2356" s="1348"/>
    </row>
    <row r="2357" spans="2:11" hidden="1">
      <c r="B2357" s="1348"/>
      <c r="C2357" s="1348"/>
      <c r="D2357" s="1348"/>
      <c r="E2357" s="1348"/>
      <c r="F2357" s="1348"/>
      <c r="G2357" s="1348"/>
      <c r="H2357" s="1348"/>
      <c r="I2357" s="1348"/>
      <c r="J2357" s="1348"/>
      <c r="K2357" s="1348"/>
    </row>
    <row r="2358" spans="2:11" hidden="1">
      <c r="B2358" s="1348"/>
      <c r="C2358" s="1348"/>
      <c r="D2358" s="1348"/>
      <c r="E2358" s="1348"/>
      <c r="F2358" s="1348"/>
      <c r="G2358" s="1348"/>
      <c r="H2358" s="1348"/>
      <c r="I2358" s="1348"/>
      <c r="J2358" s="1348"/>
      <c r="K2358" s="1348"/>
    </row>
    <row r="2359" spans="2:11" hidden="1">
      <c r="B2359" s="1348"/>
      <c r="C2359" s="1348"/>
      <c r="D2359" s="1348"/>
      <c r="E2359" s="1348"/>
      <c r="F2359" s="1348"/>
      <c r="G2359" s="1348"/>
      <c r="H2359" s="1348"/>
      <c r="I2359" s="1348"/>
      <c r="J2359" s="1348"/>
      <c r="K2359" s="1348"/>
    </row>
    <row r="2360" spans="2:11" hidden="1">
      <c r="B2360" s="1348"/>
      <c r="C2360" s="1348"/>
      <c r="D2360" s="1348"/>
      <c r="E2360" s="1348"/>
      <c r="F2360" s="1348"/>
      <c r="G2360" s="1348"/>
      <c r="H2360" s="1348"/>
      <c r="I2360" s="1348"/>
      <c r="J2360" s="1348"/>
      <c r="K2360" s="1348"/>
    </row>
    <row r="2361" spans="2:11" hidden="1">
      <c r="B2361" s="1348"/>
      <c r="C2361" s="1348"/>
      <c r="D2361" s="1348"/>
      <c r="E2361" s="1348"/>
      <c r="F2361" s="1348"/>
      <c r="G2361" s="1348"/>
      <c r="H2361" s="1348"/>
      <c r="I2361" s="1348"/>
      <c r="J2361" s="1348"/>
      <c r="K2361" s="1348"/>
    </row>
    <row r="2362" spans="2:11" hidden="1">
      <c r="B2362" s="1348"/>
      <c r="C2362" s="1348"/>
      <c r="D2362" s="1348"/>
      <c r="E2362" s="1348"/>
      <c r="F2362" s="1348"/>
      <c r="G2362" s="1348"/>
      <c r="H2362" s="1348"/>
      <c r="I2362" s="1348"/>
      <c r="J2362" s="1348"/>
      <c r="K2362" s="1348"/>
    </row>
    <row r="2363" spans="2:11" hidden="1">
      <c r="B2363" s="1348"/>
      <c r="C2363" s="1348"/>
      <c r="D2363" s="1348"/>
      <c r="E2363" s="1348"/>
      <c r="F2363" s="1348"/>
      <c r="G2363" s="1348"/>
      <c r="H2363" s="1348"/>
      <c r="I2363" s="1348"/>
      <c r="J2363" s="1348"/>
      <c r="K2363" s="1348"/>
    </row>
    <row r="2364" spans="2:11" hidden="1">
      <c r="B2364" s="1348"/>
      <c r="C2364" s="1348"/>
      <c r="D2364" s="1348"/>
      <c r="E2364" s="1348"/>
      <c r="F2364" s="1348"/>
      <c r="G2364" s="1348"/>
      <c r="H2364" s="1348"/>
      <c r="I2364" s="1348"/>
      <c r="J2364" s="1348"/>
      <c r="K2364" s="1348"/>
    </row>
    <row r="2365" spans="2:11" hidden="1">
      <c r="B2365" s="1348"/>
      <c r="C2365" s="1348"/>
      <c r="D2365" s="1348"/>
      <c r="E2365" s="1348"/>
      <c r="F2365" s="1348"/>
      <c r="G2365" s="1348"/>
      <c r="H2365" s="1348"/>
      <c r="I2365" s="1348"/>
      <c r="J2365" s="1348"/>
      <c r="K2365" s="1348"/>
    </row>
    <row r="2366" spans="2:11" hidden="1">
      <c r="B2366" s="1348"/>
      <c r="C2366" s="1348"/>
      <c r="D2366" s="1348"/>
      <c r="E2366" s="1348"/>
      <c r="F2366" s="1348"/>
      <c r="G2366" s="1348"/>
      <c r="H2366" s="1348"/>
      <c r="I2366" s="1348"/>
      <c r="J2366" s="1348"/>
      <c r="K2366" s="1348"/>
    </row>
    <row r="2367" spans="2:11" hidden="1">
      <c r="B2367" s="1348"/>
      <c r="C2367" s="1348"/>
      <c r="D2367" s="1348"/>
      <c r="E2367" s="1348"/>
      <c r="F2367" s="1348"/>
      <c r="G2367" s="1348"/>
      <c r="H2367" s="1348"/>
      <c r="I2367" s="1348"/>
      <c r="J2367" s="1348"/>
      <c r="K2367" s="1348"/>
    </row>
    <row r="2368" spans="2:11" hidden="1">
      <c r="B2368" s="1348"/>
      <c r="C2368" s="1348"/>
      <c r="D2368" s="1348"/>
      <c r="E2368" s="1348"/>
      <c r="F2368" s="1348"/>
      <c r="G2368" s="1348"/>
      <c r="H2368" s="1348"/>
      <c r="I2368" s="1348"/>
      <c r="J2368" s="1348"/>
      <c r="K2368" s="1348"/>
    </row>
    <row r="2369" spans="2:11" hidden="1">
      <c r="B2369" s="1348"/>
      <c r="C2369" s="1348"/>
      <c r="D2369" s="1348"/>
      <c r="E2369" s="1348"/>
      <c r="F2369" s="1348"/>
      <c r="G2369" s="1348"/>
      <c r="H2369" s="1348"/>
      <c r="I2369" s="1348"/>
      <c r="J2369" s="1348"/>
      <c r="K2369" s="1348"/>
    </row>
    <row r="2370" spans="2:11" hidden="1">
      <c r="B2370" s="1348"/>
      <c r="C2370" s="1348"/>
      <c r="D2370" s="1348"/>
      <c r="E2370" s="1348"/>
      <c r="F2370" s="1348"/>
      <c r="G2370" s="1348"/>
      <c r="H2370" s="1348"/>
      <c r="I2370" s="1348"/>
      <c r="J2370" s="1348"/>
      <c r="K2370" s="1348"/>
    </row>
    <row r="2371" spans="2:11" hidden="1">
      <c r="B2371" s="1348"/>
      <c r="C2371" s="1348"/>
      <c r="D2371" s="1348"/>
      <c r="E2371" s="1348"/>
      <c r="F2371" s="1348"/>
      <c r="G2371" s="1348"/>
      <c r="H2371" s="1348"/>
      <c r="I2371" s="1348"/>
      <c r="J2371" s="1348"/>
      <c r="K2371" s="1348"/>
    </row>
    <row r="2372" spans="2:11" hidden="1">
      <c r="B2372" s="1348"/>
      <c r="C2372" s="1348"/>
      <c r="D2372" s="1348"/>
      <c r="E2372" s="1348"/>
      <c r="F2372" s="1348"/>
      <c r="G2372" s="1348"/>
      <c r="H2372" s="1348"/>
      <c r="I2372" s="1348"/>
      <c r="J2372" s="1348"/>
      <c r="K2372" s="1348"/>
    </row>
    <row r="2373" spans="2:11" hidden="1">
      <c r="B2373" s="1348"/>
      <c r="C2373" s="1348"/>
      <c r="D2373" s="1348"/>
      <c r="E2373" s="1348"/>
      <c r="F2373" s="1348"/>
      <c r="G2373" s="1348"/>
      <c r="H2373" s="1348"/>
      <c r="I2373" s="1348"/>
      <c r="J2373" s="1348"/>
      <c r="K2373" s="1348"/>
    </row>
    <row r="2374" spans="2:11" hidden="1">
      <c r="B2374" s="1348"/>
      <c r="C2374" s="1348"/>
      <c r="D2374" s="1348"/>
      <c r="E2374" s="1348"/>
      <c r="F2374" s="1348"/>
      <c r="G2374" s="1348"/>
      <c r="H2374" s="1348"/>
      <c r="I2374" s="1348"/>
      <c r="J2374" s="1348"/>
      <c r="K2374" s="1348"/>
    </row>
    <row r="2375" spans="2:11" hidden="1">
      <c r="B2375" s="1348"/>
      <c r="C2375" s="1348"/>
      <c r="D2375" s="1348"/>
      <c r="E2375" s="1348"/>
      <c r="F2375" s="1348"/>
      <c r="G2375" s="1348"/>
      <c r="H2375" s="1348"/>
      <c r="I2375" s="1348"/>
      <c r="J2375" s="1348"/>
      <c r="K2375" s="1348"/>
    </row>
    <row r="2376" spans="2:11" hidden="1">
      <c r="B2376" s="1348"/>
      <c r="C2376" s="1348"/>
      <c r="D2376" s="1348"/>
      <c r="E2376" s="1348"/>
      <c r="F2376" s="1348"/>
      <c r="G2376" s="1348"/>
      <c r="H2376" s="1348"/>
      <c r="I2376" s="1348"/>
      <c r="J2376" s="1348"/>
      <c r="K2376" s="1348"/>
    </row>
    <row r="2377" spans="2:11" hidden="1">
      <c r="B2377" s="1348"/>
      <c r="C2377" s="1348"/>
      <c r="D2377" s="1348"/>
      <c r="E2377" s="1348"/>
      <c r="F2377" s="1348"/>
      <c r="G2377" s="1348"/>
      <c r="H2377" s="1348"/>
      <c r="I2377" s="1348"/>
      <c r="J2377" s="1348"/>
      <c r="K2377" s="1348"/>
    </row>
    <row r="2378" spans="2:11" hidden="1">
      <c r="B2378" s="1348"/>
      <c r="C2378" s="1348"/>
      <c r="D2378" s="1348"/>
      <c r="E2378" s="1348"/>
      <c r="F2378" s="1348"/>
      <c r="G2378" s="1348"/>
      <c r="H2378" s="1348"/>
      <c r="I2378" s="1348"/>
      <c r="J2378" s="1348"/>
      <c r="K2378" s="1348"/>
    </row>
    <row r="2379" spans="2:11" hidden="1">
      <c r="B2379" s="1348"/>
      <c r="C2379" s="1348"/>
      <c r="D2379" s="1348"/>
      <c r="E2379" s="1348"/>
      <c r="F2379" s="1348"/>
      <c r="G2379" s="1348"/>
      <c r="H2379" s="1348"/>
      <c r="I2379" s="1348"/>
      <c r="J2379" s="1348"/>
      <c r="K2379" s="1348"/>
    </row>
    <row r="2380" spans="2:11" hidden="1">
      <c r="B2380" s="1348"/>
      <c r="C2380" s="1348"/>
      <c r="D2380" s="1348"/>
      <c r="E2380" s="1348"/>
      <c r="F2380" s="1348"/>
      <c r="G2380" s="1348"/>
      <c r="H2380" s="1348"/>
      <c r="I2380" s="1348"/>
      <c r="J2380" s="1348"/>
      <c r="K2380" s="1348"/>
    </row>
    <row r="2381" spans="2:11" hidden="1">
      <c r="B2381" s="1348"/>
      <c r="C2381" s="1348"/>
      <c r="D2381" s="1348"/>
      <c r="E2381" s="1348"/>
      <c r="F2381" s="1348"/>
      <c r="G2381" s="1348"/>
      <c r="H2381" s="1348"/>
      <c r="I2381" s="1348"/>
      <c r="J2381" s="1348"/>
      <c r="K2381" s="1348"/>
    </row>
    <row r="2382" spans="2:11" hidden="1">
      <c r="B2382" s="1348"/>
      <c r="C2382" s="1348"/>
      <c r="D2382" s="1348"/>
      <c r="E2382" s="1348"/>
      <c r="F2382" s="1348"/>
      <c r="G2382" s="1348"/>
      <c r="H2382" s="1348"/>
      <c r="I2382" s="1348"/>
      <c r="J2382" s="1348"/>
      <c r="K2382" s="1348"/>
    </row>
    <row r="2383" spans="2:11" hidden="1">
      <c r="B2383" s="1348"/>
      <c r="C2383" s="1348"/>
      <c r="D2383" s="1348"/>
      <c r="E2383" s="1348"/>
      <c r="F2383" s="1348"/>
      <c r="G2383" s="1348"/>
      <c r="H2383" s="1348"/>
      <c r="I2383" s="1348"/>
      <c r="J2383" s="1348"/>
      <c r="K2383" s="1348"/>
    </row>
    <row r="2384" spans="2:11" hidden="1">
      <c r="B2384" s="1348"/>
      <c r="C2384" s="1348"/>
      <c r="D2384" s="1348"/>
      <c r="E2384" s="1348"/>
      <c r="F2384" s="1348"/>
      <c r="G2384" s="1348"/>
      <c r="H2384" s="1348"/>
      <c r="I2384" s="1348"/>
      <c r="J2384" s="1348"/>
      <c r="K2384" s="1348"/>
    </row>
    <row r="2385" spans="2:11" hidden="1">
      <c r="B2385" s="1348"/>
      <c r="C2385" s="1348"/>
      <c r="D2385" s="1348"/>
      <c r="E2385" s="1348"/>
      <c r="F2385" s="1348"/>
      <c r="G2385" s="1348"/>
      <c r="H2385" s="1348"/>
      <c r="I2385" s="1348"/>
      <c r="J2385" s="1348"/>
      <c r="K2385" s="1348"/>
    </row>
    <row r="2386" spans="2:11" hidden="1">
      <c r="B2386" s="1348"/>
      <c r="C2386" s="1348"/>
      <c r="D2386" s="1348"/>
      <c r="E2386" s="1348"/>
      <c r="F2386" s="1348"/>
      <c r="G2386" s="1348"/>
      <c r="H2386" s="1348"/>
      <c r="I2386" s="1348"/>
      <c r="J2386" s="1348"/>
      <c r="K2386" s="1348"/>
    </row>
    <row r="2387" spans="2:11" hidden="1">
      <c r="B2387" s="1348"/>
      <c r="C2387" s="1348"/>
      <c r="D2387" s="1348"/>
      <c r="E2387" s="1348"/>
      <c r="F2387" s="1348"/>
      <c r="G2387" s="1348"/>
      <c r="H2387" s="1348"/>
      <c r="I2387" s="1348"/>
      <c r="J2387" s="1348"/>
      <c r="K2387" s="1348"/>
    </row>
    <row r="2388" spans="2:11" hidden="1">
      <c r="B2388" s="1348"/>
      <c r="C2388" s="1348"/>
      <c r="D2388" s="1348"/>
      <c r="E2388" s="1348"/>
      <c r="F2388" s="1348"/>
      <c r="G2388" s="1348"/>
      <c r="H2388" s="1348"/>
      <c r="I2388" s="1348"/>
      <c r="J2388" s="1348"/>
      <c r="K2388" s="1348"/>
    </row>
    <row r="2389" spans="2:11" hidden="1">
      <c r="B2389" s="1348"/>
      <c r="C2389" s="1348"/>
      <c r="D2389" s="1348"/>
      <c r="E2389" s="1348"/>
      <c r="F2389" s="1348"/>
      <c r="G2389" s="1348"/>
      <c r="H2389" s="1348"/>
      <c r="I2389" s="1348"/>
      <c r="J2389" s="1348"/>
      <c r="K2389" s="1348"/>
    </row>
    <row r="2390" spans="2:11" hidden="1">
      <c r="B2390" s="1348"/>
      <c r="C2390" s="1348"/>
      <c r="D2390" s="1348"/>
      <c r="E2390" s="1348"/>
      <c r="F2390" s="1348"/>
      <c r="G2390" s="1348"/>
      <c r="H2390" s="1348"/>
      <c r="I2390" s="1348"/>
      <c r="J2390" s="1348"/>
      <c r="K2390" s="1348"/>
    </row>
    <row r="2391" spans="2:11" hidden="1">
      <c r="B2391" s="1348"/>
      <c r="C2391" s="1348"/>
      <c r="D2391" s="1348"/>
      <c r="E2391" s="1348"/>
      <c r="F2391" s="1348"/>
      <c r="G2391" s="1348"/>
      <c r="H2391" s="1348"/>
      <c r="I2391" s="1348"/>
      <c r="J2391" s="1348"/>
      <c r="K2391" s="1348"/>
    </row>
    <row r="2392" spans="2:11" hidden="1">
      <c r="B2392" s="1348"/>
      <c r="C2392" s="1348"/>
      <c r="D2392" s="1348"/>
      <c r="E2392" s="1348"/>
      <c r="F2392" s="1348"/>
      <c r="G2392" s="1348"/>
      <c r="H2392" s="1348"/>
      <c r="I2392" s="1348"/>
      <c r="J2392" s="1348"/>
      <c r="K2392" s="1348"/>
    </row>
    <row r="2393" spans="2:11" hidden="1">
      <c r="B2393" s="1348"/>
      <c r="C2393" s="1348"/>
      <c r="D2393" s="1348"/>
      <c r="E2393" s="1348"/>
      <c r="F2393" s="1348"/>
      <c r="G2393" s="1348"/>
      <c r="H2393" s="1348"/>
      <c r="I2393" s="1348"/>
      <c r="J2393" s="1348"/>
      <c r="K2393" s="1348"/>
    </row>
    <row r="2394" spans="2:11" hidden="1">
      <c r="B2394" s="1348"/>
      <c r="C2394" s="1348"/>
      <c r="D2394" s="1348"/>
      <c r="E2394" s="1348"/>
      <c r="F2394" s="1348"/>
      <c r="G2394" s="1348"/>
      <c r="H2394" s="1348"/>
      <c r="I2394" s="1348"/>
      <c r="J2394" s="1348"/>
      <c r="K2394" s="1348"/>
    </row>
    <row r="2395" spans="2:11" hidden="1">
      <c r="B2395" s="1348"/>
      <c r="C2395" s="1348"/>
      <c r="D2395" s="1348"/>
      <c r="E2395" s="1348"/>
      <c r="F2395" s="1348"/>
      <c r="G2395" s="1348"/>
      <c r="H2395" s="1348"/>
      <c r="I2395" s="1348"/>
      <c r="J2395" s="1348"/>
      <c r="K2395" s="1348"/>
    </row>
    <row r="2396" spans="2:11" hidden="1">
      <c r="B2396" s="1348"/>
      <c r="C2396" s="1348"/>
      <c r="D2396" s="1348"/>
      <c r="E2396" s="1348"/>
      <c r="F2396" s="1348"/>
      <c r="G2396" s="1348"/>
      <c r="H2396" s="1348"/>
      <c r="I2396" s="1348"/>
      <c r="J2396" s="1348"/>
      <c r="K2396" s="1348"/>
    </row>
    <row r="2397" spans="2:11" hidden="1">
      <c r="B2397" s="1348"/>
      <c r="C2397" s="1348"/>
      <c r="D2397" s="1348"/>
      <c r="E2397" s="1348"/>
      <c r="F2397" s="1348"/>
      <c r="G2397" s="1348"/>
      <c r="H2397" s="1348"/>
      <c r="I2397" s="1348"/>
      <c r="J2397" s="1348"/>
      <c r="K2397" s="1348"/>
    </row>
    <row r="2398" spans="2:11" hidden="1">
      <c r="B2398" s="1348"/>
      <c r="C2398" s="1348"/>
      <c r="D2398" s="1348"/>
      <c r="E2398" s="1348"/>
      <c r="F2398" s="1348"/>
      <c r="G2398" s="1348"/>
      <c r="H2398" s="1348"/>
      <c r="I2398" s="1348"/>
      <c r="J2398" s="1348"/>
      <c r="K2398" s="1348"/>
    </row>
    <row r="2399" spans="2:11" hidden="1">
      <c r="B2399" s="1348"/>
      <c r="C2399" s="1348"/>
      <c r="D2399" s="1348"/>
      <c r="E2399" s="1348"/>
      <c r="F2399" s="1348"/>
      <c r="G2399" s="1348"/>
      <c r="H2399" s="1348"/>
      <c r="I2399" s="1348"/>
      <c r="J2399" s="1348"/>
      <c r="K2399" s="1348"/>
    </row>
    <row r="2400" spans="2:11" hidden="1">
      <c r="B2400" s="1348"/>
      <c r="C2400" s="1348"/>
      <c r="D2400" s="1348"/>
      <c r="E2400" s="1348"/>
      <c r="F2400" s="1348"/>
      <c r="G2400" s="1348"/>
      <c r="H2400" s="1348"/>
      <c r="I2400" s="1348"/>
      <c r="J2400" s="1348"/>
      <c r="K2400" s="1348"/>
    </row>
    <row r="2401" spans="2:11" hidden="1">
      <c r="B2401" s="1348"/>
      <c r="C2401" s="1348"/>
      <c r="D2401" s="1348"/>
      <c r="E2401" s="1348"/>
      <c r="F2401" s="1348"/>
      <c r="G2401" s="1348"/>
      <c r="H2401" s="1348"/>
      <c r="I2401" s="1348"/>
      <c r="J2401" s="1348"/>
      <c r="K2401" s="1348"/>
    </row>
    <row r="2402" spans="2:11" hidden="1">
      <c r="B2402" s="1348"/>
      <c r="C2402" s="1348"/>
      <c r="D2402" s="1348"/>
      <c r="E2402" s="1348"/>
      <c r="F2402" s="1348"/>
      <c r="G2402" s="1348"/>
      <c r="H2402" s="1348"/>
      <c r="I2402" s="1348"/>
      <c r="J2402" s="1348"/>
      <c r="K2402" s="1348"/>
    </row>
    <row r="2403" spans="2:11" hidden="1">
      <c r="B2403" s="1348"/>
      <c r="C2403" s="1348"/>
      <c r="D2403" s="1348"/>
      <c r="E2403" s="1348"/>
      <c r="F2403" s="1348"/>
      <c r="G2403" s="1348"/>
      <c r="H2403" s="1348"/>
      <c r="I2403" s="1348"/>
      <c r="J2403" s="1348"/>
      <c r="K2403" s="1348"/>
    </row>
    <row r="2404" spans="2:11" hidden="1">
      <c r="B2404" s="1348"/>
      <c r="C2404" s="1348"/>
      <c r="D2404" s="1348"/>
      <c r="E2404" s="1348"/>
      <c r="F2404" s="1348"/>
      <c r="G2404" s="1348"/>
      <c r="H2404" s="1348"/>
      <c r="I2404" s="1348"/>
      <c r="J2404" s="1348"/>
      <c r="K2404" s="1348"/>
    </row>
    <row r="2405" spans="2:11" hidden="1">
      <c r="B2405" s="1348"/>
      <c r="C2405" s="1348"/>
      <c r="D2405" s="1348"/>
      <c r="E2405" s="1348"/>
      <c r="F2405" s="1348"/>
      <c r="G2405" s="1348"/>
      <c r="H2405" s="1348"/>
      <c r="I2405" s="1348"/>
      <c r="J2405" s="1348"/>
      <c r="K2405" s="1348"/>
    </row>
    <row r="2406" spans="2:11" hidden="1">
      <c r="B2406" s="1348"/>
      <c r="C2406" s="1348"/>
      <c r="D2406" s="1348"/>
      <c r="E2406" s="1348"/>
      <c r="F2406" s="1348"/>
      <c r="G2406" s="1348"/>
      <c r="H2406" s="1348"/>
      <c r="I2406" s="1348"/>
      <c r="J2406" s="1348"/>
      <c r="K2406" s="1348"/>
    </row>
    <row r="2407" spans="2:11" hidden="1">
      <c r="B2407" s="1348"/>
      <c r="C2407" s="1348"/>
      <c r="D2407" s="1348"/>
      <c r="E2407" s="1348"/>
      <c r="F2407" s="1348"/>
      <c r="G2407" s="1348"/>
      <c r="H2407" s="1348"/>
      <c r="I2407" s="1348"/>
      <c r="J2407" s="1348"/>
      <c r="K2407" s="1348"/>
    </row>
    <row r="2408" spans="2:11" hidden="1">
      <c r="B2408" s="1348"/>
      <c r="C2408" s="1348"/>
      <c r="D2408" s="1348"/>
      <c r="E2408" s="1348"/>
      <c r="F2408" s="1348"/>
      <c r="G2408" s="1348"/>
      <c r="H2408" s="1348"/>
      <c r="I2408" s="1348"/>
      <c r="J2408" s="1348"/>
      <c r="K2408" s="1348"/>
    </row>
    <row r="2409" spans="2:11" hidden="1">
      <c r="B2409" s="1348"/>
      <c r="C2409" s="1348"/>
      <c r="D2409" s="1348"/>
      <c r="E2409" s="1348"/>
      <c r="F2409" s="1348"/>
      <c r="G2409" s="1348"/>
      <c r="H2409" s="1348"/>
      <c r="I2409" s="1348"/>
      <c r="J2409" s="1348"/>
      <c r="K2409" s="1348"/>
    </row>
    <row r="2410" spans="2:11" hidden="1">
      <c r="B2410" s="1348"/>
      <c r="C2410" s="1348"/>
      <c r="D2410" s="1348"/>
      <c r="E2410" s="1348"/>
      <c r="F2410" s="1348"/>
      <c r="G2410" s="1348"/>
      <c r="H2410" s="1348"/>
      <c r="I2410" s="1348"/>
      <c r="J2410" s="1348"/>
      <c r="K2410" s="1348"/>
    </row>
    <row r="2411" spans="2:11" hidden="1">
      <c r="B2411" s="1348"/>
      <c r="C2411" s="1348"/>
      <c r="D2411" s="1348"/>
      <c r="E2411" s="1348"/>
      <c r="F2411" s="1348"/>
      <c r="G2411" s="1348"/>
      <c r="H2411" s="1348"/>
      <c r="I2411" s="1348"/>
      <c r="J2411" s="1348"/>
      <c r="K2411" s="1348"/>
    </row>
    <row r="2412" spans="2:11" hidden="1">
      <c r="B2412" s="1348"/>
      <c r="C2412" s="1348"/>
      <c r="D2412" s="1348"/>
      <c r="E2412" s="1348"/>
      <c r="F2412" s="1348"/>
      <c r="G2412" s="1348"/>
      <c r="H2412" s="1348"/>
      <c r="I2412" s="1348"/>
      <c r="J2412" s="1348"/>
      <c r="K2412" s="1348"/>
    </row>
    <row r="2413" spans="2:11" hidden="1">
      <c r="B2413" s="1348"/>
      <c r="C2413" s="1348"/>
      <c r="D2413" s="1348"/>
      <c r="E2413" s="1348"/>
      <c r="F2413" s="1348"/>
      <c r="G2413" s="1348"/>
      <c r="H2413" s="1348"/>
      <c r="I2413" s="1348"/>
      <c r="J2413" s="1348"/>
      <c r="K2413" s="1348"/>
    </row>
    <row r="2414" spans="2:11" hidden="1">
      <c r="B2414" s="1348"/>
      <c r="C2414" s="1348"/>
      <c r="D2414" s="1348"/>
      <c r="E2414" s="1348"/>
      <c r="F2414" s="1348"/>
      <c r="G2414" s="1348"/>
      <c r="H2414" s="1348"/>
      <c r="I2414" s="1348"/>
      <c r="J2414" s="1348"/>
      <c r="K2414" s="1348"/>
    </row>
    <row r="2415" spans="2:11" hidden="1">
      <c r="B2415" s="1348"/>
      <c r="C2415" s="1348"/>
      <c r="D2415" s="1348"/>
      <c r="E2415" s="1348"/>
      <c r="F2415" s="1348"/>
      <c r="G2415" s="1348"/>
      <c r="H2415" s="1348"/>
      <c r="I2415" s="1348"/>
      <c r="J2415" s="1348"/>
      <c r="K2415" s="1348"/>
    </row>
    <row r="2416" spans="2:11" hidden="1">
      <c r="B2416" s="1348"/>
      <c r="C2416" s="1348"/>
      <c r="D2416" s="1348"/>
      <c r="E2416" s="1348"/>
      <c r="F2416" s="1348"/>
      <c r="G2416" s="1348"/>
      <c r="H2416" s="1348"/>
      <c r="I2416" s="1348"/>
      <c r="J2416" s="1348"/>
      <c r="K2416" s="1348"/>
    </row>
    <row r="2417" spans="2:11" hidden="1">
      <c r="B2417" s="1348"/>
      <c r="C2417" s="1348"/>
      <c r="D2417" s="1348"/>
      <c r="E2417" s="1348"/>
      <c r="F2417" s="1348"/>
      <c r="G2417" s="1348"/>
      <c r="H2417" s="1348"/>
      <c r="I2417" s="1348"/>
      <c r="J2417" s="1348"/>
      <c r="K2417" s="1348"/>
    </row>
    <row r="2418" spans="2:11" hidden="1">
      <c r="B2418" s="1348"/>
      <c r="C2418" s="1348"/>
      <c r="D2418" s="1348"/>
      <c r="E2418" s="1348"/>
      <c r="F2418" s="1348"/>
      <c r="G2418" s="1348"/>
      <c r="H2418" s="1348"/>
      <c r="I2418" s="1348"/>
      <c r="J2418" s="1348"/>
      <c r="K2418" s="1348"/>
    </row>
    <row r="2419" spans="2:11" hidden="1">
      <c r="B2419" s="1348"/>
      <c r="C2419" s="1348"/>
      <c r="D2419" s="1348"/>
      <c r="E2419" s="1348"/>
      <c r="F2419" s="1348"/>
      <c r="G2419" s="1348"/>
      <c r="H2419" s="1348"/>
      <c r="I2419" s="1348"/>
      <c r="J2419" s="1348"/>
      <c r="K2419" s="1348"/>
    </row>
    <row r="2420" spans="2:11" hidden="1">
      <c r="B2420" s="1348"/>
      <c r="C2420" s="1348"/>
      <c r="D2420" s="1348"/>
      <c r="E2420" s="1348"/>
      <c r="F2420" s="1348"/>
      <c r="G2420" s="1348"/>
      <c r="H2420" s="1348"/>
      <c r="I2420" s="1348"/>
      <c r="J2420" s="1348"/>
      <c r="K2420" s="1348"/>
    </row>
    <row r="2421" spans="2:11" hidden="1">
      <c r="B2421" s="1348"/>
      <c r="C2421" s="1348"/>
      <c r="D2421" s="1348"/>
      <c r="E2421" s="1348"/>
      <c r="F2421" s="1348"/>
      <c r="G2421" s="1348"/>
      <c r="H2421" s="1348"/>
      <c r="I2421" s="1348"/>
      <c r="J2421" s="1348"/>
      <c r="K2421" s="1348"/>
    </row>
    <row r="2422" spans="2:11" hidden="1">
      <c r="B2422" s="1348"/>
      <c r="C2422" s="1348"/>
      <c r="D2422" s="1348"/>
      <c r="E2422" s="1348"/>
      <c r="F2422" s="1348"/>
      <c r="G2422" s="1348"/>
      <c r="H2422" s="1348"/>
      <c r="I2422" s="1348"/>
      <c r="J2422" s="1348"/>
      <c r="K2422" s="1348"/>
    </row>
    <row r="2423" spans="2:11" hidden="1">
      <c r="B2423" s="1348"/>
      <c r="C2423" s="1348"/>
      <c r="D2423" s="1348"/>
      <c r="E2423" s="1348"/>
      <c r="F2423" s="1348"/>
      <c r="G2423" s="1348"/>
      <c r="H2423" s="1348"/>
      <c r="I2423" s="1348"/>
      <c r="J2423" s="1348"/>
      <c r="K2423" s="1348"/>
    </row>
    <row r="2424" spans="2:11" hidden="1">
      <c r="B2424" s="1348"/>
      <c r="C2424" s="1348"/>
      <c r="D2424" s="1348"/>
      <c r="E2424" s="1348"/>
      <c r="F2424" s="1348"/>
      <c r="G2424" s="1348"/>
      <c r="H2424" s="1348"/>
      <c r="I2424" s="1348"/>
      <c r="J2424" s="1348"/>
      <c r="K2424" s="1348"/>
    </row>
    <row r="2425" spans="2:11" hidden="1">
      <c r="B2425" s="1348"/>
      <c r="C2425" s="1348"/>
      <c r="D2425" s="1348"/>
      <c r="E2425" s="1348"/>
      <c r="F2425" s="1348"/>
      <c r="G2425" s="1348"/>
      <c r="H2425" s="1348"/>
      <c r="I2425" s="1348"/>
      <c r="J2425" s="1348"/>
      <c r="K2425" s="1348"/>
    </row>
    <row r="2426" spans="2:11" hidden="1">
      <c r="B2426" s="1348"/>
      <c r="C2426" s="1348"/>
      <c r="D2426" s="1348"/>
      <c r="E2426" s="1348"/>
      <c r="F2426" s="1348"/>
      <c r="G2426" s="1348"/>
      <c r="H2426" s="1348"/>
      <c r="I2426" s="1348"/>
      <c r="J2426" s="1348"/>
      <c r="K2426" s="1348"/>
    </row>
    <row r="2427" spans="2:11" hidden="1">
      <c r="B2427" s="1348"/>
      <c r="C2427" s="1348"/>
      <c r="D2427" s="1348"/>
      <c r="E2427" s="1348"/>
      <c r="F2427" s="1348"/>
      <c r="G2427" s="1348"/>
      <c r="H2427" s="1348"/>
      <c r="I2427" s="1348"/>
      <c r="J2427" s="1348"/>
      <c r="K2427" s="1348"/>
    </row>
    <row r="2428" spans="2:11" hidden="1">
      <c r="B2428" s="1348"/>
      <c r="C2428" s="1348"/>
      <c r="D2428" s="1348"/>
      <c r="E2428" s="1348"/>
      <c r="F2428" s="1348"/>
      <c r="G2428" s="1348"/>
      <c r="H2428" s="1348"/>
      <c r="I2428" s="1348"/>
      <c r="J2428" s="1348"/>
      <c r="K2428" s="1348"/>
    </row>
    <row r="2429" spans="2:11" hidden="1">
      <c r="B2429" s="1348"/>
      <c r="C2429" s="1348"/>
      <c r="D2429" s="1348"/>
      <c r="E2429" s="1348"/>
      <c r="F2429" s="1348"/>
      <c r="G2429" s="1348"/>
      <c r="H2429" s="1348"/>
      <c r="I2429" s="1348"/>
      <c r="J2429" s="1348"/>
      <c r="K2429" s="1348"/>
    </row>
    <row r="2430" spans="2:11" hidden="1">
      <c r="B2430" s="1348"/>
      <c r="C2430" s="1348"/>
      <c r="D2430" s="1348"/>
      <c r="E2430" s="1348"/>
      <c r="F2430" s="1348"/>
      <c r="G2430" s="1348"/>
      <c r="H2430" s="1348"/>
      <c r="I2430" s="1348"/>
      <c r="J2430" s="1348"/>
      <c r="K2430" s="1348"/>
    </row>
    <row r="2431" spans="2:11" hidden="1">
      <c r="B2431" s="1348"/>
      <c r="C2431" s="1348"/>
      <c r="D2431" s="1348"/>
      <c r="E2431" s="1348"/>
      <c r="F2431" s="1348"/>
      <c r="G2431" s="1348"/>
      <c r="H2431" s="1348"/>
      <c r="I2431" s="1348"/>
      <c r="J2431" s="1348"/>
      <c r="K2431" s="1348"/>
    </row>
    <row r="2432" spans="2:11" hidden="1">
      <c r="B2432" s="1348"/>
      <c r="C2432" s="1348"/>
      <c r="D2432" s="1348"/>
      <c r="E2432" s="1348"/>
      <c r="F2432" s="1348"/>
      <c r="G2432" s="1348"/>
      <c r="H2432" s="1348"/>
      <c r="I2432" s="1348"/>
      <c r="J2432" s="1348"/>
      <c r="K2432" s="1348"/>
    </row>
    <row r="2433" spans="2:11" hidden="1">
      <c r="B2433" s="1348"/>
      <c r="C2433" s="1348"/>
      <c r="D2433" s="1348"/>
      <c r="E2433" s="1348"/>
      <c r="F2433" s="1348"/>
      <c r="G2433" s="1348"/>
      <c r="H2433" s="1348"/>
      <c r="I2433" s="1348"/>
      <c r="J2433" s="1348"/>
      <c r="K2433" s="1348"/>
    </row>
    <row r="2434" spans="2:11" hidden="1">
      <c r="B2434" s="1348"/>
      <c r="C2434" s="1348"/>
      <c r="D2434" s="1348"/>
      <c r="E2434" s="1348"/>
      <c r="F2434" s="1348"/>
      <c r="G2434" s="1348"/>
      <c r="H2434" s="1348"/>
      <c r="I2434" s="1348"/>
      <c r="J2434" s="1348"/>
      <c r="K2434" s="1348"/>
    </row>
    <row r="2435" spans="2:11" hidden="1">
      <c r="B2435" s="1348"/>
      <c r="C2435" s="1348"/>
      <c r="D2435" s="1348"/>
      <c r="E2435" s="1348"/>
      <c r="F2435" s="1348"/>
      <c r="G2435" s="1348"/>
      <c r="H2435" s="1348"/>
      <c r="I2435" s="1348"/>
      <c r="J2435" s="1348"/>
      <c r="K2435" s="1348"/>
    </row>
    <row r="2436" spans="2:11" hidden="1">
      <c r="B2436" s="1348"/>
      <c r="C2436" s="1348"/>
      <c r="D2436" s="1348"/>
      <c r="E2436" s="1348"/>
      <c r="F2436" s="1348"/>
      <c r="G2436" s="1348"/>
      <c r="H2436" s="1348"/>
      <c r="I2436" s="1348"/>
      <c r="J2436" s="1348"/>
      <c r="K2436" s="1348"/>
    </row>
    <row r="2437" spans="2:11" hidden="1">
      <c r="B2437" s="1348"/>
      <c r="C2437" s="1348"/>
      <c r="D2437" s="1348"/>
      <c r="E2437" s="1348"/>
      <c r="F2437" s="1348"/>
      <c r="G2437" s="1348"/>
      <c r="H2437" s="1348"/>
      <c r="I2437" s="1348"/>
      <c r="J2437" s="1348"/>
      <c r="K2437" s="1348"/>
    </row>
    <row r="2438" spans="2:11" hidden="1">
      <c r="B2438" s="1348"/>
      <c r="C2438" s="1348"/>
      <c r="D2438" s="1348"/>
      <c r="E2438" s="1348"/>
      <c r="F2438" s="1348"/>
      <c r="G2438" s="1348"/>
      <c r="H2438" s="1348"/>
      <c r="I2438" s="1348"/>
      <c r="J2438" s="1348"/>
      <c r="K2438" s="1348"/>
    </row>
    <row r="2439" spans="2:11" hidden="1">
      <c r="B2439" s="1348"/>
      <c r="C2439" s="1348"/>
      <c r="D2439" s="1348"/>
      <c r="E2439" s="1348"/>
      <c r="F2439" s="1348"/>
      <c r="G2439" s="1348"/>
      <c r="H2439" s="1348"/>
      <c r="I2439" s="1348"/>
      <c r="J2439" s="1348"/>
      <c r="K2439" s="1348"/>
    </row>
    <row r="2440" spans="2:11" hidden="1">
      <c r="B2440" s="1348"/>
      <c r="C2440" s="1348"/>
      <c r="D2440" s="1348"/>
      <c r="E2440" s="1348"/>
      <c r="F2440" s="1348"/>
      <c r="G2440" s="1348"/>
      <c r="H2440" s="1348"/>
      <c r="I2440" s="1348"/>
      <c r="J2440" s="1348"/>
      <c r="K2440" s="1348"/>
    </row>
    <row r="2441" spans="2:11" hidden="1">
      <c r="B2441" s="1348"/>
      <c r="C2441" s="1348"/>
      <c r="D2441" s="1348"/>
      <c r="E2441" s="1348"/>
      <c r="F2441" s="1348"/>
      <c r="G2441" s="1348"/>
      <c r="H2441" s="1348"/>
      <c r="I2441" s="1348"/>
      <c r="J2441" s="1348"/>
      <c r="K2441" s="1348"/>
    </row>
    <row r="2442" spans="2:11" hidden="1">
      <c r="B2442" s="1348"/>
      <c r="C2442" s="1348"/>
      <c r="D2442" s="1348"/>
      <c r="E2442" s="1348"/>
      <c r="F2442" s="1348"/>
      <c r="G2442" s="1348"/>
      <c r="H2442" s="1348"/>
      <c r="I2442" s="1348"/>
      <c r="J2442" s="1348"/>
      <c r="K2442" s="1348"/>
    </row>
    <row r="2443" spans="2:11" hidden="1">
      <c r="B2443" s="1348"/>
      <c r="C2443" s="1348"/>
      <c r="D2443" s="1348"/>
      <c r="E2443" s="1348"/>
      <c r="F2443" s="1348"/>
      <c r="G2443" s="1348"/>
      <c r="H2443" s="1348"/>
      <c r="I2443" s="1348"/>
      <c r="J2443" s="1348"/>
      <c r="K2443" s="1348"/>
    </row>
    <row r="2444" spans="2:11" hidden="1">
      <c r="B2444" s="1348"/>
      <c r="C2444" s="1348"/>
      <c r="D2444" s="1348"/>
      <c r="E2444" s="1348"/>
      <c r="F2444" s="1348"/>
      <c r="G2444" s="1348"/>
      <c r="H2444" s="1348"/>
      <c r="I2444" s="1348"/>
      <c r="J2444" s="1348"/>
      <c r="K2444" s="1348"/>
    </row>
    <row r="2445" spans="2:11" hidden="1">
      <c r="B2445" s="1348"/>
      <c r="C2445" s="1348"/>
      <c r="D2445" s="1348"/>
      <c r="E2445" s="1348"/>
      <c r="F2445" s="1348"/>
      <c r="G2445" s="1348"/>
      <c r="H2445" s="1348"/>
      <c r="I2445" s="1348"/>
      <c r="J2445" s="1348"/>
      <c r="K2445" s="1348"/>
    </row>
    <row r="2446" spans="2:11" hidden="1">
      <c r="B2446" s="1348"/>
      <c r="C2446" s="1348"/>
      <c r="D2446" s="1348"/>
      <c r="E2446" s="1348"/>
      <c r="F2446" s="1348"/>
      <c r="G2446" s="1348"/>
      <c r="H2446" s="1348"/>
      <c r="I2446" s="1348"/>
      <c r="J2446" s="1348"/>
      <c r="K2446" s="1348"/>
    </row>
    <row r="2447" spans="2:11" hidden="1">
      <c r="B2447" s="1348"/>
      <c r="C2447" s="1348"/>
      <c r="D2447" s="1348"/>
      <c r="E2447" s="1348"/>
      <c r="F2447" s="1348"/>
      <c r="G2447" s="1348"/>
      <c r="H2447" s="1348"/>
      <c r="I2447" s="1348"/>
      <c r="J2447" s="1348"/>
      <c r="K2447" s="1348"/>
    </row>
    <row r="2448" spans="2:11" hidden="1">
      <c r="B2448" s="1348"/>
      <c r="C2448" s="1348"/>
      <c r="D2448" s="1348"/>
      <c r="E2448" s="1348"/>
      <c r="F2448" s="1348"/>
      <c r="G2448" s="1348"/>
      <c r="H2448" s="1348"/>
      <c r="I2448" s="1348"/>
      <c r="J2448" s="1348"/>
      <c r="K2448" s="1348"/>
    </row>
    <row r="2449" spans="2:11" hidden="1">
      <c r="B2449" s="1348"/>
      <c r="C2449" s="1348"/>
      <c r="D2449" s="1348"/>
      <c r="E2449" s="1348"/>
      <c r="F2449" s="1348"/>
      <c r="G2449" s="1348"/>
      <c r="H2449" s="1348"/>
      <c r="I2449" s="1348"/>
      <c r="J2449" s="1348"/>
      <c r="K2449" s="1348"/>
    </row>
    <row r="2450" spans="2:11" hidden="1">
      <c r="B2450" s="1348"/>
      <c r="C2450" s="1348"/>
      <c r="D2450" s="1348"/>
      <c r="E2450" s="1348"/>
      <c r="F2450" s="1348"/>
      <c r="G2450" s="1348"/>
      <c r="H2450" s="1348"/>
      <c r="I2450" s="1348"/>
      <c r="J2450" s="1348"/>
      <c r="K2450" s="1348"/>
    </row>
    <row r="2451" spans="2:11" hidden="1">
      <c r="B2451" s="1348"/>
      <c r="C2451" s="1348"/>
      <c r="D2451" s="1348"/>
      <c r="E2451" s="1348"/>
      <c r="F2451" s="1348"/>
      <c r="G2451" s="1348"/>
      <c r="H2451" s="1348"/>
      <c r="I2451" s="1348"/>
      <c r="J2451" s="1348"/>
      <c r="K2451" s="1348"/>
    </row>
    <row r="2452" spans="2:11" hidden="1">
      <c r="B2452" s="1348"/>
      <c r="C2452" s="1348"/>
      <c r="D2452" s="1348"/>
      <c r="E2452" s="1348"/>
      <c r="F2452" s="1348"/>
      <c r="G2452" s="1348"/>
      <c r="H2452" s="1348"/>
      <c r="I2452" s="1348"/>
      <c r="J2452" s="1348"/>
      <c r="K2452" s="1348"/>
    </row>
    <row r="2453" spans="2:11" hidden="1">
      <c r="B2453" s="1348"/>
      <c r="C2453" s="1348"/>
      <c r="D2453" s="1348"/>
      <c r="E2453" s="1348"/>
      <c r="F2453" s="1348"/>
      <c r="G2453" s="1348"/>
      <c r="H2453" s="1348"/>
      <c r="I2453" s="1348"/>
      <c r="J2453" s="1348"/>
      <c r="K2453" s="1348"/>
    </row>
    <row r="2454" spans="2:11" hidden="1">
      <c r="B2454" s="1348"/>
      <c r="C2454" s="1348"/>
      <c r="D2454" s="1348"/>
      <c r="E2454" s="1348"/>
      <c r="F2454" s="1348"/>
      <c r="G2454" s="1348"/>
      <c r="H2454" s="1348"/>
      <c r="I2454" s="1348"/>
      <c r="J2454" s="1348"/>
      <c r="K2454" s="1348"/>
    </row>
    <row r="2455" spans="2:11" hidden="1">
      <c r="B2455" s="1348"/>
      <c r="C2455" s="1348"/>
      <c r="D2455" s="1348"/>
      <c r="E2455" s="1348"/>
      <c r="F2455" s="1348"/>
      <c r="G2455" s="1348"/>
      <c r="H2455" s="1348"/>
      <c r="I2455" s="1348"/>
      <c r="J2455" s="1348"/>
      <c r="K2455" s="1348"/>
    </row>
    <row r="2456" spans="2:11" hidden="1">
      <c r="B2456" s="1348"/>
      <c r="C2456" s="1348"/>
      <c r="D2456" s="1348"/>
      <c r="E2456" s="1348"/>
      <c r="F2456" s="1348"/>
      <c r="G2456" s="1348"/>
      <c r="H2456" s="1348"/>
      <c r="I2456" s="1348"/>
      <c r="J2456" s="1348"/>
      <c r="K2456" s="1348"/>
    </row>
    <row r="2457" spans="2:11" hidden="1">
      <c r="B2457" s="1348"/>
      <c r="C2457" s="1348"/>
      <c r="D2457" s="1348"/>
      <c r="E2457" s="1348"/>
      <c r="F2457" s="1348"/>
      <c r="G2457" s="1348"/>
      <c r="H2457" s="1348"/>
      <c r="I2457" s="1348"/>
      <c r="J2457" s="1348"/>
      <c r="K2457" s="1348"/>
    </row>
    <row r="2458" spans="2:11" hidden="1">
      <c r="B2458" s="1348"/>
      <c r="C2458" s="1348"/>
      <c r="D2458" s="1348"/>
      <c r="E2458" s="1348"/>
      <c r="F2458" s="1348"/>
      <c r="G2458" s="1348"/>
      <c r="H2458" s="1348"/>
      <c r="I2458" s="1348"/>
      <c r="J2458" s="1348"/>
      <c r="K2458" s="1348"/>
    </row>
    <row r="2459" spans="2:11" hidden="1">
      <c r="B2459" s="1348"/>
      <c r="C2459" s="1348"/>
      <c r="D2459" s="1348"/>
      <c r="E2459" s="1348"/>
      <c r="F2459" s="1348"/>
      <c r="G2459" s="1348"/>
      <c r="H2459" s="1348"/>
      <c r="I2459" s="1348"/>
      <c r="J2459" s="1348"/>
      <c r="K2459" s="1348"/>
    </row>
    <row r="2460" spans="2:11" hidden="1">
      <c r="B2460" s="1348"/>
      <c r="C2460" s="1348"/>
      <c r="D2460" s="1348"/>
      <c r="E2460" s="1348"/>
      <c r="F2460" s="1348"/>
      <c r="G2460" s="1348"/>
      <c r="H2460" s="1348"/>
      <c r="I2460" s="1348"/>
      <c r="J2460" s="1348"/>
      <c r="K2460" s="1348"/>
    </row>
    <row r="2461" spans="2:11" hidden="1">
      <c r="B2461" s="1348"/>
      <c r="C2461" s="1348"/>
      <c r="D2461" s="1348"/>
      <c r="E2461" s="1348"/>
      <c r="F2461" s="1348"/>
      <c r="G2461" s="1348"/>
      <c r="H2461" s="1348"/>
      <c r="I2461" s="1348"/>
      <c r="J2461" s="1348"/>
      <c r="K2461" s="1348"/>
    </row>
    <row r="2462" spans="2:11" hidden="1">
      <c r="B2462" s="1348"/>
      <c r="C2462" s="1348"/>
      <c r="D2462" s="1348"/>
      <c r="E2462" s="1348"/>
      <c r="F2462" s="1348"/>
      <c r="G2462" s="1348"/>
      <c r="H2462" s="1348"/>
      <c r="I2462" s="1348"/>
      <c r="J2462" s="1348"/>
      <c r="K2462" s="1348"/>
    </row>
    <row r="2463" spans="2:11" hidden="1">
      <c r="B2463" s="1348"/>
      <c r="C2463" s="1348"/>
      <c r="D2463" s="1348"/>
      <c r="E2463" s="1348"/>
      <c r="F2463" s="1348"/>
      <c r="G2463" s="1348"/>
      <c r="H2463" s="1348"/>
      <c r="I2463" s="1348"/>
      <c r="J2463" s="1348"/>
      <c r="K2463" s="1348"/>
    </row>
    <row r="2464" spans="2:11" hidden="1">
      <c r="B2464" s="1348"/>
      <c r="C2464" s="1348"/>
      <c r="D2464" s="1348"/>
      <c r="E2464" s="1348"/>
      <c r="F2464" s="1348"/>
      <c r="G2464" s="1348"/>
      <c r="H2464" s="1348"/>
      <c r="I2464" s="1348"/>
      <c r="J2464" s="1348"/>
      <c r="K2464" s="1348"/>
    </row>
    <row r="2465" spans="2:11" hidden="1">
      <c r="B2465" s="1348"/>
      <c r="C2465" s="1348"/>
      <c r="D2465" s="1348"/>
      <c r="E2465" s="1348"/>
      <c r="F2465" s="1348"/>
      <c r="G2465" s="1348"/>
      <c r="H2465" s="1348"/>
      <c r="I2465" s="1348"/>
      <c r="J2465" s="1348"/>
      <c r="K2465" s="1348"/>
    </row>
    <row r="2466" spans="2:11" hidden="1">
      <c r="B2466" s="1348"/>
      <c r="C2466" s="1348"/>
      <c r="D2466" s="1348"/>
      <c r="E2466" s="1348"/>
      <c r="F2466" s="1348"/>
      <c r="G2466" s="1348"/>
      <c r="H2466" s="1348"/>
      <c r="I2466" s="1348"/>
      <c r="J2466" s="1348"/>
      <c r="K2466" s="1348"/>
    </row>
    <row r="2467" spans="2:11" hidden="1">
      <c r="B2467" s="1348"/>
      <c r="C2467" s="1348"/>
      <c r="D2467" s="1348"/>
      <c r="E2467" s="1348"/>
      <c r="F2467" s="1348"/>
      <c r="G2467" s="1348"/>
      <c r="H2467" s="1348"/>
      <c r="I2467" s="1348"/>
      <c r="J2467" s="1348"/>
      <c r="K2467" s="1348"/>
    </row>
    <row r="2468" spans="2:11" hidden="1">
      <c r="B2468" s="1348"/>
      <c r="C2468" s="1348"/>
      <c r="D2468" s="1348"/>
      <c r="E2468" s="1348"/>
      <c r="F2468" s="1348"/>
      <c r="G2468" s="1348"/>
      <c r="H2468" s="1348"/>
      <c r="I2468" s="1348"/>
      <c r="J2468" s="1348"/>
      <c r="K2468" s="1348"/>
    </row>
    <row r="2469" spans="2:11" hidden="1">
      <c r="B2469" s="1348"/>
      <c r="C2469" s="1348"/>
      <c r="D2469" s="1348"/>
      <c r="E2469" s="1348"/>
      <c r="F2469" s="1348"/>
      <c r="G2469" s="1348"/>
      <c r="H2469" s="1348"/>
      <c r="I2469" s="1348"/>
      <c r="J2469" s="1348"/>
      <c r="K2469" s="1348"/>
    </row>
    <row r="2470" spans="2:11" hidden="1">
      <c r="B2470" s="1348"/>
      <c r="C2470" s="1348"/>
      <c r="D2470" s="1348"/>
      <c r="E2470" s="1348"/>
      <c r="F2470" s="1348"/>
      <c r="G2470" s="1348"/>
      <c r="H2470" s="1348"/>
      <c r="I2470" s="1348"/>
      <c r="J2470" s="1348"/>
      <c r="K2470" s="1348"/>
    </row>
    <row r="2471" spans="2:11" hidden="1">
      <c r="B2471" s="1348"/>
      <c r="C2471" s="1348"/>
      <c r="D2471" s="1348"/>
      <c r="E2471" s="1348"/>
      <c r="F2471" s="1348"/>
      <c r="G2471" s="1348"/>
      <c r="H2471" s="1348"/>
      <c r="I2471" s="1348"/>
      <c r="J2471" s="1348"/>
      <c r="K2471" s="1348"/>
    </row>
    <row r="2472" spans="2:11" hidden="1">
      <c r="B2472" s="1348"/>
      <c r="C2472" s="1348"/>
      <c r="D2472" s="1348"/>
      <c r="E2472" s="1348"/>
      <c r="F2472" s="1348"/>
      <c r="G2472" s="1348"/>
      <c r="H2472" s="1348"/>
      <c r="I2472" s="1348"/>
      <c r="J2472" s="1348"/>
      <c r="K2472" s="1348"/>
    </row>
    <row r="2473" spans="2:11" hidden="1">
      <c r="B2473" s="1348"/>
      <c r="C2473" s="1348"/>
      <c r="D2473" s="1348"/>
      <c r="E2473" s="1348"/>
      <c r="F2473" s="1348"/>
      <c r="G2473" s="1348"/>
      <c r="H2473" s="1348"/>
      <c r="I2473" s="1348"/>
      <c r="J2473" s="1348"/>
      <c r="K2473" s="1348"/>
    </row>
    <row r="2474" spans="2:11" hidden="1">
      <c r="B2474" s="1348"/>
      <c r="C2474" s="1348"/>
      <c r="D2474" s="1348"/>
      <c r="E2474" s="1348"/>
      <c r="F2474" s="1348"/>
      <c r="G2474" s="1348"/>
      <c r="H2474" s="1348"/>
      <c r="I2474" s="1348"/>
      <c r="J2474" s="1348"/>
      <c r="K2474" s="1348"/>
    </row>
    <row r="2475" spans="2:11" hidden="1">
      <c r="B2475" s="1348"/>
      <c r="C2475" s="1348"/>
      <c r="D2475" s="1348"/>
      <c r="E2475" s="1348"/>
      <c r="F2475" s="1348"/>
      <c r="G2475" s="1348"/>
      <c r="H2475" s="1348"/>
      <c r="I2475" s="1348"/>
      <c r="J2475" s="1348"/>
      <c r="K2475" s="1348"/>
    </row>
    <row r="2476" spans="2:11" hidden="1">
      <c r="B2476" s="1348"/>
      <c r="C2476" s="1348"/>
      <c r="D2476" s="1348"/>
      <c r="E2476" s="1348"/>
      <c r="F2476" s="1348"/>
      <c r="G2476" s="1348"/>
      <c r="H2476" s="1348"/>
      <c r="I2476" s="1348"/>
      <c r="J2476" s="1348"/>
      <c r="K2476" s="1348"/>
    </row>
    <row r="2477" spans="2:11" hidden="1">
      <c r="B2477" s="1348"/>
      <c r="C2477" s="1348"/>
      <c r="D2477" s="1348"/>
      <c r="E2477" s="1348"/>
      <c r="F2477" s="1348"/>
      <c r="G2477" s="1348"/>
      <c r="H2477" s="1348"/>
      <c r="I2477" s="1348"/>
      <c r="J2477" s="1348"/>
      <c r="K2477" s="1348"/>
    </row>
    <row r="2478" spans="2:11" hidden="1">
      <c r="B2478" s="1348"/>
      <c r="C2478" s="1348"/>
      <c r="D2478" s="1348"/>
      <c r="E2478" s="1348"/>
      <c r="F2478" s="1348"/>
      <c r="G2478" s="1348"/>
      <c r="H2478" s="1348"/>
      <c r="I2478" s="1348"/>
      <c r="J2478" s="1348"/>
      <c r="K2478" s="1348"/>
    </row>
    <row r="2479" spans="2:11" hidden="1">
      <c r="B2479" s="1348"/>
      <c r="C2479" s="1348"/>
      <c r="D2479" s="1348"/>
      <c r="E2479" s="1348"/>
      <c r="F2479" s="1348"/>
      <c r="G2479" s="1348"/>
      <c r="H2479" s="1348"/>
      <c r="I2479" s="1348"/>
      <c r="J2479" s="1348"/>
      <c r="K2479" s="1348"/>
    </row>
    <row r="2480" spans="2:11" hidden="1">
      <c r="B2480" s="1348"/>
      <c r="C2480" s="1348"/>
      <c r="D2480" s="1348"/>
      <c r="E2480" s="1348"/>
      <c r="F2480" s="1348"/>
      <c r="G2480" s="1348"/>
      <c r="H2480" s="1348"/>
      <c r="I2480" s="1348"/>
      <c r="J2480" s="1348"/>
      <c r="K2480" s="1348"/>
    </row>
    <row r="2481" spans="2:11" hidden="1">
      <c r="B2481" s="1348"/>
      <c r="C2481" s="1348"/>
      <c r="D2481" s="1348"/>
      <c r="E2481" s="1348"/>
      <c r="F2481" s="1348"/>
      <c r="G2481" s="1348"/>
      <c r="H2481" s="1348"/>
      <c r="I2481" s="1348"/>
      <c r="J2481" s="1348"/>
      <c r="K2481" s="1348"/>
    </row>
    <row r="2482" spans="2:11" hidden="1">
      <c r="B2482" s="1348"/>
      <c r="C2482" s="1348"/>
      <c r="D2482" s="1348"/>
      <c r="E2482" s="1348"/>
      <c r="F2482" s="1348"/>
      <c r="G2482" s="1348"/>
      <c r="H2482" s="1348"/>
      <c r="I2482" s="1348"/>
      <c r="J2482" s="1348"/>
      <c r="K2482" s="1348"/>
    </row>
    <row r="2483" spans="2:11" hidden="1">
      <c r="B2483" s="1348"/>
      <c r="C2483" s="1348"/>
      <c r="D2483" s="1348"/>
      <c r="E2483" s="1348"/>
      <c r="F2483" s="1348"/>
      <c r="G2483" s="1348"/>
      <c r="H2483" s="1348"/>
      <c r="I2483" s="1348"/>
      <c r="J2483" s="1348"/>
      <c r="K2483" s="1348"/>
    </row>
    <row r="2484" spans="2:11" hidden="1">
      <c r="B2484" s="1348"/>
      <c r="C2484" s="1348"/>
      <c r="D2484" s="1348"/>
      <c r="E2484" s="1348"/>
      <c r="F2484" s="1348"/>
      <c r="G2484" s="1348"/>
      <c r="H2484" s="1348"/>
      <c r="I2484" s="1348"/>
      <c r="J2484" s="1348"/>
      <c r="K2484" s="1348"/>
    </row>
    <row r="2485" spans="2:11" hidden="1">
      <c r="B2485" s="1348"/>
      <c r="C2485" s="1348"/>
      <c r="D2485" s="1348"/>
      <c r="E2485" s="1348"/>
      <c r="F2485" s="1348"/>
      <c r="G2485" s="1348"/>
      <c r="H2485" s="1348"/>
      <c r="I2485" s="1348"/>
      <c r="J2485" s="1348"/>
      <c r="K2485" s="1348"/>
    </row>
    <row r="2486" spans="2:11" hidden="1">
      <c r="B2486" s="1348"/>
      <c r="C2486" s="1348"/>
      <c r="D2486" s="1348"/>
      <c r="E2486" s="1348"/>
      <c r="F2486" s="1348"/>
      <c r="G2486" s="1348"/>
      <c r="H2486" s="1348"/>
      <c r="I2486" s="1348"/>
      <c r="J2486" s="1348"/>
      <c r="K2486" s="1348"/>
    </row>
    <row r="2487" spans="2:11" hidden="1">
      <c r="B2487" s="1348"/>
      <c r="C2487" s="1348"/>
      <c r="D2487" s="1348"/>
      <c r="E2487" s="1348"/>
      <c r="F2487" s="1348"/>
      <c r="G2487" s="1348"/>
      <c r="H2487" s="1348"/>
      <c r="I2487" s="1348"/>
      <c r="J2487" s="1348"/>
      <c r="K2487" s="1348"/>
    </row>
    <row r="2488" spans="2:11" hidden="1">
      <c r="B2488" s="1348"/>
      <c r="C2488" s="1348"/>
      <c r="D2488" s="1348"/>
      <c r="E2488" s="1348"/>
      <c r="F2488" s="1348"/>
      <c r="G2488" s="1348"/>
      <c r="H2488" s="1348"/>
      <c r="I2488" s="1348"/>
      <c r="J2488" s="1348"/>
      <c r="K2488" s="1348"/>
    </row>
    <row r="2489" spans="2:11" hidden="1">
      <c r="B2489" s="1348"/>
      <c r="C2489" s="1348"/>
      <c r="D2489" s="1348"/>
      <c r="E2489" s="1348"/>
      <c r="F2489" s="1348"/>
      <c r="G2489" s="1348"/>
      <c r="H2489" s="1348"/>
      <c r="I2489" s="1348"/>
      <c r="J2489" s="1348"/>
      <c r="K2489" s="1348"/>
    </row>
    <row r="2490" spans="2:11" hidden="1">
      <c r="B2490" s="1348"/>
      <c r="C2490" s="1348"/>
      <c r="D2490" s="1348"/>
      <c r="E2490" s="1348"/>
      <c r="F2490" s="1348"/>
      <c r="G2490" s="1348"/>
      <c r="H2490" s="1348"/>
      <c r="I2490" s="1348"/>
      <c r="J2490" s="1348"/>
      <c r="K2490" s="1348"/>
    </row>
    <row r="2491" spans="2:11" hidden="1">
      <c r="B2491" s="1348"/>
      <c r="C2491" s="1348"/>
      <c r="D2491" s="1348"/>
      <c r="E2491" s="1348"/>
      <c r="F2491" s="1348"/>
      <c r="G2491" s="1348"/>
      <c r="H2491" s="1348"/>
      <c r="I2491" s="1348"/>
      <c r="J2491" s="1348"/>
      <c r="K2491" s="1348"/>
    </row>
    <row r="2492" spans="2:11" hidden="1">
      <c r="B2492" s="1348"/>
      <c r="C2492" s="1348"/>
      <c r="D2492" s="1348"/>
      <c r="E2492" s="1348"/>
      <c r="F2492" s="1348"/>
      <c r="G2492" s="1348"/>
      <c r="H2492" s="1348"/>
      <c r="I2492" s="1348"/>
      <c r="J2492" s="1348"/>
      <c r="K2492" s="1348"/>
    </row>
    <row r="2493" spans="2:11" hidden="1">
      <c r="B2493" s="1348"/>
      <c r="C2493" s="1348"/>
      <c r="D2493" s="1348"/>
      <c r="E2493" s="1348"/>
      <c r="F2493" s="1348"/>
      <c r="G2493" s="1348"/>
      <c r="H2493" s="1348"/>
      <c r="I2493" s="1348"/>
      <c r="J2493" s="1348"/>
      <c r="K2493" s="1348"/>
    </row>
    <row r="2494" spans="2:11" hidden="1">
      <c r="B2494" s="1348"/>
      <c r="C2494" s="1348"/>
      <c r="D2494" s="1348"/>
      <c r="E2494" s="1348"/>
      <c r="F2494" s="1348"/>
      <c r="G2494" s="1348"/>
      <c r="H2494" s="1348"/>
      <c r="I2494" s="1348"/>
      <c r="J2494" s="1348"/>
      <c r="K2494" s="1348"/>
    </row>
    <row r="2495" spans="2:11" hidden="1">
      <c r="B2495" s="1348"/>
      <c r="C2495" s="1348"/>
      <c r="D2495" s="1348"/>
      <c r="E2495" s="1348"/>
      <c r="F2495" s="1348"/>
      <c r="G2495" s="1348"/>
      <c r="H2495" s="1348"/>
      <c r="I2495" s="1348"/>
      <c r="J2495" s="1348"/>
      <c r="K2495" s="1348"/>
    </row>
    <row r="2496" spans="2:11" hidden="1">
      <c r="B2496" s="1348"/>
      <c r="C2496" s="1348"/>
      <c r="D2496" s="1348"/>
      <c r="E2496" s="1348"/>
      <c r="F2496" s="1348"/>
      <c r="G2496" s="1348"/>
      <c r="H2496" s="1348"/>
      <c r="I2496" s="1348"/>
      <c r="J2496" s="1348"/>
      <c r="K2496" s="1348"/>
    </row>
    <row r="2497" spans="2:11" hidden="1">
      <c r="B2497" s="1348"/>
      <c r="C2497" s="1348"/>
      <c r="D2497" s="1348"/>
      <c r="E2497" s="1348"/>
      <c r="F2497" s="1348"/>
      <c r="G2497" s="1348"/>
      <c r="H2497" s="1348"/>
      <c r="I2497" s="1348"/>
      <c r="J2497" s="1348"/>
      <c r="K2497" s="1348"/>
    </row>
    <row r="2498" spans="2:11" hidden="1">
      <c r="B2498" s="1348"/>
      <c r="C2498" s="1348"/>
      <c r="D2498" s="1348"/>
      <c r="E2498" s="1348"/>
      <c r="F2498" s="1348"/>
      <c r="G2498" s="1348"/>
      <c r="H2498" s="1348"/>
      <c r="I2498" s="1348"/>
      <c r="J2498" s="1348"/>
      <c r="K2498" s="1348"/>
    </row>
    <row r="2499" spans="2:11" hidden="1">
      <c r="B2499" s="1348"/>
      <c r="C2499" s="1348"/>
      <c r="D2499" s="1348"/>
      <c r="E2499" s="1348"/>
      <c r="F2499" s="1348"/>
      <c r="G2499" s="1348"/>
      <c r="H2499" s="1348"/>
      <c r="I2499" s="1348"/>
      <c r="J2499" s="1348"/>
      <c r="K2499" s="1348"/>
    </row>
    <row r="2500" spans="2:11" hidden="1">
      <c r="B2500" s="1348"/>
      <c r="C2500" s="1348"/>
      <c r="D2500" s="1348"/>
      <c r="E2500" s="1348"/>
      <c r="F2500" s="1348"/>
      <c r="G2500" s="1348"/>
      <c r="H2500" s="1348"/>
      <c r="I2500" s="1348"/>
      <c r="J2500" s="1348"/>
      <c r="K2500" s="1348"/>
    </row>
    <row r="2501" spans="2:11" hidden="1">
      <c r="B2501" s="1348"/>
      <c r="C2501" s="1348"/>
      <c r="D2501" s="1348"/>
      <c r="E2501" s="1348"/>
      <c r="F2501" s="1348"/>
      <c r="G2501" s="1348"/>
      <c r="H2501" s="1348"/>
      <c r="I2501" s="1348"/>
      <c r="J2501" s="1348"/>
      <c r="K2501" s="1348"/>
    </row>
    <row r="2502" spans="2:11" hidden="1">
      <c r="B2502" s="1348"/>
      <c r="C2502" s="1348"/>
      <c r="D2502" s="1348"/>
      <c r="E2502" s="1348"/>
      <c r="F2502" s="1348"/>
      <c r="G2502" s="1348"/>
      <c r="H2502" s="1348"/>
      <c r="I2502" s="1348"/>
      <c r="J2502" s="1348"/>
      <c r="K2502" s="1348"/>
    </row>
    <row r="2503" spans="2:11" hidden="1">
      <c r="B2503" s="1348"/>
      <c r="C2503" s="1348"/>
      <c r="D2503" s="1348"/>
      <c r="E2503" s="1348"/>
      <c r="F2503" s="1348"/>
      <c r="G2503" s="1348"/>
      <c r="H2503" s="1348"/>
      <c r="I2503" s="1348"/>
      <c r="J2503" s="1348"/>
      <c r="K2503" s="1348"/>
    </row>
    <row r="2504" spans="2:11" hidden="1">
      <c r="B2504" s="1348"/>
      <c r="C2504" s="1348"/>
      <c r="D2504" s="1348"/>
      <c r="E2504" s="1348"/>
      <c r="F2504" s="1348"/>
      <c r="G2504" s="1348"/>
      <c r="H2504" s="1348"/>
      <c r="I2504" s="1348"/>
      <c r="J2504" s="1348"/>
      <c r="K2504" s="1348"/>
    </row>
    <row r="2505" spans="2:11" hidden="1">
      <c r="B2505" s="1348"/>
      <c r="C2505" s="1348"/>
      <c r="D2505" s="1348"/>
      <c r="E2505" s="1348"/>
      <c r="F2505" s="1348"/>
      <c r="G2505" s="1348"/>
      <c r="H2505" s="1348"/>
      <c r="I2505" s="1348"/>
      <c r="J2505" s="1348"/>
      <c r="K2505" s="1348"/>
    </row>
    <row r="2506" spans="2:11" hidden="1">
      <c r="B2506" s="1348"/>
      <c r="C2506" s="1348"/>
      <c r="D2506" s="1348"/>
      <c r="E2506" s="1348"/>
      <c r="F2506" s="1348"/>
      <c r="G2506" s="1348"/>
      <c r="H2506" s="1348"/>
      <c r="I2506" s="1348"/>
      <c r="J2506" s="1348"/>
      <c r="K2506" s="1348"/>
    </row>
    <row r="2507" spans="2:11" hidden="1">
      <c r="B2507" s="1348"/>
      <c r="C2507" s="1348"/>
      <c r="D2507" s="1348"/>
      <c r="E2507" s="1348"/>
      <c r="F2507" s="1348"/>
      <c r="G2507" s="1348"/>
      <c r="H2507" s="1348"/>
      <c r="I2507" s="1348"/>
      <c r="J2507" s="1348"/>
      <c r="K2507" s="1348"/>
    </row>
    <row r="2508" spans="2:11" hidden="1">
      <c r="B2508" s="1348"/>
      <c r="C2508" s="1348"/>
      <c r="D2508" s="1348"/>
      <c r="E2508" s="1348"/>
      <c r="F2508" s="1348"/>
      <c r="G2508" s="1348"/>
      <c r="H2508" s="1348"/>
      <c r="I2508" s="1348"/>
      <c r="J2508" s="1348"/>
      <c r="K2508" s="1348"/>
    </row>
    <row r="2509" spans="2:11" hidden="1">
      <c r="B2509" s="1348"/>
      <c r="C2509" s="1348"/>
      <c r="D2509" s="1348"/>
      <c r="E2509" s="1348"/>
      <c r="F2509" s="1348"/>
      <c r="G2509" s="1348"/>
      <c r="H2509" s="1348"/>
      <c r="I2509" s="1348"/>
      <c r="J2509" s="1348"/>
      <c r="K2509" s="1348"/>
    </row>
    <row r="2510" spans="2:11" hidden="1">
      <c r="B2510" s="1348"/>
      <c r="C2510" s="1348"/>
      <c r="D2510" s="1348"/>
      <c r="E2510" s="1348"/>
      <c r="F2510" s="1348"/>
      <c r="G2510" s="1348"/>
      <c r="H2510" s="1348"/>
      <c r="I2510" s="1348"/>
      <c r="J2510" s="1348"/>
      <c r="K2510" s="1348"/>
    </row>
    <row r="2511" spans="2:11" hidden="1">
      <c r="B2511" s="1348"/>
      <c r="C2511" s="1348"/>
      <c r="D2511" s="1348"/>
      <c r="E2511" s="1348"/>
      <c r="F2511" s="1348"/>
      <c r="G2511" s="1348"/>
      <c r="H2511" s="1348"/>
      <c r="I2511" s="1348"/>
      <c r="J2511" s="1348"/>
      <c r="K2511" s="1348"/>
    </row>
    <row r="2512" spans="2:11" hidden="1">
      <c r="B2512" s="1348"/>
      <c r="C2512" s="1348"/>
      <c r="D2512" s="1348"/>
      <c r="E2512" s="1348"/>
      <c r="F2512" s="1348"/>
      <c r="G2512" s="1348"/>
      <c r="H2512" s="1348"/>
      <c r="I2512" s="1348"/>
      <c r="J2512" s="1348"/>
      <c r="K2512" s="1348"/>
    </row>
    <row r="2513" spans="2:11" hidden="1">
      <c r="B2513" s="1348"/>
      <c r="C2513" s="1348"/>
      <c r="D2513" s="1348"/>
      <c r="E2513" s="1348"/>
      <c r="F2513" s="1348"/>
      <c r="G2513" s="1348"/>
      <c r="H2513" s="1348"/>
      <c r="I2513" s="1348"/>
      <c r="J2513" s="1348"/>
      <c r="K2513" s="1348"/>
    </row>
    <row r="2514" spans="2:11" hidden="1">
      <c r="B2514" s="1348"/>
      <c r="C2514" s="1348"/>
      <c r="D2514" s="1348"/>
      <c r="E2514" s="1348"/>
      <c r="F2514" s="1348"/>
      <c r="G2514" s="1348"/>
      <c r="H2514" s="1348"/>
      <c r="I2514" s="1348"/>
      <c r="J2514" s="1348"/>
      <c r="K2514" s="1348"/>
    </row>
    <row r="2515" spans="2:11" hidden="1">
      <c r="B2515" s="1348"/>
      <c r="C2515" s="1348"/>
      <c r="D2515" s="1348"/>
      <c r="E2515" s="1348"/>
      <c r="F2515" s="1348"/>
      <c r="G2515" s="1348"/>
      <c r="H2515" s="1348"/>
      <c r="I2515" s="1348"/>
      <c r="J2515" s="1348"/>
      <c r="K2515" s="1348"/>
    </row>
    <row r="2516" spans="2:11" hidden="1">
      <c r="B2516" s="1348"/>
      <c r="C2516" s="1348"/>
      <c r="D2516" s="1348"/>
      <c r="E2516" s="1348"/>
      <c r="F2516" s="1348"/>
      <c r="G2516" s="1348"/>
      <c r="H2516" s="1348"/>
      <c r="I2516" s="1348"/>
      <c r="J2516" s="1348"/>
      <c r="K2516" s="1348"/>
    </row>
    <row r="2517" spans="2:11" hidden="1">
      <c r="B2517" s="1348"/>
      <c r="C2517" s="1348"/>
      <c r="D2517" s="1348"/>
      <c r="E2517" s="1348"/>
      <c r="F2517" s="1348"/>
      <c r="G2517" s="1348"/>
      <c r="H2517" s="1348"/>
      <c r="I2517" s="1348"/>
      <c r="J2517" s="1348"/>
      <c r="K2517" s="1348"/>
    </row>
    <row r="2518" spans="2:11" hidden="1">
      <c r="B2518" s="1348"/>
      <c r="C2518" s="1348"/>
      <c r="D2518" s="1348"/>
      <c r="E2518" s="1348"/>
      <c r="F2518" s="1348"/>
      <c r="G2518" s="1348"/>
      <c r="H2518" s="1348"/>
      <c r="I2518" s="1348"/>
      <c r="J2518" s="1348"/>
      <c r="K2518" s="1348"/>
    </row>
    <row r="2519" spans="2:11" hidden="1">
      <c r="B2519" s="1348"/>
      <c r="C2519" s="1348"/>
      <c r="D2519" s="1348"/>
      <c r="E2519" s="1348"/>
      <c r="F2519" s="1348"/>
      <c r="G2519" s="1348"/>
      <c r="H2519" s="1348"/>
      <c r="I2519" s="1348"/>
      <c r="J2519" s="1348"/>
      <c r="K2519" s="1348"/>
    </row>
    <row r="2520" spans="2:11" hidden="1">
      <c r="B2520" s="1348"/>
      <c r="C2520" s="1348"/>
      <c r="D2520" s="1348"/>
      <c r="E2520" s="1348"/>
      <c r="F2520" s="1348"/>
      <c r="G2520" s="1348"/>
      <c r="H2520" s="1348"/>
      <c r="I2520" s="1348"/>
      <c r="J2520" s="1348"/>
      <c r="K2520" s="1348"/>
    </row>
    <row r="2521" spans="2:11" hidden="1">
      <c r="B2521" s="1348"/>
      <c r="C2521" s="1348"/>
      <c r="D2521" s="1348"/>
      <c r="E2521" s="1348"/>
      <c r="F2521" s="1348"/>
      <c r="G2521" s="1348"/>
      <c r="H2521" s="1348"/>
      <c r="I2521" s="1348"/>
      <c r="J2521" s="1348"/>
      <c r="K2521" s="1348"/>
    </row>
    <row r="2522" spans="2:11" hidden="1">
      <c r="B2522" s="1348"/>
      <c r="C2522" s="1348"/>
      <c r="D2522" s="1348"/>
      <c r="E2522" s="1348"/>
      <c r="F2522" s="1348"/>
      <c r="G2522" s="1348"/>
      <c r="H2522" s="1348"/>
      <c r="I2522" s="1348"/>
      <c r="J2522" s="1348"/>
      <c r="K2522" s="1348"/>
    </row>
    <row r="2523" spans="2:11" hidden="1">
      <c r="B2523" s="1348"/>
      <c r="C2523" s="1348"/>
      <c r="D2523" s="1348"/>
      <c r="E2523" s="1348"/>
      <c r="F2523" s="1348"/>
      <c r="G2523" s="1348"/>
      <c r="H2523" s="1348"/>
      <c r="I2523" s="1348"/>
      <c r="J2523" s="1348"/>
      <c r="K2523" s="1348"/>
    </row>
    <row r="2524" spans="2:11" hidden="1">
      <c r="B2524" s="1348"/>
      <c r="C2524" s="1348"/>
      <c r="D2524" s="1348"/>
      <c r="E2524" s="1348"/>
      <c r="F2524" s="1348"/>
      <c r="G2524" s="1348"/>
      <c r="H2524" s="1348"/>
      <c r="I2524" s="1348"/>
      <c r="J2524" s="1348"/>
      <c r="K2524" s="1348"/>
    </row>
    <row r="2525" spans="2:11" hidden="1">
      <c r="B2525" s="1348"/>
      <c r="C2525" s="1348"/>
      <c r="D2525" s="1348"/>
      <c r="E2525" s="1348"/>
      <c r="F2525" s="1348"/>
      <c r="G2525" s="1348"/>
      <c r="H2525" s="1348"/>
      <c r="I2525" s="1348"/>
      <c r="J2525" s="1348"/>
      <c r="K2525" s="1348"/>
    </row>
    <row r="2526" spans="2:11" hidden="1">
      <c r="B2526" s="1348"/>
      <c r="C2526" s="1348"/>
      <c r="D2526" s="1348"/>
      <c r="E2526" s="1348"/>
      <c r="F2526" s="1348"/>
      <c r="G2526" s="1348"/>
      <c r="H2526" s="1348"/>
      <c r="I2526" s="1348"/>
      <c r="J2526" s="1348"/>
      <c r="K2526" s="1348"/>
    </row>
    <row r="2527" spans="2:11" hidden="1">
      <c r="B2527" s="1348"/>
      <c r="C2527" s="1348"/>
      <c r="D2527" s="1348"/>
      <c r="E2527" s="1348"/>
      <c r="F2527" s="1348"/>
      <c r="G2527" s="1348"/>
      <c r="H2527" s="1348"/>
      <c r="I2527" s="1348"/>
      <c r="J2527" s="1348"/>
      <c r="K2527" s="1348"/>
    </row>
    <row r="2528" spans="2:11" hidden="1">
      <c r="B2528" s="1348"/>
      <c r="C2528" s="1348"/>
      <c r="D2528" s="1348"/>
      <c r="E2528" s="1348"/>
      <c r="F2528" s="1348"/>
      <c r="G2528" s="1348"/>
      <c r="H2528" s="1348"/>
      <c r="I2528" s="1348"/>
      <c r="J2528" s="1348"/>
      <c r="K2528" s="1348"/>
    </row>
    <row r="2529" spans="2:11" hidden="1">
      <c r="B2529" s="1348"/>
      <c r="C2529" s="1348"/>
      <c r="D2529" s="1348"/>
      <c r="E2529" s="1348"/>
      <c r="F2529" s="1348"/>
      <c r="G2529" s="1348"/>
      <c r="H2529" s="1348"/>
      <c r="I2529" s="1348"/>
      <c r="J2529" s="1348"/>
      <c r="K2529" s="1348"/>
    </row>
    <row r="2530" spans="2:11" hidden="1">
      <c r="B2530" s="1348"/>
      <c r="C2530" s="1348"/>
      <c r="D2530" s="1348"/>
      <c r="E2530" s="1348"/>
      <c r="F2530" s="1348"/>
      <c r="G2530" s="1348"/>
      <c r="H2530" s="1348"/>
      <c r="I2530" s="1348"/>
      <c r="J2530" s="1348"/>
      <c r="K2530" s="1348"/>
    </row>
    <row r="2531" spans="2:11" hidden="1">
      <c r="B2531" s="1348"/>
      <c r="C2531" s="1348"/>
      <c r="D2531" s="1348"/>
      <c r="E2531" s="1348"/>
      <c r="F2531" s="1348"/>
      <c r="G2531" s="1348"/>
      <c r="H2531" s="1348"/>
      <c r="I2531" s="1348"/>
      <c r="J2531" s="1348"/>
      <c r="K2531" s="1348"/>
    </row>
    <row r="2532" spans="2:11" hidden="1">
      <c r="B2532" s="1348"/>
      <c r="C2532" s="1348"/>
      <c r="D2532" s="1348"/>
      <c r="E2532" s="1348"/>
      <c r="F2532" s="1348"/>
      <c r="G2532" s="1348"/>
      <c r="H2532" s="1348"/>
      <c r="I2532" s="1348"/>
      <c r="J2532" s="1348"/>
      <c r="K2532" s="1348"/>
    </row>
    <row r="2533" spans="2:11" hidden="1">
      <c r="B2533" s="1348"/>
      <c r="C2533" s="1348"/>
      <c r="D2533" s="1348"/>
      <c r="E2533" s="1348"/>
      <c r="F2533" s="1348"/>
      <c r="G2533" s="1348"/>
      <c r="H2533" s="1348"/>
      <c r="I2533" s="1348"/>
      <c r="J2533" s="1348"/>
      <c r="K2533" s="1348"/>
    </row>
    <row r="2534" spans="2:11" hidden="1">
      <c r="B2534" s="1348"/>
      <c r="C2534" s="1348"/>
      <c r="D2534" s="1348"/>
      <c r="E2534" s="1348"/>
      <c r="F2534" s="1348"/>
      <c r="G2534" s="1348"/>
      <c r="H2534" s="1348"/>
      <c r="I2534" s="1348"/>
      <c r="J2534" s="1348"/>
      <c r="K2534" s="1348"/>
    </row>
    <row r="2535" spans="2:11" hidden="1">
      <c r="B2535" s="1348"/>
      <c r="C2535" s="1348"/>
      <c r="D2535" s="1348"/>
      <c r="E2535" s="1348"/>
      <c r="F2535" s="1348"/>
      <c r="G2535" s="1348"/>
      <c r="H2535" s="1348"/>
      <c r="I2535" s="1348"/>
      <c r="J2535" s="1348"/>
      <c r="K2535" s="1348"/>
    </row>
    <row r="2536" spans="2:11" hidden="1">
      <c r="B2536" s="1348"/>
      <c r="C2536" s="1348"/>
      <c r="D2536" s="1348"/>
      <c r="E2536" s="1348"/>
      <c r="F2536" s="1348"/>
      <c r="G2536" s="1348"/>
      <c r="H2536" s="1348"/>
      <c r="I2536" s="1348"/>
      <c r="J2536" s="1348"/>
      <c r="K2536" s="1348"/>
    </row>
    <row r="2537" spans="2:11" hidden="1">
      <c r="B2537" s="1348"/>
      <c r="C2537" s="1348"/>
      <c r="D2537" s="1348"/>
      <c r="E2537" s="1348"/>
      <c r="F2537" s="1348"/>
      <c r="G2537" s="1348"/>
      <c r="H2537" s="1348"/>
      <c r="I2537" s="1348"/>
      <c r="J2537" s="1348"/>
      <c r="K2537" s="1348"/>
    </row>
    <row r="2538" spans="2:11" hidden="1">
      <c r="B2538" s="1348"/>
      <c r="C2538" s="1348"/>
      <c r="D2538" s="1348"/>
      <c r="E2538" s="1348"/>
      <c r="F2538" s="1348"/>
      <c r="G2538" s="1348"/>
      <c r="H2538" s="1348"/>
      <c r="I2538" s="1348"/>
      <c r="J2538" s="1348"/>
      <c r="K2538" s="1348"/>
    </row>
    <row r="2539" spans="2:11" hidden="1">
      <c r="B2539" s="1348"/>
      <c r="C2539" s="1348"/>
      <c r="D2539" s="1348"/>
      <c r="E2539" s="1348"/>
      <c r="F2539" s="1348"/>
      <c r="G2539" s="1348"/>
      <c r="H2539" s="1348"/>
      <c r="I2539" s="1348"/>
      <c r="J2539" s="1348"/>
      <c r="K2539" s="1348"/>
    </row>
    <row r="2540" spans="2:11" hidden="1">
      <c r="B2540" s="1348"/>
      <c r="C2540" s="1348"/>
      <c r="D2540" s="1348"/>
      <c r="E2540" s="1348"/>
      <c r="F2540" s="1348"/>
      <c r="G2540" s="1348"/>
      <c r="H2540" s="1348"/>
      <c r="I2540" s="1348"/>
      <c r="J2540" s="1348"/>
      <c r="K2540" s="1348"/>
    </row>
    <row r="2541" spans="2:11" hidden="1">
      <c r="B2541" s="1348"/>
      <c r="C2541" s="1348"/>
      <c r="D2541" s="1348"/>
      <c r="E2541" s="1348"/>
      <c r="F2541" s="1348"/>
      <c r="G2541" s="1348"/>
      <c r="H2541" s="1348"/>
      <c r="I2541" s="1348"/>
      <c r="J2541" s="1348"/>
      <c r="K2541" s="1348"/>
    </row>
    <row r="2542" spans="2:11" hidden="1">
      <c r="B2542" s="1348"/>
      <c r="C2542" s="1348"/>
      <c r="D2542" s="1348"/>
      <c r="E2542" s="1348"/>
      <c r="F2542" s="1348"/>
      <c r="G2542" s="1348"/>
      <c r="H2542" s="1348"/>
      <c r="I2542" s="1348"/>
      <c r="J2542" s="1348"/>
      <c r="K2542" s="1348"/>
    </row>
    <row r="2543" spans="2:11" hidden="1">
      <c r="B2543" s="1348"/>
      <c r="C2543" s="1348"/>
      <c r="D2543" s="1348"/>
      <c r="E2543" s="1348"/>
      <c r="F2543" s="1348"/>
      <c r="G2543" s="1348"/>
      <c r="H2543" s="1348"/>
      <c r="I2543" s="1348"/>
      <c r="J2543" s="1348"/>
      <c r="K2543" s="1348"/>
    </row>
    <row r="2544" spans="2:11" hidden="1">
      <c r="B2544" s="1348"/>
      <c r="C2544" s="1348"/>
      <c r="D2544" s="1348"/>
      <c r="E2544" s="1348"/>
      <c r="F2544" s="1348"/>
      <c r="G2544" s="1348"/>
      <c r="H2544" s="1348"/>
      <c r="I2544" s="1348"/>
      <c r="J2544" s="1348"/>
      <c r="K2544" s="1348"/>
    </row>
    <row r="2545" spans="2:11" hidden="1">
      <c r="B2545" s="1348"/>
      <c r="C2545" s="1348"/>
      <c r="D2545" s="1348"/>
      <c r="E2545" s="1348"/>
      <c r="F2545" s="1348"/>
      <c r="G2545" s="1348"/>
      <c r="H2545" s="1348"/>
      <c r="I2545" s="1348"/>
      <c r="J2545" s="1348"/>
      <c r="K2545" s="1348"/>
    </row>
    <row r="2546" spans="2:11" hidden="1">
      <c r="B2546" s="1348"/>
      <c r="C2546" s="1348"/>
      <c r="D2546" s="1348"/>
      <c r="E2546" s="1348"/>
      <c r="F2546" s="1348"/>
      <c r="G2546" s="1348"/>
      <c r="H2546" s="1348"/>
      <c r="I2546" s="1348"/>
      <c r="J2546" s="1348"/>
      <c r="K2546" s="1348"/>
    </row>
    <row r="2547" spans="2:11" hidden="1">
      <c r="B2547" s="1348"/>
      <c r="C2547" s="1348"/>
      <c r="D2547" s="1348"/>
      <c r="E2547" s="1348"/>
      <c r="F2547" s="1348"/>
      <c r="G2547" s="1348"/>
      <c r="H2547" s="1348"/>
      <c r="I2547" s="1348"/>
      <c r="J2547" s="1348"/>
      <c r="K2547" s="1348"/>
    </row>
    <row r="2548" spans="2:11" hidden="1">
      <c r="B2548" s="1348"/>
      <c r="C2548" s="1348"/>
      <c r="D2548" s="1348"/>
      <c r="E2548" s="1348"/>
      <c r="F2548" s="1348"/>
      <c r="G2548" s="1348"/>
      <c r="H2548" s="1348"/>
      <c r="I2548" s="1348"/>
      <c r="J2548" s="1348"/>
      <c r="K2548" s="1348"/>
    </row>
    <row r="2549" spans="2:11" hidden="1">
      <c r="B2549" s="1348"/>
      <c r="C2549" s="1348"/>
      <c r="D2549" s="1348"/>
      <c r="E2549" s="1348"/>
      <c r="F2549" s="1348"/>
      <c r="G2549" s="1348"/>
      <c r="H2549" s="1348"/>
      <c r="I2549" s="1348"/>
      <c r="J2549" s="1348"/>
      <c r="K2549" s="1348"/>
    </row>
    <row r="2550" spans="2:11" hidden="1">
      <c r="B2550" s="1348"/>
      <c r="C2550" s="1348"/>
      <c r="D2550" s="1348"/>
      <c r="E2550" s="1348"/>
      <c r="F2550" s="1348"/>
      <c r="G2550" s="1348"/>
      <c r="H2550" s="1348"/>
      <c r="I2550" s="1348"/>
      <c r="J2550" s="1348"/>
      <c r="K2550" s="1348"/>
    </row>
    <row r="2551" spans="2:11" hidden="1">
      <c r="B2551" s="1348"/>
      <c r="C2551" s="1348"/>
      <c r="D2551" s="1348"/>
      <c r="E2551" s="1348"/>
      <c r="F2551" s="1348"/>
      <c r="G2551" s="1348"/>
      <c r="H2551" s="1348"/>
      <c r="I2551" s="1348"/>
      <c r="J2551" s="1348"/>
      <c r="K2551" s="1348"/>
    </row>
    <row r="2552" spans="2:11" hidden="1">
      <c r="B2552" s="1348"/>
      <c r="C2552" s="1348"/>
      <c r="D2552" s="1348"/>
      <c r="E2552" s="1348"/>
      <c r="F2552" s="1348"/>
      <c r="G2552" s="1348"/>
      <c r="H2552" s="1348"/>
      <c r="I2552" s="1348"/>
      <c r="J2552" s="1348"/>
      <c r="K2552" s="1348"/>
    </row>
    <row r="2553" spans="2:11" hidden="1">
      <c r="B2553" s="1348"/>
      <c r="C2553" s="1348"/>
      <c r="D2553" s="1348"/>
      <c r="E2553" s="1348"/>
      <c r="F2553" s="1348"/>
      <c r="G2553" s="1348"/>
      <c r="H2553" s="1348"/>
      <c r="I2553" s="1348"/>
      <c r="J2553" s="1348"/>
      <c r="K2553" s="1348"/>
    </row>
    <row r="2554" spans="2:11" hidden="1">
      <c r="B2554" s="1348"/>
      <c r="C2554" s="1348"/>
      <c r="D2554" s="1348"/>
      <c r="E2554" s="1348"/>
      <c r="F2554" s="1348"/>
      <c r="G2554" s="1348"/>
      <c r="H2554" s="1348"/>
      <c r="I2554" s="1348"/>
      <c r="J2554" s="1348"/>
      <c r="K2554" s="1348"/>
    </row>
    <row r="2555" spans="2:11" hidden="1">
      <c r="B2555" s="1348"/>
      <c r="C2555" s="1348"/>
      <c r="D2555" s="1348"/>
      <c r="E2555" s="1348"/>
      <c r="F2555" s="1348"/>
      <c r="G2555" s="1348"/>
      <c r="H2555" s="1348"/>
      <c r="I2555" s="1348"/>
      <c r="J2555" s="1348"/>
      <c r="K2555" s="1348"/>
    </row>
    <row r="2556" spans="2:11" hidden="1">
      <c r="B2556" s="1348"/>
      <c r="C2556" s="1348"/>
      <c r="D2556" s="1348"/>
      <c r="E2556" s="1348"/>
      <c r="F2556" s="1348"/>
      <c r="G2556" s="1348"/>
      <c r="H2556" s="1348"/>
      <c r="I2556" s="1348"/>
      <c r="J2556" s="1348"/>
      <c r="K2556" s="1348"/>
    </row>
    <row r="2557" spans="2:11" hidden="1">
      <c r="B2557" s="1348"/>
      <c r="C2557" s="1348"/>
      <c r="D2557" s="1348"/>
      <c r="E2557" s="1348"/>
      <c r="F2557" s="1348"/>
      <c r="G2557" s="1348"/>
      <c r="H2557" s="1348"/>
      <c r="I2557" s="1348"/>
      <c r="J2557" s="1348"/>
      <c r="K2557" s="1348"/>
    </row>
    <row r="2558" spans="2:11" hidden="1">
      <c r="B2558" s="1348"/>
      <c r="C2558" s="1348"/>
      <c r="D2558" s="1348"/>
      <c r="E2558" s="1348"/>
      <c r="F2558" s="1348"/>
      <c r="G2558" s="1348"/>
      <c r="H2558" s="1348"/>
      <c r="I2558" s="1348"/>
      <c r="J2558" s="1348"/>
      <c r="K2558" s="1348"/>
    </row>
    <row r="2559" spans="2:11" hidden="1">
      <c r="B2559" s="1348"/>
      <c r="C2559" s="1348"/>
      <c r="D2559" s="1348"/>
      <c r="E2559" s="1348"/>
      <c r="F2559" s="1348"/>
      <c r="G2559" s="1348"/>
      <c r="H2559" s="1348"/>
      <c r="I2559" s="1348"/>
      <c r="J2559" s="1348"/>
      <c r="K2559" s="1348"/>
    </row>
    <row r="2560" spans="2:11" hidden="1">
      <c r="B2560" s="1348"/>
      <c r="C2560" s="1348"/>
      <c r="D2560" s="1348"/>
      <c r="E2560" s="1348"/>
      <c r="F2560" s="1348"/>
      <c r="G2560" s="1348"/>
      <c r="H2560" s="1348"/>
      <c r="I2560" s="1348"/>
      <c r="J2560" s="1348"/>
      <c r="K2560" s="1348"/>
    </row>
    <row r="2561" spans="2:11" hidden="1">
      <c r="B2561" s="1348"/>
      <c r="C2561" s="1348"/>
      <c r="D2561" s="1348"/>
      <c r="E2561" s="1348"/>
      <c r="F2561" s="1348"/>
      <c r="G2561" s="1348"/>
      <c r="H2561" s="1348"/>
      <c r="I2561" s="1348"/>
      <c r="J2561" s="1348"/>
      <c r="K2561" s="1348"/>
    </row>
    <row r="2562" spans="2:11" hidden="1">
      <c r="B2562" s="1348"/>
      <c r="C2562" s="1348"/>
      <c r="D2562" s="1348"/>
      <c r="E2562" s="1348"/>
      <c r="F2562" s="1348"/>
      <c r="G2562" s="1348"/>
      <c r="H2562" s="1348"/>
      <c r="I2562" s="1348"/>
      <c r="J2562" s="1348"/>
      <c r="K2562" s="1348"/>
    </row>
    <row r="2563" spans="2:11" hidden="1">
      <c r="B2563" s="1348"/>
      <c r="C2563" s="1348"/>
      <c r="D2563" s="1348"/>
      <c r="E2563" s="1348"/>
      <c r="F2563" s="1348"/>
      <c r="G2563" s="1348"/>
      <c r="H2563" s="1348"/>
      <c r="I2563" s="1348"/>
      <c r="J2563" s="1348"/>
      <c r="K2563" s="1348"/>
    </row>
    <row r="2564" spans="2:11" hidden="1">
      <c r="B2564" s="1348"/>
      <c r="C2564" s="1348"/>
      <c r="D2564" s="1348"/>
      <c r="E2564" s="1348"/>
      <c r="F2564" s="1348"/>
      <c r="G2564" s="1348"/>
      <c r="H2564" s="1348"/>
      <c r="I2564" s="1348"/>
      <c r="J2564" s="1348"/>
      <c r="K2564" s="1348"/>
    </row>
    <row r="2565" spans="2:11" hidden="1">
      <c r="B2565" s="1348"/>
      <c r="C2565" s="1348"/>
      <c r="D2565" s="1348"/>
      <c r="E2565" s="1348"/>
      <c r="F2565" s="1348"/>
      <c r="G2565" s="1348"/>
      <c r="H2565" s="1348"/>
      <c r="I2565" s="1348"/>
      <c r="J2565" s="1348"/>
      <c r="K2565" s="1348"/>
    </row>
    <row r="2566" spans="2:11" hidden="1">
      <c r="B2566" s="1348"/>
      <c r="C2566" s="1348"/>
      <c r="D2566" s="1348"/>
      <c r="E2566" s="1348"/>
      <c r="F2566" s="1348"/>
      <c r="G2566" s="1348"/>
      <c r="H2566" s="1348"/>
      <c r="I2566" s="1348"/>
      <c r="J2566" s="1348"/>
      <c r="K2566" s="1348"/>
    </row>
    <row r="2567" spans="2:11" hidden="1">
      <c r="B2567" s="1348"/>
      <c r="C2567" s="1348"/>
      <c r="D2567" s="1348"/>
      <c r="E2567" s="1348"/>
      <c r="F2567" s="1348"/>
      <c r="G2567" s="1348"/>
      <c r="H2567" s="1348"/>
      <c r="I2567" s="1348"/>
      <c r="J2567" s="1348"/>
      <c r="K2567" s="1348"/>
    </row>
    <row r="2568" spans="2:11" hidden="1">
      <c r="B2568" s="1348"/>
      <c r="C2568" s="1348"/>
      <c r="D2568" s="1348"/>
      <c r="E2568" s="1348"/>
      <c r="F2568" s="1348"/>
      <c r="G2568" s="1348"/>
      <c r="H2568" s="1348"/>
      <c r="I2568" s="1348"/>
      <c r="J2568" s="1348"/>
      <c r="K2568" s="1348"/>
    </row>
    <row r="2569" spans="2:11" hidden="1">
      <c r="B2569" s="1348"/>
      <c r="C2569" s="1348"/>
      <c r="D2569" s="1348"/>
      <c r="E2569" s="1348"/>
      <c r="F2569" s="1348"/>
      <c r="G2569" s="1348"/>
      <c r="H2569" s="1348"/>
      <c r="I2569" s="1348"/>
      <c r="J2569" s="1348"/>
      <c r="K2569" s="1348"/>
    </row>
    <row r="2570" spans="2:11" hidden="1">
      <c r="B2570" s="1348"/>
      <c r="C2570" s="1348"/>
      <c r="D2570" s="1348"/>
      <c r="E2570" s="1348"/>
      <c r="F2570" s="1348"/>
      <c r="G2570" s="1348"/>
      <c r="H2570" s="1348"/>
      <c r="I2570" s="1348"/>
      <c r="J2570" s="1348"/>
      <c r="K2570" s="1348"/>
    </row>
    <row r="2571" spans="2:11" hidden="1">
      <c r="B2571" s="1348"/>
      <c r="C2571" s="1348"/>
      <c r="D2571" s="1348"/>
      <c r="E2571" s="1348"/>
      <c r="F2571" s="1348"/>
      <c r="G2571" s="1348"/>
      <c r="H2571" s="1348"/>
      <c r="I2571" s="1348"/>
      <c r="J2571" s="1348"/>
      <c r="K2571" s="1348"/>
    </row>
    <row r="2572" spans="2:11" hidden="1">
      <c r="B2572" s="1348"/>
      <c r="C2572" s="1348"/>
      <c r="D2572" s="1348"/>
      <c r="E2572" s="1348"/>
      <c r="F2572" s="1348"/>
      <c r="G2572" s="1348"/>
      <c r="H2572" s="1348"/>
      <c r="I2572" s="1348"/>
      <c r="J2572" s="1348"/>
      <c r="K2572" s="1348"/>
    </row>
    <row r="2573" spans="2:11" hidden="1">
      <c r="B2573" s="1348"/>
      <c r="C2573" s="1348"/>
      <c r="D2573" s="1348"/>
      <c r="E2573" s="1348"/>
      <c r="F2573" s="1348"/>
      <c r="G2573" s="1348"/>
      <c r="H2573" s="1348"/>
      <c r="I2573" s="1348"/>
      <c r="J2573" s="1348"/>
      <c r="K2573" s="1348"/>
    </row>
    <row r="2574" spans="2:11" hidden="1">
      <c r="B2574" s="1348"/>
      <c r="C2574" s="1348"/>
      <c r="D2574" s="1348"/>
      <c r="E2574" s="1348"/>
      <c r="F2574" s="1348"/>
      <c r="G2574" s="1348"/>
      <c r="H2574" s="1348"/>
      <c r="I2574" s="1348"/>
      <c r="J2574" s="1348"/>
      <c r="K2574" s="1348"/>
    </row>
    <row r="2575" spans="2:11" hidden="1">
      <c r="B2575" s="1348"/>
      <c r="C2575" s="1348"/>
      <c r="D2575" s="1348"/>
      <c r="E2575" s="1348"/>
      <c r="F2575" s="1348"/>
      <c r="G2575" s="1348"/>
      <c r="H2575" s="1348"/>
      <c r="I2575" s="1348"/>
      <c r="J2575" s="1348"/>
      <c r="K2575" s="1348"/>
    </row>
    <row r="2576" spans="2:11" hidden="1">
      <c r="B2576" s="1348"/>
      <c r="C2576" s="1348"/>
      <c r="D2576" s="1348"/>
      <c r="E2576" s="1348"/>
      <c r="F2576" s="1348"/>
      <c r="G2576" s="1348"/>
      <c r="H2576" s="1348"/>
      <c r="I2576" s="1348"/>
      <c r="J2576" s="1348"/>
      <c r="K2576" s="1348"/>
    </row>
    <row r="2577" spans="2:11" hidden="1">
      <c r="B2577" s="1348"/>
      <c r="C2577" s="1348"/>
      <c r="D2577" s="1348"/>
      <c r="E2577" s="1348"/>
      <c r="F2577" s="1348"/>
      <c r="G2577" s="1348"/>
      <c r="H2577" s="1348"/>
      <c r="I2577" s="1348"/>
      <c r="J2577" s="1348"/>
      <c r="K2577" s="1348"/>
    </row>
    <row r="2578" spans="2:11" hidden="1">
      <c r="B2578" s="1348"/>
      <c r="C2578" s="1348"/>
      <c r="D2578" s="1348"/>
      <c r="E2578" s="1348"/>
      <c r="F2578" s="1348"/>
      <c r="G2578" s="1348"/>
      <c r="H2578" s="1348"/>
      <c r="I2578" s="1348"/>
      <c r="J2578" s="1348"/>
      <c r="K2578" s="1348"/>
    </row>
    <row r="2579" spans="2:11" hidden="1">
      <c r="B2579" s="1348"/>
      <c r="C2579" s="1348"/>
      <c r="D2579" s="1348"/>
      <c r="E2579" s="1348"/>
      <c r="F2579" s="1348"/>
      <c r="G2579" s="1348"/>
      <c r="H2579" s="1348"/>
      <c r="I2579" s="1348"/>
      <c r="J2579" s="1348"/>
      <c r="K2579" s="1348"/>
    </row>
    <row r="2580" spans="2:11" hidden="1">
      <c r="B2580" s="1348"/>
      <c r="C2580" s="1348"/>
      <c r="D2580" s="1348"/>
      <c r="E2580" s="1348"/>
      <c r="F2580" s="1348"/>
      <c r="G2580" s="1348"/>
      <c r="H2580" s="1348"/>
      <c r="I2580" s="1348"/>
      <c r="J2580" s="1348"/>
      <c r="K2580" s="1348"/>
    </row>
    <row r="2581" spans="2:11" hidden="1">
      <c r="B2581" s="1348"/>
      <c r="C2581" s="1348"/>
      <c r="D2581" s="1348"/>
      <c r="E2581" s="1348"/>
      <c r="F2581" s="1348"/>
      <c r="G2581" s="1348"/>
      <c r="H2581" s="1348"/>
      <c r="I2581" s="1348"/>
      <c r="J2581" s="1348"/>
      <c r="K2581" s="1348"/>
    </row>
    <row r="2582" spans="2:11" hidden="1">
      <c r="B2582" s="1348"/>
      <c r="C2582" s="1348"/>
      <c r="D2582" s="1348"/>
      <c r="E2582" s="1348"/>
      <c r="F2582" s="1348"/>
      <c r="G2582" s="1348"/>
      <c r="H2582" s="1348"/>
      <c r="I2582" s="1348"/>
      <c r="J2582" s="1348"/>
      <c r="K2582" s="1348"/>
    </row>
    <row r="2583" spans="2:11" hidden="1">
      <c r="B2583" s="1348"/>
      <c r="C2583" s="1348"/>
      <c r="D2583" s="1348"/>
      <c r="E2583" s="1348"/>
      <c r="F2583" s="1348"/>
      <c r="G2583" s="1348"/>
      <c r="H2583" s="1348"/>
      <c r="I2583" s="1348"/>
      <c r="J2583" s="1348"/>
      <c r="K2583" s="1348"/>
    </row>
    <row r="2584" spans="2:11" hidden="1">
      <c r="B2584" s="1348"/>
      <c r="C2584" s="1348"/>
      <c r="D2584" s="1348"/>
      <c r="E2584" s="1348"/>
      <c r="F2584" s="1348"/>
      <c r="G2584" s="1348"/>
      <c r="H2584" s="1348"/>
      <c r="I2584" s="1348"/>
      <c r="J2584" s="1348"/>
      <c r="K2584" s="1348"/>
    </row>
    <row r="2585" spans="2:11" hidden="1">
      <c r="B2585" s="1348"/>
      <c r="C2585" s="1348"/>
      <c r="D2585" s="1348"/>
      <c r="E2585" s="1348"/>
      <c r="F2585" s="1348"/>
      <c r="G2585" s="1348"/>
      <c r="H2585" s="1348"/>
      <c r="I2585" s="1348"/>
      <c r="J2585" s="1348"/>
      <c r="K2585" s="1348"/>
    </row>
    <row r="2586" spans="2:11" hidden="1">
      <c r="B2586" s="1348"/>
      <c r="C2586" s="1348"/>
      <c r="D2586" s="1348"/>
      <c r="E2586" s="1348"/>
      <c r="F2586" s="1348"/>
      <c r="G2586" s="1348"/>
      <c r="H2586" s="1348"/>
      <c r="I2586" s="1348"/>
      <c r="J2586" s="1348"/>
      <c r="K2586" s="1348"/>
    </row>
    <row r="2587" spans="2:11" hidden="1">
      <c r="B2587" s="1348"/>
      <c r="C2587" s="1348"/>
      <c r="D2587" s="1348"/>
      <c r="E2587" s="1348"/>
      <c r="F2587" s="1348"/>
      <c r="G2587" s="1348"/>
      <c r="H2587" s="1348"/>
      <c r="I2587" s="1348"/>
      <c r="J2587" s="1348"/>
      <c r="K2587" s="1348"/>
    </row>
    <row r="2588" spans="2:11" hidden="1">
      <c r="B2588" s="1348"/>
      <c r="C2588" s="1348"/>
      <c r="D2588" s="1348"/>
      <c r="E2588" s="1348"/>
      <c r="F2588" s="1348"/>
      <c r="G2588" s="1348"/>
      <c r="H2588" s="1348"/>
      <c r="I2588" s="1348"/>
      <c r="J2588" s="1348"/>
      <c r="K2588" s="1348"/>
    </row>
    <row r="2589" spans="2:11" hidden="1">
      <c r="B2589" s="1348"/>
      <c r="C2589" s="1348"/>
      <c r="D2589" s="1348"/>
      <c r="E2589" s="1348"/>
      <c r="F2589" s="1348"/>
      <c r="G2589" s="1348"/>
      <c r="H2589" s="1348"/>
      <c r="I2589" s="1348"/>
      <c r="J2589" s="1348"/>
      <c r="K2589" s="1348"/>
    </row>
    <row r="2590" spans="2:11" hidden="1">
      <c r="B2590" s="1348"/>
      <c r="C2590" s="1348"/>
      <c r="D2590" s="1348"/>
      <c r="E2590" s="1348"/>
      <c r="F2590" s="1348"/>
      <c r="G2590" s="1348"/>
      <c r="H2590" s="1348"/>
      <c r="I2590" s="1348"/>
      <c r="J2590" s="1348"/>
      <c r="K2590" s="1348"/>
    </row>
    <row r="2591" spans="2:11" hidden="1">
      <c r="B2591" s="1348"/>
      <c r="C2591" s="1348"/>
      <c r="D2591" s="1348"/>
      <c r="E2591" s="1348"/>
      <c r="F2591" s="1348"/>
      <c r="G2591" s="1348"/>
      <c r="H2591" s="1348"/>
      <c r="I2591" s="1348"/>
      <c r="J2591" s="1348"/>
      <c r="K2591" s="1348"/>
    </row>
    <row r="2592" spans="2:11" hidden="1">
      <c r="B2592" s="1348"/>
      <c r="C2592" s="1348"/>
      <c r="D2592" s="1348"/>
      <c r="E2592" s="1348"/>
      <c r="F2592" s="1348"/>
      <c r="G2592" s="1348"/>
      <c r="H2592" s="1348"/>
      <c r="I2592" s="1348"/>
      <c r="J2592" s="1348"/>
      <c r="K2592" s="1348"/>
    </row>
    <row r="2593" spans="2:11" hidden="1">
      <c r="B2593" s="1348"/>
      <c r="C2593" s="1348"/>
      <c r="D2593" s="1348"/>
      <c r="E2593" s="1348"/>
      <c r="F2593" s="1348"/>
      <c r="G2593" s="1348"/>
      <c r="H2593" s="1348"/>
      <c r="I2593" s="1348"/>
      <c r="J2593" s="1348"/>
      <c r="K2593" s="1348"/>
    </row>
    <row r="2594" spans="2:11" hidden="1">
      <c r="B2594" s="1348"/>
      <c r="C2594" s="1348"/>
      <c r="D2594" s="1348"/>
      <c r="E2594" s="1348"/>
      <c r="F2594" s="1348"/>
      <c r="G2594" s="1348"/>
      <c r="H2594" s="1348"/>
      <c r="I2594" s="1348"/>
      <c r="J2594" s="1348"/>
      <c r="K2594" s="1348"/>
    </row>
    <row r="2595" spans="2:11" hidden="1">
      <c r="B2595" s="1348"/>
      <c r="C2595" s="1348"/>
      <c r="D2595" s="1348"/>
      <c r="E2595" s="1348"/>
      <c r="F2595" s="1348"/>
      <c r="G2595" s="1348"/>
      <c r="H2595" s="1348"/>
      <c r="I2595" s="1348"/>
      <c r="J2595" s="1348"/>
      <c r="K2595" s="1348"/>
    </row>
    <row r="2596" spans="2:11" hidden="1">
      <c r="B2596" s="1348"/>
      <c r="C2596" s="1348"/>
      <c r="D2596" s="1348"/>
      <c r="E2596" s="1348"/>
      <c r="F2596" s="1348"/>
      <c r="G2596" s="1348"/>
      <c r="H2596" s="1348"/>
      <c r="I2596" s="1348"/>
      <c r="J2596" s="1348"/>
      <c r="K2596" s="1348"/>
    </row>
    <row r="2597" spans="2:11" hidden="1">
      <c r="B2597" s="1348"/>
      <c r="C2597" s="1348"/>
      <c r="D2597" s="1348"/>
      <c r="E2597" s="1348"/>
      <c r="F2597" s="1348"/>
      <c r="G2597" s="1348"/>
      <c r="H2597" s="1348"/>
      <c r="I2597" s="1348"/>
      <c r="J2597" s="1348"/>
      <c r="K2597" s="1348"/>
    </row>
    <row r="2598" spans="2:11" hidden="1">
      <c r="B2598" s="1348"/>
      <c r="C2598" s="1348"/>
      <c r="D2598" s="1348"/>
      <c r="E2598" s="1348"/>
      <c r="F2598" s="1348"/>
      <c r="G2598" s="1348"/>
      <c r="H2598" s="1348"/>
      <c r="I2598" s="1348"/>
      <c r="J2598" s="1348"/>
      <c r="K2598" s="1348"/>
    </row>
    <row r="2599" spans="2:11" hidden="1">
      <c r="B2599" s="1348"/>
      <c r="C2599" s="1348"/>
      <c r="D2599" s="1348"/>
      <c r="E2599" s="1348"/>
      <c r="F2599" s="1348"/>
      <c r="G2599" s="1348"/>
      <c r="H2599" s="1348"/>
      <c r="I2599" s="1348"/>
      <c r="J2599" s="1348"/>
      <c r="K2599" s="1348"/>
    </row>
    <row r="2600" spans="2:11" hidden="1">
      <c r="B2600" s="1348"/>
      <c r="C2600" s="1348"/>
      <c r="D2600" s="1348"/>
      <c r="E2600" s="1348"/>
      <c r="F2600" s="1348"/>
      <c r="G2600" s="1348"/>
      <c r="H2600" s="1348"/>
      <c r="I2600" s="1348"/>
      <c r="J2600" s="1348"/>
      <c r="K2600" s="1348"/>
    </row>
    <row r="2601" spans="2:11" hidden="1">
      <c r="B2601" s="1348"/>
      <c r="C2601" s="1348"/>
      <c r="D2601" s="1348"/>
      <c r="E2601" s="1348"/>
      <c r="F2601" s="1348"/>
      <c r="G2601" s="1348"/>
      <c r="H2601" s="1348"/>
      <c r="I2601" s="1348"/>
      <c r="J2601" s="1348"/>
      <c r="K2601" s="1348"/>
    </row>
    <row r="2602" spans="2:11" hidden="1">
      <c r="B2602" s="1348"/>
      <c r="C2602" s="1348"/>
      <c r="D2602" s="1348"/>
      <c r="E2602" s="1348"/>
      <c r="F2602" s="1348"/>
      <c r="G2602" s="1348"/>
      <c r="H2602" s="1348"/>
      <c r="I2602" s="1348"/>
      <c r="J2602" s="1348"/>
      <c r="K2602" s="1348"/>
    </row>
    <row r="2603" spans="2:11" hidden="1">
      <c r="B2603" s="1348"/>
      <c r="C2603" s="1348"/>
      <c r="D2603" s="1348"/>
      <c r="E2603" s="1348"/>
      <c r="F2603" s="1348"/>
      <c r="G2603" s="1348"/>
      <c r="H2603" s="1348"/>
      <c r="I2603" s="1348"/>
      <c r="J2603" s="1348"/>
      <c r="K2603" s="1348"/>
    </row>
    <row r="2604" spans="2:11" hidden="1">
      <c r="B2604" s="1348"/>
      <c r="C2604" s="1348"/>
      <c r="D2604" s="1348"/>
      <c r="E2604" s="1348"/>
      <c r="F2604" s="1348"/>
      <c r="G2604" s="1348"/>
      <c r="H2604" s="1348"/>
      <c r="I2604" s="1348"/>
      <c r="J2604" s="1348"/>
      <c r="K2604" s="1348"/>
    </row>
    <row r="2605" spans="2:11" hidden="1">
      <c r="B2605" s="1348"/>
      <c r="C2605" s="1348"/>
      <c r="D2605" s="1348"/>
      <c r="E2605" s="1348"/>
      <c r="F2605" s="1348"/>
      <c r="G2605" s="1348"/>
      <c r="H2605" s="1348"/>
      <c r="I2605" s="1348"/>
      <c r="J2605" s="1348"/>
      <c r="K2605" s="1348"/>
    </row>
    <row r="2606" spans="2:11" hidden="1">
      <c r="B2606" s="1348"/>
      <c r="C2606" s="1348"/>
      <c r="D2606" s="1348"/>
      <c r="E2606" s="1348"/>
      <c r="F2606" s="1348"/>
      <c r="G2606" s="1348"/>
      <c r="H2606" s="1348"/>
      <c r="I2606" s="1348"/>
      <c r="J2606" s="1348"/>
      <c r="K2606" s="1348"/>
    </row>
    <row r="2607" spans="2:11" hidden="1">
      <c r="B2607" s="1348"/>
      <c r="C2607" s="1348"/>
      <c r="D2607" s="1348"/>
      <c r="E2607" s="1348"/>
      <c r="F2607" s="1348"/>
      <c r="G2607" s="1348"/>
      <c r="H2607" s="1348"/>
      <c r="I2607" s="1348"/>
      <c r="J2607" s="1348"/>
      <c r="K2607" s="1348"/>
    </row>
    <row r="2608" spans="2:11" hidden="1">
      <c r="B2608" s="1348"/>
      <c r="C2608" s="1348"/>
      <c r="D2608" s="1348"/>
      <c r="E2608" s="1348"/>
      <c r="F2608" s="1348"/>
      <c r="G2608" s="1348"/>
      <c r="H2608" s="1348"/>
      <c r="I2608" s="1348"/>
      <c r="J2608" s="1348"/>
      <c r="K2608" s="1348"/>
    </row>
    <row r="2609" spans="2:11" hidden="1">
      <c r="B2609" s="1348"/>
      <c r="C2609" s="1348"/>
      <c r="D2609" s="1348"/>
      <c r="E2609" s="1348"/>
      <c r="F2609" s="1348"/>
      <c r="G2609" s="1348"/>
      <c r="H2609" s="1348"/>
      <c r="I2609" s="1348"/>
      <c r="J2609" s="1348"/>
      <c r="K2609" s="1348"/>
    </row>
    <row r="2610" spans="2:11" hidden="1">
      <c r="B2610" s="1348"/>
      <c r="C2610" s="1348"/>
      <c r="D2610" s="1348"/>
      <c r="E2610" s="1348"/>
      <c r="F2610" s="1348"/>
      <c r="G2610" s="1348"/>
      <c r="H2610" s="1348"/>
      <c r="I2610" s="1348"/>
      <c r="J2610" s="1348"/>
      <c r="K2610" s="1348"/>
    </row>
    <row r="2611" spans="2:11" hidden="1">
      <c r="B2611" s="1348"/>
      <c r="C2611" s="1348"/>
      <c r="D2611" s="1348"/>
      <c r="E2611" s="1348"/>
      <c r="F2611" s="1348"/>
      <c r="G2611" s="1348"/>
      <c r="H2611" s="1348"/>
      <c r="I2611" s="1348"/>
      <c r="J2611" s="1348"/>
      <c r="K2611" s="1348"/>
    </row>
    <row r="2612" spans="2:11" hidden="1">
      <c r="B2612" s="1348"/>
      <c r="C2612" s="1348"/>
      <c r="D2612" s="1348"/>
      <c r="E2612" s="1348"/>
      <c r="F2612" s="1348"/>
      <c r="G2612" s="1348"/>
      <c r="H2612" s="1348"/>
      <c r="I2612" s="1348"/>
      <c r="J2612" s="1348"/>
      <c r="K2612" s="1348"/>
    </row>
    <row r="2613" spans="2:11" hidden="1">
      <c r="B2613" s="1348"/>
      <c r="C2613" s="1348"/>
      <c r="D2613" s="1348"/>
      <c r="E2613" s="1348"/>
      <c r="F2613" s="1348"/>
      <c r="G2613" s="1348"/>
      <c r="H2613" s="1348"/>
      <c r="I2613" s="1348"/>
      <c r="J2613" s="1348"/>
      <c r="K2613" s="1348"/>
    </row>
    <row r="2614" spans="2:11" hidden="1">
      <c r="B2614" s="1348"/>
      <c r="C2614" s="1348"/>
      <c r="D2614" s="1348"/>
      <c r="E2614" s="1348"/>
      <c r="F2614" s="1348"/>
      <c r="G2614" s="1348"/>
      <c r="H2614" s="1348"/>
      <c r="I2614" s="1348"/>
      <c r="J2614" s="1348"/>
      <c r="K2614" s="1348"/>
    </row>
    <row r="2615" spans="2:11" hidden="1">
      <c r="B2615" s="1348"/>
      <c r="C2615" s="1348"/>
      <c r="D2615" s="1348"/>
      <c r="E2615" s="1348"/>
      <c r="F2615" s="1348"/>
      <c r="G2615" s="1348"/>
      <c r="H2615" s="1348"/>
      <c r="I2615" s="1348"/>
      <c r="J2615" s="1348"/>
      <c r="K2615" s="1348"/>
    </row>
    <row r="2616" spans="2:11" hidden="1">
      <c r="B2616" s="1348"/>
      <c r="C2616" s="1348"/>
      <c r="D2616" s="1348"/>
      <c r="E2616" s="1348"/>
      <c r="F2616" s="1348"/>
      <c r="G2616" s="1348"/>
      <c r="H2616" s="1348"/>
      <c r="I2616" s="1348"/>
      <c r="J2616" s="1348"/>
      <c r="K2616" s="1348"/>
    </row>
    <row r="2617" spans="2:11" hidden="1">
      <c r="B2617" s="1348"/>
      <c r="C2617" s="1348"/>
      <c r="D2617" s="1348"/>
      <c r="E2617" s="1348"/>
      <c r="F2617" s="1348"/>
      <c r="G2617" s="1348"/>
      <c r="H2617" s="1348"/>
      <c r="I2617" s="1348"/>
      <c r="J2617" s="1348"/>
      <c r="K2617" s="1348"/>
    </row>
    <row r="2618" spans="2:11" hidden="1">
      <c r="B2618" s="1348"/>
      <c r="C2618" s="1348"/>
      <c r="D2618" s="1348"/>
      <c r="E2618" s="1348"/>
      <c r="F2618" s="1348"/>
      <c r="G2618" s="1348"/>
      <c r="H2618" s="1348"/>
      <c r="I2618" s="1348"/>
      <c r="J2618" s="1348"/>
      <c r="K2618" s="1348"/>
    </row>
    <row r="2619" spans="2:11" hidden="1">
      <c r="B2619" s="1348"/>
      <c r="C2619" s="1348"/>
      <c r="D2619" s="1348"/>
      <c r="E2619" s="1348"/>
      <c r="F2619" s="1348"/>
      <c r="G2619" s="1348"/>
      <c r="H2619" s="1348"/>
      <c r="I2619" s="1348"/>
      <c r="J2619" s="1348"/>
      <c r="K2619" s="1348"/>
    </row>
    <row r="2620" spans="2:11" hidden="1">
      <c r="B2620" s="1348"/>
      <c r="C2620" s="1348"/>
      <c r="D2620" s="1348"/>
      <c r="E2620" s="1348"/>
      <c r="F2620" s="1348"/>
      <c r="G2620" s="1348"/>
      <c r="H2620" s="1348"/>
      <c r="I2620" s="1348"/>
      <c r="J2620" s="1348"/>
      <c r="K2620" s="1348"/>
    </row>
    <row r="2621" spans="2:11" hidden="1">
      <c r="B2621" s="1348"/>
      <c r="C2621" s="1348"/>
      <c r="D2621" s="1348"/>
      <c r="E2621" s="1348"/>
      <c r="F2621" s="1348"/>
      <c r="G2621" s="1348"/>
      <c r="H2621" s="1348"/>
      <c r="I2621" s="1348"/>
      <c r="J2621" s="1348"/>
      <c r="K2621" s="1348"/>
    </row>
    <row r="2622" spans="2:11" hidden="1">
      <c r="B2622" s="1348"/>
      <c r="C2622" s="1348"/>
      <c r="D2622" s="1348"/>
      <c r="E2622" s="1348"/>
      <c r="F2622" s="1348"/>
      <c r="G2622" s="1348"/>
      <c r="H2622" s="1348"/>
      <c r="I2622" s="1348"/>
      <c r="J2622" s="1348"/>
      <c r="K2622" s="1348"/>
    </row>
    <row r="2623" spans="2:11" hidden="1">
      <c r="B2623" s="1348"/>
      <c r="C2623" s="1348"/>
      <c r="D2623" s="1348"/>
      <c r="E2623" s="1348"/>
      <c r="F2623" s="1348"/>
      <c r="G2623" s="1348"/>
      <c r="H2623" s="1348"/>
      <c r="I2623" s="1348"/>
      <c r="J2623" s="1348"/>
      <c r="K2623" s="1348"/>
    </row>
    <row r="2624" spans="2:11" hidden="1">
      <c r="B2624" s="1348"/>
      <c r="C2624" s="1348"/>
      <c r="D2624" s="1348"/>
      <c r="E2624" s="1348"/>
      <c r="F2624" s="1348"/>
      <c r="G2624" s="1348"/>
      <c r="H2624" s="1348"/>
      <c r="I2624" s="1348"/>
      <c r="J2624" s="1348"/>
      <c r="K2624" s="1348"/>
    </row>
    <row r="2625" spans="2:11" hidden="1">
      <c r="B2625" s="1348"/>
      <c r="C2625" s="1348"/>
      <c r="D2625" s="1348"/>
      <c r="E2625" s="1348"/>
      <c r="F2625" s="1348"/>
      <c r="G2625" s="1348"/>
      <c r="H2625" s="1348"/>
      <c r="I2625" s="1348"/>
      <c r="J2625" s="1348"/>
      <c r="K2625" s="1348"/>
    </row>
    <row r="2626" spans="2:11" hidden="1">
      <c r="B2626" s="1348"/>
      <c r="C2626" s="1348"/>
      <c r="D2626" s="1348"/>
      <c r="E2626" s="1348"/>
      <c r="F2626" s="1348"/>
      <c r="G2626" s="1348"/>
      <c r="H2626" s="1348"/>
      <c r="I2626" s="1348"/>
      <c r="J2626" s="1348"/>
      <c r="K2626" s="1348"/>
    </row>
    <row r="2627" spans="2:11" hidden="1">
      <c r="B2627" s="1348"/>
      <c r="C2627" s="1348"/>
      <c r="D2627" s="1348"/>
      <c r="E2627" s="1348"/>
      <c r="F2627" s="1348"/>
      <c r="G2627" s="1348"/>
      <c r="H2627" s="1348"/>
      <c r="I2627" s="1348"/>
      <c r="J2627" s="1348"/>
      <c r="K2627" s="1348"/>
    </row>
    <row r="2628" spans="2:11" hidden="1">
      <c r="B2628" s="1348"/>
      <c r="C2628" s="1348"/>
      <c r="D2628" s="1348"/>
      <c r="E2628" s="1348"/>
      <c r="F2628" s="1348"/>
      <c r="G2628" s="1348"/>
      <c r="H2628" s="1348"/>
      <c r="I2628" s="1348"/>
      <c r="J2628" s="1348"/>
      <c r="K2628" s="1348"/>
    </row>
    <row r="2629" spans="2:11" hidden="1">
      <c r="B2629" s="1348"/>
      <c r="C2629" s="1348"/>
      <c r="D2629" s="1348"/>
      <c r="E2629" s="1348"/>
      <c r="F2629" s="1348"/>
      <c r="G2629" s="1348"/>
      <c r="H2629" s="1348"/>
      <c r="I2629" s="1348"/>
      <c r="J2629" s="1348"/>
      <c r="K2629" s="1348"/>
    </row>
    <row r="2630" spans="2:11" hidden="1">
      <c r="B2630" s="1348"/>
      <c r="C2630" s="1348"/>
      <c r="D2630" s="1348"/>
      <c r="E2630" s="1348"/>
      <c r="F2630" s="1348"/>
      <c r="G2630" s="1348"/>
      <c r="H2630" s="1348"/>
      <c r="I2630" s="1348"/>
      <c r="J2630" s="1348"/>
      <c r="K2630" s="1348"/>
    </row>
    <row r="2631" spans="2:11" hidden="1">
      <c r="B2631" s="1348"/>
      <c r="C2631" s="1348"/>
      <c r="D2631" s="1348"/>
      <c r="E2631" s="1348"/>
      <c r="F2631" s="1348"/>
      <c r="G2631" s="1348"/>
      <c r="H2631" s="1348"/>
      <c r="I2631" s="1348"/>
      <c r="J2631" s="1348"/>
      <c r="K2631" s="1348"/>
    </row>
    <row r="2632" spans="2:11" hidden="1">
      <c r="B2632" s="1348"/>
      <c r="C2632" s="1348"/>
      <c r="D2632" s="1348"/>
      <c r="E2632" s="1348"/>
      <c r="F2632" s="1348"/>
      <c r="G2632" s="1348"/>
      <c r="H2632" s="1348"/>
      <c r="I2632" s="1348"/>
      <c r="J2632" s="1348"/>
      <c r="K2632" s="1348"/>
    </row>
    <row r="2633" spans="2:11" hidden="1">
      <c r="B2633" s="1348"/>
      <c r="C2633" s="1348"/>
      <c r="D2633" s="1348"/>
      <c r="E2633" s="1348"/>
      <c r="F2633" s="1348"/>
      <c r="G2633" s="1348"/>
      <c r="H2633" s="1348"/>
      <c r="I2633" s="1348"/>
      <c r="J2633" s="1348"/>
      <c r="K2633" s="1348"/>
    </row>
    <row r="2634" spans="2:11" hidden="1">
      <c r="B2634" s="1348"/>
      <c r="C2634" s="1348"/>
      <c r="D2634" s="1348"/>
      <c r="E2634" s="1348"/>
      <c r="F2634" s="1348"/>
      <c r="G2634" s="1348"/>
      <c r="H2634" s="1348"/>
      <c r="I2634" s="1348"/>
      <c r="J2634" s="1348"/>
      <c r="K2634" s="1348"/>
    </row>
    <row r="2635" spans="2:11" hidden="1">
      <c r="B2635" s="1348"/>
      <c r="C2635" s="1348"/>
      <c r="D2635" s="1348"/>
      <c r="E2635" s="1348"/>
      <c r="F2635" s="1348"/>
      <c r="G2635" s="1348"/>
      <c r="H2635" s="1348"/>
      <c r="I2635" s="1348"/>
      <c r="J2635" s="1348"/>
      <c r="K2635" s="1348"/>
    </row>
    <row r="2636" spans="2:11" hidden="1">
      <c r="B2636" s="1348"/>
      <c r="C2636" s="1348"/>
      <c r="D2636" s="1348"/>
      <c r="E2636" s="1348"/>
      <c r="F2636" s="1348"/>
      <c r="G2636" s="1348"/>
      <c r="H2636" s="1348"/>
      <c r="I2636" s="1348"/>
      <c r="J2636" s="1348"/>
      <c r="K2636" s="1348"/>
    </row>
    <row r="2637" spans="2:11" hidden="1">
      <c r="B2637" s="1348"/>
      <c r="C2637" s="1348"/>
      <c r="D2637" s="1348"/>
      <c r="E2637" s="1348"/>
      <c r="F2637" s="1348"/>
      <c r="G2637" s="1348"/>
      <c r="H2637" s="1348"/>
      <c r="I2637" s="1348"/>
      <c r="J2637" s="1348"/>
      <c r="K2637" s="1348"/>
    </row>
    <row r="2638" spans="2:11" hidden="1">
      <c r="B2638" s="1348"/>
      <c r="C2638" s="1348"/>
      <c r="D2638" s="1348"/>
      <c r="E2638" s="1348"/>
      <c r="F2638" s="1348"/>
      <c r="G2638" s="1348"/>
      <c r="H2638" s="1348"/>
      <c r="I2638" s="1348"/>
      <c r="J2638" s="1348"/>
      <c r="K2638" s="1348"/>
    </row>
    <row r="2639" spans="2:11" hidden="1">
      <c r="B2639" s="1348"/>
      <c r="C2639" s="1348"/>
      <c r="D2639" s="1348"/>
      <c r="E2639" s="1348"/>
      <c r="F2639" s="1348"/>
      <c r="G2639" s="1348"/>
      <c r="H2639" s="1348"/>
      <c r="I2639" s="1348"/>
      <c r="J2639" s="1348"/>
      <c r="K2639" s="1348"/>
    </row>
    <row r="2640" spans="2:11" hidden="1">
      <c r="B2640" s="1348"/>
      <c r="C2640" s="1348"/>
      <c r="D2640" s="1348"/>
      <c r="E2640" s="1348"/>
      <c r="F2640" s="1348"/>
      <c r="G2640" s="1348"/>
      <c r="H2640" s="1348"/>
      <c r="I2640" s="1348"/>
      <c r="J2640" s="1348"/>
      <c r="K2640" s="1348"/>
    </row>
    <row r="2641" spans="2:11" hidden="1">
      <c r="B2641" s="1348"/>
      <c r="C2641" s="1348"/>
      <c r="D2641" s="1348"/>
      <c r="E2641" s="1348"/>
      <c r="F2641" s="1348"/>
      <c r="G2641" s="1348"/>
      <c r="H2641" s="1348"/>
      <c r="I2641" s="1348"/>
      <c r="J2641" s="1348"/>
      <c r="K2641" s="1348"/>
    </row>
    <row r="2642" spans="2:11" hidden="1">
      <c r="B2642" s="1348"/>
      <c r="C2642" s="1348"/>
      <c r="D2642" s="1348"/>
      <c r="E2642" s="1348"/>
      <c r="F2642" s="1348"/>
      <c r="G2642" s="1348"/>
      <c r="H2642" s="1348"/>
      <c r="I2642" s="1348"/>
      <c r="J2642" s="1348"/>
      <c r="K2642" s="1348"/>
    </row>
    <row r="2643" spans="2:11" hidden="1">
      <c r="B2643" s="1348"/>
      <c r="C2643" s="1348"/>
      <c r="D2643" s="1348"/>
      <c r="E2643" s="1348"/>
      <c r="F2643" s="1348"/>
      <c r="G2643" s="1348"/>
      <c r="H2643" s="1348"/>
      <c r="I2643" s="1348"/>
      <c r="J2643" s="1348"/>
      <c r="K2643" s="1348"/>
    </row>
    <row r="2644" spans="2:11" hidden="1">
      <c r="B2644" s="1348"/>
      <c r="C2644" s="1348"/>
      <c r="D2644" s="1348"/>
      <c r="E2644" s="1348"/>
      <c r="F2644" s="1348"/>
      <c r="G2644" s="1348"/>
      <c r="H2644" s="1348"/>
      <c r="I2644" s="1348"/>
      <c r="J2644" s="1348"/>
      <c r="K2644" s="1348"/>
    </row>
    <row r="2645" spans="2:11" hidden="1">
      <c r="B2645" s="1348"/>
      <c r="C2645" s="1348"/>
      <c r="D2645" s="1348"/>
      <c r="E2645" s="1348"/>
      <c r="F2645" s="1348"/>
      <c r="G2645" s="1348"/>
      <c r="H2645" s="1348"/>
      <c r="I2645" s="1348"/>
      <c r="J2645" s="1348"/>
      <c r="K2645" s="1348"/>
    </row>
    <row r="2646" spans="2:11" hidden="1">
      <c r="B2646" s="1348"/>
      <c r="C2646" s="1348"/>
      <c r="D2646" s="1348"/>
      <c r="E2646" s="1348"/>
      <c r="F2646" s="1348"/>
      <c r="G2646" s="1348"/>
      <c r="H2646" s="1348"/>
      <c r="I2646" s="1348"/>
      <c r="J2646" s="1348"/>
      <c r="K2646" s="1348"/>
    </row>
    <row r="2647" spans="2:11" hidden="1">
      <c r="B2647" s="1348"/>
      <c r="C2647" s="1348"/>
      <c r="D2647" s="1348"/>
      <c r="E2647" s="1348"/>
      <c r="F2647" s="1348"/>
      <c r="G2647" s="1348"/>
      <c r="H2647" s="1348"/>
      <c r="I2647" s="1348"/>
      <c r="J2647" s="1348"/>
      <c r="K2647" s="1348"/>
    </row>
    <row r="2648" spans="2:11" hidden="1">
      <c r="B2648" s="1348"/>
      <c r="C2648" s="1348"/>
      <c r="D2648" s="1348"/>
      <c r="E2648" s="1348"/>
      <c r="F2648" s="1348"/>
      <c r="G2648" s="1348"/>
      <c r="H2648" s="1348"/>
      <c r="I2648" s="1348"/>
      <c r="J2648" s="1348"/>
      <c r="K2648" s="1348"/>
    </row>
    <row r="2649" spans="2:11" hidden="1">
      <c r="B2649" s="1348"/>
      <c r="C2649" s="1348"/>
      <c r="D2649" s="1348"/>
      <c r="E2649" s="1348"/>
      <c r="F2649" s="1348"/>
      <c r="G2649" s="1348"/>
      <c r="H2649" s="1348"/>
      <c r="I2649" s="1348"/>
      <c r="J2649" s="1348"/>
      <c r="K2649" s="1348"/>
    </row>
    <row r="2650" spans="2:11" hidden="1">
      <c r="B2650" s="1348"/>
      <c r="C2650" s="1348"/>
      <c r="D2650" s="1348"/>
      <c r="E2650" s="1348"/>
      <c r="F2650" s="1348"/>
      <c r="G2650" s="1348"/>
      <c r="H2650" s="1348"/>
      <c r="I2650" s="1348"/>
      <c r="J2650" s="1348"/>
      <c r="K2650" s="1348"/>
    </row>
    <row r="2651" spans="2:11" hidden="1">
      <c r="B2651" s="1348"/>
      <c r="C2651" s="1348"/>
      <c r="D2651" s="1348"/>
      <c r="E2651" s="1348"/>
      <c r="F2651" s="1348"/>
      <c r="G2651" s="1348"/>
      <c r="H2651" s="1348"/>
      <c r="I2651" s="1348"/>
      <c r="J2651" s="1348"/>
      <c r="K2651" s="1348"/>
    </row>
    <row r="2652" spans="2:11" hidden="1">
      <c r="B2652" s="1348"/>
      <c r="C2652" s="1348"/>
      <c r="D2652" s="1348"/>
      <c r="E2652" s="1348"/>
      <c r="F2652" s="1348"/>
      <c r="G2652" s="1348"/>
      <c r="H2652" s="1348"/>
      <c r="I2652" s="1348"/>
      <c r="J2652" s="1348"/>
      <c r="K2652" s="1348"/>
    </row>
    <row r="2653" spans="2:11" hidden="1">
      <c r="B2653" s="1348"/>
      <c r="C2653" s="1348"/>
      <c r="D2653" s="1348"/>
      <c r="E2653" s="1348"/>
      <c r="F2653" s="1348"/>
      <c r="G2653" s="1348"/>
      <c r="H2653" s="1348"/>
      <c r="I2653" s="1348"/>
      <c r="J2653" s="1348"/>
      <c r="K2653" s="1348"/>
    </row>
    <row r="2654" spans="2:11" hidden="1">
      <c r="B2654" s="1348"/>
      <c r="C2654" s="1348"/>
      <c r="D2654" s="1348"/>
      <c r="E2654" s="1348"/>
      <c r="F2654" s="1348"/>
      <c r="G2654" s="1348"/>
      <c r="H2654" s="1348"/>
      <c r="I2654" s="1348"/>
      <c r="J2654" s="1348"/>
      <c r="K2654" s="1348"/>
    </row>
    <row r="2655" spans="2:11" hidden="1">
      <c r="B2655" s="1348"/>
      <c r="C2655" s="1348"/>
      <c r="D2655" s="1348"/>
      <c r="E2655" s="1348"/>
      <c r="F2655" s="1348"/>
      <c r="G2655" s="1348"/>
      <c r="H2655" s="1348"/>
      <c r="I2655" s="1348"/>
      <c r="J2655" s="1348"/>
      <c r="K2655" s="1348"/>
    </row>
    <row r="2656" spans="2:11" hidden="1">
      <c r="B2656" s="1348"/>
      <c r="C2656" s="1348"/>
      <c r="D2656" s="1348"/>
      <c r="E2656" s="1348"/>
      <c r="F2656" s="1348"/>
      <c r="G2656" s="1348"/>
      <c r="H2656" s="1348"/>
      <c r="I2656" s="1348"/>
      <c r="J2656" s="1348"/>
      <c r="K2656" s="1348"/>
    </row>
    <row r="2657" spans="2:11" hidden="1">
      <c r="B2657" s="1348"/>
      <c r="C2657" s="1348"/>
      <c r="D2657" s="1348"/>
      <c r="E2657" s="1348"/>
      <c r="F2657" s="1348"/>
      <c r="G2657" s="1348"/>
      <c r="H2657" s="1348"/>
      <c r="I2657" s="1348"/>
      <c r="J2657" s="1348"/>
      <c r="K2657" s="1348"/>
    </row>
    <row r="2658" spans="2:11" hidden="1">
      <c r="B2658" s="1348"/>
      <c r="C2658" s="1348"/>
      <c r="D2658" s="1348"/>
      <c r="E2658" s="1348"/>
      <c r="F2658" s="1348"/>
      <c r="G2658" s="1348"/>
      <c r="H2658" s="1348"/>
      <c r="I2658" s="1348"/>
      <c r="J2658" s="1348"/>
      <c r="K2658" s="1348"/>
    </row>
    <row r="2659" spans="2:11" hidden="1">
      <c r="B2659" s="1348"/>
      <c r="C2659" s="1348"/>
      <c r="D2659" s="1348"/>
      <c r="E2659" s="1348"/>
      <c r="F2659" s="1348"/>
      <c r="G2659" s="1348"/>
      <c r="H2659" s="1348"/>
      <c r="I2659" s="1348"/>
      <c r="J2659" s="1348"/>
      <c r="K2659" s="1348"/>
    </row>
    <row r="2660" spans="2:11" hidden="1">
      <c r="B2660" s="1348"/>
      <c r="C2660" s="1348"/>
      <c r="D2660" s="1348"/>
      <c r="E2660" s="1348"/>
      <c r="F2660" s="1348"/>
      <c r="G2660" s="1348"/>
      <c r="H2660" s="1348"/>
      <c r="I2660" s="1348"/>
      <c r="J2660" s="1348"/>
      <c r="K2660" s="1348"/>
    </row>
    <row r="2661" spans="2:11" hidden="1">
      <c r="B2661" s="1348"/>
      <c r="C2661" s="1348"/>
      <c r="D2661" s="1348"/>
      <c r="E2661" s="1348"/>
      <c r="F2661" s="1348"/>
      <c r="G2661" s="1348"/>
      <c r="H2661" s="1348"/>
      <c r="I2661" s="1348"/>
      <c r="J2661" s="1348"/>
      <c r="K2661" s="1348"/>
    </row>
    <row r="2662" spans="2:11" hidden="1">
      <c r="B2662" s="1348"/>
      <c r="C2662" s="1348"/>
      <c r="D2662" s="1348"/>
      <c r="E2662" s="1348"/>
      <c r="F2662" s="1348"/>
      <c r="G2662" s="1348"/>
      <c r="H2662" s="1348"/>
      <c r="I2662" s="1348"/>
      <c r="J2662" s="1348"/>
      <c r="K2662" s="1348"/>
    </row>
    <row r="2663" spans="2:11" hidden="1">
      <c r="B2663" s="1348"/>
      <c r="C2663" s="1348"/>
      <c r="D2663" s="1348"/>
      <c r="E2663" s="1348"/>
      <c r="F2663" s="1348"/>
      <c r="G2663" s="1348"/>
      <c r="H2663" s="1348"/>
      <c r="I2663" s="1348"/>
      <c r="J2663" s="1348"/>
      <c r="K2663" s="1348"/>
    </row>
    <row r="2664" spans="2:11" hidden="1">
      <c r="B2664" s="1348"/>
      <c r="C2664" s="1348"/>
      <c r="D2664" s="1348"/>
      <c r="E2664" s="1348"/>
      <c r="F2664" s="1348"/>
      <c r="G2664" s="1348"/>
      <c r="H2664" s="1348"/>
      <c r="I2664" s="1348"/>
      <c r="J2664" s="1348"/>
      <c r="K2664" s="1348"/>
    </row>
    <row r="2665" spans="2:11" hidden="1">
      <c r="B2665" s="1348"/>
      <c r="C2665" s="1348"/>
      <c r="D2665" s="1348"/>
      <c r="E2665" s="1348"/>
      <c r="F2665" s="1348"/>
      <c r="G2665" s="1348"/>
      <c r="H2665" s="1348"/>
      <c r="I2665" s="1348"/>
      <c r="J2665" s="1348"/>
      <c r="K2665" s="1348"/>
    </row>
    <row r="2666" spans="2:11" hidden="1">
      <c r="B2666" s="1348"/>
      <c r="C2666" s="1348"/>
      <c r="D2666" s="1348"/>
      <c r="E2666" s="1348"/>
      <c r="F2666" s="1348"/>
      <c r="G2666" s="1348"/>
      <c r="H2666" s="1348"/>
      <c r="I2666" s="1348"/>
      <c r="J2666" s="1348"/>
      <c r="K2666" s="1348"/>
    </row>
    <row r="2667" spans="2:11" hidden="1">
      <c r="B2667" s="1348"/>
      <c r="C2667" s="1348"/>
      <c r="D2667" s="1348"/>
      <c r="E2667" s="1348"/>
      <c r="F2667" s="1348"/>
      <c r="G2667" s="1348"/>
      <c r="H2667" s="1348"/>
      <c r="I2667" s="1348"/>
      <c r="J2667" s="1348"/>
      <c r="K2667" s="1348"/>
    </row>
    <row r="2668" spans="2:11" hidden="1">
      <c r="B2668" s="1348"/>
      <c r="C2668" s="1348"/>
      <c r="D2668" s="1348"/>
      <c r="E2668" s="1348"/>
      <c r="F2668" s="1348"/>
      <c r="G2668" s="1348"/>
      <c r="H2668" s="1348"/>
      <c r="I2668" s="1348"/>
      <c r="J2668" s="1348"/>
      <c r="K2668" s="1348"/>
    </row>
    <row r="2669" spans="2:11" hidden="1">
      <c r="B2669" s="1348"/>
      <c r="C2669" s="1348"/>
      <c r="D2669" s="1348"/>
      <c r="E2669" s="1348"/>
      <c r="F2669" s="1348"/>
      <c r="G2669" s="1348"/>
      <c r="H2669" s="1348"/>
      <c r="I2669" s="1348"/>
      <c r="J2669" s="1348"/>
      <c r="K2669" s="1348"/>
    </row>
    <row r="2670" spans="2:11" hidden="1">
      <c r="B2670" s="1348"/>
      <c r="C2670" s="1348"/>
      <c r="D2670" s="1348"/>
      <c r="E2670" s="1348"/>
      <c r="F2670" s="1348"/>
      <c r="G2670" s="1348"/>
      <c r="H2670" s="1348"/>
      <c r="I2670" s="1348"/>
      <c r="J2670" s="1348"/>
      <c r="K2670" s="1348"/>
    </row>
    <row r="2671" spans="2:11" hidden="1">
      <c r="B2671" s="1348"/>
      <c r="C2671" s="1348"/>
      <c r="D2671" s="1348"/>
      <c r="E2671" s="1348"/>
      <c r="F2671" s="1348"/>
      <c r="G2671" s="1348"/>
      <c r="H2671" s="1348"/>
      <c r="I2671" s="1348"/>
      <c r="J2671" s="1348"/>
      <c r="K2671" s="1348"/>
    </row>
    <row r="2672" spans="2:11" hidden="1">
      <c r="B2672" s="1348"/>
      <c r="C2672" s="1348"/>
      <c r="D2672" s="1348"/>
      <c r="E2672" s="1348"/>
      <c r="F2672" s="1348"/>
      <c r="G2672" s="1348"/>
      <c r="H2672" s="1348"/>
      <c r="I2672" s="1348"/>
      <c r="J2672" s="1348"/>
      <c r="K2672" s="1348"/>
    </row>
    <row r="2673" spans="2:11" hidden="1">
      <c r="B2673" s="1348"/>
      <c r="C2673" s="1348"/>
      <c r="D2673" s="1348"/>
      <c r="E2673" s="1348"/>
      <c r="F2673" s="1348"/>
      <c r="G2673" s="1348"/>
      <c r="H2673" s="1348"/>
      <c r="I2673" s="1348"/>
      <c r="J2673" s="1348"/>
      <c r="K2673" s="1348"/>
    </row>
    <row r="2674" spans="2:11" hidden="1">
      <c r="B2674" s="1348"/>
      <c r="C2674" s="1348"/>
      <c r="D2674" s="1348"/>
      <c r="E2674" s="1348"/>
      <c r="F2674" s="1348"/>
      <c r="G2674" s="1348"/>
      <c r="H2674" s="1348"/>
      <c r="I2674" s="1348"/>
      <c r="J2674" s="1348"/>
      <c r="K2674" s="1348"/>
    </row>
    <row r="2675" spans="2:11" hidden="1">
      <c r="B2675" s="1348"/>
      <c r="C2675" s="1348"/>
      <c r="D2675" s="1348"/>
      <c r="E2675" s="1348"/>
      <c r="F2675" s="1348"/>
      <c r="G2675" s="1348"/>
      <c r="H2675" s="1348"/>
      <c r="I2675" s="1348"/>
      <c r="J2675" s="1348"/>
      <c r="K2675" s="1348"/>
    </row>
    <row r="2676" spans="2:11" hidden="1">
      <c r="B2676" s="1348"/>
      <c r="C2676" s="1348"/>
      <c r="D2676" s="1348"/>
      <c r="E2676" s="1348"/>
      <c r="F2676" s="1348"/>
      <c r="G2676" s="1348"/>
      <c r="H2676" s="1348"/>
      <c r="I2676" s="1348"/>
      <c r="J2676" s="1348"/>
      <c r="K2676" s="1348"/>
    </row>
    <row r="2677" spans="2:11" hidden="1">
      <c r="B2677" s="1348"/>
      <c r="C2677" s="1348"/>
      <c r="D2677" s="1348"/>
      <c r="E2677" s="1348"/>
      <c r="F2677" s="1348"/>
      <c r="G2677" s="1348"/>
      <c r="H2677" s="1348"/>
      <c r="I2677" s="1348"/>
      <c r="J2677" s="1348"/>
      <c r="K2677" s="1348"/>
    </row>
    <row r="2678" spans="2:11" hidden="1">
      <c r="B2678" s="1348"/>
      <c r="C2678" s="1348"/>
      <c r="D2678" s="1348"/>
      <c r="E2678" s="1348"/>
      <c r="F2678" s="1348"/>
      <c r="G2678" s="1348"/>
      <c r="H2678" s="1348"/>
      <c r="I2678" s="1348"/>
      <c r="J2678" s="1348"/>
      <c r="K2678" s="1348"/>
    </row>
    <row r="2679" spans="2:11" hidden="1">
      <c r="B2679" s="1348"/>
      <c r="C2679" s="1348"/>
      <c r="D2679" s="1348"/>
      <c r="E2679" s="1348"/>
      <c r="F2679" s="1348"/>
      <c r="G2679" s="1348"/>
      <c r="H2679" s="1348"/>
      <c r="I2679" s="1348"/>
      <c r="J2679" s="1348"/>
      <c r="K2679" s="1348"/>
    </row>
    <row r="2680" spans="2:11" hidden="1">
      <c r="B2680" s="1348"/>
      <c r="C2680" s="1348"/>
      <c r="D2680" s="1348"/>
      <c r="E2680" s="1348"/>
      <c r="F2680" s="1348"/>
      <c r="G2680" s="1348"/>
      <c r="H2680" s="1348"/>
      <c r="I2680" s="1348"/>
      <c r="J2680" s="1348"/>
      <c r="K2680" s="1348"/>
    </row>
    <row r="2681" spans="2:11" hidden="1">
      <c r="B2681" s="1348"/>
      <c r="C2681" s="1348"/>
      <c r="D2681" s="1348"/>
      <c r="E2681" s="1348"/>
      <c r="F2681" s="1348"/>
      <c r="G2681" s="1348"/>
      <c r="H2681" s="1348"/>
      <c r="I2681" s="1348"/>
      <c r="J2681" s="1348"/>
      <c r="K2681" s="1348"/>
    </row>
    <row r="2682" spans="2:11" hidden="1">
      <c r="B2682" s="1348"/>
      <c r="C2682" s="1348"/>
      <c r="D2682" s="1348"/>
      <c r="E2682" s="1348"/>
      <c r="F2682" s="1348"/>
      <c r="G2682" s="1348"/>
      <c r="H2682" s="1348"/>
      <c r="I2682" s="1348"/>
      <c r="J2682" s="1348"/>
      <c r="K2682" s="1348"/>
    </row>
    <row r="2683" spans="2:11" hidden="1">
      <c r="B2683" s="1348"/>
      <c r="C2683" s="1348"/>
      <c r="D2683" s="1348"/>
      <c r="E2683" s="1348"/>
      <c r="F2683" s="1348"/>
      <c r="G2683" s="1348"/>
      <c r="H2683" s="1348"/>
      <c r="I2683" s="1348"/>
      <c r="J2683" s="1348"/>
      <c r="K2683" s="1348"/>
    </row>
    <row r="2684" spans="2:11" hidden="1">
      <c r="B2684" s="1348"/>
      <c r="C2684" s="1348"/>
      <c r="D2684" s="1348"/>
      <c r="E2684" s="1348"/>
      <c r="F2684" s="1348"/>
      <c r="G2684" s="1348"/>
      <c r="H2684" s="1348"/>
      <c r="I2684" s="1348"/>
      <c r="J2684" s="1348"/>
      <c r="K2684" s="1348"/>
    </row>
    <row r="2685" spans="2:11" hidden="1">
      <c r="B2685" s="1348"/>
      <c r="C2685" s="1348"/>
      <c r="D2685" s="1348"/>
      <c r="E2685" s="1348"/>
      <c r="F2685" s="1348"/>
      <c r="G2685" s="1348"/>
      <c r="H2685" s="1348"/>
      <c r="I2685" s="1348"/>
      <c r="J2685" s="1348"/>
      <c r="K2685" s="1348"/>
    </row>
    <row r="2686" spans="2:11" hidden="1">
      <c r="B2686" s="1348"/>
      <c r="C2686" s="1348"/>
      <c r="D2686" s="1348"/>
      <c r="E2686" s="1348"/>
      <c r="F2686" s="1348"/>
      <c r="G2686" s="1348"/>
      <c r="H2686" s="1348"/>
      <c r="I2686" s="1348"/>
      <c r="J2686" s="1348"/>
      <c r="K2686" s="1348"/>
    </row>
    <row r="2687" spans="2:11" hidden="1">
      <c r="B2687" s="1348"/>
      <c r="C2687" s="1348"/>
      <c r="D2687" s="1348"/>
      <c r="E2687" s="1348"/>
      <c r="F2687" s="1348"/>
      <c r="G2687" s="1348"/>
      <c r="H2687" s="1348"/>
      <c r="I2687" s="1348"/>
      <c r="J2687" s="1348"/>
      <c r="K2687" s="1348"/>
    </row>
    <row r="2688" spans="2:11" hidden="1">
      <c r="B2688" s="1348"/>
      <c r="C2688" s="1348"/>
      <c r="D2688" s="1348"/>
      <c r="E2688" s="1348"/>
      <c r="F2688" s="1348"/>
      <c r="G2688" s="1348"/>
      <c r="H2688" s="1348"/>
      <c r="I2688" s="1348"/>
      <c r="J2688" s="1348"/>
      <c r="K2688" s="1348"/>
    </row>
    <row r="2689" spans="2:11" hidden="1">
      <c r="B2689" s="1348"/>
      <c r="C2689" s="1348"/>
      <c r="D2689" s="1348"/>
      <c r="E2689" s="1348"/>
      <c r="F2689" s="1348"/>
      <c r="G2689" s="1348"/>
      <c r="H2689" s="1348"/>
      <c r="I2689" s="1348"/>
      <c r="J2689" s="1348"/>
      <c r="K2689" s="1348"/>
    </row>
    <row r="2690" spans="2:11" hidden="1">
      <c r="B2690" s="1348"/>
      <c r="C2690" s="1348"/>
      <c r="D2690" s="1348"/>
      <c r="E2690" s="1348"/>
      <c r="F2690" s="1348"/>
      <c r="G2690" s="1348"/>
      <c r="H2690" s="1348"/>
      <c r="I2690" s="1348"/>
      <c r="J2690" s="1348"/>
      <c r="K2690" s="1348"/>
    </row>
    <row r="2691" spans="2:11" hidden="1">
      <c r="B2691" s="1348"/>
      <c r="C2691" s="1348"/>
      <c r="D2691" s="1348"/>
      <c r="E2691" s="1348"/>
      <c r="F2691" s="1348"/>
      <c r="G2691" s="1348"/>
      <c r="H2691" s="1348"/>
      <c r="I2691" s="1348"/>
      <c r="J2691" s="1348"/>
      <c r="K2691" s="1348"/>
    </row>
    <row r="2692" spans="2:11" hidden="1">
      <c r="B2692" s="1348"/>
      <c r="C2692" s="1348"/>
      <c r="D2692" s="1348"/>
      <c r="E2692" s="1348"/>
      <c r="F2692" s="1348"/>
      <c r="G2692" s="1348"/>
      <c r="H2692" s="1348"/>
      <c r="I2692" s="1348"/>
      <c r="J2692" s="1348"/>
      <c r="K2692" s="1348"/>
    </row>
    <row r="2693" spans="2:11" hidden="1">
      <c r="B2693" s="1348"/>
      <c r="C2693" s="1348"/>
      <c r="D2693" s="1348"/>
      <c r="E2693" s="1348"/>
      <c r="F2693" s="1348"/>
      <c r="G2693" s="1348"/>
      <c r="H2693" s="1348"/>
      <c r="I2693" s="1348"/>
      <c r="J2693" s="1348"/>
      <c r="K2693" s="1348"/>
    </row>
    <row r="2694" spans="2:11" hidden="1">
      <c r="B2694" s="1348"/>
      <c r="C2694" s="1348"/>
      <c r="D2694" s="1348"/>
      <c r="E2694" s="1348"/>
      <c r="F2694" s="1348"/>
      <c r="G2694" s="1348"/>
      <c r="H2694" s="1348"/>
      <c r="I2694" s="1348"/>
      <c r="J2694" s="1348"/>
      <c r="K2694" s="1348"/>
    </row>
    <row r="2695" spans="2:11" hidden="1">
      <c r="B2695" s="1348"/>
      <c r="C2695" s="1348"/>
      <c r="D2695" s="1348"/>
      <c r="E2695" s="1348"/>
      <c r="F2695" s="1348"/>
      <c r="G2695" s="1348"/>
      <c r="H2695" s="1348"/>
      <c r="I2695" s="1348"/>
      <c r="J2695" s="1348"/>
      <c r="K2695" s="1348"/>
    </row>
    <row r="2696" spans="2:11" hidden="1">
      <c r="B2696" s="1348"/>
      <c r="C2696" s="1348"/>
      <c r="D2696" s="1348"/>
      <c r="E2696" s="1348"/>
      <c r="F2696" s="1348"/>
      <c r="G2696" s="1348"/>
      <c r="H2696" s="1348"/>
      <c r="I2696" s="1348"/>
      <c r="J2696" s="1348"/>
      <c r="K2696" s="1348"/>
    </row>
    <row r="2697" spans="2:11" hidden="1">
      <c r="B2697" s="1348"/>
      <c r="C2697" s="1348"/>
      <c r="D2697" s="1348"/>
      <c r="E2697" s="1348"/>
      <c r="F2697" s="1348"/>
      <c r="G2697" s="1348"/>
      <c r="H2697" s="1348"/>
      <c r="I2697" s="1348"/>
      <c r="J2697" s="1348"/>
      <c r="K2697" s="1348"/>
    </row>
    <row r="2698" spans="2:11" hidden="1">
      <c r="B2698" s="1348"/>
      <c r="C2698" s="1348"/>
      <c r="D2698" s="1348"/>
      <c r="E2698" s="1348"/>
      <c r="F2698" s="1348"/>
      <c r="G2698" s="1348"/>
      <c r="H2698" s="1348"/>
      <c r="I2698" s="1348"/>
      <c r="J2698" s="1348"/>
      <c r="K2698" s="1348"/>
    </row>
    <row r="2699" spans="2:11" hidden="1">
      <c r="B2699" s="1348"/>
      <c r="C2699" s="1348"/>
      <c r="D2699" s="1348"/>
      <c r="E2699" s="1348"/>
      <c r="F2699" s="1348"/>
      <c r="G2699" s="1348"/>
      <c r="H2699" s="1348"/>
      <c r="I2699" s="1348"/>
      <c r="J2699" s="1348"/>
      <c r="K2699" s="1348"/>
    </row>
    <row r="2700" spans="2:11" hidden="1">
      <c r="B2700" s="1348"/>
      <c r="C2700" s="1348"/>
      <c r="D2700" s="1348"/>
      <c r="E2700" s="1348"/>
      <c r="F2700" s="1348"/>
      <c r="G2700" s="1348"/>
      <c r="H2700" s="1348"/>
      <c r="I2700" s="1348"/>
      <c r="J2700" s="1348"/>
      <c r="K2700" s="1348"/>
    </row>
    <row r="2701" spans="2:11" hidden="1">
      <c r="B2701" s="1348"/>
      <c r="C2701" s="1348"/>
      <c r="D2701" s="1348"/>
      <c r="E2701" s="1348"/>
      <c r="F2701" s="1348"/>
      <c r="G2701" s="1348"/>
      <c r="H2701" s="1348"/>
      <c r="I2701" s="1348"/>
      <c r="J2701" s="1348"/>
      <c r="K2701" s="1348"/>
    </row>
    <row r="2702" spans="2:11" hidden="1">
      <c r="B2702" s="1348"/>
      <c r="C2702" s="1348"/>
      <c r="D2702" s="1348"/>
      <c r="E2702" s="1348"/>
      <c r="F2702" s="1348"/>
      <c r="G2702" s="1348"/>
      <c r="H2702" s="1348"/>
      <c r="I2702" s="1348"/>
      <c r="J2702" s="1348"/>
      <c r="K2702" s="1348"/>
    </row>
    <row r="2703" spans="2:11" hidden="1">
      <c r="B2703" s="1348"/>
      <c r="C2703" s="1348"/>
      <c r="D2703" s="1348"/>
      <c r="E2703" s="1348"/>
      <c r="F2703" s="1348"/>
      <c r="G2703" s="1348"/>
      <c r="H2703" s="1348"/>
      <c r="I2703" s="1348"/>
      <c r="J2703" s="1348"/>
      <c r="K2703" s="1348"/>
    </row>
    <row r="2704" spans="2:11" hidden="1">
      <c r="B2704" s="1348"/>
      <c r="C2704" s="1348"/>
      <c r="D2704" s="1348"/>
      <c r="E2704" s="1348"/>
      <c r="F2704" s="1348"/>
      <c r="G2704" s="1348"/>
      <c r="H2704" s="1348"/>
      <c r="I2704" s="1348"/>
      <c r="J2704" s="1348"/>
      <c r="K2704" s="1348"/>
    </row>
    <row r="2705" spans="2:11" hidden="1">
      <c r="B2705" s="1348"/>
      <c r="C2705" s="1348"/>
      <c r="D2705" s="1348"/>
      <c r="E2705" s="1348"/>
      <c r="F2705" s="1348"/>
      <c r="G2705" s="1348"/>
      <c r="H2705" s="1348"/>
      <c r="I2705" s="1348"/>
      <c r="J2705" s="1348"/>
      <c r="K2705" s="1348"/>
    </row>
    <row r="2706" spans="2:11" hidden="1">
      <c r="B2706" s="1348"/>
      <c r="C2706" s="1348"/>
      <c r="D2706" s="1348"/>
      <c r="E2706" s="1348"/>
      <c r="F2706" s="1348"/>
      <c r="G2706" s="1348"/>
      <c r="H2706" s="1348"/>
      <c r="I2706" s="1348"/>
      <c r="J2706" s="1348"/>
      <c r="K2706" s="1348"/>
    </row>
    <row r="2707" spans="2:11" hidden="1">
      <c r="B2707" s="1348"/>
      <c r="C2707" s="1348"/>
      <c r="D2707" s="1348"/>
      <c r="E2707" s="1348"/>
      <c r="F2707" s="1348"/>
      <c r="G2707" s="1348"/>
      <c r="H2707" s="1348"/>
      <c r="I2707" s="1348"/>
      <c r="J2707" s="1348"/>
      <c r="K2707" s="1348"/>
    </row>
    <row r="2708" spans="2:11" hidden="1">
      <c r="B2708" s="1348"/>
      <c r="C2708" s="1348"/>
      <c r="D2708" s="1348"/>
      <c r="E2708" s="1348"/>
      <c r="F2708" s="1348"/>
      <c r="G2708" s="1348"/>
      <c r="H2708" s="1348"/>
      <c r="I2708" s="1348"/>
      <c r="J2708" s="1348"/>
      <c r="K2708" s="1348"/>
    </row>
    <row r="2709" spans="2:11" hidden="1">
      <c r="B2709" s="1348"/>
      <c r="C2709" s="1348"/>
      <c r="D2709" s="1348"/>
      <c r="E2709" s="1348"/>
      <c r="F2709" s="1348"/>
      <c r="G2709" s="1348"/>
      <c r="H2709" s="1348"/>
      <c r="I2709" s="1348"/>
      <c r="J2709" s="1348"/>
      <c r="K2709" s="1348"/>
    </row>
    <row r="2710" spans="2:11" hidden="1">
      <c r="B2710" s="1348"/>
      <c r="C2710" s="1348"/>
      <c r="D2710" s="1348"/>
      <c r="E2710" s="1348"/>
      <c r="F2710" s="1348"/>
      <c r="G2710" s="1348"/>
      <c r="H2710" s="1348"/>
      <c r="I2710" s="1348"/>
      <c r="J2710" s="1348"/>
      <c r="K2710" s="1348"/>
    </row>
    <row r="2711" spans="2:11" hidden="1">
      <c r="B2711" s="1348"/>
      <c r="C2711" s="1348"/>
      <c r="D2711" s="1348"/>
      <c r="E2711" s="1348"/>
      <c r="F2711" s="1348"/>
      <c r="G2711" s="1348"/>
      <c r="H2711" s="1348"/>
      <c r="I2711" s="1348"/>
      <c r="J2711" s="1348"/>
      <c r="K2711" s="1348"/>
    </row>
    <row r="2712" spans="2:11" hidden="1">
      <c r="B2712" s="1348"/>
      <c r="C2712" s="1348"/>
      <c r="D2712" s="1348"/>
      <c r="E2712" s="1348"/>
      <c r="F2712" s="1348"/>
      <c r="G2712" s="1348"/>
      <c r="H2712" s="1348"/>
      <c r="I2712" s="1348"/>
      <c r="J2712" s="1348"/>
      <c r="K2712" s="1348"/>
    </row>
    <row r="2713" spans="2:11" hidden="1">
      <c r="B2713" s="1348"/>
      <c r="C2713" s="1348"/>
      <c r="D2713" s="1348"/>
      <c r="E2713" s="1348"/>
      <c r="F2713" s="1348"/>
      <c r="G2713" s="1348"/>
      <c r="H2713" s="1348"/>
      <c r="I2713" s="1348"/>
      <c r="J2713" s="1348"/>
      <c r="K2713" s="1348"/>
    </row>
    <row r="2714" spans="2:11" hidden="1">
      <c r="B2714" s="1348"/>
      <c r="C2714" s="1348"/>
      <c r="D2714" s="1348"/>
      <c r="E2714" s="1348"/>
      <c r="F2714" s="1348"/>
      <c r="G2714" s="1348"/>
      <c r="H2714" s="1348"/>
      <c r="I2714" s="1348"/>
      <c r="J2714" s="1348"/>
      <c r="K2714" s="1348"/>
    </row>
    <row r="2715" spans="2:11" hidden="1">
      <c r="B2715" s="1348"/>
      <c r="C2715" s="1348"/>
      <c r="D2715" s="1348"/>
      <c r="E2715" s="1348"/>
      <c r="F2715" s="1348"/>
      <c r="G2715" s="1348"/>
      <c r="H2715" s="1348"/>
      <c r="I2715" s="1348"/>
      <c r="J2715" s="1348"/>
      <c r="K2715" s="1348"/>
    </row>
    <row r="2716" spans="2:11" hidden="1">
      <c r="B2716" s="1348"/>
      <c r="C2716" s="1348"/>
      <c r="D2716" s="1348"/>
      <c r="E2716" s="1348"/>
      <c r="F2716" s="1348"/>
      <c r="G2716" s="1348"/>
      <c r="H2716" s="1348"/>
      <c r="I2716" s="1348"/>
      <c r="J2716" s="1348"/>
      <c r="K2716" s="1348"/>
    </row>
    <row r="2717" spans="2:11" hidden="1">
      <c r="B2717" s="1348"/>
      <c r="C2717" s="1348"/>
      <c r="D2717" s="1348"/>
      <c r="E2717" s="1348"/>
      <c r="F2717" s="1348"/>
      <c r="G2717" s="1348"/>
      <c r="H2717" s="1348"/>
      <c r="I2717" s="1348"/>
      <c r="J2717" s="1348"/>
      <c r="K2717" s="1348"/>
    </row>
    <row r="2718" spans="2:11" hidden="1">
      <c r="B2718" s="1348"/>
      <c r="C2718" s="1348"/>
      <c r="D2718" s="1348"/>
      <c r="E2718" s="1348"/>
      <c r="F2718" s="1348"/>
      <c r="G2718" s="1348"/>
      <c r="H2718" s="1348"/>
      <c r="I2718" s="1348"/>
      <c r="J2718" s="1348"/>
      <c r="K2718" s="1348"/>
    </row>
    <row r="2719" spans="2:11" hidden="1">
      <c r="B2719" s="1348"/>
      <c r="C2719" s="1348"/>
      <c r="D2719" s="1348"/>
      <c r="E2719" s="1348"/>
      <c r="F2719" s="1348"/>
      <c r="G2719" s="1348"/>
      <c r="H2719" s="1348"/>
      <c r="I2719" s="1348"/>
      <c r="J2719" s="1348"/>
      <c r="K2719" s="1348"/>
    </row>
    <row r="2720" spans="2:11" hidden="1">
      <c r="B2720" s="1348"/>
      <c r="C2720" s="1348"/>
      <c r="D2720" s="1348"/>
      <c r="E2720" s="1348"/>
      <c r="F2720" s="1348"/>
      <c r="G2720" s="1348"/>
      <c r="H2720" s="1348"/>
      <c r="I2720" s="1348"/>
      <c r="J2720" s="1348"/>
      <c r="K2720" s="1348"/>
    </row>
    <row r="2721" spans="2:11" hidden="1">
      <c r="B2721" s="1348"/>
      <c r="C2721" s="1348"/>
      <c r="D2721" s="1348"/>
      <c r="E2721" s="1348"/>
      <c r="F2721" s="1348"/>
      <c r="G2721" s="1348"/>
      <c r="H2721" s="1348"/>
      <c r="I2721" s="1348"/>
      <c r="J2721" s="1348"/>
      <c r="K2721" s="1348"/>
    </row>
    <row r="2722" spans="2:11" hidden="1">
      <c r="B2722" s="1348"/>
      <c r="C2722" s="1348"/>
      <c r="D2722" s="1348"/>
      <c r="E2722" s="1348"/>
      <c r="F2722" s="1348"/>
      <c r="G2722" s="1348"/>
      <c r="H2722" s="1348"/>
      <c r="I2722" s="1348"/>
      <c r="J2722" s="1348"/>
      <c r="K2722" s="1348"/>
    </row>
    <row r="2723" spans="2:11" hidden="1">
      <c r="B2723" s="1348"/>
      <c r="C2723" s="1348"/>
      <c r="D2723" s="1348"/>
      <c r="E2723" s="1348"/>
      <c r="F2723" s="1348"/>
      <c r="G2723" s="1348"/>
      <c r="H2723" s="1348"/>
      <c r="I2723" s="1348"/>
      <c r="J2723" s="1348"/>
      <c r="K2723" s="1348"/>
    </row>
    <row r="2724" spans="2:11" hidden="1">
      <c r="B2724" s="1348"/>
      <c r="C2724" s="1348"/>
      <c r="D2724" s="1348"/>
      <c r="E2724" s="1348"/>
      <c r="F2724" s="1348"/>
      <c r="G2724" s="1348"/>
      <c r="H2724" s="1348"/>
      <c r="I2724" s="1348"/>
      <c r="J2724" s="1348"/>
      <c r="K2724" s="1348"/>
    </row>
    <row r="2725" spans="2:11" hidden="1">
      <c r="B2725" s="1348"/>
      <c r="C2725" s="1348"/>
      <c r="D2725" s="1348"/>
      <c r="E2725" s="1348"/>
      <c r="F2725" s="1348"/>
      <c r="G2725" s="1348"/>
      <c r="H2725" s="1348"/>
      <c r="I2725" s="1348"/>
      <c r="J2725" s="1348"/>
      <c r="K2725" s="1348"/>
    </row>
    <row r="2726" spans="2:11" hidden="1">
      <c r="B2726" s="1348"/>
      <c r="C2726" s="1348"/>
      <c r="D2726" s="1348"/>
      <c r="E2726" s="1348"/>
      <c r="F2726" s="1348"/>
      <c r="G2726" s="1348"/>
      <c r="H2726" s="1348"/>
      <c r="I2726" s="1348"/>
      <c r="J2726" s="1348"/>
      <c r="K2726" s="1348"/>
    </row>
    <row r="2727" spans="2:11" hidden="1">
      <c r="B2727" s="1348"/>
      <c r="C2727" s="1348"/>
      <c r="D2727" s="1348"/>
      <c r="E2727" s="1348"/>
      <c r="F2727" s="1348"/>
      <c r="G2727" s="1348"/>
      <c r="H2727" s="1348"/>
      <c r="I2727" s="1348"/>
      <c r="J2727" s="1348"/>
      <c r="K2727" s="1348"/>
    </row>
    <row r="2728" spans="2:11" hidden="1">
      <c r="B2728" s="1348"/>
      <c r="C2728" s="1348"/>
      <c r="D2728" s="1348"/>
      <c r="E2728" s="1348"/>
      <c r="F2728" s="1348"/>
      <c r="G2728" s="1348"/>
      <c r="H2728" s="1348"/>
      <c r="I2728" s="1348"/>
      <c r="J2728" s="1348"/>
      <c r="K2728" s="1348"/>
    </row>
    <row r="2729" spans="2:11" hidden="1">
      <c r="B2729" s="1348"/>
      <c r="C2729" s="1348"/>
      <c r="D2729" s="1348"/>
      <c r="E2729" s="1348"/>
      <c r="F2729" s="1348"/>
      <c r="G2729" s="1348"/>
      <c r="H2729" s="1348"/>
      <c r="I2729" s="1348"/>
      <c r="J2729" s="1348"/>
      <c r="K2729" s="1348"/>
    </row>
    <row r="2730" spans="2:11" hidden="1">
      <c r="B2730" s="1348"/>
      <c r="C2730" s="1348"/>
      <c r="D2730" s="1348"/>
      <c r="E2730" s="1348"/>
      <c r="F2730" s="1348"/>
      <c r="G2730" s="1348"/>
      <c r="H2730" s="1348"/>
      <c r="I2730" s="1348"/>
      <c r="J2730" s="1348"/>
      <c r="K2730" s="1348"/>
    </row>
    <row r="2731" spans="2:11" hidden="1">
      <c r="B2731" s="1348"/>
      <c r="C2731" s="1348"/>
      <c r="D2731" s="1348"/>
      <c r="E2731" s="1348"/>
      <c r="F2731" s="1348"/>
      <c r="G2731" s="1348"/>
      <c r="H2731" s="1348"/>
      <c r="I2731" s="1348"/>
      <c r="J2731" s="1348"/>
      <c r="K2731" s="1348"/>
    </row>
    <row r="2732" spans="2:11" hidden="1">
      <c r="B2732" s="1348"/>
      <c r="C2732" s="1348"/>
      <c r="D2732" s="1348"/>
      <c r="E2732" s="1348"/>
      <c r="F2732" s="1348"/>
      <c r="G2732" s="1348"/>
      <c r="H2732" s="1348"/>
      <c r="I2732" s="1348"/>
      <c r="J2732" s="1348"/>
      <c r="K2732" s="1348"/>
    </row>
    <row r="2733" spans="2:11" hidden="1">
      <c r="B2733" s="1348"/>
      <c r="C2733" s="1348"/>
      <c r="D2733" s="1348"/>
      <c r="E2733" s="1348"/>
      <c r="F2733" s="1348"/>
      <c r="G2733" s="1348"/>
      <c r="H2733" s="1348"/>
      <c r="I2733" s="1348"/>
      <c r="J2733" s="1348"/>
      <c r="K2733" s="1348"/>
    </row>
    <row r="2734" spans="2:11" hidden="1">
      <c r="B2734" s="1348"/>
      <c r="C2734" s="1348"/>
      <c r="D2734" s="1348"/>
      <c r="E2734" s="1348"/>
      <c r="F2734" s="1348"/>
      <c r="G2734" s="1348"/>
      <c r="H2734" s="1348"/>
      <c r="I2734" s="1348"/>
      <c r="J2734" s="1348"/>
      <c r="K2734" s="1348"/>
    </row>
    <row r="2735" spans="2:11" hidden="1">
      <c r="B2735" s="1348"/>
      <c r="C2735" s="1348"/>
      <c r="D2735" s="1348"/>
      <c r="E2735" s="1348"/>
      <c r="F2735" s="1348"/>
      <c r="G2735" s="1348"/>
      <c r="H2735" s="1348"/>
      <c r="I2735" s="1348"/>
      <c r="J2735" s="1348"/>
      <c r="K2735" s="1348"/>
    </row>
    <row r="2736" spans="2:11" hidden="1">
      <c r="B2736" s="1348"/>
      <c r="C2736" s="1348"/>
      <c r="D2736" s="1348"/>
      <c r="E2736" s="1348"/>
      <c r="F2736" s="1348"/>
      <c r="G2736" s="1348"/>
      <c r="H2736" s="1348"/>
      <c r="I2736" s="1348"/>
      <c r="J2736" s="1348"/>
      <c r="K2736" s="1348"/>
    </row>
    <row r="2737" spans="2:11" hidden="1">
      <c r="B2737" s="1348"/>
      <c r="C2737" s="1348"/>
      <c r="D2737" s="1348"/>
      <c r="E2737" s="1348"/>
      <c r="F2737" s="1348"/>
      <c r="G2737" s="1348"/>
      <c r="H2737" s="1348"/>
      <c r="I2737" s="1348"/>
      <c r="J2737" s="1348"/>
      <c r="K2737" s="1348"/>
    </row>
    <row r="2738" spans="2:11" hidden="1">
      <c r="B2738" s="1348"/>
      <c r="C2738" s="1348"/>
      <c r="D2738" s="1348"/>
      <c r="E2738" s="1348"/>
      <c r="F2738" s="1348"/>
      <c r="G2738" s="1348"/>
      <c r="H2738" s="1348"/>
      <c r="I2738" s="1348"/>
      <c r="J2738" s="1348"/>
      <c r="K2738" s="1348"/>
    </row>
    <row r="2739" spans="2:11" hidden="1">
      <c r="B2739" s="1348"/>
      <c r="C2739" s="1348"/>
      <c r="D2739" s="1348"/>
      <c r="E2739" s="1348"/>
      <c r="F2739" s="1348"/>
      <c r="G2739" s="1348"/>
      <c r="H2739" s="1348"/>
      <c r="I2739" s="1348"/>
      <c r="J2739" s="1348"/>
      <c r="K2739" s="1348"/>
    </row>
    <row r="2740" spans="2:11" hidden="1">
      <c r="B2740" s="1348"/>
      <c r="C2740" s="1348"/>
      <c r="D2740" s="1348"/>
      <c r="E2740" s="1348"/>
      <c r="F2740" s="1348"/>
      <c r="G2740" s="1348"/>
      <c r="H2740" s="1348"/>
      <c r="I2740" s="1348"/>
      <c r="J2740" s="1348"/>
      <c r="K2740" s="1348"/>
    </row>
    <row r="2741" spans="2:11" hidden="1">
      <c r="B2741" s="1348"/>
      <c r="C2741" s="1348"/>
      <c r="D2741" s="1348"/>
      <c r="E2741" s="1348"/>
      <c r="F2741" s="1348"/>
      <c r="G2741" s="1348"/>
      <c r="H2741" s="1348"/>
      <c r="I2741" s="1348"/>
      <c r="J2741" s="1348"/>
      <c r="K2741" s="1348"/>
    </row>
    <row r="2742" spans="2:11" hidden="1">
      <c r="B2742" s="1348"/>
      <c r="C2742" s="1348"/>
      <c r="D2742" s="1348"/>
      <c r="E2742" s="1348"/>
      <c r="F2742" s="1348"/>
      <c r="G2742" s="1348"/>
      <c r="H2742" s="1348"/>
      <c r="I2742" s="1348"/>
      <c r="J2742" s="1348"/>
      <c r="K2742" s="1348"/>
    </row>
    <row r="2743" spans="2:11" hidden="1">
      <c r="B2743" s="1348"/>
      <c r="C2743" s="1348"/>
      <c r="D2743" s="1348"/>
      <c r="E2743" s="1348"/>
      <c r="F2743" s="1348"/>
      <c r="G2743" s="1348"/>
      <c r="H2743" s="1348"/>
      <c r="I2743" s="1348"/>
      <c r="J2743" s="1348"/>
      <c r="K2743" s="1348"/>
    </row>
    <row r="2744" spans="2:11" hidden="1">
      <c r="B2744" s="1348"/>
      <c r="C2744" s="1348"/>
      <c r="D2744" s="1348"/>
      <c r="E2744" s="1348"/>
      <c r="F2744" s="1348"/>
      <c r="G2744" s="1348"/>
      <c r="H2744" s="1348"/>
      <c r="I2744" s="1348"/>
      <c r="J2744" s="1348"/>
      <c r="K2744" s="1348"/>
    </row>
    <row r="2745" spans="2:11" hidden="1">
      <c r="B2745" s="1348"/>
      <c r="C2745" s="1348"/>
      <c r="D2745" s="1348"/>
      <c r="E2745" s="1348"/>
      <c r="F2745" s="1348"/>
      <c r="G2745" s="1348"/>
      <c r="H2745" s="1348"/>
      <c r="I2745" s="1348"/>
      <c r="J2745" s="1348"/>
      <c r="K2745" s="1348"/>
    </row>
    <row r="2746" spans="2:11" hidden="1">
      <c r="B2746" s="1348"/>
      <c r="C2746" s="1348"/>
      <c r="D2746" s="1348"/>
      <c r="E2746" s="1348"/>
      <c r="F2746" s="1348"/>
      <c r="G2746" s="1348"/>
      <c r="H2746" s="1348"/>
      <c r="I2746" s="1348"/>
      <c r="J2746" s="1348"/>
      <c r="K2746" s="1348"/>
    </row>
    <row r="2747" spans="2:11" hidden="1">
      <c r="B2747" s="1348"/>
      <c r="C2747" s="1348"/>
      <c r="D2747" s="1348"/>
      <c r="E2747" s="1348"/>
      <c r="F2747" s="1348"/>
      <c r="G2747" s="1348"/>
      <c r="H2747" s="1348"/>
      <c r="I2747" s="1348"/>
      <c r="J2747" s="1348"/>
      <c r="K2747" s="1348"/>
    </row>
    <row r="2748" spans="2:11" hidden="1">
      <c r="B2748" s="1348"/>
      <c r="C2748" s="1348"/>
      <c r="D2748" s="1348"/>
      <c r="E2748" s="1348"/>
      <c r="F2748" s="1348"/>
      <c r="G2748" s="1348"/>
      <c r="H2748" s="1348"/>
      <c r="I2748" s="1348"/>
      <c r="J2748" s="1348"/>
      <c r="K2748" s="1348"/>
    </row>
    <row r="2749" spans="2:11" hidden="1">
      <c r="B2749" s="1348"/>
      <c r="C2749" s="1348"/>
      <c r="D2749" s="1348"/>
      <c r="E2749" s="1348"/>
      <c r="F2749" s="1348"/>
      <c r="G2749" s="1348"/>
      <c r="H2749" s="1348"/>
      <c r="I2749" s="1348"/>
      <c r="J2749" s="1348"/>
      <c r="K2749" s="1348"/>
    </row>
    <row r="2750" spans="2:11" hidden="1">
      <c r="B2750" s="1348"/>
      <c r="C2750" s="1348"/>
      <c r="D2750" s="1348"/>
      <c r="E2750" s="1348"/>
      <c r="F2750" s="1348"/>
      <c r="G2750" s="1348"/>
      <c r="H2750" s="1348"/>
      <c r="I2750" s="1348"/>
      <c r="J2750" s="1348"/>
      <c r="K2750" s="1348"/>
    </row>
    <row r="2751" spans="2:11" hidden="1">
      <c r="B2751" s="1348"/>
      <c r="C2751" s="1348"/>
      <c r="D2751" s="1348"/>
      <c r="E2751" s="1348"/>
      <c r="F2751" s="1348"/>
      <c r="G2751" s="1348"/>
      <c r="H2751" s="1348"/>
      <c r="I2751" s="1348"/>
      <c r="J2751" s="1348"/>
      <c r="K2751" s="1348"/>
    </row>
    <row r="2752" spans="2:11" hidden="1">
      <c r="B2752" s="1348"/>
      <c r="C2752" s="1348"/>
      <c r="D2752" s="1348"/>
      <c r="E2752" s="1348"/>
      <c r="F2752" s="1348"/>
      <c r="G2752" s="1348"/>
      <c r="H2752" s="1348"/>
      <c r="I2752" s="1348"/>
      <c r="J2752" s="1348"/>
      <c r="K2752" s="1348"/>
    </row>
    <row r="2753" spans="2:11" hidden="1">
      <c r="B2753" s="1348"/>
      <c r="C2753" s="1348"/>
      <c r="D2753" s="1348"/>
      <c r="E2753" s="1348"/>
      <c r="F2753" s="1348"/>
      <c r="G2753" s="1348"/>
      <c r="H2753" s="1348"/>
      <c r="I2753" s="1348"/>
      <c r="J2753" s="1348"/>
      <c r="K2753" s="1348"/>
    </row>
    <row r="2754" spans="2:11" hidden="1">
      <c r="B2754" s="1348"/>
      <c r="C2754" s="1348"/>
      <c r="D2754" s="1348"/>
      <c r="E2754" s="1348"/>
      <c r="F2754" s="1348"/>
      <c r="G2754" s="1348"/>
      <c r="H2754" s="1348"/>
      <c r="I2754" s="1348"/>
      <c r="J2754" s="1348"/>
      <c r="K2754" s="1348"/>
    </row>
    <row r="2755" spans="2:11" hidden="1">
      <c r="B2755" s="1348"/>
      <c r="C2755" s="1348"/>
      <c r="D2755" s="1348"/>
      <c r="E2755" s="1348"/>
      <c r="F2755" s="1348"/>
      <c r="G2755" s="1348"/>
      <c r="H2755" s="1348"/>
      <c r="I2755" s="1348"/>
      <c r="J2755" s="1348"/>
      <c r="K2755" s="1348"/>
    </row>
    <row r="2756" spans="2:11" hidden="1">
      <c r="B2756" s="1348"/>
      <c r="C2756" s="1348"/>
      <c r="D2756" s="1348"/>
      <c r="E2756" s="1348"/>
      <c r="F2756" s="1348"/>
      <c r="G2756" s="1348"/>
      <c r="H2756" s="1348"/>
      <c r="I2756" s="1348"/>
      <c r="J2756" s="1348"/>
      <c r="K2756" s="1348"/>
    </row>
    <row r="2757" spans="2:11" hidden="1">
      <c r="B2757" s="1348"/>
      <c r="C2757" s="1348"/>
      <c r="D2757" s="1348"/>
      <c r="E2757" s="1348"/>
      <c r="F2757" s="1348"/>
      <c r="G2757" s="1348"/>
      <c r="H2757" s="1348"/>
      <c r="I2757" s="1348"/>
      <c r="J2757" s="1348"/>
      <c r="K2757" s="1348"/>
    </row>
    <row r="2758" spans="2:11" hidden="1">
      <c r="B2758" s="1348"/>
      <c r="C2758" s="1348"/>
      <c r="D2758" s="1348"/>
      <c r="E2758" s="1348"/>
      <c r="F2758" s="1348"/>
      <c r="G2758" s="1348"/>
      <c r="H2758" s="1348"/>
      <c r="I2758" s="1348"/>
      <c r="J2758" s="1348"/>
      <c r="K2758" s="1348"/>
    </row>
    <row r="2759" spans="2:11" hidden="1">
      <c r="B2759" s="1348"/>
      <c r="C2759" s="1348"/>
      <c r="D2759" s="1348"/>
      <c r="E2759" s="1348"/>
      <c r="F2759" s="1348"/>
      <c r="G2759" s="1348"/>
      <c r="H2759" s="1348"/>
      <c r="I2759" s="1348"/>
      <c r="J2759" s="1348"/>
      <c r="K2759" s="1348"/>
    </row>
    <row r="2760" spans="2:11" hidden="1">
      <c r="B2760" s="1348"/>
      <c r="C2760" s="1348"/>
      <c r="D2760" s="1348"/>
      <c r="E2760" s="1348"/>
      <c r="F2760" s="1348"/>
      <c r="G2760" s="1348"/>
      <c r="H2760" s="1348"/>
      <c r="I2760" s="1348"/>
      <c r="J2760" s="1348"/>
      <c r="K2760" s="1348"/>
    </row>
    <row r="2761" spans="2:11" hidden="1">
      <c r="B2761" s="1348"/>
      <c r="C2761" s="1348"/>
      <c r="D2761" s="1348"/>
      <c r="E2761" s="1348"/>
      <c r="F2761" s="1348"/>
      <c r="G2761" s="1348"/>
      <c r="H2761" s="1348"/>
      <c r="I2761" s="1348"/>
      <c r="J2761" s="1348"/>
      <c r="K2761" s="1348"/>
    </row>
    <row r="2762" spans="2:11" hidden="1">
      <c r="B2762" s="1348"/>
      <c r="C2762" s="1348"/>
      <c r="D2762" s="1348"/>
      <c r="E2762" s="1348"/>
      <c r="F2762" s="1348"/>
      <c r="G2762" s="1348"/>
      <c r="H2762" s="1348"/>
      <c r="I2762" s="1348"/>
      <c r="J2762" s="1348"/>
      <c r="K2762" s="1348"/>
    </row>
    <row r="2763" spans="2:11" hidden="1">
      <c r="B2763" s="1348"/>
      <c r="C2763" s="1348"/>
      <c r="D2763" s="1348"/>
      <c r="E2763" s="1348"/>
      <c r="F2763" s="1348"/>
      <c r="G2763" s="1348"/>
      <c r="H2763" s="1348"/>
      <c r="I2763" s="1348"/>
      <c r="J2763" s="1348"/>
      <c r="K2763" s="1348"/>
    </row>
    <row r="2764" spans="2:11" hidden="1">
      <c r="B2764" s="1348"/>
      <c r="C2764" s="1348"/>
      <c r="D2764" s="1348"/>
      <c r="E2764" s="1348"/>
      <c r="F2764" s="1348"/>
      <c r="G2764" s="1348"/>
      <c r="H2764" s="1348"/>
      <c r="I2764" s="1348"/>
      <c r="J2764" s="1348"/>
      <c r="K2764" s="1348"/>
    </row>
    <row r="2765" spans="2:11" hidden="1">
      <c r="B2765" s="1348"/>
      <c r="C2765" s="1348"/>
      <c r="D2765" s="1348"/>
      <c r="E2765" s="1348"/>
      <c r="F2765" s="1348"/>
      <c r="G2765" s="1348"/>
      <c r="H2765" s="1348"/>
      <c r="I2765" s="1348"/>
      <c r="J2765" s="1348"/>
      <c r="K2765" s="1348"/>
    </row>
    <row r="2766" spans="2:11" hidden="1">
      <c r="B2766" s="1348"/>
      <c r="C2766" s="1348"/>
      <c r="D2766" s="1348"/>
      <c r="E2766" s="1348"/>
      <c r="F2766" s="1348"/>
      <c r="G2766" s="1348"/>
      <c r="H2766" s="1348"/>
      <c r="I2766" s="1348"/>
      <c r="J2766" s="1348"/>
      <c r="K2766" s="1348"/>
    </row>
    <row r="2767" spans="2:11" hidden="1">
      <c r="B2767" s="1348"/>
      <c r="C2767" s="1348"/>
      <c r="D2767" s="1348"/>
      <c r="E2767" s="1348"/>
      <c r="F2767" s="1348"/>
      <c r="G2767" s="1348"/>
      <c r="H2767" s="1348"/>
      <c r="I2767" s="1348"/>
      <c r="J2767" s="1348"/>
      <c r="K2767" s="1348"/>
    </row>
    <row r="2768" spans="2:11" hidden="1">
      <c r="B2768" s="1348"/>
      <c r="C2768" s="1348"/>
      <c r="D2768" s="1348"/>
      <c r="E2768" s="1348"/>
      <c r="F2768" s="1348"/>
      <c r="G2768" s="1348"/>
      <c r="H2768" s="1348"/>
      <c r="I2768" s="1348"/>
      <c r="J2768" s="1348"/>
      <c r="K2768" s="1348"/>
    </row>
    <row r="2769" spans="2:11" hidden="1">
      <c r="B2769" s="1348"/>
      <c r="C2769" s="1348"/>
      <c r="D2769" s="1348"/>
      <c r="E2769" s="1348"/>
      <c r="F2769" s="1348"/>
      <c r="G2769" s="1348"/>
      <c r="H2769" s="1348"/>
      <c r="I2769" s="1348"/>
      <c r="J2769" s="1348"/>
      <c r="K2769" s="1348"/>
    </row>
    <row r="2770" spans="2:11" hidden="1">
      <c r="B2770" s="1348"/>
      <c r="C2770" s="1348"/>
      <c r="D2770" s="1348"/>
      <c r="E2770" s="1348"/>
      <c r="F2770" s="1348"/>
      <c r="G2770" s="1348"/>
      <c r="H2770" s="1348"/>
      <c r="I2770" s="1348"/>
      <c r="J2770" s="1348"/>
      <c r="K2770" s="1348"/>
    </row>
    <row r="2771" spans="2:11" hidden="1">
      <c r="B2771" s="1348"/>
      <c r="C2771" s="1348"/>
      <c r="D2771" s="1348"/>
      <c r="E2771" s="1348"/>
      <c r="F2771" s="1348"/>
      <c r="G2771" s="1348"/>
      <c r="H2771" s="1348"/>
      <c r="I2771" s="1348"/>
      <c r="J2771" s="1348"/>
      <c r="K2771" s="1348"/>
    </row>
    <row r="2772" spans="2:11" hidden="1">
      <c r="B2772" s="1348"/>
      <c r="C2772" s="1348"/>
      <c r="D2772" s="1348"/>
      <c r="E2772" s="1348"/>
      <c r="F2772" s="1348"/>
      <c r="G2772" s="1348"/>
      <c r="H2772" s="1348"/>
      <c r="I2772" s="1348"/>
      <c r="J2772" s="1348"/>
      <c r="K2772" s="1348"/>
    </row>
    <row r="2773" spans="2:11" hidden="1">
      <c r="B2773" s="1348"/>
      <c r="C2773" s="1348"/>
      <c r="D2773" s="1348"/>
      <c r="E2773" s="1348"/>
      <c r="F2773" s="1348"/>
      <c r="G2773" s="1348"/>
      <c r="H2773" s="1348"/>
      <c r="I2773" s="1348"/>
      <c r="J2773" s="1348"/>
      <c r="K2773" s="1348"/>
    </row>
    <row r="2774" spans="2:11" hidden="1">
      <c r="B2774" s="1348"/>
      <c r="C2774" s="1348"/>
      <c r="D2774" s="1348"/>
      <c r="E2774" s="1348"/>
      <c r="F2774" s="1348"/>
      <c r="G2774" s="1348"/>
      <c r="H2774" s="1348"/>
      <c r="I2774" s="1348"/>
      <c r="J2774" s="1348"/>
      <c r="K2774" s="1348"/>
    </row>
    <row r="2775" spans="2:11" hidden="1">
      <c r="B2775" s="1348"/>
      <c r="C2775" s="1348"/>
      <c r="D2775" s="1348"/>
      <c r="E2775" s="1348"/>
      <c r="F2775" s="1348"/>
      <c r="G2775" s="1348"/>
      <c r="H2775" s="1348"/>
      <c r="I2775" s="1348"/>
      <c r="J2775" s="1348"/>
      <c r="K2775" s="1348"/>
    </row>
    <row r="2776" spans="2:11" hidden="1">
      <c r="B2776" s="1348"/>
      <c r="C2776" s="1348"/>
      <c r="D2776" s="1348"/>
      <c r="E2776" s="1348"/>
      <c r="F2776" s="1348"/>
      <c r="G2776" s="1348"/>
      <c r="H2776" s="1348"/>
      <c r="I2776" s="1348"/>
      <c r="J2776" s="1348"/>
      <c r="K2776" s="1348"/>
    </row>
    <row r="2777" spans="2:11" hidden="1">
      <c r="B2777" s="1348"/>
      <c r="C2777" s="1348"/>
      <c r="D2777" s="1348"/>
      <c r="E2777" s="1348"/>
      <c r="F2777" s="1348"/>
      <c r="G2777" s="1348"/>
      <c r="H2777" s="1348"/>
      <c r="I2777" s="1348"/>
      <c r="J2777" s="1348"/>
      <c r="K2777" s="1348"/>
    </row>
    <row r="2778" spans="2:11" hidden="1">
      <c r="B2778" s="1348"/>
      <c r="C2778" s="1348"/>
      <c r="D2778" s="1348"/>
      <c r="E2778" s="1348"/>
      <c r="F2778" s="1348"/>
      <c r="G2778" s="1348"/>
      <c r="H2778" s="1348"/>
      <c r="I2778" s="1348"/>
      <c r="J2778" s="1348"/>
      <c r="K2778" s="1348"/>
    </row>
    <row r="2779" spans="2:11" hidden="1">
      <c r="B2779" s="1348"/>
      <c r="C2779" s="1348"/>
      <c r="D2779" s="1348"/>
      <c r="E2779" s="1348"/>
      <c r="F2779" s="1348"/>
      <c r="G2779" s="1348"/>
      <c r="H2779" s="1348"/>
      <c r="I2779" s="1348"/>
      <c r="J2779" s="1348"/>
      <c r="K2779" s="1348"/>
    </row>
    <row r="2780" spans="2:11" hidden="1">
      <c r="B2780" s="1348"/>
      <c r="C2780" s="1348"/>
      <c r="D2780" s="1348"/>
      <c r="E2780" s="1348"/>
      <c r="F2780" s="1348"/>
      <c r="G2780" s="1348"/>
      <c r="H2780" s="1348"/>
      <c r="I2780" s="1348"/>
      <c r="J2780" s="1348"/>
      <c r="K2780" s="1348"/>
    </row>
    <row r="2781" spans="2:11" hidden="1">
      <c r="B2781" s="1348"/>
      <c r="C2781" s="1348"/>
      <c r="D2781" s="1348"/>
      <c r="E2781" s="1348"/>
      <c r="F2781" s="1348"/>
      <c r="G2781" s="1348"/>
      <c r="H2781" s="1348"/>
      <c r="I2781" s="1348"/>
      <c r="J2781" s="1348"/>
      <c r="K2781" s="1348"/>
    </row>
    <row r="2782" spans="2:11" hidden="1">
      <c r="B2782" s="1348"/>
      <c r="C2782" s="1348"/>
      <c r="D2782" s="1348"/>
      <c r="E2782" s="1348"/>
      <c r="F2782" s="1348"/>
      <c r="G2782" s="1348"/>
      <c r="H2782" s="1348"/>
      <c r="I2782" s="1348"/>
      <c r="J2782" s="1348"/>
      <c r="K2782" s="1348"/>
    </row>
    <row r="2783" spans="2:11" hidden="1">
      <c r="B2783" s="1348"/>
      <c r="C2783" s="1348"/>
      <c r="D2783" s="1348"/>
      <c r="E2783" s="1348"/>
      <c r="F2783" s="1348"/>
      <c r="G2783" s="1348"/>
      <c r="H2783" s="1348"/>
      <c r="I2783" s="1348"/>
      <c r="J2783" s="1348"/>
      <c r="K2783" s="1348"/>
    </row>
    <row r="2784" spans="2:11" hidden="1">
      <c r="B2784" s="1348"/>
      <c r="C2784" s="1348"/>
      <c r="D2784" s="1348"/>
      <c r="E2784" s="1348"/>
      <c r="F2784" s="1348"/>
      <c r="G2784" s="1348"/>
      <c r="H2784" s="1348"/>
      <c r="I2784" s="1348"/>
      <c r="J2784" s="1348"/>
      <c r="K2784" s="1348"/>
    </row>
    <row r="2785" spans="2:11" hidden="1">
      <c r="B2785" s="1348"/>
      <c r="C2785" s="1348"/>
      <c r="D2785" s="1348"/>
      <c r="E2785" s="1348"/>
      <c r="F2785" s="1348"/>
      <c r="G2785" s="1348"/>
      <c r="H2785" s="1348"/>
      <c r="I2785" s="1348"/>
      <c r="J2785" s="1348"/>
      <c r="K2785" s="1348"/>
    </row>
    <row r="2786" spans="2:11" hidden="1">
      <c r="B2786" s="1348"/>
      <c r="C2786" s="1348"/>
      <c r="D2786" s="1348"/>
      <c r="E2786" s="1348"/>
      <c r="F2786" s="1348"/>
      <c r="G2786" s="1348"/>
      <c r="H2786" s="1348"/>
      <c r="I2786" s="1348"/>
      <c r="J2786" s="1348"/>
      <c r="K2786" s="1348"/>
    </row>
    <row r="2787" spans="2:11" hidden="1">
      <c r="B2787" s="1348"/>
      <c r="C2787" s="1348"/>
      <c r="D2787" s="1348"/>
      <c r="E2787" s="1348"/>
      <c r="F2787" s="1348"/>
      <c r="G2787" s="1348"/>
      <c r="H2787" s="1348"/>
      <c r="I2787" s="1348"/>
      <c r="J2787" s="1348"/>
      <c r="K2787" s="1348"/>
    </row>
    <row r="2788" spans="2:11" hidden="1">
      <c r="B2788" s="1348"/>
      <c r="C2788" s="1348"/>
      <c r="D2788" s="1348"/>
      <c r="E2788" s="1348"/>
      <c r="F2788" s="1348"/>
      <c r="G2788" s="1348"/>
      <c r="H2788" s="1348"/>
      <c r="I2788" s="1348"/>
      <c r="J2788" s="1348"/>
      <c r="K2788" s="1348"/>
    </row>
    <row r="2789" spans="2:11" hidden="1">
      <c r="B2789" s="1348"/>
      <c r="C2789" s="1348"/>
      <c r="D2789" s="1348"/>
      <c r="E2789" s="1348"/>
      <c r="F2789" s="1348"/>
      <c r="G2789" s="1348"/>
      <c r="H2789" s="1348"/>
      <c r="I2789" s="1348"/>
      <c r="J2789" s="1348"/>
      <c r="K2789" s="1348"/>
    </row>
    <row r="2790" spans="2:11" hidden="1">
      <c r="B2790" s="1348"/>
      <c r="C2790" s="1348"/>
      <c r="D2790" s="1348"/>
      <c r="E2790" s="1348"/>
      <c r="F2790" s="1348"/>
      <c r="G2790" s="1348"/>
      <c r="H2790" s="1348"/>
      <c r="I2790" s="1348"/>
      <c r="J2790" s="1348"/>
      <c r="K2790" s="1348"/>
    </row>
    <row r="2791" spans="2:11" hidden="1">
      <c r="B2791" s="1348"/>
      <c r="C2791" s="1348"/>
      <c r="D2791" s="1348"/>
      <c r="E2791" s="1348"/>
      <c r="F2791" s="1348"/>
      <c r="G2791" s="1348"/>
      <c r="H2791" s="1348"/>
      <c r="I2791" s="1348"/>
      <c r="J2791" s="1348"/>
      <c r="K2791" s="1348"/>
    </row>
    <row r="2792" spans="2:11" hidden="1">
      <c r="B2792" s="1348"/>
      <c r="C2792" s="1348"/>
      <c r="D2792" s="1348"/>
      <c r="E2792" s="1348"/>
      <c r="F2792" s="1348"/>
      <c r="G2792" s="1348"/>
      <c r="H2792" s="1348"/>
      <c r="I2792" s="1348"/>
      <c r="J2792" s="1348"/>
      <c r="K2792" s="1348"/>
    </row>
    <row r="2793" spans="2:11" hidden="1">
      <c r="B2793" s="1348"/>
      <c r="C2793" s="1348"/>
      <c r="D2793" s="1348"/>
      <c r="E2793" s="1348"/>
      <c r="F2793" s="1348"/>
      <c r="G2793" s="1348"/>
      <c r="H2793" s="1348"/>
      <c r="I2793" s="1348"/>
      <c r="J2793" s="1348"/>
      <c r="K2793" s="1348"/>
    </row>
    <row r="2794" spans="2:11" hidden="1">
      <c r="B2794" s="1348"/>
      <c r="C2794" s="1348"/>
      <c r="D2794" s="1348"/>
      <c r="E2794" s="1348"/>
      <c r="F2794" s="1348"/>
      <c r="G2794" s="1348"/>
      <c r="H2794" s="1348"/>
      <c r="I2794" s="1348"/>
      <c r="J2794" s="1348"/>
      <c r="K2794" s="1348"/>
    </row>
    <row r="2795" spans="2:11" hidden="1">
      <c r="B2795" s="1348"/>
      <c r="C2795" s="1348"/>
      <c r="D2795" s="1348"/>
      <c r="E2795" s="1348"/>
      <c r="F2795" s="1348"/>
      <c r="G2795" s="1348"/>
      <c r="H2795" s="1348"/>
      <c r="I2795" s="1348"/>
      <c r="J2795" s="1348"/>
      <c r="K2795" s="1348"/>
    </row>
    <row r="2796" spans="2:11" hidden="1">
      <c r="B2796" s="1348"/>
      <c r="C2796" s="1348"/>
      <c r="D2796" s="1348"/>
      <c r="E2796" s="1348"/>
      <c r="F2796" s="1348"/>
      <c r="G2796" s="1348"/>
      <c r="H2796" s="1348"/>
      <c r="I2796" s="1348"/>
      <c r="J2796" s="1348"/>
      <c r="K2796" s="1348"/>
    </row>
    <row r="2797" spans="2:11" hidden="1">
      <c r="B2797" s="1348"/>
      <c r="C2797" s="1348"/>
      <c r="D2797" s="1348"/>
      <c r="E2797" s="1348"/>
      <c r="F2797" s="1348"/>
      <c r="G2797" s="1348"/>
      <c r="H2797" s="1348"/>
      <c r="I2797" s="1348"/>
      <c r="J2797" s="1348"/>
      <c r="K2797" s="1348"/>
    </row>
    <row r="2798" spans="2:11" hidden="1">
      <c r="B2798" s="1348"/>
      <c r="C2798" s="1348"/>
      <c r="D2798" s="1348"/>
      <c r="E2798" s="1348"/>
      <c r="F2798" s="1348"/>
      <c r="G2798" s="1348"/>
      <c r="H2798" s="1348"/>
      <c r="I2798" s="1348"/>
      <c r="J2798" s="1348"/>
      <c r="K2798" s="1348"/>
    </row>
    <row r="2799" spans="2:11" hidden="1">
      <c r="B2799" s="1348"/>
      <c r="C2799" s="1348"/>
      <c r="D2799" s="1348"/>
      <c r="E2799" s="1348"/>
      <c r="F2799" s="1348"/>
      <c r="G2799" s="1348"/>
      <c r="H2799" s="1348"/>
      <c r="I2799" s="1348"/>
      <c r="J2799" s="1348"/>
      <c r="K2799" s="1348"/>
    </row>
    <row r="2800" spans="2:11" hidden="1">
      <c r="B2800" s="1348"/>
      <c r="C2800" s="1348"/>
      <c r="D2800" s="1348"/>
      <c r="E2800" s="1348"/>
      <c r="F2800" s="1348"/>
      <c r="G2800" s="1348"/>
      <c r="H2800" s="1348"/>
      <c r="I2800" s="1348"/>
      <c r="J2800" s="1348"/>
      <c r="K2800" s="1348"/>
    </row>
    <row r="2801" spans="2:11" hidden="1">
      <c r="B2801" s="1348"/>
      <c r="C2801" s="1348"/>
      <c r="D2801" s="1348"/>
      <c r="E2801" s="1348"/>
      <c r="F2801" s="1348"/>
      <c r="G2801" s="1348"/>
      <c r="H2801" s="1348"/>
      <c r="I2801" s="1348"/>
      <c r="J2801" s="1348"/>
      <c r="K2801" s="1348"/>
    </row>
    <row r="2802" spans="2:11" hidden="1">
      <c r="B2802" s="1348"/>
      <c r="C2802" s="1348"/>
      <c r="D2802" s="1348"/>
      <c r="E2802" s="1348"/>
      <c r="F2802" s="1348"/>
      <c r="G2802" s="1348"/>
      <c r="H2802" s="1348"/>
      <c r="I2802" s="1348"/>
      <c r="J2802" s="1348"/>
      <c r="K2802" s="1348"/>
    </row>
    <row r="2803" spans="2:11" hidden="1">
      <c r="B2803" s="1348"/>
      <c r="C2803" s="1348"/>
      <c r="D2803" s="1348"/>
      <c r="E2803" s="1348"/>
      <c r="F2803" s="1348"/>
      <c r="G2803" s="1348"/>
      <c r="H2803" s="1348"/>
      <c r="I2803" s="1348"/>
      <c r="J2803" s="1348"/>
      <c r="K2803" s="1348"/>
    </row>
    <row r="2804" spans="2:11" hidden="1">
      <c r="B2804" s="1348"/>
      <c r="C2804" s="1348"/>
      <c r="D2804" s="1348"/>
      <c r="E2804" s="1348"/>
      <c r="F2804" s="1348"/>
      <c r="G2804" s="1348"/>
      <c r="H2804" s="1348"/>
      <c r="I2804" s="1348"/>
      <c r="J2804" s="1348"/>
      <c r="K2804" s="1348"/>
    </row>
    <row r="2805" spans="2:11" hidden="1">
      <c r="B2805" s="1348"/>
      <c r="C2805" s="1348"/>
      <c r="D2805" s="1348"/>
      <c r="E2805" s="1348"/>
      <c r="F2805" s="1348"/>
      <c r="G2805" s="1348"/>
      <c r="H2805" s="1348"/>
      <c r="I2805" s="1348"/>
      <c r="J2805" s="1348"/>
      <c r="K2805" s="1348"/>
    </row>
    <row r="2806" spans="2:11" hidden="1">
      <c r="B2806" s="1348"/>
      <c r="C2806" s="1348"/>
      <c r="D2806" s="1348"/>
      <c r="E2806" s="1348"/>
      <c r="F2806" s="1348"/>
      <c r="G2806" s="1348"/>
      <c r="H2806" s="1348"/>
      <c r="I2806" s="1348"/>
      <c r="J2806" s="1348"/>
      <c r="K2806" s="1348"/>
    </row>
    <row r="2807" spans="2:11" hidden="1">
      <c r="B2807" s="1348"/>
      <c r="C2807" s="1348"/>
      <c r="D2807" s="1348"/>
      <c r="E2807" s="1348"/>
      <c r="F2807" s="1348"/>
      <c r="G2807" s="1348"/>
      <c r="H2807" s="1348"/>
      <c r="I2807" s="1348"/>
      <c r="J2807" s="1348"/>
      <c r="K2807" s="1348"/>
    </row>
    <row r="2808" spans="2:11" hidden="1">
      <c r="B2808" s="1348"/>
      <c r="C2808" s="1348"/>
      <c r="D2808" s="1348"/>
      <c r="E2808" s="1348"/>
      <c r="F2808" s="1348"/>
      <c r="G2808" s="1348"/>
      <c r="H2808" s="1348"/>
      <c r="I2808" s="1348"/>
      <c r="J2808" s="1348"/>
      <c r="K2808" s="1348"/>
    </row>
    <row r="2809" spans="2:11" hidden="1">
      <c r="B2809" s="1348"/>
      <c r="C2809" s="1348"/>
      <c r="D2809" s="1348"/>
      <c r="E2809" s="1348"/>
      <c r="F2809" s="1348"/>
      <c r="G2809" s="1348"/>
      <c r="H2809" s="1348"/>
      <c r="I2809" s="1348"/>
      <c r="J2809" s="1348"/>
      <c r="K2809" s="1348"/>
    </row>
    <row r="2810" spans="2:11" hidden="1">
      <c r="B2810" s="1348"/>
      <c r="C2810" s="1348"/>
      <c r="D2810" s="1348"/>
      <c r="E2810" s="1348"/>
      <c r="F2810" s="1348"/>
      <c r="G2810" s="1348"/>
      <c r="H2810" s="1348"/>
      <c r="I2810" s="1348"/>
      <c r="J2810" s="1348"/>
      <c r="K2810" s="1348"/>
    </row>
    <row r="2811" spans="2:11" hidden="1">
      <c r="B2811" s="1348"/>
      <c r="C2811" s="1348"/>
      <c r="D2811" s="1348"/>
      <c r="E2811" s="1348"/>
      <c r="F2811" s="1348"/>
      <c r="G2811" s="1348"/>
      <c r="H2811" s="1348"/>
      <c r="I2811" s="1348"/>
      <c r="J2811" s="1348"/>
      <c r="K2811" s="1348"/>
    </row>
    <row r="2812" spans="2:11" hidden="1">
      <c r="B2812" s="1348"/>
      <c r="C2812" s="1348"/>
      <c r="D2812" s="1348"/>
      <c r="E2812" s="1348"/>
      <c r="F2812" s="1348"/>
      <c r="G2812" s="1348"/>
      <c r="H2812" s="1348"/>
      <c r="I2812" s="1348"/>
      <c r="J2812" s="1348"/>
      <c r="K2812" s="1348"/>
    </row>
    <row r="2813" spans="2:11" hidden="1">
      <c r="B2813" s="1348"/>
      <c r="C2813" s="1348"/>
      <c r="D2813" s="1348"/>
      <c r="E2813" s="1348"/>
      <c r="F2813" s="1348"/>
      <c r="G2813" s="1348"/>
      <c r="H2813" s="1348"/>
      <c r="I2813" s="1348"/>
      <c r="J2813" s="1348"/>
      <c r="K2813" s="1348"/>
    </row>
    <row r="2814" spans="2:11" hidden="1">
      <c r="B2814" s="1348"/>
      <c r="C2814" s="1348"/>
      <c r="D2814" s="1348"/>
      <c r="E2814" s="1348"/>
      <c r="F2814" s="1348"/>
      <c r="G2814" s="1348"/>
      <c r="H2814" s="1348"/>
      <c r="I2814" s="1348"/>
      <c r="J2814" s="1348"/>
      <c r="K2814" s="1348"/>
    </row>
    <row r="2815" spans="2:11" hidden="1">
      <c r="B2815" s="1348"/>
      <c r="C2815" s="1348"/>
      <c r="D2815" s="1348"/>
      <c r="E2815" s="1348"/>
      <c r="F2815" s="1348"/>
      <c r="G2815" s="1348"/>
      <c r="H2815" s="1348"/>
      <c r="I2815" s="1348"/>
      <c r="J2815" s="1348"/>
      <c r="K2815" s="1348"/>
    </row>
    <row r="2816" spans="2:11" hidden="1">
      <c r="B2816" s="1348"/>
      <c r="C2816" s="1348"/>
      <c r="D2816" s="1348"/>
      <c r="E2816" s="1348"/>
      <c r="F2816" s="1348"/>
      <c r="G2816" s="1348"/>
      <c r="H2816" s="1348"/>
      <c r="I2816" s="1348"/>
      <c r="J2816" s="1348"/>
      <c r="K2816" s="1348"/>
    </row>
    <row r="2817" spans="2:11" hidden="1">
      <c r="B2817" s="1348"/>
      <c r="C2817" s="1348"/>
      <c r="D2817" s="1348"/>
      <c r="E2817" s="1348"/>
      <c r="F2817" s="1348"/>
      <c r="G2817" s="1348"/>
      <c r="H2817" s="1348"/>
      <c r="I2817" s="1348"/>
      <c r="J2817" s="1348"/>
      <c r="K2817" s="1348"/>
    </row>
    <row r="2818" spans="2:11" hidden="1">
      <c r="B2818" s="1348"/>
      <c r="C2818" s="1348"/>
      <c r="D2818" s="1348"/>
      <c r="E2818" s="1348"/>
      <c r="F2818" s="1348"/>
      <c r="G2818" s="1348"/>
      <c r="H2818" s="1348"/>
      <c r="I2818" s="1348"/>
      <c r="J2818" s="1348"/>
      <c r="K2818" s="1348"/>
    </row>
    <row r="2819" spans="2:11" hidden="1">
      <c r="B2819" s="1348"/>
      <c r="C2819" s="1348"/>
      <c r="D2819" s="1348"/>
      <c r="E2819" s="1348"/>
      <c r="F2819" s="1348"/>
      <c r="G2819" s="1348"/>
      <c r="H2819" s="1348"/>
      <c r="I2819" s="1348"/>
      <c r="J2819" s="1348"/>
      <c r="K2819" s="1348"/>
    </row>
    <row r="2820" spans="2:11" hidden="1">
      <c r="B2820" s="1348"/>
      <c r="C2820" s="1348"/>
      <c r="D2820" s="1348"/>
      <c r="E2820" s="1348"/>
      <c r="F2820" s="1348"/>
      <c r="G2820" s="1348"/>
      <c r="H2820" s="1348"/>
      <c r="I2820" s="1348"/>
      <c r="J2820" s="1348"/>
      <c r="K2820" s="1348"/>
    </row>
    <row r="2821" spans="2:11" hidden="1">
      <c r="B2821" s="1348"/>
      <c r="C2821" s="1348"/>
      <c r="D2821" s="1348"/>
      <c r="E2821" s="1348"/>
      <c r="F2821" s="1348"/>
      <c r="G2821" s="1348"/>
      <c r="H2821" s="1348"/>
      <c r="I2821" s="1348"/>
      <c r="J2821" s="1348"/>
      <c r="K2821" s="1348"/>
    </row>
    <row r="2822" spans="2:11" hidden="1">
      <c r="B2822" s="1348"/>
      <c r="C2822" s="1348"/>
      <c r="D2822" s="1348"/>
      <c r="E2822" s="1348"/>
      <c r="F2822" s="1348"/>
      <c r="G2822" s="1348"/>
      <c r="H2822" s="1348"/>
      <c r="I2822" s="1348"/>
      <c r="J2822" s="1348"/>
      <c r="K2822" s="1348"/>
    </row>
    <row r="2823" spans="2:11" hidden="1">
      <c r="B2823" s="1348"/>
      <c r="C2823" s="1348"/>
      <c r="D2823" s="1348"/>
      <c r="E2823" s="1348"/>
      <c r="F2823" s="1348"/>
      <c r="G2823" s="1348"/>
      <c r="H2823" s="1348"/>
      <c r="I2823" s="1348"/>
      <c r="J2823" s="1348"/>
      <c r="K2823" s="1348"/>
    </row>
    <row r="2824" spans="2:11" hidden="1">
      <c r="B2824" s="1348"/>
      <c r="C2824" s="1348"/>
      <c r="D2824" s="1348"/>
      <c r="E2824" s="1348"/>
      <c r="F2824" s="1348"/>
      <c r="G2824" s="1348"/>
      <c r="H2824" s="1348"/>
      <c r="I2824" s="1348"/>
      <c r="J2824" s="1348"/>
      <c r="K2824" s="1348"/>
    </row>
    <row r="2825" spans="2:11" hidden="1">
      <c r="B2825" s="1348"/>
      <c r="C2825" s="1348"/>
      <c r="D2825" s="1348"/>
      <c r="E2825" s="1348"/>
      <c r="F2825" s="1348"/>
      <c r="G2825" s="1348"/>
      <c r="H2825" s="1348"/>
      <c r="I2825" s="1348"/>
      <c r="J2825" s="1348"/>
      <c r="K2825" s="1348"/>
    </row>
    <row r="2826" spans="2:11" hidden="1">
      <c r="B2826" s="1348"/>
      <c r="C2826" s="1348"/>
      <c r="D2826" s="1348"/>
      <c r="E2826" s="1348"/>
      <c r="F2826" s="1348"/>
      <c r="G2826" s="1348"/>
      <c r="H2826" s="1348"/>
      <c r="I2826" s="1348"/>
      <c r="J2826" s="1348"/>
      <c r="K2826" s="1348"/>
    </row>
    <row r="2827" spans="2:11" hidden="1">
      <c r="B2827" s="1348"/>
      <c r="C2827" s="1348"/>
      <c r="D2827" s="1348"/>
      <c r="E2827" s="1348"/>
      <c r="F2827" s="1348"/>
      <c r="G2827" s="1348"/>
      <c r="H2827" s="1348"/>
      <c r="I2827" s="1348"/>
      <c r="J2827" s="1348"/>
      <c r="K2827" s="1348"/>
    </row>
    <row r="2828" spans="2:11" hidden="1">
      <c r="B2828" s="1348"/>
      <c r="C2828" s="1348"/>
      <c r="D2828" s="1348"/>
      <c r="E2828" s="1348"/>
      <c r="F2828" s="1348"/>
      <c r="G2828" s="1348"/>
      <c r="H2828" s="1348"/>
      <c r="I2828" s="1348"/>
      <c r="J2828" s="1348"/>
      <c r="K2828" s="1348"/>
    </row>
    <row r="2829" spans="2:11" hidden="1">
      <c r="B2829" s="1348"/>
      <c r="C2829" s="1348"/>
      <c r="D2829" s="1348"/>
      <c r="E2829" s="1348"/>
      <c r="F2829" s="1348"/>
      <c r="G2829" s="1348"/>
      <c r="H2829" s="1348"/>
      <c r="I2829" s="1348"/>
      <c r="J2829" s="1348"/>
      <c r="K2829" s="1348"/>
    </row>
    <row r="2830" spans="2:11" hidden="1">
      <c r="B2830" s="1348"/>
      <c r="C2830" s="1348"/>
      <c r="D2830" s="1348"/>
      <c r="E2830" s="1348"/>
      <c r="F2830" s="1348"/>
      <c r="G2830" s="1348"/>
      <c r="H2830" s="1348"/>
      <c r="I2830" s="1348"/>
      <c r="J2830" s="1348"/>
      <c r="K2830" s="1348"/>
    </row>
    <row r="2831" spans="2:11" hidden="1">
      <c r="B2831" s="1348"/>
      <c r="C2831" s="1348"/>
      <c r="D2831" s="1348"/>
      <c r="E2831" s="1348"/>
      <c r="F2831" s="1348"/>
      <c r="G2831" s="1348"/>
      <c r="H2831" s="1348"/>
      <c r="I2831" s="1348"/>
      <c r="J2831" s="1348"/>
      <c r="K2831" s="1348"/>
    </row>
    <row r="2832" spans="2:11" hidden="1">
      <c r="B2832" s="1348"/>
      <c r="C2832" s="1348"/>
      <c r="D2832" s="1348"/>
      <c r="E2832" s="1348"/>
      <c r="F2832" s="1348"/>
      <c r="G2832" s="1348"/>
      <c r="H2832" s="1348"/>
      <c r="I2832" s="1348"/>
      <c r="J2832" s="1348"/>
      <c r="K2832" s="1348"/>
    </row>
    <row r="2833" spans="2:11" hidden="1">
      <c r="B2833" s="1348"/>
      <c r="C2833" s="1348"/>
      <c r="D2833" s="1348"/>
      <c r="E2833" s="1348"/>
      <c r="F2833" s="1348"/>
      <c r="G2833" s="1348"/>
      <c r="H2833" s="1348"/>
      <c r="I2833" s="1348"/>
      <c r="J2833" s="1348"/>
      <c r="K2833" s="1348"/>
    </row>
    <row r="2834" spans="2:11" hidden="1">
      <c r="B2834" s="1348"/>
      <c r="C2834" s="1348"/>
      <c r="D2834" s="1348"/>
      <c r="E2834" s="1348"/>
      <c r="F2834" s="1348"/>
      <c r="G2834" s="1348"/>
      <c r="H2834" s="1348"/>
      <c r="I2834" s="1348"/>
      <c r="J2834" s="1348"/>
      <c r="K2834" s="1348"/>
    </row>
    <row r="2835" spans="2:11" hidden="1">
      <c r="B2835" s="1348"/>
      <c r="C2835" s="1348"/>
      <c r="D2835" s="1348"/>
      <c r="E2835" s="1348"/>
      <c r="F2835" s="1348"/>
      <c r="G2835" s="1348"/>
      <c r="H2835" s="1348"/>
      <c r="I2835" s="1348"/>
      <c r="J2835" s="1348"/>
      <c r="K2835" s="1348"/>
    </row>
    <row r="2836" spans="2:11" hidden="1">
      <c r="B2836" s="1348"/>
      <c r="C2836" s="1348"/>
      <c r="D2836" s="1348"/>
      <c r="E2836" s="1348"/>
      <c r="F2836" s="1348"/>
      <c r="G2836" s="1348"/>
      <c r="H2836" s="1348"/>
      <c r="I2836" s="1348"/>
      <c r="J2836" s="1348"/>
      <c r="K2836" s="1348"/>
    </row>
    <row r="2837" spans="2:11" hidden="1">
      <c r="B2837" s="1348"/>
      <c r="C2837" s="1348"/>
      <c r="D2837" s="1348"/>
      <c r="E2837" s="1348"/>
      <c r="F2837" s="1348"/>
      <c r="G2837" s="1348"/>
      <c r="H2837" s="1348"/>
      <c r="I2837" s="1348"/>
      <c r="J2837" s="1348"/>
      <c r="K2837" s="1348"/>
    </row>
    <row r="2838" spans="2:11" hidden="1">
      <c r="B2838" s="1348"/>
      <c r="C2838" s="1348"/>
      <c r="D2838" s="1348"/>
      <c r="E2838" s="1348"/>
      <c r="F2838" s="1348"/>
      <c r="G2838" s="1348"/>
      <c r="H2838" s="1348"/>
      <c r="I2838" s="1348"/>
      <c r="J2838" s="1348"/>
      <c r="K2838" s="1348"/>
    </row>
    <row r="2839" spans="2:11" hidden="1">
      <c r="B2839" s="1348"/>
      <c r="C2839" s="1348"/>
      <c r="D2839" s="1348"/>
      <c r="E2839" s="1348"/>
      <c r="F2839" s="1348"/>
      <c r="G2839" s="1348"/>
      <c r="H2839" s="1348"/>
      <c r="I2839" s="1348"/>
      <c r="J2839" s="1348"/>
      <c r="K2839" s="1348"/>
    </row>
    <row r="2840" spans="2:11" hidden="1">
      <c r="B2840" s="1348"/>
      <c r="C2840" s="1348"/>
      <c r="D2840" s="1348"/>
      <c r="E2840" s="1348"/>
      <c r="F2840" s="1348"/>
      <c r="G2840" s="1348"/>
      <c r="H2840" s="1348"/>
      <c r="I2840" s="1348"/>
      <c r="J2840" s="1348"/>
      <c r="K2840" s="1348"/>
    </row>
    <row r="2841" spans="2:11" hidden="1">
      <c r="B2841" s="1348"/>
      <c r="C2841" s="1348"/>
      <c r="D2841" s="1348"/>
      <c r="E2841" s="1348"/>
      <c r="F2841" s="1348"/>
      <c r="G2841" s="1348"/>
      <c r="H2841" s="1348"/>
      <c r="I2841" s="1348"/>
      <c r="J2841" s="1348"/>
      <c r="K2841" s="1348"/>
    </row>
    <row r="2842" spans="2:11" hidden="1">
      <c r="B2842" s="1348"/>
      <c r="C2842" s="1348"/>
      <c r="D2842" s="1348"/>
      <c r="E2842" s="1348"/>
      <c r="F2842" s="1348"/>
      <c r="G2842" s="1348"/>
      <c r="H2842" s="1348"/>
      <c r="I2842" s="1348"/>
      <c r="J2842" s="1348"/>
      <c r="K2842" s="1348"/>
    </row>
    <row r="2843" spans="2:11" hidden="1">
      <c r="B2843" s="1348"/>
      <c r="C2843" s="1348"/>
      <c r="D2843" s="1348"/>
      <c r="E2843" s="1348"/>
      <c r="F2843" s="1348"/>
      <c r="G2843" s="1348"/>
      <c r="H2843" s="1348"/>
      <c r="I2843" s="1348"/>
      <c r="J2843" s="1348"/>
      <c r="K2843" s="1348"/>
    </row>
    <row r="2844" spans="2:11" hidden="1">
      <c r="B2844" s="1348"/>
      <c r="C2844" s="1348"/>
      <c r="D2844" s="1348"/>
      <c r="E2844" s="1348"/>
      <c r="F2844" s="1348"/>
      <c r="G2844" s="1348"/>
      <c r="H2844" s="1348"/>
      <c r="I2844" s="1348"/>
      <c r="J2844" s="1348"/>
      <c r="K2844" s="1348"/>
    </row>
    <row r="2845" spans="2:11" hidden="1">
      <c r="B2845" s="1348"/>
      <c r="C2845" s="1348"/>
      <c r="D2845" s="1348"/>
      <c r="E2845" s="1348"/>
      <c r="F2845" s="1348"/>
      <c r="G2845" s="1348"/>
      <c r="H2845" s="1348"/>
      <c r="I2845" s="1348"/>
      <c r="J2845" s="1348"/>
      <c r="K2845" s="1348"/>
    </row>
    <row r="2846" spans="2:11" hidden="1">
      <c r="B2846" s="1348"/>
      <c r="C2846" s="1348"/>
      <c r="D2846" s="1348"/>
      <c r="E2846" s="1348"/>
      <c r="F2846" s="1348"/>
      <c r="G2846" s="1348"/>
      <c r="H2846" s="1348"/>
      <c r="I2846" s="1348"/>
      <c r="J2846" s="1348"/>
      <c r="K2846" s="1348"/>
    </row>
    <row r="2847" spans="2:11" hidden="1">
      <c r="B2847" s="1348"/>
      <c r="C2847" s="1348"/>
      <c r="D2847" s="1348"/>
      <c r="E2847" s="1348"/>
      <c r="F2847" s="1348"/>
      <c r="G2847" s="1348"/>
      <c r="H2847" s="1348"/>
      <c r="I2847" s="1348"/>
      <c r="J2847" s="1348"/>
      <c r="K2847" s="1348"/>
    </row>
    <row r="2848" spans="2:11" hidden="1">
      <c r="B2848" s="1348"/>
      <c r="C2848" s="1348"/>
      <c r="D2848" s="1348"/>
      <c r="E2848" s="1348"/>
      <c r="F2848" s="1348"/>
      <c r="G2848" s="1348"/>
      <c r="H2848" s="1348"/>
      <c r="I2848" s="1348"/>
      <c r="J2848" s="1348"/>
      <c r="K2848" s="1348"/>
    </row>
    <row r="2849" spans="2:11" hidden="1">
      <c r="B2849" s="1348"/>
      <c r="C2849" s="1348"/>
      <c r="D2849" s="1348"/>
      <c r="E2849" s="1348"/>
      <c r="F2849" s="1348"/>
      <c r="G2849" s="1348"/>
      <c r="H2849" s="1348"/>
      <c r="I2849" s="1348"/>
      <c r="J2849" s="1348"/>
      <c r="K2849" s="1348"/>
    </row>
    <row r="2850" spans="2:11" hidden="1">
      <c r="B2850" s="1348"/>
      <c r="C2850" s="1348"/>
      <c r="D2850" s="1348"/>
      <c r="E2850" s="1348"/>
      <c r="F2850" s="1348"/>
      <c r="G2850" s="1348"/>
      <c r="H2850" s="1348"/>
      <c r="I2850" s="1348"/>
      <c r="J2850" s="1348"/>
      <c r="K2850" s="1348"/>
    </row>
    <row r="2851" spans="2:11" hidden="1">
      <c r="B2851" s="1348"/>
      <c r="C2851" s="1348"/>
      <c r="D2851" s="1348"/>
      <c r="E2851" s="1348"/>
      <c r="F2851" s="1348"/>
      <c r="G2851" s="1348"/>
      <c r="H2851" s="1348"/>
      <c r="I2851" s="1348"/>
      <c r="J2851" s="1348"/>
      <c r="K2851" s="1348"/>
    </row>
    <row r="2852" spans="2:11" hidden="1">
      <c r="B2852" s="1348"/>
      <c r="C2852" s="1348"/>
      <c r="D2852" s="1348"/>
      <c r="E2852" s="1348"/>
      <c r="F2852" s="1348"/>
      <c r="G2852" s="1348"/>
      <c r="H2852" s="1348"/>
      <c r="I2852" s="1348"/>
      <c r="J2852" s="1348"/>
      <c r="K2852" s="1348"/>
    </row>
    <row r="2853" spans="2:11" hidden="1">
      <c r="B2853" s="1348"/>
      <c r="C2853" s="1348"/>
      <c r="D2853" s="1348"/>
      <c r="E2853" s="1348"/>
      <c r="F2853" s="1348"/>
      <c r="G2853" s="1348"/>
      <c r="H2853" s="1348"/>
      <c r="I2853" s="1348"/>
      <c r="J2853" s="1348"/>
      <c r="K2853" s="1348"/>
    </row>
    <row r="2854" spans="2:11" hidden="1">
      <c r="B2854" s="1348"/>
      <c r="C2854" s="1348"/>
      <c r="D2854" s="1348"/>
      <c r="E2854" s="1348"/>
      <c r="F2854" s="1348"/>
      <c r="G2854" s="1348"/>
      <c r="H2854" s="1348"/>
      <c r="I2854" s="1348"/>
      <c r="J2854" s="1348"/>
      <c r="K2854" s="1348"/>
    </row>
    <row r="2855" spans="2:11" hidden="1">
      <c r="B2855" s="1348"/>
      <c r="C2855" s="1348"/>
      <c r="D2855" s="1348"/>
      <c r="E2855" s="1348"/>
      <c r="F2855" s="1348"/>
      <c r="G2855" s="1348"/>
      <c r="H2855" s="1348"/>
      <c r="I2855" s="1348"/>
      <c r="J2855" s="1348"/>
      <c r="K2855" s="1348"/>
    </row>
    <row r="2856" spans="2:11" hidden="1">
      <c r="B2856" s="1348"/>
      <c r="C2856" s="1348"/>
      <c r="D2856" s="1348"/>
      <c r="E2856" s="1348"/>
      <c r="F2856" s="1348"/>
      <c r="G2856" s="1348"/>
      <c r="H2856" s="1348"/>
      <c r="I2856" s="1348"/>
      <c r="J2856" s="1348"/>
      <c r="K2856" s="1348"/>
    </row>
    <row r="2857" spans="2:11" hidden="1">
      <c r="B2857" s="1348"/>
      <c r="C2857" s="1348"/>
      <c r="D2857" s="1348"/>
      <c r="E2857" s="1348"/>
      <c r="F2857" s="1348"/>
      <c r="G2857" s="1348"/>
      <c r="H2857" s="1348"/>
      <c r="I2857" s="1348"/>
      <c r="J2857" s="1348"/>
      <c r="K2857" s="1348"/>
    </row>
    <row r="2858" spans="2:11" hidden="1">
      <c r="B2858" s="1348"/>
      <c r="C2858" s="1348"/>
      <c r="D2858" s="1348"/>
      <c r="E2858" s="1348"/>
      <c r="F2858" s="1348"/>
      <c r="G2858" s="1348"/>
      <c r="H2858" s="1348"/>
      <c r="I2858" s="1348"/>
      <c r="J2858" s="1348"/>
      <c r="K2858" s="1348"/>
    </row>
    <row r="2859" spans="2:11" hidden="1">
      <c r="B2859" s="1348"/>
      <c r="C2859" s="1348"/>
      <c r="D2859" s="1348"/>
      <c r="E2859" s="1348"/>
      <c r="F2859" s="1348"/>
      <c r="G2859" s="1348"/>
      <c r="H2859" s="1348"/>
      <c r="I2859" s="1348"/>
      <c r="J2859" s="1348"/>
      <c r="K2859" s="1348"/>
    </row>
    <row r="2860" spans="2:11" hidden="1">
      <c r="B2860" s="1348"/>
      <c r="C2860" s="1348"/>
      <c r="D2860" s="1348"/>
      <c r="E2860" s="1348"/>
      <c r="F2860" s="1348"/>
      <c r="G2860" s="1348"/>
      <c r="H2860" s="1348"/>
      <c r="I2860" s="1348"/>
      <c r="J2860" s="1348"/>
      <c r="K2860" s="1348"/>
    </row>
    <row r="2861" spans="2:11" hidden="1">
      <c r="B2861" s="1348"/>
      <c r="C2861" s="1348"/>
      <c r="D2861" s="1348"/>
      <c r="E2861" s="1348"/>
      <c r="F2861" s="1348"/>
      <c r="G2861" s="1348"/>
      <c r="H2861" s="1348"/>
      <c r="I2861" s="1348"/>
      <c r="J2861" s="1348"/>
      <c r="K2861" s="1348"/>
    </row>
    <row r="2862" spans="2:11" hidden="1">
      <c r="B2862" s="1348"/>
      <c r="C2862" s="1348"/>
      <c r="D2862" s="1348"/>
      <c r="E2862" s="1348"/>
      <c r="F2862" s="1348"/>
      <c r="G2862" s="1348"/>
      <c r="H2862" s="1348"/>
      <c r="I2862" s="1348"/>
      <c r="J2862" s="1348"/>
      <c r="K2862" s="1348"/>
    </row>
    <row r="2863" spans="2:11" hidden="1">
      <c r="B2863" s="1348"/>
      <c r="C2863" s="1348"/>
      <c r="D2863" s="1348"/>
      <c r="E2863" s="1348"/>
      <c r="F2863" s="1348"/>
      <c r="G2863" s="1348"/>
      <c r="H2863" s="1348"/>
      <c r="I2863" s="1348"/>
      <c r="J2863" s="1348"/>
      <c r="K2863" s="1348"/>
    </row>
    <row r="2864" spans="2:11" hidden="1">
      <c r="B2864" s="1348"/>
      <c r="C2864" s="1348"/>
      <c r="D2864" s="1348"/>
      <c r="E2864" s="1348"/>
      <c r="F2864" s="1348"/>
      <c r="G2864" s="1348"/>
      <c r="H2864" s="1348"/>
      <c r="I2864" s="1348"/>
      <c r="J2864" s="1348"/>
      <c r="K2864" s="1348"/>
    </row>
    <row r="2865" spans="2:11" hidden="1">
      <c r="B2865" s="1348"/>
      <c r="C2865" s="1348"/>
      <c r="D2865" s="1348"/>
      <c r="E2865" s="1348"/>
      <c r="F2865" s="1348"/>
      <c r="G2865" s="1348"/>
      <c r="H2865" s="1348"/>
      <c r="I2865" s="1348"/>
      <c r="J2865" s="1348"/>
      <c r="K2865" s="1348"/>
    </row>
    <row r="2866" spans="2:11" hidden="1">
      <c r="B2866" s="1348"/>
      <c r="C2866" s="1348"/>
      <c r="D2866" s="1348"/>
      <c r="E2866" s="1348"/>
      <c r="F2866" s="1348"/>
      <c r="G2866" s="1348"/>
      <c r="H2866" s="1348"/>
      <c r="I2866" s="1348"/>
      <c r="J2866" s="1348"/>
      <c r="K2866" s="1348"/>
    </row>
    <row r="2867" spans="2:11" hidden="1">
      <c r="B2867" s="1348"/>
      <c r="C2867" s="1348"/>
      <c r="D2867" s="1348"/>
      <c r="E2867" s="1348"/>
      <c r="F2867" s="1348"/>
      <c r="G2867" s="1348"/>
      <c r="H2867" s="1348"/>
      <c r="I2867" s="1348"/>
      <c r="J2867" s="1348"/>
      <c r="K2867" s="1348"/>
    </row>
    <row r="2868" spans="2:11" hidden="1">
      <c r="B2868" s="1348"/>
      <c r="C2868" s="1348"/>
      <c r="D2868" s="1348"/>
      <c r="E2868" s="1348"/>
      <c r="F2868" s="1348"/>
      <c r="G2868" s="1348"/>
      <c r="H2868" s="1348"/>
      <c r="I2868" s="1348"/>
      <c r="J2868" s="1348"/>
      <c r="K2868" s="1348"/>
    </row>
    <row r="2869" spans="2:11" hidden="1">
      <c r="B2869" s="1348"/>
      <c r="C2869" s="1348"/>
      <c r="D2869" s="1348"/>
      <c r="E2869" s="1348"/>
      <c r="F2869" s="1348"/>
      <c r="G2869" s="1348"/>
      <c r="H2869" s="1348"/>
      <c r="I2869" s="1348"/>
      <c r="J2869" s="1348"/>
      <c r="K2869" s="1348"/>
    </row>
    <row r="2870" spans="2:11" hidden="1">
      <c r="B2870" s="1348"/>
      <c r="C2870" s="1348"/>
      <c r="D2870" s="1348"/>
      <c r="E2870" s="1348"/>
      <c r="F2870" s="1348"/>
      <c r="G2870" s="1348"/>
      <c r="H2870" s="1348"/>
      <c r="I2870" s="1348"/>
      <c r="J2870" s="1348"/>
      <c r="K2870" s="1348"/>
    </row>
    <row r="2871" spans="2:11" hidden="1">
      <c r="B2871" s="1348"/>
      <c r="C2871" s="1348"/>
      <c r="D2871" s="1348"/>
      <c r="E2871" s="1348"/>
      <c r="F2871" s="1348"/>
      <c r="G2871" s="1348"/>
      <c r="H2871" s="1348"/>
      <c r="I2871" s="1348"/>
      <c r="J2871" s="1348"/>
      <c r="K2871" s="1348"/>
    </row>
    <row r="2872" spans="2:11" hidden="1">
      <c r="B2872" s="1348"/>
      <c r="C2872" s="1348"/>
      <c r="D2872" s="1348"/>
      <c r="E2872" s="1348"/>
      <c r="F2872" s="1348"/>
      <c r="G2872" s="1348"/>
      <c r="H2872" s="1348"/>
      <c r="I2872" s="1348"/>
      <c r="J2872" s="1348"/>
      <c r="K2872" s="1348"/>
    </row>
    <row r="2873" spans="2:11" hidden="1">
      <c r="B2873" s="1348"/>
      <c r="C2873" s="1348"/>
      <c r="D2873" s="1348"/>
      <c r="E2873" s="1348"/>
      <c r="F2873" s="1348"/>
      <c r="G2873" s="1348"/>
      <c r="H2873" s="1348"/>
      <c r="I2873" s="1348"/>
      <c r="J2873" s="1348"/>
      <c r="K2873" s="1348"/>
    </row>
    <row r="2874" spans="2:11" hidden="1">
      <c r="B2874" s="1348"/>
      <c r="C2874" s="1348"/>
      <c r="D2874" s="1348"/>
      <c r="E2874" s="1348"/>
      <c r="F2874" s="1348"/>
      <c r="G2874" s="1348"/>
      <c r="H2874" s="1348"/>
      <c r="I2874" s="1348"/>
      <c r="J2874" s="1348"/>
      <c r="K2874" s="1348"/>
    </row>
    <row r="2875" spans="2:11" hidden="1">
      <c r="B2875" s="1348"/>
      <c r="C2875" s="1348"/>
      <c r="D2875" s="1348"/>
      <c r="E2875" s="1348"/>
      <c r="F2875" s="1348"/>
      <c r="G2875" s="1348"/>
      <c r="H2875" s="1348"/>
      <c r="I2875" s="1348"/>
      <c r="J2875" s="1348"/>
      <c r="K2875" s="1348"/>
    </row>
    <row r="2876" spans="2:11" hidden="1">
      <c r="B2876" s="1348"/>
      <c r="C2876" s="1348"/>
      <c r="D2876" s="1348"/>
      <c r="E2876" s="1348"/>
      <c r="F2876" s="1348"/>
      <c r="G2876" s="1348"/>
      <c r="H2876" s="1348"/>
      <c r="I2876" s="1348"/>
      <c r="J2876" s="1348"/>
      <c r="K2876" s="1348"/>
    </row>
    <row r="2877" spans="2:11" hidden="1">
      <c r="B2877" s="1348"/>
      <c r="C2877" s="1348"/>
      <c r="D2877" s="1348"/>
      <c r="E2877" s="1348"/>
      <c r="F2877" s="1348"/>
      <c r="G2877" s="1348"/>
      <c r="H2877" s="1348"/>
      <c r="I2877" s="1348"/>
      <c r="J2877" s="1348"/>
      <c r="K2877" s="1348"/>
    </row>
    <row r="2878" spans="2:11" hidden="1">
      <c r="B2878" s="1348"/>
      <c r="C2878" s="1348"/>
      <c r="D2878" s="1348"/>
      <c r="E2878" s="1348"/>
      <c r="F2878" s="1348"/>
      <c r="G2878" s="1348"/>
      <c r="H2878" s="1348"/>
      <c r="I2878" s="1348"/>
      <c r="J2878" s="1348"/>
      <c r="K2878" s="1348"/>
    </row>
    <row r="2879" spans="2:11" hidden="1">
      <c r="B2879" s="1348"/>
      <c r="C2879" s="1348"/>
      <c r="D2879" s="1348"/>
      <c r="E2879" s="1348"/>
      <c r="F2879" s="1348"/>
      <c r="G2879" s="1348"/>
      <c r="H2879" s="1348"/>
      <c r="I2879" s="1348"/>
      <c r="J2879" s="1348"/>
      <c r="K2879" s="1348"/>
    </row>
    <row r="2880" spans="2:11" hidden="1">
      <c r="B2880" s="1348"/>
      <c r="C2880" s="1348"/>
      <c r="D2880" s="1348"/>
      <c r="E2880" s="1348"/>
      <c r="F2880" s="1348"/>
      <c r="G2880" s="1348"/>
      <c r="H2880" s="1348"/>
      <c r="I2880" s="1348"/>
      <c r="J2880" s="1348"/>
      <c r="K2880" s="1348"/>
    </row>
    <row r="2881" spans="2:11" hidden="1">
      <c r="B2881" s="1348"/>
      <c r="C2881" s="1348"/>
      <c r="D2881" s="1348"/>
      <c r="E2881" s="1348"/>
      <c r="F2881" s="1348"/>
      <c r="G2881" s="1348"/>
      <c r="H2881" s="1348"/>
      <c r="I2881" s="1348"/>
      <c r="J2881" s="1348"/>
      <c r="K2881" s="1348"/>
    </row>
    <row r="2882" spans="2:11" hidden="1">
      <c r="B2882" s="1348"/>
      <c r="C2882" s="1348"/>
      <c r="D2882" s="1348"/>
      <c r="E2882" s="1348"/>
      <c r="F2882" s="1348"/>
      <c r="G2882" s="1348"/>
      <c r="H2882" s="1348"/>
      <c r="I2882" s="1348"/>
      <c r="J2882" s="1348"/>
      <c r="K2882" s="1348"/>
    </row>
    <row r="2883" spans="2:11" hidden="1">
      <c r="B2883" s="1348"/>
      <c r="C2883" s="1348"/>
      <c r="D2883" s="1348"/>
      <c r="E2883" s="1348"/>
      <c r="F2883" s="1348"/>
      <c r="G2883" s="1348"/>
      <c r="H2883" s="1348"/>
      <c r="I2883" s="1348"/>
      <c r="J2883" s="1348"/>
      <c r="K2883" s="1348"/>
    </row>
    <row r="2884" spans="2:11" hidden="1">
      <c r="B2884" s="1348"/>
      <c r="C2884" s="1348"/>
      <c r="D2884" s="1348"/>
      <c r="E2884" s="1348"/>
      <c r="F2884" s="1348"/>
      <c r="G2884" s="1348"/>
      <c r="H2884" s="1348"/>
      <c r="I2884" s="1348"/>
      <c r="J2884" s="1348"/>
      <c r="K2884" s="1348"/>
    </row>
    <row r="2885" spans="2:11" hidden="1">
      <c r="B2885" s="1348"/>
      <c r="C2885" s="1348"/>
      <c r="D2885" s="1348"/>
      <c r="E2885" s="1348"/>
      <c r="F2885" s="1348"/>
      <c r="G2885" s="1348"/>
      <c r="H2885" s="1348"/>
      <c r="I2885" s="1348"/>
      <c r="J2885" s="1348"/>
      <c r="K2885" s="1348"/>
    </row>
    <row r="2886" spans="2:11" hidden="1">
      <c r="B2886" s="1348"/>
      <c r="C2886" s="1348"/>
      <c r="D2886" s="1348"/>
      <c r="E2886" s="1348"/>
      <c r="F2886" s="1348"/>
      <c r="G2886" s="1348"/>
      <c r="H2886" s="1348"/>
      <c r="I2886" s="1348"/>
      <c r="J2886" s="1348"/>
      <c r="K2886" s="1348"/>
    </row>
    <row r="2887" spans="2:11" hidden="1">
      <c r="B2887" s="1348"/>
      <c r="C2887" s="1348"/>
      <c r="D2887" s="1348"/>
      <c r="E2887" s="1348"/>
      <c r="F2887" s="1348"/>
      <c r="G2887" s="1348"/>
      <c r="H2887" s="1348"/>
      <c r="I2887" s="1348"/>
      <c r="J2887" s="1348"/>
      <c r="K2887" s="1348"/>
    </row>
    <row r="2888" spans="2:11" hidden="1">
      <c r="B2888" s="1348"/>
      <c r="C2888" s="1348"/>
      <c r="D2888" s="1348"/>
      <c r="E2888" s="1348"/>
      <c r="F2888" s="1348"/>
      <c r="G2888" s="1348"/>
      <c r="H2888" s="1348"/>
      <c r="I2888" s="1348"/>
      <c r="J2888" s="1348"/>
      <c r="K2888" s="1348"/>
    </row>
    <row r="2889" spans="2:11" hidden="1">
      <c r="B2889" s="1348"/>
      <c r="C2889" s="1348"/>
      <c r="D2889" s="1348"/>
      <c r="E2889" s="1348"/>
      <c r="F2889" s="1348"/>
      <c r="G2889" s="1348"/>
      <c r="H2889" s="1348"/>
      <c r="I2889" s="1348"/>
      <c r="J2889" s="1348"/>
      <c r="K2889" s="1348"/>
    </row>
    <row r="2890" spans="2:11" hidden="1">
      <c r="B2890" s="1348"/>
      <c r="C2890" s="1348"/>
      <c r="D2890" s="1348"/>
      <c r="E2890" s="1348"/>
      <c r="F2890" s="1348"/>
      <c r="G2890" s="1348"/>
      <c r="H2890" s="1348"/>
      <c r="I2890" s="1348"/>
      <c r="J2890" s="1348"/>
      <c r="K2890" s="1348"/>
    </row>
    <row r="2891" spans="2:11" hidden="1">
      <c r="B2891" s="1348"/>
      <c r="C2891" s="1348"/>
      <c r="D2891" s="1348"/>
      <c r="E2891" s="1348"/>
      <c r="F2891" s="1348"/>
      <c r="G2891" s="1348"/>
      <c r="H2891" s="1348"/>
      <c r="I2891" s="1348"/>
      <c r="J2891" s="1348"/>
      <c r="K2891" s="1348"/>
    </row>
    <row r="2892" spans="2:11" hidden="1">
      <c r="B2892" s="1348"/>
      <c r="C2892" s="1348"/>
      <c r="D2892" s="1348"/>
      <c r="E2892" s="1348"/>
      <c r="F2892" s="1348"/>
      <c r="G2892" s="1348"/>
      <c r="H2892" s="1348"/>
      <c r="I2892" s="1348"/>
      <c r="J2892" s="1348"/>
      <c r="K2892" s="1348"/>
    </row>
    <row r="2893" spans="2:11" hidden="1">
      <c r="B2893" s="1348"/>
      <c r="C2893" s="1348"/>
      <c r="D2893" s="1348"/>
      <c r="E2893" s="1348"/>
      <c r="F2893" s="1348"/>
      <c r="G2893" s="1348"/>
      <c r="H2893" s="1348"/>
      <c r="I2893" s="1348"/>
      <c r="J2893" s="1348"/>
      <c r="K2893" s="1348"/>
    </row>
    <row r="2894" spans="2:11" hidden="1">
      <c r="B2894" s="1348"/>
      <c r="C2894" s="1348"/>
      <c r="D2894" s="1348"/>
      <c r="E2894" s="1348"/>
      <c r="F2894" s="1348"/>
      <c r="G2894" s="1348"/>
      <c r="H2894" s="1348"/>
      <c r="I2894" s="1348"/>
      <c r="J2894" s="1348"/>
      <c r="K2894" s="1348"/>
    </row>
    <row r="2895" spans="2:11" hidden="1">
      <c r="B2895" s="1348"/>
      <c r="C2895" s="1348"/>
      <c r="D2895" s="1348"/>
      <c r="E2895" s="1348"/>
      <c r="F2895" s="1348"/>
      <c r="G2895" s="1348"/>
      <c r="H2895" s="1348"/>
      <c r="I2895" s="1348"/>
      <c r="J2895" s="1348"/>
      <c r="K2895" s="1348"/>
    </row>
    <row r="2896" spans="2:11" hidden="1">
      <c r="B2896" s="1348"/>
      <c r="C2896" s="1348"/>
      <c r="D2896" s="1348"/>
      <c r="E2896" s="1348"/>
      <c r="F2896" s="1348"/>
      <c r="G2896" s="1348"/>
      <c r="H2896" s="1348"/>
      <c r="I2896" s="1348"/>
      <c r="J2896" s="1348"/>
      <c r="K2896" s="1348"/>
    </row>
    <row r="2897" spans="2:11" hidden="1">
      <c r="B2897" s="1348"/>
      <c r="C2897" s="1348"/>
      <c r="D2897" s="1348"/>
      <c r="E2897" s="1348"/>
      <c r="F2897" s="1348"/>
      <c r="G2897" s="1348"/>
      <c r="H2897" s="1348"/>
      <c r="I2897" s="1348"/>
      <c r="J2897" s="1348"/>
      <c r="K2897" s="1348"/>
    </row>
    <row r="2898" spans="2:11" hidden="1">
      <c r="B2898" s="1348"/>
      <c r="C2898" s="1348"/>
      <c r="D2898" s="1348"/>
      <c r="E2898" s="1348"/>
      <c r="F2898" s="1348"/>
      <c r="G2898" s="1348"/>
      <c r="H2898" s="1348"/>
      <c r="I2898" s="1348"/>
      <c r="J2898" s="1348"/>
      <c r="K2898" s="1348"/>
    </row>
    <row r="2899" spans="2:11" hidden="1">
      <c r="B2899" s="1348"/>
      <c r="C2899" s="1348"/>
      <c r="D2899" s="1348"/>
      <c r="E2899" s="1348"/>
      <c r="F2899" s="1348"/>
      <c r="G2899" s="1348"/>
      <c r="H2899" s="1348"/>
      <c r="I2899" s="1348"/>
      <c r="J2899" s="1348"/>
      <c r="K2899" s="1348"/>
    </row>
    <row r="2900" spans="2:11" hidden="1">
      <c r="B2900" s="1348"/>
      <c r="C2900" s="1348"/>
      <c r="D2900" s="1348"/>
      <c r="E2900" s="1348"/>
      <c r="F2900" s="1348"/>
      <c r="G2900" s="1348"/>
      <c r="H2900" s="1348"/>
      <c r="I2900" s="1348"/>
      <c r="J2900" s="1348"/>
      <c r="K2900" s="1348"/>
    </row>
    <row r="2901" spans="2:11" hidden="1">
      <c r="B2901" s="1348"/>
      <c r="C2901" s="1348"/>
      <c r="D2901" s="1348"/>
      <c r="E2901" s="1348"/>
      <c r="F2901" s="1348"/>
      <c r="G2901" s="1348"/>
      <c r="H2901" s="1348"/>
      <c r="I2901" s="1348"/>
      <c r="J2901" s="1348"/>
      <c r="K2901" s="1348"/>
    </row>
    <row r="2902" spans="2:11" hidden="1">
      <c r="B2902" s="1348"/>
      <c r="C2902" s="1348"/>
      <c r="D2902" s="1348"/>
      <c r="E2902" s="1348"/>
      <c r="F2902" s="1348"/>
      <c r="G2902" s="1348"/>
      <c r="H2902" s="1348"/>
      <c r="I2902" s="1348"/>
      <c r="J2902" s="1348"/>
      <c r="K2902" s="1348"/>
    </row>
    <row r="2903" spans="2:11" hidden="1">
      <c r="B2903" s="1348"/>
      <c r="C2903" s="1348"/>
      <c r="D2903" s="1348"/>
      <c r="E2903" s="1348"/>
      <c r="F2903" s="1348"/>
      <c r="G2903" s="1348"/>
      <c r="H2903" s="1348"/>
      <c r="I2903" s="1348"/>
      <c r="J2903" s="1348"/>
      <c r="K2903" s="1348"/>
    </row>
    <row r="2904" spans="2:11" hidden="1">
      <c r="B2904" s="1348"/>
      <c r="C2904" s="1348"/>
      <c r="D2904" s="1348"/>
      <c r="E2904" s="1348"/>
      <c r="F2904" s="1348"/>
      <c r="G2904" s="1348"/>
      <c r="H2904" s="1348"/>
      <c r="I2904" s="1348"/>
      <c r="J2904" s="1348"/>
      <c r="K2904" s="1348"/>
    </row>
    <row r="2905" spans="2:11" hidden="1">
      <c r="B2905" s="1348"/>
      <c r="C2905" s="1348"/>
      <c r="D2905" s="1348"/>
      <c r="E2905" s="1348"/>
      <c r="F2905" s="1348"/>
      <c r="G2905" s="1348"/>
      <c r="H2905" s="1348"/>
      <c r="I2905" s="1348"/>
      <c r="J2905" s="1348"/>
      <c r="K2905" s="1348"/>
    </row>
    <row r="2906" spans="2:11" hidden="1">
      <c r="B2906" s="1348"/>
      <c r="C2906" s="1348"/>
      <c r="D2906" s="1348"/>
      <c r="E2906" s="1348"/>
      <c r="F2906" s="1348"/>
      <c r="G2906" s="1348"/>
      <c r="H2906" s="1348"/>
      <c r="I2906" s="1348"/>
      <c r="J2906" s="1348"/>
      <c r="K2906" s="1348"/>
    </row>
    <row r="2907" spans="2:11" hidden="1">
      <c r="B2907" s="1348"/>
      <c r="C2907" s="1348"/>
      <c r="D2907" s="1348"/>
      <c r="E2907" s="1348"/>
      <c r="F2907" s="1348"/>
      <c r="G2907" s="1348"/>
      <c r="H2907" s="1348"/>
      <c r="I2907" s="1348"/>
      <c r="J2907" s="1348"/>
      <c r="K2907" s="1348"/>
    </row>
    <row r="2908" spans="2:11" hidden="1">
      <c r="B2908" s="1348"/>
      <c r="C2908" s="1348"/>
      <c r="D2908" s="1348"/>
      <c r="E2908" s="1348"/>
      <c r="F2908" s="1348"/>
      <c r="G2908" s="1348"/>
      <c r="H2908" s="1348"/>
      <c r="I2908" s="1348"/>
      <c r="J2908" s="1348"/>
      <c r="K2908" s="1348"/>
    </row>
    <row r="2909" spans="2:11" hidden="1">
      <c r="B2909" s="1348"/>
      <c r="C2909" s="1348"/>
      <c r="D2909" s="1348"/>
      <c r="E2909" s="1348"/>
      <c r="F2909" s="1348"/>
      <c r="G2909" s="1348"/>
      <c r="H2909" s="1348"/>
      <c r="I2909" s="1348"/>
      <c r="J2909" s="1348"/>
      <c r="K2909" s="1348"/>
    </row>
    <row r="2910" spans="2:11" hidden="1">
      <c r="B2910" s="1348"/>
      <c r="C2910" s="1348"/>
      <c r="D2910" s="1348"/>
      <c r="E2910" s="1348"/>
      <c r="F2910" s="1348"/>
      <c r="G2910" s="1348"/>
      <c r="H2910" s="1348"/>
      <c r="I2910" s="1348"/>
      <c r="J2910" s="1348"/>
      <c r="K2910" s="1348"/>
    </row>
    <row r="2911" spans="2:11" hidden="1">
      <c r="B2911" s="1348"/>
      <c r="C2911" s="1348"/>
      <c r="D2911" s="1348"/>
      <c r="E2911" s="1348"/>
      <c r="F2911" s="1348"/>
      <c r="G2911" s="1348"/>
      <c r="H2911" s="1348"/>
      <c r="I2911" s="1348"/>
      <c r="J2911" s="1348"/>
      <c r="K2911" s="1348"/>
    </row>
    <row r="2912" spans="2:11" hidden="1">
      <c r="B2912" s="1348"/>
      <c r="C2912" s="1348"/>
      <c r="D2912" s="1348"/>
      <c r="E2912" s="1348"/>
      <c r="F2912" s="1348"/>
      <c r="G2912" s="1348"/>
      <c r="H2912" s="1348"/>
      <c r="I2912" s="1348"/>
      <c r="J2912" s="1348"/>
      <c r="K2912" s="1348"/>
    </row>
    <row r="2913" spans="2:11" hidden="1">
      <c r="B2913" s="1348"/>
      <c r="C2913" s="1348"/>
      <c r="D2913" s="1348"/>
      <c r="E2913" s="1348"/>
      <c r="F2913" s="1348"/>
      <c r="G2913" s="1348"/>
      <c r="H2913" s="1348"/>
      <c r="I2913" s="1348"/>
      <c r="J2913" s="1348"/>
      <c r="K2913" s="1348"/>
    </row>
    <row r="2914" spans="2:11" hidden="1">
      <c r="B2914" s="1348"/>
      <c r="C2914" s="1348"/>
      <c r="D2914" s="1348"/>
      <c r="E2914" s="1348"/>
      <c r="F2914" s="1348"/>
      <c r="G2914" s="1348"/>
      <c r="H2914" s="1348"/>
      <c r="I2914" s="1348"/>
      <c r="J2914" s="1348"/>
      <c r="K2914" s="1348"/>
    </row>
    <row r="2915" spans="2:11" hidden="1">
      <c r="B2915" s="1348"/>
      <c r="C2915" s="1348"/>
      <c r="D2915" s="1348"/>
      <c r="E2915" s="1348"/>
      <c r="F2915" s="1348"/>
      <c r="G2915" s="1348"/>
      <c r="H2915" s="1348"/>
      <c r="I2915" s="1348"/>
      <c r="J2915" s="1348"/>
      <c r="K2915" s="1348"/>
    </row>
    <row r="2916" spans="2:11" hidden="1">
      <c r="B2916" s="1348"/>
      <c r="C2916" s="1348"/>
      <c r="D2916" s="1348"/>
      <c r="E2916" s="1348"/>
      <c r="F2916" s="1348"/>
      <c r="G2916" s="1348"/>
      <c r="H2916" s="1348"/>
      <c r="I2916" s="1348"/>
      <c r="J2916" s="1348"/>
      <c r="K2916" s="1348"/>
    </row>
    <row r="2917" spans="2:11" hidden="1">
      <c r="B2917" s="1348"/>
      <c r="C2917" s="1348"/>
      <c r="D2917" s="1348"/>
      <c r="E2917" s="1348"/>
      <c r="F2917" s="1348"/>
      <c r="G2917" s="1348"/>
      <c r="H2917" s="1348"/>
      <c r="I2917" s="1348"/>
      <c r="J2917" s="1348"/>
      <c r="K2917" s="1348"/>
    </row>
    <row r="2918" spans="2:11" hidden="1">
      <c r="B2918" s="1348"/>
      <c r="C2918" s="1348"/>
      <c r="D2918" s="1348"/>
      <c r="E2918" s="1348"/>
      <c r="F2918" s="1348"/>
      <c r="G2918" s="1348"/>
      <c r="H2918" s="1348"/>
      <c r="I2918" s="1348"/>
      <c r="J2918" s="1348"/>
      <c r="K2918" s="1348"/>
    </row>
    <row r="2919" spans="2:11" hidden="1">
      <c r="B2919" s="1348"/>
      <c r="C2919" s="1348"/>
      <c r="D2919" s="1348"/>
      <c r="E2919" s="1348"/>
      <c r="F2919" s="1348"/>
      <c r="G2919" s="1348"/>
      <c r="H2919" s="1348"/>
      <c r="I2919" s="1348"/>
      <c r="J2919" s="1348"/>
      <c r="K2919" s="1348"/>
    </row>
    <row r="2920" spans="2:11" hidden="1">
      <c r="B2920" s="1348"/>
      <c r="C2920" s="1348"/>
      <c r="D2920" s="1348"/>
      <c r="E2920" s="1348"/>
      <c r="F2920" s="1348"/>
      <c r="G2920" s="1348"/>
      <c r="H2920" s="1348"/>
      <c r="I2920" s="1348"/>
      <c r="J2920" s="1348"/>
      <c r="K2920" s="1348"/>
    </row>
    <row r="2921" spans="2:11" hidden="1">
      <c r="B2921" s="1348"/>
      <c r="C2921" s="1348"/>
      <c r="D2921" s="1348"/>
      <c r="E2921" s="1348"/>
      <c r="F2921" s="1348"/>
      <c r="G2921" s="1348"/>
      <c r="H2921" s="1348"/>
      <c r="I2921" s="1348"/>
      <c r="J2921" s="1348"/>
      <c r="K2921" s="1348"/>
    </row>
    <row r="2922" spans="2:11" hidden="1">
      <c r="B2922" s="1348"/>
      <c r="C2922" s="1348"/>
      <c r="D2922" s="1348"/>
      <c r="E2922" s="1348"/>
      <c r="F2922" s="1348"/>
      <c r="G2922" s="1348"/>
      <c r="H2922" s="1348"/>
      <c r="I2922" s="1348"/>
      <c r="J2922" s="1348"/>
      <c r="K2922" s="1348"/>
    </row>
    <row r="2923" spans="2:11" hidden="1">
      <c r="B2923" s="1348"/>
      <c r="C2923" s="1348"/>
      <c r="D2923" s="1348"/>
      <c r="E2923" s="1348"/>
      <c r="F2923" s="1348"/>
      <c r="G2923" s="1348"/>
      <c r="H2923" s="1348"/>
      <c r="I2923" s="1348"/>
      <c r="J2923" s="1348"/>
      <c r="K2923" s="1348"/>
    </row>
    <row r="2924" spans="2:11" hidden="1">
      <c r="B2924" s="1348"/>
      <c r="C2924" s="1348"/>
      <c r="D2924" s="1348"/>
      <c r="E2924" s="1348"/>
      <c r="F2924" s="1348"/>
      <c r="G2924" s="1348"/>
      <c r="H2924" s="1348"/>
      <c r="I2924" s="1348"/>
      <c r="J2924" s="1348"/>
      <c r="K2924" s="1348"/>
    </row>
    <row r="2925" spans="2:11" hidden="1">
      <c r="B2925" s="1348"/>
      <c r="C2925" s="1348"/>
      <c r="D2925" s="1348"/>
      <c r="E2925" s="1348"/>
      <c r="F2925" s="1348"/>
      <c r="G2925" s="1348"/>
      <c r="H2925" s="1348"/>
      <c r="I2925" s="1348"/>
      <c r="J2925" s="1348"/>
      <c r="K2925" s="1348"/>
    </row>
    <row r="2926" spans="2:11" hidden="1">
      <c r="B2926" s="1348"/>
      <c r="C2926" s="1348"/>
      <c r="D2926" s="1348"/>
      <c r="E2926" s="1348"/>
      <c r="F2926" s="1348"/>
      <c r="G2926" s="1348"/>
      <c r="H2926" s="1348"/>
      <c r="I2926" s="1348"/>
      <c r="J2926" s="1348"/>
      <c r="K2926" s="1348"/>
    </row>
    <row r="2927" spans="2:11" hidden="1">
      <c r="B2927" s="1348"/>
      <c r="C2927" s="1348"/>
      <c r="D2927" s="1348"/>
      <c r="E2927" s="1348"/>
      <c r="F2927" s="1348"/>
      <c r="G2927" s="1348"/>
      <c r="H2927" s="1348"/>
      <c r="I2927" s="1348"/>
      <c r="J2927" s="1348"/>
      <c r="K2927" s="1348"/>
    </row>
    <row r="2928" spans="2:11" hidden="1">
      <c r="B2928" s="1348"/>
      <c r="C2928" s="1348"/>
      <c r="D2928" s="1348"/>
      <c r="E2928" s="1348"/>
      <c r="F2928" s="1348"/>
      <c r="G2928" s="1348"/>
      <c r="H2928" s="1348"/>
      <c r="I2928" s="1348"/>
      <c r="J2928" s="1348"/>
      <c r="K2928" s="1348"/>
    </row>
    <row r="2929" spans="2:11" hidden="1">
      <c r="B2929" s="1348"/>
      <c r="C2929" s="1348"/>
      <c r="D2929" s="1348"/>
      <c r="E2929" s="1348"/>
      <c r="F2929" s="1348"/>
      <c r="G2929" s="1348"/>
      <c r="H2929" s="1348"/>
      <c r="I2929" s="1348"/>
      <c r="J2929" s="1348"/>
      <c r="K2929" s="1348"/>
    </row>
    <row r="2930" spans="2:11" hidden="1">
      <c r="B2930" s="1348"/>
      <c r="C2930" s="1348"/>
      <c r="D2930" s="1348"/>
      <c r="E2930" s="1348"/>
      <c r="F2930" s="1348"/>
      <c r="G2930" s="1348"/>
      <c r="H2930" s="1348"/>
      <c r="I2930" s="1348"/>
      <c r="J2930" s="1348"/>
      <c r="K2930" s="1348"/>
    </row>
    <row r="2931" spans="2:11" hidden="1">
      <c r="B2931" s="1348"/>
      <c r="C2931" s="1348"/>
      <c r="D2931" s="1348"/>
      <c r="E2931" s="1348"/>
      <c r="F2931" s="1348"/>
      <c r="G2931" s="1348"/>
      <c r="H2931" s="1348"/>
      <c r="I2931" s="1348"/>
      <c r="J2931" s="1348"/>
      <c r="K2931" s="1348"/>
    </row>
    <row r="2932" spans="2:11" hidden="1">
      <c r="B2932" s="1348"/>
      <c r="C2932" s="1348"/>
      <c r="D2932" s="1348"/>
      <c r="E2932" s="1348"/>
      <c r="F2932" s="1348"/>
      <c r="G2932" s="1348"/>
      <c r="H2932" s="1348"/>
      <c r="I2932" s="1348"/>
      <c r="J2932" s="1348"/>
      <c r="K2932" s="1348"/>
    </row>
    <row r="2933" spans="2:11" hidden="1">
      <c r="B2933" s="1348"/>
      <c r="C2933" s="1348"/>
      <c r="D2933" s="1348"/>
      <c r="E2933" s="1348"/>
      <c r="F2933" s="1348"/>
      <c r="G2933" s="1348"/>
      <c r="H2933" s="1348"/>
      <c r="I2933" s="1348"/>
      <c r="J2933" s="1348"/>
      <c r="K2933" s="1348"/>
    </row>
    <row r="2934" spans="2:11" hidden="1">
      <c r="B2934" s="1348"/>
      <c r="C2934" s="1348"/>
      <c r="D2934" s="1348"/>
      <c r="E2934" s="1348"/>
      <c r="F2934" s="1348"/>
      <c r="G2934" s="1348"/>
      <c r="H2934" s="1348"/>
      <c r="I2934" s="1348"/>
      <c r="J2934" s="1348"/>
      <c r="K2934" s="1348"/>
    </row>
    <row r="2935" spans="2:11" hidden="1">
      <c r="B2935" s="1348"/>
      <c r="C2935" s="1348"/>
      <c r="D2935" s="1348"/>
      <c r="E2935" s="1348"/>
      <c r="F2935" s="1348"/>
      <c r="G2935" s="1348"/>
      <c r="H2935" s="1348"/>
      <c r="I2935" s="1348"/>
      <c r="J2935" s="1348"/>
      <c r="K2935" s="1348"/>
    </row>
    <row r="2936" spans="2:11" hidden="1">
      <c r="B2936" s="1348"/>
      <c r="C2936" s="1348"/>
      <c r="D2936" s="1348"/>
      <c r="E2936" s="1348"/>
      <c r="F2936" s="1348"/>
      <c r="G2936" s="1348"/>
      <c r="H2936" s="1348"/>
      <c r="I2936" s="1348"/>
      <c r="J2936" s="1348"/>
      <c r="K2936" s="1348"/>
    </row>
    <row r="2937" spans="2:11" hidden="1">
      <c r="B2937" s="1348"/>
      <c r="C2937" s="1348"/>
      <c r="D2937" s="1348"/>
      <c r="E2937" s="1348"/>
      <c r="F2937" s="1348"/>
      <c r="G2937" s="1348"/>
      <c r="H2937" s="1348"/>
      <c r="I2937" s="1348"/>
      <c r="J2937" s="1348"/>
      <c r="K2937" s="1348"/>
    </row>
    <row r="2938" spans="2:11" hidden="1">
      <c r="B2938" s="1348"/>
      <c r="C2938" s="1348"/>
      <c r="D2938" s="1348"/>
      <c r="E2938" s="1348"/>
      <c r="F2938" s="1348"/>
      <c r="G2938" s="1348"/>
      <c r="H2938" s="1348"/>
      <c r="I2938" s="1348"/>
      <c r="J2938" s="1348"/>
      <c r="K2938" s="1348"/>
    </row>
    <row r="2939" spans="2:11" hidden="1">
      <c r="B2939" s="1348"/>
      <c r="C2939" s="1348"/>
      <c r="D2939" s="1348"/>
      <c r="E2939" s="1348"/>
      <c r="F2939" s="1348"/>
      <c r="G2939" s="1348"/>
      <c r="H2939" s="1348"/>
      <c r="I2939" s="1348"/>
      <c r="J2939" s="1348"/>
      <c r="K2939" s="1348"/>
    </row>
    <row r="2940" spans="2:11" hidden="1">
      <c r="B2940" s="1348"/>
      <c r="C2940" s="1348"/>
      <c r="D2940" s="1348"/>
      <c r="E2940" s="1348"/>
      <c r="F2940" s="1348"/>
      <c r="G2940" s="1348"/>
      <c r="H2940" s="1348"/>
      <c r="I2940" s="1348"/>
      <c r="J2940" s="1348"/>
      <c r="K2940" s="1348"/>
    </row>
    <row r="2941" spans="2:11" hidden="1">
      <c r="B2941" s="1348"/>
      <c r="C2941" s="1348"/>
      <c r="D2941" s="1348"/>
      <c r="E2941" s="1348"/>
      <c r="F2941" s="1348"/>
      <c r="G2941" s="1348"/>
      <c r="H2941" s="1348"/>
      <c r="I2941" s="1348"/>
      <c r="J2941" s="1348"/>
      <c r="K2941" s="1348"/>
    </row>
    <row r="2942" spans="2:11" hidden="1">
      <c r="B2942" s="1348"/>
      <c r="C2942" s="1348"/>
      <c r="D2942" s="1348"/>
      <c r="E2942" s="1348"/>
      <c r="F2942" s="1348"/>
      <c r="G2942" s="1348"/>
      <c r="H2942" s="1348"/>
      <c r="I2942" s="1348"/>
      <c r="J2942" s="1348"/>
      <c r="K2942" s="1348"/>
    </row>
    <row r="2943" spans="2:11" hidden="1">
      <c r="B2943" s="1348"/>
      <c r="C2943" s="1348"/>
      <c r="D2943" s="1348"/>
      <c r="E2943" s="1348"/>
      <c r="F2943" s="1348"/>
      <c r="G2943" s="1348"/>
      <c r="H2943" s="1348"/>
      <c r="I2943" s="1348"/>
      <c r="J2943" s="1348"/>
      <c r="K2943" s="1348"/>
    </row>
    <row r="2944" spans="2:11" hidden="1">
      <c r="B2944" s="1348"/>
      <c r="C2944" s="1348"/>
      <c r="D2944" s="1348"/>
      <c r="E2944" s="1348"/>
      <c r="F2944" s="1348"/>
      <c r="G2944" s="1348"/>
      <c r="H2944" s="1348"/>
      <c r="I2944" s="1348"/>
      <c r="J2944" s="1348"/>
      <c r="K2944" s="1348"/>
    </row>
    <row r="2945" spans="2:11" hidden="1">
      <c r="B2945" s="1348"/>
      <c r="C2945" s="1348"/>
      <c r="D2945" s="1348"/>
      <c r="E2945" s="1348"/>
      <c r="F2945" s="1348"/>
      <c r="G2945" s="1348"/>
      <c r="H2945" s="1348"/>
      <c r="I2945" s="1348"/>
      <c r="J2945" s="1348"/>
      <c r="K2945" s="1348"/>
    </row>
    <row r="2946" spans="2:11" hidden="1">
      <c r="B2946" s="1348"/>
      <c r="C2946" s="1348"/>
      <c r="D2946" s="1348"/>
      <c r="E2946" s="1348"/>
      <c r="F2946" s="1348"/>
      <c r="G2946" s="1348"/>
      <c r="H2946" s="1348"/>
      <c r="I2946" s="1348"/>
      <c r="J2946" s="1348"/>
      <c r="K2946" s="1348"/>
    </row>
    <row r="2947" spans="2:11" hidden="1">
      <c r="B2947" s="1348"/>
      <c r="C2947" s="1348"/>
      <c r="D2947" s="1348"/>
      <c r="E2947" s="1348"/>
      <c r="F2947" s="1348"/>
      <c r="G2947" s="1348"/>
      <c r="H2947" s="1348"/>
      <c r="I2947" s="1348"/>
      <c r="J2947" s="1348"/>
      <c r="K2947" s="1348"/>
    </row>
    <row r="2948" spans="2:11" hidden="1">
      <c r="B2948" s="1348"/>
      <c r="C2948" s="1348"/>
      <c r="D2948" s="1348"/>
      <c r="E2948" s="1348"/>
      <c r="F2948" s="1348"/>
      <c r="G2948" s="1348"/>
      <c r="H2948" s="1348"/>
      <c r="I2948" s="1348"/>
      <c r="J2948" s="1348"/>
      <c r="K2948" s="1348"/>
    </row>
    <row r="2949" spans="2:11" hidden="1">
      <c r="B2949" s="1348"/>
      <c r="C2949" s="1348"/>
      <c r="D2949" s="1348"/>
      <c r="E2949" s="1348"/>
      <c r="F2949" s="1348"/>
      <c r="G2949" s="1348"/>
      <c r="H2949" s="1348"/>
      <c r="I2949" s="1348"/>
      <c r="J2949" s="1348"/>
      <c r="K2949" s="1348"/>
    </row>
    <row r="2950" spans="2:11" hidden="1">
      <c r="B2950" s="1348"/>
      <c r="C2950" s="1348"/>
      <c r="D2950" s="1348"/>
      <c r="E2950" s="1348"/>
      <c r="F2950" s="1348"/>
      <c r="G2950" s="1348"/>
      <c r="H2950" s="1348"/>
      <c r="I2950" s="1348"/>
      <c r="J2950" s="1348"/>
      <c r="K2950" s="1348"/>
    </row>
    <row r="2951" spans="2:11" hidden="1">
      <c r="B2951" s="1348"/>
      <c r="C2951" s="1348"/>
      <c r="D2951" s="1348"/>
      <c r="E2951" s="1348"/>
      <c r="F2951" s="1348"/>
      <c r="G2951" s="1348"/>
      <c r="H2951" s="1348"/>
      <c r="I2951" s="1348"/>
      <c r="J2951" s="1348"/>
      <c r="K2951" s="1348"/>
    </row>
    <row r="2952" spans="2:11" hidden="1">
      <c r="B2952" s="1348"/>
      <c r="C2952" s="1348"/>
      <c r="D2952" s="1348"/>
      <c r="E2952" s="1348"/>
      <c r="F2952" s="1348"/>
      <c r="G2952" s="1348"/>
      <c r="H2952" s="1348"/>
      <c r="I2952" s="1348"/>
      <c r="J2952" s="1348"/>
      <c r="K2952" s="1348"/>
    </row>
    <row r="2953" spans="2:11" hidden="1">
      <c r="B2953" s="1348"/>
      <c r="C2953" s="1348"/>
      <c r="D2953" s="1348"/>
      <c r="E2953" s="1348"/>
      <c r="F2953" s="1348"/>
      <c r="G2953" s="1348"/>
      <c r="H2953" s="1348"/>
      <c r="I2953" s="1348"/>
      <c r="J2953" s="1348"/>
      <c r="K2953" s="1348"/>
    </row>
    <row r="2954" spans="2:11" hidden="1">
      <c r="B2954" s="1348"/>
      <c r="C2954" s="1348"/>
      <c r="D2954" s="1348"/>
      <c r="E2954" s="1348"/>
      <c r="F2954" s="1348"/>
      <c r="G2954" s="1348"/>
      <c r="H2954" s="1348"/>
      <c r="I2954" s="1348"/>
      <c r="J2954" s="1348"/>
      <c r="K2954" s="1348"/>
    </row>
    <row r="2955" spans="2:11" hidden="1">
      <c r="B2955" s="1348"/>
      <c r="C2955" s="1348"/>
      <c r="D2955" s="1348"/>
      <c r="E2955" s="1348"/>
      <c r="F2955" s="1348"/>
      <c r="G2955" s="1348"/>
      <c r="H2955" s="1348"/>
      <c r="I2955" s="1348"/>
      <c r="J2955" s="1348"/>
      <c r="K2955" s="1348"/>
    </row>
    <row r="2956" spans="2:11" hidden="1">
      <c r="B2956" s="1348"/>
      <c r="C2956" s="1348"/>
      <c r="D2956" s="1348"/>
      <c r="E2956" s="1348"/>
      <c r="F2956" s="1348"/>
      <c r="G2956" s="1348"/>
      <c r="H2956" s="1348"/>
      <c r="I2956" s="1348"/>
      <c r="J2956" s="1348"/>
      <c r="K2956" s="1348"/>
    </row>
    <row r="2957" spans="2:11" hidden="1">
      <c r="B2957" s="1348"/>
      <c r="C2957" s="1348"/>
      <c r="D2957" s="1348"/>
      <c r="E2957" s="1348"/>
      <c r="F2957" s="1348"/>
      <c r="G2957" s="1348"/>
      <c r="H2957" s="1348"/>
      <c r="I2957" s="1348"/>
      <c r="J2957" s="1348"/>
      <c r="K2957" s="1348"/>
    </row>
    <row r="2958" spans="2:11" hidden="1">
      <c r="B2958" s="1348"/>
      <c r="C2958" s="1348"/>
      <c r="D2958" s="1348"/>
      <c r="E2958" s="1348"/>
      <c r="F2958" s="1348"/>
      <c r="G2958" s="1348"/>
      <c r="H2958" s="1348"/>
      <c r="I2958" s="1348"/>
      <c r="J2958" s="1348"/>
      <c r="K2958" s="1348"/>
    </row>
    <row r="2959" spans="2:11" hidden="1">
      <c r="B2959" s="1348"/>
      <c r="C2959" s="1348"/>
      <c r="D2959" s="1348"/>
      <c r="E2959" s="1348"/>
      <c r="F2959" s="1348"/>
      <c r="G2959" s="1348"/>
      <c r="H2959" s="1348"/>
      <c r="I2959" s="1348"/>
      <c r="J2959" s="1348"/>
      <c r="K2959" s="1348"/>
    </row>
    <row r="2960" spans="2:11" hidden="1">
      <c r="B2960" s="1348"/>
      <c r="C2960" s="1348"/>
      <c r="D2960" s="1348"/>
      <c r="E2960" s="1348"/>
      <c r="F2960" s="1348"/>
      <c r="G2960" s="1348"/>
      <c r="H2960" s="1348"/>
      <c r="I2960" s="1348"/>
      <c r="J2960" s="1348"/>
      <c r="K2960" s="1348"/>
    </row>
    <row r="2961" spans="2:11" hidden="1">
      <c r="B2961" s="1348"/>
      <c r="C2961" s="1348"/>
      <c r="D2961" s="1348"/>
      <c r="E2961" s="1348"/>
      <c r="F2961" s="1348"/>
      <c r="G2961" s="1348"/>
      <c r="H2961" s="1348"/>
      <c r="I2961" s="1348"/>
      <c r="J2961" s="1348"/>
      <c r="K2961" s="1348"/>
    </row>
    <row r="2962" spans="2:11" hidden="1">
      <c r="B2962" s="1348"/>
      <c r="C2962" s="1348"/>
      <c r="D2962" s="1348"/>
      <c r="E2962" s="1348"/>
      <c r="F2962" s="1348"/>
      <c r="G2962" s="1348"/>
      <c r="H2962" s="1348"/>
      <c r="I2962" s="1348"/>
      <c r="J2962" s="1348"/>
      <c r="K2962" s="1348"/>
    </row>
    <row r="2963" spans="2:11" hidden="1">
      <c r="B2963" s="1348"/>
      <c r="C2963" s="1348"/>
      <c r="D2963" s="1348"/>
      <c r="E2963" s="1348"/>
      <c r="F2963" s="1348"/>
      <c r="G2963" s="1348"/>
      <c r="H2963" s="1348"/>
      <c r="I2963" s="1348"/>
      <c r="J2963" s="1348"/>
      <c r="K2963" s="1348"/>
    </row>
    <row r="2964" spans="2:11" hidden="1">
      <c r="B2964" s="1348"/>
      <c r="C2964" s="1348"/>
      <c r="D2964" s="1348"/>
      <c r="E2964" s="1348"/>
      <c r="F2964" s="1348"/>
      <c r="G2964" s="1348"/>
      <c r="H2964" s="1348"/>
      <c r="I2964" s="1348"/>
      <c r="J2964" s="1348"/>
      <c r="K2964" s="1348"/>
    </row>
    <row r="2965" spans="2:11" hidden="1">
      <c r="B2965" s="1348"/>
      <c r="C2965" s="1348"/>
      <c r="D2965" s="1348"/>
      <c r="E2965" s="1348"/>
      <c r="F2965" s="1348"/>
      <c r="G2965" s="1348"/>
      <c r="H2965" s="1348"/>
      <c r="I2965" s="1348"/>
      <c r="J2965" s="1348"/>
      <c r="K2965" s="1348"/>
    </row>
    <row r="2966" spans="2:11" hidden="1">
      <c r="B2966" s="1348"/>
      <c r="C2966" s="1348"/>
      <c r="D2966" s="1348"/>
      <c r="E2966" s="1348"/>
      <c r="F2966" s="1348"/>
      <c r="G2966" s="1348"/>
      <c r="H2966" s="1348"/>
      <c r="I2966" s="1348"/>
      <c r="J2966" s="1348"/>
      <c r="K2966" s="1348"/>
    </row>
    <row r="2967" spans="2:11" hidden="1">
      <c r="B2967" s="1348"/>
      <c r="C2967" s="1348"/>
      <c r="D2967" s="1348"/>
      <c r="E2967" s="1348"/>
      <c r="F2967" s="1348"/>
      <c r="G2967" s="1348"/>
      <c r="H2967" s="1348"/>
      <c r="I2967" s="1348"/>
      <c r="J2967" s="1348"/>
      <c r="K2967" s="1348"/>
    </row>
    <row r="2968" spans="2:11" hidden="1">
      <c r="B2968" s="1348"/>
      <c r="C2968" s="1348"/>
      <c r="D2968" s="1348"/>
      <c r="E2968" s="1348"/>
      <c r="F2968" s="1348"/>
      <c r="G2968" s="1348"/>
      <c r="H2968" s="1348"/>
      <c r="I2968" s="1348"/>
      <c r="J2968" s="1348"/>
      <c r="K2968" s="1348"/>
    </row>
    <row r="2969" spans="2:11" hidden="1">
      <c r="B2969" s="1348"/>
      <c r="C2969" s="1348"/>
      <c r="D2969" s="1348"/>
      <c r="E2969" s="1348"/>
      <c r="F2969" s="1348"/>
      <c r="G2969" s="1348"/>
      <c r="H2969" s="1348"/>
      <c r="I2969" s="1348"/>
      <c r="J2969" s="1348"/>
      <c r="K2969" s="1348"/>
    </row>
    <row r="2970" spans="2:11" hidden="1">
      <c r="B2970" s="1348"/>
      <c r="C2970" s="1348"/>
      <c r="D2970" s="1348"/>
      <c r="E2970" s="1348"/>
      <c r="F2970" s="1348"/>
      <c r="G2970" s="1348"/>
      <c r="H2970" s="1348"/>
      <c r="I2970" s="1348"/>
      <c r="J2970" s="1348"/>
      <c r="K2970" s="1348"/>
    </row>
    <row r="2971" spans="2:11" hidden="1">
      <c r="B2971" s="1348"/>
      <c r="C2971" s="1348"/>
      <c r="D2971" s="1348"/>
      <c r="E2971" s="1348"/>
      <c r="F2971" s="1348"/>
      <c r="G2971" s="1348"/>
      <c r="H2971" s="1348"/>
      <c r="I2971" s="1348"/>
      <c r="J2971" s="1348"/>
      <c r="K2971" s="1348"/>
    </row>
    <row r="2972" spans="2:11" hidden="1">
      <c r="B2972" s="1348"/>
      <c r="C2972" s="1348"/>
      <c r="D2972" s="1348"/>
      <c r="E2972" s="1348"/>
      <c r="F2972" s="1348"/>
      <c r="G2972" s="1348"/>
      <c r="H2972" s="1348"/>
      <c r="I2972" s="1348"/>
      <c r="J2972" s="1348"/>
      <c r="K2972" s="1348"/>
    </row>
    <row r="2973" spans="2:11" hidden="1">
      <c r="B2973" s="1348"/>
      <c r="C2973" s="1348"/>
      <c r="D2973" s="1348"/>
      <c r="E2973" s="1348"/>
      <c r="F2973" s="1348"/>
      <c r="G2973" s="1348"/>
      <c r="H2973" s="1348"/>
      <c r="I2973" s="1348"/>
      <c r="J2973" s="1348"/>
      <c r="K2973" s="1348"/>
    </row>
    <row r="2974" spans="2:11" hidden="1">
      <c r="B2974" s="1348"/>
      <c r="C2974" s="1348"/>
      <c r="D2974" s="1348"/>
      <c r="E2974" s="1348"/>
      <c r="F2974" s="1348"/>
      <c r="G2974" s="1348"/>
      <c r="H2974" s="1348"/>
      <c r="I2974" s="1348"/>
      <c r="J2974" s="1348"/>
      <c r="K2974" s="1348"/>
    </row>
    <row r="2975" spans="2:11" hidden="1">
      <c r="B2975" s="1348"/>
      <c r="C2975" s="1348"/>
      <c r="D2975" s="1348"/>
      <c r="E2975" s="1348"/>
      <c r="F2975" s="1348"/>
      <c r="G2975" s="1348"/>
      <c r="H2975" s="1348"/>
      <c r="I2975" s="1348"/>
      <c r="J2975" s="1348"/>
      <c r="K2975" s="1348"/>
    </row>
    <row r="2976" spans="2:11" hidden="1">
      <c r="B2976" s="1348"/>
      <c r="C2976" s="1348"/>
      <c r="D2976" s="1348"/>
      <c r="E2976" s="1348"/>
      <c r="F2976" s="1348"/>
      <c r="G2976" s="1348"/>
      <c r="H2976" s="1348"/>
      <c r="I2976" s="1348"/>
      <c r="J2976" s="1348"/>
      <c r="K2976" s="1348"/>
    </row>
    <row r="2977" spans="2:11" hidden="1">
      <c r="B2977" s="1348"/>
      <c r="C2977" s="1348"/>
      <c r="D2977" s="1348"/>
      <c r="E2977" s="1348"/>
      <c r="F2977" s="1348"/>
      <c r="G2977" s="1348"/>
      <c r="H2977" s="1348"/>
      <c r="I2977" s="1348"/>
      <c r="J2977" s="1348"/>
      <c r="K2977" s="1348"/>
    </row>
    <row r="2978" spans="2:11" hidden="1">
      <c r="B2978" s="1348"/>
      <c r="C2978" s="1348"/>
      <c r="D2978" s="1348"/>
      <c r="E2978" s="1348"/>
      <c r="F2978" s="1348"/>
      <c r="G2978" s="1348"/>
      <c r="H2978" s="1348"/>
      <c r="I2978" s="1348"/>
      <c r="J2978" s="1348"/>
      <c r="K2978" s="1348"/>
    </row>
    <row r="2979" spans="2:11" hidden="1">
      <c r="B2979" s="1348"/>
      <c r="C2979" s="1348"/>
      <c r="D2979" s="1348"/>
      <c r="E2979" s="1348"/>
      <c r="F2979" s="1348"/>
      <c r="G2979" s="1348"/>
      <c r="H2979" s="1348"/>
      <c r="I2979" s="1348"/>
      <c r="J2979" s="1348"/>
      <c r="K2979" s="1348"/>
    </row>
    <row r="2980" spans="2:11" hidden="1">
      <c r="B2980" s="1348"/>
      <c r="C2980" s="1348"/>
      <c r="D2980" s="1348"/>
      <c r="E2980" s="1348"/>
      <c r="F2980" s="1348"/>
      <c r="G2980" s="1348"/>
      <c r="H2980" s="1348"/>
      <c r="I2980" s="1348"/>
      <c r="J2980" s="1348"/>
      <c r="K2980" s="1348"/>
    </row>
    <row r="2981" spans="2:11" hidden="1">
      <c r="B2981" s="1348"/>
      <c r="C2981" s="1348"/>
      <c r="D2981" s="1348"/>
      <c r="E2981" s="1348"/>
      <c r="F2981" s="1348"/>
      <c r="G2981" s="1348"/>
      <c r="H2981" s="1348"/>
      <c r="I2981" s="1348"/>
      <c r="J2981" s="1348"/>
      <c r="K2981" s="1348"/>
    </row>
    <row r="2982" spans="2:11" hidden="1">
      <c r="B2982" s="1348"/>
      <c r="C2982" s="1348"/>
      <c r="D2982" s="1348"/>
      <c r="E2982" s="1348"/>
      <c r="F2982" s="1348"/>
      <c r="G2982" s="1348"/>
      <c r="H2982" s="1348"/>
      <c r="I2982" s="1348"/>
      <c r="J2982" s="1348"/>
      <c r="K2982" s="1348"/>
    </row>
    <row r="2983" spans="2:11" hidden="1">
      <c r="B2983" s="1348"/>
      <c r="C2983" s="1348"/>
      <c r="D2983" s="1348"/>
      <c r="E2983" s="1348"/>
      <c r="F2983" s="1348"/>
      <c r="G2983" s="1348"/>
      <c r="H2983" s="1348"/>
      <c r="I2983" s="1348"/>
      <c r="J2983" s="1348"/>
      <c r="K2983" s="1348"/>
    </row>
    <row r="2984" spans="2:11" hidden="1">
      <c r="B2984" s="1348"/>
      <c r="C2984" s="1348"/>
      <c r="D2984" s="1348"/>
      <c r="E2984" s="1348"/>
      <c r="F2984" s="1348"/>
      <c r="G2984" s="1348"/>
      <c r="H2984" s="1348"/>
      <c r="I2984" s="1348"/>
      <c r="J2984" s="1348"/>
      <c r="K2984" s="1348"/>
    </row>
    <row r="2985" spans="2:11" hidden="1">
      <c r="B2985" s="1348"/>
      <c r="C2985" s="1348"/>
      <c r="D2985" s="1348"/>
      <c r="E2985" s="1348"/>
      <c r="F2985" s="1348"/>
      <c r="G2985" s="1348"/>
      <c r="H2985" s="1348"/>
      <c r="I2985" s="1348"/>
      <c r="J2985" s="1348"/>
      <c r="K2985" s="1348"/>
    </row>
    <row r="2986" spans="2:11" hidden="1">
      <c r="B2986" s="1348"/>
      <c r="C2986" s="1348"/>
      <c r="D2986" s="1348"/>
      <c r="E2986" s="1348"/>
      <c r="F2986" s="1348"/>
      <c r="G2986" s="1348"/>
      <c r="H2986" s="1348"/>
      <c r="I2986" s="1348"/>
      <c r="J2986" s="1348"/>
      <c r="K2986" s="1348"/>
    </row>
    <row r="2987" spans="2:11" hidden="1">
      <c r="B2987" s="1348"/>
      <c r="C2987" s="1348"/>
      <c r="D2987" s="1348"/>
      <c r="E2987" s="1348"/>
      <c r="F2987" s="1348"/>
      <c r="G2987" s="1348"/>
      <c r="H2987" s="1348"/>
      <c r="I2987" s="1348"/>
      <c r="J2987" s="1348"/>
      <c r="K2987" s="1348"/>
    </row>
    <row r="2988" spans="2:11" hidden="1">
      <c r="B2988" s="1348"/>
      <c r="C2988" s="1348"/>
      <c r="D2988" s="1348"/>
      <c r="E2988" s="1348"/>
      <c r="F2988" s="1348"/>
      <c r="G2988" s="1348"/>
      <c r="H2988" s="1348"/>
      <c r="I2988" s="1348"/>
      <c r="J2988" s="1348"/>
      <c r="K2988" s="1348"/>
    </row>
    <row r="2989" spans="2:11" hidden="1">
      <c r="B2989" s="1348"/>
      <c r="C2989" s="1348"/>
      <c r="D2989" s="1348"/>
      <c r="E2989" s="1348"/>
      <c r="F2989" s="1348"/>
      <c r="G2989" s="1348"/>
      <c r="H2989" s="1348"/>
      <c r="I2989" s="1348"/>
      <c r="J2989" s="1348"/>
      <c r="K2989" s="1348"/>
    </row>
    <row r="2990" spans="2:11" hidden="1">
      <c r="B2990" s="1348"/>
      <c r="C2990" s="1348"/>
      <c r="D2990" s="1348"/>
      <c r="E2990" s="1348"/>
      <c r="F2990" s="1348"/>
      <c r="G2990" s="1348"/>
      <c r="H2990" s="1348"/>
      <c r="I2990" s="1348"/>
      <c r="J2990" s="1348"/>
      <c r="K2990" s="1348"/>
    </row>
    <row r="2991" spans="2:11" hidden="1">
      <c r="B2991" s="1348"/>
      <c r="C2991" s="1348"/>
      <c r="D2991" s="1348"/>
      <c r="E2991" s="1348"/>
      <c r="F2991" s="1348"/>
      <c r="G2991" s="1348"/>
      <c r="H2991" s="1348"/>
      <c r="I2991" s="1348"/>
      <c r="J2991" s="1348"/>
      <c r="K2991" s="1348"/>
    </row>
    <row r="2992" spans="2:11" hidden="1">
      <c r="B2992" s="1348"/>
      <c r="C2992" s="1348"/>
      <c r="D2992" s="1348"/>
      <c r="E2992" s="1348"/>
      <c r="F2992" s="1348"/>
      <c r="G2992" s="1348"/>
      <c r="H2992" s="1348"/>
      <c r="I2992" s="1348"/>
      <c r="J2992" s="1348"/>
      <c r="K2992" s="1348"/>
    </row>
    <row r="2993" spans="2:11" hidden="1">
      <c r="B2993" s="1348"/>
      <c r="C2993" s="1348"/>
      <c r="D2993" s="1348"/>
      <c r="E2993" s="1348"/>
      <c r="F2993" s="1348"/>
      <c r="G2993" s="1348"/>
      <c r="H2993" s="1348"/>
      <c r="I2993" s="1348"/>
      <c r="J2993" s="1348"/>
      <c r="K2993" s="1348"/>
    </row>
    <row r="2994" spans="2:11" hidden="1">
      <c r="B2994" s="1348"/>
      <c r="C2994" s="1348"/>
      <c r="D2994" s="1348"/>
      <c r="E2994" s="1348"/>
      <c r="F2994" s="1348"/>
      <c r="G2994" s="1348"/>
      <c r="H2994" s="1348"/>
      <c r="I2994" s="1348"/>
      <c r="J2994" s="1348"/>
      <c r="K2994" s="1348"/>
    </row>
    <row r="2995" spans="2:11" hidden="1">
      <c r="B2995" s="1348"/>
      <c r="C2995" s="1348"/>
      <c r="D2995" s="1348"/>
      <c r="E2995" s="1348"/>
      <c r="F2995" s="1348"/>
      <c r="G2995" s="1348"/>
      <c r="H2995" s="1348"/>
      <c r="I2995" s="1348"/>
      <c r="J2995" s="1348"/>
      <c r="K2995" s="1348"/>
    </row>
    <row r="2996" spans="2:11" hidden="1">
      <c r="B2996" s="1348"/>
      <c r="C2996" s="1348"/>
      <c r="D2996" s="1348"/>
      <c r="E2996" s="1348"/>
      <c r="F2996" s="1348"/>
      <c r="G2996" s="1348"/>
      <c r="H2996" s="1348"/>
      <c r="I2996" s="1348"/>
      <c r="J2996" s="1348"/>
      <c r="K2996" s="1348"/>
    </row>
    <row r="2997" spans="2:11" hidden="1">
      <c r="B2997" s="1348"/>
      <c r="C2997" s="1348"/>
      <c r="D2997" s="1348"/>
      <c r="E2997" s="1348"/>
      <c r="F2997" s="1348"/>
      <c r="G2997" s="1348"/>
      <c r="H2997" s="1348"/>
      <c r="I2997" s="1348"/>
      <c r="J2997" s="1348"/>
      <c r="K2997" s="1348"/>
    </row>
    <row r="2998" spans="2:11" hidden="1">
      <c r="B2998" s="1348"/>
      <c r="C2998" s="1348"/>
      <c r="D2998" s="1348"/>
      <c r="E2998" s="1348"/>
      <c r="F2998" s="1348"/>
      <c r="G2998" s="1348"/>
      <c r="H2998" s="1348"/>
      <c r="I2998" s="1348"/>
      <c r="J2998" s="1348"/>
      <c r="K2998" s="1348"/>
    </row>
    <row r="2999" spans="2:11" hidden="1">
      <c r="B2999" s="1348"/>
      <c r="C2999" s="1348"/>
      <c r="D2999" s="1348"/>
      <c r="E2999" s="1348"/>
      <c r="F2999" s="1348"/>
      <c r="G2999" s="1348"/>
      <c r="H2999" s="1348"/>
      <c r="I2999" s="1348"/>
      <c r="J2999" s="1348"/>
      <c r="K2999" s="1348"/>
    </row>
    <row r="3000" spans="2:11" hidden="1">
      <c r="B3000" s="1348"/>
      <c r="C3000" s="1348"/>
      <c r="D3000" s="1348"/>
      <c r="E3000" s="1348"/>
      <c r="F3000" s="1348"/>
      <c r="G3000" s="1348"/>
      <c r="H3000" s="1348"/>
      <c r="I3000" s="1348"/>
      <c r="J3000" s="1348"/>
      <c r="K3000" s="1348"/>
    </row>
    <row r="3001" spans="2:11" hidden="1">
      <c r="B3001" s="1348"/>
      <c r="C3001" s="1348"/>
      <c r="D3001" s="1348"/>
      <c r="E3001" s="1348"/>
      <c r="F3001" s="1348"/>
      <c r="G3001" s="1348"/>
      <c r="H3001" s="1348"/>
      <c r="I3001" s="1348"/>
      <c r="J3001" s="1348"/>
      <c r="K3001" s="1348"/>
    </row>
    <row r="3002" spans="2:11" hidden="1">
      <c r="B3002" s="1348"/>
      <c r="C3002" s="1348"/>
      <c r="D3002" s="1348"/>
      <c r="E3002" s="1348"/>
      <c r="F3002" s="1348"/>
      <c r="G3002" s="1348"/>
      <c r="H3002" s="1348"/>
      <c r="I3002" s="1348"/>
      <c r="J3002" s="1348"/>
      <c r="K3002" s="1348"/>
    </row>
    <row r="3003" spans="2:11" hidden="1">
      <c r="B3003" s="1348"/>
      <c r="C3003" s="1348"/>
      <c r="D3003" s="1348"/>
      <c r="E3003" s="1348"/>
      <c r="F3003" s="1348"/>
      <c r="G3003" s="1348"/>
      <c r="H3003" s="1348"/>
      <c r="I3003" s="1348"/>
      <c r="J3003" s="1348"/>
      <c r="K3003" s="1348"/>
    </row>
    <row r="3004" spans="2:11" hidden="1">
      <c r="B3004" s="1348"/>
      <c r="C3004" s="1348"/>
      <c r="D3004" s="1348"/>
      <c r="E3004" s="1348"/>
      <c r="F3004" s="1348"/>
      <c r="G3004" s="1348"/>
      <c r="H3004" s="1348"/>
      <c r="I3004" s="1348"/>
      <c r="J3004" s="1348"/>
      <c r="K3004" s="1348"/>
    </row>
    <row r="3005" spans="2:11" hidden="1">
      <c r="B3005" s="1348"/>
      <c r="C3005" s="1348"/>
      <c r="D3005" s="1348"/>
      <c r="E3005" s="1348"/>
      <c r="F3005" s="1348"/>
      <c r="G3005" s="1348"/>
      <c r="H3005" s="1348"/>
      <c r="I3005" s="1348"/>
      <c r="J3005" s="1348"/>
      <c r="K3005" s="1348"/>
    </row>
    <row r="3006" spans="2:11" hidden="1">
      <c r="B3006" s="1348"/>
      <c r="C3006" s="1348"/>
      <c r="D3006" s="1348"/>
      <c r="E3006" s="1348"/>
      <c r="F3006" s="1348"/>
      <c r="G3006" s="1348"/>
      <c r="H3006" s="1348"/>
      <c r="I3006" s="1348"/>
      <c r="J3006" s="1348"/>
      <c r="K3006" s="1348"/>
    </row>
    <row r="3007" spans="2:11" hidden="1">
      <c r="B3007" s="1348"/>
      <c r="C3007" s="1348"/>
      <c r="D3007" s="1348"/>
      <c r="E3007" s="1348"/>
      <c r="F3007" s="1348"/>
      <c r="G3007" s="1348"/>
      <c r="H3007" s="1348"/>
      <c r="I3007" s="1348"/>
      <c r="J3007" s="1348"/>
      <c r="K3007" s="1348"/>
    </row>
    <row r="3008" spans="2:11" hidden="1">
      <c r="B3008" s="1348"/>
      <c r="C3008" s="1348"/>
      <c r="D3008" s="1348"/>
      <c r="E3008" s="1348"/>
      <c r="F3008" s="1348"/>
      <c r="G3008" s="1348"/>
      <c r="H3008" s="1348"/>
      <c r="I3008" s="1348"/>
      <c r="J3008" s="1348"/>
      <c r="K3008" s="1348"/>
    </row>
    <row r="3009" spans="2:11" hidden="1">
      <c r="B3009" s="1348"/>
      <c r="C3009" s="1348"/>
      <c r="D3009" s="1348"/>
      <c r="E3009" s="1348"/>
      <c r="F3009" s="1348"/>
      <c r="G3009" s="1348"/>
      <c r="H3009" s="1348"/>
      <c r="I3009" s="1348"/>
      <c r="J3009" s="1348"/>
      <c r="K3009" s="1348"/>
    </row>
    <row r="3010" spans="2:11" hidden="1">
      <c r="B3010" s="1348"/>
      <c r="C3010" s="1348"/>
      <c r="D3010" s="1348"/>
      <c r="E3010" s="1348"/>
      <c r="F3010" s="1348"/>
      <c r="G3010" s="1348"/>
      <c r="H3010" s="1348"/>
      <c r="I3010" s="1348"/>
      <c r="J3010" s="1348"/>
      <c r="K3010" s="1348"/>
    </row>
    <row r="3011" spans="2:11" hidden="1">
      <c r="B3011" s="1348"/>
      <c r="C3011" s="1348"/>
      <c r="D3011" s="1348"/>
      <c r="E3011" s="1348"/>
      <c r="F3011" s="1348"/>
      <c r="G3011" s="1348"/>
      <c r="H3011" s="1348"/>
      <c r="I3011" s="1348"/>
      <c r="J3011" s="1348"/>
      <c r="K3011" s="1348"/>
    </row>
    <row r="3012" spans="2:11" hidden="1">
      <c r="B3012" s="1348"/>
      <c r="C3012" s="1348"/>
      <c r="D3012" s="1348"/>
      <c r="E3012" s="1348"/>
      <c r="F3012" s="1348"/>
      <c r="G3012" s="1348"/>
      <c r="H3012" s="1348"/>
      <c r="I3012" s="1348"/>
      <c r="J3012" s="1348"/>
      <c r="K3012" s="1348"/>
    </row>
    <row r="3013" spans="2:11" hidden="1">
      <c r="B3013" s="1348"/>
      <c r="C3013" s="1348"/>
      <c r="D3013" s="1348"/>
      <c r="E3013" s="1348"/>
      <c r="F3013" s="1348"/>
      <c r="G3013" s="1348"/>
      <c r="H3013" s="1348"/>
      <c r="I3013" s="1348"/>
      <c r="J3013" s="1348"/>
      <c r="K3013" s="1348"/>
    </row>
    <row r="3014" spans="2:11" hidden="1">
      <c r="B3014" s="1348"/>
      <c r="C3014" s="1348"/>
      <c r="D3014" s="1348"/>
      <c r="E3014" s="1348"/>
      <c r="F3014" s="1348"/>
      <c r="G3014" s="1348"/>
      <c r="H3014" s="1348"/>
      <c r="I3014" s="1348"/>
      <c r="J3014" s="1348"/>
      <c r="K3014" s="1348"/>
    </row>
    <row r="3015" spans="2:11" hidden="1">
      <c r="B3015" s="1348"/>
      <c r="C3015" s="1348"/>
      <c r="D3015" s="1348"/>
      <c r="E3015" s="1348"/>
      <c r="F3015" s="1348"/>
      <c r="G3015" s="1348"/>
      <c r="H3015" s="1348"/>
      <c r="I3015" s="1348"/>
      <c r="J3015" s="1348"/>
      <c r="K3015" s="1348"/>
    </row>
    <row r="3016" spans="2:11" hidden="1">
      <c r="B3016" s="1348"/>
      <c r="C3016" s="1348"/>
      <c r="D3016" s="1348"/>
      <c r="E3016" s="1348"/>
      <c r="F3016" s="1348"/>
      <c r="G3016" s="1348"/>
      <c r="H3016" s="1348"/>
      <c r="I3016" s="1348"/>
      <c r="J3016" s="1348"/>
      <c r="K3016" s="1348"/>
    </row>
    <row r="3017" spans="2:11" hidden="1">
      <c r="B3017" s="1348"/>
      <c r="C3017" s="1348"/>
      <c r="D3017" s="1348"/>
      <c r="E3017" s="1348"/>
      <c r="F3017" s="1348"/>
      <c r="G3017" s="1348"/>
      <c r="H3017" s="1348"/>
      <c r="I3017" s="1348"/>
      <c r="J3017" s="1348"/>
      <c r="K3017" s="1348"/>
    </row>
    <row r="3018" spans="2:11" hidden="1">
      <c r="B3018" s="1348"/>
      <c r="C3018" s="1348"/>
      <c r="D3018" s="1348"/>
      <c r="E3018" s="1348"/>
      <c r="F3018" s="1348"/>
      <c r="G3018" s="1348"/>
      <c r="H3018" s="1348"/>
      <c r="I3018" s="1348"/>
      <c r="J3018" s="1348"/>
      <c r="K3018" s="1348"/>
    </row>
    <row r="3019" spans="2:11" hidden="1">
      <c r="B3019" s="1348"/>
      <c r="C3019" s="1348"/>
      <c r="D3019" s="1348"/>
      <c r="E3019" s="1348"/>
      <c r="F3019" s="1348"/>
      <c r="G3019" s="1348"/>
      <c r="H3019" s="1348"/>
      <c r="I3019" s="1348"/>
      <c r="J3019" s="1348"/>
      <c r="K3019" s="1348"/>
    </row>
    <row r="3020" spans="2:11" hidden="1">
      <c r="B3020" s="1348"/>
      <c r="C3020" s="1348"/>
      <c r="D3020" s="1348"/>
      <c r="E3020" s="1348"/>
      <c r="F3020" s="1348"/>
      <c r="G3020" s="1348"/>
      <c r="H3020" s="1348"/>
      <c r="I3020" s="1348"/>
      <c r="J3020" s="1348"/>
      <c r="K3020" s="1348"/>
    </row>
    <row r="3021" spans="2:11" hidden="1">
      <c r="B3021" s="1348"/>
      <c r="C3021" s="1348"/>
      <c r="D3021" s="1348"/>
      <c r="E3021" s="1348"/>
      <c r="F3021" s="1348"/>
      <c r="G3021" s="1348"/>
      <c r="H3021" s="1348"/>
      <c r="I3021" s="1348"/>
      <c r="J3021" s="1348"/>
      <c r="K3021" s="1348"/>
    </row>
    <row r="3022" spans="2:11" hidden="1">
      <c r="B3022" s="1348"/>
      <c r="C3022" s="1348"/>
      <c r="D3022" s="1348"/>
      <c r="E3022" s="1348"/>
      <c r="F3022" s="1348"/>
      <c r="G3022" s="1348"/>
      <c r="H3022" s="1348"/>
      <c r="I3022" s="1348"/>
      <c r="J3022" s="1348"/>
      <c r="K3022" s="1348"/>
    </row>
    <row r="3023" spans="2:11" hidden="1">
      <c r="B3023" s="1348"/>
      <c r="C3023" s="1348"/>
      <c r="D3023" s="1348"/>
      <c r="E3023" s="1348"/>
      <c r="F3023" s="1348"/>
      <c r="G3023" s="1348"/>
      <c r="H3023" s="1348"/>
      <c r="I3023" s="1348"/>
      <c r="J3023" s="1348"/>
      <c r="K3023" s="1348"/>
    </row>
    <row r="3024" spans="2:11" hidden="1">
      <c r="B3024" s="1348"/>
      <c r="C3024" s="1348"/>
      <c r="D3024" s="1348"/>
      <c r="E3024" s="1348"/>
      <c r="F3024" s="1348"/>
      <c r="G3024" s="1348"/>
      <c r="H3024" s="1348"/>
      <c r="I3024" s="1348"/>
      <c r="J3024" s="1348"/>
      <c r="K3024" s="1348"/>
    </row>
    <row r="3025" spans="2:11" hidden="1">
      <c r="B3025" s="1348"/>
      <c r="C3025" s="1348"/>
      <c r="D3025" s="1348"/>
      <c r="E3025" s="1348"/>
      <c r="F3025" s="1348"/>
      <c r="G3025" s="1348"/>
      <c r="H3025" s="1348"/>
      <c r="I3025" s="1348"/>
      <c r="J3025" s="1348"/>
      <c r="K3025" s="1348"/>
    </row>
    <row r="3026" spans="2:11" hidden="1">
      <c r="B3026" s="1348"/>
      <c r="C3026" s="1348"/>
      <c r="D3026" s="1348"/>
      <c r="E3026" s="1348"/>
      <c r="F3026" s="1348"/>
      <c r="G3026" s="1348"/>
      <c r="H3026" s="1348"/>
      <c r="I3026" s="1348"/>
      <c r="J3026" s="1348"/>
      <c r="K3026" s="1348"/>
    </row>
    <row r="3027" spans="2:11" hidden="1">
      <c r="B3027" s="1348"/>
      <c r="C3027" s="1348"/>
      <c r="D3027" s="1348"/>
      <c r="E3027" s="1348"/>
      <c r="F3027" s="1348"/>
      <c r="G3027" s="1348"/>
      <c r="H3027" s="1348"/>
      <c r="I3027" s="1348"/>
      <c r="J3027" s="1348"/>
      <c r="K3027" s="1348"/>
    </row>
    <row r="3028" spans="2:11" hidden="1">
      <c r="B3028" s="1348"/>
      <c r="C3028" s="1348"/>
      <c r="D3028" s="1348"/>
      <c r="E3028" s="1348"/>
      <c r="F3028" s="1348"/>
      <c r="G3028" s="1348"/>
      <c r="H3028" s="1348"/>
      <c r="I3028" s="1348"/>
      <c r="J3028" s="1348"/>
      <c r="K3028" s="1348"/>
    </row>
    <row r="3029" spans="2:11" hidden="1">
      <c r="B3029" s="1348"/>
      <c r="C3029" s="1348"/>
      <c r="D3029" s="1348"/>
      <c r="E3029" s="1348"/>
      <c r="F3029" s="1348"/>
      <c r="G3029" s="1348"/>
      <c r="H3029" s="1348"/>
      <c r="I3029" s="1348"/>
      <c r="J3029" s="1348"/>
      <c r="K3029" s="1348"/>
    </row>
    <row r="3030" spans="2:11" hidden="1">
      <c r="B3030" s="1348"/>
      <c r="C3030" s="1348"/>
      <c r="D3030" s="1348"/>
      <c r="E3030" s="1348"/>
      <c r="F3030" s="1348"/>
      <c r="G3030" s="1348"/>
      <c r="H3030" s="1348"/>
      <c r="I3030" s="1348"/>
      <c r="J3030" s="1348"/>
      <c r="K3030" s="1348"/>
    </row>
    <row r="3031" spans="2:11" hidden="1">
      <c r="B3031" s="1348"/>
      <c r="C3031" s="1348"/>
      <c r="D3031" s="1348"/>
      <c r="E3031" s="1348"/>
      <c r="F3031" s="1348"/>
      <c r="G3031" s="1348"/>
      <c r="H3031" s="1348"/>
      <c r="I3031" s="1348"/>
      <c r="J3031" s="1348"/>
      <c r="K3031" s="1348"/>
    </row>
    <row r="3032" spans="2:11" hidden="1">
      <c r="B3032" s="1348"/>
      <c r="C3032" s="1348"/>
      <c r="D3032" s="1348"/>
      <c r="E3032" s="1348"/>
      <c r="F3032" s="1348"/>
      <c r="G3032" s="1348"/>
      <c r="H3032" s="1348"/>
      <c r="I3032" s="1348"/>
      <c r="J3032" s="1348"/>
      <c r="K3032" s="1348"/>
    </row>
    <row r="3033" spans="2:11" hidden="1">
      <c r="B3033" s="1348"/>
      <c r="C3033" s="1348"/>
      <c r="D3033" s="1348"/>
      <c r="E3033" s="1348"/>
      <c r="F3033" s="1348"/>
      <c r="G3033" s="1348"/>
      <c r="H3033" s="1348"/>
      <c r="I3033" s="1348"/>
      <c r="J3033" s="1348"/>
      <c r="K3033" s="1348"/>
    </row>
    <row r="3034" spans="2:11" hidden="1">
      <c r="B3034" s="1348"/>
      <c r="C3034" s="1348"/>
      <c r="D3034" s="1348"/>
      <c r="E3034" s="1348"/>
      <c r="F3034" s="1348"/>
      <c r="G3034" s="1348"/>
      <c r="H3034" s="1348"/>
      <c r="I3034" s="1348"/>
      <c r="J3034" s="1348"/>
      <c r="K3034" s="1348"/>
    </row>
    <row r="3035" spans="2:11" hidden="1">
      <c r="B3035" s="1348"/>
      <c r="C3035" s="1348"/>
      <c r="D3035" s="1348"/>
      <c r="E3035" s="1348"/>
      <c r="F3035" s="1348"/>
      <c r="G3035" s="1348"/>
      <c r="H3035" s="1348"/>
      <c r="I3035" s="1348"/>
      <c r="J3035" s="1348"/>
      <c r="K3035" s="1348"/>
    </row>
    <row r="3036" spans="2:11" hidden="1">
      <c r="B3036" s="1348"/>
      <c r="C3036" s="1348"/>
      <c r="D3036" s="1348"/>
      <c r="E3036" s="1348"/>
      <c r="F3036" s="1348"/>
      <c r="G3036" s="1348"/>
      <c r="H3036" s="1348"/>
      <c r="I3036" s="1348"/>
      <c r="J3036" s="1348"/>
      <c r="K3036" s="1348"/>
    </row>
    <row r="3037" spans="2:11" hidden="1">
      <c r="B3037" s="1348"/>
      <c r="C3037" s="1348"/>
      <c r="D3037" s="1348"/>
      <c r="E3037" s="1348"/>
      <c r="F3037" s="1348"/>
      <c r="G3037" s="1348"/>
      <c r="H3037" s="1348"/>
      <c r="I3037" s="1348"/>
      <c r="J3037" s="1348"/>
      <c r="K3037" s="1348"/>
    </row>
    <row r="3038" spans="2:11" hidden="1">
      <c r="B3038" s="1348"/>
      <c r="C3038" s="1348"/>
      <c r="D3038" s="1348"/>
      <c r="E3038" s="1348"/>
      <c r="F3038" s="1348"/>
      <c r="G3038" s="1348"/>
      <c r="H3038" s="1348"/>
      <c r="I3038" s="1348"/>
      <c r="J3038" s="1348"/>
      <c r="K3038" s="1348"/>
    </row>
    <row r="3039" spans="2:11" hidden="1">
      <c r="B3039" s="1348"/>
      <c r="C3039" s="1348"/>
      <c r="D3039" s="1348"/>
      <c r="E3039" s="1348"/>
      <c r="F3039" s="1348"/>
      <c r="G3039" s="1348"/>
      <c r="H3039" s="1348"/>
      <c r="I3039" s="1348"/>
      <c r="J3039" s="1348"/>
      <c r="K3039" s="1348"/>
    </row>
    <row r="3040" spans="2:11" hidden="1">
      <c r="B3040" s="1348"/>
      <c r="C3040" s="1348"/>
      <c r="D3040" s="1348"/>
      <c r="E3040" s="1348"/>
      <c r="F3040" s="1348"/>
      <c r="G3040" s="1348"/>
      <c r="H3040" s="1348"/>
      <c r="I3040" s="1348"/>
      <c r="J3040" s="1348"/>
      <c r="K3040" s="1348"/>
    </row>
    <row r="3041" spans="2:11" hidden="1">
      <c r="B3041" s="1348"/>
      <c r="C3041" s="1348"/>
      <c r="D3041" s="1348"/>
      <c r="E3041" s="1348"/>
      <c r="F3041" s="1348"/>
      <c r="G3041" s="1348"/>
      <c r="H3041" s="1348"/>
      <c r="I3041" s="1348"/>
      <c r="J3041" s="1348"/>
      <c r="K3041" s="1348"/>
    </row>
    <row r="3042" spans="2:11" hidden="1">
      <c r="B3042" s="1348"/>
      <c r="C3042" s="1348"/>
      <c r="D3042" s="1348"/>
      <c r="E3042" s="1348"/>
      <c r="F3042" s="1348"/>
      <c r="G3042" s="1348"/>
      <c r="H3042" s="1348"/>
      <c r="I3042" s="1348"/>
      <c r="J3042" s="1348"/>
      <c r="K3042" s="1348"/>
    </row>
    <row r="3043" spans="2:11" hidden="1">
      <c r="B3043" s="1348"/>
      <c r="C3043" s="1348"/>
      <c r="D3043" s="1348"/>
      <c r="E3043" s="1348"/>
      <c r="F3043" s="1348"/>
      <c r="G3043" s="1348"/>
      <c r="H3043" s="1348"/>
      <c r="I3043" s="1348"/>
      <c r="J3043" s="1348"/>
      <c r="K3043" s="1348"/>
    </row>
    <row r="3044" spans="2:11" hidden="1">
      <c r="B3044" s="1348"/>
      <c r="C3044" s="1348"/>
      <c r="D3044" s="1348"/>
      <c r="E3044" s="1348"/>
      <c r="F3044" s="1348"/>
      <c r="G3044" s="1348"/>
      <c r="H3044" s="1348"/>
      <c r="I3044" s="1348"/>
      <c r="J3044" s="1348"/>
      <c r="K3044" s="1348"/>
    </row>
    <row r="3045" spans="2:11" hidden="1">
      <c r="B3045" s="1348"/>
      <c r="C3045" s="1348"/>
      <c r="D3045" s="1348"/>
      <c r="E3045" s="1348"/>
      <c r="F3045" s="1348"/>
      <c r="G3045" s="1348"/>
      <c r="H3045" s="1348"/>
      <c r="I3045" s="1348"/>
      <c r="J3045" s="1348"/>
      <c r="K3045" s="1348"/>
    </row>
    <row r="3046" spans="2:11" hidden="1">
      <c r="B3046" s="1348"/>
      <c r="C3046" s="1348"/>
      <c r="D3046" s="1348"/>
      <c r="E3046" s="1348"/>
      <c r="F3046" s="1348"/>
      <c r="G3046" s="1348"/>
      <c r="H3046" s="1348"/>
      <c r="I3046" s="1348"/>
      <c r="J3046" s="1348"/>
      <c r="K3046" s="1348"/>
    </row>
    <row r="3047" spans="2:11" hidden="1">
      <c r="B3047" s="1348"/>
      <c r="C3047" s="1348"/>
      <c r="D3047" s="1348"/>
      <c r="E3047" s="1348"/>
      <c r="F3047" s="1348"/>
      <c r="G3047" s="1348"/>
      <c r="H3047" s="1348"/>
      <c r="I3047" s="1348"/>
      <c r="J3047" s="1348"/>
      <c r="K3047" s="1348"/>
    </row>
    <row r="3048" spans="2:11" hidden="1">
      <c r="B3048" s="1348"/>
      <c r="C3048" s="1348"/>
      <c r="D3048" s="1348"/>
      <c r="E3048" s="1348"/>
      <c r="F3048" s="1348"/>
      <c r="G3048" s="1348"/>
      <c r="H3048" s="1348"/>
      <c r="I3048" s="1348"/>
      <c r="J3048" s="1348"/>
      <c r="K3048" s="1348"/>
    </row>
    <row r="3049" spans="2:11" hidden="1">
      <c r="B3049" s="1348"/>
      <c r="C3049" s="1348"/>
      <c r="D3049" s="1348"/>
      <c r="E3049" s="1348"/>
      <c r="F3049" s="1348"/>
      <c r="G3049" s="1348"/>
      <c r="H3049" s="1348"/>
      <c r="I3049" s="1348"/>
      <c r="J3049" s="1348"/>
      <c r="K3049" s="1348"/>
    </row>
    <row r="3050" spans="2:11" hidden="1">
      <c r="B3050" s="1348"/>
      <c r="C3050" s="1348"/>
      <c r="D3050" s="1348"/>
      <c r="E3050" s="1348"/>
      <c r="F3050" s="1348"/>
      <c r="G3050" s="1348"/>
      <c r="H3050" s="1348"/>
      <c r="I3050" s="1348"/>
      <c r="J3050" s="1348"/>
      <c r="K3050" s="1348"/>
    </row>
    <row r="3051" spans="2:11" hidden="1">
      <c r="B3051" s="1348"/>
      <c r="C3051" s="1348"/>
      <c r="D3051" s="1348"/>
      <c r="E3051" s="1348"/>
      <c r="F3051" s="1348"/>
      <c r="G3051" s="1348"/>
      <c r="H3051" s="1348"/>
      <c r="I3051" s="1348"/>
      <c r="J3051" s="1348"/>
      <c r="K3051" s="1348"/>
    </row>
    <row r="3052" spans="2:11" hidden="1">
      <c r="B3052" s="1348"/>
      <c r="C3052" s="1348"/>
      <c r="D3052" s="1348"/>
      <c r="E3052" s="1348"/>
      <c r="F3052" s="1348"/>
      <c r="G3052" s="1348"/>
      <c r="H3052" s="1348"/>
      <c r="I3052" s="1348"/>
      <c r="J3052" s="1348"/>
      <c r="K3052" s="1348"/>
    </row>
    <row r="3053" spans="2:11" hidden="1">
      <c r="B3053" s="1348"/>
      <c r="C3053" s="1348"/>
      <c r="D3053" s="1348"/>
      <c r="E3053" s="1348"/>
      <c r="F3053" s="1348"/>
      <c r="G3053" s="1348"/>
      <c r="H3053" s="1348"/>
      <c r="I3053" s="1348"/>
      <c r="J3053" s="1348"/>
      <c r="K3053" s="1348"/>
    </row>
    <row r="3054" spans="2:11" hidden="1">
      <c r="B3054" s="1348"/>
      <c r="C3054" s="1348"/>
      <c r="D3054" s="1348"/>
      <c r="E3054" s="1348"/>
      <c r="F3054" s="1348"/>
      <c r="G3054" s="1348"/>
      <c r="H3054" s="1348"/>
      <c r="I3054" s="1348"/>
      <c r="J3054" s="1348"/>
      <c r="K3054" s="1348"/>
    </row>
    <row r="3055" spans="2:11" hidden="1">
      <c r="B3055" s="1348"/>
      <c r="C3055" s="1348"/>
      <c r="D3055" s="1348"/>
      <c r="E3055" s="1348"/>
      <c r="F3055" s="1348"/>
      <c r="G3055" s="1348"/>
      <c r="H3055" s="1348"/>
      <c r="I3055" s="1348"/>
      <c r="J3055" s="1348"/>
      <c r="K3055" s="1348"/>
    </row>
    <row r="3056" spans="2:11" hidden="1">
      <c r="B3056" s="1348"/>
      <c r="C3056" s="1348"/>
      <c r="D3056" s="1348"/>
      <c r="E3056" s="1348"/>
      <c r="F3056" s="1348"/>
      <c r="G3056" s="1348"/>
      <c r="H3056" s="1348"/>
      <c r="I3056" s="1348"/>
      <c r="J3056" s="1348"/>
      <c r="K3056" s="1348"/>
    </row>
    <row r="3057" spans="2:11" hidden="1">
      <c r="B3057" s="1348"/>
      <c r="C3057" s="1348"/>
      <c r="D3057" s="1348"/>
      <c r="E3057" s="1348"/>
      <c r="F3057" s="1348"/>
      <c r="G3057" s="1348"/>
      <c r="H3057" s="1348"/>
      <c r="I3057" s="1348"/>
      <c r="J3057" s="1348"/>
      <c r="K3057" s="1348"/>
    </row>
    <row r="3058" spans="2:11" hidden="1">
      <c r="B3058" s="1348"/>
      <c r="C3058" s="1348"/>
      <c r="D3058" s="1348"/>
      <c r="E3058" s="1348"/>
      <c r="F3058" s="1348"/>
      <c r="G3058" s="1348"/>
      <c r="H3058" s="1348"/>
      <c r="I3058" s="1348"/>
      <c r="J3058" s="1348"/>
      <c r="K3058" s="1348"/>
    </row>
    <row r="3059" spans="2:11" hidden="1">
      <c r="B3059" s="1348"/>
      <c r="C3059" s="1348"/>
      <c r="D3059" s="1348"/>
      <c r="E3059" s="1348"/>
      <c r="F3059" s="1348"/>
      <c r="G3059" s="1348"/>
      <c r="H3059" s="1348"/>
      <c r="I3059" s="1348"/>
      <c r="J3059" s="1348"/>
      <c r="K3059" s="1348"/>
    </row>
    <row r="3060" spans="2:11" hidden="1">
      <c r="B3060" s="1348"/>
      <c r="C3060" s="1348"/>
      <c r="D3060" s="1348"/>
      <c r="E3060" s="1348"/>
      <c r="F3060" s="1348"/>
      <c r="G3060" s="1348"/>
      <c r="H3060" s="1348"/>
      <c r="I3060" s="1348"/>
      <c r="J3060" s="1348"/>
      <c r="K3060" s="1348"/>
    </row>
    <row r="3061" spans="2:11" hidden="1">
      <c r="B3061" s="1348"/>
      <c r="C3061" s="1348"/>
      <c r="D3061" s="1348"/>
      <c r="E3061" s="1348"/>
      <c r="F3061" s="1348"/>
      <c r="G3061" s="1348"/>
      <c r="H3061" s="1348"/>
      <c r="I3061" s="1348"/>
      <c r="J3061" s="1348"/>
      <c r="K3061" s="1348"/>
    </row>
    <row r="3062" spans="2:11" hidden="1">
      <c r="B3062" s="1348"/>
      <c r="C3062" s="1348"/>
      <c r="D3062" s="1348"/>
      <c r="E3062" s="1348"/>
      <c r="F3062" s="1348"/>
      <c r="G3062" s="1348"/>
      <c r="H3062" s="1348"/>
      <c r="I3062" s="1348"/>
      <c r="J3062" s="1348"/>
      <c r="K3062" s="1348"/>
    </row>
    <row r="3063" spans="2:11" hidden="1">
      <c r="B3063" s="1348"/>
      <c r="C3063" s="1348"/>
      <c r="D3063" s="1348"/>
      <c r="E3063" s="1348"/>
      <c r="F3063" s="1348"/>
      <c r="G3063" s="1348"/>
      <c r="H3063" s="1348"/>
      <c r="I3063" s="1348"/>
      <c r="J3063" s="1348"/>
      <c r="K3063" s="1348"/>
    </row>
    <row r="3064" spans="2:11" hidden="1">
      <c r="B3064" s="1348"/>
      <c r="C3064" s="1348"/>
      <c r="D3064" s="1348"/>
      <c r="E3064" s="1348"/>
      <c r="F3064" s="1348"/>
      <c r="G3064" s="1348"/>
      <c r="H3064" s="1348"/>
      <c r="I3064" s="1348"/>
      <c r="J3064" s="1348"/>
      <c r="K3064" s="1348"/>
    </row>
    <row r="3065" spans="2:11" hidden="1">
      <c r="B3065" s="1348"/>
      <c r="C3065" s="1348"/>
      <c r="D3065" s="1348"/>
      <c r="E3065" s="1348"/>
      <c r="F3065" s="1348"/>
      <c r="G3065" s="1348"/>
      <c r="H3065" s="1348"/>
      <c r="I3065" s="1348"/>
      <c r="J3065" s="1348"/>
      <c r="K3065" s="1348"/>
    </row>
    <row r="3066" spans="2:11" hidden="1">
      <c r="B3066" s="1348"/>
      <c r="C3066" s="1348"/>
      <c r="D3066" s="1348"/>
      <c r="E3066" s="1348"/>
      <c r="F3066" s="1348"/>
      <c r="G3066" s="1348"/>
      <c r="H3066" s="1348"/>
      <c r="I3066" s="1348"/>
      <c r="J3066" s="1348"/>
      <c r="K3066" s="1348"/>
    </row>
    <row r="3067" spans="2:11" hidden="1">
      <c r="B3067" s="1348"/>
      <c r="C3067" s="1348"/>
      <c r="D3067" s="1348"/>
      <c r="E3067" s="1348"/>
      <c r="F3067" s="1348"/>
      <c r="G3067" s="1348"/>
      <c r="H3067" s="1348"/>
      <c r="I3067" s="1348"/>
      <c r="J3067" s="1348"/>
      <c r="K3067" s="1348"/>
    </row>
    <row r="3068" spans="2:11" hidden="1">
      <c r="B3068" s="1348"/>
      <c r="C3068" s="1348"/>
      <c r="D3068" s="1348"/>
      <c r="E3068" s="1348"/>
      <c r="F3068" s="1348"/>
      <c r="G3068" s="1348"/>
      <c r="H3068" s="1348"/>
      <c r="I3068" s="1348"/>
      <c r="J3068" s="1348"/>
      <c r="K3068" s="1348"/>
    </row>
    <row r="3069" spans="2:11" hidden="1">
      <c r="B3069" s="1348"/>
      <c r="C3069" s="1348"/>
      <c r="D3069" s="1348"/>
      <c r="E3069" s="1348"/>
      <c r="F3069" s="1348"/>
      <c r="G3069" s="1348"/>
      <c r="H3069" s="1348"/>
      <c r="I3069" s="1348"/>
      <c r="J3069" s="1348"/>
      <c r="K3069" s="1348"/>
    </row>
    <row r="3070" spans="2:11" hidden="1">
      <c r="B3070" s="1348"/>
      <c r="C3070" s="1348"/>
      <c r="D3070" s="1348"/>
      <c r="E3070" s="1348"/>
      <c r="F3070" s="1348"/>
      <c r="G3070" s="1348"/>
      <c r="H3070" s="1348"/>
      <c r="I3070" s="1348"/>
      <c r="J3070" s="1348"/>
      <c r="K3070" s="1348"/>
    </row>
    <row r="3071" spans="2:11" hidden="1">
      <c r="B3071" s="1348"/>
      <c r="C3071" s="1348"/>
      <c r="D3071" s="1348"/>
      <c r="E3071" s="1348"/>
      <c r="F3071" s="1348"/>
      <c r="G3071" s="1348"/>
      <c r="H3071" s="1348"/>
      <c r="I3071" s="1348"/>
      <c r="J3071" s="1348"/>
      <c r="K3071" s="1348"/>
    </row>
    <row r="3072" spans="2:11" hidden="1">
      <c r="B3072" s="1348"/>
      <c r="C3072" s="1348"/>
      <c r="D3072" s="1348"/>
      <c r="E3072" s="1348"/>
      <c r="F3072" s="1348"/>
      <c r="G3072" s="1348"/>
      <c r="H3072" s="1348"/>
      <c r="I3072" s="1348"/>
      <c r="J3072" s="1348"/>
      <c r="K3072" s="1348"/>
    </row>
    <row r="3073" spans="2:11" hidden="1">
      <c r="B3073" s="1348"/>
      <c r="C3073" s="1348"/>
      <c r="D3073" s="1348"/>
      <c r="E3073" s="1348"/>
      <c r="F3073" s="1348"/>
      <c r="G3073" s="1348"/>
      <c r="H3073" s="1348"/>
      <c r="I3073" s="1348"/>
      <c r="J3073" s="1348"/>
      <c r="K3073" s="1348"/>
    </row>
    <row r="3074" spans="2:11" hidden="1">
      <c r="B3074" s="1348"/>
      <c r="C3074" s="1348"/>
      <c r="D3074" s="1348"/>
      <c r="E3074" s="1348"/>
      <c r="F3074" s="1348"/>
      <c r="G3074" s="1348"/>
      <c r="H3074" s="1348"/>
      <c r="I3074" s="1348"/>
      <c r="J3074" s="1348"/>
      <c r="K3074" s="1348"/>
    </row>
    <row r="3075" spans="2:11" hidden="1">
      <c r="B3075" s="1348"/>
      <c r="C3075" s="1348"/>
      <c r="D3075" s="1348"/>
      <c r="E3075" s="1348"/>
      <c r="F3075" s="1348"/>
      <c r="G3075" s="1348"/>
      <c r="H3075" s="1348"/>
      <c r="I3075" s="1348"/>
      <c r="J3075" s="1348"/>
      <c r="K3075" s="1348"/>
    </row>
    <row r="3076" spans="2:11" hidden="1">
      <c r="B3076" s="1348"/>
      <c r="C3076" s="1348"/>
      <c r="D3076" s="1348"/>
      <c r="E3076" s="1348"/>
      <c r="F3076" s="1348"/>
      <c r="G3076" s="1348"/>
      <c r="H3076" s="1348"/>
      <c r="I3076" s="1348"/>
      <c r="J3076" s="1348"/>
      <c r="K3076" s="1348"/>
    </row>
    <row r="3077" spans="2:11" hidden="1">
      <c r="B3077" s="1348"/>
      <c r="C3077" s="1348"/>
      <c r="D3077" s="1348"/>
      <c r="E3077" s="1348"/>
      <c r="F3077" s="1348"/>
      <c r="G3077" s="1348"/>
      <c r="H3077" s="1348"/>
      <c r="I3077" s="1348"/>
      <c r="J3077" s="1348"/>
      <c r="K3077" s="1348"/>
    </row>
    <row r="3078" spans="2:11" hidden="1">
      <c r="B3078" s="1348"/>
      <c r="C3078" s="1348"/>
      <c r="D3078" s="1348"/>
      <c r="E3078" s="1348"/>
      <c r="F3078" s="1348"/>
      <c r="G3078" s="1348"/>
      <c r="H3078" s="1348"/>
      <c r="I3078" s="1348"/>
      <c r="J3078" s="1348"/>
      <c r="K3078" s="1348"/>
    </row>
    <row r="3079" spans="2:11" hidden="1">
      <c r="B3079" s="1348"/>
      <c r="C3079" s="1348"/>
      <c r="D3079" s="1348"/>
      <c r="E3079" s="1348"/>
      <c r="F3079" s="1348"/>
      <c r="G3079" s="1348"/>
      <c r="H3079" s="1348"/>
      <c r="I3079" s="1348"/>
      <c r="J3079" s="1348"/>
      <c r="K3079" s="1348"/>
    </row>
    <row r="3080" spans="2:11" hidden="1">
      <c r="B3080" s="1348"/>
      <c r="C3080" s="1348"/>
      <c r="D3080" s="1348"/>
      <c r="E3080" s="1348"/>
      <c r="F3080" s="1348"/>
      <c r="G3080" s="1348"/>
      <c r="H3080" s="1348"/>
      <c r="I3080" s="1348"/>
      <c r="J3080" s="1348"/>
      <c r="K3080" s="1348"/>
    </row>
    <row r="3081" spans="2:11" hidden="1">
      <c r="B3081" s="1348"/>
      <c r="C3081" s="1348"/>
      <c r="D3081" s="1348"/>
      <c r="E3081" s="1348"/>
      <c r="F3081" s="1348"/>
      <c r="G3081" s="1348"/>
      <c r="H3081" s="1348"/>
      <c r="I3081" s="1348"/>
      <c r="J3081" s="1348"/>
      <c r="K3081" s="1348"/>
    </row>
    <row r="3082" spans="2:11" hidden="1">
      <c r="B3082" s="1348"/>
      <c r="C3082" s="1348"/>
      <c r="D3082" s="1348"/>
      <c r="E3082" s="1348"/>
      <c r="F3082" s="1348"/>
      <c r="G3082" s="1348"/>
      <c r="H3082" s="1348"/>
      <c r="I3082" s="1348"/>
      <c r="J3082" s="1348"/>
      <c r="K3082" s="1348"/>
    </row>
    <row r="3083" spans="2:11" hidden="1">
      <c r="B3083" s="1348"/>
      <c r="C3083" s="1348"/>
      <c r="D3083" s="1348"/>
      <c r="E3083" s="1348"/>
      <c r="F3083" s="1348"/>
      <c r="G3083" s="1348"/>
      <c r="H3083" s="1348"/>
      <c r="I3083" s="1348"/>
      <c r="J3083" s="1348"/>
      <c r="K3083" s="1348"/>
    </row>
    <row r="3084" spans="2:11" hidden="1">
      <c r="B3084" s="1348"/>
      <c r="C3084" s="1348"/>
      <c r="D3084" s="1348"/>
      <c r="E3084" s="1348"/>
      <c r="F3084" s="1348"/>
      <c r="G3084" s="1348"/>
      <c r="H3084" s="1348"/>
      <c r="I3084" s="1348"/>
      <c r="J3084" s="1348"/>
      <c r="K3084" s="1348"/>
    </row>
    <row r="3085" spans="2:11" hidden="1">
      <c r="B3085" s="1348"/>
      <c r="C3085" s="1348"/>
      <c r="D3085" s="1348"/>
      <c r="E3085" s="1348"/>
      <c r="F3085" s="1348"/>
      <c r="G3085" s="1348"/>
      <c r="H3085" s="1348"/>
      <c r="I3085" s="1348"/>
      <c r="J3085" s="1348"/>
      <c r="K3085" s="1348"/>
    </row>
    <row r="3086" spans="2:11" hidden="1">
      <c r="B3086" s="1348"/>
      <c r="C3086" s="1348"/>
      <c r="D3086" s="1348"/>
      <c r="E3086" s="1348"/>
      <c r="F3086" s="1348"/>
      <c r="G3086" s="1348"/>
      <c r="H3086" s="1348"/>
      <c r="I3086" s="1348"/>
      <c r="J3086" s="1348"/>
      <c r="K3086" s="1348"/>
    </row>
    <row r="3087" spans="2:11" hidden="1">
      <c r="B3087" s="1348"/>
      <c r="C3087" s="1348"/>
      <c r="D3087" s="1348"/>
      <c r="E3087" s="1348"/>
      <c r="F3087" s="1348"/>
      <c r="G3087" s="1348"/>
      <c r="H3087" s="1348"/>
      <c r="I3087" s="1348"/>
      <c r="J3087" s="1348"/>
      <c r="K3087" s="1348"/>
    </row>
    <row r="3088" spans="2:11" hidden="1">
      <c r="B3088" s="1348"/>
      <c r="C3088" s="1348"/>
      <c r="D3088" s="1348"/>
      <c r="E3088" s="1348"/>
      <c r="F3088" s="1348"/>
      <c r="G3088" s="1348"/>
      <c r="H3088" s="1348"/>
      <c r="I3088" s="1348"/>
      <c r="J3088" s="1348"/>
      <c r="K3088" s="1348"/>
    </row>
    <row r="3089" spans="2:11" hidden="1">
      <c r="B3089" s="1348"/>
      <c r="C3089" s="1348"/>
      <c r="D3089" s="1348"/>
      <c r="E3089" s="1348"/>
      <c r="F3089" s="1348"/>
      <c r="G3089" s="1348"/>
      <c r="H3089" s="1348"/>
      <c r="I3089" s="1348"/>
      <c r="J3089" s="1348"/>
      <c r="K3089" s="1348"/>
    </row>
    <row r="3090" spans="2:11" hidden="1">
      <c r="B3090" s="1348"/>
      <c r="C3090" s="1348"/>
      <c r="D3090" s="1348"/>
      <c r="E3090" s="1348"/>
      <c r="F3090" s="1348"/>
      <c r="G3090" s="1348"/>
      <c r="H3090" s="1348"/>
      <c r="I3090" s="1348"/>
      <c r="J3090" s="1348"/>
      <c r="K3090" s="1348"/>
    </row>
    <row r="3091" spans="2:11" hidden="1">
      <c r="B3091" s="1348"/>
      <c r="C3091" s="1348"/>
      <c r="D3091" s="1348"/>
      <c r="E3091" s="1348"/>
      <c r="F3091" s="1348"/>
      <c r="G3091" s="1348"/>
      <c r="H3091" s="1348"/>
      <c r="I3091" s="1348"/>
      <c r="J3091" s="1348"/>
      <c r="K3091" s="1348"/>
    </row>
    <row r="3092" spans="2:11" hidden="1">
      <c r="B3092" s="1348"/>
      <c r="C3092" s="1348"/>
      <c r="D3092" s="1348"/>
      <c r="E3092" s="1348"/>
      <c r="F3092" s="1348"/>
      <c r="G3092" s="1348"/>
      <c r="H3092" s="1348"/>
      <c r="I3092" s="1348"/>
      <c r="J3092" s="1348"/>
      <c r="K3092" s="1348"/>
    </row>
    <row r="3093" spans="2:11" hidden="1">
      <c r="B3093" s="1348"/>
      <c r="C3093" s="1348"/>
      <c r="D3093" s="1348"/>
      <c r="E3093" s="1348"/>
      <c r="F3093" s="1348"/>
      <c r="G3093" s="1348"/>
      <c r="H3093" s="1348"/>
      <c r="I3093" s="1348"/>
      <c r="J3093" s="1348"/>
      <c r="K3093" s="1348"/>
    </row>
    <row r="3094" spans="2:11" hidden="1">
      <c r="B3094" s="1348"/>
      <c r="C3094" s="1348"/>
      <c r="D3094" s="1348"/>
      <c r="E3094" s="1348"/>
      <c r="F3094" s="1348"/>
      <c r="G3094" s="1348"/>
      <c r="H3094" s="1348"/>
      <c r="I3094" s="1348"/>
      <c r="J3094" s="1348"/>
      <c r="K3094" s="1348"/>
    </row>
    <row r="3095" spans="2:11" hidden="1">
      <c r="B3095" s="1348"/>
      <c r="C3095" s="1348"/>
      <c r="D3095" s="1348"/>
      <c r="E3095" s="1348"/>
      <c r="F3095" s="1348"/>
      <c r="G3095" s="1348"/>
      <c r="H3095" s="1348"/>
      <c r="I3095" s="1348"/>
      <c r="J3095" s="1348"/>
      <c r="K3095" s="1348"/>
    </row>
    <row r="3096" spans="2:11" hidden="1">
      <c r="B3096" s="1348"/>
      <c r="C3096" s="1348"/>
      <c r="D3096" s="1348"/>
      <c r="E3096" s="1348"/>
      <c r="F3096" s="1348"/>
      <c r="G3096" s="1348"/>
      <c r="H3096" s="1348"/>
      <c r="I3096" s="1348"/>
      <c r="J3096" s="1348"/>
      <c r="K3096" s="1348"/>
    </row>
    <row r="3097" spans="2:11" hidden="1">
      <c r="B3097" s="1348"/>
      <c r="C3097" s="1348"/>
      <c r="D3097" s="1348"/>
      <c r="E3097" s="1348"/>
      <c r="F3097" s="1348"/>
      <c r="G3097" s="1348"/>
      <c r="H3097" s="1348"/>
      <c r="I3097" s="1348"/>
      <c r="J3097" s="1348"/>
      <c r="K3097" s="1348"/>
    </row>
    <row r="3098" spans="2:11" hidden="1">
      <c r="B3098" s="1348"/>
      <c r="C3098" s="1348"/>
      <c r="D3098" s="1348"/>
      <c r="E3098" s="1348"/>
      <c r="F3098" s="1348"/>
      <c r="G3098" s="1348"/>
      <c r="H3098" s="1348"/>
      <c r="I3098" s="1348"/>
      <c r="J3098" s="1348"/>
      <c r="K3098" s="1348"/>
    </row>
    <row r="3099" spans="2:11" hidden="1">
      <c r="B3099" s="1348"/>
      <c r="C3099" s="1348"/>
      <c r="D3099" s="1348"/>
      <c r="E3099" s="1348"/>
      <c r="F3099" s="1348"/>
      <c r="G3099" s="1348"/>
      <c r="H3099" s="1348"/>
      <c r="I3099" s="1348"/>
      <c r="J3099" s="1348"/>
      <c r="K3099" s="1348"/>
    </row>
    <row r="3100" spans="2:11" hidden="1">
      <c r="B3100" s="1348"/>
      <c r="C3100" s="1348"/>
      <c r="D3100" s="1348"/>
      <c r="E3100" s="1348"/>
      <c r="F3100" s="1348"/>
      <c r="G3100" s="1348"/>
      <c r="H3100" s="1348"/>
      <c r="I3100" s="1348"/>
      <c r="J3100" s="1348"/>
      <c r="K3100" s="1348"/>
    </row>
    <row r="3101" spans="2:11" hidden="1">
      <c r="B3101" s="1348"/>
      <c r="C3101" s="1348"/>
      <c r="D3101" s="1348"/>
      <c r="E3101" s="1348"/>
      <c r="F3101" s="1348"/>
      <c r="G3101" s="1348"/>
      <c r="H3101" s="1348"/>
      <c r="I3101" s="1348"/>
      <c r="J3101" s="1348"/>
      <c r="K3101" s="1348"/>
    </row>
    <row r="3102" spans="2:11" hidden="1">
      <c r="B3102" s="1348"/>
      <c r="C3102" s="1348"/>
      <c r="D3102" s="1348"/>
      <c r="E3102" s="1348"/>
      <c r="F3102" s="1348"/>
      <c r="G3102" s="1348"/>
      <c r="H3102" s="1348"/>
      <c r="I3102" s="1348"/>
      <c r="J3102" s="1348"/>
      <c r="K3102" s="1348"/>
    </row>
    <row r="3103" spans="2:11" hidden="1">
      <c r="B3103" s="1348"/>
      <c r="C3103" s="1348"/>
      <c r="D3103" s="1348"/>
      <c r="E3103" s="1348"/>
      <c r="F3103" s="1348"/>
      <c r="G3103" s="1348"/>
      <c r="H3103" s="1348"/>
      <c r="I3103" s="1348"/>
      <c r="J3103" s="1348"/>
      <c r="K3103" s="1348"/>
    </row>
    <row r="3104" spans="2:11" hidden="1">
      <c r="B3104" s="1348"/>
      <c r="C3104" s="1348"/>
      <c r="D3104" s="1348"/>
      <c r="E3104" s="1348"/>
      <c r="F3104" s="1348"/>
      <c r="G3104" s="1348"/>
      <c r="H3104" s="1348"/>
      <c r="I3104" s="1348"/>
      <c r="J3104" s="1348"/>
      <c r="K3104" s="1348"/>
    </row>
    <row r="3105" spans="2:11" hidden="1">
      <c r="B3105" s="1348"/>
      <c r="C3105" s="1348"/>
      <c r="D3105" s="1348"/>
      <c r="E3105" s="1348"/>
      <c r="F3105" s="1348"/>
      <c r="G3105" s="1348"/>
      <c r="H3105" s="1348"/>
      <c r="I3105" s="1348"/>
      <c r="J3105" s="1348"/>
      <c r="K3105" s="1348"/>
    </row>
    <row r="3106" spans="2:11" hidden="1">
      <c r="B3106" s="1348"/>
      <c r="C3106" s="1348"/>
      <c r="D3106" s="1348"/>
      <c r="E3106" s="1348"/>
      <c r="F3106" s="1348"/>
      <c r="G3106" s="1348"/>
      <c r="H3106" s="1348"/>
      <c r="I3106" s="1348"/>
      <c r="J3106" s="1348"/>
      <c r="K3106" s="1348"/>
    </row>
    <row r="3107" spans="2:11" hidden="1">
      <c r="B3107" s="1348"/>
      <c r="C3107" s="1348"/>
      <c r="D3107" s="1348"/>
      <c r="E3107" s="1348"/>
      <c r="F3107" s="1348"/>
      <c r="G3107" s="1348"/>
      <c r="H3107" s="1348"/>
      <c r="I3107" s="1348"/>
      <c r="J3107" s="1348"/>
      <c r="K3107" s="1348"/>
    </row>
    <row r="3108" spans="2:11" hidden="1">
      <c r="B3108" s="1348"/>
      <c r="C3108" s="1348"/>
      <c r="D3108" s="1348"/>
      <c r="E3108" s="1348"/>
      <c r="F3108" s="1348"/>
      <c r="G3108" s="1348"/>
      <c r="H3108" s="1348"/>
      <c r="I3108" s="1348"/>
      <c r="J3108" s="1348"/>
      <c r="K3108" s="1348"/>
    </row>
    <row r="3109" spans="2:11" hidden="1">
      <c r="B3109" s="1348"/>
      <c r="C3109" s="1348"/>
      <c r="D3109" s="1348"/>
      <c r="E3109" s="1348"/>
      <c r="F3109" s="1348"/>
      <c r="G3109" s="1348"/>
      <c r="H3109" s="1348"/>
      <c r="I3109" s="1348"/>
      <c r="J3109" s="1348"/>
      <c r="K3109" s="1348"/>
    </row>
    <row r="3110" spans="2:11" hidden="1">
      <c r="B3110" s="1348"/>
      <c r="C3110" s="1348"/>
      <c r="D3110" s="1348"/>
      <c r="E3110" s="1348"/>
      <c r="F3110" s="1348"/>
      <c r="G3110" s="1348"/>
      <c r="H3110" s="1348"/>
      <c r="I3110" s="1348"/>
      <c r="J3110" s="1348"/>
      <c r="K3110" s="1348"/>
    </row>
    <row r="3111" spans="2:11" hidden="1">
      <c r="B3111" s="1348"/>
      <c r="C3111" s="1348"/>
      <c r="D3111" s="1348"/>
      <c r="E3111" s="1348"/>
      <c r="F3111" s="1348"/>
      <c r="G3111" s="1348"/>
      <c r="H3111" s="1348"/>
      <c r="I3111" s="1348"/>
      <c r="J3111" s="1348"/>
      <c r="K3111" s="1348"/>
    </row>
    <row r="3112" spans="2:11" hidden="1">
      <c r="B3112" s="1348"/>
      <c r="C3112" s="1348"/>
      <c r="D3112" s="1348"/>
      <c r="E3112" s="1348"/>
      <c r="F3112" s="1348"/>
      <c r="G3112" s="1348"/>
      <c r="H3112" s="1348"/>
      <c r="I3112" s="1348"/>
      <c r="J3112" s="1348"/>
      <c r="K3112" s="1348"/>
    </row>
    <row r="3113" spans="2:11" hidden="1">
      <c r="B3113" s="1348"/>
      <c r="C3113" s="1348"/>
      <c r="D3113" s="1348"/>
      <c r="E3113" s="1348"/>
      <c r="F3113" s="1348"/>
      <c r="G3113" s="1348"/>
      <c r="H3113" s="1348"/>
      <c r="I3113" s="1348"/>
      <c r="J3113" s="1348"/>
      <c r="K3113" s="1348"/>
    </row>
    <row r="3114" spans="2:11" hidden="1">
      <c r="B3114" s="1348"/>
      <c r="C3114" s="1348"/>
      <c r="D3114" s="1348"/>
      <c r="E3114" s="1348"/>
      <c r="F3114" s="1348"/>
      <c r="G3114" s="1348"/>
      <c r="H3114" s="1348"/>
      <c r="I3114" s="1348"/>
      <c r="J3114" s="1348"/>
      <c r="K3114" s="1348"/>
    </row>
    <row r="3115" spans="2:11" hidden="1">
      <c r="B3115" s="1348"/>
      <c r="C3115" s="1348"/>
      <c r="D3115" s="1348"/>
      <c r="E3115" s="1348"/>
      <c r="F3115" s="1348"/>
      <c r="G3115" s="1348"/>
      <c r="H3115" s="1348"/>
      <c r="I3115" s="1348"/>
      <c r="J3115" s="1348"/>
      <c r="K3115" s="1348"/>
    </row>
    <row r="3116" spans="2:11" hidden="1">
      <c r="B3116" s="1348"/>
      <c r="C3116" s="1348"/>
      <c r="D3116" s="1348"/>
      <c r="E3116" s="1348"/>
      <c r="F3116" s="1348"/>
      <c r="G3116" s="1348"/>
      <c r="H3116" s="1348"/>
      <c r="I3116" s="1348"/>
      <c r="J3116" s="1348"/>
      <c r="K3116" s="1348"/>
    </row>
    <row r="3117" spans="2:11" hidden="1">
      <c r="B3117" s="1348"/>
      <c r="C3117" s="1348"/>
      <c r="D3117" s="1348"/>
      <c r="E3117" s="1348"/>
      <c r="F3117" s="1348"/>
      <c r="G3117" s="1348"/>
      <c r="H3117" s="1348"/>
      <c r="I3117" s="1348"/>
      <c r="J3117" s="1348"/>
      <c r="K3117" s="1348"/>
    </row>
    <row r="3118" spans="2:11" hidden="1">
      <c r="B3118" s="1348"/>
      <c r="C3118" s="1348"/>
      <c r="D3118" s="1348"/>
      <c r="E3118" s="1348"/>
      <c r="F3118" s="1348"/>
      <c r="G3118" s="1348"/>
      <c r="H3118" s="1348"/>
      <c r="I3118" s="1348"/>
      <c r="J3118" s="1348"/>
      <c r="K3118" s="1348"/>
    </row>
    <row r="3119" spans="2:11" hidden="1">
      <c r="B3119" s="1348"/>
      <c r="C3119" s="1348"/>
      <c r="D3119" s="1348"/>
      <c r="E3119" s="1348"/>
      <c r="F3119" s="1348"/>
      <c r="G3119" s="1348"/>
      <c r="H3119" s="1348"/>
      <c r="I3119" s="1348"/>
      <c r="J3119" s="1348"/>
      <c r="K3119" s="1348"/>
    </row>
    <row r="3120" spans="2:11" hidden="1">
      <c r="B3120" s="1348"/>
      <c r="C3120" s="1348"/>
      <c r="D3120" s="1348"/>
      <c r="E3120" s="1348"/>
      <c r="F3120" s="1348"/>
      <c r="G3120" s="1348"/>
      <c r="H3120" s="1348"/>
      <c r="I3120" s="1348"/>
      <c r="J3120" s="1348"/>
      <c r="K3120" s="1348"/>
    </row>
    <row r="3121" spans="2:11" hidden="1">
      <c r="B3121" s="1348"/>
      <c r="C3121" s="1348"/>
      <c r="D3121" s="1348"/>
      <c r="E3121" s="1348"/>
      <c r="F3121" s="1348"/>
      <c r="G3121" s="1348"/>
      <c r="H3121" s="1348"/>
      <c r="I3121" s="1348"/>
      <c r="J3121" s="1348"/>
      <c r="K3121" s="1348"/>
    </row>
    <row r="3122" spans="2:11" hidden="1">
      <c r="B3122" s="1348"/>
      <c r="C3122" s="1348"/>
      <c r="D3122" s="1348"/>
      <c r="E3122" s="1348"/>
      <c r="F3122" s="1348"/>
      <c r="G3122" s="1348"/>
      <c r="H3122" s="1348"/>
      <c r="I3122" s="1348"/>
      <c r="J3122" s="1348"/>
      <c r="K3122" s="1348"/>
    </row>
    <row r="3123" spans="2:11" hidden="1">
      <c r="B3123" s="1348"/>
      <c r="C3123" s="1348"/>
      <c r="D3123" s="1348"/>
      <c r="E3123" s="1348"/>
      <c r="F3123" s="1348"/>
      <c r="G3123" s="1348"/>
      <c r="H3123" s="1348"/>
      <c r="I3123" s="1348"/>
      <c r="J3123" s="1348"/>
      <c r="K3123" s="1348"/>
    </row>
    <row r="3124" spans="2:11" hidden="1">
      <c r="B3124" s="1348"/>
      <c r="C3124" s="1348"/>
      <c r="D3124" s="1348"/>
      <c r="E3124" s="1348"/>
      <c r="F3124" s="1348"/>
      <c r="G3124" s="1348"/>
      <c r="H3124" s="1348"/>
      <c r="I3124" s="1348"/>
      <c r="J3124" s="1348"/>
      <c r="K3124" s="1348"/>
    </row>
    <row r="3125" spans="2:11" hidden="1">
      <c r="B3125" s="1348"/>
      <c r="C3125" s="1348"/>
      <c r="D3125" s="1348"/>
      <c r="E3125" s="1348"/>
      <c r="F3125" s="1348"/>
      <c r="G3125" s="1348"/>
      <c r="H3125" s="1348"/>
      <c r="I3125" s="1348"/>
      <c r="J3125" s="1348"/>
      <c r="K3125" s="1348"/>
    </row>
    <row r="3126" spans="2:11" hidden="1">
      <c r="B3126" s="1348"/>
      <c r="C3126" s="1348"/>
      <c r="D3126" s="1348"/>
      <c r="E3126" s="1348"/>
      <c r="F3126" s="1348"/>
      <c r="G3126" s="1348"/>
      <c r="H3126" s="1348"/>
      <c r="I3126" s="1348"/>
      <c r="J3126" s="1348"/>
      <c r="K3126" s="1348"/>
    </row>
    <row r="3127" spans="2:11" hidden="1">
      <c r="B3127" s="1348"/>
      <c r="C3127" s="1348"/>
      <c r="D3127" s="1348"/>
      <c r="E3127" s="1348"/>
      <c r="F3127" s="1348"/>
      <c r="G3127" s="1348"/>
      <c r="H3127" s="1348"/>
      <c r="I3127" s="1348"/>
      <c r="J3127" s="1348"/>
      <c r="K3127" s="1348"/>
    </row>
    <row r="3128" spans="2:11" hidden="1">
      <c r="B3128" s="1348"/>
      <c r="C3128" s="1348"/>
      <c r="D3128" s="1348"/>
      <c r="E3128" s="1348"/>
      <c r="F3128" s="1348"/>
      <c r="G3128" s="1348"/>
      <c r="H3128" s="1348"/>
      <c r="I3128" s="1348"/>
      <c r="J3128" s="1348"/>
      <c r="K3128" s="1348"/>
    </row>
    <row r="3129" spans="2:11" hidden="1">
      <c r="B3129" s="1348"/>
      <c r="C3129" s="1348"/>
      <c r="D3129" s="1348"/>
      <c r="E3129" s="1348"/>
      <c r="F3129" s="1348"/>
      <c r="G3129" s="1348"/>
      <c r="H3129" s="1348"/>
      <c r="I3129" s="1348"/>
      <c r="J3129" s="1348"/>
      <c r="K3129" s="1348"/>
    </row>
    <row r="3130" spans="2:11" hidden="1">
      <c r="B3130" s="1348"/>
      <c r="C3130" s="1348"/>
      <c r="D3130" s="1348"/>
      <c r="E3130" s="1348"/>
      <c r="F3130" s="1348"/>
      <c r="G3130" s="1348"/>
      <c r="H3130" s="1348"/>
      <c r="I3130" s="1348"/>
      <c r="J3130" s="1348"/>
      <c r="K3130" s="1348"/>
    </row>
    <row r="3131" spans="2:11" hidden="1">
      <c r="B3131" s="1348"/>
      <c r="C3131" s="1348"/>
      <c r="D3131" s="1348"/>
      <c r="E3131" s="1348"/>
      <c r="F3131" s="1348"/>
      <c r="G3131" s="1348"/>
      <c r="H3131" s="1348"/>
      <c r="I3131" s="1348"/>
      <c r="J3131" s="1348"/>
      <c r="K3131" s="1348"/>
    </row>
    <row r="3132" spans="2:11" hidden="1">
      <c r="B3132" s="1348"/>
      <c r="C3132" s="1348"/>
      <c r="D3132" s="1348"/>
      <c r="E3132" s="1348"/>
      <c r="F3132" s="1348"/>
      <c r="G3132" s="1348"/>
      <c r="H3132" s="1348"/>
      <c r="I3132" s="1348"/>
      <c r="J3132" s="1348"/>
      <c r="K3132" s="1348"/>
    </row>
    <row r="3133" spans="2:11" hidden="1">
      <c r="B3133" s="1348"/>
      <c r="C3133" s="1348"/>
      <c r="D3133" s="1348"/>
      <c r="E3133" s="1348"/>
      <c r="F3133" s="1348"/>
      <c r="G3133" s="1348"/>
      <c r="H3133" s="1348"/>
      <c r="I3133" s="1348"/>
      <c r="J3133" s="1348"/>
      <c r="K3133" s="1348"/>
    </row>
    <row r="3134" spans="2:11" hidden="1">
      <c r="B3134" s="1348"/>
      <c r="C3134" s="1348"/>
      <c r="D3134" s="1348"/>
      <c r="E3134" s="1348"/>
      <c r="F3134" s="1348"/>
      <c r="G3134" s="1348"/>
      <c r="H3134" s="1348"/>
      <c r="I3134" s="1348"/>
      <c r="J3134" s="1348"/>
      <c r="K3134" s="1348"/>
    </row>
    <row r="3135" spans="2:11" hidden="1">
      <c r="B3135" s="1348"/>
      <c r="C3135" s="1348"/>
      <c r="D3135" s="1348"/>
      <c r="E3135" s="1348"/>
      <c r="F3135" s="1348"/>
      <c r="G3135" s="1348"/>
      <c r="H3135" s="1348"/>
      <c r="I3135" s="1348"/>
      <c r="J3135" s="1348"/>
      <c r="K3135" s="1348"/>
    </row>
    <row r="3136" spans="2:11" hidden="1">
      <c r="B3136" s="1348"/>
      <c r="C3136" s="1348"/>
      <c r="D3136" s="1348"/>
      <c r="E3136" s="1348"/>
      <c r="F3136" s="1348"/>
      <c r="G3136" s="1348"/>
      <c r="H3136" s="1348"/>
      <c r="I3136" s="1348"/>
      <c r="J3136" s="1348"/>
      <c r="K3136" s="1348"/>
    </row>
    <row r="3137" spans="2:11" hidden="1">
      <c r="B3137" s="1348"/>
      <c r="C3137" s="1348"/>
      <c r="D3137" s="1348"/>
      <c r="E3137" s="1348"/>
      <c r="F3137" s="1348"/>
      <c r="G3137" s="1348"/>
      <c r="H3137" s="1348"/>
      <c r="I3137" s="1348"/>
      <c r="J3137" s="1348"/>
      <c r="K3137" s="1348"/>
    </row>
    <row r="3138" spans="2:11" hidden="1">
      <c r="B3138" s="1348"/>
      <c r="C3138" s="1348"/>
      <c r="D3138" s="1348"/>
      <c r="E3138" s="1348"/>
      <c r="F3138" s="1348"/>
      <c r="G3138" s="1348"/>
      <c r="H3138" s="1348"/>
      <c r="I3138" s="1348"/>
      <c r="J3138" s="1348"/>
      <c r="K3138" s="1348"/>
    </row>
    <row r="3139" spans="2:11" hidden="1">
      <c r="B3139" s="1348"/>
      <c r="C3139" s="1348"/>
      <c r="D3139" s="1348"/>
      <c r="E3139" s="1348"/>
      <c r="F3139" s="1348"/>
      <c r="G3139" s="1348"/>
      <c r="H3139" s="1348"/>
      <c r="I3139" s="1348"/>
      <c r="J3139" s="1348"/>
      <c r="K3139" s="1348"/>
    </row>
    <row r="3140" spans="2:11" hidden="1">
      <c r="B3140" s="1348"/>
      <c r="C3140" s="1348"/>
      <c r="D3140" s="1348"/>
      <c r="E3140" s="1348"/>
      <c r="F3140" s="1348"/>
      <c r="G3140" s="1348"/>
      <c r="H3140" s="1348"/>
      <c r="I3140" s="1348"/>
      <c r="J3140" s="1348"/>
      <c r="K3140" s="1348"/>
    </row>
    <row r="3141" spans="2:11" hidden="1">
      <c r="B3141" s="1348"/>
      <c r="C3141" s="1348"/>
      <c r="D3141" s="1348"/>
      <c r="E3141" s="1348"/>
      <c r="F3141" s="1348"/>
      <c r="G3141" s="1348"/>
      <c r="H3141" s="1348"/>
      <c r="I3141" s="1348"/>
      <c r="J3141" s="1348"/>
      <c r="K3141" s="1348"/>
    </row>
    <row r="3142" spans="2:11" hidden="1">
      <c r="B3142" s="1348"/>
      <c r="C3142" s="1348"/>
      <c r="D3142" s="1348"/>
      <c r="E3142" s="1348"/>
      <c r="F3142" s="1348"/>
      <c r="G3142" s="1348"/>
      <c r="H3142" s="1348"/>
      <c r="I3142" s="1348"/>
      <c r="J3142" s="1348"/>
      <c r="K3142" s="1348"/>
    </row>
    <row r="3143" spans="2:11" hidden="1">
      <c r="B3143" s="1348"/>
      <c r="C3143" s="1348"/>
      <c r="D3143" s="1348"/>
      <c r="E3143" s="1348"/>
      <c r="F3143" s="1348"/>
      <c r="G3143" s="1348"/>
      <c r="H3143" s="1348"/>
      <c r="I3143" s="1348"/>
      <c r="J3143" s="1348"/>
      <c r="K3143" s="1348"/>
    </row>
    <row r="3144" spans="2:11" hidden="1">
      <c r="B3144" s="1348"/>
      <c r="C3144" s="1348"/>
      <c r="D3144" s="1348"/>
      <c r="E3144" s="1348"/>
      <c r="F3144" s="1348"/>
      <c r="G3144" s="1348"/>
      <c r="H3144" s="1348"/>
      <c r="I3144" s="1348"/>
      <c r="J3144" s="1348"/>
      <c r="K3144" s="1348"/>
    </row>
    <row r="3145" spans="2:11" hidden="1">
      <c r="B3145" s="1348"/>
      <c r="C3145" s="1348"/>
      <c r="D3145" s="1348"/>
      <c r="E3145" s="1348"/>
      <c r="F3145" s="1348"/>
      <c r="G3145" s="1348"/>
      <c r="H3145" s="1348"/>
      <c r="I3145" s="1348"/>
      <c r="J3145" s="1348"/>
      <c r="K3145" s="1348"/>
    </row>
    <row r="3146" spans="2:11" hidden="1">
      <c r="B3146" s="1348"/>
      <c r="C3146" s="1348"/>
      <c r="D3146" s="1348"/>
      <c r="E3146" s="1348"/>
      <c r="F3146" s="1348"/>
      <c r="G3146" s="1348"/>
      <c r="H3146" s="1348"/>
      <c r="I3146" s="1348"/>
      <c r="J3146" s="1348"/>
      <c r="K3146" s="1348"/>
    </row>
    <row r="3147" spans="2:11" hidden="1">
      <c r="B3147" s="1348"/>
      <c r="C3147" s="1348"/>
      <c r="D3147" s="1348"/>
      <c r="E3147" s="1348"/>
      <c r="F3147" s="1348"/>
      <c r="G3147" s="1348"/>
      <c r="H3147" s="1348"/>
      <c r="I3147" s="1348"/>
      <c r="J3147" s="1348"/>
      <c r="K3147" s="1348"/>
    </row>
    <row r="3148" spans="2:11" hidden="1">
      <c r="B3148" s="1348"/>
      <c r="C3148" s="1348"/>
      <c r="D3148" s="1348"/>
      <c r="E3148" s="1348"/>
      <c r="F3148" s="1348"/>
      <c r="G3148" s="1348"/>
      <c r="H3148" s="1348"/>
      <c r="I3148" s="1348"/>
      <c r="J3148" s="1348"/>
      <c r="K3148" s="1348"/>
    </row>
    <row r="3149" spans="2:11" hidden="1">
      <c r="B3149" s="1348"/>
      <c r="C3149" s="1348"/>
      <c r="D3149" s="1348"/>
      <c r="E3149" s="1348"/>
      <c r="F3149" s="1348"/>
      <c r="G3149" s="1348"/>
      <c r="H3149" s="1348"/>
      <c r="I3149" s="1348"/>
      <c r="J3149" s="1348"/>
      <c r="K3149" s="1348"/>
    </row>
    <row r="3150" spans="2:11" hidden="1">
      <c r="B3150" s="1348"/>
      <c r="C3150" s="1348"/>
      <c r="D3150" s="1348"/>
      <c r="E3150" s="1348"/>
      <c r="F3150" s="1348"/>
      <c r="G3150" s="1348"/>
      <c r="H3150" s="1348"/>
      <c r="I3150" s="1348"/>
      <c r="J3150" s="1348"/>
      <c r="K3150" s="1348"/>
    </row>
    <row r="3151" spans="2:11" hidden="1">
      <c r="B3151" s="1348"/>
      <c r="C3151" s="1348"/>
      <c r="D3151" s="1348"/>
      <c r="E3151" s="1348"/>
      <c r="F3151" s="1348"/>
      <c r="G3151" s="1348"/>
      <c r="H3151" s="1348"/>
      <c r="I3151" s="1348"/>
      <c r="J3151" s="1348"/>
      <c r="K3151" s="1348"/>
    </row>
    <row r="3152" spans="2:11" hidden="1">
      <c r="B3152" s="1348"/>
      <c r="C3152" s="1348"/>
      <c r="D3152" s="1348"/>
      <c r="E3152" s="1348"/>
      <c r="F3152" s="1348"/>
      <c r="G3152" s="1348"/>
      <c r="H3152" s="1348"/>
      <c r="I3152" s="1348"/>
      <c r="J3152" s="1348"/>
      <c r="K3152" s="1348"/>
    </row>
    <row r="3153" spans="2:11" hidden="1">
      <c r="B3153" s="1348"/>
      <c r="C3153" s="1348"/>
      <c r="D3153" s="1348"/>
      <c r="E3153" s="1348"/>
      <c r="F3153" s="1348"/>
      <c r="G3153" s="1348"/>
      <c r="H3153" s="1348"/>
      <c r="I3153" s="1348"/>
      <c r="J3153" s="1348"/>
      <c r="K3153" s="1348"/>
    </row>
    <row r="3154" spans="2:11" hidden="1">
      <c r="B3154" s="1348"/>
      <c r="C3154" s="1348"/>
      <c r="D3154" s="1348"/>
      <c r="E3154" s="1348"/>
      <c r="F3154" s="1348"/>
      <c r="G3154" s="1348"/>
      <c r="H3154" s="1348"/>
      <c r="I3154" s="1348"/>
      <c r="J3154" s="1348"/>
      <c r="K3154" s="1348"/>
    </row>
    <row r="3155" spans="2:11" hidden="1">
      <c r="B3155" s="1348"/>
      <c r="C3155" s="1348"/>
      <c r="D3155" s="1348"/>
      <c r="E3155" s="1348"/>
      <c r="F3155" s="1348"/>
      <c r="G3155" s="1348"/>
      <c r="H3155" s="1348"/>
      <c r="I3155" s="1348"/>
      <c r="J3155" s="1348"/>
      <c r="K3155" s="1348"/>
    </row>
    <row r="3156" spans="2:11" hidden="1">
      <c r="B3156" s="1348"/>
      <c r="C3156" s="1348"/>
      <c r="D3156" s="1348"/>
      <c r="E3156" s="1348"/>
      <c r="F3156" s="1348"/>
      <c r="G3156" s="1348"/>
      <c r="H3156" s="1348"/>
      <c r="I3156" s="1348"/>
      <c r="J3156" s="1348"/>
      <c r="K3156" s="1348"/>
    </row>
    <row r="3157" spans="2:11" hidden="1">
      <c r="B3157" s="1348"/>
      <c r="C3157" s="1348"/>
      <c r="D3157" s="1348"/>
      <c r="E3157" s="1348"/>
      <c r="F3157" s="1348"/>
      <c r="G3157" s="1348"/>
      <c r="H3157" s="1348"/>
      <c r="I3157" s="1348"/>
      <c r="J3157" s="1348"/>
      <c r="K3157" s="1348"/>
    </row>
    <row r="3158" spans="2:11" hidden="1">
      <c r="B3158" s="1348"/>
      <c r="C3158" s="1348"/>
      <c r="D3158" s="1348"/>
      <c r="E3158" s="1348"/>
      <c r="F3158" s="1348"/>
      <c r="G3158" s="1348"/>
      <c r="H3158" s="1348"/>
      <c r="I3158" s="1348"/>
      <c r="J3158" s="1348"/>
      <c r="K3158" s="1348"/>
    </row>
    <row r="3159" spans="2:11" hidden="1">
      <c r="B3159" s="1348"/>
      <c r="C3159" s="1348"/>
      <c r="D3159" s="1348"/>
      <c r="E3159" s="1348"/>
      <c r="F3159" s="1348"/>
      <c r="G3159" s="1348"/>
      <c r="H3159" s="1348"/>
      <c r="I3159" s="1348"/>
      <c r="J3159" s="1348"/>
      <c r="K3159" s="1348"/>
    </row>
    <row r="3160" spans="2:11" hidden="1">
      <c r="B3160" s="1348"/>
      <c r="C3160" s="1348"/>
      <c r="D3160" s="1348"/>
      <c r="E3160" s="1348"/>
      <c r="F3160" s="1348"/>
      <c r="G3160" s="1348"/>
      <c r="H3160" s="1348"/>
      <c r="I3160" s="1348"/>
      <c r="J3160" s="1348"/>
      <c r="K3160" s="1348"/>
    </row>
    <row r="3161" spans="2:11" hidden="1">
      <c r="B3161" s="1348"/>
      <c r="C3161" s="1348"/>
      <c r="D3161" s="1348"/>
      <c r="E3161" s="1348"/>
      <c r="F3161" s="1348"/>
      <c r="G3161" s="1348"/>
      <c r="H3161" s="1348"/>
      <c r="I3161" s="1348"/>
      <c r="J3161" s="1348"/>
      <c r="K3161" s="1348"/>
    </row>
    <row r="3162" spans="2:11" hidden="1">
      <c r="B3162" s="1348"/>
      <c r="C3162" s="1348"/>
      <c r="D3162" s="1348"/>
      <c r="E3162" s="1348"/>
      <c r="F3162" s="1348"/>
      <c r="G3162" s="1348"/>
      <c r="H3162" s="1348"/>
      <c r="I3162" s="1348"/>
      <c r="J3162" s="1348"/>
      <c r="K3162" s="1348"/>
    </row>
    <row r="3163" spans="2:11" hidden="1">
      <c r="B3163" s="1348"/>
      <c r="C3163" s="1348"/>
      <c r="D3163" s="1348"/>
      <c r="E3163" s="1348"/>
      <c r="F3163" s="1348"/>
      <c r="G3163" s="1348"/>
      <c r="H3163" s="1348"/>
      <c r="I3163" s="1348"/>
      <c r="J3163" s="1348"/>
      <c r="K3163" s="1348"/>
    </row>
    <row r="3164" spans="2:11" hidden="1">
      <c r="B3164" s="1348"/>
      <c r="C3164" s="1348"/>
      <c r="D3164" s="1348"/>
      <c r="E3164" s="1348"/>
      <c r="F3164" s="1348"/>
      <c r="G3164" s="1348"/>
      <c r="H3164" s="1348"/>
      <c r="I3164" s="1348"/>
      <c r="J3164" s="1348"/>
      <c r="K3164" s="1348"/>
    </row>
    <row r="3165" spans="2:11" hidden="1">
      <c r="B3165" s="1348"/>
      <c r="C3165" s="1348"/>
      <c r="D3165" s="1348"/>
      <c r="E3165" s="1348"/>
      <c r="F3165" s="1348"/>
      <c r="G3165" s="1348"/>
      <c r="H3165" s="1348"/>
      <c r="I3165" s="1348"/>
      <c r="J3165" s="1348"/>
      <c r="K3165" s="1348"/>
    </row>
    <row r="3166" spans="2:11" hidden="1">
      <c r="B3166" s="1348"/>
      <c r="C3166" s="1348"/>
      <c r="D3166" s="1348"/>
      <c r="E3166" s="1348"/>
      <c r="F3166" s="1348"/>
      <c r="G3166" s="1348"/>
      <c r="H3166" s="1348"/>
      <c r="I3166" s="1348"/>
      <c r="J3166" s="1348"/>
      <c r="K3166" s="1348"/>
    </row>
    <row r="3167" spans="2:11" hidden="1">
      <c r="B3167" s="1348"/>
      <c r="C3167" s="1348"/>
      <c r="D3167" s="1348"/>
      <c r="E3167" s="1348"/>
      <c r="F3167" s="1348"/>
      <c r="G3167" s="1348"/>
      <c r="H3167" s="1348"/>
      <c r="I3167" s="1348"/>
      <c r="J3167" s="1348"/>
      <c r="K3167" s="1348"/>
    </row>
    <row r="3168" spans="2:11" hidden="1">
      <c r="B3168" s="1348"/>
      <c r="C3168" s="1348"/>
      <c r="D3168" s="1348"/>
      <c r="E3168" s="1348"/>
      <c r="F3168" s="1348"/>
      <c r="G3168" s="1348"/>
      <c r="H3168" s="1348"/>
      <c r="I3168" s="1348"/>
      <c r="J3168" s="1348"/>
      <c r="K3168" s="1348"/>
    </row>
    <row r="3169" spans="2:11" hidden="1">
      <c r="B3169" s="1348"/>
      <c r="C3169" s="1348"/>
      <c r="D3169" s="1348"/>
      <c r="E3169" s="1348"/>
      <c r="F3169" s="1348"/>
      <c r="G3169" s="1348"/>
      <c r="H3169" s="1348"/>
      <c r="I3169" s="1348"/>
      <c r="J3169" s="1348"/>
      <c r="K3169" s="1348"/>
    </row>
    <row r="3170" spans="2:11" hidden="1">
      <c r="B3170" s="1348"/>
      <c r="C3170" s="1348"/>
      <c r="D3170" s="1348"/>
      <c r="E3170" s="1348"/>
      <c r="F3170" s="1348"/>
      <c r="G3170" s="1348"/>
      <c r="H3170" s="1348"/>
      <c r="I3170" s="1348"/>
      <c r="J3170" s="1348"/>
      <c r="K3170" s="1348"/>
    </row>
    <row r="3171" spans="2:11" hidden="1">
      <c r="B3171" s="1348"/>
      <c r="C3171" s="1348"/>
      <c r="D3171" s="1348"/>
      <c r="E3171" s="1348"/>
      <c r="F3171" s="1348"/>
      <c r="G3171" s="1348"/>
      <c r="H3171" s="1348"/>
      <c r="I3171" s="1348"/>
      <c r="J3171" s="1348"/>
      <c r="K3171" s="1348"/>
    </row>
    <row r="3172" spans="2:11" hidden="1">
      <c r="B3172" s="1348"/>
      <c r="C3172" s="1348"/>
      <c r="D3172" s="1348"/>
      <c r="E3172" s="1348"/>
      <c r="F3172" s="1348"/>
      <c r="G3172" s="1348"/>
      <c r="H3172" s="1348"/>
      <c r="I3172" s="1348"/>
      <c r="J3172" s="1348"/>
      <c r="K3172" s="1348"/>
    </row>
    <row r="3173" spans="2:11" hidden="1">
      <c r="B3173" s="1348"/>
      <c r="C3173" s="1348"/>
      <c r="D3173" s="1348"/>
      <c r="E3173" s="1348"/>
      <c r="F3173" s="1348"/>
      <c r="G3173" s="1348"/>
      <c r="H3173" s="1348"/>
      <c r="I3173" s="1348"/>
      <c r="J3173" s="1348"/>
      <c r="K3173" s="1348"/>
    </row>
    <row r="3174" spans="2:11" hidden="1">
      <c r="B3174" s="1348"/>
      <c r="C3174" s="1348"/>
      <c r="D3174" s="1348"/>
      <c r="E3174" s="1348"/>
      <c r="F3174" s="1348"/>
      <c r="G3174" s="1348"/>
      <c r="H3174" s="1348"/>
      <c r="I3174" s="1348"/>
      <c r="J3174" s="1348"/>
      <c r="K3174" s="1348"/>
    </row>
    <row r="3175" spans="2:11" hidden="1">
      <c r="B3175" s="1348"/>
      <c r="C3175" s="1348"/>
      <c r="D3175" s="1348"/>
      <c r="E3175" s="1348"/>
      <c r="F3175" s="1348"/>
      <c r="G3175" s="1348"/>
      <c r="H3175" s="1348"/>
      <c r="I3175" s="1348"/>
      <c r="J3175" s="1348"/>
      <c r="K3175" s="1348"/>
    </row>
    <row r="3176" spans="2:11" hidden="1">
      <c r="B3176" s="1348"/>
      <c r="C3176" s="1348"/>
      <c r="D3176" s="1348"/>
      <c r="E3176" s="1348"/>
      <c r="F3176" s="1348"/>
      <c r="G3176" s="1348"/>
      <c r="H3176" s="1348"/>
      <c r="I3176" s="1348"/>
      <c r="J3176" s="1348"/>
      <c r="K3176" s="1348"/>
    </row>
    <row r="3177" spans="2:11" hidden="1">
      <c r="B3177" s="1348"/>
      <c r="C3177" s="1348"/>
      <c r="D3177" s="1348"/>
      <c r="E3177" s="1348"/>
      <c r="F3177" s="1348"/>
      <c r="G3177" s="1348"/>
      <c r="H3177" s="1348"/>
      <c r="I3177" s="1348"/>
      <c r="J3177" s="1348"/>
      <c r="K3177" s="1348"/>
    </row>
    <row r="3178" spans="2:11" hidden="1">
      <c r="B3178" s="1348"/>
      <c r="C3178" s="1348"/>
      <c r="D3178" s="1348"/>
      <c r="E3178" s="1348"/>
      <c r="F3178" s="1348"/>
      <c r="G3178" s="1348"/>
      <c r="H3178" s="1348"/>
      <c r="I3178" s="1348"/>
      <c r="J3178" s="1348"/>
      <c r="K3178" s="1348"/>
    </row>
    <row r="3179" spans="2:11" hidden="1">
      <c r="B3179" s="1348"/>
      <c r="C3179" s="1348"/>
      <c r="D3179" s="1348"/>
      <c r="E3179" s="1348"/>
      <c r="F3179" s="1348"/>
      <c r="G3179" s="1348"/>
      <c r="H3179" s="1348"/>
      <c r="I3179" s="1348"/>
      <c r="J3179" s="1348"/>
      <c r="K3179" s="1348"/>
    </row>
    <row r="3180" spans="2:11" hidden="1">
      <c r="B3180" s="1348"/>
      <c r="C3180" s="1348"/>
      <c r="D3180" s="1348"/>
      <c r="E3180" s="1348"/>
      <c r="F3180" s="1348"/>
      <c r="G3180" s="1348"/>
      <c r="H3180" s="1348"/>
      <c r="I3180" s="1348"/>
      <c r="J3180" s="1348"/>
      <c r="K3180" s="1348"/>
    </row>
    <row r="3181" spans="2:11" hidden="1">
      <c r="B3181" s="1348"/>
      <c r="C3181" s="1348"/>
      <c r="D3181" s="1348"/>
      <c r="E3181" s="1348"/>
      <c r="F3181" s="1348"/>
      <c r="G3181" s="1348"/>
      <c r="H3181" s="1348"/>
      <c r="I3181" s="1348"/>
      <c r="J3181" s="1348"/>
      <c r="K3181" s="1348"/>
    </row>
    <row r="3182" spans="2:11" hidden="1">
      <c r="B3182" s="1348"/>
      <c r="C3182" s="1348"/>
      <c r="D3182" s="1348"/>
      <c r="E3182" s="1348"/>
      <c r="F3182" s="1348"/>
      <c r="G3182" s="1348"/>
      <c r="H3182" s="1348"/>
      <c r="I3182" s="1348"/>
      <c r="J3182" s="1348"/>
      <c r="K3182" s="1348"/>
    </row>
    <row r="3183" spans="2:11" hidden="1">
      <c r="B3183" s="1348"/>
      <c r="C3183" s="1348"/>
      <c r="D3183" s="1348"/>
      <c r="E3183" s="1348"/>
      <c r="F3183" s="1348"/>
      <c r="G3183" s="1348"/>
      <c r="H3183" s="1348"/>
      <c r="I3183" s="1348"/>
      <c r="J3183" s="1348"/>
      <c r="K3183" s="1348"/>
    </row>
    <row r="3184" spans="2:11" hidden="1">
      <c r="B3184" s="1348"/>
      <c r="C3184" s="1348"/>
      <c r="D3184" s="1348"/>
      <c r="E3184" s="1348"/>
      <c r="F3184" s="1348"/>
      <c r="G3184" s="1348"/>
      <c r="H3184" s="1348"/>
      <c r="I3184" s="1348"/>
      <c r="J3184" s="1348"/>
      <c r="K3184" s="1348"/>
    </row>
    <row r="3185" spans="2:11" hidden="1">
      <c r="B3185" s="1348"/>
      <c r="C3185" s="1348"/>
      <c r="D3185" s="1348"/>
      <c r="E3185" s="1348"/>
      <c r="F3185" s="1348"/>
      <c r="G3185" s="1348"/>
      <c r="H3185" s="1348"/>
      <c r="I3185" s="1348"/>
      <c r="J3185" s="1348"/>
      <c r="K3185" s="1348"/>
    </row>
    <row r="3186" spans="2:11" hidden="1">
      <c r="B3186" s="1348"/>
      <c r="C3186" s="1348"/>
      <c r="D3186" s="1348"/>
      <c r="E3186" s="1348"/>
      <c r="F3186" s="1348"/>
      <c r="G3186" s="1348"/>
      <c r="H3186" s="1348"/>
      <c r="I3186" s="1348"/>
      <c r="J3186" s="1348"/>
      <c r="K3186" s="1348"/>
    </row>
    <row r="3187" spans="2:11" hidden="1">
      <c r="B3187" s="1348"/>
      <c r="C3187" s="1348"/>
      <c r="D3187" s="1348"/>
      <c r="E3187" s="1348"/>
      <c r="F3187" s="1348"/>
      <c r="G3187" s="1348"/>
      <c r="H3187" s="1348"/>
      <c r="I3187" s="1348"/>
      <c r="J3187" s="1348"/>
      <c r="K3187" s="1348"/>
    </row>
    <row r="3188" spans="2:11" hidden="1">
      <c r="B3188" s="1348"/>
      <c r="C3188" s="1348"/>
      <c r="D3188" s="1348"/>
      <c r="E3188" s="1348"/>
      <c r="F3188" s="1348"/>
      <c r="G3188" s="1348"/>
      <c r="H3188" s="1348"/>
      <c r="I3188" s="1348"/>
      <c r="J3188" s="1348"/>
      <c r="K3188" s="1348"/>
    </row>
    <row r="3189" spans="2:11" hidden="1">
      <c r="B3189" s="1348"/>
      <c r="C3189" s="1348"/>
      <c r="D3189" s="1348"/>
      <c r="E3189" s="1348"/>
      <c r="F3189" s="1348"/>
      <c r="G3189" s="1348"/>
      <c r="H3189" s="1348"/>
      <c r="I3189" s="1348"/>
      <c r="J3189" s="1348"/>
      <c r="K3189" s="1348"/>
    </row>
    <row r="3190" spans="2:11" hidden="1">
      <c r="B3190" s="1348"/>
      <c r="C3190" s="1348"/>
      <c r="D3190" s="1348"/>
      <c r="E3190" s="1348"/>
      <c r="F3190" s="1348"/>
      <c r="G3190" s="1348"/>
      <c r="H3190" s="1348"/>
      <c r="I3190" s="1348"/>
      <c r="J3190" s="1348"/>
      <c r="K3190" s="1348"/>
    </row>
    <row r="3191" spans="2:11" hidden="1">
      <c r="B3191" s="1348"/>
      <c r="C3191" s="1348"/>
      <c r="D3191" s="1348"/>
      <c r="E3191" s="1348"/>
      <c r="F3191" s="1348"/>
      <c r="G3191" s="1348"/>
      <c r="H3191" s="1348"/>
      <c r="I3191" s="1348"/>
      <c r="J3191" s="1348"/>
      <c r="K3191" s="1348"/>
    </row>
    <row r="3192" spans="2:11" hidden="1">
      <c r="B3192" s="1348"/>
      <c r="C3192" s="1348"/>
      <c r="D3192" s="1348"/>
      <c r="E3192" s="1348"/>
      <c r="F3192" s="1348"/>
      <c r="G3192" s="1348"/>
      <c r="H3192" s="1348"/>
      <c r="I3192" s="1348"/>
      <c r="J3192" s="1348"/>
      <c r="K3192" s="1348"/>
    </row>
    <row r="3193" spans="2:11" hidden="1">
      <c r="B3193" s="1348"/>
      <c r="C3193" s="1348"/>
      <c r="D3193" s="1348"/>
      <c r="E3193" s="1348"/>
      <c r="F3193" s="1348"/>
      <c r="G3193" s="1348"/>
      <c r="H3193" s="1348"/>
      <c r="I3193" s="1348"/>
      <c r="J3193" s="1348"/>
      <c r="K3193" s="1348"/>
    </row>
    <row r="3194" spans="2:11" hidden="1">
      <c r="B3194" s="1348"/>
      <c r="C3194" s="1348"/>
      <c r="D3194" s="1348"/>
      <c r="E3194" s="1348"/>
      <c r="F3194" s="1348"/>
      <c r="G3194" s="1348"/>
      <c r="H3194" s="1348"/>
      <c r="I3194" s="1348"/>
      <c r="J3194" s="1348"/>
      <c r="K3194" s="1348"/>
    </row>
    <row r="3195" spans="2:11" hidden="1">
      <c r="B3195" s="1348"/>
      <c r="C3195" s="1348"/>
      <c r="D3195" s="1348"/>
      <c r="E3195" s="1348"/>
      <c r="F3195" s="1348"/>
      <c r="G3195" s="1348"/>
      <c r="H3195" s="1348"/>
      <c r="I3195" s="1348"/>
      <c r="J3195" s="1348"/>
      <c r="K3195" s="1348"/>
    </row>
    <row r="3196" spans="2:11" hidden="1">
      <c r="B3196" s="1348"/>
      <c r="C3196" s="1348"/>
      <c r="D3196" s="1348"/>
      <c r="E3196" s="1348"/>
      <c r="F3196" s="1348"/>
      <c r="G3196" s="1348"/>
      <c r="H3196" s="1348"/>
      <c r="I3196" s="1348"/>
      <c r="J3196" s="1348"/>
      <c r="K3196" s="1348"/>
    </row>
    <row r="3197" spans="2:11" hidden="1">
      <c r="B3197" s="1348"/>
      <c r="C3197" s="1348"/>
      <c r="D3197" s="1348"/>
      <c r="E3197" s="1348"/>
      <c r="F3197" s="1348"/>
      <c r="G3197" s="1348"/>
      <c r="H3197" s="1348"/>
      <c r="I3197" s="1348"/>
      <c r="J3197" s="1348"/>
      <c r="K3197" s="1348"/>
    </row>
    <row r="3198" spans="2:11" hidden="1">
      <c r="B3198" s="1348"/>
      <c r="C3198" s="1348"/>
      <c r="D3198" s="1348"/>
      <c r="E3198" s="1348"/>
      <c r="F3198" s="1348"/>
      <c r="G3198" s="1348"/>
      <c r="H3198" s="1348"/>
      <c r="I3198" s="1348"/>
      <c r="J3198" s="1348"/>
      <c r="K3198" s="1348"/>
    </row>
    <row r="3199" spans="2:11" hidden="1">
      <c r="B3199" s="1348"/>
      <c r="C3199" s="1348"/>
      <c r="D3199" s="1348"/>
      <c r="E3199" s="1348"/>
      <c r="F3199" s="1348"/>
      <c r="G3199" s="1348"/>
      <c r="H3199" s="1348"/>
      <c r="I3199" s="1348"/>
      <c r="J3199" s="1348"/>
      <c r="K3199" s="1348"/>
    </row>
    <row r="3200" spans="2:11" hidden="1">
      <c r="B3200" s="1348"/>
      <c r="C3200" s="1348"/>
      <c r="D3200" s="1348"/>
      <c r="E3200" s="1348"/>
      <c r="F3200" s="1348"/>
      <c r="G3200" s="1348"/>
      <c r="H3200" s="1348"/>
      <c r="I3200" s="1348"/>
      <c r="J3200" s="1348"/>
      <c r="K3200" s="1348"/>
    </row>
    <row r="3201" spans="2:11" hidden="1">
      <c r="B3201" s="1348"/>
      <c r="C3201" s="1348"/>
      <c r="D3201" s="1348"/>
      <c r="E3201" s="1348"/>
      <c r="F3201" s="1348"/>
      <c r="G3201" s="1348"/>
      <c r="H3201" s="1348"/>
      <c r="I3201" s="1348"/>
      <c r="J3201" s="1348"/>
      <c r="K3201" s="1348"/>
    </row>
    <row r="3202" spans="2:11" hidden="1">
      <c r="B3202" s="1348"/>
      <c r="C3202" s="1348"/>
      <c r="D3202" s="1348"/>
      <c r="E3202" s="1348"/>
      <c r="F3202" s="1348"/>
      <c r="G3202" s="1348"/>
      <c r="H3202" s="1348"/>
      <c r="I3202" s="1348"/>
      <c r="J3202" s="1348"/>
      <c r="K3202" s="1348"/>
    </row>
    <row r="3203" spans="2:11" hidden="1">
      <c r="B3203" s="1348"/>
      <c r="C3203" s="1348"/>
      <c r="D3203" s="1348"/>
      <c r="E3203" s="1348"/>
      <c r="F3203" s="1348"/>
      <c r="G3203" s="1348"/>
      <c r="H3203" s="1348"/>
      <c r="I3203" s="1348"/>
      <c r="J3203" s="1348"/>
      <c r="K3203" s="1348"/>
    </row>
    <row r="3204" spans="2:11" hidden="1">
      <c r="B3204" s="1348"/>
      <c r="C3204" s="1348"/>
      <c r="D3204" s="1348"/>
      <c r="E3204" s="1348"/>
      <c r="F3204" s="1348"/>
      <c r="G3204" s="1348"/>
      <c r="H3204" s="1348"/>
      <c r="I3204" s="1348"/>
      <c r="J3204" s="1348"/>
      <c r="K3204" s="1348"/>
    </row>
    <row r="3205" spans="2:11" hidden="1">
      <c r="B3205" s="1348"/>
      <c r="C3205" s="1348"/>
      <c r="D3205" s="1348"/>
      <c r="E3205" s="1348"/>
      <c r="F3205" s="1348"/>
      <c r="G3205" s="1348"/>
      <c r="H3205" s="1348"/>
      <c r="I3205" s="1348"/>
      <c r="J3205" s="1348"/>
      <c r="K3205" s="1348"/>
    </row>
    <row r="3206" spans="2:11" hidden="1">
      <c r="B3206" s="1348"/>
      <c r="C3206" s="1348"/>
      <c r="D3206" s="1348"/>
      <c r="E3206" s="1348"/>
      <c r="F3206" s="1348"/>
      <c r="G3206" s="1348"/>
      <c r="H3206" s="1348"/>
      <c r="I3206" s="1348"/>
      <c r="J3206" s="1348"/>
      <c r="K3206" s="1348"/>
    </row>
    <row r="3207" spans="2:11" hidden="1">
      <c r="B3207" s="1348"/>
      <c r="C3207" s="1348"/>
      <c r="D3207" s="1348"/>
      <c r="E3207" s="1348"/>
      <c r="F3207" s="1348"/>
      <c r="G3207" s="1348"/>
      <c r="H3207" s="1348"/>
      <c r="I3207" s="1348"/>
      <c r="J3207" s="1348"/>
      <c r="K3207" s="1348"/>
    </row>
    <row r="3208" spans="2:11" hidden="1">
      <c r="B3208" s="1348"/>
      <c r="C3208" s="1348"/>
      <c r="D3208" s="1348"/>
      <c r="E3208" s="1348"/>
      <c r="F3208" s="1348"/>
      <c r="G3208" s="1348"/>
      <c r="H3208" s="1348"/>
      <c r="I3208" s="1348"/>
      <c r="J3208" s="1348"/>
      <c r="K3208" s="1348"/>
    </row>
    <row r="3209" spans="2:11" hidden="1">
      <c r="B3209" s="1348"/>
      <c r="C3209" s="1348"/>
      <c r="D3209" s="1348"/>
      <c r="E3209" s="1348"/>
      <c r="F3209" s="1348"/>
      <c r="G3209" s="1348"/>
      <c r="H3209" s="1348"/>
      <c r="I3209" s="1348"/>
      <c r="J3209" s="1348"/>
      <c r="K3209" s="1348"/>
    </row>
    <row r="3210" spans="2:11" hidden="1">
      <c r="B3210" s="1348"/>
      <c r="C3210" s="1348"/>
      <c r="D3210" s="1348"/>
      <c r="E3210" s="1348"/>
      <c r="F3210" s="1348"/>
      <c r="G3210" s="1348"/>
      <c r="H3210" s="1348"/>
      <c r="I3210" s="1348"/>
      <c r="J3210" s="1348"/>
      <c r="K3210" s="1348"/>
    </row>
    <row r="3211" spans="2:11" hidden="1">
      <c r="B3211" s="1348"/>
      <c r="C3211" s="1348"/>
      <c r="D3211" s="1348"/>
      <c r="E3211" s="1348"/>
      <c r="F3211" s="1348"/>
      <c r="G3211" s="1348"/>
      <c r="H3211" s="1348"/>
      <c r="I3211" s="1348"/>
      <c r="J3211" s="1348"/>
      <c r="K3211" s="1348"/>
    </row>
    <row r="3212" spans="2:11" hidden="1">
      <c r="B3212" s="1348"/>
      <c r="C3212" s="1348"/>
      <c r="D3212" s="1348"/>
      <c r="E3212" s="1348"/>
      <c r="F3212" s="1348"/>
      <c r="G3212" s="1348"/>
      <c r="H3212" s="1348"/>
      <c r="I3212" s="1348"/>
      <c r="J3212" s="1348"/>
      <c r="K3212" s="1348"/>
    </row>
    <row r="3213" spans="2:11" hidden="1">
      <c r="B3213" s="1348"/>
      <c r="C3213" s="1348"/>
      <c r="D3213" s="1348"/>
      <c r="E3213" s="1348"/>
      <c r="F3213" s="1348"/>
      <c r="G3213" s="1348"/>
      <c r="H3213" s="1348"/>
      <c r="I3213" s="1348"/>
      <c r="J3213" s="1348"/>
      <c r="K3213" s="1348"/>
    </row>
    <row r="3214" spans="2:11" hidden="1">
      <c r="B3214" s="1348"/>
      <c r="C3214" s="1348"/>
      <c r="D3214" s="1348"/>
      <c r="E3214" s="1348"/>
      <c r="F3214" s="1348"/>
      <c r="G3214" s="1348"/>
      <c r="H3214" s="1348"/>
      <c r="I3214" s="1348"/>
      <c r="J3214" s="1348"/>
      <c r="K3214" s="1348"/>
    </row>
    <row r="3215" spans="2:11" hidden="1">
      <c r="B3215" s="1348"/>
      <c r="C3215" s="1348"/>
      <c r="D3215" s="1348"/>
      <c r="E3215" s="1348"/>
      <c r="F3215" s="1348"/>
      <c r="G3215" s="1348"/>
      <c r="H3215" s="1348"/>
      <c r="I3215" s="1348"/>
      <c r="J3215" s="1348"/>
      <c r="K3215" s="1348"/>
    </row>
    <row r="3216" spans="2:11" hidden="1">
      <c r="B3216" s="1348"/>
      <c r="C3216" s="1348"/>
      <c r="D3216" s="1348"/>
      <c r="E3216" s="1348"/>
      <c r="F3216" s="1348"/>
      <c r="G3216" s="1348"/>
      <c r="H3216" s="1348"/>
      <c r="I3216" s="1348"/>
      <c r="J3216" s="1348"/>
      <c r="K3216" s="1348"/>
    </row>
    <row r="3217" spans="2:11" hidden="1">
      <c r="B3217" s="1348"/>
      <c r="C3217" s="1348"/>
      <c r="D3217" s="1348"/>
      <c r="E3217" s="1348"/>
      <c r="F3217" s="1348"/>
      <c r="G3217" s="1348"/>
      <c r="H3217" s="1348"/>
      <c r="I3217" s="1348"/>
      <c r="J3217" s="1348"/>
      <c r="K3217" s="1348"/>
    </row>
    <row r="3218" spans="2:11" hidden="1">
      <c r="B3218" s="1348"/>
      <c r="C3218" s="1348"/>
      <c r="D3218" s="1348"/>
      <c r="E3218" s="1348"/>
      <c r="F3218" s="1348"/>
      <c r="G3218" s="1348"/>
      <c r="H3218" s="1348"/>
      <c r="I3218" s="1348"/>
      <c r="J3218" s="1348"/>
      <c r="K3218" s="1348"/>
    </row>
    <row r="3219" spans="2:11" hidden="1">
      <c r="B3219" s="1348"/>
      <c r="C3219" s="1348"/>
      <c r="D3219" s="1348"/>
      <c r="E3219" s="1348"/>
      <c r="F3219" s="1348"/>
      <c r="G3219" s="1348"/>
      <c r="H3219" s="1348"/>
      <c r="I3219" s="1348"/>
      <c r="J3219" s="1348"/>
      <c r="K3219" s="1348"/>
    </row>
    <row r="3220" spans="2:11" hidden="1">
      <c r="B3220" s="1348"/>
      <c r="C3220" s="1348"/>
      <c r="D3220" s="1348"/>
      <c r="E3220" s="1348"/>
      <c r="F3220" s="1348"/>
      <c r="G3220" s="1348"/>
      <c r="H3220" s="1348"/>
      <c r="I3220" s="1348"/>
      <c r="J3220" s="1348"/>
      <c r="K3220" s="1348"/>
    </row>
    <row r="3221" spans="2:11" hidden="1">
      <c r="B3221" s="1348"/>
      <c r="C3221" s="1348"/>
      <c r="D3221" s="1348"/>
      <c r="E3221" s="1348"/>
      <c r="F3221" s="1348"/>
      <c r="G3221" s="1348"/>
      <c r="H3221" s="1348"/>
      <c r="I3221" s="1348"/>
      <c r="J3221" s="1348"/>
      <c r="K3221" s="1348"/>
    </row>
    <row r="3222" spans="2:11" hidden="1">
      <c r="B3222" s="1348"/>
      <c r="C3222" s="1348"/>
      <c r="D3222" s="1348"/>
      <c r="E3222" s="1348"/>
      <c r="F3222" s="1348"/>
      <c r="G3222" s="1348"/>
      <c r="H3222" s="1348"/>
      <c r="I3222" s="1348"/>
      <c r="J3222" s="1348"/>
      <c r="K3222" s="1348"/>
    </row>
    <row r="3223" spans="2:11" hidden="1">
      <c r="B3223" s="1348"/>
      <c r="C3223" s="1348"/>
      <c r="D3223" s="1348"/>
      <c r="E3223" s="1348"/>
      <c r="F3223" s="1348"/>
      <c r="G3223" s="1348"/>
      <c r="H3223" s="1348"/>
      <c r="I3223" s="1348"/>
      <c r="J3223" s="1348"/>
      <c r="K3223" s="1348"/>
    </row>
    <row r="3224" spans="2:11" hidden="1">
      <c r="B3224" s="1348"/>
      <c r="C3224" s="1348"/>
      <c r="D3224" s="1348"/>
      <c r="E3224" s="1348"/>
      <c r="F3224" s="1348"/>
      <c r="G3224" s="1348"/>
      <c r="H3224" s="1348"/>
      <c r="I3224" s="1348"/>
      <c r="J3224" s="1348"/>
      <c r="K3224" s="1348"/>
    </row>
    <row r="3225" spans="2:11" hidden="1">
      <c r="B3225" s="1348"/>
      <c r="C3225" s="1348"/>
      <c r="D3225" s="1348"/>
      <c r="E3225" s="1348"/>
      <c r="F3225" s="1348"/>
      <c r="G3225" s="1348"/>
      <c r="H3225" s="1348"/>
      <c r="I3225" s="1348"/>
      <c r="J3225" s="1348"/>
      <c r="K3225" s="1348"/>
    </row>
    <row r="3226" spans="2:11" hidden="1">
      <c r="B3226" s="1348"/>
      <c r="C3226" s="1348"/>
      <c r="D3226" s="1348"/>
      <c r="E3226" s="1348"/>
      <c r="F3226" s="1348"/>
      <c r="G3226" s="1348"/>
      <c r="H3226" s="1348"/>
      <c r="I3226" s="1348"/>
      <c r="J3226" s="1348"/>
      <c r="K3226" s="1348"/>
    </row>
    <row r="3227" spans="2:11" hidden="1">
      <c r="B3227" s="1348"/>
      <c r="C3227" s="1348"/>
      <c r="D3227" s="1348"/>
      <c r="E3227" s="1348"/>
      <c r="F3227" s="1348"/>
      <c r="G3227" s="1348"/>
      <c r="H3227" s="1348"/>
      <c r="I3227" s="1348"/>
      <c r="J3227" s="1348"/>
      <c r="K3227" s="1348"/>
    </row>
    <row r="3228" spans="2:11" hidden="1">
      <c r="B3228" s="1348"/>
      <c r="C3228" s="1348"/>
      <c r="D3228" s="1348"/>
      <c r="E3228" s="1348"/>
      <c r="F3228" s="1348"/>
      <c r="G3228" s="1348"/>
      <c r="H3228" s="1348"/>
      <c r="I3228" s="1348"/>
      <c r="J3228" s="1348"/>
      <c r="K3228" s="1348"/>
    </row>
    <row r="3229" spans="2:11" hidden="1">
      <c r="B3229" s="1348"/>
      <c r="C3229" s="1348"/>
      <c r="D3229" s="1348"/>
      <c r="E3229" s="1348"/>
      <c r="F3229" s="1348"/>
      <c r="G3229" s="1348"/>
      <c r="H3229" s="1348"/>
      <c r="I3229" s="1348"/>
      <c r="J3229" s="1348"/>
      <c r="K3229" s="1348"/>
    </row>
    <row r="3230" spans="2:11" hidden="1">
      <c r="B3230" s="1348"/>
      <c r="C3230" s="1348"/>
      <c r="D3230" s="1348"/>
      <c r="E3230" s="1348"/>
      <c r="F3230" s="1348"/>
      <c r="G3230" s="1348"/>
      <c r="H3230" s="1348"/>
      <c r="I3230" s="1348"/>
      <c r="J3230" s="1348"/>
      <c r="K3230" s="1348"/>
    </row>
    <row r="3231" spans="2:11" hidden="1">
      <c r="B3231" s="1348"/>
      <c r="C3231" s="1348"/>
      <c r="D3231" s="1348"/>
      <c r="E3231" s="1348"/>
      <c r="F3231" s="1348"/>
      <c r="G3231" s="1348"/>
      <c r="H3231" s="1348"/>
      <c r="I3231" s="1348"/>
      <c r="J3231" s="1348"/>
      <c r="K3231" s="1348"/>
    </row>
    <row r="3232" spans="2:11" hidden="1">
      <c r="B3232" s="1348"/>
      <c r="C3232" s="1348"/>
      <c r="D3232" s="1348"/>
      <c r="E3232" s="1348"/>
      <c r="F3232" s="1348"/>
      <c r="G3232" s="1348"/>
      <c r="H3232" s="1348"/>
      <c r="I3232" s="1348"/>
      <c r="J3232" s="1348"/>
      <c r="K3232" s="1348"/>
    </row>
    <row r="3233" spans="2:11" hidden="1">
      <c r="B3233" s="1348"/>
      <c r="C3233" s="1348"/>
      <c r="D3233" s="1348"/>
      <c r="E3233" s="1348"/>
      <c r="F3233" s="1348"/>
      <c r="G3233" s="1348"/>
      <c r="H3233" s="1348"/>
      <c r="I3233" s="1348"/>
      <c r="J3233" s="1348"/>
      <c r="K3233" s="1348"/>
    </row>
    <row r="3234" spans="2:11" hidden="1">
      <c r="B3234" s="1348"/>
      <c r="C3234" s="1348"/>
      <c r="D3234" s="1348"/>
      <c r="E3234" s="1348"/>
      <c r="F3234" s="1348"/>
      <c r="G3234" s="1348"/>
      <c r="H3234" s="1348"/>
      <c r="I3234" s="1348"/>
      <c r="J3234" s="1348"/>
      <c r="K3234" s="1348"/>
    </row>
    <row r="3235" spans="2:11" hidden="1">
      <c r="B3235" s="1348"/>
      <c r="C3235" s="1348"/>
      <c r="D3235" s="1348"/>
      <c r="E3235" s="1348"/>
      <c r="F3235" s="1348"/>
      <c r="G3235" s="1348"/>
      <c r="H3235" s="1348"/>
      <c r="I3235" s="1348"/>
      <c r="J3235" s="1348"/>
      <c r="K3235" s="1348"/>
    </row>
    <row r="3236" spans="2:11" hidden="1">
      <c r="B3236" s="1348"/>
      <c r="C3236" s="1348"/>
      <c r="D3236" s="1348"/>
      <c r="E3236" s="1348"/>
      <c r="F3236" s="1348"/>
      <c r="G3236" s="1348"/>
      <c r="H3236" s="1348"/>
      <c r="I3236" s="1348"/>
      <c r="J3236" s="1348"/>
      <c r="K3236" s="1348"/>
    </row>
    <row r="3237" spans="2:11" hidden="1">
      <c r="B3237" s="1348"/>
      <c r="C3237" s="1348"/>
      <c r="D3237" s="1348"/>
      <c r="E3237" s="1348"/>
      <c r="F3237" s="1348"/>
      <c r="G3237" s="1348"/>
      <c r="H3237" s="1348"/>
      <c r="I3237" s="1348"/>
      <c r="J3237" s="1348"/>
      <c r="K3237" s="1348"/>
    </row>
    <row r="3238" spans="2:11" hidden="1">
      <c r="B3238" s="1348"/>
      <c r="C3238" s="1348"/>
      <c r="D3238" s="1348"/>
      <c r="E3238" s="1348"/>
      <c r="F3238" s="1348"/>
      <c r="G3238" s="1348"/>
      <c r="H3238" s="1348"/>
      <c r="I3238" s="1348"/>
      <c r="J3238" s="1348"/>
      <c r="K3238" s="1348"/>
    </row>
    <row r="3239" spans="2:11" hidden="1">
      <c r="B3239" s="1348"/>
      <c r="C3239" s="1348"/>
      <c r="D3239" s="1348"/>
      <c r="E3239" s="1348"/>
      <c r="F3239" s="1348"/>
      <c r="G3239" s="1348"/>
      <c r="H3239" s="1348"/>
      <c r="I3239" s="1348"/>
      <c r="J3239" s="1348"/>
      <c r="K3239" s="1348"/>
    </row>
    <row r="3240" spans="2:11" hidden="1">
      <c r="B3240" s="1348"/>
      <c r="C3240" s="1348"/>
      <c r="D3240" s="1348"/>
      <c r="E3240" s="1348"/>
      <c r="F3240" s="1348"/>
      <c r="G3240" s="1348"/>
      <c r="H3240" s="1348"/>
      <c r="I3240" s="1348"/>
      <c r="J3240" s="1348"/>
      <c r="K3240" s="1348"/>
    </row>
    <row r="3241" spans="2:11" hidden="1">
      <c r="B3241" s="1348"/>
      <c r="C3241" s="1348"/>
      <c r="D3241" s="1348"/>
      <c r="E3241" s="1348"/>
      <c r="F3241" s="1348"/>
      <c r="G3241" s="1348"/>
      <c r="H3241" s="1348"/>
      <c r="I3241" s="1348"/>
      <c r="J3241" s="1348"/>
      <c r="K3241" s="1348"/>
    </row>
    <row r="3242" spans="2:11" hidden="1">
      <c r="B3242" s="1348"/>
      <c r="C3242" s="1348"/>
      <c r="D3242" s="1348"/>
      <c r="E3242" s="1348"/>
      <c r="F3242" s="1348"/>
      <c r="G3242" s="1348"/>
      <c r="H3242" s="1348"/>
      <c r="I3242" s="1348"/>
      <c r="J3242" s="1348"/>
      <c r="K3242" s="1348"/>
    </row>
    <row r="3243" spans="2:11" hidden="1">
      <c r="B3243" s="1348"/>
      <c r="C3243" s="1348"/>
      <c r="D3243" s="1348"/>
      <c r="E3243" s="1348"/>
      <c r="F3243" s="1348"/>
      <c r="G3243" s="1348"/>
      <c r="H3243" s="1348"/>
      <c r="I3243" s="1348"/>
      <c r="J3243" s="1348"/>
      <c r="K3243" s="1348"/>
    </row>
    <row r="3244" spans="2:11" hidden="1">
      <c r="B3244" s="1348"/>
      <c r="C3244" s="1348"/>
      <c r="D3244" s="1348"/>
      <c r="E3244" s="1348"/>
      <c r="F3244" s="1348"/>
      <c r="G3244" s="1348"/>
      <c r="H3244" s="1348"/>
      <c r="I3244" s="1348"/>
      <c r="J3244" s="1348"/>
      <c r="K3244" s="1348"/>
    </row>
    <row r="3245" spans="2:11" hidden="1">
      <c r="B3245" s="1348"/>
      <c r="C3245" s="1348"/>
      <c r="D3245" s="1348"/>
      <c r="E3245" s="1348"/>
      <c r="F3245" s="1348"/>
      <c r="G3245" s="1348"/>
      <c r="H3245" s="1348"/>
      <c r="I3245" s="1348"/>
      <c r="J3245" s="1348"/>
      <c r="K3245" s="1348"/>
    </row>
    <row r="3246" spans="2:11" hidden="1">
      <c r="B3246" s="1348"/>
      <c r="C3246" s="1348"/>
      <c r="D3246" s="1348"/>
      <c r="E3246" s="1348"/>
      <c r="F3246" s="1348"/>
      <c r="G3246" s="1348"/>
      <c r="H3246" s="1348"/>
      <c r="I3246" s="1348"/>
      <c r="J3246" s="1348"/>
      <c r="K3246" s="1348"/>
    </row>
    <row r="3247" spans="2:11" hidden="1">
      <c r="B3247" s="1348"/>
      <c r="C3247" s="1348"/>
      <c r="D3247" s="1348"/>
      <c r="E3247" s="1348"/>
      <c r="F3247" s="1348"/>
      <c r="G3247" s="1348"/>
      <c r="H3247" s="1348"/>
      <c r="I3247" s="1348"/>
      <c r="J3247" s="1348"/>
      <c r="K3247" s="1348"/>
    </row>
    <row r="3248" spans="2:11" hidden="1">
      <c r="B3248" s="1348"/>
      <c r="C3248" s="1348"/>
      <c r="D3248" s="1348"/>
      <c r="E3248" s="1348"/>
      <c r="F3248" s="1348"/>
      <c r="G3248" s="1348"/>
      <c r="H3248" s="1348"/>
      <c r="I3248" s="1348"/>
      <c r="J3248" s="1348"/>
      <c r="K3248" s="1348"/>
    </row>
    <row r="3249" spans="2:11" hidden="1">
      <c r="B3249" s="1348"/>
      <c r="C3249" s="1348"/>
      <c r="D3249" s="1348"/>
      <c r="E3249" s="1348"/>
      <c r="F3249" s="1348"/>
      <c r="G3249" s="1348"/>
      <c r="H3249" s="1348"/>
      <c r="I3249" s="1348"/>
      <c r="J3249" s="1348"/>
      <c r="K3249" s="1348"/>
    </row>
    <row r="3250" spans="2:11" hidden="1">
      <c r="B3250" s="1348"/>
      <c r="C3250" s="1348"/>
      <c r="D3250" s="1348"/>
      <c r="E3250" s="1348"/>
      <c r="F3250" s="1348"/>
      <c r="G3250" s="1348"/>
      <c r="H3250" s="1348"/>
      <c r="I3250" s="1348"/>
      <c r="J3250" s="1348"/>
      <c r="K3250" s="1348"/>
    </row>
    <row r="3251" spans="2:11" hidden="1">
      <c r="B3251" s="1348"/>
      <c r="C3251" s="1348"/>
      <c r="D3251" s="1348"/>
      <c r="E3251" s="1348"/>
      <c r="F3251" s="1348"/>
      <c r="G3251" s="1348"/>
      <c r="H3251" s="1348"/>
      <c r="I3251" s="1348"/>
      <c r="J3251" s="1348"/>
      <c r="K3251" s="1348"/>
    </row>
    <row r="3252" spans="2:11" hidden="1">
      <c r="B3252" s="1348"/>
      <c r="C3252" s="1348"/>
      <c r="D3252" s="1348"/>
      <c r="E3252" s="1348"/>
      <c r="F3252" s="1348"/>
      <c r="G3252" s="1348"/>
      <c r="H3252" s="1348"/>
      <c r="I3252" s="1348"/>
      <c r="J3252" s="1348"/>
      <c r="K3252" s="1348"/>
    </row>
    <row r="3253" spans="2:11" hidden="1">
      <c r="B3253" s="1348"/>
      <c r="C3253" s="1348"/>
      <c r="D3253" s="1348"/>
      <c r="E3253" s="1348"/>
      <c r="F3253" s="1348"/>
      <c r="G3253" s="1348"/>
      <c r="H3253" s="1348"/>
      <c r="I3253" s="1348"/>
      <c r="J3253" s="1348"/>
      <c r="K3253" s="1348"/>
    </row>
    <row r="3254" spans="2:11" hidden="1">
      <c r="B3254" s="1348"/>
      <c r="C3254" s="1348"/>
      <c r="D3254" s="1348"/>
      <c r="E3254" s="1348"/>
      <c r="F3254" s="1348"/>
      <c r="G3254" s="1348"/>
      <c r="H3254" s="1348"/>
      <c r="I3254" s="1348"/>
      <c r="J3254" s="1348"/>
      <c r="K3254" s="1348"/>
    </row>
    <row r="3255" spans="2:11" hidden="1">
      <c r="B3255" s="1348"/>
      <c r="C3255" s="1348"/>
      <c r="D3255" s="1348"/>
      <c r="E3255" s="1348"/>
      <c r="F3255" s="1348"/>
      <c r="G3255" s="1348"/>
      <c r="H3255" s="1348"/>
      <c r="I3255" s="1348"/>
      <c r="J3255" s="1348"/>
      <c r="K3255" s="1348"/>
    </row>
    <row r="3256" spans="2:11" hidden="1">
      <c r="B3256" s="1348"/>
      <c r="C3256" s="1348"/>
      <c r="D3256" s="1348"/>
      <c r="E3256" s="1348"/>
      <c r="F3256" s="1348"/>
      <c r="G3256" s="1348"/>
      <c r="H3256" s="1348"/>
      <c r="I3256" s="1348"/>
      <c r="J3256" s="1348"/>
      <c r="K3256" s="1348"/>
    </row>
    <row r="3257" spans="2:11" hidden="1">
      <c r="B3257" s="1348"/>
      <c r="C3257" s="1348"/>
      <c r="D3257" s="1348"/>
      <c r="E3257" s="1348"/>
      <c r="F3257" s="1348"/>
      <c r="G3257" s="1348"/>
      <c r="H3257" s="1348"/>
      <c r="I3257" s="1348"/>
      <c r="J3257" s="1348"/>
      <c r="K3257" s="1348"/>
    </row>
    <row r="3258" spans="2:11" hidden="1">
      <c r="B3258" s="1348"/>
      <c r="C3258" s="1348"/>
      <c r="D3258" s="1348"/>
      <c r="E3258" s="1348"/>
      <c r="F3258" s="1348"/>
      <c r="G3258" s="1348"/>
      <c r="H3258" s="1348"/>
      <c r="I3258" s="1348"/>
      <c r="J3258" s="1348"/>
      <c r="K3258" s="1348"/>
    </row>
    <row r="3259" spans="2:11" hidden="1">
      <c r="B3259" s="1348"/>
      <c r="C3259" s="1348"/>
      <c r="D3259" s="1348"/>
      <c r="E3259" s="1348"/>
      <c r="F3259" s="1348"/>
      <c r="G3259" s="1348"/>
      <c r="H3259" s="1348"/>
      <c r="I3259" s="1348"/>
      <c r="J3259" s="1348"/>
      <c r="K3259" s="1348"/>
    </row>
    <row r="3260" spans="2:11" hidden="1">
      <c r="B3260" s="1348"/>
      <c r="C3260" s="1348"/>
      <c r="D3260" s="1348"/>
      <c r="E3260" s="1348"/>
      <c r="F3260" s="1348"/>
      <c r="G3260" s="1348"/>
      <c r="H3260" s="1348"/>
      <c r="I3260" s="1348"/>
      <c r="J3260" s="1348"/>
      <c r="K3260" s="1348"/>
    </row>
    <row r="3261" spans="2:11" hidden="1">
      <c r="B3261" s="1348"/>
      <c r="C3261" s="1348"/>
      <c r="D3261" s="1348"/>
      <c r="E3261" s="1348"/>
      <c r="F3261" s="1348"/>
      <c r="G3261" s="1348"/>
      <c r="H3261" s="1348"/>
      <c r="I3261" s="1348"/>
      <c r="J3261" s="1348"/>
      <c r="K3261" s="1348"/>
    </row>
    <row r="3262" spans="2:11" hidden="1">
      <c r="B3262" s="1348"/>
      <c r="C3262" s="1348"/>
      <c r="D3262" s="1348"/>
      <c r="E3262" s="1348"/>
      <c r="F3262" s="1348"/>
      <c r="G3262" s="1348"/>
      <c r="H3262" s="1348"/>
      <c r="I3262" s="1348"/>
      <c r="J3262" s="1348"/>
      <c r="K3262" s="1348"/>
    </row>
    <row r="3263" spans="2:11" hidden="1">
      <c r="B3263" s="1348"/>
      <c r="C3263" s="1348"/>
      <c r="D3263" s="1348"/>
      <c r="E3263" s="1348"/>
      <c r="F3263" s="1348"/>
      <c r="G3263" s="1348"/>
      <c r="H3263" s="1348"/>
      <c r="I3263" s="1348"/>
      <c r="J3263" s="1348"/>
      <c r="K3263" s="1348"/>
    </row>
    <row r="3264" spans="2:11" hidden="1">
      <c r="B3264" s="1348"/>
      <c r="C3264" s="1348"/>
      <c r="D3264" s="1348"/>
      <c r="E3264" s="1348"/>
      <c r="F3264" s="1348"/>
      <c r="G3264" s="1348"/>
      <c r="H3264" s="1348"/>
      <c r="I3264" s="1348"/>
      <c r="J3264" s="1348"/>
      <c r="K3264" s="1348"/>
    </row>
    <row r="3265" spans="2:11" hidden="1">
      <c r="B3265" s="1348"/>
      <c r="C3265" s="1348"/>
      <c r="D3265" s="1348"/>
      <c r="E3265" s="1348"/>
      <c r="F3265" s="1348"/>
      <c r="G3265" s="1348"/>
      <c r="H3265" s="1348"/>
      <c r="I3265" s="1348"/>
      <c r="J3265" s="1348"/>
      <c r="K3265" s="1348"/>
    </row>
    <row r="3266" spans="2:11" hidden="1">
      <c r="B3266" s="1348"/>
      <c r="C3266" s="1348"/>
      <c r="D3266" s="1348"/>
      <c r="E3266" s="1348"/>
      <c r="F3266" s="1348"/>
      <c r="G3266" s="1348"/>
      <c r="H3266" s="1348"/>
      <c r="I3266" s="1348"/>
      <c r="J3266" s="1348"/>
      <c r="K3266" s="1348"/>
    </row>
    <row r="3267" spans="2:11" hidden="1">
      <c r="B3267" s="1348"/>
      <c r="C3267" s="1348"/>
      <c r="D3267" s="1348"/>
      <c r="E3267" s="1348"/>
      <c r="F3267" s="1348"/>
      <c r="G3267" s="1348"/>
      <c r="H3267" s="1348"/>
      <c r="I3267" s="1348"/>
      <c r="J3267" s="1348"/>
      <c r="K3267" s="1348"/>
    </row>
    <row r="3268" spans="2:11" hidden="1">
      <c r="B3268" s="1348"/>
      <c r="C3268" s="1348"/>
      <c r="D3268" s="1348"/>
      <c r="E3268" s="1348"/>
      <c r="F3268" s="1348"/>
      <c r="G3268" s="1348"/>
      <c r="H3268" s="1348"/>
      <c r="I3268" s="1348"/>
      <c r="J3268" s="1348"/>
      <c r="K3268" s="1348"/>
    </row>
    <row r="3269" spans="2:11" hidden="1">
      <c r="B3269" s="1348"/>
      <c r="C3269" s="1348"/>
      <c r="D3269" s="1348"/>
      <c r="E3269" s="1348"/>
      <c r="F3269" s="1348"/>
      <c r="G3269" s="1348"/>
      <c r="H3269" s="1348"/>
      <c r="I3269" s="1348"/>
      <c r="J3269" s="1348"/>
      <c r="K3269" s="1348"/>
    </row>
    <row r="3270" spans="2:11" hidden="1">
      <c r="B3270" s="1348"/>
      <c r="C3270" s="1348"/>
      <c r="D3270" s="1348"/>
      <c r="E3270" s="1348"/>
      <c r="F3270" s="1348"/>
      <c r="G3270" s="1348"/>
      <c r="H3270" s="1348"/>
      <c r="I3270" s="1348"/>
      <c r="J3270" s="1348"/>
      <c r="K3270" s="1348"/>
    </row>
    <row r="3271" spans="2:11" hidden="1">
      <c r="B3271" s="1348"/>
      <c r="C3271" s="1348"/>
      <c r="D3271" s="1348"/>
      <c r="E3271" s="1348"/>
      <c r="F3271" s="1348"/>
      <c r="G3271" s="1348"/>
      <c r="H3271" s="1348"/>
      <c r="I3271" s="1348"/>
      <c r="J3271" s="1348"/>
      <c r="K3271" s="1348"/>
    </row>
    <row r="3272" spans="2:11" hidden="1">
      <c r="B3272" s="1348"/>
      <c r="C3272" s="1348"/>
      <c r="D3272" s="1348"/>
      <c r="E3272" s="1348"/>
      <c r="F3272" s="1348"/>
      <c r="G3272" s="1348"/>
      <c r="H3272" s="1348"/>
      <c r="I3272" s="1348"/>
      <c r="J3272" s="1348"/>
      <c r="K3272" s="1348"/>
    </row>
    <row r="3273" spans="2:11" hidden="1">
      <c r="B3273" s="1348"/>
      <c r="C3273" s="1348"/>
      <c r="D3273" s="1348"/>
      <c r="E3273" s="1348"/>
      <c r="F3273" s="1348"/>
      <c r="G3273" s="1348"/>
      <c r="H3273" s="1348"/>
      <c r="I3273" s="1348"/>
      <c r="J3273" s="1348"/>
      <c r="K3273" s="1348"/>
    </row>
    <row r="3274" spans="2:11" hidden="1">
      <c r="B3274" s="1348"/>
      <c r="C3274" s="1348"/>
      <c r="D3274" s="1348"/>
      <c r="E3274" s="1348"/>
      <c r="F3274" s="1348"/>
      <c r="G3274" s="1348"/>
      <c r="H3274" s="1348"/>
      <c r="I3274" s="1348"/>
      <c r="J3274" s="1348"/>
      <c r="K3274" s="1348"/>
    </row>
    <row r="3275" spans="2:11" hidden="1">
      <c r="B3275" s="1348"/>
      <c r="C3275" s="1348"/>
      <c r="D3275" s="1348"/>
      <c r="E3275" s="1348"/>
      <c r="F3275" s="1348"/>
      <c r="G3275" s="1348"/>
      <c r="H3275" s="1348"/>
      <c r="I3275" s="1348"/>
      <c r="J3275" s="1348"/>
      <c r="K3275" s="1348"/>
    </row>
    <row r="3276" spans="2:11" hidden="1">
      <c r="B3276" s="1348"/>
      <c r="C3276" s="1348"/>
      <c r="D3276" s="1348"/>
      <c r="E3276" s="1348"/>
      <c r="F3276" s="1348"/>
      <c r="G3276" s="1348"/>
      <c r="H3276" s="1348"/>
      <c r="I3276" s="1348"/>
      <c r="J3276" s="1348"/>
      <c r="K3276" s="1348"/>
    </row>
    <row r="3277" spans="2:11" hidden="1">
      <c r="B3277" s="1348"/>
      <c r="C3277" s="1348"/>
      <c r="D3277" s="1348"/>
      <c r="E3277" s="1348"/>
      <c r="F3277" s="1348"/>
      <c r="G3277" s="1348"/>
      <c r="H3277" s="1348"/>
      <c r="I3277" s="1348"/>
      <c r="J3277" s="1348"/>
      <c r="K3277" s="1348"/>
    </row>
    <row r="3278" spans="2:11" hidden="1">
      <c r="B3278" s="1348"/>
      <c r="C3278" s="1348"/>
      <c r="D3278" s="1348"/>
      <c r="E3278" s="1348"/>
      <c r="F3278" s="1348"/>
      <c r="G3278" s="1348"/>
      <c r="H3278" s="1348"/>
      <c r="I3278" s="1348"/>
      <c r="J3278" s="1348"/>
      <c r="K3278" s="1348"/>
    </row>
    <row r="3279" spans="2:11" hidden="1">
      <c r="B3279" s="1348"/>
      <c r="C3279" s="1348"/>
      <c r="D3279" s="1348"/>
      <c r="E3279" s="1348"/>
      <c r="F3279" s="1348"/>
      <c r="G3279" s="1348"/>
      <c r="H3279" s="1348"/>
      <c r="I3279" s="1348"/>
      <c r="J3279" s="1348"/>
      <c r="K3279" s="1348"/>
    </row>
    <row r="3280" spans="2:11" hidden="1">
      <c r="B3280" s="1348"/>
      <c r="C3280" s="1348"/>
      <c r="D3280" s="1348"/>
      <c r="E3280" s="1348"/>
      <c r="F3280" s="1348"/>
      <c r="G3280" s="1348"/>
      <c r="H3280" s="1348"/>
      <c r="I3280" s="1348"/>
      <c r="J3280" s="1348"/>
      <c r="K3280" s="1348"/>
    </row>
    <row r="3281" spans="2:11" hidden="1">
      <c r="B3281" s="1348"/>
      <c r="C3281" s="1348"/>
      <c r="D3281" s="1348"/>
      <c r="E3281" s="1348"/>
      <c r="F3281" s="1348"/>
      <c r="G3281" s="1348"/>
      <c r="H3281" s="1348"/>
      <c r="I3281" s="1348"/>
      <c r="J3281" s="1348"/>
      <c r="K3281" s="1348"/>
    </row>
    <row r="3282" spans="2:11" hidden="1">
      <c r="B3282" s="1348"/>
      <c r="C3282" s="1348"/>
      <c r="D3282" s="1348"/>
      <c r="E3282" s="1348"/>
      <c r="F3282" s="1348"/>
      <c r="G3282" s="1348"/>
      <c r="H3282" s="1348"/>
      <c r="I3282" s="1348"/>
      <c r="J3282" s="1348"/>
      <c r="K3282" s="1348"/>
    </row>
    <row r="3283" spans="2:11" hidden="1">
      <c r="B3283" s="1348"/>
      <c r="C3283" s="1348"/>
      <c r="D3283" s="1348"/>
      <c r="E3283" s="1348"/>
      <c r="F3283" s="1348"/>
      <c r="G3283" s="1348"/>
      <c r="H3283" s="1348"/>
      <c r="I3283" s="1348"/>
      <c r="J3283" s="1348"/>
      <c r="K3283" s="1348"/>
    </row>
    <row r="3284" spans="2:11" hidden="1">
      <c r="B3284" s="1348"/>
      <c r="C3284" s="1348"/>
      <c r="D3284" s="1348"/>
      <c r="E3284" s="1348"/>
      <c r="F3284" s="1348"/>
      <c r="G3284" s="1348"/>
      <c r="H3284" s="1348"/>
      <c r="I3284" s="1348"/>
      <c r="J3284" s="1348"/>
      <c r="K3284" s="1348"/>
    </row>
    <row r="3285" spans="2:11" hidden="1">
      <c r="B3285" s="1348"/>
      <c r="C3285" s="1348"/>
      <c r="D3285" s="1348"/>
      <c r="E3285" s="1348"/>
      <c r="F3285" s="1348"/>
      <c r="G3285" s="1348"/>
      <c r="H3285" s="1348"/>
      <c r="I3285" s="1348"/>
      <c r="J3285" s="1348"/>
      <c r="K3285" s="1348"/>
    </row>
    <row r="3286" spans="2:11" hidden="1">
      <c r="B3286" s="1348"/>
      <c r="C3286" s="1348"/>
      <c r="D3286" s="1348"/>
      <c r="E3286" s="1348"/>
      <c r="F3286" s="1348"/>
      <c r="G3286" s="1348"/>
      <c r="H3286" s="1348"/>
      <c r="I3286" s="1348"/>
      <c r="J3286" s="1348"/>
      <c r="K3286" s="1348"/>
    </row>
    <row r="3287" spans="2:11" hidden="1">
      <c r="B3287" s="1348"/>
      <c r="C3287" s="1348"/>
      <c r="D3287" s="1348"/>
      <c r="E3287" s="1348"/>
      <c r="F3287" s="1348"/>
      <c r="G3287" s="1348"/>
      <c r="H3287" s="1348"/>
      <c r="I3287" s="1348"/>
      <c r="J3287" s="1348"/>
      <c r="K3287" s="1348"/>
    </row>
    <row r="3288" spans="2:11" hidden="1">
      <c r="B3288" s="1348"/>
      <c r="C3288" s="1348"/>
      <c r="D3288" s="1348"/>
      <c r="E3288" s="1348"/>
      <c r="F3288" s="1348"/>
      <c r="G3288" s="1348"/>
      <c r="H3288" s="1348"/>
      <c r="I3288" s="1348"/>
      <c r="J3288" s="1348"/>
      <c r="K3288" s="1348"/>
    </row>
    <row r="3289" spans="2:11" hidden="1">
      <c r="B3289" s="1348"/>
      <c r="C3289" s="1348"/>
      <c r="D3289" s="1348"/>
      <c r="E3289" s="1348"/>
      <c r="F3289" s="1348"/>
      <c r="G3289" s="1348"/>
      <c r="H3289" s="1348"/>
      <c r="I3289" s="1348"/>
      <c r="J3289" s="1348"/>
      <c r="K3289" s="1348"/>
    </row>
    <row r="3290" spans="2:11" hidden="1">
      <c r="B3290" s="1348"/>
      <c r="C3290" s="1348"/>
      <c r="D3290" s="1348"/>
      <c r="E3290" s="1348"/>
      <c r="F3290" s="1348"/>
      <c r="G3290" s="1348"/>
      <c r="H3290" s="1348"/>
      <c r="I3290" s="1348"/>
      <c r="J3290" s="1348"/>
      <c r="K3290" s="1348"/>
    </row>
    <row r="3291" spans="2:11" hidden="1">
      <c r="B3291" s="1348"/>
      <c r="C3291" s="1348"/>
      <c r="D3291" s="1348"/>
      <c r="E3291" s="1348"/>
      <c r="F3291" s="1348"/>
      <c r="G3291" s="1348"/>
      <c r="H3291" s="1348"/>
      <c r="I3291" s="1348"/>
      <c r="J3291" s="1348"/>
      <c r="K3291" s="1348"/>
    </row>
    <row r="3292" spans="2:11" hidden="1">
      <c r="B3292" s="1348"/>
      <c r="C3292" s="1348"/>
      <c r="D3292" s="1348"/>
      <c r="E3292" s="1348"/>
      <c r="F3292" s="1348"/>
      <c r="G3292" s="1348"/>
      <c r="H3292" s="1348"/>
      <c r="I3292" s="1348"/>
      <c r="J3292" s="1348"/>
      <c r="K3292" s="1348"/>
    </row>
    <row r="3293" spans="2:11" hidden="1">
      <c r="B3293" s="1348"/>
      <c r="C3293" s="1348"/>
      <c r="D3293" s="1348"/>
      <c r="E3293" s="1348"/>
      <c r="F3293" s="1348"/>
      <c r="G3293" s="1348"/>
      <c r="H3293" s="1348"/>
      <c r="I3293" s="1348"/>
      <c r="J3293" s="1348"/>
      <c r="K3293" s="1348"/>
    </row>
    <row r="3294" spans="2:11" hidden="1">
      <c r="B3294" s="1348"/>
      <c r="C3294" s="1348"/>
      <c r="D3294" s="1348"/>
      <c r="E3294" s="1348"/>
      <c r="F3294" s="1348"/>
      <c r="G3294" s="1348"/>
      <c r="H3294" s="1348"/>
      <c r="I3294" s="1348"/>
      <c r="J3294" s="1348"/>
      <c r="K3294" s="1348"/>
    </row>
    <row r="3295" spans="2:11" hidden="1">
      <c r="B3295" s="1348"/>
      <c r="C3295" s="1348"/>
      <c r="D3295" s="1348"/>
      <c r="E3295" s="1348"/>
      <c r="F3295" s="1348"/>
      <c r="G3295" s="1348"/>
      <c r="H3295" s="1348"/>
      <c r="I3295" s="1348"/>
      <c r="J3295" s="1348"/>
      <c r="K3295" s="1348"/>
    </row>
    <row r="3296" spans="2:11" hidden="1">
      <c r="B3296" s="1348"/>
      <c r="C3296" s="1348"/>
      <c r="D3296" s="1348"/>
      <c r="E3296" s="1348"/>
      <c r="F3296" s="1348"/>
      <c r="G3296" s="1348"/>
      <c r="H3296" s="1348"/>
      <c r="I3296" s="1348"/>
      <c r="J3296" s="1348"/>
      <c r="K3296" s="1348"/>
    </row>
    <row r="3297" spans="2:11" hidden="1">
      <c r="B3297" s="1348"/>
      <c r="C3297" s="1348"/>
      <c r="D3297" s="1348"/>
      <c r="E3297" s="1348"/>
      <c r="F3297" s="1348"/>
      <c r="G3297" s="1348"/>
      <c r="H3297" s="1348"/>
      <c r="I3297" s="1348"/>
      <c r="J3297" s="1348"/>
      <c r="K3297" s="1348"/>
    </row>
    <row r="3298" spans="2:11" hidden="1">
      <c r="B3298" s="1348"/>
      <c r="C3298" s="1348"/>
      <c r="D3298" s="1348"/>
      <c r="E3298" s="1348"/>
      <c r="F3298" s="1348"/>
      <c r="G3298" s="1348"/>
      <c r="H3298" s="1348"/>
      <c r="I3298" s="1348"/>
      <c r="J3298" s="1348"/>
      <c r="K3298" s="1348"/>
    </row>
    <row r="3299" spans="2:11" hidden="1">
      <c r="B3299" s="1348"/>
      <c r="C3299" s="1348"/>
      <c r="D3299" s="1348"/>
      <c r="E3299" s="1348"/>
      <c r="F3299" s="1348"/>
      <c r="G3299" s="1348"/>
      <c r="H3299" s="1348"/>
      <c r="I3299" s="1348"/>
      <c r="J3299" s="1348"/>
      <c r="K3299" s="1348"/>
    </row>
    <row r="3300" spans="2:11" hidden="1">
      <c r="B3300" s="1348"/>
      <c r="C3300" s="1348"/>
      <c r="D3300" s="1348"/>
      <c r="E3300" s="1348"/>
      <c r="F3300" s="1348"/>
      <c r="G3300" s="1348"/>
      <c r="H3300" s="1348"/>
      <c r="I3300" s="1348"/>
      <c r="J3300" s="1348"/>
      <c r="K3300" s="1348"/>
    </row>
    <row r="3301" spans="2:11" hidden="1">
      <c r="B3301" s="1348"/>
      <c r="C3301" s="1348"/>
      <c r="D3301" s="1348"/>
      <c r="E3301" s="1348"/>
      <c r="F3301" s="1348"/>
      <c r="G3301" s="1348"/>
      <c r="H3301" s="1348"/>
      <c r="I3301" s="1348"/>
      <c r="J3301" s="1348"/>
      <c r="K3301" s="1348"/>
    </row>
    <row r="3302" spans="2:11" hidden="1">
      <c r="B3302" s="1348"/>
      <c r="C3302" s="1348"/>
      <c r="D3302" s="1348"/>
      <c r="E3302" s="1348"/>
      <c r="F3302" s="1348"/>
      <c r="G3302" s="1348"/>
      <c r="H3302" s="1348"/>
      <c r="I3302" s="1348"/>
      <c r="J3302" s="1348"/>
      <c r="K3302" s="1348"/>
    </row>
    <row r="3303" spans="2:11" hidden="1">
      <c r="B3303" s="1348"/>
      <c r="C3303" s="1348"/>
      <c r="D3303" s="1348"/>
      <c r="E3303" s="1348"/>
      <c r="F3303" s="1348"/>
      <c r="G3303" s="1348"/>
      <c r="H3303" s="1348"/>
      <c r="I3303" s="1348"/>
      <c r="J3303" s="1348"/>
      <c r="K3303" s="1348"/>
    </row>
    <row r="3304" spans="2:11" hidden="1">
      <c r="B3304" s="1348"/>
      <c r="C3304" s="1348"/>
      <c r="D3304" s="1348"/>
      <c r="E3304" s="1348"/>
      <c r="F3304" s="1348"/>
      <c r="G3304" s="1348"/>
      <c r="H3304" s="1348"/>
      <c r="I3304" s="1348"/>
      <c r="J3304" s="1348"/>
      <c r="K3304" s="1348"/>
    </row>
    <row r="3305" spans="2:11" hidden="1">
      <c r="B3305" s="1348"/>
      <c r="C3305" s="1348"/>
      <c r="D3305" s="1348"/>
      <c r="E3305" s="1348"/>
      <c r="F3305" s="1348"/>
      <c r="G3305" s="1348"/>
      <c r="H3305" s="1348"/>
      <c r="I3305" s="1348"/>
      <c r="J3305" s="1348"/>
      <c r="K3305" s="1348"/>
    </row>
    <row r="3306" spans="2:11" hidden="1">
      <c r="B3306" s="1348"/>
      <c r="C3306" s="1348"/>
      <c r="D3306" s="1348"/>
      <c r="E3306" s="1348"/>
      <c r="F3306" s="1348"/>
      <c r="G3306" s="1348"/>
      <c r="H3306" s="1348"/>
      <c r="I3306" s="1348"/>
      <c r="J3306" s="1348"/>
      <c r="K3306" s="1348"/>
    </row>
    <row r="3307" spans="2:11" hidden="1">
      <c r="B3307" s="1348"/>
      <c r="C3307" s="1348"/>
      <c r="D3307" s="1348"/>
      <c r="E3307" s="1348"/>
      <c r="F3307" s="1348"/>
      <c r="G3307" s="1348"/>
      <c r="H3307" s="1348"/>
      <c r="I3307" s="1348"/>
      <c r="J3307" s="1348"/>
      <c r="K3307" s="1348"/>
    </row>
    <row r="3308" spans="2:11" hidden="1">
      <c r="B3308" s="1348"/>
      <c r="C3308" s="1348"/>
      <c r="D3308" s="1348"/>
      <c r="E3308" s="1348"/>
      <c r="F3308" s="1348"/>
      <c r="G3308" s="1348"/>
      <c r="H3308" s="1348"/>
      <c r="I3308" s="1348"/>
      <c r="J3308" s="1348"/>
      <c r="K3308" s="1348"/>
    </row>
    <row r="3309" spans="2:11" hidden="1">
      <c r="B3309" s="1348"/>
      <c r="C3309" s="1348"/>
      <c r="D3309" s="1348"/>
      <c r="E3309" s="1348"/>
      <c r="F3309" s="1348"/>
      <c r="G3309" s="1348"/>
      <c r="H3309" s="1348"/>
      <c r="I3309" s="1348"/>
      <c r="J3309" s="1348"/>
      <c r="K3309" s="1348"/>
    </row>
    <row r="3310" spans="2:11" hidden="1">
      <c r="B3310" s="1348"/>
      <c r="C3310" s="1348"/>
      <c r="D3310" s="1348"/>
      <c r="E3310" s="1348"/>
      <c r="F3310" s="1348"/>
      <c r="G3310" s="1348"/>
      <c r="H3310" s="1348"/>
      <c r="I3310" s="1348"/>
      <c r="J3310" s="1348"/>
      <c r="K3310" s="1348"/>
    </row>
    <row r="3311" spans="2:11" hidden="1">
      <c r="B3311" s="1348"/>
      <c r="C3311" s="1348"/>
      <c r="D3311" s="1348"/>
      <c r="E3311" s="1348"/>
      <c r="F3311" s="1348"/>
      <c r="G3311" s="1348"/>
      <c r="H3311" s="1348"/>
      <c r="I3311" s="1348"/>
      <c r="J3311" s="1348"/>
      <c r="K3311" s="1348"/>
    </row>
    <row r="3312" spans="2:11" hidden="1">
      <c r="B3312" s="1348"/>
      <c r="C3312" s="1348"/>
      <c r="D3312" s="1348"/>
      <c r="E3312" s="1348"/>
      <c r="F3312" s="1348"/>
      <c r="G3312" s="1348"/>
      <c r="H3312" s="1348"/>
      <c r="I3312" s="1348"/>
      <c r="J3312" s="1348"/>
      <c r="K3312" s="1348"/>
    </row>
    <row r="3313" spans="2:11" hidden="1">
      <c r="B3313" s="1348"/>
      <c r="C3313" s="1348"/>
      <c r="D3313" s="1348"/>
      <c r="E3313" s="1348"/>
      <c r="F3313" s="1348"/>
      <c r="G3313" s="1348"/>
      <c r="H3313" s="1348"/>
      <c r="I3313" s="1348"/>
      <c r="J3313" s="1348"/>
      <c r="K3313" s="1348"/>
    </row>
    <row r="3314" spans="2:11" hidden="1">
      <c r="B3314" s="1348"/>
      <c r="C3314" s="1348"/>
      <c r="D3314" s="1348"/>
      <c r="E3314" s="1348"/>
      <c r="F3314" s="1348"/>
      <c r="G3314" s="1348"/>
      <c r="H3314" s="1348"/>
      <c r="I3314" s="1348"/>
      <c r="J3314" s="1348"/>
      <c r="K3314" s="1348"/>
    </row>
    <row r="3315" spans="2:11" hidden="1">
      <c r="B3315" s="1348"/>
      <c r="C3315" s="1348"/>
      <c r="D3315" s="1348"/>
      <c r="E3315" s="1348"/>
      <c r="F3315" s="1348"/>
      <c r="G3315" s="1348"/>
      <c r="H3315" s="1348"/>
      <c r="I3315" s="1348"/>
      <c r="J3315" s="1348"/>
      <c r="K3315" s="1348"/>
    </row>
    <row r="3316" spans="2:11" hidden="1">
      <c r="B3316" s="1348"/>
      <c r="C3316" s="1348"/>
      <c r="D3316" s="1348"/>
      <c r="E3316" s="1348"/>
      <c r="F3316" s="1348"/>
      <c r="G3316" s="1348"/>
      <c r="H3316" s="1348"/>
      <c r="I3316" s="1348"/>
      <c r="J3316" s="1348"/>
      <c r="K3316" s="1348"/>
    </row>
    <row r="3317" spans="2:11" hidden="1">
      <c r="B3317" s="1348"/>
      <c r="C3317" s="1348"/>
      <c r="D3317" s="1348"/>
      <c r="E3317" s="1348"/>
      <c r="F3317" s="1348"/>
      <c r="G3317" s="1348"/>
      <c r="H3317" s="1348"/>
      <c r="I3317" s="1348"/>
      <c r="J3317" s="1348"/>
      <c r="K3317" s="1348"/>
    </row>
    <row r="3318" spans="2:11" hidden="1">
      <c r="B3318" s="1348"/>
      <c r="C3318" s="1348"/>
      <c r="D3318" s="1348"/>
      <c r="E3318" s="1348"/>
      <c r="F3318" s="1348"/>
      <c r="G3318" s="1348"/>
      <c r="H3318" s="1348"/>
      <c r="I3318" s="1348"/>
      <c r="J3318" s="1348"/>
      <c r="K3318" s="1348"/>
    </row>
    <row r="3319" spans="2:11" hidden="1">
      <c r="B3319" s="1348"/>
      <c r="C3319" s="1348"/>
      <c r="D3319" s="1348"/>
      <c r="E3319" s="1348"/>
      <c r="F3319" s="1348"/>
      <c r="G3319" s="1348"/>
      <c r="H3319" s="1348"/>
      <c r="I3319" s="1348"/>
      <c r="J3319" s="1348"/>
      <c r="K3319" s="1348"/>
    </row>
    <row r="3320" spans="2:11" hidden="1">
      <c r="B3320" s="1348"/>
      <c r="C3320" s="1348"/>
      <c r="D3320" s="1348"/>
      <c r="E3320" s="1348"/>
      <c r="F3320" s="1348"/>
      <c r="G3320" s="1348"/>
      <c r="H3320" s="1348"/>
      <c r="I3320" s="1348"/>
      <c r="J3320" s="1348"/>
      <c r="K3320" s="1348"/>
    </row>
    <row r="3321" spans="2:11" hidden="1">
      <c r="B3321" s="1348"/>
      <c r="C3321" s="1348"/>
      <c r="D3321" s="1348"/>
      <c r="E3321" s="1348"/>
      <c r="F3321" s="1348"/>
      <c r="G3321" s="1348"/>
      <c r="H3321" s="1348"/>
      <c r="I3321" s="1348"/>
      <c r="J3321" s="1348"/>
      <c r="K3321" s="1348"/>
    </row>
    <row r="3322" spans="2:11" hidden="1">
      <c r="B3322" s="1348"/>
      <c r="C3322" s="1348"/>
      <c r="D3322" s="1348"/>
      <c r="E3322" s="1348"/>
      <c r="F3322" s="1348"/>
      <c r="G3322" s="1348"/>
      <c r="H3322" s="1348"/>
      <c r="I3322" s="1348"/>
      <c r="J3322" s="1348"/>
      <c r="K3322" s="1348"/>
    </row>
    <row r="3323" spans="2:11" hidden="1">
      <c r="B3323" s="1348"/>
      <c r="C3323" s="1348"/>
      <c r="D3323" s="1348"/>
      <c r="E3323" s="1348"/>
      <c r="F3323" s="1348"/>
      <c r="G3323" s="1348"/>
      <c r="H3323" s="1348"/>
      <c r="I3323" s="1348"/>
      <c r="J3323" s="1348"/>
      <c r="K3323" s="1348"/>
    </row>
    <row r="3324" spans="2:11" hidden="1">
      <c r="B3324" s="1348"/>
      <c r="C3324" s="1348"/>
      <c r="D3324" s="1348"/>
      <c r="E3324" s="1348"/>
      <c r="F3324" s="1348"/>
      <c r="G3324" s="1348"/>
      <c r="H3324" s="1348"/>
      <c r="I3324" s="1348"/>
      <c r="J3324" s="1348"/>
      <c r="K3324" s="1348"/>
    </row>
    <row r="3325" spans="2:11" hidden="1">
      <c r="B3325" s="1348"/>
      <c r="C3325" s="1348"/>
      <c r="D3325" s="1348"/>
      <c r="E3325" s="1348"/>
      <c r="F3325" s="1348"/>
      <c r="G3325" s="1348"/>
      <c r="H3325" s="1348"/>
      <c r="I3325" s="1348"/>
      <c r="J3325" s="1348"/>
      <c r="K3325" s="1348"/>
    </row>
    <row r="3326" spans="2:11" hidden="1">
      <c r="B3326" s="1348"/>
      <c r="C3326" s="1348"/>
      <c r="D3326" s="1348"/>
      <c r="E3326" s="1348"/>
      <c r="F3326" s="1348"/>
      <c r="G3326" s="1348"/>
      <c r="H3326" s="1348"/>
      <c r="I3326" s="1348"/>
      <c r="J3326" s="1348"/>
      <c r="K3326" s="1348"/>
    </row>
    <row r="3327" spans="2:11" hidden="1">
      <c r="B3327" s="1348"/>
      <c r="C3327" s="1348"/>
      <c r="D3327" s="1348"/>
      <c r="E3327" s="1348"/>
      <c r="F3327" s="1348"/>
      <c r="G3327" s="1348"/>
      <c r="H3327" s="1348"/>
      <c r="I3327" s="1348"/>
      <c r="J3327" s="1348"/>
      <c r="K3327" s="1348"/>
    </row>
    <row r="3328" spans="2:11" hidden="1">
      <c r="B3328" s="1348"/>
      <c r="C3328" s="1348"/>
      <c r="D3328" s="1348"/>
      <c r="E3328" s="1348"/>
      <c r="F3328" s="1348"/>
      <c r="G3328" s="1348"/>
      <c r="H3328" s="1348"/>
      <c r="I3328" s="1348"/>
      <c r="J3328" s="1348"/>
      <c r="K3328" s="1348"/>
    </row>
    <row r="3329" spans="2:11" hidden="1">
      <c r="B3329" s="1348"/>
      <c r="C3329" s="1348"/>
      <c r="D3329" s="1348"/>
      <c r="E3329" s="1348"/>
      <c r="F3329" s="1348"/>
      <c r="G3329" s="1348"/>
      <c r="H3329" s="1348"/>
      <c r="I3329" s="1348"/>
      <c r="J3329" s="1348"/>
      <c r="K3329" s="1348"/>
    </row>
    <row r="3330" spans="2:11" hidden="1">
      <c r="B3330" s="1348"/>
      <c r="C3330" s="1348"/>
      <c r="D3330" s="1348"/>
      <c r="E3330" s="1348"/>
      <c r="F3330" s="1348"/>
      <c r="G3330" s="1348"/>
      <c r="H3330" s="1348"/>
      <c r="I3330" s="1348"/>
      <c r="J3330" s="1348"/>
      <c r="K3330" s="1348"/>
    </row>
    <row r="3331" spans="2:11" hidden="1">
      <c r="B3331" s="1348"/>
      <c r="C3331" s="1348"/>
      <c r="D3331" s="1348"/>
      <c r="E3331" s="1348"/>
      <c r="F3331" s="1348"/>
      <c r="G3331" s="1348"/>
      <c r="H3331" s="1348"/>
      <c r="I3331" s="1348"/>
      <c r="J3331" s="1348"/>
      <c r="K3331" s="1348"/>
    </row>
    <row r="3332" spans="2:11" hidden="1">
      <c r="B3332" s="1348"/>
      <c r="C3332" s="1348"/>
      <c r="D3332" s="1348"/>
      <c r="E3332" s="1348"/>
      <c r="F3332" s="1348"/>
      <c r="G3332" s="1348"/>
      <c r="H3332" s="1348"/>
      <c r="I3332" s="1348"/>
      <c r="J3332" s="1348"/>
      <c r="K3332" s="1348"/>
    </row>
    <row r="3333" spans="2:11" hidden="1">
      <c r="B3333" s="1348"/>
      <c r="C3333" s="1348"/>
      <c r="D3333" s="1348"/>
      <c r="E3333" s="1348"/>
      <c r="F3333" s="1348"/>
      <c r="G3333" s="1348"/>
      <c r="H3333" s="1348"/>
      <c r="I3333" s="1348"/>
      <c r="J3333" s="1348"/>
      <c r="K3333" s="1348"/>
    </row>
    <row r="3334" spans="2:11" hidden="1">
      <c r="B3334" s="1348"/>
      <c r="C3334" s="1348"/>
      <c r="D3334" s="1348"/>
      <c r="E3334" s="1348"/>
      <c r="F3334" s="1348"/>
      <c r="G3334" s="1348"/>
      <c r="H3334" s="1348"/>
      <c r="I3334" s="1348"/>
      <c r="J3334" s="1348"/>
      <c r="K3334" s="1348"/>
    </row>
    <row r="3335" spans="2:11" hidden="1">
      <c r="B3335" s="1348"/>
      <c r="C3335" s="1348"/>
      <c r="D3335" s="1348"/>
      <c r="E3335" s="1348"/>
      <c r="F3335" s="1348"/>
      <c r="G3335" s="1348"/>
      <c r="H3335" s="1348"/>
      <c r="I3335" s="1348"/>
      <c r="J3335" s="1348"/>
      <c r="K3335" s="1348"/>
    </row>
    <row r="3336" spans="2:11" hidden="1">
      <c r="B3336" s="1348"/>
      <c r="C3336" s="1348"/>
      <c r="D3336" s="1348"/>
      <c r="E3336" s="1348"/>
      <c r="F3336" s="1348"/>
      <c r="G3336" s="1348"/>
      <c r="H3336" s="1348"/>
      <c r="I3336" s="1348"/>
      <c r="J3336" s="1348"/>
      <c r="K3336" s="1348"/>
    </row>
    <row r="3337" spans="2:11" hidden="1">
      <c r="B3337" s="1348"/>
      <c r="C3337" s="1348"/>
      <c r="D3337" s="1348"/>
      <c r="E3337" s="1348"/>
      <c r="F3337" s="1348"/>
      <c r="G3337" s="1348"/>
      <c r="H3337" s="1348"/>
      <c r="I3337" s="1348"/>
      <c r="J3337" s="1348"/>
      <c r="K3337" s="1348"/>
    </row>
    <row r="3338" spans="2:11" hidden="1">
      <c r="B3338" s="1348"/>
      <c r="C3338" s="1348"/>
      <c r="D3338" s="1348"/>
      <c r="E3338" s="1348"/>
      <c r="F3338" s="1348"/>
      <c r="G3338" s="1348"/>
      <c r="H3338" s="1348"/>
      <c r="I3338" s="1348"/>
      <c r="J3338" s="1348"/>
      <c r="K3338" s="1348"/>
    </row>
    <row r="3339" spans="2:11" hidden="1">
      <c r="B3339" s="1348"/>
      <c r="C3339" s="1348"/>
      <c r="D3339" s="1348"/>
      <c r="E3339" s="1348"/>
      <c r="F3339" s="1348"/>
      <c r="G3339" s="1348"/>
      <c r="H3339" s="1348"/>
      <c r="I3339" s="1348"/>
      <c r="J3339" s="1348"/>
      <c r="K3339" s="1348"/>
    </row>
    <row r="3340" spans="2:11" hidden="1">
      <c r="B3340" s="1348"/>
      <c r="C3340" s="1348"/>
      <c r="D3340" s="1348"/>
      <c r="E3340" s="1348"/>
      <c r="F3340" s="1348"/>
      <c r="G3340" s="1348"/>
      <c r="H3340" s="1348"/>
      <c r="I3340" s="1348"/>
      <c r="J3340" s="1348"/>
      <c r="K3340" s="1348"/>
    </row>
    <row r="3341" spans="2:11" hidden="1">
      <c r="B3341" s="1348"/>
      <c r="C3341" s="1348"/>
      <c r="D3341" s="1348"/>
      <c r="E3341" s="1348"/>
      <c r="F3341" s="1348"/>
      <c r="G3341" s="1348"/>
      <c r="H3341" s="1348"/>
      <c r="I3341" s="1348"/>
      <c r="J3341" s="1348"/>
      <c r="K3341" s="1348"/>
    </row>
    <row r="3342" spans="2:11" hidden="1">
      <c r="B3342" s="1348"/>
      <c r="C3342" s="1348"/>
      <c r="D3342" s="1348"/>
      <c r="E3342" s="1348"/>
      <c r="F3342" s="1348"/>
      <c r="G3342" s="1348"/>
      <c r="H3342" s="1348"/>
      <c r="I3342" s="1348"/>
      <c r="J3342" s="1348"/>
      <c r="K3342" s="1348"/>
    </row>
    <row r="3343" spans="2:11" hidden="1">
      <c r="B3343" s="1348"/>
      <c r="C3343" s="1348"/>
      <c r="D3343" s="1348"/>
      <c r="E3343" s="1348"/>
      <c r="F3343" s="1348"/>
      <c r="G3343" s="1348"/>
      <c r="H3343" s="1348"/>
      <c r="I3343" s="1348"/>
      <c r="J3343" s="1348"/>
      <c r="K3343" s="1348"/>
    </row>
    <row r="3344" spans="2:11" hidden="1">
      <c r="B3344" s="1348"/>
      <c r="C3344" s="1348"/>
      <c r="D3344" s="1348"/>
      <c r="E3344" s="1348"/>
      <c r="F3344" s="1348"/>
      <c r="G3344" s="1348"/>
      <c r="H3344" s="1348"/>
      <c r="I3344" s="1348"/>
      <c r="J3344" s="1348"/>
      <c r="K3344" s="1348"/>
    </row>
    <row r="3345" spans="2:11" hidden="1">
      <c r="B3345" s="1348"/>
      <c r="C3345" s="1348"/>
      <c r="D3345" s="1348"/>
      <c r="E3345" s="1348"/>
      <c r="F3345" s="1348"/>
      <c r="G3345" s="1348"/>
      <c r="H3345" s="1348"/>
      <c r="I3345" s="1348"/>
      <c r="J3345" s="1348"/>
      <c r="K3345" s="1348"/>
    </row>
    <row r="3346" spans="2:11" hidden="1">
      <c r="B3346" s="1348"/>
      <c r="C3346" s="1348"/>
      <c r="D3346" s="1348"/>
      <c r="E3346" s="1348"/>
      <c r="F3346" s="1348"/>
      <c r="G3346" s="1348"/>
      <c r="H3346" s="1348"/>
      <c r="I3346" s="1348"/>
      <c r="J3346" s="1348"/>
      <c r="K3346" s="1348"/>
    </row>
    <row r="3347" spans="2:11" hidden="1">
      <c r="B3347" s="1348"/>
      <c r="C3347" s="1348"/>
      <c r="D3347" s="1348"/>
      <c r="E3347" s="1348"/>
      <c r="F3347" s="1348"/>
      <c r="G3347" s="1348"/>
      <c r="H3347" s="1348"/>
      <c r="I3347" s="1348"/>
      <c r="J3347" s="1348"/>
      <c r="K3347" s="1348"/>
    </row>
    <row r="3348" spans="2:11" hidden="1">
      <c r="B3348" s="1348"/>
      <c r="C3348" s="1348"/>
      <c r="D3348" s="1348"/>
      <c r="E3348" s="1348"/>
      <c r="F3348" s="1348"/>
      <c r="G3348" s="1348"/>
      <c r="H3348" s="1348"/>
      <c r="I3348" s="1348"/>
      <c r="J3348" s="1348"/>
      <c r="K3348" s="1348"/>
    </row>
    <row r="3349" spans="2:11" hidden="1">
      <c r="B3349" s="1348"/>
      <c r="C3349" s="1348"/>
      <c r="D3349" s="1348"/>
      <c r="E3349" s="1348"/>
      <c r="F3349" s="1348"/>
      <c r="G3349" s="1348"/>
      <c r="H3349" s="1348"/>
      <c r="I3349" s="1348"/>
      <c r="J3349" s="1348"/>
      <c r="K3349" s="1348"/>
    </row>
    <row r="3350" spans="2:11" hidden="1">
      <c r="B3350" s="1348"/>
      <c r="C3350" s="1348"/>
      <c r="D3350" s="1348"/>
      <c r="E3350" s="1348"/>
      <c r="F3350" s="1348"/>
      <c r="G3350" s="1348"/>
      <c r="H3350" s="1348"/>
      <c r="I3350" s="1348"/>
      <c r="J3350" s="1348"/>
      <c r="K3350" s="1348"/>
    </row>
    <row r="3351" spans="2:11" hidden="1">
      <c r="B3351" s="1348"/>
      <c r="C3351" s="1348"/>
      <c r="D3351" s="1348"/>
      <c r="E3351" s="1348"/>
      <c r="F3351" s="1348"/>
      <c r="G3351" s="1348"/>
      <c r="H3351" s="1348"/>
      <c r="I3351" s="1348"/>
      <c r="J3351" s="1348"/>
      <c r="K3351" s="1348"/>
    </row>
    <row r="3352" spans="2:11" hidden="1">
      <c r="B3352" s="1348"/>
      <c r="C3352" s="1348"/>
      <c r="D3352" s="1348"/>
      <c r="E3352" s="1348"/>
      <c r="F3352" s="1348"/>
      <c r="G3352" s="1348"/>
      <c r="H3352" s="1348"/>
      <c r="I3352" s="1348"/>
      <c r="J3352" s="1348"/>
      <c r="K3352" s="1348"/>
    </row>
    <row r="3353" spans="2:11" hidden="1">
      <c r="B3353" s="1348"/>
      <c r="C3353" s="1348"/>
      <c r="D3353" s="1348"/>
      <c r="E3353" s="1348"/>
      <c r="F3353" s="1348"/>
      <c r="G3353" s="1348"/>
      <c r="H3353" s="1348"/>
      <c r="I3353" s="1348"/>
      <c r="J3353" s="1348"/>
      <c r="K3353" s="1348"/>
    </row>
    <row r="3354" spans="2:11" hidden="1">
      <c r="B3354" s="1348"/>
      <c r="C3354" s="1348"/>
      <c r="D3354" s="1348"/>
      <c r="E3354" s="1348"/>
      <c r="F3354" s="1348"/>
      <c r="G3354" s="1348"/>
      <c r="H3354" s="1348"/>
      <c r="I3354" s="1348"/>
      <c r="J3354" s="1348"/>
      <c r="K3354" s="1348"/>
    </row>
    <row r="3355" spans="2:11" hidden="1">
      <c r="B3355" s="1348"/>
      <c r="C3355" s="1348"/>
      <c r="D3355" s="1348"/>
      <c r="E3355" s="1348"/>
      <c r="F3355" s="1348"/>
      <c r="G3355" s="1348"/>
      <c r="H3355" s="1348"/>
      <c r="I3355" s="1348"/>
      <c r="J3355" s="1348"/>
      <c r="K3355" s="1348"/>
    </row>
    <row r="3356" spans="2:11" hidden="1">
      <c r="B3356" s="1348"/>
      <c r="C3356" s="1348"/>
      <c r="D3356" s="1348"/>
      <c r="E3356" s="1348"/>
      <c r="F3356" s="1348"/>
      <c r="G3356" s="1348"/>
      <c r="H3356" s="1348"/>
      <c r="I3356" s="1348"/>
      <c r="J3356" s="1348"/>
      <c r="K3356" s="1348"/>
    </row>
    <row r="3357" spans="2:11" hidden="1">
      <c r="B3357" s="1348"/>
      <c r="C3357" s="1348"/>
      <c r="D3357" s="1348"/>
      <c r="E3357" s="1348"/>
      <c r="F3357" s="1348"/>
      <c r="G3357" s="1348"/>
      <c r="H3357" s="1348"/>
      <c r="I3357" s="1348"/>
      <c r="J3357" s="1348"/>
      <c r="K3357" s="1348"/>
    </row>
    <row r="3358" spans="2:11" hidden="1">
      <c r="B3358" s="1348"/>
      <c r="C3358" s="1348"/>
      <c r="D3358" s="1348"/>
      <c r="E3358" s="1348"/>
      <c r="F3358" s="1348"/>
      <c r="G3358" s="1348"/>
      <c r="H3358" s="1348"/>
      <c r="I3358" s="1348"/>
      <c r="J3358" s="1348"/>
      <c r="K3358" s="1348"/>
    </row>
    <row r="3359" spans="2:11" hidden="1">
      <c r="B3359" s="1348"/>
      <c r="C3359" s="1348"/>
      <c r="D3359" s="1348"/>
      <c r="E3359" s="1348"/>
      <c r="F3359" s="1348"/>
      <c r="G3359" s="1348"/>
      <c r="H3359" s="1348"/>
      <c r="I3359" s="1348"/>
      <c r="J3359" s="1348"/>
      <c r="K3359" s="1348"/>
    </row>
    <row r="3360" spans="2:11" hidden="1">
      <c r="B3360" s="1348"/>
      <c r="C3360" s="1348"/>
      <c r="D3360" s="1348"/>
      <c r="E3360" s="1348"/>
      <c r="F3360" s="1348"/>
      <c r="G3360" s="1348"/>
      <c r="H3360" s="1348"/>
      <c r="I3360" s="1348"/>
      <c r="J3360" s="1348"/>
      <c r="K3360" s="1348"/>
    </row>
    <row r="3361" spans="2:11" hidden="1">
      <c r="B3361" s="1348"/>
      <c r="C3361" s="1348"/>
      <c r="D3361" s="1348"/>
      <c r="E3361" s="1348"/>
      <c r="F3361" s="1348"/>
      <c r="G3361" s="1348"/>
      <c r="H3361" s="1348"/>
      <c r="I3361" s="1348"/>
      <c r="J3361" s="1348"/>
      <c r="K3361" s="1348"/>
    </row>
    <row r="3362" spans="2:11" hidden="1">
      <c r="B3362" s="1348"/>
      <c r="C3362" s="1348"/>
      <c r="D3362" s="1348"/>
      <c r="E3362" s="1348"/>
      <c r="F3362" s="1348"/>
      <c r="G3362" s="1348"/>
      <c r="H3362" s="1348"/>
      <c r="I3362" s="1348"/>
      <c r="J3362" s="1348"/>
      <c r="K3362" s="1348"/>
    </row>
    <row r="3363" spans="2:11" hidden="1">
      <c r="B3363" s="1348"/>
      <c r="C3363" s="1348"/>
      <c r="D3363" s="1348"/>
      <c r="E3363" s="1348"/>
      <c r="F3363" s="1348"/>
      <c r="G3363" s="1348"/>
      <c r="H3363" s="1348"/>
      <c r="I3363" s="1348"/>
      <c r="J3363" s="1348"/>
      <c r="K3363" s="1348"/>
    </row>
    <row r="3364" spans="2:11" hidden="1">
      <c r="B3364" s="1348"/>
      <c r="C3364" s="1348"/>
      <c r="D3364" s="1348"/>
      <c r="E3364" s="1348"/>
      <c r="F3364" s="1348"/>
      <c r="G3364" s="1348"/>
      <c r="H3364" s="1348"/>
      <c r="I3364" s="1348"/>
      <c r="J3364" s="1348"/>
      <c r="K3364" s="1348"/>
    </row>
    <row r="3365" spans="2:11" hidden="1">
      <c r="B3365" s="1348"/>
      <c r="C3365" s="1348"/>
      <c r="D3365" s="1348"/>
      <c r="E3365" s="1348"/>
      <c r="F3365" s="1348"/>
      <c r="G3365" s="1348"/>
      <c r="H3365" s="1348"/>
      <c r="I3365" s="1348"/>
      <c r="J3365" s="1348"/>
      <c r="K3365" s="1348"/>
    </row>
    <row r="3366" spans="2:11" hidden="1">
      <c r="B3366" s="1348"/>
      <c r="C3366" s="1348"/>
      <c r="D3366" s="1348"/>
      <c r="E3366" s="1348"/>
      <c r="F3366" s="1348"/>
      <c r="G3366" s="1348"/>
      <c r="H3366" s="1348"/>
      <c r="I3366" s="1348"/>
      <c r="J3366" s="1348"/>
      <c r="K3366" s="1348"/>
    </row>
    <row r="3367" spans="2:11" hidden="1">
      <c r="B3367" s="1348"/>
      <c r="C3367" s="1348"/>
      <c r="D3367" s="1348"/>
      <c r="E3367" s="1348"/>
      <c r="F3367" s="1348"/>
      <c r="G3367" s="1348"/>
      <c r="H3367" s="1348"/>
      <c r="I3367" s="1348"/>
      <c r="J3367" s="1348"/>
      <c r="K3367" s="1348"/>
    </row>
    <row r="3368" spans="2:11" hidden="1">
      <c r="B3368" s="1348"/>
      <c r="C3368" s="1348"/>
      <c r="D3368" s="1348"/>
      <c r="E3368" s="1348"/>
      <c r="F3368" s="1348"/>
      <c r="G3368" s="1348"/>
      <c r="H3368" s="1348"/>
      <c r="I3368" s="1348"/>
      <c r="J3368" s="1348"/>
      <c r="K3368" s="1348"/>
    </row>
    <row r="3369" spans="2:11" hidden="1">
      <c r="B3369" s="1348"/>
      <c r="C3369" s="1348"/>
      <c r="D3369" s="1348"/>
      <c r="E3369" s="1348"/>
      <c r="F3369" s="1348"/>
      <c r="G3369" s="1348"/>
      <c r="H3369" s="1348"/>
      <c r="I3369" s="1348"/>
      <c r="J3369" s="1348"/>
      <c r="K3369" s="1348"/>
    </row>
    <row r="3370" spans="2:11" hidden="1">
      <c r="B3370" s="1348"/>
      <c r="C3370" s="1348"/>
      <c r="D3370" s="1348"/>
      <c r="E3370" s="1348"/>
      <c r="F3370" s="1348"/>
      <c r="G3370" s="1348"/>
      <c r="H3370" s="1348"/>
      <c r="I3370" s="1348"/>
      <c r="J3370" s="1348"/>
      <c r="K3370" s="1348"/>
    </row>
    <row r="3371" spans="2:11" hidden="1">
      <c r="B3371" s="1348"/>
      <c r="C3371" s="1348"/>
      <c r="D3371" s="1348"/>
      <c r="E3371" s="1348"/>
      <c r="F3371" s="1348"/>
      <c r="G3371" s="1348"/>
      <c r="H3371" s="1348"/>
      <c r="I3371" s="1348"/>
      <c r="J3371" s="1348"/>
      <c r="K3371" s="1348"/>
    </row>
    <row r="3372" spans="2:11" hidden="1">
      <c r="B3372" s="1348"/>
      <c r="C3372" s="1348"/>
      <c r="D3372" s="1348"/>
      <c r="E3372" s="1348"/>
      <c r="F3372" s="1348"/>
      <c r="G3372" s="1348"/>
      <c r="H3372" s="1348"/>
      <c r="I3372" s="1348"/>
      <c r="J3372" s="1348"/>
      <c r="K3372" s="1348"/>
    </row>
    <row r="3373" spans="2:11" hidden="1">
      <c r="B3373" s="1348"/>
      <c r="C3373" s="1348"/>
      <c r="D3373" s="1348"/>
      <c r="E3373" s="1348"/>
      <c r="F3373" s="1348"/>
      <c r="G3373" s="1348"/>
      <c r="H3373" s="1348"/>
      <c r="I3373" s="1348"/>
      <c r="J3373" s="1348"/>
      <c r="K3373" s="1348"/>
    </row>
    <row r="3374" spans="2:11" hidden="1">
      <c r="B3374" s="1348"/>
      <c r="C3374" s="1348"/>
      <c r="D3374" s="1348"/>
      <c r="E3374" s="1348"/>
      <c r="F3374" s="1348"/>
      <c r="G3374" s="1348"/>
      <c r="H3374" s="1348"/>
      <c r="I3374" s="1348"/>
      <c r="J3374" s="1348"/>
      <c r="K3374" s="1348"/>
    </row>
    <row r="3375" spans="2:11" hidden="1">
      <c r="B3375" s="1348"/>
      <c r="C3375" s="1348"/>
      <c r="D3375" s="1348"/>
      <c r="E3375" s="1348"/>
      <c r="F3375" s="1348"/>
      <c r="G3375" s="1348"/>
      <c r="H3375" s="1348"/>
      <c r="I3375" s="1348"/>
      <c r="J3375" s="1348"/>
      <c r="K3375" s="1348"/>
    </row>
    <row r="3376" spans="2:11" hidden="1">
      <c r="B3376" s="1348"/>
      <c r="C3376" s="1348"/>
      <c r="D3376" s="1348"/>
      <c r="E3376" s="1348"/>
      <c r="F3376" s="1348"/>
      <c r="G3376" s="1348"/>
      <c r="H3376" s="1348"/>
      <c r="I3376" s="1348"/>
      <c r="J3376" s="1348"/>
      <c r="K3376" s="1348"/>
    </row>
    <row r="3377" spans="2:11" hidden="1">
      <c r="B3377" s="1348"/>
      <c r="C3377" s="1348"/>
      <c r="D3377" s="1348"/>
      <c r="E3377" s="1348"/>
      <c r="F3377" s="1348"/>
      <c r="G3377" s="1348"/>
      <c r="H3377" s="1348"/>
      <c r="I3377" s="1348"/>
      <c r="J3377" s="1348"/>
      <c r="K3377" s="1348"/>
    </row>
    <row r="3378" spans="2:11" hidden="1">
      <c r="B3378" s="1348"/>
      <c r="C3378" s="1348"/>
      <c r="D3378" s="1348"/>
      <c r="E3378" s="1348"/>
      <c r="F3378" s="1348"/>
      <c r="G3378" s="1348"/>
      <c r="H3378" s="1348"/>
      <c r="I3378" s="1348"/>
      <c r="J3378" s="1348"/>
      <c r="K3378" s="1348"/>
    </row>
    <row r="3379" spans="2:11" hidden="1">
      <c r="B3379" s="1348"/>
      <c r="C3379" s="1348"/>
      <c r="D3379" s="1348"/>
      <c r="E3379" s="1348"/>
      <c r="F3379" s="1348"/>
      <c r="G3379" s="1348"/>
      <c r="H3379" s="1348"/>
      <c r="I3379" s="1348"/>
      <c r="J3379" s="1348"/>
      <c r="K3379" s="1348"/>
    </row>
    <row r="3380" spans="2:11" hidden="1">
      <c r="B3380" s="1348"/>
      <c r="C3380" s="1348"/>
      <c r="D3380" s="1348"/>
      <c r="E3380" s="1348"/>
      <c r="F3380" s="1348"/>
      <c r="G3380" s="1348"/>
      <c r="H3380" s="1348"/>
      <c r="I3380" s="1348"/>
      <c r="J3380" s="1348"/>
      <c r="K3380" s="1348"/>
    </row>
    <row r="3381" spans="2:11" hidden="1">
      <c r="B3381" s="1348"/>
      <c r="C3381" s="1348"/>
      <c r="D3381" s="1348"/>
      <c r="E3381" s="1348"/>
      <c r="F3381" s="1348"/>
      <c r="G3381" s="1348"/>
      <c r="H3381" s="1348"/>
      <c r="I3381" s="1348"/>
      <c r="J3381" s="1348"/>
      <c r="K3381" s="1348"/>
    </row>
    <row r="3382" spans="2:11" hidden="1">
      <c r="B3382" s="1348"/>
      <c r="C3382" s="1348"/>
      <c r="D3382" s="1348"/>
      <c r="E3382" s="1348"/>
      <c r="F3382" s="1348"/>
      <c r="G3382" s="1348"/>
      <c r="H3382" s="1348"/>
      <c r="I3382" s="1348"/>
      <c r="J3382" s="1348"/>
      <c r="K3382" s="1348"/>
    </row>
    <row r="3383" spans="2:11" hidden="1">
      <c r="B3383" s="1348"/>
      <c r="C3383" s="1348"/>
      <c r="D3383" s="1348"/>
      <c r="E3383" s="1348"/>
      <c r="F3383" s="1348"/>
      <c r="G3383" s="1348"/>
      <c r="H3383" s="1348"/>
      <c r="I3383" s="1348"/>
      <c r="J3383" s="1348"/>
      <c r="K3383" s="1348"/>
    </row>
    <row r="3384" spans="2:11" hidden="1">
      <c r="B3384" s="1348"/>
      <c r="C3384" s="1348"/>
      <c r="D3384" s="1348"/>
      <c r="E3384" s="1348"/>
      <c r="F3384" s="1348"/>
      <c r="G3384" s="1348"/>
      <c r="H3384" s="1348"/>
      <c r="I3384" s="1348"/>
      <c r="J3384" s="1348"/>
      <c r="K3384" s="1348"/>
    </row>
    <row r="3385" spans="2:11" hidden="1">
      <c r="B3385" s="1348"/>
      <c r="C3385" s="1348"/>
      <c r="D3385" s="1348"/>
      <c r="E3385" s="1348"/>
      <c r="F3385" s="1348"/>
      <c r="G3385" s="1348"/>
      <c r="H3385" s="1348"/>
      <c r="I3385" s="1348"/>
      <c r="J3385" s="1348"/>
      <c r="K3385" s="1348"/>
    </row>
    <row r="3386" spans="2:11" hidden="1">
      <c r="B3386" s="1348"/>
      <c r="C3386" s="1348"/>
      <c r="D3386" s="1348"/>
      <c r="E3386" s="1348"/>
      <c r="F3386" s="1348"/>
      <c r="G3386" s="1348"/>
      <c r="H3386" s="1348"/>
      <c r="I3386" s="1348"/>
      <c r="J3386" s="1348"/>
      <c r="K3386" s="1348"/>
    </row>
    <row r="3387" spans="2:11" hidden="1">
      <c r="B3387" s="1348"/>
      <c r="C3387" s="1348"/>
      <c r="D3387" s="1348"/>
      <c r="E3387" s="1348"/>
      <c r="F3387" s="1348"/>
      <c r="G3387" s="1348"/>
      <c r="H3387" s="1348"/>
      <c r="I3387" s="1348"/>
      <c r="J3387" s="1348"/>
      <c r="K3387" s="1348"/>
    </row>
    <row r="3388" spans="2:11" hidden="1">
      <c r="B3388" s="1348"/>
      <c r="C3388" s="1348"/>
      <c r="D3388" s="1348"/>
      <c r="E3388" s="1348"/>
      <c r="F3388" s="1348"/>
      <c r="G3388" s="1348"/>
      <c r="H3388" s="1348"/>
      <c r="I3388" s="1348"/>
      <c r="J3388" s="1348"/>
      <c r="K3388" s="1348"/>
    </row>
    <row r="3389" spans="2:11" hidden="1">
      <c r="B3389" s="1348"/>
      <c r="C3389" s="1348"/>
      <c r="D3389" s="1348"/>
      <c r="E3389" s="1348"/>
      <c r="F3389" s="1348"/>
      <c r="G3389" s="1348"/>
      <c r="H3389" s="1348"/>
      <c r="I3389" s="1348"/>
      <c r="J3389" s="1348"/>
      <c r="K3389" s="1348"/>
    </row>
    <row r="3390" spans="2:11" hidden="1">
      <c r="B3390" s="1348"/>
      <c r="C3390" s="1348"/>
      <c r="D3390" s="1348"/>
      <c r="E3390" s="1348"/>
      <c r="F3390" s="1348"/>
      <c r="G3390" s="1348"/>
      <c r="H3390" s="1348"/>
      <c r="I3390" s="1348"/>
      <c r="J3390" s="1348"/>
      <c r="K3390" s="1348"/>
    </row>
    <row r="3391" spans="2:11" hidden="1">
      <c r="B3391" s="1348"/>
      <c r="C3391" s="1348"/>
      <c r="D3391" s="1348"/>
      <c r="E3391" s="1348"/>
      <c r="F3391" s="1348"/>
      <c r="G3391" s="1348"/>
      <c r="H3391" s="1348"/>
      <c r="I3391" s="1348"/>
      <c r="J3391" s="1348"/>
      <c r="K3391" s="1348"/>
    </row>
    <row r="3392" spans="2:11" hidden="1">
      <c r="B3392" s="1348"/>
      <c r="C3392" s="1348"/>
      <c r="D3392" s="1348"/>
      <c r="E3392" s="1348"/>
      <c r="F3392" s="1348"/>
      <c r="G3392" s="1348"/>
      <c r="H3392" s="1348"/>
      <c r="I3392" s="1348"/>
      <c r="J3392" s="1348"/>
      <c r="K3392" s="1348"/>
    </row>
    <row r="3393" spans="2:11" hidden="1">
      <c r="B3393" s="1348"/>
      <c r="C3393" s="1348"/>
      <c r="D3393" s="1348"/>
      <c r="E3393" s="1348"/>
      <c r="F3393" s="1348"/>
      <c r="G3393" s="1348"/>
      <c r="H3393" s="1348"/>
      <c r="I3393" s="1348"/>
      <c r="J3393" s="1348"/>
      <c r="K3393" s="1348"/>
    </row>
    <row r="3394" spans="2:11" hidden="1">
      <c r="B3394" s="1348"/>
      <c r="C3394" s="1348"/>
      <c r="D3394" s="1348"/>
      <c r="E3394" s="1348"/>
      <c r="F3394" s="1348"/>
      <c r="G3394" s="1348"/>
      <c r="H3394" s="1348"/>
      <c r="I3394" s="1348"/>
      <c r="J3394" s="1348"/>
      <c r="K3394" s="1348"/>
    </row>
    <row r="3395" spans="2:11" hidden="1">
      <c r="B3395" s="1348"/>
      <c r="C3395" s="1348"/>
      <c r="D3395" s="1348"/>
      <c r="E3395" s="1348"/>
      <c r="F3395" s="1348"/>
      <c r="G3395" s="1348"/>
      <c r="H3395" s="1348"/>
      <c r="I3395" s="1348"/>
      <c r="J3395" s="1348"/>
      <c r="K3395" s="1348"/>
    </row>
    <row r="3396" spans="2:11" hidden="1">
      <c r="B3396" s="1348"/>
      <c r="C3396" s="1348"/>
      <c r="D3396" s="1348"/>
      <c r="E3396" s="1348"/>
      <c r="F3396" s="1348"/>
      <c r="G3396" s="1348"/>
      <c r="H3396" s="1348"/>
      <c r="I3396" s="1348"/>
      <c r="J3396" s="1348"/>
      <c r="K3396" s="1348"/>
    </row>
    <row r="3397" spans="2:11" hidden="1">
      <c r="B3397" s="1348"/>
      <c r="C3397" s="1348"/>
      <c r="D3397" s="1348"/>
      <c r="E3397" s="1348"/>
      <c r="F3397" s="1348"/>
      <c r="G3397" s="1348"/>
      <c r="H3397" s="1348"/>
      <c r="I3397" s="1348"/>
      <c r="J3397" s="1348"/>
      <c r="K3397" s="1348"/>
    </row>
    <row r="3398" spans="2:11" hidden="1">
      <c r="B3398" s="1348"/>
      <c r="C3398" s="1348"/>
      <c r="D3398" s="1348"/>
      <c r="E3398" s="1348"/>
      <c r="F3398" s="1348"/>
      <c r="G3398" s="1348"/>
      <c r="H3398" s="1348"/>
      <c r="I3398" s="1348"/>
      <c r="J3398" s="1348"/>
      <c r="K3398" s="1348"/>
    </row>
    <row r="3399" spans="2:11" hidden="1">
      <c r="B3399" s="1348"/>
      <c r="C3399" s="1348"/>
      <c r="D3399" s="1348"/>
      <c r="E3399" s="1348"/>
      <c r="F3399" s="1348"/>
      <c r="G3399" s="1348"/>
      <c r="H3399" s="1348"/>
      <c r="I3399" s="1348"/>
      <c r="J3399" s="1348"/>
      <c r="K3399" s="1348"/>
    </row>
    <row r="3400" spans="2:11" hidden="1">
      <c r="B3400" s="1348"/>
      <c r="C3400" s="1348"/>
      <c r="D3400" s="1348"/>
      <c r="E3400" s="1348"/>
      <c r="F3400" s="1348"/>
      <c r="G3400" s="1348"/>
      <c r="H3400" s="1348"/>
      <c r="I3400" s="1348"/>
      <c r="J3400" s="1348"/>
      <c r="K3400" s="1348"/>
    </row>
    <row r="3401" spans="2:11" hidden="1">
      <c r="B3401" s="1348"/>
      <c r="C3401" s="1348"/>
      <c r="D3401" s="1348"/>
      <c r="E3401" s="1348"/>
      <c r="F3401" s="1348"/>
      <c r="G3401" s="1348"/>
      <c r="H3401" s="1348"/>
      <c r="I3401" s="1348"/>
      <c r="J3401" s="1348"/>
      <c r="K3401" s="1348"/>
    </row>
    <row r="3402" spans="2:11" hidden="1">
      <c r="B3402" s="1348"/>
      <c r="C3402" s="1348"/>
      <c r="D3402" s="1348"/>
      <c r="E3402" s="1348"/>
      <c r="F3402" s="1348"/>
      <c r="G3402" s="1348"/>
      <c r="H3402" s="1348"/>
      <c r="I3402" s="1348"/>
      <c r="J3402" s="1348"/>
      <c r="K3402" s="1348"/>
    </row>
    <row r="3403" spans="2:11" hidden="1">
      <c r="B3403" s="1348"/>
      <c r="C3403" s="1348"/>
      <c r="D3403" s="1348"/>
      <c r="E3403" s="1348"/>
      <c r="F3403" s="1348"/>
      <c r="G3403" s="1348"/>
      <c r="H3403" s="1348"/>
      <c r="I3403" s="1348"/>
      <c r="J3403" s="1348"/>
      <c r="K3403" s="1348"/>
    </row>
    <row r="3404" spans="2:11" hidden="1">
      <c r="B3404" s="1348"/>
      <c r="C3404" s="1348"/>
      <c r="D3404" s="1348"/>
      <c r="E3404" s="1348"/>
      <c r="F3404" s="1348"/>
      <c r="G3404" s="1348"/>
      <c r="H3404" s="1348"/>
      <c r="I3404" s="1348"/>
      <c r="J3404" s="1348"/>
      <c r="K3404" s="1348"/>
    </row>
    <row r="3405" spans="2:11" hidden="1">
      <c r="B3405" s="1348"/>
      <c r="C3405" s="1348"/>
      <c r="D3405" s="1348"/>
      <c r="E3405" s="1348"/>
      <c r="F3405" s="1348"/>
      <c r="G3405" s="1348"/>
      <c r="H3405" s="1348"/>
      <c r="I3405" s="1348"/>
      <c r="J3405" s="1348"/>
      <c r="K3405" s="1348"/>
    </row>
    <row r="3406" spans="2:11" hidden="1">
      <c r="B3406" s="1348"/>
      <c r="C3406" s="1348"/>
      <c r="D3406" s="1348"/>
      <c r="E3406" s="1348"/>
      <c r="F3406" s="1348"/>
      <c r="G3406" s="1348"/>
      <c r="H3406" s="1348"/>
      <c r="I3406" s="1348"/>
      <c r="J3406" s="1348"/>
      <c r="K3406" s="1348"/>
    </row>
    <row r="3407" spans="2:11" hidden="1">
      <c r="B3407" s="1348"/>
      <c r="C3407" s="1348"/>
      <c r="D3407" s="1348"/>
      <c r="E3407" s="1348"/>
      <c r="F3407" s="1348"/>
      <c r="G3407" s="1348"/>
      <c r="H3407" s="1348"/>
      <c r="I3407" s="1348"/>
      <c r="J3407" s="1348"/>
      <c r="K3407" s="1348"/>
    </row>
    <row r="3408" spans="2:11" hidden="1">
      <c r="B3408" s="1348"/>
      <c r="C3408" s="1348"/>
      <c r="D3408" s="1348"/>
      <c r="E3408" s="1348"/>
      <c r="F3408" s="1348"/>
      <c r="G3408" s="1348"/>
      <c r="H3408" s="1348"/>
      <c r="I3408" s="1348"/>
      <c r="J3408" s="1348"/>
      <c r="K3408" s="1348"/>
    </row>
    <row r="3409" spans="2:11" hidden="1">
      <c r="B3409" s="1348"/>
      <c r="C3409" s="1348"/>
      <c r="D3409" s="1348"/>
      <c r="E3409" s="1348"/>
      <c r="F3409" s="1348"/>
      <c r="G3409" s="1348"/>
      <c r="H3409" s="1348"/>
      <c r="I3409" s="1348"/>
      <c r="J3409" s="1348"/>
      <c r="K3409" s="1348"/>
    </row>
    <row r="3410" spans="2:11" hidden="1">
      <c r="B3410" s="1348"/>
      <c r="C3410" s="1348"/>
      <c r="D3410" s="1348"/>
      <c r="E3410" s="1348"/>
      <c r="F3410" s="1348"/>
      <c r="G3410" s="1348"/>
      <c r="H3410" s="1348"/>
      <c r="I3410" s="1348"/>
      <c r="J3410" s="1348"/>
      <c r="K3410" s="1348"/>
    </row>
    <row r="3411" spans="2:11" hidden="1">
      <c r="B3411" s="1348"/>
      <c r="C3411" s="1348"/>
      <c r="D3411" s="1348"/>
      <c r="E3411" s="1348"/>
      <c r="F3411" s="1348"/>
      <c r="G3411" s="1348"/>
      <c r="H3411" s="1348"/>
      <c r="I3411" s="1348"/>
      <c r="J3411" s="1348"/>
      <c r="K3411" s="1348"/>
    </row>
    <row r="3412" spans="2:11" hidden="1">
      <c r="B3412" s="1348"/>
      <c r="C3412" s="1348"/>
      <c r="D3412" s="1348"/>
      <c r="E3412" s="1348"/>
      <c r="F3412" s="1348"/>
      <c r="G3412" s="1348"/>
      <c r="H3412" s="1348"/>
      <c r="I3412" s="1348"/>
      <c r="J3412" s="1348"/>
      <c r="K3412" s="1348"/>
    </row>
    <row r="3413" spans="2:11" hidden="1">
      <c r="B3413" s="1348"/>
      <c r="C3413" s="1348"/>
      <c r="D3413" s="1348"/>
      <c r="E3413" s="1348"/>
      <c r="F3413" s="1348"/>
      <c r="G3413" s="1348"/>
      <c r="H3413" s="1348"/>
      <c r="I3413" s="1348"/>
      <c r="J3413" s="1348"/>
      <c r="K3413" s="1348"/>
    </row>
    <row r="3414" spans="2:11" hidden="1">
      <c r="B3414" s="1348"/>
      <c r="C3414" s="1348"/>
      <c r="D3414" s="1348"/>
      <c r="E3414" s="1348"/>
      <c r="F3414" s="1348"/>
      <c r="G3414" s="1348"/>
      <c r="H3414" s="1348"/>
      <c r="I3414" s="1348"/>
      <c r="J3414" s="1348"/>
      <c r="K3414" s="1348"/>
    </row>
    <row r="3415" spans="2:11" hidden="1">
      <c r="B3415" s="1348"/>
      <c r="C3415" s="1348"/>
      <c r="D3415" s="1348"/>
      <c r="E3415" s="1348"/>
      <c r="F3415" s="1348"/>
      <c r="G3415" s="1348"/>
      <c r="H3415" s="1348"/>
      <c r="I3415" s="1348"/>
      <c r="J3415" s="1348"/>
      <c r="K3415" s="1348"/>
    </row>
    <row r="3416" spans="2:11" hidden="1">
      <c r="B3416" s="1348"/>
      <c r="C3416" s="1348"/>
      <c r="D3416" s="1348"/>
      <c r="E3416" s="1348"/>
      <c r="F3416" s="1348"/>
      <c r="G3416" s="1348"/>
      <c r="H3416" s="1348"/>
      <c r="I3416" s="1348"/>
      <c r="J3416" s="1348"/>
      <c r="K3416" s="1348"/>
    </row>
    <row r="3417" spans="2:11" hidden="1">
      <c r="B3417" s="1348"/>
      <c r="C3417" s="1348"/>
      <c r="D3417" s="1348"/>
      <c r="E3417" s="1348"/>
      <c r="F3417" s="1348"/>
      <c r="G3417" s="1348"/>
      <c r="H3417" s="1348"/>
      <c r="I3417" s="1348"/>
      <c r="J3417" s="1348"/>
      <c r="K3417" s="1348"/>
    </row>
    <row r="3418" spans="2:11" hidden="1">
      <c r="B3418" s="1348"/>
      <c r="C3418" s="1348"/>
      <c r="D3418" s="1348"/>
      <c r="E3418" s="1348"/>
      <c r="F3418" s="1348"/>
      <c r="G3418" s="1348"/>
      <c r="H3418" s="1348"/>
      <c r="I3418" s="1348"/>
      <c r="J3418" s="1348"/>
      <c r="K3418" s="1348"/>
    </row>
    <row r="3419" spans="2:11" hidden="1">
      <c r="B3419" s="1348"/>
      <c r="C3419" s="1348"/>
      <c r="D3419" s="1348"/>
      <c r="E3419" s="1348"/>
      <c r="F3419" s="1348"/>
      <c r="G3419" s="1348"/>
      <c r="H3419" s="1348"/>
      <c r="I3419" s="1348"/>
      <c r="J3419" s="1348"/>
      <c r="K3419" s="1348"/>
    </row>
    <row r="3420" spans="2:11" hidden="1">
      <c r="B3420" s="1348"/>
      <c r="C3420" s="1348"/>
      <c r="D3420" s="1348"/>
      <c r="E3420" s="1348"/>
      <c r="F3420" s="1348"/>
      <c r="G3420" s="1348"/>
      <c r="H3420" s="1348"/>
      <c r="I3420" s="1348"/>
      <c r="J3420" s="1348"/>
      <c r="K3420" s="1348"/>
    </row>
    <row r="3421" spans="2:11" hidden="1">
      <c r="B3421" s="1348"/>
      <c r="C3421" s="1348"/>
      <c r="D3421" s="1348"/>
      <c r="E3421" s="1348"/>
      <c r="F3421" s="1348"/>
      <c r="G3421" s="1348"/>
      <c r="H3421" s="1348"/>
      <c r="I3421" s="1348"/>
      <c r="J3421" s="1348"/>
      <c r="K3421" s="1348"/>
    </row>
    <row r="3422" spans="2:11" hidden="1">
      <c r="B3422" s="1348"/>
      <c r="C3422" s="1348"/>
      <c r="D3422" s="1348"/>
      <c r="E3422" s="1348"/>
      <c r="F3422" s="1348"/>
      <c r="G3422" s="1348"/>
      <c r="H3422" s="1348"/>
      <c r="I3422" s="1348"/>
      <c r="J3422" s="1348"/>
      <c r="K3422" s="1348"/>
    </row>
    <row r="3423" spans="2:11" hidden="1">
      <c r="B3423" s="1348"/>
      <c r="C3423" s="1348"/>
      <c r="D3423" s="1348"/>
      <c r="E3423" s="1348"/>
      <c r="F3423" s="1348"/>
      <c r="G3423" s="1348"/>
      <c r="H3423" s="1348"/>
      <c r="I3423" s="1348"/>
      <c r="J3423" s="1348"/>
      <c r="K3423" s="1348"/>
    </row>
    <row r="3424" spans="2:11" hidden="1">
      <c r="B3424" s="1348"/>
      <c r="C3424" s="1348"/>
      <c r="D3424" s="1348"/>
      <c r="E3424" s="1348"/>
      <c r="F3424" s="1348"/>
      <c r="G3424" s="1348"/>
      <c r="H3424" s="1348"/>
      <c r="I3424" s="1348"/>
      <c r="J3424" s="1348"/>
      <c r="K3424" s="1348"/>
    </row>
    <row r="3425" spans="2:11" hidden="1">
      <c r="B3425" s="1348"/>
      <c r="C3425" s="1348"/>
      <c r="D3425" s="1348"/>
      <c r="E3425" s="1348"/>
      <c r="F3425" s="1348"/>
      <c r="G3425" s="1348"/>
      <c r="H3425" s="1348"/>
      <c r="I3425" s="1348"/>
      <c r="J3425" s="1348"/>
      <c r="K3425" s="1348"/>
    </row>
    <row r="3426" spans="2:11" hidden="1">
      <c r="B3426" s="1348"/>
      <c r="C3426" s="1348"/>
      <c r="D3426" s="1348"/>
      <c r="E3426" s="1348"/>
      <c r="F3426" s="1348"/>
      <c r="G3426" s="1348"/>
      <c r="H3426" s="1348"/>
      <c r="I3426" s="1348"/>
      <c r="J3426" s="1348"/>
      <c r="K3426" s="1348"/>
    </row>
    <row r="3427" spans="2:11" hidden="1">
      <c r="B3427" s="1348"/>
      <c r="C3427" s="1348"/>
      <c r="D3427" s="1348"/>
      <c r="E3427" s="1348"/>
      <c r="F3427" s="1348"/>
      <c r="G3427" s="1348"/>
      <c r="H3427" s="1348"/>
      <c r="I3427" s="1348"/>
      <c r="J3427" s="1348"/>
      <c r="K3427" s="1348"/>
    </row>
    <row r="3428" spans="2:11" hidden="1">
      <c r="B3428" s="1348"/>
      <c r="C3428" s="1348"/>
      <c r="D3428" s="1348"/>
      <c r="E3428" s="1348"/>
      <c r="F3428" s="1348"/>
      <c r="G3428" s="1348"/>
      <c r="H3428" s="1348"/>
      <c r="I3428" s="1348"/>
      <c r="J3428" s="1348"/>
      <c r="K3428" s="1348"/>
    </row>
    <row r="3429" spans="2:11" hidden="1">
      <c r="B3429" s="1348"/>
      <c r="C3429" s="1348"/>
      <c r="D3429" s="1348"/>
      <c r="E3429" s="1348"/>
      <c r="F3429" s="1348"/>
      <c r="G3429" s="1348"/>
      <c r="H3429" s="1348"/>
      <c r="I3429" s="1348"/>
      <c r="J3429" s="1348"/>
      <c r="K3429" s="1348"/>
    </row>
    <row r="3430" spans="2:11" hidden="1">
      <c r="B3430" s="1348"/>
      <c r="C3430" s="1348"/>
      <c r="D3430" s="1348"/>
      <c r="E3430" s="1348"/>
      <c r="F3430" s="1348"/>
      <c r="G3430" s="1348"/>
      <c r="H3430" s="1348"/>
      <c r="I3430" s="1348"/>
      <c r="J3430" s="1348"/>
      <c r="K3430" s="1348"/>
    </row>
    <row r="3431" spans="2:11" hidden="1">
      <c r="B3431" s="1348"/>
      <c r="C3431" s="1348"/>
      <c r="D3431" s="1348"/>
      <c r="E3431" s="1348"/>
      <c r="F3431" s="1348"/>
      <c r="G3431" s="1348"/>
      <c r="H3431" s="1348"/>
      <c r="I3431" s="1348"/>
      <c r="J3431" s="1348"/>
      <c r="K3431" s="1348"/>
    </row>
    <row r="3432" spans="2:11" hidden="1">
      <c r="B3432" s="1348"/>
      <c r="C3432" s="1348"/>
      <c r="D3432" s="1348"/>
      <c r="E3432" s="1348"/>
      <c r="F3432" s="1348"/>
      <c r="G3432" s="1348"/>
      <c r="H3432" s="1348"/>
      <c r="I3432" s="1348"/>
      <c r="J3432" s="1348"/>
      <c r="K3432" s="1348"/>
    </row>
    <row r="3433" spans="2:11" hidden="1">
      <c r="B3433" s="1348"/>
      <c r="C3433" s="1348"/>
      <c r="D3433" s="1348"/>
      <c r="E3433" s="1348"/>
      <c r="F3433" s="1348"/>
      <c r="G3433" s="1348"/>
      <c r="H3433" s="1348"/>
      <c r="I3433" s="1348"/>
      <c r="J3433" s="1348"/>
      <c r="K3433" s="1348"/>
    </row>
    <row r="3434" spans="2:11" hidden="1">
      <c r="B3434" s="1348"/>
      <c r="C3434" s="1348"/>
      <c r="D3434" s="1348"/>
      <c r="E3434" s="1348"/>
      <c r="F3434" s="1348"/>
      <c r="G3434" s="1348"/>
      <c r="H3434" s="1348"/>
      <c r="I3434" s="1348"/>
      <c r="J3434" s="1348"/>
      <c r="K3434" s="1348"/>
    </row>
    <row r="3435" spans="2:11" hidden="1">
      <c r="B3435" s="1348"/>
      <c r="C3435" s="1348"/>
      <c r="D3435" s="1348"/>
      <c r="E3435" s="1348"/>
      <c r="F3435" s="1348"/>
      <c r="G3435" s="1348"/>
      <c r="H3435" s="1348"/>
      <c r="I3435" s="1348"/>
      <c r="J3435" s="1348"/>
      <c r="K3435" s="1348"/>
    </row>
    <row r="3436" spans="2:11" hidden="1">
      <c r="B3436" s="1348"/>
      <c r="C3436" s="1348"/>
      <c r="D3436" s="1348"/>
      <c r="E3436" s="1348"/>
      <c r="F3436" s="1348"/>
      <c r="G3436" s="1348"/>
      <c r="H3436" s="1348"/>
      <c r="I3436" s="1348"/>
      <c r="J3436" s="1348"/>
      <c r="K3436" s="1348"/>
    </row>
    <row r="3437" spans="2:11" hidden="1">
      <c r="B3437" s="1348"/>
      <c r="C3437" s="1348"/>
      <c r="D3437" s="1348"/>
      <c r="E3437" s="1348"/>
      <c r="F3437" s="1348"/>
      <c r="G3437" s="1348"/>
      <c r="H3437" s="1348"/>
      <c r="I3437" s="1348"/>
      <c r="J3437" s="1348"/>
      <c r="K3437" s="1348"/>
    </row>
    <row r="3438" spans="2:11" hidden="1">
      <c r="B3438" s="1348"/>
      <c r="C3438" s="1348"/>
      <c r="D3438" s="1348"/>
      <c r="E3438" s="1348"/>
      <c r="F3438" s="1348"/>
      <c r="G3438" s="1348"/>
      <c r="H3438" s="1348"/>
      <c r="I3438" s="1348"/>
      <c r="J3438" s="1348"/>
      <c r="K3438" s="1348"/>
    </row>
    <row r="3439" spans="2:11" hidden="1">
      <c r="B3439" s="1348"/>
      <c r="C3439" s="1348"/>
      <c r="D3439" s="1348"/>
      <c r="E3439" s="1348"/>
      <c r="F3439" s="1348"/>
      <c r="G3439" s="1348"/>
      <c r="H3439" s="1348"/>
      <c r="I3439" s="1348"/>
      <c r="J3439" s="1348"/>
      <c r="K3439" s="1348"/>
    </row>
    <row r="3440" spans="2:11" hidden="1">
      <c r="B3440" s="1348"/>
      <c r="C3440" s="1348"/>
      <c r="D3440" s="1348"/>
      <c r="E3440" s="1348"/>
      <c r="F3440" s="1348"/>
      <c r="G3440" s="1348"/>
      <c r="H3440" s="1348"/>
      <c r="I3440" s="1348"/>
      <c r="J3440" s="1348"/>
      <c r="K3440" s="1348"/>
    </row>
    <row r="3441" spans="2:11" hidden="1">
      <c r="B3441" s="1348"/>
      <c r="C3441" s="1348"/>
      <c r="D3441" s="1348"/>
      <c r="E3441" s="1348"/>
      <c r="F3441" s="1348"/>
      <c r="G3441" s="1348"/>
      <c r="H3441" s="1348"/>
      <c r="I3441" s="1348"/>
      <c r="J3441" s="1348"/>
      <c r="K3441" s="1348"/>
    </row>
    <row r="3442" spans="2:11" hidden="1">
      <c r="B3442" s="1348"/>
      <c r="C3442" s="1348"/>
      <c r="D3442" s="1348"/>
      <c r="E3442" s="1348"/>
      <c r="F3442" s="1348"/>
      <c r="G3442" s="1348"/>
      <c r="H3442" s="1348"/>
      <c r="I3442" s="1348"/>
      <c r="J3442" s="1348"/>
      <c r="K3442" s="1348"/>
    </row>
    <row r="3443" spans="2:11" hidden="1">
      <c r="B3443" s="1348"/>
      <c r="C3443" s="1348"/>
      <c r="D3443" s="1348"/>
      <c r="E3443" s="1348"/>
      <c r="F3443" s="1348"/>
      <c r="G3443" s="1348"/>
      <c r="H3443" s="1348"/>
      <c r="I3443" s="1348"/>
      <c r="J3443" s="1348"/>
      <c r="K3443" s="1348"/>
    </row>
    <row r="3444" spans="2:11" hidden="1">
      <c r="B3444" s="1348"/>
      <c r="C3444" s="1348"/>
      <c r="D3444" s="1348"/>
      <c r="E3444" s="1348"/>
      <c r="F3444" s="1348"/>
      <c r="G3444" s="1348"/>
      <c r="H3444" s="1348"/>
      <c r="I3444" s="1348"/>
      <c r="J3444" s="1348"/>
      <c r="K3444" s="1348"/>
    </row>
    <row r="3445" spans="2:11" hidden="1">
      <c r="B3445" s="1348"/>
      <c r="C3445" s="1348"/>
      <c r="D3445" s="1348"/>
      <c r="E3445" s="1348"/>
      <c r="F3445" s="1348"/>
      <c r="G3445" s="1348"/>
      <c r="H3445" s="1348"/>
      <c r="I3445" s="1348"/>
      <c r="J3445" s="1348"/>
      <c r="K3445" s="1348"/>
    </row>
    <row r="3446" spans="2:11" hidden="1">
      <c r="B3446" s="1348"/>
      <c r="C3446" s="1348"/>
      <c r="D3446" s="1348"/>
      <c r="E3446" s="1348"/>
      <c r="F3446" s="1348"/>
      <c r="G3446" s="1348"/>
      <c r="H3446" s="1348"/>
      <c r="I3446" s="1348"/>
      <c r="J3446" s="1348"/>
      <c r="K3446" s="1348"/>
    </row>
    <row r="3447" spans="2:11" hidden="1">
      <c r="B3447" s="1348"/>
      <c r="C3447" s="1348"/>
      <c r="D3447" s="1348"/>
      <c r="E3447" s="1348"/>
      <c r="F3447" s="1348"/>
      <c r="G3447" s="1348"/>
      <c r="H3447" s="1348"/>
      <c r="I3447" s="1348"/>
      <c r="J3447" s="1348"/>
      <c r="K3447" s="1348"/>
    </row>
    <row r="3448" spans="2:11" hidden="1">
      <c r="B3448" s="1348"/>
      <c r="C3448" s="1348"/>
      <c r="D3448" s="1348"/>
      <c r="E3448" s="1348"/>
      <c r="F3448" s="1348"/>
      <c r="G3448" s="1348"/>
      <c r="H3448" s="1348"/>
      <c r="I3448" s="1348"/>
      <c r="J3448" s="1348"/>
      <c r="K3448" s="1348"/>
    </row>
    <row r="3449" spans="2:11" hidden="1">
      <c r="B3449" s="1348"/>
      <c r="C3449" s="1348"/>
      <c r="D3449" s="1348"/>
      <c r="E3449" s="1348"/>
      <c r="F3449" s="1348"/>
      <c r="G3449" s="1348"/>
      <c r="H3449" s="1348"/>
      <c r="I3449" s="1348"/>
      <c r="J3449" s="1348"/>
      <c r="K3449" s="1348"/>
    </row>
    <row r="3450" spans="2:11" hidden="1">
      <c r="B3450" s="1348"/>
      <c r="C3450" s="1348"/>
      <c r="D3450" s="1348"/>
      <c r="E3450" s="1348"/>
      <c r="F3450" s="1348"/>
      <c r="G3450" s="1348"/>
      <c r="H3450" s="1348"/>
      <c r="I3450" s="1348"/>
      <c r="J3450" s="1348"/>
      <c r="K3450" s="1348"/>
    </row>
    <row r="3451" spans="2:11" hidden="1">
      <c r="B3451" s="1348"/>
      <c r="C3451" s="1348"/>
      <c r="D3451" s="1348"/>
      <c r="E3451" s="1348"/>
      <c r="F3451" s="1348"/>
      <c r="G3451" s="1348"/>
      <c r="H3451" s="1348"/>
      <c r="I3451" s="1348"/>
      <c r="J3451" s="1348"/>
      <c r="K3451" s="1348"/>
    </row>
    <row r="3452" spans="2:11" hidden="1">
      <c r="B3452" s="1348"/>
      <c r="C3452" s="1348"/>
      <c r="D3452" s="1348"/>
      <c r="E3452" s="1348"/>
      <c r="F3452" s="1348"/>
      <c r="G3452" s="1348"/>
      <c r="H3452" s="1348"/>
      <c r="I3452" s="1348"/>
      <c r="J3452" s="1348"/>
      <c r="K3452" s="1348"/>
    </row>
    <row r="3453" spans="2:11" hidden="1">
      <c r="B3453" s="1348"/>
      <c r="C3453" s="1348"/>
      <c r="D3453" s="1348"/>
      <c r="E3453" s="1348"/>
      <c r="F3453" s="1348"/>
      <c r="G3453" s="1348"/>
      <c r="H3453" s="1348"/>
      <c r="I3453" s="1348"/>
      <c r="J3453" s="1348"/>
      <c r="K3453" s="1348"/>
    </row>
    <row r="3454" spans="2:11" hidden="1">
      <c r="B3454" s="1348"/>
      <c r="C3454" s="1348"/>
      <c r="D3454" s="1348"/>
      <c r="E3454" s="1348"/>
      <c r="F3454" s="1348"/>
      <c r="G3454" s="1348"/>
      <c r="H3454" s="1348"/>
      <c r="I3454" s="1348"/>
      <c r="J3454" s="1348"/>
      <c r="K3454" s="1348"/>
    </row>
    <row r="3455" spans="2:11" hidden="1">
      <c r="B3455" s="1348"/>
      <c r="C3455" s="1348"/>
      <c r="D3455" s="1348"/>
      <c r="E3455" s="1348"/>
      <c r="F3455" s="1348"/>
      <c r="G3455" s="1348"/>
      <c r="H3455" s="1348"/>
      <c r="I3455" s="1348"/>
      <c r="J3455" s="1348"/>
      <c r="K3455" s="1348"/>
    </row>
    <row r="3456" spans="2:11" hidden="1">
      <c r="B3456" s="1348"/>
      <c r="C3456" s="1348"/>
      <c r="D3456" s="1348"/>
      <c r="E3456" s="1348"/>
      <c r="F3456" s="1348"/>
      <c r="G3456" s="1348"/>
      <c r="H3456" s="1348"/>
      <c r="I3456" s="1348"/>
      <c r="J3456" s="1348"/>
      <c r="K3456" s="1348"/>
    </row>
    <row r="3457" spans="2:11" hidden="1">
      <c r="B3457" s="1348"/>
      <c r="C3457" s="1348"/>
      <c r="D3457" s="1348"/>
      <c r="E3457" s="1348"/>
      <c r="F3457" s="1348"/>
      <c r="G3457" s="1348"/>
      <c r="H3457" s="1348"/>
      <c r="I3457" s="1348"/>
      <c r="J3457" s="1348"/>
      <c r="K3457" s="1348"/>
    </row>
    <row r="3458" spans="2:11" hidden="1">
      <c r="B3458" s="1348"/>
      <c r="C3458" s="1348"/>
      <c r="D3458" s="1348"/>
      <c r="E3458" s="1348"/>
      <c r="F3458" s="1348"/>
      <c r="G3458" s="1348"/>
      <c r="H3458" s="1348"/>
      <c r="I3458" s="1348"/>
      <c r="J3458" s="1348"/>
      <c r="K3458" s="1348"/>
    </row>
    <row r="3459" spans="2:11" hidden="1">
      <c r="B3459" s="1348"/>
      <c r="C3459" s="1348"/>
      <c r="D3459" s="1348"/>
      <c r="E3459" s="1348"/>
      <c r="F3459" s="1348"/>
      <c r="G3459" s="1348"/>
      <c r="H3459" s="1348"/>
      <c r="I3459" s="1348"/>
      <c r="J3459" s="1348"/>
      <c r="K3459" s="1348"/>
    </row>
    <row r="3460" spans="2:11" hidden="1">
      <c r="B3460" s="1348"/>
      <c r="C3460" s="1348"/>
      <c r="D3460" s="1348"/>
      <c r="E3460" s="1348"/>
      <c r="F3460" s="1348"/>
      <c r="G3460" s="1348"/>
      <c r="H3460" s="1348"/>
      <c r="I3460" s="1348"/>
      <c r="J3460" s="1348"/>
      <c r="K3460" s="1348"/>
    </row>
    <row r="3461" spans="2:11" hidden="1">
      <c r="B3461" s="1348"/>
      <c r="C3461" s="1348"/>
      <c r="D3461" s="1348"/>
      <c r="E3461" s="1348"/>
      <c r="F3461" s="1348"/>
      <c r="G3461" s="1348"/>
      <c r="H3461" s="1348"/>
      <c r="I3461" s="1348"/>
      <c r="J3461" s="1348"/>
      <c r="K3461" s="1348"/>
    </row>
    <row r="3462" spans="2:11" hidden="1">
      <c r="B3462" s="1348"/>
      <c r="C3462" s="1348"/>
      <c r="D3462" s="1348"/>
      <c r="E3462" s="1348"/>
      <c r="F3462" s="1348"/>
      <c r="G3462" s="1348"/>
      <c r="H3462" s="1348"/>
      <c r="I3462" s="1348"/>
      <c r="J3462" s="1348"/>
      <c r="K3462" s="1348"/>
    </row>
    <row r="3463" spans="2:11" hidden="1">
      <c r="B3463" s="1348"/>
      <c r="C3463" s="1348"/>
      <c r="D3463" s="1348"/>
      <c r="E3463" s="1348"/>
      <c r="F3463" s="1348"/>
      <c r="G3463" s="1348"/>
      <c r="H3463" s="1348"/>
      <c r="I3463" s="1348"/>
      <c r="J3463" s="1348"/>
      <c r="K3463" s="1348"/>
    </row>
    <row r="3464" spans="2:11" hidden="1">
      <c r="B3464" s="1348"/>
      <c r="C3464" s="1348"/>
      <c r="D3464" s="1348"/>
      <c r="E3464" s="1348"/>
      <c r="F3464" s="1348"/>
      <c r="G3464" s="1348"/>
      <c r="H3464" s="1348"/>
      <c r="I3464" s="1348"/>
      <c r="J3464" s="1348"/>
      <c r="K3464" s="1348"/>
    </row>
    <row r="3465" spans="2:11" hidden="1">
      <c r="B3465" s="1348"/>
      <c r="C3465" s="1348"/>
      <c r="D3465" s="1348"/>
      <c r="E3465" s="1348"/>
      <c r="F3465" s="1348"/>
      <c r="G3465" s="1348"/>
      <c r="H3465" s="1348"/>
      <c r="I3465" s="1348"/>
      <c r="J3465" s="1348"/>
      <c r="K3465" s="1348"/>
    </row>
    <row r="3466" spans="2:11" hidden="1">
      <c r="B3466" s="1348"/>
      <c r="C3466" s="1348"/>
      <c r="D3466" s="1348"/>
      <c r="E3466" s="1348"/>
      <c r="F3466" s="1348"/>
      <c r="G3466" s="1348"/>
      <c r="H3466" s="1348"/>
      <c r="I3466" s="1348"/>
      <c r="J3466" s="1348"/>
      <c r="K3466" s="1348"/>
    </row>
    <row r="3467" spans="2:11" hidden="1">
      <c r="B3467" s="1348"/>
      <c r="C3467" s="1348"/>
      <c r="D3467" s="1348"/>
      <c r="E3467" s="1348"/>
      <c r="F3467" s="1348"/>
      <c r="G3467" s="1348"/>
      <c r="H3467" s="1348"/>
      <c r="I3467" s="1348"/>
      <c r="J3467" s="1348"/>
      <c r="K3467" s="1348"/>
    </row>
    <row r="3468" spans="2:11" hidden="1">
      <c r="B3468" s="1348"/>
      <c r="C3468" s="1348"/>
      <c r="D3468" s="1348"/>
      <c r="E3468" s="1348"/>
      <c r="F3468" s="1348"/>
      <c r="G3468" s="1348"/>
      <c r="H3468" s="1348"/>
      <c r="I3468" s="1348"/>
      <c r="J3468" s="1348"/>
      <c r="K3468" s="1348"/>
    </row>
    <row r="3469" spans="2:11" hidden="1">
      <c r="B3469" s="1348"/>
      <c r="C3469" s="1348"/>
      <c r="D3469" s="1348"/>
      <c r="E3469" s="1348"/>
      <c r="F3469" s="1348"/>
      <c r="G3469" s="1348"/>
      <c r="H3469" s="1348"/>
      <c r="I3469" s="1348"/>
      <c r="J3469" s="1348"/>
      <c r="K3469" s="1348"/>
    </row>
    <row r="3470" spans="2:11" hidden="1">
      <c r="B3470" s="1348"/>
      <c r="C3470" s="1348"/>
      <c r="D3470" s="1348"/>
      <c r="E3470" s="1348"/>
      <c r="F3470" s="1348"/>
      <c r="G3470" s="1348"/>
      <c r="H3470" s="1348"/>
      <c r="I3470" s="1348"/>
      <c r="J3470" s="1348"/>
      <c r="K3470" s="1348"/>
    </row>
    <row r="3471" spans="2:11" hidden="1">
      <c r="B3471" s="1348"/>
      <c r="C3471" s="1348"/>
      <c r="D3471" s="1348"/>
      <c r="E3471" s="1348"/>
      <c r="F3471" s="1348"/>
      <c r="G3471" s="1348"/>
      <c r="H3471" s="1348"/>
      <c r="I3471" s="1348"/>
      <c r="J3471" s="1348"/>
      <c r="K3471" s="1348"/>
    </row>
    <row r="3472" spans="2:11" hidden="1">
      <c r="B3472" s="1348"/>
      <c r="C3472" s="1348"/>
      <c r="D3472" s="1348"/>
      <c r="E3472" s="1348"/>
      <c r="F3472" s="1348"/>
      <c r="G3472" s="1348"/>
      <c r="H3472" s="1348"/>
      <c r="I3472" s="1348"/>
      <c r="J3472" s="1348"/>
      <c r="K3472" s="1348"/>
    </row>
    <row r="3473" spans="2:11" hidden="1">
      <c r="B3473" s="1348"/>
      <c r="C3473" s="1348"/>
      <c r="D3473" s="1348"/>
      <c r="E3473" s="1348"/>
      <c r="F3473" s="1348"/>
      <c r="G3473" s="1348"/>
      <c r="H3473" s="1348"/>
      <c r="I3473" s="1348"/>
      <c r="J3473" s="1348"/>
      <c r="K3473" s="1348"/>
    </row>
    <row r="3474" spans="2:11" hidden="1">
      <c r="B3474" s="1348"/>
      <c r="C3474" s="1348"/>
      <c r="D3474" s="1348"/>
      <c r="E3474" s="1348"/>
      <c r="F3474" s="1348"/>
      <c r="G3474" s="1348"/>
      <c r="H3474" s="1348"/>
      <c r="I3474" s="1348"/>
      <c r="J3474" s="1348"/>
      <c r="K3474" s="1348"/>
    </row>
    <row r="3475" spans="2:11" hidden="1">
      <c r="B3475" s="1348"/>
      <c r="C3475" s="1348"/>
      <c r="D3475" s="1348"/>
      <c r="E3475" s="1348"/>
      <c r="F3475" s="1348"/>
      <c r="G3475" s="1348"/>
      <c r="H3475" s="1348"/>
      <c r="I3475" s="1348"/>
      <c r="J3475" s="1348"/>
      <c r="K3475" s="1348"/>
    </row>
    <row r="3476" spans="2:11" hidden="1">
      <c r="B3476" s="1348"/>
      <c r="C3476" s="1348"/>
      <c r="D3476" s="1348"/>
      <c r="E3476" s="1348"/>
      <c r="F3476" s="1348"/>
      <c r="G3476" s="1348"/>
      <c r="H3476" s="1348"/>
      <c r="I3476" s="1348"/>
      <c r="J3476" s="1348"/>
      <c r="K3476" s="1348"/>
    </row>
    <row r="3477" spans="2:11" hidden="1">
      <c r="B3477" s="1348"/>
      <c r="C3477" s="1348"/>
      <c r="D3477" s="1348"/>
      <c r="E3477" s="1348"/>
      <c r="F3477" s="1348"/>
      <c r="G3477" s="1348"/>
      <c r="H3477" s="1348"/>
      <c r="I3477" s="1348"/>
      <c r="J3477" s="1348"/>
      <c r="K3477" s="1348"/>
    </row>
    <row r="3478" spans="2:11" hidden="1">
      <c r="B3478" s="1348"/>
      <c r="C3478" s="1348"/>
      <c r="D3478" s="1348"/>
      <c r="E3478" s="1348"/>
      <c r="F3478" s="1348"/>
      <c r="G3478" s="1348"/>
      <c r="H3478" s="1348"/>
      <c r="I3478" s="1348"/>
      <c r="J3478" s="1348"/>
      <c r="K3478" s="1348"/>
    </row>
    <row r="3479" spans="2:11" hidden="1">
      <c r="B3479" s="1348"/>
      <c r="C3479" s="1348"/>
      <c r="D3479" s="1348"/>
      <c r="E3479" s="1348"/>
      <c r="F3479" s="1348"/>
      <c r="G3479" s="1348"/>
      <c r="H3479" s="1348"/>
      <c r="I3479" s="1348"/>
      <c r="J3479" s="1348"/>
      <c r="K3479" s="1348"/>
    </row>
    <row r="3480" spans="2:11" hidden="1">
      <c r="B3480" s="1348"/>
      <c r="C3480" s="1348"/>
      <c r="D3480" s="1348"/>
      <c r="E3480" s="1348"/>
      <c r="F3480" s="1348"/>
      <c r="G3480" s="1348"/>
      <c r="H3480" s="1348"/>
      <c r="I3480" s="1348"/>
      <c r="J3480" s="1348"/>
      <c r="K3480" s="1348"/>
    </row>
    <row r="3481" spans="2:11" hidden="1">
      <c r="B3481" s="1348"/>
      <c r="C3481" s="1348"/>
      <c r="D3481" s="1348"/>
      <c r="E3481" s="1348"/>
      <c r="F3481" s="1348"/>
      <c r="G3481" s="1348"/>
      <c r="H3481" s="1348"/>
      <c r="I3481" s="1348"/>
      <c r="J3481" s="1348"/>
      <c r="K3481" s="1348"/>
    </row>
    <row r="3482" spans="2:11" hidden="1">
      <c r="B3482" s="1348"/>
      <c r="C3482" s="1348"/>
      <c r="D3482" s="1348"/>
      <c r="E3482" s="1348"/>
      <c r="F3482" s="1348"/>
      <c r="G3482" s="1348"/>
      <c r="H3482" s="1348"/>
      <c r="I3482" s="1348"/>
      <c r="J3482" s="1348"/>
      <c r="K3482" s="1348"/>
    </row>
    <row r="3483" spans="2:11" hidden="1">
      <c r="B3483" s="1348"/>
      <c r="C3483" s="1348"/>
      <c r="D3483" s="1348"/>
      <c r="E3483" s="1348"/>
      <c r="F3483" s="1348"/>
      <c r="G3483" s="1348"/>
      <c r="H3483" s="1348"/>
      <c r="I3483" s="1348"/>
      <c r="J3483" s="1348"/>
      <c r="K3483" s="1348"/>
    </row>
    <row r="3484" spans="2:11" hidden="1">
      <c r="B3484" s="1348"/>
      <c r="C3484" s="1348"/>
      <c r="D3484" s="1348"/>
      <c r="E3484" s="1348"/>
      <c r="F3484" s="1348"/>
      <c r="G3484" s="1348"/>
      <c r="H3484" s="1348"/>
      <c r="I3484" s="1348"/>
      <c r="J3484" s="1348"/>
      <c r="K3484" s="1348"/>
    </row>
    <row r="3485" spans="2:11" hidden="1">
      <c r="B3485" s="1348"/>
      <c r="C3485" s="1348"/>
      <c r="D3485" s="1348"/>
      <c r="E3485" s="1348"/>
      <c r="F3485" s="1348"/>
      <c r="G3485" s="1348"/>
      <c r="H3485" s="1348"/>
      <c r="I3485" s="1348"/>
      <c r="J3485" s="1348"/>
      <c r="K3485" s="1348"/>
    </row>
    <row r="3486" spans="2:11" hidden="1">
      <c r="B3486" s="1348"/>
      <c r="C3486" s="1348"/>
      <c r="D3486" s="1348"/>
      <c r="E3486" s="1348"/>
      <c r="F3486" s="1348"/>
      <c r="G3486" s="1348"/>
      <c r="H3486" s="1348"/>
      <c r="I3486" s="1348"/>
      <c r="J3486" s="1348"/>
      <c r="K3486" s="1348"/>
    </row>
    <row r="3487" spans="2:11" hidden="1">
      <c r="B3487" s="1348"/>
      <c r="C3487" s="1348"/>
      <c r="D3487" s="1348"/>
      <c r="E3487" s="1348"/>
      <c r="F3487" s="1348"/>
      <c r="G3487" s="1348"/>
      <c r="H3487" s="1348"/>
      <c r="I3487" s="1348"/>
      <c r="J3487" s="1348"/>
      <c r="K3487" s="1348"/>
    </row>
    <row r="3488" spans="2:11" hidden="1">
      <c r="B3488" s="1348"/>
      <c r="C3488" s="1348"/>
      <c r="D3488" s="1348"/>
      <c r="E3488" s="1348"/>
      <c r="F3488" s="1348"/>
      <c r="G3488" s="1348"/>
      <c r="H3488" s="1348"/>
      <c r="I3488" s="1348"/>
      <c r="J3488" s="1348"/>
      <c r="K3488" s="1348"/>
    </row>
    <row r="3489" spans="2:11" hidden="1">
      <c r="B3489" s="1348"/>
      <c r="C3489" s="1348"/>
      <c r="D3489" s="1348"/>
      <c r="E3489" s="1348"/>
      <c r="F3489" s="1348"/>
      <c r="G3489" s="1348"/>
      <c r="H3489" s="1348"/>
      <c r="I3489" s="1348"/>
      <c r="J3489" s="1348"/>
      <c r="K3489" s="1348"/>
    </row>
    <row r="3490" spans="2:11" hidden="1">
      <c r="B3490" s="1348"/>
      <c r="C3490" s="1348"/>
      <c r="D3490" s="1348"/>
      <c r="E3490" s="1348"/>
      <c r="F3490" s="1348"/>
      <c r="G3490" s="1348"/>
      <c r="H3490" s="1348"/>
      <c r="I3490" s="1348"/>
      <c r="J3490" s="1348"/>
      <c r="K3490" s="1348"/>
    </row>
    <row r="3491" spans="2:11" hidden="1">
      <c r="B3491" s="1348"/>
      <c r="C3491" s="1348"/>
      <c r="D3491" s="1348"/>
      <c r="E3491" s="1348"/>
      <c r="F3491" s="1348"/>
      <c r="G3491" s="1348"/>
      <c r="H3491" s="1348"/>
      <c r="I3491" s="1348"/>
      <c r="J3491" s="1348"/>
      <c r="K3491" s="1348"/>
    </row>
    <row r="3492" spans="2:11" hidden="1">
      <c r="B3492" s="1348"/>
      <c r="C3492" s="1348"/>
      <c r="D3492" s="1348"/>
      <c r="E3492" s="1348"/>
      <c r="F3492" s="1348"/>
      <c r="G3492" s="1348"/>
      <c r="H3492" s="1348"/>
      <c r="I3492" s="1348"/>
      <c r="J3492" s="1348"/>
      <c r="K3492" s="1348"/>
    </row>
    <row r="3493" spans="2:11" hidden="1">
      <c r="B3493" s="1348"/>
      <c r="C3493" s="1348"/>
      <c r="D3493" s="1348"/>
      <c r="E3493" s="1348"/>
      <c r="F3493" s="1348"/>
      <c r="G3493" s="1348"/>
      <c r="H3493" s="1348"/>
      <c r="I3493" s="1348"/>
      <c r="J3493" s="1348"/>
      <c r="K3493" s="1348"/>
    </row>
    <row r="3494" spans="2:11" hidden="1">
      <c r="B3494" s="1348"/>
      <c r="C3494" s="1348"/>
      <c r="D3494" s="1348"/>
      <c r="E3494" s="1348"/>
      <c r="F3494" s="1348"/>
      <c r="G3494" s="1348"/>
      <c r="H3494" s="1348"/>
      <c r="I3494" s="1348"/>
      <c r="J3494" s="1348"/>
      <c r="K3494" s="1348"/>
    </row>
    <row r="3495" spans="2:11" hidden="1">
      <c r="B3495" s="1348"/>
      <c r="C3495" s="1348"/>
      <c r="D3495" s="1348"/>
      <c r="E3495" s="1348"/>
      <c r="F3495" s="1348"/>
      <c r="G3495" s="1348"/>
      <c r="H3495" s="1348"/>
      <c r="I3495" s="1348"/>
      <c r="J3495" s="1348"/>
      <c r="K3495" s="1348"/>
    </row>
    <row r="3496" spans="2:11" hidden="1">
      <c r="B3496" s="1348"/>
      <c r="C3496" s="1348"/>
      <c r="D3496" s="1348"/>
      <c r="E3496" s="1348"/>
      <c r="F3496" s="1348"/>
      <c r="G3496" s="1348"/>
      <c r="H3496" s="1348"/>
      <c r="I3496" s="1348"/>
      <c r="J3496" s="1348"/>
      <c r="K3496" s="1348"/>
    </row>
    <row r="3497" spans="2:11" hidden="1">
      <c r="B3497" s="1348"/>
      <c r="C3497" s="1348"/>
      <c r="D3497" s="1348"/>
      <c r="E3497" s="1348"/>
      <c r="F3497" s="1348"/>
      <c r="G3497" s="1348"/>
      <c r="H3497" s="1348"/>
      <c r="I3497" s="1348"/>
      <c r="J3497" s="1348"/>
      <c r="K3497" s="1348"/>
    </row>
    <row r="3498" spans="2:11" hidden="1">
      <c r="B3498" s="1348"/>
      <c r="C3498" s="1348"/>
      <c r="D3498" s="1348"/>
      <c r="E3498" s="1348"/>
      <c r="F3498" s="1348"/>
      <c r="G3498" s="1348"/>
      <c r="H3498" s="1348"/>
      <c r="I3498" s="1348"/>
      <c r="J3498" s="1348"/>
      <c r="K3498" s="1348"/>
    </row>
    <row r="3499" spans="2:11" hidden="1">
      <c r="B3499" s="1348"/>
      <c r="C3499" s="1348"/>
      <c r="D3499" s="1348"/>
      <c r="E3499" s="1348"/>
      <c r="F3499" s="1348"/>
      <c r="G3499" s="1348"/>
      <c r="H3499" s="1348"/>
      <c r="I3499" s="1348"/>
      <c r="J3499" s="1348"/>
      <c r="K3499" s="1348"/>
    </row>
    <row r="3500" spans="2:11" hidden="1">
      <c r="B3500" s="1348"/>
      <c r="C3500" s="1348"/>
      <c r="D3500" s="1348"/>
      <c r="E3500" s="1348"/>
      <c r="F3500" s="1348"/>
      <c r="G3500" s="1348"/>
      <c r="H3500" s="1348"/>
      <c r="I3500" s="1348"/>
      <c r="J3500" s="1348"/>
      <c r="K3500" s="1348"/>
    </row>
    <row r="3501" spans="2:11" hidden="1">
      <c r="B3501" s="1348"/>
      <c r="C3501" s="1348"/>
      <c r="D3501" s="1348"/>
      <c r="E3501" s="1348"/>
      <c r="F3501" s="1348"/>
      <c r="G3501" s="1348"/>
      <c r="H3501" s="1348"/>
      <c r="I3501" s="1348"/>
      <c r="J3501" s="1348"/>
      <c r="K3501" s="1348"/>
    </row>
    <row r="3502" spans="2:11" hidden="1">
      <c r="B3502" s="1348"/>
      <c r="C3502" s="1348"/>
      <c r="D3502" s="1348"/>
      <c r="E3502" s="1348"/>
      <c r="F3502" s="1348"/>
      <c r="G3502" s="1348"/>
      <c r="H3502" s="1348"/>
      <c r="I3502" s="1348"/>
      <c r="J3502" s="1348"/>
      <c r="K3502" s="1348"/>
    </row>
    <row r="3503" spans="2:11" hidden="1">
      <c r="B3503" s="1348"/>
      <c r="C3503" s="1348"/>
      <c r="D3503" s="1348"/>
      <c r="E3503" s="1348"/>
      <c r="F3503" s="1348"/>
      <c r="G3503" s="1348"/>
      <c r="H3503" s="1348"/>
      <c r="I3503" s="1348"/>
      <c r="J3503" s="1348"/>
      <c r="K3503" s="1348"/>
    </row>
    <row r="3504" spans="2:11" hidden="1">
      <c r="B3504" s="1348"/>
      <c r="C3504" s="1348"/>
      <c r="D3504" s="1348"/>
      <c r="E3504" s="1348"/>
      <c r="F3504" s="1348"/>
      <c r="G3504" s="1348"/>
      <c r="H3504" s="1348"/>
      <c r="I3504" s="1348"/>
      <c r="J3504" s="1348"/>
      <c r="K3504" s="1348"/>
    </row>
    <row r="3505" spans="2:11" hidden="1">
      <c r="B3505" s="1348"/>
      <c r="C3505" s="1348"/>
      <c r="D3505" s="1348"/>
      <c r="E3505" s="1348"/>
      <c r="F3505" s="1348"/>
      <c r="G3505" s="1348"/>
      <c r="H3505" s="1348"/>
      <c r="I3505" s="1348"/>
      <c r="J3505" s="1348"/>
      <c r="K3505" s="1348"/>
    </row>
    <row r="3506" spans="2:11" hidden="1">
      <c r="B3506" s="1348"/>
      <c r="C3506" s="1348"/>
      <c r="D3506" s="1348"/>
      <c r="E3506" s="1348"/>
      <c r="F3506" s="1348"/>
      <c r="G3506" s="1348"/>
      <c r="H3506" s="1348"/>
      <c r="I3506" s="1348"/>
      <c r="J3506" s="1348"/>
      <c r="K3506" s="1348"/>
    </row>
    <row r="3507" spans="2:11" hidden="1">
      <c r="B3507" s="1348"/>
      <c r="C3507" s="1348"/>
      <c r="D3507" s="1348"/>
      <c r="E3507" s="1348"/>
      <c r="F3507" s="1348"/>
      <c r="G3507" s="1348"/>
      <c r="H3507" s="1348"/>
      <c r="I3507" s="1348"/>
      <c r="J3507" s="1348"/>
      <c r="K3507" s="1348"/>
    </row>
    <row r="3508" spans="2:11" hidden="1">
      <c r="B3508" s="1348"/>
      <c r="C3508" s="1348"/>
      <c r="D3508" s="1348"/>
      <c r="E3508" s="1348"/>
      <c r="F3508" s="1348"/>
      <c r="G3508" s="1348"/>
      <c r="H3508" s="1348"/>
      <c r="I3508" s="1348"/>
      <c r="J3508" s="1348"/>
      <c r="K3508" s="1348"/>
    </row>
    <row r="3509" spans="2:11" hidden="1">
      <c r="B3509" s="1348"/>
      <c r="C3509" s="1348"/>
      <c r="D3509" s="1348"/>
      <c r="E3509" s="1348"/>
      <c r="F3509" s="1348"/>
      <c r="G3509" s="1348"/>
      <c r="H3509" s="1348"/>
      <c r="I3509" s="1348"/>
      <c r="J3509" s="1348"/>
      <c r="K3509" s="1348"/>
    </row>
    <row r="3510" spans="2:11" hidden="1">
      <c r="B3510" s="1348"/>
      <c r="C3510" s="1348"/>
      <c r="D3510" s="1348"/>
      <c r="E3510" s="1348"/>
      <c r="F3510" s="1348"/>
      <c r="G3510" s="1348"/>
      <c r="H3510" s="1348"/>
      <c r="I3510" s="1348"/>
      <c r="J3510" s="1348"/>
      <c r="K3510" s="1348"/>
    </row>
    <row r="3511" spans="2:11" hidden="1">
      <c r="B3511" s="1348"/>
      <c r="C3511" s="1348"/>
      <c r="D3511" s="1348"/>
      <c r="E3511" s="1348"/>
      <c r="F3511" s="1348"/>
      <c r="G3511" s="1348"/>
      <c r="H3511" s="1348"/>
      <c r="I3511" s="1348"/>
      <c r="J3511" s="1348"/>
      <c r="K3511" s="1348"/>
    </row>
    <row r="3512" spans="2:11" hidden="1">
      <c r="B3512" s="1348"/>
      <c r="C3512" s="1348"/>
      <c r="D3512" s="1348"/>
      <c r="E3512" s="1348"/>
      <c r="F3512" s="1348"/>
      <c r="G3512" s="1348"/>
      <c r="H3512" s="1348"/>
      <c r="I3512" s="1348"/>
      <c r="J3512" s="1348"/>
      <c r="K3512" s="1348"/>
    </row>
    <row r="3513" spans="2:11" hidden="1">
      <c r="B3513" s="1348"/>
      <c r="C3513" s="1348"/>
      <c r="D3513" s="1348"/>
      <c r="E3513" s="1348"/>
      <c r="F3513" s="1348"/>
      <c r="G3513" s="1348"/>
      <c r="H3513" s="1348"/>
      <c r="I3513" s="1348"/>
      <c r="J3513" s="1348"/>
      <c r="K3513" s="1348"/>
    </row>
    <row r="3514" spans="2:11" hidden="1">
      <c r="B3514" s="1348"/>
      <c r="C3514" s="1348"/>
      <c r="D3514" s="1348"/>
      <c r="E3514" s="1348"/>
      <c r="F3514" s="1348"/>
      <c r="G3514" s="1348"/>
      <c r="H3514" s="1348"/>
      <c r="I3514" s="1348"/>
      <c r="J3514" s="1348"/>
      <c r="K3514" s="1348"/>
    </row>
    <row r="3515" spans="2:11" hidden="1">
      <c r="B3515" s="1348"/>
      <c r="C3515" s="1348"/>
      <c r="D3515" s="1348"/>
      <c r="E3515" s="1348"/>
      <c r="F3515" s="1348"/>
      <c r="G3515" s="1348"/>
      <c r="H3515" s="1348"/>
      <c r="I3515" s="1348"/>
      <c r="J3515" s="1348"/>
      <c r="K3515" s="1348"/>
    </row>
    <row r="3516" spans="2:11" hidden="1">
      <c r="B3516" s="1348"/>
      <c r="C3516" s="1348"/>
      <c r="D3516" s="1348"/>
      <c r="E3516" s="1348"/>
      <c r="F3516" s="1348"/>
      <c r="G3516" s="1348"/>
      <c r="H3516" s="1348"/>
      <c r="I3516" s="1348"/>
      <c r="J3516" s="1348"/>
      <c r="K3516" s="1348"/>
    </row>
    <row r="3517" spans="2:11" hidden="1">
      <c r="B3517" s="1348"/>
      <c r="C3517" s="1348"/>
      <c r="D3517" s="1348"/>
      <c r="E3517" s="1348"/>
      <c r="F3517" s="1348"/>
      <c r="G3517" s="1348"/>
      <c r="H3517" s="1348"/>
      <c r="I3517" s="1348"/>
      <c r="J3517" s="1348"/>
      <c r="K3517" s="1348"/>
    </row>
    <row r="3518" spans="2:11" hidden="1">
      <c r="B3518" s="1348"/>
      <c r="C3518" s="1348"/>
      <c r="D3518" s="1348"/>
      <c r="E3518" s="1348"/>
      <c r="F3518" s="1348"/>
      <c r="G3518" s="1348"/>
      <c r="H3518" s="1348"/>
      <c r="I3518" s="1348"/>
      <c r="J3518" s="1348"/>
      <c r="K3518" s="1348"/>
    </row>
    <row r="3519" spans="2:11" hidden="1">
      <c r="B3519" s="1348"/>
      <c r="C3519" s="1348"/>
      <c r="D3519" s="1348"/>
      <c r="E3519" s="1348"/>
      <c r="F3519" s="1348"/>
      <c r="G3519" s="1348"/>
      <c r="H3519" s="1348"/>
      <c r="I3519" s="1348"/>
      <c r="J3519" s="1348"/>
      <c r="K3519" s="1348"/>
    </row>
    <row r="3520" spans="2:11" hidden="1">
      <c r="B3520" s="1348"/>
      <c r="C3520" s="1348"/>
      <c r="D3520" s="1348"/>
      <c r="E3520" s="1348"/>
      <c r="F3520" s="1348"/>
      <c r="G3520" s="1348"/>
      <c r="H3520" s="1348"/>
      <c r="I3520" s="1348"/>
      <c r="J3520" s="1348"/>
      <c r="K3520" s="1348"/>
    </row>
    <row r="3521" spans="2:11" hidden="1">
      <c r="B3521" s="1348"/>
      <c r="C3521" s="1348"/>
      <c r="D3521" s="1348"/>
      <c r="E3521" s="1348"/>
      <c r="F3521" s="1348"/>
      <c r="G3521" s="1348"/>
      <c r="H3521" s="1348"/>
      <c r="I3521" s="1348"/>
      <c r="J3521" s="1348"/>
      <c r="K3521" s="1348"/>
    </row>
    <row r="3522" spans="2:11" hidden="1">
      <c r="B3522" s="1348"/>
      <c r="C3522" s="1348"/>
      <c r="D3522" s="1348"/>
      <c r="E3522" s="1348"/>
      <c r="F3522" s="1348"/>
      <c r="G3522" s="1348"/>
      <c r="H3522" s="1348"/>
      <c r="I3522" s="1348"/>
      <c r="J3522" s="1348"/>
      <c r="K3522" s="1348"/>
    </row>
    <row r="3523" spans="2:11" hidden="1">
      <c r="B3523" s="1348"/>
      <c r="C3523" s="1348"/>
      <c r="D3523" s="1348"/>
      <c r="E3523" s="1348"/>
      <c r="F3523" s="1348"/>
      <c r="G3523" s="1348"/>
      <c r="H3523" s="1348"/>
      <c r="I3523" s="1348"/>
      <c r="J3523" s="1348"/>
      <c r="K3523" s="1348"/>
    </row>
    <row r="3524" spans="2:11" hidden="1">
      <c r="B3524" s="1348"/>
      <c r="C3524" s="1348"/>
      <c r="D3524" s="1348"/>
      <c r="E3524" s="1348"/>
      <c r="F3524" s="1348"/>
      <c r="G3524" s="1348"/>
      <c r="H3524" s="1348"/>
      <c r="I3524" s="1348"/>
      <c r="J3524" s="1348"/>
      <c r="K3524" s="1348"/>
    </row>
    <row r="3525" spans="2:11" hidden="1">
      <c r="B3525" s="1348"/>
      <c r="C3525" s="1348"/>
      <c r="D3525" s="1348"/>
      <c r="E3525" s="1348"/>
      <c r="F3525" s="1348"/>
      <c r="G3525" s="1348"/>
      <c r="H3525" s="1348"/>
      <c r="I3525" s="1348"/>
      <c r="J3525" s="1348"/>
      <c r="K3525" s="1348"/>
    </row>
    <row r="3526" spans="2:11" hidden="1">
      <c r="B3526" s="1348"/>
      <c r="C3526" s="1348"/>
      <c r="D3526" s="1348"/>
      <c r="E3526" s="1348"/>
      <c r="F3526" s="1348"/>
      <c r="G3526" s="1348"/>
      <c r="H3526" s="1348"/>
      <c r="I3526" s="1348"/>
      <c r="J3526" s="1348"/>
      <c r="K3526" s="1348"/>
    </row>
    <row r="3527" spans="2:11" hidden="1">
      <c r="B3527" s="1348"/>
      <c r="C3527" s="1348"/>
      <c r="D3527" s="1348"/>
      <c r="E3527" s="1348"/>
      <c r="F3527" s="1348"/>
      <c r="G3527" s="1348"/>
      <c r="H3527" s="1348"/>
      <c r="I3527" s="1348"/>
      <c r="J3527" s="1348"/>
      <c r="K3527" s="1348"/>
    </row>
    <row r="3528" spans="2:11" hidden="1">
      <c r="B3528" s="1348"/>
      <c r="C3528" s="1348"/>
      <c r="D3528" s="1348"/>
      <c r="E3528" s="1348"/>
      <c r="F3528" s="1348"/>
      <c r="G3528" s="1348"/>
      <c r="H3528" s="1348"/>
      <c r="I3528" s="1348"/>
      <c r="J3528" s="1348"/>
      <c r="K3528" s="1348"/>
    </row>
    <row r="3529" spans="2:11" hidden="1">
      <c r="B3529" s="1348"/>
      <c r="C3529" s="1348"/>
      <c r="D3529" s="1348"/>
      <c r="E3529" s="1348"/>
      <c r="F3529" s="1348"/>
      <c r="G3529" s="1348"/>
      <c r="H3529" s="1348"/>
      <c r="I3529" s="1348"/>
      <c r="J3529" s="1348"/>
      <c r="K3529" s="1348"/>
    </row>
    <row r="3530" spans="2:11" hidden="1">
      <c r="B3530" s="1348"/>
      <c r="C3530" s="1348"/>
      <c r="D3530" s="1348"/>
      <c r="E3530" s="1348"/>
      <c r="F3530" s="1348"/>
      <c r="G3530" s="1348"/>
      <c r="H3530" s="1348"/>
      <c r="I3530" s="1348"/>
      <c r="J3530" s="1348"/>
      <c r="K3530" s="1348"/>
    </row>
    <row r="3531" spans="2:11" hidden="1">
      <c r="B3531" s="1348"/>
      <c r="C3531" s="1348"/>
      <c r="D3531" s="1348"/>
      <c r="E3531" s="1348"/>
      <c r="F3531" s="1348"/>
      <c r="G3531" s="1348"/>
      <c r="H3531" s="1348"/>
      <c r="I3531" s="1348"/>
      <c r="J3531" s="1348"/>
      <c r="K3531" s="1348"/>
    </row>
    <row r="3532" spans="2:11" hidden="1">
      <c r="B3532" s="1348"/>
      <c r="C3532" s="1348"/>
      <c r="D3532" s="1348"/>
      <c r="E3532" s="1348"/>
      <c r="F3532" s="1348"/>
      <c r="G3532" s="1348"/>
      <c r="H3532" s="1348"/>
      <c r="I3532" s="1348"/>
      <c r="J3532" s="1348"/>
      <c r="K3532" s="1348"/>
    </row>
    <row r="3533" spans="2:11" hidden="1">
      <c r="B3533" s="1348"/>
      <c r="C3533" s="1348"/>
      <c r="D3533" s="1348"/>
      <c r="E3533" s="1348"/>
      <c r="F3533" s="1348"/>
      <c r="G3533" s="1348"/>
      <c r="H3533" s="1348"/>
      <c r="I3533" s="1348"/>
      <c r="J3533" s="1348"/>
      <c r="K3533" s="1348"/>
    </row>
    <row r="3534" spans="2:11" hidden="1">
      <c r="B3534" s="1348"/>
      <c r="C3534" s="1348"/>
      <c r="D3534" s="1348"/>
      <c r="E3534" s="1348"/>
      <c r="F3534" s="1348"/>
      <c r="G3534" s="1348"/>
      <c r="H3534" s="1348"/>
      <c r="I3534" s="1348"/>
      <c r="J3534" s="1348"/>
      <c r="K3534" s="1348"/>
    </row>
    <row r="3535" spans="2:11" hidden="1">
      <c r="B3535" s="1348"/>
      <c r="C3535" s="1348"/>
      <c r="D3535" s="1348"/>
      <c r="E3535" s="1348"/>
      <c r="F3535" s="1348"/>
      <c r="G3535" s="1348"/>
      <c r="H3535" s="1348"/>
      <c r="I3535" s="1348"/>
      <c r="J3535" s="1348"/>
      <c r="K3535" s="1348"/>
    </row>
    <row r="3536" spans="2:11" hidden="1">
      <c r="B3536" s="1348"/>
      <c r="C3536" s="1348"/>
      <c r="D3536" s="1348"/>
      <c r="E3536" s="1348"/>
      <c r="F3536" s="1348"/>
      <c r="G3536" s="1348"/>
      <c r="H3536" s="1348"/>
      <c r="I3536" s="1348"/>
      <c r="J3536" s="1348"/>
      <c r="K3536" s="1348"/>
    </row>
    <row r="3537" spans="2:11" hidden="1">
      <c r="B3537" s="1348"/>
      <c r="C3537" s="1348"/>
      <c r="D3537" s="1348"/>
      <c r="E3537" s="1348"/>
      <c r="F3537" s="1348"/>
      <c r="G3537" s="1348"/>
      <c r="H3537" s="1348"/>
      <c r="I3537" s="1348"/>
      <c r="J3537" s="1348"/>
      <c r="K3537" s="1348"/>
    </row>
    <row r="3538" spans="2:11" hidden="1">
      <c r="B3538" s="1348"/>
      <c r="C3538" s="1348"/>
      <c r="D3538" s="1348"/>
      <c r="E3538" s="1348"/>
      <c r="F3538" s="1348"/>
      <c r="G3538" s="1348"/>
      <c r="H3538" s="1348"/>
      <c r="I3538" s="1348"/>
      <c r="J3538" s="1348"/>
      <c r="K3538" s="1348"/>
    </row>
    <row r="3539" spans="2:11" hidden="1">
      <c r="B3539" s="1348"/>
      <c r="C3539" s="1348"/>
      <c r="D3539" s="1348"/>
      <c r="E3539" s="1348"/>
      <c r="F3539" s="1348"/>
      <c r="G3539" s="1348"/>
      <c r="H3539" s="1348"/>
      <c r="I3539" s="1348"/>
      <c r="J3539" s="1348"/>
      <c r="K3539" s="1348"/>
    </row>
    <row r="3540" spans="2:11" hidden="1">
      <c r="B3540" s="1348"/>
      <c r="C3540" s="1348"/>
      <c r="D3540" s="1348"/>
      <c r="E3540" s="1348"/>
      <c r="F3540" s="1348"/>
      <c r="G3540" s="1348"/>
      <c r="H3540" s="1348"/>
      <c r="I3540" s="1348"/>
      <c r="J3540" s="1348"/>
      <c r="K3540" s="1348"/>
    </row>
    <row r="3541" spans="2:11" hidden="1">
      <c r="B3541" s="1348"/>
      <c r="C3541" s="1348"/>
      <c r="D3541" s="1348"/>
      <c r="E3541" s="1348"/>
      <c r="F3541" s="1348"/>
      <c r="G3541" s="1348"/>
      <c r="H3541" s="1348"/>
      <c r="I3541" s="1348"/>
      <c r="J3541" s="1348"/>
      <c r="K3541" s="1348"/>
    </row>
    <row r="3542" spans="2:11" hidden="1">
      <c r="B3542" s="1348"/>
      <c r="C3542" s="1348"/>
      <c r="D3542" s="1348"/>
      <c r="E3542" s="1348"/>
      <c r="F3542" s="1348"/>
      <c r="G3542" s="1348"/>
      <c r="H3542" s="1348"/>
      <c r="I3542" s="1348"/>
      <c r="J3542" s="1348"/>
      <c r="K3542" s="1348"/>
    </row>
    <row r="3543" spans="2:11" hidden="1">
      <c r="B3543" s="1348"/>
      <c r="C3543" s="1348"/>
      <c r="D3543" s="1348"/>
      <c r="E3543" s="1348"/>
      <c r="F3543" s="1348"/>
      <c r="G3543" s="1348"/>
      <c r="H3543" s="1348"/>
      <c r="I3543" s="1348"/>
      <c r="J3543" s="1348"/>
      <c r="K3543" s="1348"/>
    </row>
    <row r="3544" spans="2:11" hidden="1">
      <c r="B3544" s="1348"/>
      <c r="C3544" s="1348"/>
      <c r="D3544" s="1348"/>
      <c r="E3544" s="1348"/>
      <c r="F3544" s="1348"/>
      <c r="G3544" s="1348"/>
      <c r="H3544" s="1348"/>
      <c r="I3544" s="1348"/>
      <c r="J3544" s="1348"/>
      <c r="K3544" s="1348"/>
    </row>
    <row r="3545" spans="2:11" hidden="1">
      <c r="B3545" s="1348"/>
      <c r="C3545" s="1348"/>
      <c r="D3545" s="1348"/>
      <c r="E3545" s="1348"/>
      <c r="F3545" s="1348"/>
      <c r="G3545" s="1348"/>
      <c r="H3545" s="1348"/>
      <c r="I3545" s="1348"/>
      <c r="J3545" s="1348"/>
      <c r="K3545" s="1348"/>
    </row>
    <row r="3546" spans="2:11" hidden="1">
      <c r="B3546" s="1348"/>
      <c r="C3546" s="1348"/>
      <c r="D3546" s="1348"/>
      <c r="E3546" s="1348"/>
      <c r="F3546" s="1348"/>
      <c r="G3546" s="1348"/>
      <c r="H3546" s="1348"/>
      <c r="I3546" s="1348"/>
      <c r="J3546" s="1348"/>
      <c r="K3546" s="1348"/>
    </row>
    <row r="3547" spans="2:11" hidden="1">
      <c r="B3547" s="1348"/>
      <c r="C3547" s="1348"/>
      <c r="D3547" s="1348"/>
      <c r="E3547" s="1348"/>
      <c r="F3547" s="1348"/>
      <c r="G3547" s="1348"/>
      <c r="H3547" s="1348"/>
      <c r="I3547" s="1348"/>
      <c r="J3547" s="1348"/>
      <c r="K3547" s="1348"/>
    </row>
    <row r="3548" spans="2:11" hidden="1">
      <c r="B3548" s="1348"/>
      <c r="C3548" s="1348"/>
      <c r="D3548" s="1348"/>
      <c r="E3548" s="1348"/>
      <c r="F3548" s="1348"/>
      <c r="G3548" s="1348"/>
      <c r="H3548" s="1348"/>
      <c r="I3548" s="1348"/>
      <c r="J3548" s="1348"/>
      <c r="K3548" s="1348"/>
    </row>
    <row r="3549" spans="2:11" hidden="1">
      <c r="B3549" s="1348"/>
      <c r="C3549" s="1348"/>
      <c r="D3549" s="1348"/>
      <c r="E3549" s="1348"/>
      <c r="F3549" s="1348"/>
      <c r="G3549" s="1348"/>
      <c r="H3549" s="1348"/>
      <c r="I3549" s="1348"/>
      <c r="J3549" s="1348"/>
      <c r="K3549" s="1348"/>
    </row>
    <row r="3550" spans="2:11" hidden="1">
      <c r="B3550" s="1348"/>
      <c r="C3550" s="1348"/>
      <c r="D3550" s="1348"/>
      <c r="E3550" s="1348"/>
      <c r="F3550" s="1348"/>
      <c r="G3550" s="1348"/>
      <c r="H3550" s="1348"/>
      <c r="I3550" s="1348"/>
      <c r="J3550" s="1348"/>
      <c r="K3550" s="1348"/>
    </row>
    <row r="3551" spans="2:11" hidden="1">
      <c r="B3551" s="1348"/>
      <c r="C3551" s="1348"/>
      <c r="D3551" s="1348"/>
      <c r="E3551" s="1348"/>
      <c r="F3551" s="1348"/>
      <c r="G3551" s="1348"/>
      <c r="H3551" s="1348"/>
      <c r="I3551" s="1348"/>
      <c r="J3551" s="1348"/>
      <c r="K3551" s="1348"/>
    </row>
    <row r="3552" spans="2:11" hidden="1">
      <c r="B3552" s="1348"/>
      <c r="C3552" s="1348"/>
      <c r="D3552" s="1348"/>
      <c r="E3552" s="1348"/>
      <c r="F3552" s="1348"/>
      <c r="G3552" s="1348"/>
      <c r="H3552" s="1348"/>
      <c r="I3552" s="1348"/>
      <c r="J3552" s="1348"/>
      <c r="K3552" s="1348"/>
    </row>
    <row r="3553" spans="2:11" hidden="1">
      <c r="B3553" s="1348"/>
      <c r="C3553" s="1348"/>
      <c r="D3553" s="1348"/>
      <c r="E3553" s="1348"/>
      <c r="F3553" s="1348"/>
      <c r="G3553" s="1348"/>
      <c r="H3553" s="1348"/>
      <c r="I3553" s="1348"/>
      <c r="J3553" s="1348"/>
      <c r="K3553" s="1348"/>
    </row>
    <row r="3554" spans="2:11" hidden="1">
      <c r="B3554" s="1348"/>
      <c r="C3554" s="1348"/>
      <c r="D3554" s="1348"/>
      <c r="E3554" s="1348"/>
      <c r="F3554" s="1348"/>
      <c r="G3554" s="1348"/>
      <c r="H3554" s="1348"/>
      <c r="I3554" s="1348"/>
      <c r="J3554" s="1348"/>
      <c r="K3554" s="1348"/>
    </row>
    <row r="3555" spans="2:11" hidden="1">
      <c r="B3555" s="1348"/>
      <c r="C3555" s="1348"/>
      <c r="D3555" s="1348"/>
      <c r="E3555" s="1348"/>
      <c r="F3555" s="1348"/>
      <c r="G3555" s="1348"/>
      <c r="H3555" s="1348"/>
      <c r="I3555" s="1348"/>
      <c r="J3555" s="1348"/>
      <c r="K3555" s="1348"/>
    </row>
    <row r="3556" spans="2:11" hidden="1">
      <c r="B3556" s="1348"/>
      <c r="C3556" s="1348"/>
      <c r="D3556" s="1348"/>
      <c r="E3556" s="1348"/>
      <c r="F3556" s="1348"/>
      <c r="G3556" s="1348"/>
      <c r="H3556" s="1348"/>
      <c r="I3556" s="1348"/>
      <c r="J3556" s="1348"/>
      <c r="K3556" s="1348"/>
    </row>
    <row r="3557" spans="2:11" hidden="1">
      <c r="B3557" s="1348"/>
      <c r="C3557" s="1348"/>
      <c r="D3557" s="1348"/>
      <c r="E3557" s="1348"/>
      <c r="F3557" s="1348"/>
      <c r="G3557" s="1348"/>
      <c r="H3557" s="1348"/>
      <c r="I3557" s="1348"/>
      <c r="J3557" s="1348"/>
      <c r="K3557" s="1348"/>
    </row>
    <row r="3558" spans="2:11" hidden="1">
      <c r="B3558" s="1348"/>
      <c r="C3558" s="1348"/>
      <c r="D3558" s="1348"/>
      <c r="E3558" s="1348"/>
      <c r="F3558" s="1348"/>
      <c r="G3558" s="1348"/>
      <c r="H3558" s="1348"/>
      <c r="I3558" s="1348"/>
      <c r="J3558" s="1348"/>
      <c r="K3558" s="1348"/>
    </row>
    <row r="3559" spans="2:11" hidden="1">
      <c r="B3559" s="1348"/>
      <c r="C3559" s="1348"/>
      <c r="D3559" s="1348"/>
      <c r="E3559" s="1348"/>
      <c r="F3559" s="1348"/>
      <c r="G3559" s="1348"/>
      <c r="H3559" s="1348"/>
      <c r="I3559" s="1348"/>
      <c r="J3559" s="1348"/>
      <c r="K3559" s="1348"/>
    </row>
    <row r="3560" spans="2:11" hidden="1">
      <c r="B3560" s="1348"/>
      <c r="C3560" s="1348"/>
      <c r="D3560" s="1348"/>
      <c r="E3560" s="1348"/>
      <c r="F3560" s="1348"/>
      <c r="G3560" s="1348"/>
      <c r="H3560" s="1348"/>
      <c r="I3560" s="1348"/>
      <c r="J3560" s="1348"/>
      <c r="K3560" s="1348"/>
    </row>
    <row r="3561" spans="2:11" hidden="1">
      <c r="B3561" s="1348"/>
      <c r="C3561" s="1348"/>
      <c r="D3561" s="1348"/>
      <c r="E3561" s="1348"/>
      <c r="F3561" s="1348"/>
      <c r="G3561" s="1348"/>
      <c r="H3561" s="1348"/>
      <c r="I3561" s="1348"/>
      <c r="J3561" s="1348"/>
      <c r="K3561" s="1348"/>
    </row>
    <row r="3562" spans="2:11" hidden="1">
      <c r="B3562" s="1348"/>
      <c r="C3562" s="1348"/>
      <c r="D3562" s="1348"/>
      <c r="E3562" s="1348"/>
      <c r="F3562" s="1348"/>
      <c r="G3562" s="1348"/>
      <c r="H3562" s="1348"/>
      <c r="I3562" s="1348"/>
      <c r="J3562" s="1348"/>
      <c r="K3562" s="1348"/>
    </row>
    <row r="3563" spans="2:11" hidden="1">
      <c r="B3563" s="1348"/>
      <c r="C3563" s="1348"/>
      <c r="D3563" s="1348"/>
      <c r="E3563" s="1348"/>
      <c r="F3563" s="1348"/>
      <c r="G3563" s="1348"/>
      <c r="H3563" s="1348"/>
      <c r="I3563" s="1348"/>
      <c r="J3563" s="1348"/>
      <c r="K3563" s="1348"/>
    </row>
    <row r="3564" spans="2:11" hidden="1">
      <c r="B3564" s="1348"/>
      <c r="C3564" s="1348"/>
      <c r="D3564" s="1348"/>
      <c r="E3564" s="1348"/>
      <c r="F3564" s="1348"/>
      <c r="G3564" s="1348"/>
      <c r="H3564" s="1348"/>
      <c r="I3564" s="1348"/>
      <c r="J3564" s="1348"/>
      <c r="K3564" s="1348"/>
    </row>
    <row r="3565" spans="2:11" hidden="1">
      <c r="B3565" s="1348"/>
      <c r="C3565" s="1348"/>
      <c r="D3565" s="1348"/>
      <c r="E3565" s="1348"/>
      <c r="F3565" s="1348"/>
      <c r="G3565" s="1348"/>
      <c r="H3565" s="1348"/>
      <c r="I3565" s="1348"/>
      <c r="J3565" s="1348"/>
      <c r="K3565" s="1348"/>
    </row>
    <row r="3566" spans="2:11" hidden="1">
      <c r="B3566" s="1348"/>
      <c r="C3566" s="1348"/>
      <c r="D3566" s="1348"/>
      <c r="E3566" s="1348"/>
      <c r="F3566" s="1348"/>
      <c r="G3566" s="1348"/>
      <c r="H3566" s="1348"/>
      <c r="I3566" s="1348"/>
      <c r="J3566" s="1348"/>
      <c r="K3566" s="1348"/>
    </row>
    <row r="3567" spans="2:11" hidden="1">
      <c r="B3567" s="1348"/>
      <c r="C3567" s="1348"/>
      <c r="D3567" s="1348"/>
      <c r="E3567" s="1348"/>
      <c r="F3567" s="1348"/>
      <c r="G3567" s="1348"/>
      <c r="H3567" s="1348"/>
      <c r="I3567" s="1348"/>
      <c r="J3567" s="1348"/>
      <c r="K3567" s="1348"/>
    </row>
    <row r="3568" spans="2:11" hidden="1">
      <c r="B3568" s="1348"/>
      <c r="C3568" s="1348"/>
      <c r="D3568" s="1348"/>
      <c r="E3568" s="1348"/>
      <c r="F3568" s="1348"/>
      <c r="G3568" s="1348"/>
      <c r="H3568" s="1348"/>
      <c r="I3568" s="1348"/>
      <c r="J3568" s="1348"/>
      <c r="K3568" s="1348"/>
    </row>
    <row r="3569" spans="2:11" hidden="1">
      <c r="B3569" s="1348"/>
      <c r="C3569" s="1348"/>
      <c r="D3569" s="1348"/>
      <c r="E3569" s="1348"/>
      <c r="F3569" s="1348"/>
      <c r="G3569" s="1348"/>
      <c r="H3569" s="1348"/>
      <c r="I3569" s="1348"/>
      <c r="J3569" s="1348"/>
      <c r="K3569" s="1348"/>
    </row>
    <row r="3570" spans="2:11" hidden="1">
      <c r="B3570" s="1348"/>
      <c r="C3570" s="1348"/>
      <c r="D3570" s="1348"/>
      <c r="E3570" s="1348"/>
      <c r="F3570" s="1348"/>
      <c r="G3570" s="1348"/>
      <c r="H3570" s="1348"/>
      <c r="I3570" s="1348"/>
      <c r="J3570" s="1348"/>
      <c r="K3570" s="1348"/>
    </row>
    <row r="3571" spans="2:11" hidden="1">
      <c r="B3571" s="1348"/>
      <c r="C3571" s="1348"/>
      <c r="D3571" s="1348"/>
      <c r="E3571" s="1348"/>
      <c r="F3571" s="1348"/>
      <c r="G3571" s="1348"/>
      <c r="H3571" s="1348"/>
      <c r="I3571" s="1348"/>
      <c r="J3571" s="1348"/>
      <c r="K3571" s="1348"/>
    </row>
    <row r="3572" spans="2:11" hidden="1">
      <c r="B3572" s="1348"/>
      <c r="C3572" s="1348"/>
      <c r="D3572" s="1348"/>
      <c r="E3572" s="1348"/>
      <c r="F3572" s="1348"/>
      <c r="G3572" s="1348"/>
      <c r="H3572" s="1348"/>
      <c r="I3572" s="1348"/>
      <c r="J3572" s="1348"/>
      <c r="K3572" s="1348"/>
    </row>
    <row r="3573" spans="2:11" hidden="1">
      <c r="B3573" s="1348"/>
      <c r="C3573" s="1348"/>
      <c r="D3573" s="1348"/>
      <c r="E3573" s="1348"/>
      <c r="F3573" s="1348"/>
      <c r="G3573" s="1348"/>
      <c r="H3573" s="1348"/>
      <c r="I3573" s="1348"/>
      <c r="J3573" s="1348"/>
      <c r="K3573" s="1348"/>
    </row>
    <row r="3574" spans="2:11" hidden="1">
      <c r="B3574" s="1348"/>
      <c r="C3574" s="1348"/>
      <c r="D3574" s="1348"/>
      <c r="E3574" s="1348"/>
      <c r="F3574" s="1348"/>
      <c r="G3574" s="1348"/>
      <c r="H3574" s="1348"/>
      <c r="I3574" s="1348"/>
      <c r="J3574" s="1348"/>
      <c r="K3574" s="1348"/>
    </row>
    <row r="3575" spans="2:11" hidden="1">
      <c r="B3575" s="1348"/>
      <c r="C3575" s="1348"/>
      <c r="D3575" s="1348"/>
      <c r="E3575" s="1348"/>
      <c r="F3575" s="1348"/>
      <c r="G3575" s="1348"/>
      <c r="H3575" s="1348"/>
      <c r="I3575" s="1348"/>
      <c r="J3575" s="1348"/>
      <c r="K3575" s="1348"/>
    </row>
    <row r="3576" spans="2:11" hidden="1">
      <c r="B3576" s="1348"/>
      <c r="C3576" s="1348"/>
      <c r="D3576" s="1348"/>
      <c r="E3576" s="1348"/>
      <c r="F3576" s="1348"/>
      <c r="G3576" s="1348"/>
      <c r="H3576" s="1348"/>
      <c r="I3576" s="1348"/>
      <c r="J3576" s="1348"/>
      <c r="K3576" s="1348"/>
    </row>
    <row r="3577" spans="2:11" hidden="1">
      <c r="B3577" s="1348"/>
      <c r="C3577" s="1348"/>
      <c r="D3577" s="1348"/>
      <c r="E3577" s="1348"/>
      <c r="F3577" s="1348"/>
      <c r="G3577" s="1348"/>
      <c r="H3577" s="1348"/>
      <c r="I3577" s="1348"/>
      <c r="J3577" s="1348"/>
      <c r="K3577" s="1348"/>
    </row>
    <row r="3578" spans="2:11" hidden="1">
      <c r="B3578" s="1348"/>
      <c r="C3578" s="1348"/>
      <c r="D3578" s="1348"/>
      <c r="E3578" s="1348"/>
      <c r="F3578" s="1348"/>
      <c r="G3578" s="1348"/>
      <c r="H3578" s="1348"/>
      <c r="I3578" s="1348"/>
      <c r="J3578" s="1348"/>
      <c r="K3578" s="1348"/>
    </row>
    <row r="3579" spans="2:11" hidden="1">
      <c r="B3579" s="1348"/>
      <c r="C3579" s="1348"/>
      <c r="D3579" s="1348"/>
      <c r="E3579" s="1348"/>
      <c r="F3579" s="1348"/>
      <c r="G3579" s="1348"/>
      <c r="H3579" s="1348"/>
      <c r="I3579" s="1348"/>
      <c r="J3579" s="1348"/>
      <c r="K3579" s="1348"/>
    </row>
    <row r="3580" spans="2:11" hidden="1">
      <c r="B3580" s="1348"/>
      <c r="C3580" s="1348"/>
      <c r="D3580" s="1348"/>
      <c r="E3580" s="1348"/>
      <c r="F3580" s="1348"/>
      <c r="G3580" s="1348"/>
      <c r="H3580" s="1348"/>
      <c r="I3580" s="1348"/>
      <c r="J3580" s="1348"/>
      <c r="K3580" s="1348"/>
    </row>
    <row r="3581" spans="2:11" hidden="1">
      <c r="B3581" s="1348"/>
      <c r="C3581" s="1348"/>
      <c r="D3581" s="1348"/>
      <c r="E3581" s="1348"/>
      <c r="F3581" s="1348"/>
      <c r="G3581" s="1348"/>
      <c r="H3581" s="1348"/>
      <c r="I3581" s="1348"/>
      <c r="J3581" s="1348"/>
      <c r="K3581" s="1348"/>
    </row>
    <row r="3582" spans="2:11" hidden="1">
      <c r="B3582" s="1348"/>
      <c r="C3582" s="1348"/>
      <c r="D3582" s="1348"/>
      <c r="E3582" s="1348"/>
      <c r="F3582" s="1348"/>
      <c r="G3582" s="1348"/>
      <c r="H3582" s="1348"/>
      <c r="I3582" s="1348"/>
      <c r="J3582" s="1348"/>
      <c r="K3582" s="1348"/>
    </row>
    <row r="3583" spans="2:11" hidden="1">
      <c r="B3583" s="1348"/>
      <c r="C3583" s="1348"/>
      <c r="D3583" s="1348"/>
      <c r="E3583" s="1348"/>
      <c r="F3583" s="1348"/>
      <c r="G3583" s="1348"/>
      <c r="H3583" s="1348"/>
      <c r="I3583" s="1348"/>
      <c r="J3583" s="1348"/>
      <c r="K3583" s="1348"/>
    </row>
    <row r="3584" spans="2:11" hidden="1">
      <c r="B3584" s="1348"/>
      <c r="C3584" s="1348"/>
      <c r="D3584" s="1348"/>
      <c r="E3584" s="1348"/>
      <c r="F3584" s="1348"/>
      <c r="G3584" s="1348"/>
      <c r="H3584" s="1348"/>
      <c r="I3584" s="1348"/>
      <c r="J3584" s="1348"/>
      <c r="K3584" s="1348"/>
    </row>
    <row r="3585" spans="2:11" hidden="1">
      <c r="B3585" s="1348"/>
      <c r="C3585" s="1348"/>
      <c r="D3585" s="1348"/>
      <c r="E3585" s="1348"/>
      <c r="F3585" s="1348"/>
      <c r="G3585" s="1348"/>
      <c r="H3585" s="1348"/>
      <c r="I3585" s="1348"/>
      <c r="J3585" s="1348"/>
      <c r="K3585" s="1348"/>
    </row>
    <row r="3586" spans="2:11" hidden="1">
      <c r="B3586" s="1348"/>
      <c r="C3586" s="1348"/>
      <c r="D3586" s="1348"/>
      <c r="E3586" s="1348"/>
      <c r="F3586" s="1348"/>
      <c r="G3586" s="1348"/>
      <c r="H3586" s="1348"/>
      <c r="I3586" s="1348"/>
      <c r="J3586" s="1348"/>
      <c r="K3586" s="1348"/>
    </row>
    <row r="3587" spans="2:11" hidden="1">
      <c r="B3587" s="1348"/>
      <c r="C3587" s="1348"/>
      <c r="D3587" s="1348"/>
      <c r="E3587" s="1348"/>
      <c r="F3587" s="1348"/>
      <c r="G3587" s="1348"/>
      <c r="H3587" s="1348"/>
      <c r="I3587" s="1348"/>
      <c r="J3587" s="1348"/>
      <c r="K3587" s="1348"/>
    </row>
    <row r="3588" spans="2:11" hidden="1">
      <c r="B3588" s="1348"/>
      <c r="C3588" s="1348"/>
      <c r="D3588" s="1348"/>
      <c r="E3588" s="1348"/>
      <c r="F3588" s="1348"/>
      <c r="G3588" s="1348"/>
      <c r="H3588" s="1348"/>
      <c r="I3588" s="1348"/>
      <c r="J3588" s="1348"/>
      <c r="K3588" s="1348"/>
    </row>
    <row r="3589" spans="2:11" hidden="1">
      <c r="B3589" s="1348"/>
      <c r="C3589" s="1348"/>
      <c r="D3589" s="1348"/>
      <c r="E3589" s="1348"/>
      <c r="F3589" s="1348"/>
      <c r="G3589" s="1348"/>
      <c r="H3589" s="1348"/>
      <c r="I3589" s="1348"/>
      <c r="J3589" s="1348"/>
      <c r="K3589" s="1348"/>
    </row>
    <row r="3590" spans="2:11" hidden="1">
      <c r="B3590" s="1348"/>
      <c r="C3590" s="1348"/>
      <c r="D3590" s="1348"/>
      <c r="E3590" s="1348"/>
      <c r="F3590" s="1348"/>
      <c r="G3590" s="1348"/>
      <c r="H3590" s="1348"/>
      <c r="I3590" s="1348"/>
      <c r="J3590" s="1348"/>
      <c r="K3590" s="1348"/>
    </row>
    <row r="3591" spans="2:11" hidden="1">
      <c r="B3591" s="1348"/>
      <c r="C3591" s="1348"/>
      <c r="D3591" s="1348"/>
      <c r="E3591" s="1348"/>
      <c r="F3591" s="1348"/>
      <c r="G3591" s="1348"/>
      <c r="H3591" s="1348"/>
      <c r="I3591" s="1348"/>
      <c r="J3591" s="1348"/>
      <c r="K3591" s="1348"/>
    </row>
    <row r="3592" spans="2:11" hidden="1">
      <c r="B3592" s="1348"/>
      <c r="C3592" s="1348"/>
      <c r="D3592" s="1348"/>
      <c r="E3592" s="1348"/>
      <c r="F3592" s="1348"/>
      <c r="G3592" s="1348"/>
      <c r="H3592" s="1348"/>
      <c r="I3592" s="1348"/>
      <c r="J3592" s="1348"/>
      <c r="K3592" s="1348"/>
    </row>
    <row r="3593" spans="2:11" hidden="1">
      <c r="B3593" s="1348"/>
      <c r="C3593" s="1348"/>
      <c r="D3593" s="1348"/>
      <c r="E3593" s="1348"/>
      <c r="F3593" s="1348"/>
      <c r="G3593" s="1348"/>
      <c r="H3593" s="1348"/>
      <c r="I3593" s="1348"/>
      <c r="J3593" s="1348"/>
      <c r="K3593" s="1348"/>
    </row>
    <row r="3594" spans="2:11" hidden="1">
      <c r="B3594" s="1348"/>
      <c r="C3594" s="1348"/>
      <c r="D3594" s="1348"/>
      <c r="E3594" s="1348"/>
      <c r="F3594" s="1348"/>
      <c r="G3594" s="1348"/>
      <c r="H3594" s="1348"/>
      <c r="I3594" s="1348"/>
      <c r="J3594" s="1348"/>
      <c r="K3594" s="1348"/>
    </row>
    <row r="3595" spans="2:11" hidden="1">
      <c r="B3595" s="1348"/>
      <c r="C3595" s="1348"/>
      <c r="D3595" s="1348"/>
      <c r="E3595" s="1348"/>
      <c r="F3595" s="1348"/>
      <c r="G3595" s="1348"/>
      <c r="H3595" s="1348"/>
      <c r="I3595" s="1348"/>
      <c r="J3595" s="1348"/>
      <c r="K3595" s="1348"/>
    </row>
    <row r="3596" spans="2:11" hidden="1">
      <c r="B3596" s="1348"/>
      <c r="C3596" s="1348"/>
      <c r="D3596" s="1348"/>
      <c r="E3596" s="1348"/>
      <c r="F3596" s="1348"/>
      <c r="G3596" s="1348"/>
      <c r="H3596" s="1348"/>
      <c r="I3596" s="1348"/>
      <c r="J3596" s="1348"/>
      <c r="K3596" s="1348"/>
    </row>
    <row r="3597" spans="2:11" hidden="1">
      <c r="B3597" s="1348"/>
      <c r="C3597" s="1348"/>
      <c r="D3597" s="1348"/>
      <c r="E3597" s="1348"/>
      <c r="F3597" s="1348"/>
      <c r="G3597" s="1348"/>
      <c r="H3597" s="1348"/>
      <c r="I3597" s="1348"/>
      <c r="J3597" s="1348"/>
      <c r="K3597" s="1348"/>
    </row>
    <row r="3598" spans="2:11" hidden="1">
      <c r="B3598" s="1348"/>
      <c r="C3598" s="1348"/>
      <c r="D3598" s="1348"/>
      <c r="E3598" s="1348"/>
      <c r="F3598" s="1348"/>
      <c r="G3598" s="1348"/>
      <c r="H3598" s="1348"/>
      <c r="I3598" s="1348"/>
      <c r="J3598" s="1348"/>
      <c r="K3598" s="1348"/>
    </row>
    <row r="3599" spans="2:11" hidden="1">
      <c r="B3599" s="1348"/>
      <c r="C3599" s="1348"/>
      <c r="D3599" s="1348"/>
      <c r="E3599" s="1348"/>
      <c r="F3599" s="1348"/>
      <c r="G3599" s="1348"/>
      <c r="H3599" s="1348"/>
      <c r="I3599" s="1348"/>
      <c r="J3599" s="1348"/>
      <c r="K3599" s="1348"/>
    </row>
    <row r="3600" spans="2:11" hidden="1">
      <c r="B3600" s="1348"/>
      <c r="C3600" s="1348"/>
      <c r="D3600" s="1348"/>
      <c r="E3600" s="1348"/>
      <c r="F3600" s="1348"/>
      <c r="G3600" s="1348"/>
      <c r="H3600" s="1348"/>
      <c r="I3600" s="1348"/>
      <c r="J3600" s="1348"/>
      <c r="K3600" s="1348"/>
    </row>
    <row r="3601" spans="2:11" hidden="1">
      <c r="B3601" s="1348"/>
      <c r="C3601" s="1348"/>
      <c r="D3601" s="1348"/>
      <c r="E3601" s="1348"/>
      <c r="F3601" s="1348"/>
      <c r="G3601" s="1348"/>
      <c r="H3601" s="1348"/>
      <c r="I3601" s="1348"/>
      <c r="J3601" s="1348"/>
      <c r="K3601" s="1348"/>
    </row>
    <row r="3602" spans="2:11" hidden="1">
      <c r="B3602" s="1348"/>
      <c r="C3602" s="1348"/>
      <c r="D3602" s="1348"/>
      <c r="E3602" s="1348"/>
      <c r="F3602" s="1348"/>
      <c r="G3602" s="1348"/>
      <c r="H3602" s="1348"/>
      <c r="I3602" s="1348"/>
      <c r="J3602" s="1348"/>
      <c r="K3602" s="1348"/>
    </row>
    <row r="3603" spans="2:11" hidden="1">
      <c r="B3603" s="1348"/>
      <c r="C3603" s="1348"/>
      <c r="D3603" s="1348"/>
      <c r="E3603" s="1348"/>
      <c r="F3603" s="1348"/>
      <c r="G3603" s="1348"/>
      <c r="H3603" s="1348"/>
      <c r="I3603" s="1348"/>
      <c r="J3603" s="1348"/>
      <c r="K3603" s="1348"/>
    </row>
    <row r="3604" spans="2:11" hidden="1">
      <c r="B3604" s="1348"/>
      <c r="C3604" s="1348"/>
      <c r="D3604" s="1348"/>
      <c r="E3604" s="1348"/>
      <c r="F3604" s="1348"/>
      <c r="G3604" s="1348"/>
      <c r="H3604" s="1348"/>
      <c r="I3604" s="1348"/>
      <c r="J3604" s="1348"/>
      <c r="K3604" s="1348"/>
    </row>
    <row r="3605" spans="2:11" hidden="1">
      <c r="B3605" s="1348"/>
      <c r="C3605" s="1348"/>
      <c r="D3605" s="1348"/>
      <c r="E3605" s="1348"/>
      <c r="F3605" s="1348"/>
      <c r="G3605" s="1348"/>
      <c r="H3605" s="1348"/>
      <c r="I3605" s="1348"/>
      <c r="J3605" s="1348"/>
      <c r="K3605" s="1348"/>
    </row>
    <row r="3606" spans="2:11" hidden="1">
      <c r="B3606" s="1348"/>
      <c r="C3606" s="1348"/>
      <c r="D3606" s="1348"/>
      <c r="E3606" s="1348"/>
      <c r="F3606" s="1348"/>
      <c r="G3606" s="1348"/>
      <c r="H3606" s="1348"/>
      <c r="I3606" s="1348"/>
      <c r="J3606" s="1348"/>
      <c r="K3606" s="1348"/>
    </row>
    <row r="3607" spans="2:11" hidden="1">
      <c r="B3607" s="1348"/>
      <c r="C3607" s="1348"/>
      <c r="D3607" s="1348"/>
      <c r="E3607" s="1348"/>
      <c r="F3607" s="1348"/>
      <c r="G3607" s="1348"/>
      <c r="H3607" s="1348"/>
      <c r="I3607" s="1348"/>
      <c r="J3607" s="1348"/>
      <c r="K3607" s="1348"/>
    </row>
    <row r="3608" spans="2:11" hidden="1">
      <c r="B3608" s="1348"/>
      <c r="C3608" s="1348"/>
      <c r="D3608" s="1348"/>
      <c r="E3608" s="1348"/>
      <c r="F3608" s="1348"/>
      <c r="G3608" s="1348"/>
      <c r="H3608" s="1348"/>
      <c r="I3608" s="1348"/>
      <c r="J3608" s="1348"/>
      <c r="K3608" s="1348"/>
    </row>
    <row r="3609" spans="2:11" hidden="1">
      <c r="B3609" s="1348"/>
      <c r="C3609" s="1348"/>
      <c r="D3609" s="1348"/>
      <c r="E3609" s="1348"/>
      <c r="F3609" s="1348"/>
      <c r="G3609" s="1348"/>
      <c r="H3609" s="1348"/>
      <c r="I3609" s="1348"/>
      <c r="J3609" s="1348"/>
      <c r="K3609" s="1348"/>
    </row>
    <row r="3610" spans="2:11" hidden="1">
      <c r="B3610" s="1348"/>
      <c r="C3610" s="1348"/>
      <c r="D3610" s="1348"/>
      <c r="E3610" s="1348"/>
      <c r="F3610" s="1348"/>
      <c r="G3610" s="1348"/>
      <c r="H3610" s="1348"/>
      <c r="I3610" s="1348"/>
      <c r="J3610" s="1348"/>
      <c r="K3610" s="1348"/>
    </row>
    <row r="3611" spans="2:11" hidden="1">
      <c r="B3611" s="1348"/>
      <c r="C3611" s="1348"/>
      <c r="D3611" s="1348"/>
      <c r="E3611" s="1348"/>
      <c r="F3611" s="1348"/>
      <c r="G3611" s="1348"/>
      <c r="H3611" s="1348"/>
      <c r="I3611" s="1348"/>
      <c r="J3611" s="1348"/>
      <c r="K3611" s="1348"/>
    </row>
    <row r="3612" spans="2:11" hidden="1">
      <c r="B3612" s="1348"/>
      <c r="C3612" s="1348"/>
      <c r="D3612" s="1348"/>
      <c r="E3612" s="1348"/>
      <c r="F3612" s="1348"/>
      <c r="G3612" s="1348"/>
      <c r="H3612" s="1348"/>
      <c r="I3612" s="1348"/>
      <c r="J3612" s="1348"/>
      <c r="K3612" s="1348"/>
    </row>
    <row r="3613" spans="2:11" hidden="1">
      <c r="B3613" s="1348"/>
      <c r="C3613" s="1348"/>
      <c r="D3613" s="1348"/>
      <c r="E3613" s="1348"/>
      <c r="F3613" s="1348"/>
      <c r="G3613" s="1348"/>
      <c r="H3613" s="1348"/>
      <c r="I3613" s="1348"/>
      <c r="J3613" s="1348"/>
      <c r="K3613" s="1348"/>
    </row>
    <row r="3614" spans="2:11" hidden="1">
      <c r="B3614" s="1348"/>
      <c r="C3614" s="1348"/>
      <c r="D3614" s="1348"/>
      <c r="E3614" s="1348"/>
      <c r="F3614" s="1348"/>
      <c r="G3614" s="1348"/>
      <c r="H3614" s="1348"/>
      <c r="I3614" s="1348"/>
      <c r="J3614" s="1348"/>
      <c r="K3614" s="1348"/>
    </row>
    <row r="3615" spans="2:11" hidden="1">
      <c r="B3615" s="1348"/>
      <c r="C3615" s="1348"/>
      <c r="D3615" s="1348"/>
      <c r="E3615" s="1348"/>
      <c r="F3615" s="1348"/>
      <c r="G3615" s="1348"/>
      <c r="H3615" s="1348"/>
      <c r="I3615" s="1348"/>
      <c r="J3615" s="1348"/>
      <c r="K3615" s="1348"/>
    </row>
    <row r="3616" spans="2:11" hidden="1">
      <c r="B3616" s="1348"/>
      <c r="C3616" s="1348"/>
      <c r="D3616" s="1348"/>
      <c r="E3616" s="1348"/>
      <c r="F3616" s="1348"/>
      <c r="G3616" s="1348"/>
      <c r="H3616" s="1348"/>
      <c r="I3616" s="1348"/>
      <c r="J3616" s="1348"/>
      <c r="K3616" s="1348"/>
    </row>
    <row r="3617" spans="2:11" hidden="1">
      <c r="B3617" s="1348"/>
      <c r="C3617" s="1348"/>
      <c r="D3617" s="1348"/>
      <c r="E3617" s="1348"/>
      <c r="F3617" s="1348"/>
      <c r="G3617" s="1348"/>
      <c r="H3617" s="1348"/>
      <c r="I3617" s="1348"/>
      <c r="J3617" s="1348"/>
      <c r="K3617" s="1348"/>
    </row>
    <row r="3618" spans="2:11" hidden="1">
      <c r="B3618" s="1348"/>
      <c r="C3618" s="1348"/>
      <c r="D3618" s="1348"/>
      <c r="E3618" s="1348"/>
      <c r="F3618" s="1348"/>
      <c r="G3618" s="1348"/>
      <c r="H3618" s="1348"/>
      <c r="I3618" s="1348"/>
      <c r="J3618" s="1348"/>
      <c r="K3618" s="1348"/>
    </row>
    <row r="3619" spans="2:11" hidden="1">
      <c r="B3619" s="1348"/>
      <c r="C3619" s="1348"/>
      <c r="D3619" s="1348"/>
      <c r="E3619" s="1348"/>
      <c r="F3619" s="1348"/>
      <c r="G3619" s="1348"/>
      <c r="H3619" s="1348"/>
      <c r="I3619" s="1348"/>
      <c r="J3619" s="1348"/>
      <c r="K3619" s="1348"/>
    </row>
    <row r="3620" spans="2:11" hidden="1">
      <c r="B3620" s="1348"/>
      <c r="C3620" s="1348"/>
      <c r="D3620" s="1348"/>
      <c r="E3620" s="1348"/>
      <c r="F3620" s="1348"/>
      <c r="G3620" s="1348"/>
      <c r="H3620" s="1348"/>
      <c r="I3620" s="1348"/>
      <c r="J3620" s="1348"/>
      <c r="K3620" s="1348"/>
    </row>
    <row r="3621" spans="2:11" hidden="1">
      <c r="B3621" s="1348"/>
      <c r="C3621" s="1348"/>
      <c r="D3621" s="1348"/>
      <c r="E3621" s="1348"/>
      <c r="F3621" s="1348"/>
      <c r="G3621" s="1348"/>
      <c r="H3621" s="1348"/>
      <c r="I3621" s="1348"/>
      <c r="J3621" s="1348"/>
      <c r="K3621" s="1348"/>
    </row>
    <row r="3622" spans="2:11" hidden="1">
      <c r="B3622" s="1348"/>
      <c r="C3622" s="1348"/>
      <c r="D3622" s="1348"/>
      <c r="E3622" s="1348"/>
      <c r="F3622" s="1348"/>
      <c r="G3622" s="1348"/>
      <c r="H3622" s="1348"/>
      <c r="I3622" s="1348"/>
      <c r="J3622" s="1348"/>
      <c r="K3622" s="1348"/>
    </row>
    <row r="3623" spans="2:11" hidden="1">
      <c r="B3623" s="1348"/>
      <c r="C3623" s="1348"/>
      <c r="D3623" s="1348"/>
      <c r="E3623" s="1348"/>
      <c r="F3623" s="1348"/>
      <c r="G3623" s="1348"/>
      <c r="H3623" s="1348"/>
      <c r="I3623" s="1348"/>
      <c r="J3623" s="1348"/>
      <c r="K3623" s="1348"/>
    </row>
    <row r="3624" spans="2:11" hidden="1">
      <c r="B3624" s="1348"/>
      <c r="C3624" s="1348"/>
      <c r="D3624" s="1348"/>
      <c r="E3624" s="1348"/>
      <c r="F3624" s="1348"/>
      <c r="G3624" s="1348"/>
      <c r="H3624" s="1348"/>
      <c r="I3624" s="1348"/>
      <c r="J3624" s="1348"/>
      <c r="K3624" s="1348"/>
    </row>
    <row r="3625" spans="2:11" hidden="1">
      <c r="B3625" s="1348"/>
      <c r="C3625" s="1348"/>
      <c r="D3625" s="1348"/>
      <c r="E3625" s="1348"/>
      <c r="F3625" s="1348"/>
      <c r="G3625" s="1348"/>
      <c r="H3625" s="1348"/>
      <c r="I3625" s="1348"/>
      <c r="J3625" s="1348"/>
      <c r="K3625" s="1348"/>
    </row>
    <row r="3626" spans="2:11" hidden="1">
      <c r="B3626" s="1348"/>
      <c r="C3626" s="1348"/>
      <c r="D3626" s="1348"/>
      <c r="E3626" s="1348"/>
      <c r="F3626" s="1348"/>
      <c r="G3626" s="1348"/>
      <c r="H3626" s="1348"/>
      <c r="I3626" s="1348"/>
      <c r="J3626" s="1348"/>
      <c r="K3626" s="1348"/>
    </row>
    <row r="3627" spans="2:11" hidden="1">
      <c r="B3627" s="1348"/>
      <c r="C3627" s="1348"/>
      <c r="D3627" s="1348"/>
      <c r="E3627" s="1348"/>
      <c r="F3627" s="1348"/>
      <c r="G3627" s="1348"/>
      <c r="H3627" s="1348"/>
      <c r="I3627" s="1348"/>
      <c r="J3627" s="1348"/>
      <c r="K3627" s="1348"/>
    </row>
    <row r="3628" spans="2:11" hidden="1">
      <c r="B3628" s="1348"/>
      <c r="C3628" s="1348"/>
      <c r="D3628" s="1348"/>
      <c r="E3628" s="1348"/>
      <c r="F3628" s="1348"/>
      <c r="G3628" s="1348"/>
      <c r="H3628" s="1348"/>
      <c r="I3628" s="1348"/>
      <c r="J3628" s="1348"/>
      <c r="K3628" s="1348"/>
    </row>
    <row r="3629" spans="2:11" hidden="1">
      <c r="B3629" s="1348"/>
      <c r="C3629" s="1348"/>
      <c r="D3629" s="1348"/>
      <c r="E3629" s="1348"/>
      <c r="F3629" s="1348"/>
      <c r="G3629" s="1348"/>
      <c r="H3629" s="1348"/>
      <c r="I3629" s="1348"/>
      <c r="J3629" s="1348"/>
      <c r="K3629" s="1348"/>
    </row>
    <row r="3630" spans="2:11" hidden="1">
      <c r="B3630" s="1348"/>
      <c r="C3630" s="1348"/>
      <c r="D3630" s="1348"/>
      <c r="E3630" s="1348"/>
      <c r="F3630" s="1348"/>
      <c r="G3630" s="1348"/>
      <c r="H3630" s="1348"/>
      <c r="I3630" s="1348"/>
      <c r="J3630" s="1348"/>
      <c r="K3630" s="1348"/>
    </row>
    <row r="3631" spans="2:11" hidden="1">
      <c r="B3631" s="1348"/>
      <c r="C3631" s="1348"/>
      <c r="D3631" s="1348"/>
      <c r="E3631" s="1348"/>
      <c r="F3631" s="1348"/>
      <c r="G3631" s="1348"/>
      <c r="H3631" s="1348"/>
      <c r="I3631" s="1348"/>
      <c r="J3631" s="1348"/>
      <c r="K3631" s="1348"/>
    </row>
    <row r="3632" spans="2:11" hidden="1">
      <c r="B3632" s="1348"/>
      <c r="C3632" s="1348"/>
      <c r="D3632" s="1348"/>
      <c r="E3632" s="1348"/>
      <c r="F3632" s="1348"/>
      <c r="G3632" s="1348"/>
      <c r="H3632" s="1348"/>
      <c r="I3632" s="1348"/>
      <c r="J3632" s="1348"/>
      <c r="K3632" s="1348"/>
    </row>
    <row r="3633" spans="2:11" hidden="1">
      <c r="B3633" s="1348"/>
      <c r="C3633" s="1348"/>
      <c r="D3633" s="1348"/>
      <c r="E3633" s="1348"/>
      <c r="F3633" s="1348"/>
      <c r="G3633" s="1348"/>
      <c r="H3633" s="1348"/>
      <c r="I3633" s="1348"/>
      <c r="J3633" s="1348"/>
      <c r="K3633" s="1348"/>
    </row>
    <row r="3634" spans="2:11" hidden="1">
      <c r="B3634" s="1348"/>
      <c r="C3634" s="1348"/>
      <c r="D3634" s="1348"/>
      <c r="E3634" s="1348"/>
      <c r="F3634" s="1348"/>
      <c r="G3634" s="1348"/>
      <c r="H3634" s="1348"/>
      <c r="I3634" s="1348"/>
      <c r="J3634" s="1348"/>
      <c r="K3634" s="1348"/>
    </row>
    <row r="3635" spans="2:11" hidden="1">
      <c r="B3635" s="1348"/>
      <c r="C3635" s="1348"/>
      <c r="D3635" s="1348"/>
      <c r="E3635" s="1348"/>
      <c r="F3635" s="1348"/>
      <c r="G3635" s="1348"/>
      <c r="H3635" s="1348"/>
      <c r="I3635" s="1348"/>
      <c r="J3635" s="1348"/>
      <c r="K3635" s="1348"/>
    </row>
    <row r="3636" spans="2:11" hidden="1">
      <c r="B3636" s="1348"/>
      <c r="C3636" s="1348"/>
      <c r="D3636" s="1348"/>
      <c r="E3636" s="1348"/>
      <c r="F3636" s="1348"/>
      <c r="G3636" s="1348"/>
      <c r="H3636" s="1348"/>
      <c r="I3636" s="1348"/>
      <c r="J3636" s="1348"/>
      <c r="K3636" s="1348"/>
    </row>
    <row r="3637" spans="2:11" hidden="1">
      <c r="B3637" s="1348"/>
      <c r="C3637" s="1348"/>
      <c r="D3637" s="1348"/>
      <c r="E3637" s="1348"/>
      <c r="F3637" s="1348"/>
      <c r="G3637" s="1348"/>
      <c r="H3637" s="1348"/>
      <c r="I3637" s="1348"/>
      <c r="J3637" s="1348"/>
      <c r="K3637" s="1348"/>
    </row>
    <row r="3638" spans="2:11" hidden="1">
      <c r="B3638" s="1348"/>
      <c r="C3638" s="1348"/>
      <c r="D3638" s="1348"/>
      <c r="E3638" s="1348"/>
      <c r="F3638" s="1348"/>
      <c r="G3638" s="1348"/>
      <c r="H3638" s="1348"/>
      <c r="I3638" s="1348"/>
      <c r="J3638" s="1348"/>
      <c r="K3638" s="1348"/>
    </row>
    <row r="3639" spans="2:11" hidden="1">
      <c r="B3639" s="1348"/>
      <c r="C3639" s="1348"/>
      <c r="D3639" s="1348"/>
      <c r="E3639" s="1348"/>
      <c r="F3639" s="1348"/>
      <c r="G3639" s="1348"/>
      <c r="H3639" s="1348"/>
      <c r="I3639" s="1348"/>
      <c r="J3639" s="1348"/>
      <c r="K3639" s="1348"/>
    </row>
    <row r="3640" spans="2:11" hidden="1">
      <c r="B3640" s="1348"/>
      <c r="C3640" s="1348"/>
      <c r="D3640" s="1348"/>
      <c r="E3640" s="1348"/>
      <c r="F3640" s="1348"/>
      <c r="G3640" s="1348"/>
      <c r="H3640" s="1348"/>
      <c r="I3640" s="1348"/>
      <c r="J3640" s="1348"/>
      <c r="K3640" s="1348"/>
    </row>
    <row r="3641" spans="2:11" hidden="1">
      <c r="B3641" s="1348"/>
      <c r="C3641" s="1348"/>
      <c r="D3641" s="1348"/>
      <c r="E3641" s="1348"/>
      <c r="F3641" s="1348"/>
      <c r="G3641" s="1348"/>
      <c r="H3641" s="1348"/>
      <c r="I3641" s="1348"/>
      <c r="J3641" s="1348"/>
      <c r="K3641" s="1348"/>
    </row>
    <row r="3642" spans="2:11" hidden="1">
      <c r="B3642" s="1348"/>
      <c r="C3642" s="1348"/>
      <c r="D3642" s="1348"/>
      <c r="E3642" s="1348"/>
      <c r="F3642" s="1348"/>
      <c r="G3642" s="1348"/>
      <c r="H3642" s="1348"/>
      <c r="I3642" s="1348"/>
      <c r="J3642" s="1348"/>
      <c r="K3642" s="1348"/>
    </row>
    <row r="3643" spans="2:11" hidden="1">
      <c r="B3643" s="1348"/>
      <c r="C3643" s="1348"/>
      <c r="D3643" s="1348"/>
      <c r="E3643" s="1348"/>
      <c r="F3643" s="1348"/>
      <c r="G3643" s="1348"/>
      <c r="H3643" s="1348"/>
      <c r="I3643" s="1348"/>
      <c r="J3643" s="1348"/>
      <c r="K3643" s="1348"/>
    </row>
    <row r="3644" spans="2:11" hidden="1">
      <c r="B3644" s="1348"/>
      <c r="C3644" s="1348"/>
      <c r="D3644" s="1348"/>
      <c r="E3644" s="1348"/>
      <c r="F3644" s="1348"/>
      <c r="G3644" s="1348"/>
      <c r="H3644" s="1348"/>
      <c r="I3644" s="1348"/>
      <c r="J3644" s="1348"/>
      <c r="K3644" s="1348"/>
    </row>
    <row r="3645" spans="2:11" hidden="1">
      <c r="B3645" s="1348"/>
      <c r="C3645" s="1348"/>
      <c r="D3645" s="1348"/>
      <c r="E3645" s="1348"/>
      <c r="F3645" s="1348"/>
      <c r="G3645" s="1348"/>
      <c r="H3645" s="1348"/>
      <c r="I3645" s="1348"/>
      <c r="J3645" s="1348"/>
      <c r="K3645" s="1348"/>
    </row>
    <row r="3646" spans="2:11" hidden="1">
      <c r="B3646" s="1348"/>
      <c r="C3646" s="1348"/>
      <c r="D3646" s="1348"/>
      <c r="E3646" s="1348"/>
      <c r="F3646" s="1348"/>
      <c r="G3646" s="1348"/>
      <c r="H3646" s="1348"/>
      <c r="I3646" s="1348"/>
      <c r="J3646" s="1348"/>
      <c r="K3646" s="1348"/>
    </row>
    <row r="3647" spans="2:11" hidden="1">
      <c r="B3647" s="1348"/>
      <c r="C3647" s="1348"/>
      <c r="D3647" s="1348"/>
      <c r="E3647" s="1348"/>
      <c r="F3647" s="1348"/>
      <c r="G3647" s="1348"/>
      <c r="H3647" s="1348"/>
      <c r="I3647" s="1348"/>
      <c r="J3647" s="1348"/>
      <c r="K3647" s="1348"/>
    </row>
    <row r="3648" spans="2:11" hidden="1">
      <c r="B3648" s="1348"/>
      <c r="C3648" s="1348"/>
      <c r="D3648" s="1348"/>
      <c r="E3648" s="1348"/>
      <c r="F3648" s="1348"/>
      <c r="G3648" s="1348"/>
      <c r="H3648" s="1348"/>
      <c r="I3648" s="1348"/>
      <c r="J3648" s="1348"/>
      <c r="K3648" s="1348"/>
    </row>
    <row r="3649" spans="2:11" hidden="1">
      <c r="B3649" s="1348"/>
      <c r="C3649" s="1348"/>
      <c r="D3649" s="1348"/>
      <c r="E3649" s="1348"/>
      <c r="F3649" s="1348"/>
      <c r="G3649" s="1348"/>
      <c r="H3649" s="1348"/>
      <c r="I3649" s="1348"/>
      <c r="J3649" s="1348"/>
      <c r="K3649" s="1348"/>
    </row>
    <row r="3650" spans="2:11" hidden="1">
      <c r="B3650" s="1348"/>
      <c r="C3650" s="1348"/>
      <c r="D3650" s="1348"/>
      <c r="E3650" s="1348"/>
      <c r="F3650" s="1348"/>
      <c r="G3650" s="1348"/>
      <c r="H3650" s="1348"/>
      <c r="I3650" s="1348"/>
      <c r="J3650" s="1348"/>
      <c r="K3650" s="1348"/>
    </row>
    <row r="3651" spans="2:11" hidden="1">
      <c r="B3651" s="1348"/>
      <c r="C3651" s="1348"/>
      <c r="D3651" s="1348"/>
      <c r="E3651" s="1348"/>
      <c r="F3651" s="1348"/>
      <c r="G3651" s="1348"/>
      <c r="H3651" s="1348"/>
      <c r="I3651" s="1348"/>
      <c r="J3651" s="1348"/>
      <c r="K3651" s="1348"/>
    </row>
    <row r="3652" spans="2:11" hidden="1">
      <c r="B3652" s="1348"/>
      <c r="C3652" s="1348"/>
      <c r="D3652" s="1348"/>
      <c r="E3652" s="1348"/>
      <c r="F3652" s="1348"/>
      <c r="G3652" s="1348"/>
      <c r="H3652" s="1348"/>
      <c r="I3652" s="1348"/>
      <c r="J3652" s="1348"/>
      <c r="K3652" s="1348"/>
    </row>
    <row r="3653" spans="2:11" hidden="1">
      <c r="B3653" s="1348"/>
      <c r="C3653" s="1348"/>
      <c r="D3653" s="1348"/>
      <c r="E3653" s="1348"/>
      <c r="F3653" s="1348"/>
      <c r="G3653" s="1348"/>
      <c r="H3653" s="1348"/>
      <c r="I3653" s="1348"/>
      <c r="J3653" s="1348"/>
      <c r="K3653" s="1348"/>
    </row>
    <row r="3654" spans="2:11" hidden="1">
      <c r="B3654" s="1348"/>
      <c r="C3654" s="1348"/>
      <c r="D3654" s="1348"/>
      <c r="E3654" s="1348"/>
      <c r="F3654" s="1348"/>
      <c r="G3654" s="1348"/>
      <c r="H3654" s="1348"/>
      <c r="I3654" s="1348"/>
      <c r="J3654" s="1348"/>
      <c r="K3654" s="1348"/>
    </row>
    <row r="3655" spans="2:11" hidden="1">
      <c r="B3655" s="1348"/>
      <c r="C3655" s="1348"/>
      <c r="D3655" s="1348"/>
      <c r="E3655" s="1348"/>
      <c r="F3655" s="1348"/>
      <c r="G3655" s="1348"/>
      <c r="H3655" s="1348"/>
      <c r="I3655" s="1348"/>
      <c r="J3655" s="1348"/>
      <c r="K3655" s="1348"/>
    </row>
    <row r="3656" spans="2:11" hidden="1">
      <c r="B3656" s="1348"/>
      <c r="C3656" s="1348"/>
      <c r="D3656" s="1348"/>
      <c r="E3656" s="1348"/>
      <c r="F3656" s="1348"/>
      <c r="G3656" s="1348"/>
      <c r="H3656" s="1348"/>
      <c r="I3656" s="1348"/>
      <c r="J3656" s="1348"/>
      <c r="K3656" s="1348"/>
    </row>
    <row r="3657" spans="2:11" hidden="1">
      <c r="B3657" s="1348"/>
      <c r="C3657" s="1348"/>
      <c r="D3657" s="1348"/>
      <c r="E3657" s="1348"/>
      <c r="F3657" s="1348"/>
      <c r="G3657" s="1348"/>
      <c r="H3657" s="1348"/>
      <c r="I3657" s="1348"/>
      <c r="J3657" s="1348"/>
      <c r="K3657" s="1348"/>
    </row>
    <row r="3658" spans="2:11" hidden="1">
      <c r="B3658" s="1348"/>
      <c r="C3658" s="1348"/>
      <c r="D3658" s="1348"/>
      <c r="E3658" s="1348"/>
      <c r="F3658" s="1348"/>
      <c r="G3658" s="1348"/>
      <c r="H3658" s="1348"/>
      <c r="I3658" s="1348"/>
      <c r="J3658" s="1348"/>
      <c r="K3658" s="1348"/>
    </row>
    <row r="3659" spans="2:11" hidden="1">
      <c r="B3659" s="1348"/>
      <c r="C3659" s="1348"/>
      <c r="D3659" s="1348"/>
      <c r="E3659" s="1348"/>
      <c r="F3659" s="1348"/>
      <c r="G3659" s="1348"/>
      <c r="H3659" s="1348"/>
      <c r="I3659" s="1348"/>
      <c r="J3659" s="1348"/>
      <c r="K3659" s="1348"/>
    </row>
    <row r="3660" spans="2:11" hidden="1">
      <c r="B3660" s="1348"/>
      <c r="C3660" s="1348"/>
      <c r="D3660" s="1348"/>
      <c r="E3660" s="1348"/>
      <c r="F3660" s="1348"/>
      <c r="G3660" s="1348"/>
      <c r="H3660" s="1348"/>
      <c r="I3660" s="1348"/>
      <c r="J3660" s="1348"/>
      <c r="K3660" s="1348"/>
    </row>
    <row r="3661" spans="2:11" hidden="1">
      <c r="B3661" s="1348"/>
      <c r="C3661" s="1348"/>
      <c r="D3661" s="1348"/>
      <c r="E3661" s="1348"/>
      <c r="F3661" s="1348"/>
      <c r="G3661" s="1348"/>
      <c r="H3661" s="1348"/>
      <c r="I3661" s="1348"/>
      <c r="J3661" s="1348"/>
      <c r="K3661" s="1348"/>
    </row>
    <row r="3662" spans="2:11" hidden="1">
      <c r="B3662" s="1348"/>
      <c r="C3662" s="1348"/>
      <c r="D3662" s="1348"/>
      <c r="E3662" s="1348"/>
      <c r="F3662" s="1348"/>
      <c r="G3662" s="1348"/>
      <c r="H3662" s="1348"/>
      <c r="I3662" s="1348"/>
      <c r="J3662" s="1348"/>
      <c r="K3662" s="1348"/>
    </row>
    <row r="3663" spans="2:11" hidden="1">
      <c r="B3663" s="1348"/>
      <c r="C3663" s="1348"/>
      <c r="D3663" s="1348"/>
      <c r="E3663" s="1348"/>
      <c r="F3663" s="1348"/>
      <c r="G3663" s="1348"/>
      <c r="H3663" s="1348"/>
      <c r="I3663" s="1348"/>
      <c r="J3663" s="1348"/>
      <c r="K3663" s="1348"/>
    </row>
    <row r="3664" spans="2:11" hidden="1">
      <c r="B3664" s="1348"/>
      <c r="C3664" s="1348"/>
      <c r="D3664" s="1348"/>
      <c r="E3664" s="1348"/>
      <c r="F3664" s="1348"/>
      <c r="G3664" s="1348"/>
      <c r="H3664" s="1348"/>
      <c r="I3664" s="1348"/>
      <c r="J3664" s="1348"/>
      <c r="K3664" s="1348"/>
    </row>
    <row r="3665" spans="2:11" hidden="1">
      <c r="B3665" s="1348"/>
      <c r="C3665" s="1348"/>
      <c r="D3665" s="1348"/>
      <c r="E3665" s="1348"/>
      <c r="F3665" s="1348"/>
      <c r="G3665" s="1348"/>
      <c r="H3665" s="1348"/>
      <c r="I3665" s="1348"/>
      <c r="J3665" s="1348"/>
      <c r="K3665" s="1348"/>
    </row>
    <row r="3666" spans="2:11" hidden="1">
      <c r="B3666" s="1348"/>
      <c r="C3666" s="1348"/>
      <c r="D3666" s="1348"/>
      <c r="E3666" s="1348"/>
      <c r="F3666" s="1348"/>
      <c r="G3666" s="1348"/>
      <c r="H3666" s="1348"/>
      <c r="I3666" s="1348"/>
      <c r="J3666" s="1348"/>
      <c r="K3666" s="1348"/>
    </row>
    <row r="3667" spans="2:11" hidden="1">
      <c r="B3667" s="1348"/>
      <c r="C3667" s="1348"/>
      <c r="D3667" s="1348"/>
      <c r="E3667" s="1348"/>
      <c r="F3667" s="1348"/>
      <c r="G3667" s="1348"/>
      <c r="H3667" s="1348"/>
      <c r="I3667" s="1348"/>
      <c r="J3667" s="1348"/>
      <c r="K3667" s="1348"/>
    </row>
    <row r="3668" spans="2:11" hidden="1">
      <c r="B3668" s="1348"/>
      <c r="C3668" s="1348"/>
      <c r="D3668" s="1348"/>
      <c r="E3668" s="1348"/>
      <c r="F3668" s="1348"/>
      <c r="G3668" s="1348"/>
      <c r="H3668" s="1348"/>
      <c r="I3668" s="1348"/>
      <c r="J3668" s="1348"/>
      <c r="K3668" s="1348"/>
    </row>
    <row r="3669" spans="2:11" hidden="1">
      <c r="B3669" s="1348"/>
      <c r="C3669" s="1348"/>
      <c r="D3669" s="1348"/>
      <c r="E3669" s="1348"/>
      <c r="F3669" s="1348"/>
      <c r="G3669" s="1348"/>
      <c r="H3669" s="1348"/>
      <c r="I3669" s="1348"/>
      <c r="J3669" s="1348"/>
      <c r="K3669" s="1348"/>
    </row>
    <row r="3670" spans="2:11" hidden="1">
      <c r="B3670" s="1348"/>
      <c r="C3670" s="1348"/>
      <c r="D3670" s="1348"/>
      <c r="E3670" s="1348"/>
      <c r="F3670" s="1348"/>
      <c r="G3670" s="1348"/>
      <c r="H3670" s="1348"/>
      <c r="I3670" s="1348"/>
      <c r="J3670" s="1348"/>
      <c r="K3670" s="1348"/>
    </row>
    <row r="3671" spans="2:11" hidden="1">
      <c r="B3671" s="1348"/>
      <c r="C3671" s="1348"/>
      <c r="D3671" s="1348"/>
      <c r="E3671" s="1348"/>
      <c r="F3671" s="1348"/>
      <c r="G3671" s="1348"/>
      <c r="H3671" s="1348"/>
      <c r="I3671" s="1348"/>
      <c r="J3671" s="1348"/>
      <c r="K3671" s="1348"/>
    </row>
    <row r="3672" spans="2:11" hidden="1">
      <c r="B3672" s="1348"/>
      <c r="C3672" s="1348"/>
      <c r="D3672" s="1348"/>
      <c r="E3672" s="1348"/>
      <c r="F3672" s="1348"/>
      <c r="G3672" s="1348"/>
      <c r="H3672" s="1348"/>
      <c r="I3672" s="1348"/>
      <c r="J3672" s="1348"/>
      <c r="K3672" s="1348"/>
    </row>
    <row r="3673" spans="2:11" hidden="1">
      <c r="B3673" s="1348"/>
      <c r="C3673" s="1348"/>
      <c r="D3673" s="1348"/>
      <c r="E3673" s="1348"/>
      <c r="F3673" s="1348"/>
      <c r="G3673" s="1348"/>
      <c r="H3673" s="1348"/>
      <c r="I3673" s="1348"/>
      <c r="J3673" s="1348"/>
      <c r="K3673" s="1348"/>
    </row>
    <row r="3674" spans="2:11" hidden="1">
      <c r="B3674" s="1348"/>
      <c r="C3674" s="1348"/>
      <c r="D3674" s="1348"/>
      <c r="E3674" s="1348"/>
      <c r="F3674" s="1348"/>
      <c r="G3674" s="1348"/>
      <c r="H3674" s="1348"/>
      <c r="I3674" s="1348"/>
      <c r="J3674" s="1348"/>
      <c r="K3674" s="1348"/>
    </row>
    <row r="3675" spans="2:11" hidden="1">
      <c r="B3675" s="1348"/>
      <c r="C3675" s="1348"/>
      <c r="D3675" s="1348"/>
      <c r="E3675" s="1348"/>
      <c r="F3675" s="1348"/>
      <c r="G3675" s="1348"/>
      <c r="H3675" s="1348"/>
      <c r="I3675" s="1348"/>
      <c r="J3675" s="1348"/>
      <c r="K3675" s="1348"/>
    </row>
    <row r="3676" spans="2:11" hidden="1">
      <c r="B3676" s="1348"/>
      <c r="C3676" s="1348"/>
      <c r="D3676" s="1348"/>
      <c r="E3676" s="1348"/>
      <c r="F3676" s="1348"/>
      <c r="G3676" s="1348"/>
      <c r="H3676" s="1348"/>
      <c r="I3676" s="1348"/>
      <c r="J3676" s="1348"/>
      <c r="K3676" s="1348"/>
    </row>
    <row r="3677" spans="2:11" hidden="1">
      <c r="B3677" s="1348"/>
      <c r="C3677" s="1348"/>
      <c r="D3677" s="1348"/>
      <c r="E3677" s="1348"/>
      <c r="F3677" s="1348"/>
      <c r="G3677" s="1348"/>
      <c r="H3677" s="1348"/>
      <c r="I3677" s="1348"/>
      <c r="J3677" s="1348"/>
      <c r="K3677" s="1348"/>
    </row>
    <row r="3678" spans="2:11" hidden="1">
      <c r="B3678" s="1348"/>
      <c r="C3678" s="1348"/>
      <c r="D3678" s="1348"/>
      <c r="E3678" s="1348"/>
      <c r="F3678" s="1348"/>
      <c r="G3678" s="1348"/>
      <c r="H3678" s="1348"/>
      <c r="I3678" s="1348"/>
      <c r="J3678" s="1348"/>
      <c r="K3678" s="1348"/>
    </row>
    <row r="3679" spans="2:11" hidden="1">
      <c r="B3679" s="1348"/>
      <c r="C3679" s="1348"/>
      <c r="D3679" s="1348"/>
      <c r="E3679" s="1348"/>
      <c r="F3679" s="1348"/>
      <c r="G3679" s="1348"/>
      <c r="H3679" s="1348"/>
      <c r="I3679" s="1348"/>
      <c r="J3679" s="1348"/>
      <c r="K3679" s="1348"/>
    </row>
    <row r="3680" spans="2:11" hidden="1">
      <c r="B3680" s="1348"/>
      <c r="C3680" s="1348"/>
      <c r="D3680" s="1348"/>
      <c r="E3680" s="1348"/>
      <c r="F3680" s="1348"/>
      <c r="G3680" s="1348"/>
      <c r="H3680" s="1348"/>
      <c r="I3680" s="1348"/>
      <c r="J3680" s="1348"/>
      <c r="K3680" s="1348"/>
    </row>
    <row r="3681" spans="2:11" hidden="1">
      <c r="B3681" s="1348"/>
      <c r="C3681" s="1348"/>
      <c r="D3681" s="1348"/>
      <c r="E3681" s="1348"/>
      <c r="F3681" s="1348"/>
      <c r="G3681" s="1348"/>
      <c r="H3681" s="1348"/>
      <c r="I3681" s="1348"/>
      <c r="J3681" s="1348"/>
      <c r="K3681" s="1348"/>
    </row>
    <row r="3682" spans="2:11" hidden="1">
      <c r="B3682" s="1348"/>
      <c r="C3682" s="1348"/>
      <c r="D3682" s="1348"/>
      <c r="E3682" s="1348"/>
      <c r="F3682" s="1348"/>
      <c r="G3682" s="1348"/>
      <c r="H3682" s="1348"/>
      <c r="I3682" s="1348"/>
      <c r="J3682" s="1348"/>
      <c r="K3682" s="1348"/>
    </row>
    <row r="3683" spans="2:11" hidden="1">
      <c r="B3683" s="1348"/>
      <c r="C3683" s="1348"/>
      <c r="D3683" s="1348"/>
      <c r="E3683" s="1348"/>
      <c r="F3683" s="1348"/>
      <c r="G3683" s="1348"/>
      <c r="H3683" s="1348"/>
      <c r="I3683" s="1348"/>
      <c r="J3683" s="1348"/>
      <c r="K3683" s="1348"/>
    </row>
    <row r="3684" spans="2:11" hidden="1">
      <c r="B3684" s="1348"/>
      <c r="C3684" s="1348"/>
      <c r="D3684" s="1348"/>
      <c r="E3684" s="1348"/>
      <c r="F3684" s="1348"/>
      <c r="G3684" s="1348"/>
      <c r="H3684" s="1348"/>
      <c r="I3684" s="1348"/>
      <c r="J3684" s="1348"/>
      <c r="K3684" s="1348"/>
    </row>
    <row r="3685" spans="2:11" hidden="1">
      <c r="B3685" s="1348"/>
      <c r="C3685" s="1348"/>
      <c r="D3685" s="1348"/>
      <c r="E3685" s="1348"/>
      <c r="F3685" s="1348"/>
      <c r="G3685" s="1348"/>
      <c r="H3685" s="1348"/>
      <c r="I3685" s="1348"/>
      <c r="J3685" s="1348"/>
      <c r="K3685" s="1348"/>
    </row>
    <row r="3686" spans="2:11" hidden="1">
      <c r="B3686" s="1348"/>
      <c r="C3686" s="1348"/>
      <c r="D3686" s="1348"/>
      <c r="E3686" s="1348"/>
      <c r="F3686" s="1348"/>
      <c r="G3686" s="1348"/>
      <c r="H3686" s="1348"/>
      <c r="I3686" s="1348"/>
      <c r="J3686" s="1348"/>
      <c r="K3686" s="1348"/>
    </row>
    <row r="3687" spans="2:11" hidden="1">
      <c r="B3687" s="1348"/>
      <c r="C3687" s="1348"/>
      <c r="D3687" s="1348"/>
      <c r="E3687" s="1348"/>
      <c r="F3687" s="1348"/>
      <c r="G3687" s="1348"/>
      <c r="H3687" s="1348"/>
      <c r="I3687" s="1348"/>
      <c r="J3687" s="1348"/>
      <c r="K3687" s="1348"/>
    </row>
    <row r="3688" spans="2:11" hidden="1">
      <c r="B3688" s="1348"/>
      <c r="C3688" s="1348"/>
      <c r="D3688" s="1348"/>
      <c r="E3688" s="1348"/>
      <c r="F3688" s="1348"/>
      <c r="G3688" s="1348"/>
      <c r="H3688" s="1348"/>
      <c r="I3688" s="1348"/>
      <c r="J3688" s="1348"/>
      <c r="K3688" s="1348"/>
    </row>
    <row r="3689" spans="2:11" hidden="1">
      <c r="B3689" s="1348"/>
      <c r="C3689" s="1348"/>
      <c r="D3689" s="1348"/>
      <c r="E3689" s="1348"/>
      <c r="F3689" s="1348"/>
      <c r="G3689" s="1348"/>
      <c r="H3689" s="1348"/>
      <c r="I3689" s="1348"/>
      <c r="J3689" s="1348"/>
      <c r="K3689" s="1348"/>
    </row>
    <row r="3690" spans="2:11" hidden="1">
      <c r="B3690" s="1348"/>
      <c r="C3690" s="1348"/>
      <c r="D3690" s="1348"/>
      <c r="E3690" s="1348"/>
      <c r="F3690" s="1348"/>
      <c r="G3690" s="1348"/>
      <c r="H3690" s="1348"/>
      <c r="I3690" s="1348"/>
      <c r="J3690" s="1348"/>
      <c r="K3690" s="1348"/>
    </row>
    <row r="3691" spans="2:11" hidden="1">
      <c r="B3691" s="1348"/>
      <c r="C3691" s="1348"/>
      <c r="D3691" s="1348"/>
      <c r="E3691" s="1348"/>
      <c r="F3691" s="1348"/>
      <c r="G3691" s="1348"/>
      <c r="H3691" s="1348"/>
      <c r="I3691" s="1348"/>
      <c r="J3691" s="1348"/>
      <c r="K3691" s="1348"/>
    </row>
    <row r="3692" spans="2:11" hidden="1">
      <c r="B3692" s="1348"/>
      <c r="C3692" s="1348"/>
      <c r="D3692" s="1348"/>
      <c r="E3692" s="1348"/>
      <c r="F3692" s="1348"/>
      <c r="G3692" s="1348"/>
      <c r="H3692" s="1348"/>
      <c r="I3692" s="1348"/>
      <c r="J3692" s="1348"/>
      <c r="K3692" s="1348"/>
    </row>
    <row r="3693" spans="2:11" hidden="1">
      <c r="B3693" s="1348"/>
      <c r="C3693" s="1348"/>
      <c r="D3693" s="1348"/>
      <c r="E3693" s="1348"/>
      <c r="F3693" s="1348"/>
      <c r="G3693" s="1348"/>
      <c r="H3693" s="1348"/>
      <c r="I3693" s="1348"/>
      <c r="J3693" s="1348"/>
      <c r="K3693" s="1348"/>
    </row>
    <row r="3694" spans="2:11" hidden="1">
      <c r="B3694" s="1348"/>
      <c r="C3694" s="1348"/>
      <c r="D3694" s="1348"/>
      <c r="E3694" s="1348"/>
      <c r="F3694" s="1348"/>
      <c r="G3694" s="1348"/>
      <c r="H3694" s="1348"/>
      <c r="I3694" s="1348"/>
      <c r="J3694" s="1348"/>
      <c r="K3694" s="1348"/>
    </row>
    <row r="3695" spans="2:11" hidden="1">
      <c r="B3695" s="1348"/>
      <c r="C3695" s="1348"/>
      <c r="D3695" s="1348"/>
      <c r="E3695" s="1348"/>
      <c r="F3695" s="1348"/>
      <c r="G3695" s="1348"/>
      <c r="H3695" s="1348"/>
      <c r="I3695" s="1348"/>
      <c r="J3695" s="1348"/>
      <c r="K3695" s="1348"/>
    </row>
    <row r="3696" spans="2:11" hidden="1">
      <c r="B3696" s="1348"/>
      <c r="C3696" s="1348"/>
      <c r="D3696" s="1348"/>
      <c r="E3696" s="1348"/>
      <c r="F3696" s="1348"/>
      <c r="G3696" s="1348"/>
      <c r="H3696" s="1348"/>
      <c r="I3696" s="1348"/>
      <c r="J3696" s="1348"/>
      <c r="K3696" s="1348"/>
    </row>
    <row r="3697" spans="2:11" hidden="1">
      <c r="B3697" s="1348"/>
      <c r="C3697" s="1348"/>
      <c r="D3697" s="1348"/>
      <c r="E3697" s="1348"/>
      <c r="F3697" s="1348"/>
      <c r="G3697" s="1348"/>
      <c r="H3697" s="1348"/>
      <c r="I3697" s="1348"/>
      <c r="J3697" s="1348"/>
      <c r="K3697" s="1348"/>
    </row>
    <row r="3698" spans="2:11" hidden="1">
      <c r="B3698" s="1348"/>
      <c r="C3698" s="1348"/>
      <c r="D3698" s="1348"/>
      <c r="E3698" s="1348"/>
      <c r="F3698" s="1348"/>
      <c r="G3698" s="1348"/>
      <c r="H3698" s="1348"/>
      <c r="I3698" s="1348"/>
      <c r="J3698" s="1348"/>
      <c r="K3698" s="1348"/>
    </row>
    <row r="3699" spans="2:11" hidden="1">
      <c r="B3699" s="1348"/>
      <c r="C3699" s="1348"/>
      <c r="D3699" s="1348"/>
      <c r="E3699" s="1348"/>
      <c r="F3699" s="1348"/>
      <c r="G3699" s="1348"/>
      <c r="H3699" s="1348"/>
      <c r="I3699" s="1348"/>
      <c r="J3699" s="1348"/>
      <c r="K3699" s="1348"/>
    </row>
    <row r="3700" spans="2:11" hidden="1">
      <c r="B3700" s="1348"/>
      <c r="C3700" s="1348"/>
      <c r="D3700" s="1348"/>
      <c r="E3700" s="1348"/>
      <c r="F3700" s="1348"/>
      <c r="G3700" s="1348"/>
      <c r="H3700" s="1348"/>
      <c r="I3700" s="1348"/>
      <c r="J3700" s="1348"/>
      <c r="K3700" s="1348"/>
    </row>
    <row r="3701" spans="2:11" hidden="1">
      <c r="B3701" s="1348"/>
      <c r="C3701" s="1348"/>
      <c r="D3701" s="1348"/>
      <c r="E3701" s="1348"/>
      <c r="F3701" s="1348"/>
      <c r="G3701" s="1348"/>
      <c r="H3701" s="1348"/>
      <c r="I3701" s="1348"/>
      <c r="J3701" s="1348"/>
      <c r="K3701" s="1348"/>
    </row>
    <row r="3702" spans="2:11" hidden="1">
      <c r="B3702" s="1348"/>
      <c r="C3702" s="1348"/>
      <c r="D3702" s="1348"/>
      <c r="E3702" s="1348"/>
      <c r="F3702" s="1348"/>
      <c r="G3702" s="1348"/>
      <c r="H3702" s="1348"/>
      <c r="I3702" s="1348"/>
      <c r="J3702" s="1348"/>
      <c r="K3702" s="1348"/>
    </row>
    <row r="3703" spans="2:11" hidden="1">
      <c r="B3703" s="1348"/>
      <c r="C3703" s="1348"/>
      <c r="D3703" s="1348"/>
      <c r="E3703" s="1348"/>
      <c r="F3703" s="1348"/>
      <c r="G3703" s="1348"/>
      <c r="H3703" s="1348"/>
      <c r="I3703" s="1348"/>
      <c r="J3703" s="1348"/>
      <c r="K3703" s="1348"/>
    </row>
    <row r="3704" spans="2:11" hidden="1">
      <c r="B3704" s="1348"/>
      <c r="C3704" s="1348"/>
      <c r="D3704" s="1348"/>
      <c r="E3704" s="1348"/>
      <c r="F3704" s="1348"/>
      <c r="G3704" s="1348"/>
      <c r="H3704" s="1348"/>
      <c r="I3704" s="1348"/>
      <c r="J3704" s="1348"/>
      <c r="K3704" s="1348"/>
    </row>
    <row r="3705" spans="2:11" hidden="1">
      <c r="B3705" s="1348"/>
      <c r="C3705" s="1348"/>
      <c r="D3705" s="1348"/>
      <c r="E3705" s="1348"/>
      <c r="F3705" s="1348"/>
      <c r="G3705" s="1348"/>
      <c r="H3705" s="1348"/>
      <c r="I3705" s="1348"/>
      <c r="J3705" s="1348"/>
      <c r="K3705" s="1348"/>
    </row>
    <row r="3706" spans="2:11" hidden="1">
      <c r="B3706" s="1348"/>
      <c r="C3706" s="1348"/>
      <c r="D3706" s="1348"/>
      <c r="E3706" s="1348"/>
      <c r="F3706" s="1348"/>
      <c r="G3706" s="1348"/>
      <c r="H3706" s="1348"/>
      <c r="I3706" s="1348"/>
      <c r="J3706" s="1348"/>
      <c r="K3706" s="1348"/>
    </row>
    <row r="3707" spans="2:11" hidden="1">
      <c r="B3707" s="1348"/>
      <c r="C3707" s="1348"/>
      <c r="D3707" s="1348"/>
      <c r="E3707" s="1348"/>
      <c r="F3707" s="1348"/>
      <c r="G3707" s="1348"/>
      <c r="H3707" s="1348"/>
      <c r="I3707" s="1348"/>
      <c r="J3707" s="1348"/>
      <c r="K3707" s="1348"/>
    </row>
    <row r="3708" spans="2:11" hidden="1">
      <c r="B3708" s="1348"/>
      <c r="C3708" s="1348"/>
      <c r="D3708" s="1348"/>
      <c r="E3708" s="1348"/>
      <c r="F3708" s="1348"/>
      <c r="G3708" s="1348"/>
      <c r="H3708" s="1348"/>
      <c r="I3708" s="1348"/>
      <c r="J3708" s="1348"/>
      <c r="K3708" s="1348"/>
    </row>
    <row r="3709" spans="2:11" hidden="1">
      <c r="B3709" s="1348"/>
      <c r="C3709" s="1348"/>
      <c r="D3709" s="1348"/>
      <c r="E3709" s="1348"/>
      <c r="F3709" s="1348"/>
      <c r="G3709" s="1348"/>
      <c r="H3709" s="1348"/>
      <c r="I3709" s="1348"/>
      <c r="J3709" s="1348"/>
      <c r="K3709" s="1348"/>
    </row>
    <row r="3710" spans="2:11" hidden="1">
      <c r="B3710" s="1348"/>
      <c r="C3710" s="1348"/>
      <c r="D3710" s="1348"/>
      <c r="E3710" s="1348"/>
      <c r="F3710" s="1348"/>
      <c r="G3710" s="1348"/>
      <c r="H3710" s="1348"/>
      <c r="I3710" s="1348"/>
      <c r="J3710" s="1348"/>
      <c r="K3710" s="1348"/>
    </row>
    <row r="3711" spans="2:11" hidden="1">
      <c r="B3711" s="1348"/>
      <c r="C3711" s="1348"/>
      <c r="D3711" s="1348"/>
      <c r="E3711" s="1348"/>
      <c r="F3711" s="1348"/>
      <c r="G3711" s="1348"/>
      <c r="H3711" s="1348"/>
      <c r="I3711" s="1348"/>
      <c r="J3711" s="1348"/>
      <c r="K3711" s="1348"/>
    </row>
    <row r="3712" spans="2:11" hidden="1">
      <c r="B3712" s="1348"/>
      <c r="C3712" s="1348"/>
      <c r="D3712" s="1348"/>
      <c r="E3712" s="1348"/>
      <c r="F3712" s="1348"/>
      <c r="G3712" s="1348"/>
      <c r="H3712" s="1348"/>
      <c r="I3712" s="1348"/>
      <c r="J3712" s="1348"/>
      <c r="K3712" s="1348"/>
    </row>
    <row r="3713" spans="2:11" hidden="1">
      <c r="B3713" s="1348"/>
      <c r="C3713" s="1348"/>
      <c r="D3713" s="1348"/>
      <c r="E3713" s="1348"/>
      <c r="F3713" s="1348"/>
      <c r="G3713" s="1348"/>
      <c r="H3713" s="1348"/>
      <c r="I3713" s="1348"/>
      <c r="J3713" s="1348"/>
      <c r="K3713" s="1348"/>
    </row>
    <row r="3714" spans="2:11" hidden="1">
      <c r="B3714" s="1348"/>
      <c r="C3714" s="1348"/>
      <c r="D3714" s="1348"/>
      <c r="E3714" s="1348"/>
      <c r="F3714" s="1348"/>
      <c r="G3714" s="1348"/>
      <c r="H3714" s="1348"/>
      <c r="I3714" s="1348"/>
      <c r="J3714" s="1348"/>
      <c r="K3714" s="1348"/>
    </row>
    <row r="3715" spans="2:11" hidden="1">
      <c r="B3715" s="1348"/>
      <c r="C3715" s="1348"/>
      <c r="D3715" s="1348"/>
      <c r="E3715" s="1348"/>
      <c r="F3715" s="1348"/>
      <c r="G3715" s="1348"/>
      <c r="H3715" s="1348"/>
      <c r="I3715" s="1348"/>
      <c r="J3715" s="1348"/>
      <c r="K3715" s="1348"/>
    </row>
    <row r="3716" spans="2:11" hidden="1">
      <c r="B3716" s="1348"/>
      <c r="C3716" s="1348"/>
      <c r="D3716" s="1348"/>
      <c r="E3716" s="1348"/>
      <c r="F3716" s="1348"/>
      <c r="G3716" s="1348"/>
      <c r="H3716" s="1348"/>
      <c r="I3716" s="1348"/>
      <c r="J3716" s="1348"/>
      <c r="K3716" s="1348"/>
    </row>
    <row r="3717" spans="2:11" hidden="1">
      <c r="B3717" s="1348"/>
      <c r="C3717" s="1348"/>
      <c r="D3717" s="1348"/>
      <c r="E3717" s="1348"/>
      <c r="F3717" s="1348"/>
      <c r="G3717" s="1348"/>
      <c r="H3717" s="1348"/>
      <c r="I3717" s="1348"/>
      <c r="J3717" s="1348"/>
      <c r="K3717" s="1348"/>
    </row>
    <row r="3718" spans="2:11" hidden="1">
      <c r="B3718" s="1348"/>
      <c r="C3718" s="1348"/>
      <c r="D3718" s="1348"/>
      <c r="E3718" s="1348"/>
      <c r="F3718" s="1348"/>
      <c r="G3718" s="1348"/>
      <c r="H3718" s="1348"/>
      <c r="I3718" s="1348"/>
      <c r="J3718" s="1348"/>
      <c r="K3718" s="1348"/>
    </row>
    <row r="3719" spans="2:11" hidden="1">
      <c r="B3719" s="1348"/>
      <c r="C3719" s="1348"/>
      <c r="D3719" s="1348"/>
      <c r="E3719" s="1348"/>
      <c r="F3719" s="1348"/>
      <c r="G3719" s="1348"/>
      <c r="H3719" s="1348"/>
      <c r="I3719" s="1348"/>
      <c r="J3719" s="1348"/>
      <c r="K3719" s="1348"/>
    </row>
    <row r="3720" spans="2:11" hidden="1">
      <c r="B3720" s="1348"/>
      <c r="C3720" s="1348"/>
      <c r="D3720" s="1348"/>
      <c r="E3720" s="1348"/>
      <c r="F3720" s="1348"/>
      <c r="G3720" s="1348"/>
      <c r="H3720" s="1348"/>
      <c r="I3720" s="1348"/>
      <c r="J3720" s="1348"/>
      <c r="K3720" s="1348"/>
    </row>
    <row r="3721" spans="2:11" hidden="1">
      <c r="B3721" s="1348"/>
      <c r="C3721" s="1348"/>
      <c r="D3721" s="1348"/>
      <c r="E3721" s="1348"/>
      <c r="F3721" s="1348"/>
      <c r="G3721" s="1348"/>
      <c r="H3721" s="1348"/>
      <c r="I3721" s="1348"/>
      <c r="J3721" s="1348"/>
      <c r="K3721" s="1348"/>
    </row>
    <row r="3722" spans="2:11" hidden="1">
      <c r="B3722" s="1348"/>
      <c r="C3722" s="1348"/>
      <c r="D3722" s="1348"/>
      <c r="E3722" s="1348"/>
      <c r="F3722" s="1348"/>
      <c r="G3722" s="1348"/>
      <c r="H3722" s="1348"/>
      <c r="I3722" s="1348"/>
      <c r="J3722" s="1348"/>
      <c r="K3722" s="1348"/>
    </row>
    <row r="3723" spans="2:11" hidden="1">
      <c r="B3723" s="1348"/>
      <c r="C3723" s="1348"/>
      <c r="D3723" s="1348"/>
      <c r="E3723" s="1348"/>
      <c r="F3723" s="1348"/>
      <c r="G3723" s="1348"/>
      <c r="H3723" s="1348"/>
      <c r="I3723" s="1348"/>
      <c r="J3723" s="1348"/>
      <c r="K3723" s="1348"/>
    </row>
    <row r="3724" spans="2:11" hidden="1">
      <c r="B3724" s="1348"/>
      <c r="C3724" s="1348"/>
      <c r="D3724" s="1348"/>
      <c r="E3724" s="1348"/>
      <c r="F3724" s="1348"/>
      <c r="G3724" s="1348"/>
      <c r="H3724" s="1348"/>
      <c r="I3724" s="1348"/>
      <c r="J3724" s="1348"/>
      <c r="K3724" s="1348"/>
    </row>
    <row r="3725" spans="2:11" hidden="1">
      <c r="B3725" s="1348"/>
      <c r="C3725" s="1348"/>
      <c r="D3725" s="1348"/>
      <c r="E3725" s="1348"/>
      <c r="F3725" s="1348"/>
      <c r="G3725" s="1348"/>
      <c r="H3725" s="1348"/>
      <c r="I3725" s="1348"/>
      <c r="J3725" s="1348"/>
      <c r="K3725" s="1348"/>
    </row>
    <row r="3726" spans="2:11" hidden="1">
      <c r="B3726" s="1348"/>
      <c r="C3726" s="1348"/>
      <c r="D3726" s="1348"/>
      <c r="E3726" s="1348"/>
      <c r="F3726" s="1348"/>
      <c r="G3726" s="1348"/>
      <c r="H3726" s="1348"/>
      <c r="I3726" s="1348"/>
      <c r="J3726" s="1348"/>
      <c r="K3726" s="1348"/>
    </row>
    <row r="3727" spans="2:11" hidden="1">
      <c r="B3727" s="1348"/>
      <c r="C3727" s="1348"/>
      <c r="D3727" s="1348"/>
      <c r="E3727" s="1348"/>
      <c r="F3727" s="1348"/>
      <c r="G3727" s="1348"/>
      <c r="H3727" s="1348"/>
      <c r="I3727" s="1348"/>
      <c r="J3727" s="1348"/>
      <c r="K3727" s="1348"/>
    </row>
    <row r="3728" spans="2:11" hidden="1">
      <c r="B3728" s="1348"/>
      <c r="C3728" s="1348"/>
      <c r="D3728" s="1348"/>
      <c r="E3728" s="1348"/>
      <c r="F3728" s="1348"/>
      <c r="G3728" s="1348"/>
      <c r="H3728" s="1348"/>
      <c r="I3728" s="1348"/>
      <c r="J3728" s="1348"/>
      <c r="K3728" s="1348"/>
    </row>
    <row r="3729" spans="2:11" hidden="1">
      <c r="B3729" s="1348"/>
      <c r="C3729" s="1348"/>
      <c r="D3729" s="1348"/>
      <c r="E3729" s="1348"/>
      <c r="F3729" s="1348"/>
      <c r="G3729" s="1348"/>
      <c r="H3729" s="1348"/>
      <c r="I3729" s="1348"/>
      <c r="J3729" s="1348"/>
      <c r="K3729" s="1348"/>
    </row>
    <row r="3730" spans="2:11" hidden="1">
      <c r="B3730" s="1348"/>
      <c r="C3730" s="1348"/>
      <c r="D3730" s="1348"/>
      <c r="E3730" s="1348"/>
      <c r="F3730" s="1348"/>
      <c r="G3730" s="1348"/>
      <c r="H3730" s="1348"/>
      <c r="I3730" s="1348"/>
      <c r="J3730" s="1348"/>
      <c r="K3730" s="1348"/>
    </row>
    <row r="3731" spans="2:11" hidden="1">
      <c r="B3731" s="1348"/>
      <c r="C3731" s="1348"/>
      <c r="D3731" s="1348"/>
      <c r="E3731" s="1348"/>
      <c r="F3731" s="1348"/>
      <c r="G3731" s="1348"/>
      <c r="H3731" s="1348"/>
      <c r="I3731" s="1348"/>
      <c r="J3731" s="1348"/>
      <c r="K3731" s="1348"/>
    </row>
    <row r="3732" spans="2:11" hidden="1">
      <c r="B3732" s="1348"/>
      <c r="C3732" s="1348"/>
      <c r="D3732" s="1348"/>
      <c r="E3732" s="1348"/>
      <c r="F3732" s="1348"/>
      <c r="G3732" s="1348"/>
      <c r="H3732" s="1348"/>
      <c r="I3732" s="1348"/>
      <c r="J3732" s="1348"/>
      <c r="K3732" s="1348"/>
    </row>
    <row r="3733" spans="2:11" hidden="1">
      <c r="B3733" s="1348"/>
      <c r="C3733" s="1348"/>
      <c r="D3733" s="1348"/>
      <c r="E3733" s="1348"/>
      <c r="F3733" s="1348"/>
      <c r="G3733" s="1348"/>
      <c r="H3733" s="1348"/>
      <c r="I3733" s="1348"/>
      <c r="J3733" s="1348"/>
      <c r="K3733" s="1348"/>
    </row>
    <row r="3734" spans="2:11" hidden="1">
      <c r="B3734" s="1348"/>
      <c r="C3734" s="1348"/>
      <c r="D3734" s="1348"/>
      <c r="E3734" s="1348"/>
      <c r="F3734" s="1348"/>
      <c r="G3734" s="1348"/>
      <c r="H3734" s="1348"/>
      <c r="I3734" s="1348"/>
      <c r="J3734" s="1348"/>
      <c r="K3734" s="1348"/>
    </row>
    <row r="3735" spans="2:11" hidden="1">
      <c r="B3735" s="1348"/>
      <c r="C3735" s="1348"/>
      <c r="D3735" s="1348"/>
      <c r="E3735" s="1348"/>
      <c r="F3735" s="1348"/>
      <c r="G3735" s="1348"/>
      <c r="H3735" s="1348"/>
      <c r="I3735" s="1348"/>
      <c r="J3735" s="1348"/>
      <c r="K3735" s="1348"/>
    </row>
    <row r="3736" spans="2:11" hidden="1">
      <c r="B3736" s="1348"/>
      <c r="C3736" s="1348"/>
      <c r="D3736" s="1348"/>
      <c r="E3736" s="1348"/>
      <c r="F3736" s="1348"/>
      <c r="G3736" s="1348"/>
      <c r="H3736" s="1348"/>
      <c r="I3736" s="1348"/>
      <c r="J3736" s="1348"/>
      <c r="K3736" s="1348"/>
    </row>
    <row r="3737" spans="2:11" hidden="1">
      <c r="B3737" s="1348"/>
      <c r="C3737" s="1348"/>
      <c r="D3737" s="1348"/>
      <c r="E3737" s="1348"/>
      <c r="F3737" s="1348"/>
      <c r="G3737" s="1348"/>
      <c r="H3737" s="1348"/>
      <c r="I3737" s="1348"/>
      <c r="J3737" s="1348"/>
      <c r="K3737" s="1348"/>
    </row>
    <row r="3738" spans="2:11" hidden="1">
      <c r="B3738" s="1348"/>
      <c r="C3738" s="1348"/>
      <c r="D3738" s="1348"/>
      <c r="E3738" s="1348"/>
      <c r="F3738" s="1348"/>
      <c r="G3738" s="1348"/>
      <c r="H3738" s="1348"/>
      <c r="I3738" s="1348"/>
      <c r="J3738" s="1348"/>
      <c r="K3738" s="1348"/>
    </row>
    <row r="3739" spans="2:11" hidden="1">
      <c r="B3739" s="1348"/>
      <c r="C3739" s="1348"/>
      <c r="D3739" s="1348"/>
      <c r="E3739" s="1348"/>
      <c r="F3739" s="1348"/>
      <c r="G3739" s="1348"/>
      <c r="H3739" s="1348"/>
      <c r="I3739" s="1348"/>
      <c r="J3739" s="1348"/>
      <c r="K3739" s="1348"/>
    </row>
    <row r="3740" spans="2:11" hidden="1">
      <c r="B3740" s="1348"/>
      <c r="C3740" s="1348"/>
      <c r="D3740" s="1348"/>
      <c r="E3740" s="1348"/>
      <c r="F3740" s="1348"/>
      <c r="G3740" s="1348"/>
      <c r="H3740" s="1348"/>
      <c r="I3740" s="1348"/>
      <c r="J3740" s="1348"/>
      <c r="K3740" s="1348"/>
    </row>
    <row r="3741" spans="2:11" hidden="1">
      <c r="B3741" s="1348"/>
      <c r="C3741" s="1348"/>
      <c r="D3741" s="1348"/>
      <c r="E3741" s="1348"/>
      <c r="F3741" s="1348"/>
      <c r="G3741" s="1348"/>
      <c r="H3741" s="1348"/>
      <c r="I3741" s="1348"/>
      <c r="J3741" s="1348"/>
      <c r="K3741" s="1348"/>
    </row>
    <row r="3742" spans="2:11" hidden="1">
      <c r="B3742" s="1348"/>
      <c r="C3742" s="1348"/>
      <c r="D3742" s="1348"/>
      <c r="E3742" s="1348"/>
      <c r="F3742" s="1348"/>
      <c r="G3742" s="1348"/>
      <c r="H3742" s="1348"/>
      <c r="I3742" s="1348"/>
      <c r="J3742" s="1348"/>
      <c r="K3742" s="1348"/>
    </row>
    <row r="3743" spans="2:11" hidden="1">
      <c r="B3743" s="1348"/>
      <c r="C3743" s="1348"/>
      <c r="D3743" s="1348"/>
      <c r="E3743" s="1348"/>
      <c r="F3743" s="1348"/>
      <c r="G3743" s="1348"/>
      <c r="H3743" s="1348"/>
      <c r="I3743" s="1348"/>
      <c r="J3743" s="1348"/>
      <c r="K3743" s="1348"/>
    </row>
    <row r="3744" spans="2:11" hidden="1">
      <c r="B3744" s="1348"/>
      <c r="C3744" s="1348"/>
      <c r="D3744" s="1348"/>
      <c r="E3744" s="1348"/>
      <c r="F3744" s="1348"/>
      <c r="G3744" s="1348"/>
      <c r="H3744" s="1348"/>
      <c r="I3744" s="1348"/>
      <c r="J3744" s="1348"/>
      <c r="K3744" s="1348"/>
    </row>
    <row r="3745" spans="2:11" hidden="1">
      <c r="B3745" s="1348"/>
      <c r="C3745" s="1348"/>
      <c r="D3745" s="1348"/>
      <c r="E3745" s="1348"/>
      <c r="F3745" s="1348"/>
      <c r="G3745" s="1348"/>
      <c r="H3745" s="1348"/>
      <c r="I3745" s="1348"/>
      <c r="J3745" s="1348"/>
      <c r="K3745" s="1348"/>
    </row>
    <row r="3746" spans="2:11" hidden="1">
      <c r="B3746" s="1348"/>
      <c r="C3746" s="1348"/>
      <c r="D3746" s="1348"/>
      <c r="E3746" s="1348"/>
      <c r="F3746" s="1348"/>
      <c r="G3746" s="1348"/>
      <c r="H3746" s="1348"/>
      <c r="I3746" s="1348"/>
      <c r="J3746" s="1348"/>
      <c r="K3746" s="1348"/>
    </row>
    <row r="3747" spans="2:11" hidden="1">
      <c r="B3747" s="1348"/>
      <c r="C3747" s="1348"/>
      <c r="D3747" s="1348"/>
      <c r="E3747" s="1348"/>
      <c r="F3747" s="1348"/>
      <c r="G3747" s="1348"/>
      <c r="H3747" s="1348"/>
      <c r="I3747" s="1348"/>
      <c r="J3747" s="1348"/>
      <c r="K3747" s="1348"/>
    </row>
    <row r="3748" spans="2:11" hidden="1">
      <c r="B3748" s="1348"/>
      <c r="C3748" s="1348"/>
      <c r="D3748" s="1348"/>
      <c r="E3748" s="1348"/>
      <c r="F3748" s="1348"/>
      <c r="G3748" s="1348"/>
      <c r="H3748" s="1348"/>
      <c r="I3748" s="1348"/>
      <c r="J3748" s="1348"/>
      <c r="K3748" s="1348"/>
    </row>
    <row r="3749" spans="2:11" hidden="1">
      <c r="B3749" s="1348"/>
      <c r="C3749" s="1348"/>
      <c r="D3749" s="1348"/>
      <c r="E3749" s="1348"/>
      <c r="F3749" s="1348"/>
      <c r="G3749" s="1348"/>
      <c r="H3749" s="1348"/>
      <c r="I3749" s="1348"/>
      <c r="J3749" s="1348"/>
      <c r="K3749" s="1348"/>
    </row>
    <row r="3750" spans="2:11" hidden="1">
      <c r="B3750" s="1348"/>
      <c r="C3750" s="1348"/>
      <c r="D3750" s="1348"/>
      <c r="E3750" s="1348"/>
      <c r="F3750" s="1348"/>
      <c r="G3750" s="1348"/>
      <c r="H3750" s="1348"/>
      <c r="I3750" s="1348"/>
      <c r="J3750" s="1348"/>
      <c r="K3750" s="1348"/>
    </row>
    <row r="3751" spans="2:11" hidden="1">
      <c r="B3751" s="1348"/>
      <c r="C3751" s="1348"/>
      <c r="D3751" s="1348"/>
      <c r="E3751" s="1348"/>
      <c r="F3751" s="1348"/>
      <c r="G3751" s="1348"/>
      <c r="H3751" s="1348"/>
      <c r="I3751" s="1348"/>
      <c r="J3751" s="1348"/>
      <c r="K3751" s="1348"/>
    </row>
    <row r="3752" spans="2:11" hidden="1">
      <c r="B3752" s="1348"/>
      <c r="C3752" s="1348"/>
      <c r="D3752" s="1348"/>
      <c r="E3752" s="1348"/>
      <c r="F3752" s="1348"/>
      <c r="G3752" s="1348"/>
      <c r="H3752" s="1348"/>
      <c r="I3752" s="1348"/>
      <c r="J3752" s="1348"/>
      <c r="K3752" s="1348"/>
    </row>
    <row r="3753" spans="2:11" hidden="1">
      <c r="B3753" s="1348"/>
      <c r="C3753" s="1348"/>
      <c r="D3753" s="1348"/>
      <c r="E3753" s="1348"/>
      <c r="F3753" s="1348"/>
      <c r="G3753" s="1348"/>
      <c r="H3753" s="1348"/>
      <c r="I3753" s="1348"/>
      <c r="J3753" s="1348"/>
      <c r="K3753" s="1348"/>
    </row>
    <row r="3754" spans="2:11" hidden="1">
      <c r="B3754" s="1348"/>
      <c r="C3754" s="1348"/>
      <c r="D3754" s="1348"/>
      <c r="E3754" s="1348"/>
      <c r="F3754" s="1348"/>
      <c r="G3754" s="1348"/>
      <c r="H3754" s="1348"/>
      <c r="I3754" s="1348"/>
      <c r="J3754" s="1348"/>
      <c r="K3754" s="1348"/>
    </row>
    <row r="3755" spans="2:11" hidden="1">
      <c r="B3755" s="1348"/>
      <c r="C3755" s="1348"/>
      <c r="D3755" s="1348"/>
      <c r="E3755" s="1348"/>
      <c r="F3755" s="1348"/>
      <c r="G3755" s="1348"/>
      <c r="H3755" s="1348"/>
      <c r="I3755" s="1348"/>
      <c r="J3755" s="1348"/>
      <c r="K3755" s="1348"/>
    </row>
    <row r="3756" spans="2:11" hidden="1">
      <c r="B3756" s="1348"/>
      <c r="C3756" s="1348"/>
      <c r="D3756" s="1348"/>
      <c r="E3756" s="1348"/>
      <c r="F3756" s="1348"/>
      <c r="G3756" s="1348"/>
      <c r="H3756" s="1348"/>
      <c r="I3756" s="1348"/>
      <c r="J3756" s="1348"/>
      <c r="K3756" s="1348"/>
    </row>
    <row r="3757" spans="2:11" hidden="1">
      <c r="B3757" s="1348"/>
      <c r="C3757" s="1348"/>
      <c r="D3757" s="1348"/>
      <c r="E3757" s="1348"/>
      <c r="F3757" s="1348"/>
      <c r="G3757" s="1348"/>
      <c r="H3757" s="1348"/>
      <c r="I3757" s="1348"/>
      <c r="J3757" s="1348"/>
      <c r="K3757" s="1348"/>
    </row>
    <row r="3758" spans="2:11" hidden="1">
      <c r="B3758" s="1348"/>
      <c r="C3758" s="1348"/>
      <c r="D3758" s="1348"/>
      <c r="E3758" s="1348"/>
      <c r="F3758" s="1348"/>
      <c r="G3758" s="1348"/>
      <c r="H3758" s="1348"/>
      <c r="I3758" s="1348"/>
      <c r="J3758" s="1348"/>
      <c r="K3758" s="1348"/>
    </row>
    <row r="3759" spans="2:11" hidden="1">
      <c r="B3759" s="1348"/>
      <c r="C3759" s="1348"/>
      <c r="D3759" s="1348"/>
      <c r="E3759" s="1348"/>
      <c r="F3759" s="1348"/>
      <c r="G3759" s="1348"/>
      <c r="H3759" s="1348"/>
      <c r="I3759" s="1348"/>
      <c r="J3759" s="1348"/>
      <c r="K3759" s="1348"/>
    </row>
    <row r="3760" spans="2:11" hidden="1">
      <c r="B3760" s="1348"/>
      <c r="C3760" s="1348"/>
      <c r="D3760" s="1348"/>
      <c r="E3760" s="1348"/>
      <c r="F3760" s="1348"/>
      <c r="G3760" s="1348"/>
      <c r="H3760" s="1348"/>
      <c r="I3760" s="1348"/>
      <c r="J3760" s="1348"/>
      <c r="K3760" s="1348"/>
    </row>
    <row r="3761" spans="2:11" hidden="1">
      <c r="B3761" s="1348"/>
      <c r="C3761" s="1348"/>
      <c r="D3761" s="1348"/>
      <c r="E3761" s="1348"/>
      <c r="F3761" s="1348"/>
      <c r="G3761" s="1348"/>
      <c r="H3761" s="1348"/>
      <c r="I3761" s="1348"/>
      <c r="J3761" s="1348"/>
      <c r="K3761" s="1348"/>
    </row>
    <row r="3762" spans="2:11" hidden="1">
      <c r="B3762" s="1348"/>
      <c r="C3762" s="1348"/>
      <c r="D3762" s="1348"/>
      <c r="E3762" s="1348"/>
      <c r="F3762" s="1348"/>
      <c r="G3762" s="1348"/>
      <c r="H3762" s="1348"/>
      <c r="I3762" s="1348"/>
      <c r="J3762" s="1348"/>
      <c r="K3762" s="1348"/>
    </row>
    <row r="3763" spans="2:11" hidden="1">
      <c r="B3763" s="1348"/>
      <c r="C3763" s="1348"/>
      <c r="D3763" s="1348"/>
      <c r="E3763" s="1348"/>
      <c r="F3763" s="1348"/>
      <c r="G3763" s="1348"/>
      <c r="H3763" s="1348"/>
      <c r="I3763" s="1348"/>
      <c r="J3763" s="1348"/>
      <c r="K3763" s="1348"/>
    </row>
    <row r="3764" spans="2:11" hidden="1">
      <c r="B3764" s="1348"/>
      <c r="C3764" s="1348"/>
      <c r="D3764" s="1348"/>
      <c r="E3764" s="1348"/>
      <c r="F3764" s="1348"/>
      <c r="G3764" s="1348"/>
      <c r="H3764" s="1348"/>
      <c r="I3764" s="1348"/>
      <c r="J3764" s="1348"/>
      <c r="K3764" s="1348"/>
    </row>
    <row r="3765" spans="2:11" hidden="1">
      <c r="B3765" s="1348"/>
      <c r="C3765" s="1348"/>
      <c r="D3765" s="1348"/>
      <c r="E3765" s="1348"/>
      <c r="F3765" s="1348"/>
      <c r="G3765" s="1348"/>
      <c r="H3765" s="1348"/>
      <c r="I3765" s="1348"/>
      <c r="J3765" s="1348"/>
      <c r="K3765" s="1348"/>
    </row>
    <row r="3766" spans="2:11" hidden="1">
      <c r="B3766" s="1348"/>
      <c r="C3766" s="1348"/>
      <c r="D3766" s="1348"/>
      <c r="E3766" s="1348"/>
      <c r="F3766" s="1348"/>
      <c r="G3766" s="1348"/>
      <c r="H3766" s="1348"/>
      <c r="I3766" s="1348"/>
      <c r="J3766" s="1348"/>
      <c r="K3766" s="1348"/>
    </row>
    <row r="3767" spans="2:11" hidden="1">
      <c r="B3767" s="1348"/>
      <c r="C3767" s="1348"/>
      <c r="D3767" s="1348"/>
      <c r="E3767" s="1348"/>
      <c r="F3767" s="1348"/>
      <c r="G3767" s="1348"/>
      <c r="H3767" s="1348"/>
      <c r="I3767" s="1348"/>
      <c r="J3767" s="1348"/>
      <c r="K3767" s="1348"/>
    </row>
    <row r="3768" spans="2:11" hidden="1">
      <c r="B3768" s="1348"/>
      <c r="C3768" s="1348"/>
      <c r="D3768" s="1348"/>
      <c r="E3768" s="1348"/>
      <c r="F3768" s="1348"/>
      <c r="G3768" s="1348"/>
      <c r="H3768" s="1348"/>
      <c r="I3768" s="1348"/>
      <c r="J3768" s="1348"/>
      <c r="K3768" s="1348"/>
    </row>
    <row r="3769" spans="2:11" hidden="1">
      <c r="B3769" s="1348"/>
      <c r="C3769" s="1348"/>
      <c r="D3769" s="1348"/>
      <c r="E3769" s="1348"/>
      <c r="F3769" s="1348"/>
      <c r="G3769" s="1348"/>
      <c r="H3769" s="1348"/>
      <c r="I3769" s="1348"/>
      <c r="J3769" s="1348"/>
      <c r="K3769" s="1348"/>
    </row>
    <row r="3770" spans="2:11" hidden="1">
      <c r="B3770" s="1348"/>
      <c r="C3770" s="1348"/>
      <c r="D3770" s="1348"/>
      <c r="E3770" s="1348"/>
      <c r="F3770" s="1348"/>
      <c r="G3770" s="1348"/>
      <c r="H3770" s="1348"/>
      <c r="I3770" s="1348"/>
      <c r="J3770" s="1348"/>
      <c r="K3770" s="1348"/>
    </row>
    <row r="3771" spans="2:11" hidden="1">
      <c r="B3771" s="1348"/>
      <c r="C3771" s="1348"/>
      <c r="D3771" s="1348"/>
      <c r="E3771" s="1348"/>
      <c r="F3771" s="1348"/>
      <c r="G3771" s="1348"/>
      <c r="H3771" s="1348"/>
      <c r="I3771" s="1348"/>
      <c r="J3771" s="1348"/>
      <c r="K3771" s="1348"/>
    </row>
    <row r="3772" spans="2:11" hidden="1">
      <c r="B3772" s="1348"/>
      <c r="C3772" s="1348"/>
      <c r="D3772" s="1348"/>
      <c r="E3772" s="1348"/>
      <c r="F3772" s="1348"/>
      <c r="G3772" s="1348"/>
      <c r="H3772" s="1348"/>
      <c r="I3772" s="1348"/>
      <c r="J3772" s="1348"/>
      <c r="K3772" s="1348"/>
    </row>
    <row r="3773" spans="2:11" hidden="1">
      <c r="B3773" s="1348"/>
      <c r="C3773" s="1348"/>
      <c r="D3773" s="1348"/>
      <c r="E3773" s="1348"/>
      <c r="F3773" s="1348"/>
      <c r="G3773" s="1348"/>
      <c r="H3773" s="1348"/>
      <c r="I3773" s="1348"/>
      <c r="J3773" s="1348"/>
      <c r="K3773" s="1348"/>
    </row>
    <row r="3774" spans="2:11" hidden="1">
      <c r="B3774" s="1348"/>
      <c r="C3774" s="1348"/>
      <c r="D3774" s="1348"/>
      <c r="E3774" s="1348"/>
      <c r="F3774" s="1348"/>
      <c r="G3774" s="1348"/>
      <c r="H3774" s="1348"/>
      <c r="I3774" s="1348"/>
      <c r="J3774" s="1348"/>
      <c r="K3774" s="1348"/>
    </row>
    <row r="3775" spans="2:11" hidden="1">
      <c r="B3775" s="1348"/>
      <c r="C3775" s="1348"/>
      <c r="D3775" s="1348"/>
      <c r="E3775" s="1348"/>
      <c r="F3775" s="1348"/>
      <c r="G3775" s="1348"/>
      <c r="H3775" s="1348"/>
      <c r="I3775" s="1348"/>
      <c r="J3775" s="1348"/>
      <c r="K3775" s="1348"/>
    </row>
    <row r="3776" spans="2:11" hidden="1">
      <c r="B3776" s="1348"/>
      <c r="C3776" s="1348"/>
      <c r="D3776" s="1348"/>
      <c r="E3776" s="1348"/>
      <c r="F3776" s="1348"/>
      <c r="G3776" s="1348"/>
      <c r="H3776" s="1348"/>
      <c r="I3776" s="1348"/>
      <c r="J3776" s="1348"/>
      <c r="K3776" s="1348"/>
    </row>
    <row r="3777" spans="2:11" hidden="1">
      <c r="B3777" s="1348"/>
      <c r="C3777" s="1348"/>
      <c r="D3777" s="1348"/>
      <c r="E3777" s="1348"/>
      <c r="F3777" s="1348"/>
      <c r="G3777" s="1348"/>
      <c r="H3777" s="1348"/>
      <c r="I3777" s="1348"/>
      <c r="J3777" s="1348"/>
      <c r="K3777" s="1348"/>
    </row>
    <row r="3778" spans="2:11" hidden="1">
      <c r="B3778" s="1348"/>
      <c r="C3778" s="1348"/>
      <c r="D3778" s="1348"/>
      <c r="E3778" s="1348"/>
      <c r="F3778" s="1348"/>
      <c r="G3778" s="1348"/>
      <c r="H3778" s="1348"/>
      <c r="I3778" s="1348"/>
      <c r="J3778" s="1348"/>
      <c r="K3778" s="1348"/>
    </row>
    <row r="3779" spans="2:11" hidden="1">
      <c r="B3779" s="1348"/>
      <c r="C3779" s="1348"/>
      <c r="D3779" s="1348"/>
      <c r="E3779" s="1348"/>
      <c r="F3779" s="1348"/>
      <c r="G3779" s="1348"/>
      <c r="H3779" s="1348"/>
      <c r="I3779" s="1348"/>
      <c r="J3779" s="1348"/>
      <c r="K3779" s="1348"/>
    </row>
    <row r="3780" spans="2:11" hidden="1">
      <c r="B3780" s="1348"/>
      <c r="C3780" s="1348"/>
      <c r="D3780" s="1348"/>
      <c r="E3780" s="1348"/>
      <c r="F3780" s="1348"/>
      <c r="G3780" s="1348"/>
      <c r="H3780" s="1348"/>
      <c r="I3780" s="1348"/>
      <c r="J3780" s="1348"/>
      <c r="K3780" s="1348"/>
    </row>
    <row r="3781" spans="2:11" hidden="1">
      <c r="B3781" s="1348"/>
      <c r="C3781" s="1348"/>
      <c r="D3781" s="1348"/>
      <c r="E3781" s="1348"/>
      <c r="F3781" s="1348"/>
      <c r="G3781" s="1348"/>
      <c r="H3781" s="1348"/>
      <c r="I3781" s="1348"/>
      <c r="J3781" s="1348"/>
      <c r="K3781" s="1348"/>
    </row>
    <row r="3782" spans="2:11" hidden="1">
      <c r="B3782" s="1348"/>
      <c r="C3782" s="1348"/>
      <c r="D3782" s="1348"/>
      <c r="E3782" s="1348"/>
      <c r="F3782" s="1348"/>
      <c r="G3782" s="1348"/>
      <c r="H3782" s="1348"/>
      <c r="I3782" s="1348"/>
      <c r="J3782" s="1348"/>
      <c r="K3782" s="1348"/>
    </row>
    <row r="3783" spans="2:11" hidden="1">
      <c r="B3783" s="1348"/>
      <c r="C3783" s="1348"/>
      <c r="D3783" s="1348"/>
      <c r="E3783" s="1348"/>
      <c r="F3783" s="1348"/>
      <c r="G3783" s="1348"/>
      <c r="H3783" s="1348"/>
      <c r="I3783" s="1348"/>
      <c r="J3783" s="1348"/>
      <c r="K3783" s="1348"/>
    </row>
    <row r="3784" spans="2:11" hidden="1">
      <c r="B3784" s="1348"/>
      <c r="C3784" s="1348"/>
      <c r="D3784" s="1348"/>
      <c r="E3784" s="1348"/>
      <c r="F3784" s="1348"/>
      <c r="G3784" s="1348"/>
      <c r="H3784" s="1348"/>
      <c r="I3784" s="1348"/>
      <c r="J3784" s="1348"/>
      <c r="K3784" s="1348"/>
    </row>
    <row r="3785" spans="2:11" hidden="1">
      <c r="B3785" s="1348"/>
      <c r="C3785" s="1348"/>
      <c r="D3785" s="1348"/>
      <c r="E3785" s="1348"/>
      <c r="F3785" s="1348"/>
      <c r="G3785" s="1348"/>
      <c r="H3785" s="1348"/>
      <c r="I3785" s="1348"/>
      <c r="J3785" s="1348"/>
      <c r="K3785" s="1348"/>
    </row>
    <row r="3786" spans="2:11" hidden="1">
      <c r="B3786" s="1348"/>
      <c r="C3786" s="1348"/>
      <c r="D3786" s="1348"/>
      <c r="E3786" s="1348"/>
      <c r="F3786" s="1348"/>
      <c r="G3786" s="1348"/>
      <c r="H3786" s="1348"/>
      <c r="I3786" s="1348"/>
      <c r="J3786" s="1348"/>
      <c r="K3786" s="1348"/>
    </row>
    <row r="3787" spans="2:11" hidden="1">
      <c r="B3787" s="1348"/>
      <c r="C3787" s="1348"/>
      <c r="D3787" s="1348"/>
      <c r="E3787" s="1348"/>
      <c r="F3787" s="1348"/>
      <c r="G3787" s="1348"/>
      <c r="H3787" s="1348"/>
      <c r="I3787" s="1348"/>
      <c r="J3787" s="1348"/>
      <c r="K3787" s="1348"/>
    </row>
    <row r="3788" spans="2:11" hidden="1">
      <c r="B3788" s="1348"/>
      <c r="C3788" s="1348"/>
      <c r="D3788" s="1348"/>
      <c r="E3788" s="1348"/>
      <c r="F3788" s="1348"/>
      <c r="G3788" s="1348"/>
      <c r="H3788" s="1348"/>
      <c r="I3788" s="1348"/>
      <c r="J3788" s="1348"/>
      <c r="K3788" s="1348"/>
    </row>
    <row r="3789" spans="2:11" hidden="1">
      <c r="B3789" s="1348"/>
      <c r="C3789" s="1348"/>
      <c r="D3789" s="1348"/>
      <c r="E3789" s="1348"/>
      <c r="F3789" s="1348"/>
      <c r="G3789" s="1348"/>
      <c r="H3789" s="1348"/>
      <c r="I3789" s="1348"/>
      <c r="J3789" s="1348"/>
      <c r="K3789" s="1348"/>
    </row>
    <row r="3790" spans="2:11" hidden="1">
      <c r="B3790" s="1348"/>
      <c r="C3790" s="1348"/>
      <c r="D3790" s="1348"/>
      <c r="E3790" s="1348"/>
      <c r="F3790" s="1348"/>
      <c r="G3790" s="1348"/>
      <c r="H3790" s="1348"/>
      <c r="I3790" s="1348"/>
      <c r="J3790" s="1348"/>
      <c r="K3790" s="1348"/>
    </row>
    <row r="3791" spans="2:11" hidden="1">
      <c r="B3791" s="1348"/>
      <c r="C3791" s="1348"/>
      <c r="D3791" s="1348"/>
      <c r="E3791" s="1348"/>
      <c r="F3791" s="1348"/>
      <c r="G3791" s="1348"/>
      <c r="H3791" s="1348"/>
      <c r="I3791" s="1348"/>
      <c r="J3791" s="1348"/>
      <c r="K3791" s="1348"/>
    </row>
    <row r="3792" spans="2:11" hidden="1">
      <c r="B3792" s="1348"/>
      <c r="C3792" s="1348"/>
      <c r="D3792" s="1348"/>
      <c r="E3792" s="1348"/>
      <c r="F3792" s="1348"/>
      <c r="G3792" s="1348"/>
      <c r="H3792" s="1348"/>
      <c r="I3792" s="1348"/>
      <c r="J3792" s="1348"/>
      <c r="K3792" s="1348"/>
    </row>
    <row r="3793" spans="2:11" hidden="1">
      <c r="B3793" s="1348"/>
      <c r="C3793" s="1348"/>
      <c r="D3793" s="1348"/>
      <c r="E3793" s="1348"/>
      <c r="F3793" s="1348"/>
      <c r="G3793" s="1348"/>
      <c r="H3793" s="1348"/>
      <c r="I3793" s="1348"/>
      <c r="J3793" s="1348"/>
      <c r="K3793" s="1348"/>
    </row>
    <row r="3794" spans="2:11" hidden="1">
      <c r="B3794" s="1348"/>
      <c r="C3794" s="1348"/>
      <c r="D3794" s="1348"/>
      <c r="E3794" s="1348"/>
      <c r="F3794" s="1348"/>
      <c r="G3794" s="1348"/>
      <c r="H3794" s="1348"/>
      <c r="I3794" s="1348"/>
      <c r="J3794" s="1348"/>
      <c r="K3794" s="1348"/>
    </row>
    <row r="3795" spans="2:11" hidden="1">
      <c r="B3795" s="1348"/>
      <c r="C3795" s="1348"/>
      <c r="D3795" s="1348"/>
      <c r="E3795" s="1348"/>
      <c r="F3795" s="1348"/>
      <c r="G3795" s="1348"/>
      <c r="H3795" s="1348"/>
      <c r="I3795" s="1348"/>
      <c r="J3795" s="1348"/>
      <c r="K3795" s="1348"/>
    </row>
    <row r="3796" spans="2:11" hidden="1">
      <c r="B3796" s="1348"/>
      <c r="C3796" s="1348"/>
      <c r="D3796" s="1348"/>
      <c r="E3796" s="1348"/>
      <c r="F3796" s="1348"/>
      <c r="G3796" s="1348"/>
      <c r="H3796" s="1348"/>
      <c r="I3796" s="1348"/>
      <c r="J3796" s="1348"/>
      <c r="K3796" s="1348"/>
    </row>
    <row r="3797" spans="2:11" hidden="1">
      <c r="B3797" s="1348"/>
      <c r="C3797" s="1348"/>
      <c r="D3797" s="1348"/>
      <c r="E3797" s="1348"/>
      <c r="F3797" s="1348"/>
      <c r="G3797" s="1348"/>
      <c r="H3797" s="1348"/>
      <c r="I3797" s="1348"/>
      <c r="J3797" s="1348"/>
      <c r="K3797" s="1348"/>
    </row>
    <row r="3798" spans="2:11" hidden="1">
      <c r="B3798" s="1348"/>
      <c r="C3798" s="1348"/>
      <c r="D3798" s="1348"/>
      <c r="E3798" s="1348"/>
      <c r="F3798" s="1348"/>
      <c r="G3798" s="1348"/>
      <c r="H3798" s="1348"/>
      <c r="I3798" s="1348"/>
      <c r="J3798" s="1348"/>
      <c r="K3798" s="1348"/>
    </row>
    <row r="3799" spans="2:11" hidden="1">
      <c r="B3799" s="1348"/>
      <c r="C3799" s="1348"/>
      <c r="D3799" s="1348"/>
      <c r="E3799" s="1348"/>
      <c r="F3799" s="1348"/>
      <c r="G3799" s="1348"/>
      <c r="H3799" s="1348"/>
      <c r="I3799" s="1348"/>
      <c r="J3799" s="1348"/>
      <c r="K3799" s="1348"/>
    </row>
    <row r="3800" spans="2:11" hidden="1">
      <c r="B3800" s="1348"/>
      <c r="C3800" s="1348"/>
      <c r="D3800" s="1348"/>
      <c r="E3800" s="1348"/>
      <c r="F3800" s="1348"/>
      <c r="G3800" s="1348"/>
      <c r="H3800" s="1348"/>
      <c r="I3800" s="1348"/>
      <c r="J3800" s="1348"/>
      <c r="K3800" s="1348"/>
    </row>
    <row r="3801" spans="2:11" hidden="1">
      <c r="B3801" s="1348"/>
      <c r="C3801" s="1348"/>
      <c r="D3801" s="1348"/>
      <c r="E3801" s="1348"/>
      <c r="F3801" s="1348"/>
      <c r="G3801" s="1348"/>
      <c r="H3801" s="1348"/>
      <c r="I3801" s="1348"/>
      <c r="J3801" s="1348"/>
      <c r="K3801" s="1348"/>
    </row>
    <row r="3802" spans="2:11" hidden="1">
      <c r="B3802" s="1348"/>
      <c r="C3802" s="1348"/>
      <c r="D3802" s="1348"/>
      <c r="E3802" s="1348"/>
      <c r="F3802" s="1348"/>
      <c r="G3802" s="1348"/>
      <c r="H3802" s="1348"/>
      <c r="I3802" s="1348"/>
      <c r="J3802" s="1348"/>
      <c r="K3802" s="1348"/>
    </row>
    <row r="3803" spans="2:11" hidden="1">
      <c r="B3803" s="1348"/>
      <c r="C3803" s="1348"/>
      <c r="D3803" s="1348"/>
      <c r="E3803" s="1348"/>
      <c r="F3803" s="1348"/>
      <c r="G3803" s="1348"/>
      <c r="H3803" s="1348"/>
      <c r="I3803" s="1348"/>
      <c r="J3803" s="1348"/>
      <c r="K3803" s="1348"/>
    </row>
    <row r="3804" spans="2:11" hidden="1">
      <c r="B3804" s="1348"/>
      <c r="C3804" s="1348"/>
      <c r="D3804" s="1348"/>
      <c r="E3804" s="1348"/>
      <c r="F3804" s="1348"/>
      <c r="G3804" s="1348"/>
      <c r="H3804" s="1348"/>
      <c r="I3804" s="1348"/>
      <c r="J3804" s="1348"/>
      <c r="K3804" s="1348"/>
    </row>
    <row r="3805" spans="2:11" hidden="1">
      <c r="B3805" s="1348"/>
      <c r="C3805" s="1348"/>
      <c r="D3805" s="1348"/>
      <c r="E3805" s="1348"/>
      <c r="F3805" s="1348"/>
      <c r="G3805" s="1348"/>
      <c r="H3805" s="1348"/>
      <c r="I3805" s="1348"/>
      <c r="J3805" s="1348"/>
      <c r="K3805" s="1348"/>
    </row>
    <row r="3806" spans="2:11" hidden="1">
      <c r="B3806" s="1348"/>
      <c r="C3806" s="1348"/>
      <c r="D3806" s="1348"/>
      <c r="E3806" s="1348"/>
      <c r="F3806" s="1348"/>
      <c r="G3806" s="1348"/>
      <c r="H3806" s="1348"/>
      <c r="I3806" s="1348"/>
      <c r="J3806" s="1348"/>
      <c r="K3806" s="1348"/>
    </row>
    <row r="3807" spans="2:11" hidden="1">
      <c r="B3807" s="1348"/>
      <c r="C3807" s="1348"/>
      <c r="D3807" s="1348"/>
      <c r="E3807" s="1348"/>
      <c r="F3807" s="1348"/>
      <c r="G3807" s="1348"/>
      <c r="H3807" s="1348"/>
      <c r="I3807" s="1348"/>
      <c r="J3807" s="1348"/>
      <c r="K3807" s="1348"/>
    </row>
    <row r="3808" spans="2:11" hidden="1">
      <c r="B3808" s="1348"/>
      <c r="C3808" s="1348"/>
      <c r="D3808" s="1348"/>
      <c r="E3808" s="1348"/>
      <c r="F3808" s="1348"/>
      <c r="G3808" s="1348"/>
      <c r="H3808" s="1348"/>
      <c r="I3808" s="1348"/>
      <c r="J3808" s="1348"/>
      <c r="K3808" s="1348"/>
    </row>
    <row r="3809" spans="2:11" hidden="1">
      <c r="B3809" s="1348"/>
      <c r="C3809" s="1348"/>
      <c r="D3809" s="1348"/>
      <c r="E3809" s="1348"/>
      <c r="F3809" s="1348"/>
      <c r="G3809" s="1348"/>
      <c r="H3809" s="1348"/>
      <c r="I3809" s="1348"/>
      <c r="J3809" s="1348"/>
      <c r="K3809" s="1348"/>
    </row>
    <row r="3810" spans="2:11" hidden="1">
      <c r="B3810" s="1348"/>
      <c r="C3810" s="1348"/>
      <c r="D3810" s="1348"/>
      <c r="E3810" s="1348"/>
      <c r="F3810" s="1348"/>
      <c r="G3810" s="1348"/>
      <c r="H3810" s="1348"/>
      <c r="I3810" s="1348"/>
      <c r="J3810" s="1348"/>
      <c r="K3810" s="1348"/>
    </row>
    <row r="3811" spans="2:11" hidden="1">
      <c r="B3811" s="1348"/>
      <c r="C3811" s="1348"/>
      <c r="D3811" s="1348"/>
      <c r="E3811" s="1348"/>
      <c r="F3811" s="1348"/>
      <c r="G3811" s="1348"/>
      <c r="H3811" s="1348"/>
      <c r="I3811" s="1348"/>
      <c r="J3811" s="1348"/>
      <c r="K3811" s="1348"/>
    </row>
    <row r="3812" spans="2:11" hidden="1">
      <c r="B3812" s="1348"/>
      <c r="C3812" s="1348"/>
      <c r="D3812" s="1348"/>
      <c r="E3812" s="1348"/>
      <c r="F3812" s="1348"/>
      <c r="G3812" s="1348"/>
      <c r="H3812" s="1348"/>
      <c r="I3812" s="1348"/>
      <c r="J3812" s="1348"/>
      <c r="K3812" s="1348"/>
    </row>
    <row r="3813" spans="2:11" hidden="1">
      <c r="B3813" s="1348"/>
      <c r="C3813" s="1348"/>
      <c r="D3813" s="1348"/>
      <c r="E3813" s="1348"/>
      <c r="F3813" s="1348"/>
      <c r="G3813" s="1348"/>
      <c r="H3813" s="1348"/>
      <c r="I3813" s="1348"/>
      <c r="J3813" s="1348"/>
      <c r="K3813" s="1348"/>
    </row>
    <row r="3814" spans="2:11" hidden="1">
      <c r="B3814" s="1348"/>
      <c r="C3814" s="1348"/>
      <c r="D3814" s="1348"/>
      <c r="E3814" s="1348"/>
      <c r="F3814" s="1348"/>
      <c r="G3814" s="1348"/>
      <c r="H3814" s="1348"/>
      <c r="I3814" s="1348"/>
      <c r="J3814" s="1348"/>
      <c r="K3814" s="1348"/>
    </row>
    <row r="3815" spans="2:11" hidden="1">
      <c r="B3815" s="1348"/>
      <c r="C3815" s="1348"/>
      <c r="D3815" s="1348"/>
      <c r="E3815" s="1348"/>
      <c r="F3815" s="1348"/>
      <c r="G3815" s="1348"/>
      <c r="H3815" s="1348"/>
      <c r="I3815" s="1348"/>
      <c r="J3815" s="1348"/>
      <c r="K3815" s="1348"/>
    </row>
    <row r="3816" spans="2:11" hidden="1">
      <c r="B3816" s="1348"/>
      <c r="C3816" s="1348"/>
      <c r="D3816" s="1348"/>
      <c r="E3816" s="1348"/>
      <c r="F3816" s="1348"/>
      <c r="G3816" s="1348"/>
      <c r="H3816" s="1348"/>
      <c r="I3816" s="1348"/>
      <c r="J3816" s="1348"/>
      <c r="K3816" s="1348"/>
    </row>
    <row r="3817" spans="2:11" hidden="1">
      <c r="B3817" s="1348"/>
      <c r="C3817" s="1348"/>
      <c r="D3817" s="1348"/>
      <c r="E3817" s="1348"/>
      <c r="F3817" s="1348"/>
      <c r="G3817" s="1348"/>
      <c r="H3817" s="1348"/>
      <c r="I3817" s="1348"/>
      <c r="J3817" s="1348"/>
      <c r="K3817" s="1348"/>
    </row>
    <row r="3818" spans="2:11" hidden="1">
      <c r="B3818" s="1348"/>
      <c r="C3818" s="1348"/>
      <c r="D3818" s="1348"/>
      <c r="E3818" s="1348"/>
      <c r="F3818" s="1348"/>
      <c r="G3818" s="1348"/>
      <c r="H3818" s="1348"/>
      <c r="I3818" s="1348"/>
      <c r="J3818" s="1348"/>
      <c r="K3818" s="1348"/>
    </row>
    <row r="3819" spans="2:11" hidden="1">
      <c r="B3819" s="1348"/>
      <c r="C3819" s="1348"/>
      <c r="D3819" s="1348"/>
      <c r="E3819" s="1348"/>
      <c r="F3819" s="1348"/>
      <c r="G3819" s="1348"/>
      <c r="H3819" s="1348"/>
      <c r="I3819" s="1348"/>
      <c r="J3819" s="1348"/>
      <c r="K3819" s="1348"/>
    </row>
    <row r="3820" spans="2:11" hidden="1">
      <c r="B3820" s="1348"/>
      <c r="C3820" s="1348"/>
      <c r="D3820" s="1348"/>
      <c r="E3820" s="1348"/>
      <c r="F3820" s="1348"/>
      <c r="G3820" s="1348"/>
      <c r="H3820" s="1348"/>
      <c r="I3820" s="1348"/>
      <c r="J3820" s="1348"/>
      <c r="K3820" s="1348"/>
    </row>
    <row r="3821" spans="2:11" hidden="1">
      <c r="B3821" s="1348"/>
      <c r="C3821" s="1348"/>
      <c r="D3821" s="1348"/>
      <c r="E3821" s="1348"/>
      <c r="F3821" s="1348"/>
      <c r="G3821" s="1348"/>
      <c r="H3821" s="1348"/>
      <c r="I3821" s="1348"/>
      <c r="J3821" s="1348"/>
      <c r="K3821" s="1348"/>
    </row>
    <row r="3822" spans="2:11" hidden="1">
      <c r="B3822" s="1348"/>
      <c r="C3822" s="1348"/>
      <c r="D3822" s="1348"/>
      <c r="E3822" s="1348"/>
      <c r="F3822" s="1348"/>
      <c r="G3822" s="1348"/>
      <c r="H3822" s="1348"/>
      <c r="I3822" s="1348"/>
      <c r="J3822" s="1348"/>
      <c r="K3822" s="1348"/>
    </row>
    <row r="3823" spans="2:11" hidden="1">
      <c r="B3823" s="1348"/>
      <c r="C3823" s="1348"/>
      <c r="D3823" s="1348"/>
      <c r="E3823" s="1348"/>
      <c r="F3823" s="1348"/>
      <c r="G3823" s="1348"/>
      <c r="H3823" s="1348"/>
      <c r="I3823" s="1348"/>
      <c r="J3823" s="1348"/>
      <c r="K3823" s="1348"/>
    </row>
    <row r="3824" spans="2:11" hidden="1">
      <c r="B3824" s="1348"/>
      <c r="C3824" s="1348"/>
      <c r="D3824" s="1348"/>
      <c r="E3824" s="1348"/>
      <c r="F3824" s="1348"/>
      <c r="G3824" s="1348"/>
      <c r="H3824" s="1348"/>
      <c r="I3824" s="1348"/>
      <c r="J3824" s="1348"/>
      <c r="K3824" s="1348"/>
    </row>
    <row r="3825" spans="2:11" hidden="1">
      <c r="B3825" s="1348"/>
      <c r="C3825" s="1348"/>
      <c r="D3825" s="1348"/>
      <c r="E3825" s="1348"/>
      <c r="F3825" s="1348"/>
      <c r="G3825" s="1348"/>
      <c r="H3825" s="1348"/>
      <c r="I3825" s="1348"/>
      <c r="J3825" s="1348"/>
      <c r="K3825" s="1348"/>
    </row>
    <row r="3826" spans="2:11" hidden="1">
      <c r="B3826" s="1348"/>
      <c r="C3826" s="1348"/>
      <c r="D3826" s="1348"/>
      <c r="E3826" s="1348"/>
      <c r="F3826" s="1348"/>
      <c r="G3826" s="1348"/>
      <c r="H3826" s="1348"/>
      <c r="I3826" s="1348"/>
      <c r="J3826" s="1348"/>
      <c r="K3826" s="1348"/>
    </row>
    <row r="3827" spans="2:11" hidden="1">
      <c r="B3827" s="1348"/>
      <c r="C3827" s="1348"/>
      <c r="D3827" s="1348"/>
      <c r="E3827" s="1348"/>
      <c r="F3827" s="1348"/>
      <c r="G3827" s="1348"/>
      <c r="H3827" s="1348"/>
      <c r="I3827" s="1348"/>
      <c r="J3827" s="1348"/>
      <c r="K3827" s="1348"/>
    </row>
    <row r="3828" spans="2:11" hidden="1">
      <c r="B3828" s="1348"/>
      <c r="C3828" s="1348"/>
      <c r="D3828" s="1348"/>
      <c r="E3828" s="1348"/>
      <c r="F3828" s="1348"/>
      <c r="G3828" s="1348"/>
      <c r="H3828" s="1348"/>
      <c r="I3828" s="1348"/>
      <c r="J3828" s="1348"/>
      <c r="K3828" s="1348"/>
    </row>
    <row r="3829" spans="2:11" hidden="1">
      <c r="B3829" s="1348"/>
      <c r="C3829" s="1348"/>
      <c r="D3829" s="1348"/>
      <c r="E3829" s="1348"/>
      <c r="F3829" s="1348"/>
      <c r="G3829" s="1348"/>
      <c r="H3829" s="1348"/>
      <c r="I3829" s="1348"/>
      <c r="J3829" s="1348"/>
      <c r="K3829" s="1348"/>
    </row>
    <row r="3830" spans="2:11" hidden="1">
      <c r="B3830" s="1348"/>
      <c r="C3830" s="1348"/>
      <c r="D3830" s="1348"/>
      <c r="E3830" s="1348"/>
      <c r="F3830" s="1348"/>
      <c r="G3830" s="1348"/>
      <c r="H3830" s="1348"/>
      <c r="I3830" s="1348"/>
      <c r="J3830" s="1348"/>
      <c r="K3830" s="1348"/>
    </row>
    <row r="3831" spans="2:11" hidden="1">
      <c r="B3831" s="1348"/>
      <c r="C3831" s="1348"/>
      <c r="D3831" s="1348"/>
      <c r="E3831" s="1348"/>
      <c r="F3831" s="1348"/>
      <c r="G3831" s="1348"/>
      <c r="H3831" s="1348"/>
      <c r="I3831" s="1348"/>
      <c r="J3831" s="1348"/>
      <c r="K3831" s="1348"/>
    </row>
    <row r="3832" spans="2:11" hidden="1">
      <c r="B3832" s="1348"/>
      <c r="C3832" s="1348"/>
      <c r="D3832" s="1348"/>
      <c r="E3832" s="1348"/>
      <c r="F3832" s="1348"/>
      <c r="G3832" s="1348"/>
      <c r="H3832" s="1348"/>
      <c r="I3832" s="1348"/>
      <c r="J3832" s="1348"/>
      <c r="K3832" s="1348"/>
    </row>
    <row r="3833" spans="2:11" hidden="1">
      <c r="B3833" s="1348"/>
      <c r="C3833" s="1348"/>
      <c r="D3833" s="1348"/>
      <c r="E3833" s="1348"/>
      <c r="F3833" s="1348"/>
      <c r="G3833" s="1348"/>
      <c r="H3833" s="1348"/>
      <c r="I3833" s="1348"/>
      <c r="J3833" s="1348"/>
      <c r="K3833" s="1348"/>
    </row>
    <row r="3834" spans="2:11" hidden="1">
      <c r="B3834" s="1348"/>
      <c r="C3834" s="1348"/>
      <c r="D3834" s="1348"/>
      <c r="E3834" s="1348"/>
      <c r="F3834" s="1348"/>
      <c r="G3834" s="1348"/>
      <c r="H3834" s="1348"/>
      <c r="I3834" s="1348"/>
      <c r="J3834" s="1348"/>
      <c r="K3834" s="1348"/>
    </row>
    <row r="3835" spans="2:11" hidden="1">
      <c r="B3835" s="1348"/>
      <c r="C3835" s="1348"/>
      <c r="D3835" s="1348"/>
      <c r="E3835" s="1348"/>
      <c r="F3835" s="1348"/>
      <c r="G3835" s="1348"/>
      <c r="H3835" s="1348"/>
      <c r="I3835" s="1348"/>
      <c r="J3835" s="1348"/>
      <c r="K3835" s="1348"/>
    </row>
    <row r="3836" spans="2:11" hidden="1">
      <c r="B3836" s="1348"/>
      <c r="C3836" s="1348"/>
      <c r="D3836" s="1348"/>
      <c r="E3836" s="1348"/>
      <c r="F3836" s="1348"/>
      <c r="G3836" s="1348"/>
      <c r="H3836" s="1348"/>
      <c r="I3836" s="1348"/>
      <c r="J3836" s="1348"/>
      <c r="K3836" s="1348"/>
    </row>
    <row r="3837" spans="2:11" hidden="1">
      <c r="B3837" s="1348"/>
      <c r="C3837" s="1348"/>
      <c r="D3837" s="1348"/>
      <c r="E3837" s="1348"/>
      <c r="F3837" s="1348"/>
      <c r="G3837" s="1348"/>
      <c r="H3837" s="1348"/>
      <c r="I3837" s="1348"/>
      <c r="J3837" s="1348"/>
      <c r="K3837" s="1348"/>
    </row>
    <row r="3838" spans="2:11" hidden="1">
      <c r="B3838" s="1348"/>
      <c r="C3838" s="1348"/>
      <c r="D3838" s="1348"/>
      <c r="E3838" s="1348"/>
      <c r="F3838" s="1348"/>
      <c r="G3838" s="1348"/>
      <c r="H3838" s="1348"/>
      <c r="I3838" s="1348"/>
      <c r="J3838" s="1348"/>
      <c r="K3838" s="1348"/>
    </row>
    <row r="3839" spans="2:11" hidden="1">
      <c r="B3839" s="1348"/>
      <c r="C3839" s="1348"/>
      <c r="D3839" s="1348"/>
      <c r="E3839" s="1348"/>
      <c r="F3839" s="1348"/>
      <c r="G3839" s="1348"/>
      <c r="H3839" s="1348"/>
      <c r="I3839" s="1348"/>
      <c r="J3839" s="1348"/>
      <c r="K3839" s="1348"/>
    </row>
    <row r="3840" spans="2:11" hidden="1">
      <c r="B3840" s="1348"/>
      <c r="C3840" s="1348"/>
      <c r="D3840" s="1348"/>
      <c r="E3840" s="1348"/>
      <c r="F3840" s="1348"/>
      <c r="G3840" s="1348"/>
      <c r="H3840" s="1348"/>
      <c r="I3840" s="1348"/>
      <c r="J3840" s="1348"/>
      <c r="K3840" s="1348"/>
    </row>
    <row r="3841" spans="2:11" hidden="1">
      <c r="B3841" s="1348"/>
      <c r="C3841" s="1348"/>
      <c r="D3841" s="1348"/>
      <c r="E3841" s="1348"/>
      <c r="F3841" s="1348"/>
      <c r="G3841" s="1348"/>
      <c r="H3841" s="1348"/>
      <c r="I3841" s="1348"/>
      <c r="J3841" s="1348"/>
      <c r="K3841" s="1348"/>
    </row>
    <row r="3842" spans="2:11" hidden="1">
      <c r="B3842" s="1348"/>
      <c r="C3842" s="1348"/>
      <c r="D3842" s="1348"/>
      <c r="E3842" s="1348"/>
      <c r="F3842" s="1348"/>
      <c r="G3842" s="1348"/>
      <c r="H3842" s="1348"/>
      <c r="I3842" s="1348"/>
      <c r="J3842" s="1348"/>
      <c r="K3842" s="1348"/>
    </row>
    <row r="3843" spans="2:11" hidden="1">
      <c r="B3843" s="1348"/>
      <c r="C3843" s="1348"/>
      <c r="D3843" s="1348"/>
      <c r="E3843" s="1348"/>
      <c r="F3843" s="1348"/>
      <c r="G3843" s="1348"/>
      <c r="H3843" s="1348"/>
      <c r="I3843" s="1348"/>
      <c r="J3843" s="1348"/>
      <c r="K3843" s="1348"/>
    </row>
    <row r="3844" spans="2:11" hidden="1">
      <c r="B3844" s="1348"/>
      <c r="C3844" s="1348"/>
      <c r="D3844" s="1348"/>
      <c r="E3844" s="1348"/>
      <c r="F3844" s="1348"/>
      <c r="G3844" s="1348"/>
      <c r="H3844" s="1348"/>
      <c r="I3844" s="1348"/>
      <c r="J3844" s="1348"/>
      <c r="K3844" s="1348"/>
    </row>
    <row r="3845" spans="2:11" hidden="1">
      <c r="B3845" s="1348"/>
      <c r="C3845" s="1348"/>
      <c r="D3845" s="1348"/>
      <c r="E3845" s="1348"/>
      <c r="F3845" s="1348"/>
      <c r="G3845" s="1348"/>
      <c r="H3845" s="1348"/>
      <c r="I3845" s="1348"/>
      <c r="J3845" s="1348"/>
      <c r="K3845" s="1348"/>
    </row>
    <row r="3846" spans="2:11" hidden="1">
      <c r="B3846" s="1348"/>
      <c r="C3846" s="1348"/>
      <c r="D3846" s="1348"/>
      <c r="E3846" s="1348"/>
      <c r="F3846" s="1348"/>
      <c r="G3846" s="1348"/>
      <c r="H3846" s="1348"/>
      <c r="I3846" s="1348"/>
      <c r="J3846" s="1348"/>
      <c r="K3846" s="1348"/>
    </row>
    <row r="3847" spans="2:11" hidden="1">
      <c r="B3847" s="1348"/>
      <c r="C3847" s="1348"/>
      <c r="D3847" s="1348"/>
      <c r="E3847" s="1348"/>
      <c r="F3847" s="1348"/>
      <c r="G3847" s="1348"/>
      <c r="H3847" s="1348"/>
      <c r="I3847" s="1348"/>
      <c r="J3847" s="1348"/>
      <c r="K3847" s="1348"/>
    </row>
    <row r="3848" spans="2:11" hidden="1">
      <c r="B3848" s="1348"/>
      <c r="C3848" s="1348"/>
      <c r="D3848" s="1348"/>
      <c r="E3848" s="1348"/>
      <c r="F3848" s="1348"/>
      <c r="G3848" s="1348"/>
      <c r="H3848" s="1348"/>
      <c r="I3848" s="1348"/>
      <c r="J3848" s="1348"/>
      <c r="K3848" s="1348"/>
    </row>
    <row r="3849" spans="2:11" hidden="1">
      <c r="B3849" s="1348"/>
      <c r="C3849" s="1348"/>
      <c r="D3849" s="1348"/>
      <c r="E3849" s="1348"/>
      <c r="F3849" s="1348"/>
      <c r="G3849" s="1348"/>
      <c r="H3849" s="1348"/>
      <c r="I3849" s="1348"/>
      <c r="J3849" s="1348"/>
      <c r="K3849" s="1348"/>
    </row>
    <row r="3850" spans="2:11" hidden="1">
      <c r="B3850" s="1348"/>
      <c r="C3850" s="1348"/>
      <c r="D3850" s="1348"/>
      <c r="E3850" s="1348"/>
      <c r="F3850" s="1348"/>
      <c r="G3850" s="1348"/>
      <c r="H3850" s="1348"/>
      <c r="I3850" s="1348"/>
      <c r="J3850" s="1348"/>
      <c r="K3850" s="1348"/>
    </row>
    <row r="3851" spans="2:11" hidden="1">
      <c r="B3851" s="1348"/>
      <c r="C3851" s="1348"/>
      <c r="D3851" s="1348"/>
      <c r="E3851" s="1348"/>
      <c r="F3851" s="1348"/>
      <c r="G3851" s="1348"/>
      <c r="H3851" s="1348"/>
      <c r="I3851" s="1348"/>
      <c r="J3851" s="1348"/>
      <c r="K3851" s="1348"/>
    </row>
    <row r="3852" spans="2:11" hidden="1">
      <c r="B3852" s="1348"/>
      <c r="C3852" s="1348"/>
      <c r="D3852" s="1348"/>
      <c r="E3852" s="1348"/>
      <c r="F3852" s="1348"/>
      <c r="G3852" s="1348"/>
      <c r="H3852" s="1348"/>
      <c r="I3852" s="1348"/>
      <c r="J3852" s="1348"/>
      <c r="K3852" s="1348"/>
    </row>
    <row r="3853" spans="2:11" hidden="1">
      <c r="B3853" s="1348"/>
      <c r="C3853" s="1348"/>
      <c r="D3853" s="1348"/>
      <c r="E3853" s="1348"/>
      <c r="F3853" s="1348"/>
      <c r="G3853" s="1348"/>
      <c r="H3853" s="1348"/>
      <c r="I3853" s="1348"/>
      <c r="J3853" s="1348"/>
      <c r="K3853" s="1348"/>
    </row>
    <row r="3854" spans="2:11" hidden="1">
      <c r="B3854" s="1348"/>
      <c r="C3854" s="1348"/>
      <c r="D3854" s="1348"/>
      <c r="E3854" s="1348"/>
      <c r="F3854" s="1348"/>
      <c r="G3854" s="1348"/>
      <c r="H3854" s="1348"/>
      <c r="I3854" s="1348"/>
      <c r="J3854" s="1348"/>
      <c r="K3854" s="1348"/>
    </row>
    <row r="3855" spans="2:11" hidden="1">
      <c r="B3855" s="1348"/>
      <c r="C3855" s="1348"/>
      <c r="D3855" s="1348"/>
      <c r="E3855" s="1348"/>
      <c r="F3855" s="1348"/>
      <c r="G3855" s="1348"/>
      <c r="H3855" s="1348"/>
      <c r="I3855" s="1348"/>
      <c r="J3855" s="1348"/>
      <c r="K3855" s="1348"/>
    </row>
    <row r="3856" spans="2:11" hidden="1">
      <c r="B3856" s="1348"/>
      <c r="C3856" s="1348"/>
      <c r="D3856" s="1348"/>
      <c r="E3856" s="1348"/>
      <c r="F3856" s="1348"/>
      <c r="G3856" s="1348"/>
      <c r="H3856" s="1348"/>
      <c r="I3856" s="1348"/>
      <c r="J3856" s="1348"/>
      <c r="K3856" s="1348"/>
    </row>
    <row r="3857" spans="2:11" hidden="1">
      <c r="B3857" s="1348"/>
      <c r="C3857" s="1348"/>
      <c r="D3857" s="1348"/>
      <c r="E3857" s="1348"/>
      <c r="F3857" s="1348"/>
      <c r="G3857" s="1348"/>
      <c r="H3857" s="1348"/>
      <c r="I3857" s="1348"/>
      <c r="J3857" s="1348"/>
      <c r="K3857" s="1348"/>
    </row>
    <row r="3858" spans="2:11" hidden="1">
      <c r="B3858" s="1348"/>
      <c r="C3858" s="1348"/>
      <c r="D3858" s="1348"/>
      <c r="E3858" s="1348"/>
      <c r="F3858" s="1348"/>
      <c r="G3858" s="1348"/>
      <c r="H3858" s="1348"/>
      <c r="I3858" s="1348"/>
      <c r="J3858" s="1348"/>
      <c r="K3858" s="1348"/>
    </row>
    <row r="3859" spans="2:11" hidden="1">
      <c r="B3859" s="1348"/>
      <c r="C3859" s="1348"/>
      <c r="D3859" s="1348"/>
      <c r="E3859" s="1348"/>
      <c r="F3859" s="1348"/>
      <c r="G3859" s="1348"/>
      <c r="H3859" s="1348"/>
      <c r="I3859" s="1348"/>
      <c r="J3859" s="1348"/>
      <c r="K3859" s="1348"/>
    </row>
    <row r="3860" spans="2:11" hidden="1">
      <c r="B3860" s="1348"/>
      <c r="C3860" s="1348"/>
      <c r="D3860" s="1348"/>
      <c r="E3860" s="1348"/>
      <c r="F3860" s="1348"/>
      <c r="G3860" s="1348"/>
      <c r="H3860" s="1348"/>
      <c r="I3860" s="1348"/>
      <c r="J3860" s="1348"/>
      <c r="K3860" s="1348"/>
    </row>
    <row r="3861" spans="2:11" hidden="1">
      <c r="B3861" s="1348"/>
      <c r="C3861" s="1348"/>
      <c r="D3861" s="1348"/>
      <c r="E3861" s="1348"/>
      <c r="F3861" s="1348"/>
      <c r="G3861" s="1348"/>
      <c r="H3861" s="1348"/>
      <c r="I3861" s="1348"/>
      <c r="J3861" s="1348"/>
      <c r="K3861" s="1348"/>
    </row>
    <row r="3862" spans="2:11" hidden="1">
      <c r="B3862" s="1348"/>
      <c r="C3862" s="1348"/>
      <c r="D3862" s="1348"/>
      <c r="E3862" s="1348"/>
      <c r="F3862" s="1348"/>
      <c r="G3862" s="1348"/>
      <c r="H3862" s="1348"/>
      <c r="I3862" s="1348"/>
      <c r="J3862" s="1348"/>
      <c r="K3862" s="1348"/>
    </row>
    <row r="3863" spans="2:11" hidden="1">
      <c r="B3863" s="1348"/>
      <c r="C3863" s="1348"/>
      <c r="D3863" s="1348"/>
      <c r="E3863" s="1348"/>
      <c r="F3863" s="1348"/>
      <c r="G3863" s="1348"/>
      <c r="H3863" s="1348"/>
      <c r="I3863" s="1348"/>
      <c r="J3863" s="1348"/>
      <c r="K3863" s="1348"/>
    </row>
    <row r="3864" spans="2:11" hidden="1">
      <c r="B3864" s="1348"/>
      <c r="C3864" s="1348"/>
      <c r="D3864" s="1348"/>
      <c r="E3864" s="1348"/>
      <c r="F3864" s="1348"/>
      <c r="G3864" s="1348"/>
      <c r="H3864" s="1348"/>
      <c r="I3864" s="1348"/>
      <c r="J3864" s="1348"/>
      <c r="K3864" s="1348"/>
    </row>
    <row r="3865" spans="2:11" hidden="1">
      <c r="B3865" s="1348"/>
      <c r="C3865" s="1348"/>
      <c r="D3865" s="1348"/>
      <c r="E3865" s="1348"/>
      <c r="F3865" s="1348"/>
      <c r="G3865" s="1348"/>
      <c r="H3865" s="1348"/>
      <c r="I3865" s="1348"/>
      <c r="J3865" s="1348"/>
      <c r="K3865" s="1348"/>
    </row>
    <row r="3866" spans="2:11" hidden="1">
      <c r="B3866" s="1348"/>
      <c r="C3866" s="1348"/>
      <c r="D3866" s="1348"/>
      <c r="E3866" s="1348"/>
      <c r="F3866" s="1348"/>
      <c r="G3866" s="1348"/>
      <c r="H3866" s="1348"/>
      <c r="I3866" s="1348"/>
      <c r="J3866" s="1348"/>
      <c r="K3866" s="1348"/>
    </row>
    <row r="3867" spans="2:11" hidden="1">
      <c r="B3867" s="1348"/>
      <c r="C3867" s="1348"/>
      <c r="D3867" s="1348"/>
      <c r="E3867" s="1348"/>
      <c r="F3867" s="1348"/>
      <c r="G3867" s="1348"/>
      <c r="H3867" s="1348"/>
      <c r="I3867" s="1348"/>
      <c r="J3867" s="1348"/>
      <c r="K3867" s="1348"/>
    </row>
    <row r="3868" spans="2:11" hidden="1">
      <c r="B3868" s="1348"/>
      <c r="C3868" s="1348"/>
      <c r="D3868" s="1348"/>
      <c r="E3868" s="1348"/>
      <c r="F3868" s="1348"/>
      <c r="G3868" s="1348"/>
      <c r="H3868" s="1348"/>
      <c r="I3868" s="1348"/>
      <c r="J3868" s="1348"/>
      <c r="K3868" s="1348"/>
    </row>
    <row r="3869" spans="2:11" hidden="1">
      <c r="B3869" s="1348"/>
      <c r="C3869" s="1348"/>
      <c r="D3869" s="1348"/>
      <c r="E3869" s="1348"/>
      <c r="F3869" s="1348"/>
      <c r="G3869" s="1348"/>
      <c r="H3869" s="1348"/>
      <c r="I3869" s="1348"/>
      <c r="J3869" s="1348"/>
      <c r="K3869" s="1348"/>
    </row>
    <row r="3870" spans="2:11" hidden="1">
      <c r="B3870" s="1348"/>
      <c r="C3870" s="1348"/>
      <c r="D3870" s="1348"/>
      <c r="E3870" s="1348"/>
      <c r="F3870" s="1348"/>
      <c r="G3870" s="1348"/>
      <c r="H3870" s="1348"/>
      <c r="I3870" s="1348"/>
      <c r="J3870" s="1348"/>
      <c r="K3870" s="1348"/>
    </row>
    <row r="3871" spans="2:11" hidden="1">
      <c r="B3871" s="1348"/>
      <c r="C3871" s="1348"/>
      <c r="D3871" s="1348"/>
      <c r="E3871" s="1348"/>
      <c r="F3871" s="1348"/>
      <c r="G3871" s="1348"/>
      <c r="H3871" s="1348"/>
      <c r="I3871" s="1348"/>
      <c r="J3871" s="1348"/>
      <c r="K3871" s="1348"/>
    </row>
    <row r="3872" spans="2:11" hidden="1">
      <c r="B3872" s="1348"/>
      <c r="C3872" s="1348"/>
      <c r="D3872" s="1348"/>
      <c r="E3872" s="1348"/>
      <c r="F3872" s="1348"/>
      <c r="G3872" s="1348"/>
      <c r="H3872" s="1348"/>
      <c r="I3872" s="1348"/>
      <c r="J3872" s="1348"/>
      <c r="K3872" s="1348"/>
    </row>
    <row r="3873" spans="2:11" hidden="1">
      <c r="B3873" s="1348"/>
      <c r="C3873" s="1348"/>
      <c r="D3873" s="1348"/>
      <c r="E3873" s="1348"/>
      <c r="F3873" s="1348"/>
      <c r="G3873" s="1348"/>
      <c r="H3873" s="1348"/>
      <c r="I3873" s="1348"/>
      <c r="J3873" s="1348"/>
      <c r="K3873" s="1348"/>
    </row>
    <row r="3874" spans="2:11" hidden="1">
      <c r="B3874" s="1348"/>
      <c r="C3874" s="1348"/>
      <c r="D3874" s="1348"/>
      <c r="E3874" s="1348"/>
      <c r="F3874" s="1348"/>
      <c r="G3874" s="1348"/>
      <c r="H3874" s="1348"/>
      <c r="I3874" s="1348"/>
      <c r="J3874" s="1348"/>
      <c r="K3874" s="1348"/>
    </row>
    <row r="3875" spans="2:11" hidden="1">
      <c r="B3875" s="1348"/>
      <c r="C3875" s="1348"/>
      <c r="D3875" s="1348"/>
      <c r="E3875" s="1348"/>
      <c r="F3875" s="1348"/>
      <c r="G3875" s="1348"/>
      <c r="H3875" s="1348"/>
      <c r="I3875" s="1348"/>
      <c r="J3875" s="1348"/>
      <c r="K3875" s="1348"/>
    </row>
    <row r="3876" spans="2:11" hidden="1">
      <c r="B3876" s="1348"/>
      <c r="C3876" s="1348"/>
      <c r="D3876" s="1348"/>
      <c r="E3876" s="1348"/>
      <c r="F3876" s="1348"/>
      <c r="G3876" s="1348"/>
      <c r="H3876" s="1348"/>
      <c r="I3876" s="1348"/>
      <c r="J3876" s="1348"/>
      <c r="K3876" s="1348"/>
    </row>
    <row r="3877" spans="2:11" hidden="1">
      <c r="B3877" s="1348"/>
      <c r="C3877" s="1348"/>
      <c r="D3877" s="1348"/>
      <c r="E3877" s="1348"/>
      <c r="F3877" s="1348"/>
      <c r="G3877" s="1348"/>
      <c r="H3877" s="1348"/>
      <c r="I3877" s="1348"/>
      <c r="J3877" s="1348"/>
      <c r="K3877" s="1348"/>
    </row>
    <row r="3878" spans="2:11" hidden="1">
      <c r="B3878" s="1348"/>
      <c r="C3878" s="1348"/>
      <c r="D3878" s="1348"/>
      <c r="E3878" s="1348"/>
      <c r="F3878" s="1348"/>
      <c r="G3878" s="1348"/>
      <c r="H3878" s="1348"/>
      <c r="I3878" s="1348"/>
      <c r="J3878" s="1348"/>
      <c r="K3878" s="1348"/>
    </row>
    <row r="3879" spans="2:11" hidden="1">
      <c r="B3879" s="1348"/>
      <c r="C3879" s="1348"/>
      <c r="D3879" s="1348"/>
      <c r="E3879" s="1348"/>
      <c r="F3879" s="1348"/>
      <c r="G3879" s="1348"/>
      <c r="H3879" s="1348"/>
      <c r="I3879" s="1348"/>
      <c r="J3879" s="1348"/>
      <c r="K3879" s="1348"/>
    </row>
    <row r="3880" spans="2:11" hidden="1">
      <c r="B3880" s="1348"/>
      <c r="C3880" s="1348"/>
      <c r="D3880" s="1348"/>
      <c r="E3880" s="1348"/>
      <c r="F3880" s="1348"/>
      <c r="G3880" s="1348"/>
      <c r="H3880" s="1348"/>
      <c r="I3880" s="1348"/>
      <c r="J3880" s="1348"/>
      <c r="K3880" s="1348"/>
    </row>
    <row r="3881" spans="2:11" hidden="1">
      <c r="B3881" s="1348"/>
      <c r="C3881" s="1348"/>
      <c r="D3881" s="1348"/>
      <c r="E3881" s="1348"/>
      <c r="F3881" s="1348"/>
      <c r="G3881" s="1348"/>
      <c r="H3881" s="1348"/>
      <c r="I3881" s="1348"/>
      <c r="J3881" s="1348"/>
      <c r="K3881" s="1348"/>
    </row>
    <row r="3882" spans="2:11" hidden="1">
      <c r="B3882" s="1348"/>
      <c r="C3882" s="1348"/>
      <c r="D3882" s="1348"/>
      <c r="E3882" s="1348"/>
      <c r="F3882" s="1348"/>
      <c r="G3882" s="1348"/>
      <c r="H3882" s="1348"/>
      <c r="I3882" s="1348"/>
      <c r="J3882" s="1348"/>
      <c r="K3882" s="1348"/>
    </row>
    <row r="3883" spans="2:11" hidden="1">
      <c r="B3883" s="1348"/>
      <c r="C3883" s="1348"/>
      <c r="D3883" s="1348"/>
      <c r="E3883" s="1348"/>
      <c r="F3883" s="1348"/>
      <c r="G3883" s="1348"/>
      <c r="H3883" s="1348"/>
      <c r="I3883" s="1348"/>
      <c r="J3883" s="1348"/>
      <c r="K3883" s="1348"/>
    </row>
    <row r="3884" spans="2:11" hidden="1">
      <c r="B3884" s="1348"/>
      <c r="C3884" s="1348"/>
      <c r="D3884" s="1348"/>
      <c r="E3884" s="1348"/>
      <c r="F3884" s="1348"/>
      <c r="G3884" s="1348"/>
      <c r="H3884" s="1348"/>
      <c r="I3884" s="1348"/>
      <c r="J3884" s="1348"/>
      <c r="K3884" s="1348"/>
    </row>
    <row r="3885" spans="2:11" hidden="1">
      <c r="B3885" s="1348"/>
      <c r="C3885" s="1348"/>
      <c r="D3885" s="1348"/>
      <c r="E3885" s="1348"/>
      <c r="F3885" s="1348"/>
      <c r="G3885" s="1348"/>
      <c r="H3885" s="1348"/>
      <c r="I3885" s="1348"/>
      <c r="J3885" s="1348"/>
      <c r="K3885" s="1348"/>
    </row>
    <row r="3886" spans="2:11" hidden="1">
      <c r="B3886" s="1348"/>
      <c r="C3886" s="1348"/>
      <c r="D3886" s="1348"/>
      <c r="E3886" s="1348"/>
      <c r="F3886" s="1348"/>
      <c r="G3886" s="1348"/>
      <c r="H3886" s="1348"/>
      <c r="I3886" s="1348"/>
      <c r="J3886" s="1348"/>
      <c r="K3886" s="1348"/>
    </row>
    <row r="3887" spans="2:11" hidden="1">
      <c r="B3887" s="1348"/>
      <c r="C3887" s="1348"/>
      <c r="D3887" s="1348"/>
      <c r="E3887" s="1348"/>
      <c r="F3887" s="1348"/>
      <c r="G3887" s="1348"/>
      <c r="H3887" s="1348"/>
      <c r="I3887" s="1348"/>
      <c r="J3887" s="1348"/>
      <c r="K3887" s="1348"/>
    </row>
    <row r="3888" spans="2:11" hidden="1">
      <c r="B3888" s="1348"/>
      <c r="C3888" s="1348"/>
      <c r="D3888" s="1348"/>
      <c r="E3888" s="1348"/>
      <c r="F3888" s="1348"/>
      <c r="G3888" s="1348"/>
      <c r="H3888" s="1348"/>
      <c r="I3888" s="1348"/>
      <c r="J3888" s="1348"/>
      <c r="K3888" s="1348"/>
    </row>
    <row r="3889" spans="2:11" hidden="1">
      <c r="B3889" s="1348"/>
      <c r="C3889" s="1348"/>
      <c r="D3889" s="1348"/>
      <c r="E3889" s="1348"/>
      <c r="F3889" s="1348"/>
      <c r="G3889" s="1348"/>
      <c r="H3889" s="1348"/>
      <c r="I3889" s="1348"/>
      <c r="J3889" s="1348"/>
      <c r="K3889" s="1348"/>
    </row>
    <row r="3890" spans="2:11" hidden="1">
      <c r="B3890" s="1348"/>
      <c r="C3890" s="1348"/>
      <c r="D3890" s="1348"/>
      <c r="E3890" s="1348"/>
      <c r="F3890" s="1348"/>
      <c r="G3890" s="1348"/>
      <c r="H3890" s="1348"/>
      <c r="I3890" s="1348"/>
      <c r="J3890" s="1348"/>
      <c r="K3890" s="1348"/>
    </row>
    <row r="3891" spans="2:11" hidden="1">
      <c r="B3891" s="1348"/>
      <c r="C3891" s="1348"/>
      <c r="D3891" s="1348"/>
      <c r="E3891" s="1348"/>
      <c r="F3891" s="1348"/>
      <c r="G3891" s="1348"/>
      <c r="H3891" s="1348"/>
      <c r="I3891" s="1348"/>
      <c r="J3891" s="1348"/>
      <c r="K3891" s="1348"/>
    </row>
    <row r="3892" spans="2:11" hidden="1">
      <c r="B3892" s="1348"/>
      <c r="C3892" s="1348"/>
      <c r="D3892" s="1348"/>
      <c r="E3892" s="1348"/>
      <c r="F3892" s="1348"/>
      <c r="G3892" s="1348"/>
      <c r="H3892" s="1348"/>
      <c r="I3892" s="1348"/>
      <c r="J3892" s="1348"/>
      <c r="K3892" s="1348"/>
    </row>
    <row r="3893" spans="2:11" hidden="1">
      <c r="B3893" s="1348"/>
      <c r="C3893" s="1348"/>
      <c r="D3893" s="1348"/>
      <c r="E3893" s="1348"/>
      <c r="F3893" s="1348"/>
      <c r="G3893" s="1348"/>
      <c r="H3893" s="1348"/>
      <c r="I3893" s="1348"/>
      <c r="J3893" s="1348"/>
      <c r="K3893" s="1348"/>
    </row>
    <row r="3894" spans="2:11" hidden="1">
      <c r="B3894" s="1348"/>
      <c r="C3894" s="1348"/>
      <c r="D3894" s="1348"/>
      <c r="E3894" s="1348"/>
      <c r="F3894" s="1348"/>
      <c r="G3894" s="1348"/>
      <c r="H3894" s="1348"/>
      <c r="I3894" s="1348"/>
      <c r="J3894" s="1348"/>
      <c r="K3894" s="1348"/>
    </row>
    <row r="3895" spans="2:11" hidden="1">
      <c r="B3895" s="1348"/>
      <c r="C3895" s="1348"/>
      <c r="D3895" s="1348"/>
      <c r="E3895" s="1348"/>
      <c r="F3895" s="1348"/>
      <c r="G3895" s="1348"/>
      <c r="H3895" s="1348"/>
      <c r="I3895" s="1348"/>
      <c r="J3895" s="1348"/>
      <c r="K3895" s="1348"/>
    </row>
    <row r="3896" spans="2:11" hidden="1">
      <c r="B3896" s="1348"/>
      <c r="C3896" s="1348"/>
      <c r="D3896" s="1348"/>
      <c r="E3896" s="1348"/>
      <c r="F3896" s="1348"/>
      <c r="G3896" s="1348"/>
      <c r="H3896" s="1348"/>
      <c r="I3896" s="1348"/>
      <c r="J3896" s="1348"/>
      <c r="K3896" s="1348"/>
    </row>
    <row r="3897" spans="2:11" hidden="1">
      <c r="B3897" s="1348"/>
      <c r="C3897" s="1348"/>
      <c r="D3897" s="1348"/>
      <c r="E3897" s="1348"/>
      <c r="F3897" s="1348"/>
      <c r="G3897" s="1348"/>
      <c r="H3897" s="1348"/>
      <c r="I3897" s="1348"/>
      <c r="J3897" s="1348"/>
      <c r="K3897" s="1348"/>
    </row>
    <row r="3898" spans="2:11" hidden="1">
      <c r="B3898" s="1348"/>
      <c r="C3898" s="1348"/>
      <c r="D3898" s="1348"/>
      <c r="E3898" s="1348"/>
      <c r="F3898" s="1348"/>
      <c r="G3898" s="1348"/>
      <c r="H3898" s="1348"/>
      <c r="I3898" s="1348"/>
      <c r="J3898" s="1348"/>
      <c r="K3898" s="1348"/>
    </row>
    <row r="3899" spans="2:11" hidden="1">
      <c r="B3899" s="1348"/>
      <c r="C3899" s="1348"/>
      <c r="D3899" s="1348"/>
      <c r="E3899" s="1348"/>
      <c r="F3899" s="1348"/>
      <c r="G3899" s="1348"/>
      <c r="H3899" s="1348"/>
      <c r="I3899" s="1348"/>
      <c r="J3899" s="1348"/>
      <c r="K3899" s="1348"/>
    </row>
    <row r="3900" spans="2:11" hidden="1">
      <c r="B3900" s="1348"/>
      <c r="C3900" s="1348"/>
      <c r="D3900" s="1348"/>
      <c r="E3900" s="1348"/>
      <c r="F3900" s="1348"/>
      <c r="G3900" s="1348"/>
      <c r="H3900" s="1348"/>
      <c r="I3900" s="1348"/>
      <c r="J3900" s="1348"/>
      <c r="K3900" s="1348"/>
    </row>
    <row r="3901" spans="2:11" hidden="1">
      <c r="B3901" s="1348"/>
      <c r="C3901" s="1348"/>
      <c r="D3901" s="1348"/>
      <c r="E3901" s="1348"/>
      <c r="F3901" s="1348"/>
      <c r="G3901" s="1348"/>
      <c r="H3901" s="1348"/>
      <c r="I3901" s="1348"/>
      <c r="J3901" s="1348"/>
      <c r="K3901" s="1348"/>
    </row>
    <row r="3902" spans="2:11" hidden="1">
      <c r="B3902" s="1348"/>
      <c r="C3902" s="1348"/>
      <c r="D3902" s="1348"/>
      <c r="E3902" s="1348"/>
      <c r="F3902" s="1348"/>
      <c r="G3902" s="1348"/>
      <c r="H3902" s="1348"/>
      <c r="I3902" s="1348"/>
      <c r="J3902" s="1348"/>
      <c r="K3902" s="1348"/>
    </row>
    <row r="3903" spans="2:11" hidden="1">
      <c r="B3903" s="1348"/>
      <c r="C3903" s="1348"/>
      <c r="D3903" s="1348"/>
      <c r="E3903" s="1348"/>
      <c r="F3903" s="1348"/>
      <c r="G3903" s="1348"/>
      <c r="H3903" s="1348"/>
      <c r="I3903" s="1348"/>
      <c r="J3903" s="1348"/>
      <c r="K3903" s="1348"/>
    </row>
    <row r="3904" spans="2:11" hidden="1">
      <c r="B3904" s="1348"/>
      <c r="C3904" s="1348"/>
      <c r="D3904" s="1348"/>
      <c r="E3904" s="1348"/>
      <c r="F3904" s="1348"/>
      <c r="G3904" s="1348"/>
      <c r="H3904" s="1348"/>
      <c r="I3904" s="1348"/>
      <c r="J3904" s="1348"/>
      <c r="K3904" s="1348"/>
    </row>
    <row r="3905" spans="2:11" hidden="1">
      <c r="B3905" s="1348"/>
      <c r="C3905" s="1348"/>
      <c r="D3905" s="1348"/>
      <c r="E3905" s="1348"/>
      <c r="F3905" s="1348"/>
      <c r="G3905" s="1348"/>
      <c r="H3905" s="1348"/>
      <c r="I3905" s="1348"/>
      <c r="J3905" s="1348"/>
      <c r="K3905" s="1348"/>
    </row>
    <row r="3906" spans="2:11" hidden="1">
      <c r="B3906" s="1348"/>
      <c r="C3906" s="1348"/>
      <c r="D3906" s="1348"/>
      <c r="E3906" s="1348"/>
      <c r="F3906" s="1348"/>
      <c r="G3906" s="1348"/>
      <c r="H3906" s="1348"/>
      <c r="I3906" s="1348"/>
      <c r="J3906" s="1348"/>
      <c r="K3906" s="1348"/>
    </row>
    <row r="3907" spans="2:11" hidden="1">
      <c r="B3907" s="1348"/>
      <c r="C3907" s="1348"/>
      <c r="D3907" s="1348"/>
      <c r="E3907" s="1348"/>
      <c r="F3907" s="1348"/>
      <c r="G3907" s="1348"/>
      <c r="H3907" s="1348"/>
      <c r="I3907" s="1348"/>
      <c r="J3907" s="1348"/>
      <c r="K3907" s="1348"/>
    </row>
    <row r="3908" spans="2:11" hidden="1">
      <c r="B3908" s="1348"/>
      <c r="C3908" s="1348"/>
      <c r="D3908" s="1348"/>
      <c r="E3908" s="1348"/>
      <c r="F3908" s="1348"/>
      <c r="G3908" s="1348"/>
      <c r="H3908" s="1348"/>
      <c r="I3908" s="1348"/>
      <c r="J3908" s="1348"/>
      <c r="K3908" s="1348"/>
    </row>
    <row r="3909" spans="2:11" hidden="1">
      <c r="B3909" s="1348"/>
      <c r="C3909" s="1348"/>
      <c r="D3909" s="1348"/>
      <c r="E3909" s="1348"/>
      <c r="F3909" s="1348"/>
      <c r="G3909" s="1348"/>
      <c r="H3909" s="1348"/>
      <c r="I3909" s="1348"/>
      <c r="J3909" s="1348"/>
      <c r="K3909" s="1348"/>
    </row>
    <row r="3910" spans="2:11" hidden="1">
      <c r="B3910" s="1348"/>
      <c r="C3910" s="1348"/>
      <c r="D3910" s="1348"/>
      <c r="E3910" s="1348"/>
      <c r="F3910" s="1348"/>
      <c r="G3910" s="1348"/>
      <c r="H3910" s="1348"/>
      <c r="I3910" s="1348"/>
      <c r="J3910" s="1348"/>
      <c r="K3910" s="1348"/>
    </row>
    <row r="3911" spans="2:11" hidden="1">
      <c r="B3911" s="1348"/>
      <c r="C3911" s="1348"/>
      <c r="D3911" s="1348"/>
      <c r="E3911" s="1348"/>
      <c r="F3911" s="1348"/>
      <c r="G3911" s="1348"/>
      <c r="H3911" s="1348"/>
      <c r="I3911" s="1348"/>
      <c r="J3911" s="1348"/>
      <c r="K3911" s="1348"/>
    </row>
    <row r="3912" spans="2:11" hidden="1">
      <c r="B3912" s="1348"/>
      <c r="C3912" s="1348"/>
      <c r="D3912" s="1348"/>
      <c r="E3912" s="1348"/>
      <c r="F3912" s="1348"/>
      <c r="G3912" s="1348"/>
      <c r="H3912" s="1348"/>
      <c r="I3912" s="1348"/>
      <c r="J3912" s="1348"/>
      <c r="K3912" s="1348"/>
    </row>
    <row r="3913" spans="2:11" hidden="1">
      <c r="B3913" s="1348"/>
      <c r="C3913" s="1348"/>
      <c r="D3913" s="1348"/>
      <c r="E3913" s="1348"/>
      <c r="F3913" s="1348"/>
      <c r="G3913" s="1348"/>
      <c r="H3913" s="1348"/>
      <c r="I3913" s="1348"/>
      <c r="J3913" s="1348"/>
      <c r="K3913" s="1348"/>
    </row>
    <row r="3914" spans="2:11" hidden="1">
      <c r="B3914" s="1348"/>
      <c r="C3914" s="1348"/>
      <c r="D3914" s="1348"/>
      <c r="E3914" s="1348"/>
      <c r="F3914" s="1348"/>
      <c r="G3914" s="1348"/>
      <c r="H3914" s="1348"/>
      <c r="I3914" s="1348"/>
      <c r="J3914" s="1348"/>
      <c r="K3914" s="1348"/>
    </row>
    <row r="3915" spans="2:11" hidden="1">
      <c r="B3915" s="1348"/>
      <c r="C3915" s="1348"/>
      <c r="D3915" s="1348"/>
      <c r="E3915" s="1348"/>
      <c r="F3915" s="1348"/>
      <c r="G3915" s="1348"/>
      <c r="H3915" s="1348"/>
      <c r="I3915" s="1348"/>
      <c r="J3915" s="1348"/>
      <c r="K3915" s="1348"/>
    </row>
    <row r="3916" spans="2:11" hidden="1">
      <c r="B3916" s="1348"/>
      <c r="C3916" s="1348"/>
      <c r="D3916" s="1348"/>
      <c r="E3916" s="1348"/>
      <c r="F3916" s="1348"/>
      <c r="G3916" s="1348"/>
      <c r="H3916" s="1348"/>
      <c r="I3916" s="1348"/>
      <c r="J3916" s="1348"/>
      <c r="K3916" s="1348"/>
    </row>
    <row r="3917" spans="2:11" hidden="1">
      <c r="B3917" s="1348"/>
      <c r="C3917" s="1348"/>
      <c r="D3917" s="1348"/>
      <c r="E3917" s="1348"/>
      <c r="F3917" s="1348"/>
      <c r="G3917" s="1348"/>
      <c r="H3917" s="1348"/>
      <c r="I3917" s="1348"/>
      <c r="J3917" s="1348"/>
      <c r="K3917" s="1348"/>
    </row>
    <row r="3918" spans="2:11" hidden="1">
      <c r="B3918" s="1348"/>
      <c r="C3918" s="1348"/>
      <c r="D3918" s="1348"/>
      <c r="E3918" s="1348"/>
      <c r="F3918" s="1348"/>
      <c r="G3918" s="1348"/>
      <c r="H3918" s="1348"/>
      <c r="I3918" s="1348"/>
      <c r="J3918" s="1348"/>
      <c r="K3918" s="1348"/>
    </row>
    <row r="3919" spans="2:11" hidden="1">
      <c r="B3919" s="1348"/>
      <c r="C3919" s="1348"/>
      <c r="D3919" s="1348"/>
      <c r="E3919" s="1348"/>
      <c r="F3919" s="1348"/>
      <c r="G3919" s="1348"/>
      <c r="H3919" s="1348"/>
      <c r="I3919" s="1348"/>
      <c r="J3919" s="1348"/>
      <c r="K3919" s="1348"/>
    </row>
    <row r="3920" spans="2:11" hidden="1">
      <c r="B3920" s="1348"/>
      <c r="C3920" s="1348"/>
      <c r="D3920" s="1348"/>
      <c r="E3920" s="1348"/>
      <c r="F3920" s="1348"/>
      <c r="G3920" s="1348"/>
      <c r="H3920" s="1348"/>
      <c r="I3920" s="1348"/>
      <c r="J3920" s="1348"/>
      <c r="K3920" s="1348"/>
    </row>
    <row r="3921" spans="2:11" hidden="1">
      <c r="B3921" s="1348"/>
      <c r="C3921" s="1348"/>
      <c r="D3921" s="1348"/>
      <c r="E3921" s="1348"/>
      <c r="F3921" s="1348"/>
      <c r="G3921" s="1348"/>
      <c r="H3921" s="1348"/>
      <c r="I3921" s="1348"/>
      <c r="J3921" s="1348"/>
      <c r="K3921" s="1348"/>
    </row>
    <row r="3922" spans="2:11" hidden="1">
      <c r="B3922" s="1348"/>
      <c r="C3922" s="1348"/>
      <c r="D3922" s="1348"/>
      <c r="E3922" s="1348"/>
      <c r="F3922" s="1348"/>
      <c r="G3922" s="1348"/>
      <c r="H3922" s="1348"/>
      <c r="I3922" s="1348"/>
      <c r="J3922" s="1348"/>
      <c r="K3922" s="1348"/>
    </row>
    <row r="3923" spans="2:11" hidden="1">
      <c r="B3923" s="1348"/>
      <c r="C3923" s="1348"/>
      <c r="D3923" s="1348"/>
      <c r="E3923" s="1348"/>
      <c r="F3923" s="1348"/>
      <c r="G3923" s="1348"/>
      <c r="H3923" s="1348"/>
      <c r="I3923" s="1348"/>
      <c r="J3923" s="1348"/>
      <c r="K3923" s="1348"/>
    </row>
    <row r="3924" spans="2:11" hidden="1">
      <c r="B3924" s="1348"/>
      <c r="C3924" s="1348"/>
      <c r="D3924" s="1348"/>
      <c r="E3924" s="1348"/>
      <c r="F3924" s="1348"/>
      <c r="G3924" s="1348"/>
      <c r="H3924" s="1348"/>
      <c r="I3924" s="1348"/>
      <c r="J3924" s="1348"/>
      <c r="K3924" s="1348"/>
    </row>
    <row r="3925" spans="2:11" hidden="1">
      <c r="B3925" s="1348"/>
      <c r="C3925" s="1348"/>
      <c r="D3925" s="1348"/>
      <c r="E3925" s="1348"/>
      <c r="F3925" s="1348"/>
      <c r="G3925" s="1348"/>
      <c r="H3925" s="1348"/>
      <c r="I3925" s="1348"/>
      <c r="J3925" s="1348"/>
      <c r="K3925" s="1348"/>
    </row>
    <row r="3926" spans="2:11" hidden="1">
      <c r="B3926" s="1348"/>
      <c r="C3926" s="1348"/>
      <c r="D3926" s="1348"/>
      <c r="E3926" s="1348"/>
      <c r="F3926" s="1348"/>
      <c r="G3926" s="1348"/>
      <c r="H3926" s="1348"/>
      <c r="I3926" s="1348"/>
      <c r="J3926" s="1348"/>
      <c r="K3926" s="1348"/>
    </row>
    <row r="3927" spans="2:11" hidden="1">
      <c r="B3927" s="1348"/>
      <c r="C3927" s="1348"/>
      <c r="D3927" s="1348"/>
      <c r="E3927" s="1348"/>
      <c r="F3927" s="1348"/>
      <c r="G3927" s="1348"/>
      <c r="H3927" s="1348"/>
      <c r="I3927" s="1348"/>
      <c r="J3927" s="1348"/>
      <c r="K3927" s="1348"/>
    </row>
    <row r="3928" spans="2:11" hidden="1">
      <c r="B3928" s="1348"/>
      <c r="C3928" s="1348"/>
      <c r="D3928" s="1348"/>
      <c r="E3928" s="1348"/>
      <c r="F3928" s="1348"/>
      <c r="G3928" s="1348"/>
      <c r="H3928" s="1348"/>
      <c r="I3928" s="1348"/>
      <c r="J3928" s="1348"/>
      <c r="K3928" s="1348"/>
    </row>
    <row r="3929" spans="2:11" hidden="1">
      <c r="B3929" s="1348"/>
      <c r="C3929" s="1348"/>
      <c r="D3929" s="1348"/>
      <c r="E3929" s="1348"/>
      <c r="F3929" s="1348"/>
      <c r="G3929" s="1348"/>
      <c r="H3929" s="1348"/>
      <c r="I3929" s="1348"/>
      <c r="J3929" s="1348"/>
      <c r="K3929" s="1348"/>
    </row>
    <row r="3930" spans="2:11" hidden="1">
      <c r="B3930" s="1348"/>
      <c r="C3930" s="1348"/>
      <c r="D3930" s="1348"/>
      <c r="E3930" s="1348"/>
      <c r="F3930" s="1348"/>
      <c r="G3930" s="1348"/>
      <c r="H3930" s="1348"/>
      <c r="I3930" s="1348"/>
      <c r="J3930" s="1348"/>
      <c r="K3930" s="1348"/>
    </row>
    <row r="3931" spans="2:11" hidden="1">
      <c r="B3931" s="1348"/>
      <c r="C3931" s="1348"/>
      <c r="D3931" s="1348"/>
      <c r="E3931" s="1348"/>
      <c r="F3931" s="1348"/>
      <c r="G3931" s="1348"/>
      <c r="H3931" s="1348"/>
      <c r="I3931" s="1348"/>
      <c r="J3931" s="1348"/>
      <c r="K3931" s="1348"/>
    </row>
    <row r="3932" spans="2:11" hidden="1">
      <c r="B3932" s="1348"/>
      <c r="C3932" s="1348"/>
      <c r="D3932" s="1348"/>
      <c r="E3932" s="1348"/>
      <c r="F3932" s="1348"/>
      <c r="G3932" s="1348"/>
      <c r="H3932" s="1348"/>
      <c r="I3932" s="1348"/>
      <c r="J3932" s="1348"/>
      <c r="K3932" s="1348"/>
    </row>
    <row r="3933" spans="2:11" hidden="1">
      <c r="B3933" s="1348"/>
      <c r="C3933" s="1348"/>
      <c r="D3933" s="1348"/>
      <c r="E3933" s="1348"/>
      <c r="F3933" s="1348"/>
      <c r="G3933" s="1348"/>
      <c r="H3933" s="1348"/>
      <c r="I3933" s="1348"/>
      <c r="J3933" s="1348"/>
      <c r="K3933" s="1348"/>
    </row>
    <row r="3934" spans="2:11" hidden="1">
      <c r="B3934" s="1348"/>
      <c r="C3934" s="1348"/>
      <c r="D3934" s="1348"/>
      <c r="E3934" s="1348"/>
      <c r="F3934" s="1348"/>
      <c r="G3934" s="1348"/>
      <c r="H3934" s="1348"/>
      <c r="I3934" s="1348"/>
      <c r="J3934" s="1348"/>
      <c r="K3934" s="1348"/>
    </row>
    <row r="3935" spans="2:11" hidden="1">
      <c r="B3935" s="1348"/>
      <c r="C3935" s="1348"/>
      <c r="D3935" s="1348"/>
      <c r="E3935" s="1348"/>
      <c r="F3935" s="1348"/>
      <c r="G3935" s="1348"/>
      <c r="H3935" s="1348"/>
      <c r="I3935" s="1348"/>
      <c r="J3935" s="1348"/>
      <c r="K3935" s="1348"/>
    </row>
    <row r="3936" spans="2:11" hidden="1">
      <c r="B3936" s="1348"/>
      <c r="C3936" s="1348"/>
      <c r="D3936" s="1348"/>
      <c r="E3936" s="1348"/>
      <c r="F3936" s="1348"/>
      <c r="G3936" s="1348"/>
      <c r="H3936" s="1348"/>
      <c r="I3936" s="1348"/>
      <c r="J3936" s="1348"/>
      <c r="K3936" s="1348"/>
    </row>
    <row r="3937" spans="2:11" hidden="1">
      <c r="B3937" s="1348"/>
      <c r="C3937" s="1348"/>
      <c r="D3937" s="1348"/>
      <c r="E3937" s="1348"/>
      <c r="F3937" s="1348"/>
      <c r="G3937" s="1348"/>
      <c r="H3937" s="1348"/>
      <c r="I3937" s="1348"/>
      <c r="J3937" s="1348"/>
      <c r="K3937" s="1348"/>
    </row>
    <row r="3938" spans="2:11" hidden="1">
      <c r="B3938" s="1348"/>
      <c r="C3938" s="1348"/>
      <c r="D3938" s="1348"/>
      <c r="E3938" s="1348"/>
      <c r="F3938" s="1348"/>
      <c r="G3938" s="1348"/>
      <c r="H3938" s="1348"/>
      <c r="I3938" s="1348"/>
      <c r="J3938" s="1348"/>
      <c r="K3938" s="1348"/>
    </row>
    <row r="3939" spans="2:11" hidden="1">
      <c r="B3939" s="1348"/>
      <c r="C3939" s="1348"/>
      <c r="D3939" s="1348"/>
      <c r="E3939" s="1348"/>
      <c r="F3939" s="1348"/>
      <c r="G3939" s="1348"/>
      <c r="H3939" s="1348"/>
      <c r="I3939" s="1348"/>
      <c r="J3939" s="1348"/>
      <c r="K3939" s="1348"/>
    </row>
    <row r="3940" spans="2:11" hidden="1">
      <c r="B3940" s="1348"/>
      <c r="C3940" s="1348"/>
      <c r="D3940" s="1348"/>
      <c r="E3940" s="1348"/>
      <c r="F3940" s="1348"/>
      <c r="G3940" s="1348"/>
      <c r="H3940" s="1348"/>
      <c r="I3940" s="1348"/>
      <c r="J3940" s="1348"/>
      <c r="K3940" s="1348"/>
    </row>
    <row r="3941" spans="2:11" hidden="1">
      <c r="B3941" s="1348"/>
      <c r="C3941" s="1348"/>
      <c r="D3941" s="1348"/>
      <c r="E3941" s="1348"/>
      <c r="F3941" s="1348"/>
      <c r="G3941" s="1348"/>
      <c r="H3941" s="1348"/>
      <c r="I3941" s="1348"/>
      <c r="J3941" s="1348"/>
      <c r="K3941" s="1348"/>
    </row>
    <row r="3942" spans="2:11" hidden="1">
      <c r="B3942" s="1348"/>
      <c r="C3942" s="1348"/>
      <c r="D3942" s="1348"/>
      <c r="E3942" s="1348"/>
      <c r="F3942" s="1348"/>
      <c r="G3942" s="1348"/>
      <c r="H3942" s="1348"/>
      <c r="I3942" s="1348"/>
      <c r="J3942" s="1348"/>
      <c r="K3942" s="1348"/>
    </row>
    <row r="3943" spans="2:11" hidden="1">
      <c r="B3943" s="1348"/>
      <c r="C3943" s="1348"/>
      <c r="D3943" s="1348"/>
      <c r="E3943" s="1348"/>
      <c r="F3943" s="1348"/>
      <c r="G3943" s="1348"/>
      <c r="H3943" s="1348"/>
      <c r="I3943" s="1348"/>
      <c r="J3943" s="1348"/>
      <c r="K3943" s="1348"/>
    </row>
    <row r="3944" spans="2:11" hidden="1">
      <c r="B3944" s="1348"/>
      <c r="C3944" s="1348"/>
      <c r="D3944" s="1348"/>
      <c r="E3944" s="1348"/>
      <c r="F3944" s="1348"/>
      <c r="G3944" s="1348"/>
      <c r="H3944" s="1348"/>
      <c r="I3944" s="1348"/>
      <c r="J3944" s="1348"/>
      <c r="K3944" s="1348"/>
    </row>
    <row r="3945" spans="2:11" hidden="1">
      <c r="B3945" s="1348"/>
      <c r="C3945" s="1348"/>
      <c r="D3945" s="1348"/>
      <c r="E3945" s="1348"/>
      <c r="F3945" s="1348"/>
      <c r="G3945" s="1348"/>
      <c r="H3945" s="1348"/>
      <c r="I3945" s="1348"/>
      <c r="J3945" s="1348"/>
      <c r="K3945" s="1348"/>
    </row>
    <row r="3946" spans="2:11" hidden="1">
      <c r="B3946" s="1348"/>
      <c r="C3946" s="1348"/>
      <c r="D3946" s="1348"/>
      <c r="E3946" s="1348"/>
      <c r="F3946" s="1348"/>
      <c r="G3946" s="1348"/>
      <c r="H3946" s="1348"/>
      <c r="I3946" s="1348"/>
      <c r="J3946" s="1348"/>
      <c r="K3946" s="1348"/>
    </row>
    <row r="3947" spans="2:11" hidden="1">
      <c r="B3947" s="1348"/>
      <c r="C3947" s="1348"/>
      <c r="D3947" s="1348"/>
      <c r="E3947" s="1348"/>
      <c r="F3947" s="1348"/>
      <c r="G3947" s="1348"/>
      <c r="H3947" s="1348"/>
      <c r="I3947" s="1348"/>
      <c r="J3947" s="1348"/>
      <c r="K3947" s="1348"/>
    </row>
    <row r="3948" spans="2:11" hidden="1">
      <c r="B3948" s="1348"/>
      <c r="C3948" s="1348"/>
      <c r="D3948" s="1348"/>
      <c r="E3948" s="1348"/>
      <c r="F3948" s="1348"/>
      <c r="G3948" s="1348"/>
      <c r="H3948" s="1348"/>
      <c r="I3948" s="1348"/>
      <c r="J3948" s="1348"/>
      <c r="K3948" s="1348"/>
    </row>
    <row r="3949" spans="2:11" hidden="1">
      <c r="B3949" s="1348"/>
      <c r="C3949" s="1348"/>
      <c r="D3949" s="1348"/>
      <c r="E3949" s="1348"/>
      <c r="F3949" s="1348"/>
      <c r="G3949" s="1348"/>
      <c r="H3949" s="1348"/>
      <c r="I3949" s="1348"/>
      <c r="J3949" s="1348"/>
      <c r="K3949" s="1348"/>
    </row>
    <row r="3950" spans="2:11" hidden="1">
      <c r="B3950" s="1348"/>
      <c r="C3950" s="1348"/>
      <c r="D3950" s="1348"/>
      <c r="E3950" s="1348"/>
      <c r="F3950" s="1348"/>
      <c r="G3950" s="1348"/>
      <c r="H3950" s="1348"/>
      <c r="I3950" s="1348"/>
      <c r="J3950" s="1348"/>
      <c r="K3950" s="1348"/>
    </row>
    <row r="3951" spans="2:11" hidden="1">
      <c r="B3951" s="1348"/>
      <c r="C3951" s="1348"/>
      <c r="D3951" s="1348"/>
      <c r="E3951" s="1348"/>
      <c r="F3951" s="1348"/>
      <c r="G3951" s="1348"/>
      <c r="H3951" s="1348"/>
      <c r="I3951" s="1348"/>
      <c r="J3951" s="1348"/>
      <c r="K3951" s="1348"/>
    </row>
    <row r="3952" spans="2:11" hidden="1">
      <c r="B3952" s="1348"/>
      <c r="C3952" s="1348"/>
      <c r="D3952" s="1348"/>
      <c r="E3952" s="1348"/>
      <c r="F3952" s="1348"/>
      <c r="G3952" s="1348"/>
      <c r="H3952" s="1348"/>
      <c r="I3952" s="1348"/>
      <c r="J3952" s="1348"/>
      <c r="K3952" s="1348"/>
    </row>
    <row r="3953" spans="2:11" hidden="1">
      <c r="B3953" s="1348"/>
      <c r="C3953" s="1348"/>
      <c r="D3953" s="1348"/>
      <c r="E3953" s="1348"/>
      <c r="F3953" s="1348"/>
      <c r="G3953" s="1348"/>
      <c r="H3953" s="1348"/>
      <c r="I3953" s="1348"/>
      <c r="J3953" s="1348"/>
      <c r="K3953" s="1348"/>
    </row>
    <row r="3954" spans="2:11" hidden="1">
      <c r="B3954" s="1348"/>
      <c r="C3954" s="1348"/>
      <c r="D3954" s="1348"/>
      <c r="E3954" s="1348"/>
      <c r="F3954" s="1348"/>
      <c r="G3954" s="1348"/>
      <c r="H3954" s="1348"/>
      <c r="I3954" s="1348"/>
      <c r="J3954" s="1348"/>
      <c r="K3954" s="1348"/>
    </row>
    <row r="3955" spans="2:11" hidden="1">
      <c r="B3955" s="1348"/>
      <c r="C3955" s="1348"/>
      <c r="D3955" s="1348"/>
      <c r="E3955" s="1348"/>
      <c r="F3955" s="1348"/>
      <c r="G3955" s="1348"/>
      <c r="H3955" s="1348"/>
      <c r="I3955" s="1348"/>
      <c r="J3955" s="1348"/>
      <c r="K3955" s="1348"/>
    </row>
    <row r="3956" spans="2:11" hidden="1">
      <c r="B3956" s="1348"/>
      <c r="C3956" s="1348"/>
      <c r="D3956" s="1348"/>
      <c r="E3956" s="1348"/>
      <c r="F3956" s="1348"/>
      <c r="G3956" s="1348"/>
      <c r="H3956" s="1348"/>
      <c r="I3956" s="1348"/>
      <c r="J3956" s="1348"/>
      <c r="K3956" s="1348"/>
    </row>
    <row r="3957" spans="2:11" hidden="1">
      <c r="B3957" s="1348"/>
      <c r="C3957" s="1348"/>
      <c r="D3957" s="1348"/>
      <c r="E3957" s="1348"/>
      <c r="F3957" s="1348"/>
      <c r="G3957" s="1348"/>
      <c r="H3957" s="1348"/>
      <c r="I3957" s="1348"/>
      <c r="J3957" s="1348"/>
      <c r="K3957" s="1348"/>
    </row>
    <row r="3958" spans="2:11" hidden="1">
      <c r="B3958" s="1348"/>
      <c r="C3958" s="1348"/>
      <c r="D3958" s="1348"/>
      <c r="E3958" s="1348"/>
      <c r="F3958" s="1348"/>
      <c r="G3958" s="1348"/>
      <c r="H3958" s="1348"/>
      <c r="I3958" s="1348"/>
      <c r="J3958" s="1348"/>
      <c r="K3958" s="1348"/>
    </row>
    <row r="3959" spans="2:11" hidden="1">
      <c r="B3959" s="1348"/>
      <c r="C3959" s="1348"/>
      <c r="D3959" s="1348"/>
      <c r="E3959" s="1348"/>
      <c r="F3959" s="1348"/>
      <c r="G3959" s="1348"/>
      <c r="H3959" s="1348"/>
      <c r="I3959" s="1348"/>
      <c r="J3959" s="1348"/>
      <c r="K3959" s="1348"/>
    </row>
    <row r="3960" spans="2:11" hidden="1">
      <c r="B3960" s="1348"/>
      <c r="C3960" s="1348"/>
      <c r="D3960" s="1348"/>
      <c r="E3960" s="1348"/>
      <c r="F3960" s="1348"/>
      <c r="G3960" s="1348"/>
      <c r="H3960" s="1348"/>
      <c r="I3960" s="1348"/>
      <c r="J3960" s="1348"/>
      <c r="K3960" s="1348"/>
    </row>
    <row r="3961" spans="2:11" hidden="1">
      <c r="B3961" s="1348"/>
      <c r="C3961" s="1348"/>
      <c r="D3961" s="1348"/>
      <c r="E3961" s="1348"/>
      <c r="F3961" s="1348"/>
      <c r="G3961" s="1348"/>
      <c r="H3961" s="1348"/>
      <c r="I3961" s="1348"/>
      <c r="J3961" s="1348"/>
      <c r="K3961" s="1348"/>
    </row>
    <row r="3962" spans="2:11" hidden="1">
      <c r="B3962" s="1348"/>
      <c r="C3962" s="1348"/>
      <c r="D3962" s="1348"/>
      <c r="E3962" s="1348"/>
      <c r="F3962" s="1348"/>
      <c r="G3962" s="1348"/>
      <c r="H3962" s="1348"/>
      <c r="I3962" s="1348"/>
      <c r="J3962" s="1348"/>
      <c r="K3962" s="1348"/>
    </row>
    <row r="3963" spans="2:11" hidden="1">
      <c r="B3963" s="1348"/>
      <c r="C3963" s="1348"/>
      <c r="D3963" s="1348"/>
      <c r="E3963" s="1348"/>
      <c r="F3963" s="1348"/>
      <c r="G3963" s="1348"/>
      <c r="H3963" s="1348"/>
      <c r="I3963" s="1348"/>
      <c r="J3963" s="1348"/>
      <c r="K3963" s="1348"/>
    </row>
    <row r="3964" spans="2:11" hidden="1">
      <c r="B3964" s="1348"/>
      <c r="C3964" s="1348"/>
      <c r="D3964" s="1348"/>
      <c r="E3964" s="1348"/>
      <c r="F3964" s="1348"/>
      <c r="G3964" s="1348"/>
      <c r="H3964" s="1348"/>
      <c r="I3964" s="1348"/>
      <c r="J3964" s="1348"/>
      <c r="K3964" s="1348"/>
    </row>
    <row r="3965" spans="2:11" hidden="1">
      <c r="B3965" s="1348"/>
      <c r="C3965" s="1348"/>
      <c r="D3965" s="1348"/>
      <c r="E3965" s="1348"/>
      <c r="F3965" s="1348"/>
      <c r="G3965" s="1348"/>
      <c r="H3965" s="1348"/>
      <c r="I3965" s="1348"/>
      <c r="J3965" s="1348"/>
      <c r="K3965" s="1348"/>
    </row>
    <row r="3966" spans="2:11" hidden="1">
      <c r="B3966" s="1348"/>
      <c r="C3966" s="1348"/>
      <c r="D3966" s="1348"/>
      <c r="E3966" s="1348"/>
      <c r="F3966" s="1348"/>
      <c r="G3966" s="1348"/>
      <c r="H3966" s="1348"/>
      <c r="I3966" s="1348"/>
      <c r="J3966" s="1348"/>
      <c r="K3966" s="1348"/>
    </row>
    <row r="3967" spans="2:11" hidden="1">
      <c r="B3967" s="1348"/>
      <c r="C3967" s="1348"/>
      <c r="D3967" s="1348"/>
      <c r="E3967" s="1348"/>
      <c r="F3967" s="1348"/>
      <c r="G3967" s="1348"/>
      <c r="H3967" s="1348"/>
      <c r="I3967" s="1348"/>
      <c r="J3967" s="1348"/>
      <c r="K3967" s="1348"/>
    </row>
    <row r="3968" spans="2:11" hidden="1">
      <c r="B3968" s="1348"/>
      <c r="C3968" s="1348"/>
      <c r="D3968" s="1348"/>
      <c r="E3968" s="1348"/>
      <c r="F3968" s="1348"/>
      <c r="G3968" s="1348"/>
      <c r="H3968" s="1348"/>
      <c r="I3968" s="1348"/>
      <c r="J3968" s="1348"/>
      <c r="K3968" s="1348"/>
    </row>
    <row r="3969" spans="2:11" hidden="1">
      <c r="B3969" s="1348"/>
      <c r="C3969" s="1348"/>
      <c r="D3969" s="1348"/>
      <c r="E3969" s="1348"/>
      <c r="F3969" s="1348"/>
      <c r="G3969" s="1348"/>
      <c r="H3969" s="1348"/>
      <c r="I3969" s="1348"/>
      <c r="J3969" s="1348"/>
      <c r="K3969" s="1348"/>
    </row>
    <row r="3970" spans="2:11" hidden="1">
      <c r="B3970" s="1348"/>
      <c r="C3970" s="1348"/>
      <c r="D3970" s="1348"/>
      <c r="E3970" s="1348"/>
      <c r="F3970" s="1348"/>
      <c r="G3970" s="1348"/>
      <c r="H3970" s="1348"/>
      <c r="I3970" s="1348"/>
      <c r="J3970" s="1348"/>
      <c r="K3970" s="1348"/>
    </row>
    <row r="3971" spans="2:11" hidden="1">
      <c r="B3971" s="1348"/>
      <c r="C3971" s="1348"/>
      <c r="D3971" s="1348"/>
      <c r="E3971" s="1348"/>
      <c r="F3971" s="1348"/>
      <c r="G3971" s="1348"/>
      <c r="H3971" s="1348"/>
      <c r="I3971" s="1348"/>
      <c r="J3971" s="1348"/>
      <c r="K3971" s="1348"/>
    </row>
    <row r="3972" spans="2:11" hidden="1">
      <c r="B3972" s="1348"/>
      <c r="C3972" s="1348"/>
      <c r="D3972" s="1348"/>
      <c r="E3972" s="1348"/>
      <c r="F3972" s="1348"/>
      <c r="G3972" s="1348"/>
      <c r="H3972" s="1348"/>
      <c r="I3972" s="1348"/>
      <c r="J3972" s="1348"/>
      <c r="K3972" s="1348"/>
    </row>
    <row r="3973" spans="2:11" hidden="1">
      <c r="B3973" s="1348"/>
      <c r="C3973" s="1348"/>
      <c r="D3973" s="1348"/>
      <c r="E3973" s="1348"/>
      <c r="F3973" s="1348"/>
      <c r="G3973" s="1348"/>
      <c r="H3973" s="1348"/>
      <c r="I3973" s="1348"/>
      <c r="J3973" s="1348"/>
      <c r="K3973" s="1348"/>
    </row>
    <row r="3974" spans="2:11" hidden="1">
      <c r="B3974" s="1348"/>
      <c r="C3974" s="1348"/>
      <c r="D3974" s="1348"/>
      <c r="E3974" s="1348"/>
      <c r="F3974" s="1348"/>
      <c r="G3974" s="1348"/>
      <c r="H3974" s="1348"/>
      <c r="I3974" s="1348"/>
      <c r="J3974" s="1348"/>
      <c r="K3974" s="1348"/>
    </row>
    <row r="3975" spans="2:11" hidden="1">
      <c r="B3975" s="1348"/>
      <c r="C3975" s="1348"/>
      <c r="D3975" s="1348"/>
      <c r="E3975" s="1348"/>
      <c r="F3975" s="1348"/>
      <c r="G3975" s="1348"/>
      <c r="H3975" s="1348"/>
      <c r="I3975" s="1348"/>
      <c r="J3975" s="1348"/>
      <c r="K3975" s="1348"/>
    </row>
    <row r="3976" spans="2:11" hidden="1">
      <c r="B3976" s="1348"/>
      <c r="C3976" s="1348"/>
      <c r="D3976" s="1348"/>
      <c r="E3976" s="1348"/>
      <c r="F3976" s="1348"/>
      <c r="G3976" s="1348"/>
      <c r="H3976" s="1348"/>
      <c r="I3976" s="1348"/>
      <c r="J3976" s="1348"/>
      <c r="K3976" s="1348"/>
    </row>
    <row r="3977" spans="2:11" hidden="1">
      <c r="B3977" s="1348"/>
      <c r="C3977" s="1348"/>
      <c r="D3977" s="1348"/>
      <c r="E3977" s="1348"/>
      <c r="F3977" s="1348"/>
      <c r="G3977" s="1348"/>
      <c r="H3977" s="1348"/>
      <c r="I3977" s="1348"/>
      <c r="J3977" s="1348"/>
      <c r="K3977" s="1348"/>
    </row>
    <row r="3978" spans="2:11" hidden="1">
      <c r="B3978" s="1348"/>
      <c r="C3978" s="1348"/>
      <c r="D3978" s="1348"/>
      <c r="E3978" s="1348"/>
      <c r="F3978" s="1348"/>
      <c r="G3978" s="1348"/>
      <c r="H3978" s="1348"/>
      <c r="I3978" s="1348"/>
      <c r="J3978" s="1348"/>
      <c r="K3978" s="1348"/>
    </row>
    <row r="3979" spans="2:11" hidden="1">
      <c r="B3979" s="1348"/>
      <c r="C3979" s="1348"/>
      <c r="D3979" s="1348"/>
      <c r="E3979" s="1348"/>
      <c r="F3979" s="1348"/>
      <c r="G3979" s="1348"/>
      <c r="H3979" s="1348"/>
      <c r="I3979" s="1348"/>
      <c r="J3979" s="1348"/>
      <c r="K3979" s="1348"/>
    </row>
    <row r="3980" spans="2:11" hidden="1">
      <c r="B3980" s="1348"/>
      <c r="C3980" s="1348"/>
      <c r="D3980" s="1348"/>
      <c r="E3980" s="1348"/>
      <c r="F3980" s="1348"/>
      <c r="G3980" s="1348"/>
      <c r="H3980" s="1348"/>
      <c r="I3980" s="1348"/>
      <c r="J3980" s="1348"/>
      <c r="K3980" s="1348"/>
    </row>
    <row r="3981" spans="2:11" hidden="1">
      <c r="B3981" s="1348"/>
      <c r="C3981" s="1348"/>
      <c r="D3981" s="1348"/>
      <c r="E3981" s="1348"/>
      <c r="F3981" s="1348"/>
      <c r="G3981" s="1348"/>
      <c r="H3981" s="1348"/>
      <c r="I3981" s="1348"/>
      <c r="J3981" s="1348"/>
      <c r="K3981" s="1348"/>
    </row>
    <row r="3982" spans="2:11" hidden="1">
      <c r="B3982" s="1348"/>
      <c r="C3982" s="1348"/>
      <c r="D3982" s="1348"/>
      <c r="E3982" s="1348"/>
      <c r="F3982" s="1348"/>
      <c r="G3982" s="1348"/>
      <c r="H3982" s="1348"/>
      <c r="I3982" s="1348"/>
      <c r="J3982" s="1348"/>
      <c r="K3982" s="1348"/>
    </row>
    <row r="3983" spans="2:11" hidden="1">
      <c r="B3983" s="1348"/>
      <c r="C3983" s="1348"/>
      <c r="D3983" s="1348"/>
      <c r="E3983" s="1348"/>
      <c r="F3983" s="1348"/>
      <c r="G3983" s="1348"/>
      <c r="H3983" s="1348"/>
      <c r="I3983" s="1348"/>
      <c r="J3983" s="1348"/>
      <c r="K3983" s="1348"/>
    </row>
    <row r="3984" spans="2:11" hidden="1">
      <c r="B3984" s="1348"/>
      <c r="C3984" s="1348"/>
      <c r="D3984" s="1348"/>
      <c r="E3984" s="1348"/>
      <c r="F3984" s="1348"/>
      <c r="G3984" s="1348"/>
      <c r="H3984" s="1348"/>
      <c r="I3984" s="1348"/>
      <c r="J3984" s="1348"/>
      <c r="K3984" s="1348"/>
    </row>
    <row r="3985" spans="2:11" hidden="1">
      <c r="B3985" s="1348"/>
      <c r="C3985" s="1348"/>
      <c r="D3985" s="1348"/>
      <c r="E3985" s="1348"/>
      <c r="F3985" s="1348"/>
      <c r="G3985" s="1348"/>
      <c r="H3985" s="1348"/>
      <c r="I3985" s="1348"/>
      <c r="J3985" s="1348"/>
      <c r="K3985" s="1348"/>
    </row>
    <row r="3986" spans="2:11" hidden="1">
      <c r="B3986" s="1348"/>
      <c r="C3986" s="1348"/>
      <c r="D3986" s="1348"/>
      <c r="E3986" s="1348"/>
      <c r="F3986" s="1348"/>
      <c r="G3986" s="1348"/>
      <c r="H3986" s="1348"/>
      <c r="I3986" s="1348"/>
      <c r="J3986" s="1348"/>
      <c r="K3986" s="1348"/>
    </row>
    <row r="3987" spans="2:11" hidden="1">
      <c r="B3987" s="1348"/>
      <c r="C3987" s="1348"/>
      <c r="D3987" s="1348"/>
      <c r="E3987" s="1348"/>
      <c r="F3987" s="1348"/>
      <c r="G3987" s="1348"/>
      <c r="H3987" s="1348"/>
      <c r="I3987" s="1348"/>
      <c r="J3987" s="1348"/>
      <c r="K3987" s="1348"/>
    </row>
    <row r="3988" spans="2:11" hidden="1">
      <c r="B3988" s="1348"/>
      <c r="C3988" s="1348"/>
      <c r="D3988" s="1348"/>
      <c r="E3988" s="1348"/>
      <c r="F3988" s="1348"/>
      <c r="G3988" s="1348"/>
      <c r="H3988" s="1348"/>
      <c r="I3988" s="1348"/>
      <c r="J3988" s="1348"/>
      <c r="K3988" s="1348"/>
    </row>
    <row r="3989" spans="2:11" hidden="1">
      <c r="B3989" s="1348"/>
      <c r="C3989" s="1348"/>
      <c r="D3989" s="1348"/>
      <c r="E3989" s="1348"/>
      <c r="F3989" s="1348"/>
      <c r="G3989" s="1348"/>
      <c r="H3989" s="1348"/>
      <c r="I3989" s="1348"/>
      <c r="J3989" s="1348"/>
      <c r="K3989" s="1348"/>
    </row>
    <row r="3990" spans="2:11" hidden="1">
      <c r="B3990" s="1348"/>
      <c r="C3990" s="1348"/>
      <c r="D3990" s="1348"/>
      <c r="E3990" s="1348"/>
      <c r="F3990" s="1348"/>
      <c r="G3990" s="1348"/>
      <c r="H3990" s="1348"/>
      <c r="I3990" s="1348"/>
      <c r="J3990" s="1348"/>
      <c r="K3990" s="1348"/>
    </row>
    <row r="3991" spans="2:11" hidden="1">
      <c r="B3991" s="1348"/>
      <c r="C3991" s="1348"/>
      <c r="D3991" s="1348"/>
      <c r="E3991" s="1348"/>
      <c r="F3991" s="1348"/>
      <c r="G3991" s="1348"/>
      <c r="H3991" s="1348"/>
      <c r="I3991" s="1348"/>
      <c r="J3991" s="1348"/>
      <c r="K3991" s="1348"/>
    </row>
    <row r="3992" spans="2:11" hidden="1">
      <c r="B3992" s="1348"/>
      <c r="C3992" s="1348"/>
      <c r="D3992" s="1348"/>
      <c r="E3992" s="1348"/>
      <c r="F3992" s="1348"/>
      <c r="G3992" s="1348"/>
      <c r="H3992" s="1348"/>
      <c r="I3992" s="1348"/>
      <c r="J3992" s="1348"/>
      <c r="K3992" s="1348"/>
    </row>
    <row r="3993" spans="2:11" hidden="1">
      <c r="B3993" s="1348"/>
      <c r="C3993" s="1348"/>
      <c r="D3993" s="1348"/>
      <c r="E3993" s="1348"/>
      <c r="F3993" s="1348"/>
      <c r="G3993" s="1348"/>
      <c r="H3993" s="1348"/>
      <c r="I3993" s="1348"/>
      <c r="J3993" s="1348"/>
      <c r="K3993" s="1348"/>
    </row>
    <row r="3994" spans="2:11" hidden="1">
      <c r="B3994" s="1348"/>
      <c r="C3994" s="1348"/>
      <c r="D3994" s="1348"/>
      <c r="E3994" s="1348"/>
      <c r="F3994" s="1348"/>
      <c r="G3994" s="1348"/>
      <c r="H3994" s="1348"/>
      <c r="I3994" s="1348"/>
      <c r="J3994" s="1348"/>
      <c r="K3994" s="1348"/>
    </row>
    <row r="3995" spans="2:11" hidden="1">
      <c r="B3995" s="1348"/>
      <c r="C3995" s="1348"/>
      <c r="D3995" s="1348"/>
      <c r="E3995" s="1348"/>
      <c r="F3995" s="1348"/>
      <c r="G3995" s="1348"/>
      <c r="H3995" s="1348"/>
      <c r="I3995" s="1348"/>
      <c r="J3995" s="1348"/>
      <c r="K3995" s="1348"/>
    </row>
    <row r="3996" spans="2:11" hidden="1">
      <c r="B3996" s="1348"/>
      <c r="C3996" s="1348"/>
      <c r="D3996" s="1348"/>
      <c r="E3996" s="1348"/>
      <c r="F3996" s="1348"/>
      <c r="G3996" s="1348"/>
      <c r="H3996" s="1348"/>
      <c r="I3996" s="1348"/>
      <c r="J3996" s="1348"/>
      <c r="K3996" s="1348"/>
    </row>
    <row r="3997" spans="2:11" hidden="1">
      <c r="B3997" s="1348"/>
      <c r="C3997" s="1348"/>
      <c r="D3997" s="1348"/>
      <c r="E3997" s="1348"/>
      <c r="F3997" s="1348"/>
      <c r="G3997" s="1348"/>
      <c r="H3997" s="1348"/>
      <c r="I3997" s="1348"/>
      <c r="J3997" s="1348"/>
      <c r="K3997" s="1348"/>
    </row>
    <row r="3998" spans="2:11" hidden="1">
      <c r="B3998" s="1348"/>
      <c r="C3998" s="1348"/>
      <c r="D3998" s="1348"/>
      <c r="E3998" s="1348"/>
      <c r="F3998" s="1348"/>
      <c r="G3998" s="1348"/>
      <c r="H3998" s="1348"/>
      <c r="I3998" s="1348"/>
      <c r="J3998" s="1348"/>
      <c r="K3998" s="1348"/>
    </row>
    <row r="3999" spans="2:11" hidden="1">
      <c r="B3999" s="1348"/>
      <c r="C3999" s="1348"/>
      <c r="D3999" s="1348"/>
      <c r="E3999" s="1348"/>
      <c r="F3999" s="1348"/>
      <c r="G3999" s="1348"/>
      <c r="H3999" s="1348"/>
      <c r="I3999" s="1348"/>
      <c r="J3999" s="1348"/>
      <c r="K3999" s="1348"/>
    </row>
    <row r="4000" spans="2:11" hidden="1">
      <c r="B4000" s="1348"/>
      <c r="C4000" s="1348"/>
      <c r="D4000" s="1348"/>
      <c r="E4000" s="1348"/>
      <c r="F4000" s="1348"/>
      <c r="G4000" s="1348"/>
      <c r="H4000" s="1348"/>
      <c r="I4000" s="1348"/>
      <c r="J4000" s="1348"/>
      <c r="K4000" s="1348"/>
    </row>
    <row r="4001" spans="2:11" hidden="1">
      <c r="B4001" s="1348"/>
      <c r="C4001" s="1348"/>
      <c r="D4001" s="1348"/>
      <c r="E4001" s="1348"/>
      <c r="F4001" s="1348"/>
      <c r="G4001" s="1348"/>
      <c r="H4001" s="1348"/>
      <c r="I4001" s="1348"/>
      <c r="J4001" s="1348"/>
      <c r="K4001" s="1348"/>
    </row>
    <row r="4002" spans="2:11" hidden="1">
      <c r="B4002" s="1348"/>
      <c r="C4002" s="1348"/>
      <c r="D4002" s="1348"/>
      <c r="E4002" s="1348"/>
      <c r="F4002" s="1348"/>
      <c r="G4002" s="1348"/>
      <c r="H4002" s="1348"/>
      <c r="I4002" s="1348"/>
      <c r="J4002" s="1348"/>
      <c r="K4002" s="1348"/>
    </row>
    <row r="4003" spans="2:11" hidden="1">
      <c r="B4003" s="1348"/>
      <c r="C4003" s="1348"/>
      <c r="D4003" s="1348"/>
      <c r="E4003" s="1348"/>
      <c r="F4003" s="1348"/>
      <c r="G4003" s="1348"/>
      <c r="H4003" s="1348"/>
      <c r="I4003" s="1348"/>
      <c r="J4003" s="1348"/>
      <c r="K4003" s="1348"/>
    </row>
    <row r="4004" spans="2:11" hidden="1">
      <c r="B4004" s="1348"/>
      <c r="C4004" s="1348"/>
      <c r="D4004" s="1348"/>
      <c r="E4004" s="1348"/>
      <c r="F4004" s="1348"/>
      <c r="G4004" s="1348"/>
      <c r="H4004" s="1348"/>
      <c r="I4004" s="1348"/>
      <c r="J4004" s="1348"/>
      <c r="K4004" s="1348"/>
    </row>
    <row r="4005" spans="2:11" hidden="1">
      <c r="B4005" s="1348"/>
      <c r="C4005" s="1348"/>
      <c r="D4005" s="1348"/>
      <c r="E4005" s="1348"/>
      <c r="F4005" s="1348"/>
      <c r="G4005" s="1348"/>
      <c r="H4005" s="1348"/>
      <c r="I4005" s="1348"/>
      <c r="J4005" s="1348"/>
      <c r="K4005" s="1348"/>
    </row>
    <row r="4006" spans="2:11" hidden="1">
      <c r="B4006" s="1348"/>
      <c r="C4006" s="1348"/>
      <c r="D4006" s="1348"/>
      <c r="E4006" s="1348"/>
      <c r="F4006" s="1348"/>
      <c r="G4006" s="1348"/>
      <c r="H4006" s="1348"/>
      <c r="I4006" s="1348"/>
      <c r="J4006" s="1348"/>
      <c r="K4006" s="1348"/>
    </row>
    <row r="4007" spans="2:11" hidden="1">
      <c r="B4007" s="1348"/>
      <c r="C4007" s="1348"/>
      <c r="D4007" s="1348"/>
      <c r="E4007" s="1348"/>
      <c r="F4007" s="1348"/>
      <c r="G4007" s="1348"/>
      <c r="H4007" s="1348"/>
      <c r="I4007" s="1348"/>
      <c r="J4007" s="1348"/>
      <c r="K4007" s="1348"/>
    </row>
    <row r="4008" spans="2:11" hidden="1">
      <c r="B4008" s="1348"/>
      <c r="C4008" s="1348"/>
      <c r="D4008" s="1348"/>
      <c r="E4008" s="1348"/>
      <c r="F4008" s="1348"/>
      <c r="G4008" s="1348"/>
      <c r="H4008" s="1348"/>
      <c r="I4008" s="1348"/>
      <c r="J4008" s="1348"/>
      <c r="K4008" s="1348"/>
    </row>
    <row r="4009" spans="2:11" hidden="1">
      <c r="B4009" s="1348"/>
      <c r="C4009" s="1348"/>
      <c r="D4009" s="1348"/>
      <c r="E4009" s="1348"/>
      <c r="F4009" s="1348"/>
      <c r="G4009" s="1348"/>
      <c r="H4009" s="1348"/>
      <c r="I4009" s="1348"/>
      <c r="J4009" s="1348"/>
      <c r="K4009" s="1348"/>
    </row>
    <row r="4010" spans="2:11" hidden="1">
      <c r="B4010" s="1348"/>
      <c r="C4010" s="1348"/>
      <c r="D4010" s="1348"/>
      <c r="E4010" s="1348"/>
      <c r="F4010" s="1348"/>
      <c r="G4010" s="1348"/>
      <c r="H4010" s="1348"/>
      <c r="I4010" s="1348"/>
      <c r="J4010" s="1348"/>
      <c r="K4010" s="1348"/>
    </row>
    <row r="4011" spans="2:11" hidden="1">
      <c r="B4011" s="1348"/>
      <c r="C4011" s="1348"/>
      <c r="D4011" s="1348"/>
      <c r="E4011" s="1348"/>
      <c r="F4011" s="1348"/>
      <c r="G4011" s="1348"/>
      <c r="H4011" s="1348"/>
      <c r="I4011" s="1348"/>
      <c r="J4011" s="1348"/>
      <c r="K4011" s="1348"/>
    </row>
    <row r="4012" spans="2:11" hidden="1">
      <c r="B4012" s="1348"/>
      <c r="C4012" s="1348"/>
      <c r="D4012" s="1348"/>
      <c r="E4012" s="1348"/>
      <c r="F4012" s="1348"/>
      <c r="G4012" s="1348"/>
      <c r="H4012" s="1348"/>
      <c r="I4012" s="1348"/>
      <c r="J4012" s="1348"/>
      <c r="K4012" s="1348"/>
    </row>
    <row r="4013" spans="2:11" hidden="1">
      <c r="B4013" s="1348"/>
      <c r="C4013" s="1348"/>
      <c r="D4013" s="1348"/>
      <c r="E4013" s="1348"/>
      <c r="F4013" s="1348"/>
      <c r="G4013" s="1348"/>
      <c r="H4013" s="1348"/>
      <c r="I4013" s="1348"/>
      <c r="J4013" s="1348"/>
      <c r="K4013" s="1348"/>
    </row>
    <row r="4014" spans="2:11" hidden="1">
      <c r="B4014" s="1348"/>
      <c r="C4014" s="1348"/>
      <c r="D4014" s="1348"/>
      <c r="E4014" s="1348"/>
      <c r="F4014" s="1348"/>
      <c r="G4014" s="1348"/>
      <c r="H4014" s="1348"/>
      <c r="I4014" s="1348"/>
      <c r="J4014" s="1348"/>
      <c r="K4014" s="1348"/>
    </row>
    <row r="4015" spans="2:11" hidden="1">
      <c r="B4015" s="1348"/>
      <c r="C4015" s="1348"/>
      <c r="D4015" s="1348"/>
      <c r="E4015" s="1348"/>
      <c r="F4015" s="1348"/>
      <c r="G4015" s="1348"/>
      <c r="H4015" s="1348"/>
      <c r="I4015" s="1348"/>
      <c r="J4015" s="1348"/>
      <c r="K4015" s="1348"/>
    </row>
    <row r="4016" spans="2:11" hidden="1">
      <c r="B4016" s="1348"/>
      <c r="C4016" s="1348"/>
      <c r="D4016" s="1348"/>
      <c r="E4016" s="1348"/>
      <c r="F4016" s="1348"/>
      <c r="G4016" s="1348"/>
      <c r="H4016" s="1348"/>
      <c r="I4016" s="1348"/>
      <c r="J4016" s="1348"/>
      <c r="K4016" s="1348"/>
    </row>
    <row r="4017" spans="2:11" hidden="1">
      <c r="B4017" s="1348"/>
      <c r="C4017" s="1348"/>
      <c r="D4017" s="1348"/>
      <c r="E4017" s="1348"/>
      <c r="F4017" s="1348"/>
      <c r="G4017" s="1348"/>
      <c r="H4017" s="1348"/>
      <c r="I4017" s="1348"/>
      <c r="J4017" s="1348"/>
      <c r="K4017" s="1348"/>
    </row>
    <row r="4018" spans="2:11" hidden="1">
      <c r="B4018" s="1348"/>
      <c r="C4018" s="1348"/>
      <c r="D4018" s="1348"/>
      <c r="E4018" s="1348"/>
      <c r="F4018" s="1348"/>
      <c r="G4018" s="1348"/>
      <c r="H4018" s="1348"/>
      <c r="I4018" s="1348"/>
      <c r="J4018" s="1348"/>
      <c r="K4018" s="1348"/>
    </row>
    <row r="4019" spans="2:11" hidden="1">
      <c r="B4019" s="1348"/>
      <c r="C4019" s="1348"/>
      <c r="D4019" s="1348"/>
      <c r="E4019" s="1348"/>
      <c r="F4019" s="1348"/>
      <c r="G4019" s="1348"/>
      <c r="H4019" s="1348"/>
      <c r="I4019" s="1348"/>
      <c r="J4019" s="1348"/>
      <c r="K4019" s="1348"/>
    </row>
    <row r="4020" spans="2:11" hidden="1">
      <c r="B4020" s="1348"/>
      <c r="C4020" s="1348"/>
      <c r="D4020" s="1348"/>
      <c r="E4020" s="1348"/>
      <c r="F4020" s="1348"/>
      <c r="G4020" s="1348"/>
      <c r="H4020" s="1348"/>
      <c r="I4020" s="1348"/>
      <c r="J4020" s="1348"/>
      <c r="K4020" s="1348"/>
    </row>
    <row r="4021" spans="2:11" hidden="1">
      <c r="B4021" s="1348"/>
      <c r="C4021" s="1348"/>
      <c r="D4021" s="1348"/>
      <c r="E4021" s="1348"/>
      <c r="F4021" s="1348"/>
      <c r="G4021" s="1348"/>
      <c r="H4021" s="1348"/>
      <c r="I4021" s="1348"/>
      <c r="J4021" s="1348"/>
      <c r="K4021" s="1348"/>
    </row>
    <row r="4022" spans="2:11" hidden="1">
      <c r="B4022" s="1348"/>
      <c r="C4022" s="1348"/>
      <c r="D4022" s="1348"/>
      <c r="E4022" s="1348"/>
      <c r="F4022" s="1348"/>
      <c r="G4022" s="1348"/>
      <c r="H4022" s="1348"/>
      <c r="I4022" s="1348"/>
      <c r="J4022" s="1348"/>
      <c r="K4022" s="1348"/>
    </row>
    <row r="4023" spans="2:11" hidden="1">
      <c r="B4023" s="1348"/>
      <c r="C4023" s="1348"/>
      <c r="D4023" s="1348"/>
      <c r="E4023" s="1348"/>
      <c r="F4023" s="1348"/>
      <c r="G4023" s="1348"/>
      <c r="H4023" s="1348"/>
      <c r="I4023" s="1348"/>
      <c r="J4023" s="1348"/>
      <c r="K4023" s="1348"/>
    </row>
    <row r="4024" spans="2:11" hidden="1">
      <c r="B4024" s="1348"/>
      <c r="C4024" s="1348"/>
      <c r="D4024" s="1348"/>
      <c r="E4024" s="1348"/>
      <c r="F4024" s="1348"/>
      <c r="G4024" s="1348"/>
      <c r="H4024" s="1348"/>
      <c r="I4024" s="1348"/>
      <c r="J4024" s="1348"/>
      <c r="K4024" s="1348"/>
    </row>
    <row r="4025" spans="2:11" hidden="1">
      <c r="B4025" s="1348"/>
      <c r="C4025" s="1348"/>
      <c r="D4025" s="1348"/>
      <c r="E4025" s="1348"/>
      <c r="F4025" s="1348"/>
      <c r="G4025" s="1348"/>
      <c r="H4025" s="1348"/>
      <c r="I4025" s="1348"/>
      <c r="J4025" s="1348"/>
      <c r="K4025" s="1348"/>
    </row>
    <row r="4026" spans="2:11" hidden="1">
      <c r="B4026" s="1348"/>
      <c r="C4026" s="1348"/>
      <c r="D4026" s="1348"/>
      <c r="E4026" s="1348"/>
      <c r="F4026" s="1348"/>
      <c r="G4026" s="1348"/>
      <c r="H4026" s="1348"/>
      <c r="I4026" s="1348"/>
      <c r="J4026" s="1348"/>
      <c r="K4026" s="1348"/>
    </row>
    <row r="4027" spans="2:11" hidden="1">
      <c r="B4027" s="1348"/>
      <c r="C4027" s="1348"/>
      <c r="D4027" s="1348"/>
      <c r="E4027" s="1348"/>
      <c r="F4027" s="1348"/>
      <c r="G4027" s="1348"/>
      <c r="H4027" s="1348"/>
      <c r="I4027" s="1348"/>
      <c r="J4027" s="1348"/>
      <c r="K4027" s="1348"/>
    </row>
    <row r="4028" spans="2:11" hidden="1">
      <c r="B4028" s="1348"/>
      <c r="C4028" s="1348"/>
      <c r="D4028" s="1348"/>
      <c r="E4028" s="1348"/>
      <c r="F4028" s="1348"/>
      <c r="G4028" s="1348"/>
      <c r="H4028" s="1348"/>
      <c r="I4028" s="1348"/>
      <c r="J4028" s="1348"/>
      <c r="K4028" s="1348"/>
    </row>
    <row r="4029" spans="2:11" hidden="1">
      <c r="B4029" s="1348"/>
      <c r="C4029" s="1348"/>
      <c r="D4029" s="1348"/>
      <c r="E4029" s="1348"/>
      <c r="F4029" s="1348"/>
      <c r="G4029" s="1348"/>
      <c r="H4029" s="1348"/>
      <c r="I4029" s="1348"/>
      <c r="J4029" s="1348"/>
      <c r="K4029" s="1348"/>
    </row>
    <row r="4030" spans="2:11" hidden="1">
      <c r="B4030" s="1348"/>
      <c r="C4030" s="1348"/>
      <c r="D4030" s="1348"/>
      <c r="E4030" s="1348"/>
      <c r="F4030" s="1348"/>
      <c r="G4030" s="1348"/>
      <c r="H4030" s="1348"/>
      <c r="I4030" s="1348"/>
      <c r="J4030" s="1348"/>
      <c r="K4030" s="1348"/>
    </row>
    <row r="4031" spans="2:11" hidden="1">
      <c r="B4031" s="1348"/>
      <c r="C4031" s="1348"/>
      <c r="D4031" s="1348"/>
      <c r="E4031" s="1348"/>
      <c r="F4031" s="1348"/>
      <c r="G4031" s="1348"/>
      <c r="H4031" s="1348"/>
      <c r="I4031" s="1348"/>
      <c r="J4031" s="1348"/>
      <c r="K4031" s="1348"/>
    </row>
    <row r="4032" spans="2:11" hidden="1">
      <c r="B4032" s="1348"/>
      <c r="C4032" s="1348"/>
      <c r="D4032" s="1348"/>
      <c r="E4032" s="1348"/>
      <c r="F4032" s="1348"/>
      <c r="G4032" s="1348"/>
      <c r="H4032" s="1348"/>
      <c r="I4032" s="1348"/>
      <c r="J4032" s="1348"/>
      <c r="K4032" s="1348"/>
    </row>
    <row r="4033" spans="2:11" hidden="1">
      <c r="B4033" s="1348"/>
      <c r="C4033" s="1348"/>
      <c r="D4033" s="1348"/>
      <c r="E4033" s="1348"/>
      <c r="F4033" s="1348"/>
      <c r="G4033" s="1348"/>
      <c r="H4033" s="1348"/>
      <c r="I4033" s="1348"/>
      <c r="J4033" s="1348"/>
      <c r="K4033" s="1348"/>
    </row>
    <row r="4034" spans="2:11" hidden="1">
      <c r="B4034" s="1348"/>
      <c r="C4034" s="1348"/>
      <c r="D4034" s="1348"/>
      <c r="E4034" s="1348"/>
      <c r="F4034" s="1348"/>
      <c r="G4034" s="1348"/>
      <c r="H4034" s="1348"/>
      <c r="I4034" s="1348"/>
      <c r="J4034" s="1348"/>
      <c r="K4034" s="1348"/>
    </row>
    <row r="4035" spans="2:11" hidden="1">
      <c r="B4035" s="1348"/>
      <c r="C4035" s="1348"/>
      <c r="D4035" s="1348"/>
      <c r="E4035" s="1348"/>
      <c r="F4035" s="1348"/>
      <c r="G4035" s="1348"/>
      <c r="H4035" s="1348"/>
      <c r="I4035" s="1348"/>
      <c r="J4035" s="1348"/>
      <c r="K4035" s="1348"/>
    </row>
    <row r="4036" spans="2:11" hidden="1">
      <c r="B4036" s="1348"/>
      <c r="C4036" s="1348"/>
      <c r="D4036" s="1348"/>
      <c r="E4036" s="1348"/>
      <c r="F4036" s="1348"/>
      <c r="G4036" s="1348"/>
      <c r="H4036" s="1348"/>
      <c r="I4036" s="1348"/>
      <c r="J4036" s="1348"/>
      <c r="K4036" s="1348"/>
    </row>
    <row r="4037" spans="2:11" hidden="1">
      <c r="B4037" s="1348"/>
      <c r="C4037" s="1348"/>
      <c r="D4037" s="1348"/>
      <c r="E4037" s="1348"/>
      <c r="F4037" s="1348"/>
      <c r="G4037" s="1348"/>
      <c r="H4037" s="1348"/>
      <c r="I4037" s="1348"/>
      <c r="J4037" s="1348"/>
      <c r="K4037" s="1348"/>
    </row>
    <row r="4038" spans="2:11" hidden="1">
      <c r="B4038" s="1348"/>
      <c r="C4038" s="1348"/>
      <c r="D4038" s="1348"/>
      <c r="E4038" s="1348"/>
      <c r="F4038" s="1348"/>
      <c r="G4038" s="1348"/>
      <c r="H4038" s="1348"/>
      <c r="I4038" s="1348"/>
      <c r="J4038" s="1348"/>
      <c r="K4038" s="1348"/>
    </row>
    <row r="4039" spans="2:11" hidden="1">
      <c r="B4039" s="1348"/>
      <c r="C4039" s="1348"/>
      <c r="D4039" s="1348"/>
      <c r="E4039" s="1348"/>
      <c r="F4039" s="1348"/>
      <c r="G4039" s="1348"/>
      <c r="H4039" s="1348"/>
      <c r="I4039" s="1348"/>
      <c r="J4039" s="1348"/>
      <c r="K4039" s="1348"/>
    </row>
    <row r="4040" spans="2:11" hidden="1">
      <c r="B4040" s="1348"/>
      <c r="C4040" s="1348"/>
      <c r="D4040" s="1348"/>
      <c r="E4040" s="1348"/>
      <c r="F4040" s="1348"/>
      <c r="G4040" s="1348"/>
      <c r="H4040" s="1348"/>
      <c r="I4040" s="1348"/>
      <c r="J4040" s="1348"/>
      <c r="K4040" s="1348"/>
    </row>
    <row r="4041" spans="2:11" hidden="1">
      <c r="B4041" s="1348"/>
      <c r="C4041" s="1348"/>
      <c r="D4041" s="1348"/>
      <c r="E4041" s="1348"/>
      <c r="F4041" s="1348"/>
      <c r="G4041" s="1348"/>
      <c r="H4041" s="1348"/>
      <c r="I4041" s="1348"/>
      <c r="J4041" s="1348"/>
      <c r="K4041" s="1348"/>
    </row>
    <row r="4042" spans="2:11" hidden="1">
      <c r="B4042" s="1348"/>
      <c r="C4042" s="1348"/>
      <c r="D4042" s="1348"/>
      <c r="E4042" s="1348"/>
      <c r="F4042" s="1348"/>
      <c r="G4042" s="1348"/>
      <c r="H4042" s="1348"/>
      <c r="I4042" s="1348"/>
      <c r="J4042" s="1348"/>
      <c r="K4042" s="1348"/>
    </row>
    <row r="4043" spans="2:11" hidden="1">
      <c r="B4043" s="1348"/>
      <c r="C4043" s="1348"/>
      <c r="D4043" s="1348"/>
      <c r="E4043" s="1348"/>
      <c r="F4043" s="1348"/>
      <c r="G4043" s="1348"/>
      <c r="H4043" s="1348"/>
      <c r="I4043" s="1348"/>
      <c r="J4043" s="1348"/>
      <c r="K4043" s="1348"/>
    </row>
    <row r="4044" spans="2:11" hidden="1">
      <c r="B4044" s="1348"/>
      <c r="C4044" s="1348"/>
      <c r="D4044" s="1348"/>
      <c r="E4044" s="1348"/>
      <c r="F4044" s="1348"/>
      <c r="G4044" s="1348"/>
      <c r="H4044" s="1348"/>
      <c r="I4044" s="1348"/>
      <c r="J4044" s="1348"/>
      <c r="K4044" s="1348"/>
    </row>
    <row r="4045" spans="2:11" hidden="1">
      <c r="B4045" s="1348"/>
      <c r="C4045" s="1348"/>
      <c r="D4045" s="1348"/>
      <c r="E4045" s="1348"/>
      <c r="F4045" s="1348"/>
      <c r="G4045" s="1348"/>
      <c r="H4045" s="1348"/>
      <c r="I4045" s="1348"/>
      <c r="J4045" s="1348"/>
      <c r="K4045" s="1348"/>
    </row>
    <row r="4046" spans="2:11" hidden="1">
      <c r="B4046" s="1348"/>
      <c r="C4046" s="1348"/>
      <c r="D4046" s="1348"/>
      <c r="E4046" s="1348"/>
      <c r="F4046" s="1348"/>
      <c r="G4046" s="1348"/>
      <c r="H4046" s="1348"/>
      <c r="I4046" s="1348"/>
      <c r="J4046" s="1348"/>
      <c r="K4046" s="1348"/>
    </row>
    <row r="4047" spans="2:11" hidden="1">
      <c r="B4047" s="1348"/>
      <c r="C4047" s="1348"/>
      <c r="D4047" s="1348"/>
      <c r="E4047" s="1348"/>
      <c r="F4047" s="1348"/>
      <c r="G4047" s="1348"/>
      <c r="H4047" s="1348"/>
      <c r="I4047" s="1348"/>
      <c r="J4047" s="1348"/>
      <c r="K4047" s="1348"/>
    </row>
    <row r="4048" spans="2:11" hidden="1">
      <c r="B4048" s="1348"/>
      <c r="C4048" s="1348"/>
      <c r="D4048" s="1348"/>
      <c r="E4048" s="1348"/>
      <c r="F4048" s="1348"/>
      <c r="G4048" s="1348"/>
      <c r="H4048" s="1348"/>
      <c r="I4048" s="1348"/>
      <c r="J4048" s="1348"/>
      <c r="K4048" s="1348"/>
    </row>
    <row r="4049" spans="2:11" hidden="1">
      <c r="B4049" s="1348"/>
      <c r="C4049" s="1348"/>
      <c r="D4049" s="1348"/>
      <c r="E4049" s="1348"/>
      <c r="F4049" s="1348"/>
      <c r="G4049" s="1348"/>
      <c r="H4049" s="1348"/>
      <c r="I4049" s="1348"/>
      <c r="J4049" s="1348"/>
      <c r="K4049" s="1348"/>
    </row>
    <row r="4050" spans="2:11" hidden="1">
      <c r="B4050" s="1348"/>
      <c r="C4050" s="1348"/>
      <c r="D4050" s="1348"/>
      <c r="E4050" s="1348"/>
      <c r="F4050" s="1348"/>
      <c r="G4050" s="1348"/>
      <c r="H4050" s="1348"/>
      <c r="I4050" s="1348"/>
      <c r="J4050" s="1348"/>
      <c r="K4050" s="1348"/>
    </row>
    <row r="4051" spans="2:11" hidden="1">
      <c r="B4051" s="1348"/>
      <c r="C4051" s="1348"/>
      <c r="D4051" s="1348"/>
      <c r="E4051" s="1348"/>
      <c r="F4051" s="1348"/>
      <c r="G4051" s="1348"/>
      <c r="H4051" s="1348"/>
      <c r="I4051" s="1348"/>
      <c r="J4051" s="1348"/>
      <c r="K4051" s="1348"/>
    </row>
    <row r="4052" spans="2:11" hidden="1">
      <c r="B4052" s="1348"/>
      <c r="C4052" s="1348"/>
      <c r="D4052" s="1348"/>
      <c r="E4052" s="1348"/>
      <c r="F4052" s="1348"/>
      <c r="G4052" s="1348"/>
      <c r="H4052" s="1348"/>
      <c r="I4052" s="1348"/>
      <c r="J4052" s="1348"/>
      <c r="K4052" s="1348"/>
    </row>
    <row r="4053" spans="2:11" hidden="1">
      <c r="B4053" s="1348"/>
      <c r="C4053" s="1348"/>
      <c r="D4053" s="1348"/>
      <c r="E4053" s="1348"/>
      <c r="F4053" s="1348"/>
      <c r="G4053" s="1348"/>
      <c r="H4053" s="1348"/>
      <c r="I4053" s="1348"/>
      <c r="J4053" s="1348"/>
      <c r="K4053" s="1348"/>
    </row>
    <row r="4054" spans="2:11" hidden="1">
      <c r="B4054" s="1348"/>
      <c r="C4054" s="1348"/>
      <c r="D4054" s="1348"/>
      <c r="E4054" s="1348"/>
      <c r="F4054" s="1348"/>
      <c r="G4054" s="1348"/>
      <c r="H4054" s="1348"/>
      <c r="I4054" s="1348"/>
      <c r="J4054" s="1348"/>
      <c r="K4054" s="1348"/>
    </row>
    <row r="4055" spans="2:11" hidden="1">
      <c r="B4055" s="1348"/>
      <c r="C4055" s="1348"/>
      <c r="D4055" s="1348"/>
      <c r="E4055" s="1348"/>
      <c r="F4055" s="1348"/>
      <c r="G4055" s="1348"/>
      <c r="H4055" s="1348"/>
      <c r="I4055" s="1348"/>
      <c r="J4055" s="1348"/>
      <c r="K4055" s="1348"/>
    </row>
    <row r="4056" spans="2:11" hidden="1">
      <c r="B4056" s="1348"/>
      <c r="C4056" s="1348"/>
      <c r="D4056" s="1348"/>
      <c r="E4056" s="1348"/>
      <c r="F4056" s="1348"/>
      <c r="G4056" s="1348"/>
      <c r="H4056" s="1348"/>
      <c r="I4056" s="1348"/>
      <c r="J4056" s="1348"/>
      <c r="K4056" s="1348"/>
    </row>
    <row r="4057" spans="2:11" hidden="1">
      <c r="B4057" s="1348"/>
      <c r="C4057" s="1348"/>
      <c r="D4057" s="1348"/>
      <c r="E4057" s="1348"/>
      <c r="F4057" s="1348"/>
      <c r="G4057" s="1348"/>
      <c r="H4057" s="1348"/>
      <c r="I4057" s="1348"/>
      <c r="J4057" s="1348"/>
      <c r="K4057" s="1348"/>
    </row>
    <row r="4058" spans="2:11" hidden="1">
      <c r="B4058" s="1348"/>
      <c r="C4058" s="1348"/>
      <c r="D4058" s="1348"/>
      <c r="E4058" s="1348"/>
      <c r="F4058" s="1348"/>
      <c r="G4058" s="1348"/>
      <c r="H4058" s="1348"/>
      <c r="I4058" s="1348"/>
      <c r="J4058" s="1348"/>
      <c r="K4058" s="1348"/>
    </row>
    <row r="4059" spans="2:11" hidden="1">
      <c r="B4059" s="1348"/>
      <c r="C4059" s="1348"/>
      <c r="D4059" s="1348"/>
      <c r="E4059" s="1348"/>
      <c r="F4059" s="1348"/>
      <c r="G4059" s="1348"/>
      <c r="H4059" s="1348"/>
      <c r="I4059" s="1348"/>
      <c r="J4059" s="1348"/>
      <c r="K4059" s="1348"/>
    </row>
    <row r="4060" spans="2:11" hidden="1">
      <c r="B4060" s="1348"/>
      <c r="C4060" s="1348"/>
      <c r="D4060" s="1348"/>
      <c r="E4060" s="1348"/>
      <c r="F4060" s="1348"/>
      <c r="G4060" s="1348"/>
      <c r="H4060" s="1348"/>
      <c r="I4060" s="1348"/>
      <c r="J4060" s="1348"/>
      <c r="K4060" s="1348"/>
    </row>
    <row r="4061" spans="2:11" hidden="1">
      <c r="B4061" s="1348"/>
      <c r="C4061" s="1348"/>
      <c r="D4061" s="1348"/>
      <c r="E4061" s="1348"/>
      <c r="F4061" s="1348"/>
      <c r="G4061" s="1348"/>
      <c r="H4061" s="1348"/>
      <c r="I4061" s="1348"/>
      <c r="J4061" s="1348"/>
      <c r="K4061" s="1348"/>
    </row>
    <row r="4062" spans="2:11" hidden="1">
      <c r="B4062" s="1348"/>
      <c r="C4062" s="1348"/>
      <c r="D4062" s="1348"/>
      <c r="E4062" s="1348"/>
      <c r="F4062" s="1348"/>
      <c r="G4062" s="1348"/>
      <c r="H4062" s="1348"/>
      <c r="I4062" s="1348"/>
      <c r="J4062" s="1348"/>
      <c r="K4062" s="1348"/>
    </row>
    <row r="4063" spans="2:11" hidden="1">
      <c r="B4063" s="1348"/>
      <c r="C4063" s="1348"/>
      <c r="D4063" s="1348"/>
      <c r="E4063" s="1348"/>
      <c r="F4063" s="1348"/>
      <c r="G4063" s="1348"/>
      <c r="H4063" s="1348"/>
      <c r="I4063" s="1348"/>
      <c r="J4063" s="1348"/>
      <c r="K4063" s="1348"/>
    </row>
    <row r="4064" spans="2:11" hidden="1">
      <c r="B4064" s="1348"/>
      <c r="C4064" s="1348"/>
      <c r="D4064" s="1348"/>
      <c r="E4064" s="1348"/>
      <c r="F4064" s="1348"/>
      <c r="G4064" s="1348"/>
      <c r="H4064" s="1348"/>
      <c r="I4064" s="1348"/>
      <c r="J4064" s="1348"/>
      <c r="K4064" s="1348"/>
    </row>
    <row r="4065" spans="2:11" hidden="1">
      <c r="B4065" s="1348"/>
      <c r="C4065" s="1348"/>
      <c r="D4065" s="1348"/>
      <c r="E4065" s="1348"/>
      <c r="F4065" s="1348"/>
      <c r="G4065" s="1348"/>
      <c r="H4065" s="1348"/>
      <c r="I4065" s="1348"/>
      <c r="J4065" s="1348"/>
      <c r="K4065" s="1348"/>
    </row>
    <row r="4066" spans="2:11" hidden="1">
      <c r="B4066" s="1348"/>
      <c r="C4066" s="1348"/>
      <c r="D4066" s="1348"/>
      <c r="E4066" s="1348"/>
      <c r="F4066" s="1348"/>
      <c r="G4066" s="1348"/>
      <c r="H4066" s="1348"/>
      <c r="I4066" s="1348"/>
      <c r="J4066" s="1348"/>
      <c r="K4066" s="1348"/>
    </row>
    <row r="4067" spans="2:11" hidden="1">
      <c r="B4067" s="1348"/>
      <c r="C4067" s="1348"/>
      <c r="D4067" s="1348"/>
      <c r="E4067" s="1348"/>
      <c r="F4067" s="1348"/>
      <c r="G4067" s="1348"/>
      <c r="H4067" s="1348"/>
      <c r="I4067" s="1348"/>
      <c r="J4067" s="1348"/>
      <c r="K4067" s="1348"/>
    </row>
    <row r="4068" spans="2:11" hidden="1">
      <c r="B4068" s="1348"/>
      <c r="C4068" s="1348"/>
      <c r="D4068" s="1348"/>
      <c r="E4068" s="1348"/>
      <c r="F4068" s="1348"/>
      <c r="G4068" s="1348"/>
      <c r="H4068" s="1348"/>
      <c r="I4068" s="1348"/>
      <c r="J4068" s="1348"/>
      <c r="K4068" s="1348"/>
    </row>
    <row r="4069" spans="2:11" hidden="1">
      <c r="B4069" s="1348"/>
      <c r="C4069" s="1348"/>
      <c r="D4069" s="1348"/>
      <c r="E4069" s="1348"/>
      <c r="F4069" s="1348"/>
      <c r="G4069" s="1348"/>
      <c r="H4069" s="1348"/>
      <c r="I4069" s="1348"/>
      <c r="J4069" s="1348"/>
      <c r="K4069" s="1348"/>
    </row>
    <row r="4070" spans="2:11" hidden="1">
      <c r="B4070" s="1348"/>
      <c r="C4070" s="1348"/>
      <c r="D4070" s="1348"/>
      <c r="E4070" s="1348"/>
      <c r="F4070" s="1348"/>
      <c r="G4070" s="1348"/>
      <c r="H4070" s="1348"/>
      <c r="I4070" s="1348"/>
      <c r="J4070" s="1348"/>
      <c r="K4070" s="1348"/>
    </row>
    <row r="4071" spans="2:11" hidden="1">
      <c r="B4071" s="1348"/>
      <c r="C4071" s="1348"/>
      <c r="D4071" s="1348"/>
      <c r="E4071" s="1348"/>
      <c r="F4071" s="1348"/>
      <c r="G4071" s="1348"/>
      <c r="H4071" s="1348"/>
      <c r="I4071" s="1348"/>
      <c r="J4071" s="1348"/>
      <c r="K4071" s="1348"/>
    </row>
    <row r="4072" spans="2:11" hidden="1">
      <c r="B4072" s="1348"/>
      <c r="C4072" s="1348"/>
      <c r="D4072" s="1348"/>
      <c r="E4072" s="1348"/>
      <c r="F4072" s="1348"/>
      <c r="G4072" s="1348"/>
      <c r="H4072" s="1348"/>
      <c r="I4072" s="1348"/>
      <c r="J4072" s="1348"/>
      <c r="K4072" s="1348"/>
    </row>
    <row r="4073" spans="2:11" hidden="1">
      <c r="B4073" s="1348"/>
      <c r="C4073" s="1348"/>
      <c r="D4073" s="1348"/>
      <c r="E4073" s="1348"/>
      <c r="F4073" s="1348"/>
      <c r="G4073" s="1348"/>
      <c r="H4073" s="1348"/>
      <c r="I4073" s="1348"/>
      <c r="J4073" s="1348"/>
      <c r="K4073" s="1348"/>
    </row>
    <row r="4074" spans="2:11" hidden="1">
      <c r="B4074" s="1348"/>
      <c r="C4074" s="1348"/>
      <c r="D4074" s="1348"/>
      <c r="E4074" s="1348"/>
      <c r="F4074" s="1348"/>
      <c r="G4074" s="1348"/>
      <c r="H4074" s="1348"/>
      <c r="I4074" s="1348"/>
      <c r="J4074" s="1348"/>
      <c r="K4074" s="1348"/>
    </row>
    <row r="4075" spans="2:11" hidden="1">
      <c r="B4075" s="1348"/>
      <c r="C4075" s="1348"/>
      <c r="D4075" s="1348"/>
      <c r="E4075" s="1348"/>
      <c r="F4075" s="1348"/>
      <c r="G4075" s="1348"/>
      <c r="H4075" s="1348"/>
      <c r="I4075" s="1348"/>
      <c r="J4075" s="1348"/>
      <c r="K4075" s="1348"/>
    </row>
    <row r="4076" spans="2:11" hidden="1">
      <c r="B4076" s="1348"/>
      <c r="C4076" s="1348"/>
      <c r="D4076" s="1348"/>
      <c r="E4076" s="1348"/>
      <c r="F4076" s="1348"/>
      <c r="G4076" s="1348"/>
      <c r="H4076" s="1348"/>
      <c r="I4076" s="1348"/>
      <c r="J4076" s="1348"/>
      <c r="K4076" s="1348"/>
    </row>
    <row r="4077" spans="2:11" hidden="1">
      <c r="B4077" s="1348"/>
      <c r="C4077" s="1348"/>
      <c r="D4077" s="1348"/>
      <c r="E4077" s="1348"/>
      <c r="F4077" s="1348"/>
      <c r="G4077" s="1348"/>
      <c r="H4077" s="1348"/>
      <c r="I4077" s="1348"/>
      <c r="J4077" s="1348"/>
      <c r="K4077" s="1348"/>
    </row>
    <row r="4078" spans="2:11" hidden="1">
      <c r="B4078" s="1348"/>
      <c r="C4078" s="1348"/>
      <c r="D4078" s="1348"/>
      <c r="E4078" s="1348"/>
      <c r="F4078" s="1348"/>
      <c r="G4078" s="1348"/>
      <c r="H4078" s="1348"/>
      <c r="I4078" s="1348"/>
      <c r="J4078" s="1348"/>
      <c r="K4078" s="1348"/>
    </row>
    <row r="4079" spans="2:11" hidden="1">
      <c r="B4079" s="1348"/>
      <c r="C4079" s="1348"/>
      <c r="D4079" s="1348"/>
      <c r="E4079" s="1348"/>
      <c r="F4079" s="1348"/>
      <c r="G4079" s="1348"/>
      <c r="H4079" s="1348"/>
      <c r="I4079" s="1348"/>
      <c r="J4079" s="1348"/>
      <c r="K4079" s="1348"/>
    </row>
    <row r="4080" spans="2:11" hidden="1">
      <c r="B4080" s="1348"/>
      <c r="C4080" s="1348"/>
      <c r="D4080" s="1348"/>
      <c r="E4080" s="1348"/>
      <c r="F4080" s="1348"/>
      <c r="G4080" s="1348"/>
      <c r="H4080" s="1348"/>
      <c r="I4080" s="1348"/>
      <c r="J4080" s="1348"/>
      <c r="K4080" s="1348"/>
    </row>
    <row r="4081" spans="2:11" hidden="1">
      <c r="B4081" s="1348"/>
      <c r="C4081" s="1348"/>
      <c r="D4081" s="1348"/>
      <c r="E4081" s="1348"/>
      <c r="F4081" s="1348"/>
      <c r="G4081" s="1348"/>
      <c r="H4081" s="1348"/>
      <c r="I4081" s="1348"/>
      <c r="J4081" s="1348"/>
      <c r="K4081" s="1348"/>
    </row>
    <row r="4082" spans="2:11" hidden="1">
      <c r="B4082" s="1348"/>
      <c r="C4082" s="1348"/>
      <c r="D4082" s="1348"/>
      <c r="E4082" s="1348"/>
      <c r="F4082" s="1348"/>
      <c r="G4082" s="1348"/>
      <c r="H4082" s="1348"/>
      <c r="I4082" s="1348"/>
      <c r="J4082" s="1348"/>
      <c r="K4082" s="1348"/>
    </row>
    <row r="4083" spans="2:11" hidden="1">
      <c r="B4083" s="1348"/>
      <c r="C4083" s="1348"/>
      <c r="D4083" s="1348"/>
      <c r="E4083" s="1348"/>
      <c r="F4083" s="1348"/>
      <c r="G4083" s="1348"/>
      <c r="H4083" s="1348"/>
      <c r="I4083" s="1348"/>
      <c r="J4083" s="1348"/>
      <c r="K4083" s="1348"/>
    </row>
    <row r="4084" spans="2:11" hidden="1">
      <c r="B4084" s="1348"/>
      <c r="C4084" s="1348"/>
      <c r="D4084" s="1348"/>
      <c r="E4084" s="1348"/>
      <c r="F4084" s="1348"/>
      <c r="G4084" s="1348"/>
      <c r="H4084" s="1348"/>
      <c r="I4084" s="1348"/>
      <c r="J4084" s="1348"/>
      <c r="K4084" s="1348"/>
    </row>
    <row r="4085" spans="2:11" hidden="1">
      <c r="B4085" s="1348"/>
      <c r="C4085" s="1348"/>
      <c r="D4085" s="1348"/>
      <c r="E4085" s="1348"/>
      <c r="F4085" s="1348"/>
      <c r="G4085" s="1348"/>
      <c r="H4085" s="1348"/>
      <c r="I4085" s="1348"/>
      <c r="J4085" s="1348"/>
      <c r="K4085" s="1348"/>
    </row>
    <row r="4086" spans="2:11" hidden="1">
      <c r="B4086" s="1348"/>
      <c r="C4086" s="1348"/>
      <c r="D4086" s="1348"/>
      <c r="E4086" s="1348"/>
      <c r="F4086" s="1348"/>
      <c r="G4086" s="1348"/>
      <c r="H4086" s="1348"/>
      <c r="I4086" s="1348"/>
      <c r="J4086" s="1348"/>
      <c r="K4086" s="1348"/>
    </row>
    <row r="4087" spans="2:11" hidden="1">
      <c r="B4087" s="1348"/>
      <c r="C4087" s="1348"/>
      <c r="D4087" s="1348"/>
      <c r="E4087" s="1348"/>
      <c r="F4087" s="1348"/>
      <c r="G4087" s="1348"/>
      <c r="H4087" s="1348"/>
      <c r="I4087" s="1348"/>
      <c r="J4087" s="1348"/>
      <c r="K4087" s="1348"/>
    </row>
    <row r="4088" spans="2:11" hidden="1">
      <c r="B4088" s="1348"/>
      <c r="C4088" s="1348"/>
      <c r="D4088" s="1348"/>
      <c r="E4088" s="1348"/>
      <c r="F4088" s="1348"/>
      <c r="G4088" s="1348"/>
      <c r="H4088" s="1348"/>
      <c r="I4088" s="1348"/>
      <c r="J4088" s="1348"/>
      <c r="K4088" s="1348"/>
    </row>
    <row r="4089" spans="2:11" hidden="1">
      <c r="B4089" s="1348"/>
      <c r="C4089" s="1348"/>
      <c r="D4089" s="1348"/>
      <c r="E4089" s="1348"/>
      <c r="F4089" s="1348"/>
      <c r="G4089" s="1348"/>
      <c r="H4089" s="1348"/>
      <c r="I4089" s="1348"/>
      <c r="J4089" s="1348"/>
      <c r="K4089" s="1348"/>
    </row>
    <row r="4090" spans="2:11" hidden="1">
      <c r="B4090" s="1348"/>
      <c r="C4090" s="1348"/>
      <c r="D4090" s="1348"/>
      <c r="E4090" s="1348"/>
      <c r="F4090" s="1348"/>
      <c r="G4090" s="1348"/>
      <c r="H4090" s="1348"/>
      <c r="I4090" s="1348"/>
      <c r="J4090" s="1348"/>
      <c r="K4090" s="1348"/>
    </row>
    <row r="4091" spans="2:11" hidden="1">
      <c r="B4091" s="1348"/>
      <c r="C4091" s="1348"/>
      <c r="D4091" s="1348"/>
      <c r="E4091" s="1348"/>
      <c r="F4091" s="1348"/>
      <c r="G4091" s="1348"/>
      <c r="H4091" s="1348"/>
      <c r="I4091" s="1348"/>
      <c r="J4091" s="1348"/>
      <c r="K4091" s="1348"/>
    </row>
    <row r="4092" spans="2:11" hidden="1">
      <c r="B4092" s="1348"/>
      <c r="C4092" s="1348"/>
      <c r="D4092" s="1348"/>
      <c r="E4092" s="1348"/>
      <c r="F4092" s="1348"/>
      <c r="G4092" s="1348"/>
      <c r="H4092" s="1348"/>
      <c r="I4092" s="1348"/>
      <c r="J4092" s="1348"/>
      <c r="K4092" s="1348"/>
    </row>
    <row r="4093" spans="2:11" hidden="1">
      <c r="B4093" s="1348"/>
      <c r="C4093" s="1348"/>
      <c r="D4093" s="1348"/>
      <c r="E4093" s="1348"/>
      <c r="F4093" s="1348"/>
      <c r="G4093" s="1348"/>
      <c r="H4093" s="1348"/>
      <c r="I4093" s="1348"/>
      <c r="J4093" s="1348"/>
      <c r="K4093" s="1348"/>
    </row>
    <row r="4094" spans="2:11" hidden="1">
      <c r="B4094" s="1348"/>
      <c r="C4094" s="1348"/>
      <c r="D4094" s="1348"/>
      <c r="E4094" s="1348"/>
      <c r="F4094" s="1348"/>
      <c r="G4094" s="1348"/>
      <c r="H4094" s="1348"/>
      <c r="I4094" s="1348"/>
      <c r="J4094" s="1348"/>
      <c r="K4094" s="1348"/>
    </row>
    <row r="4095" spans="2:11" hidden="1">
      <c r="B4095" s="1348"/>
      <c r="C4095" s="1348"/>
      <c r="D4095" s="1348"/>
      <c r="E4095" s="1348"/>
      <c r="F4095" s="1348"/>
      <c r="G4095" s="1348"/>
      <c r="H4095" s="1348"/>
      <c r="I4095" s="1348"/>
      <c r="J4095" s="1348"/>
      <c r="K4095" s="1348"/>
    </row>
    <row r="4096" spans="2:11" hidden="1">
      <c r="B4096" s="1348"/>
      <c r="C4096" s="1348"/>
      <c r="D4096" s="1348"/>
      <c r="E4096" s="1348"/>
      <c r="F4096" s="1348"/>
      <c r="G4096" s="1348"/>
      <c r="H4096" s="1348"/>
      <c r="I4096" s="1348"/>
      <c r="J4096" s="1348"/>
      <c r="K4096" s="1348"/>
    </row>
    <row r="4097" spans="2:11" hidden="1">
      <c r="B4097" s="1348"/>
      <c r="C4097" s="1348"/>
      <c r="D4097" s="1348"/>
      <c r="E4097" s="1348"/>
      <c r="F4097" s="1348"/>
      <c r="G4097" s="1348"/>
      <c r="H4097" s="1348"/>
      <c r="I4097" s="1348"/>
      <c r="J4097" s="1348"/>
      <c r="K4097" s="1348"/>
    </row>
    <row r="4098" spans="2:11" hidden="1">
      <c r="B4098" s="1348"/>
      <c r="C4098" s="1348"/>
      <c r="D4098" s="1348"/>
      <c r="E4098" s="1348"/>
      <c r="F4098" s="1348"/>
      <c r="G4098" s="1348"/>
      <c r="H4098" s="1348"/>
      <c r="I4098" s="1348"/>
      <c r="J4098" s="1348"/>
      <c r="K4098" s="1348"/>
    </row>
    <row r="4099" spans="2:11" hidden="1">
      <c r="B4099" s="1348"/>
      <c r="C4099" s="1348"/>
      <c r="D4099" s="1348"/>
      <c r="E4099" s="1348"/>
      <c r="F4099" s="1348"/>
      <c r="G4099" s="1348"/>
      <c r="H4099" s="1348"/>
      <c r="I4099" s="1348"/>
      <c r="J4099" s="1348"/>
      <c r="K4099" s="1348"/>
    </row>
    <row r="4100" spans="2:11" hidden="1">
      <c r="B4100" s="1348"/>
      <c r="C4100" s="1348"/>
      <c r="D4100" s="1348"/>
      <c r="E4100" s="1348"/>
      <c r="F4100" s="1348"/>
      <c r="G4100" s="1348"/>
      <c r="H4100" s="1348"/>
      <c r="I4100" s="1348"/>
      <c r="J4100" s="1348"/>
      <c r="K4100" s="1348"/>
    </row>
    <row r="4101" spans="2:11" hidden="1">
      <c r="B4101" s="1348"/>
      <c r="C4101" s="1348"/>
      <c r="D4101" s="1348"/>
      <c r="E4101" s="1348"/>
      <c r="F4101" s="1348"/>
      <c r="G4101" s="1348"/>
      <c r="H4101" s="1348"/>
      <c r="I4101" s="1348"/>
      <c r="J4101" s="1348"/>
      <c r="K4101" s="1348"/>
    </row>
    <row r="4102" spans="2:11" hidden="1">
      <c r="B4102" s="1348"/>
      <c r="C4102" s="1348"/>
      <c r="D4102" s="1348"/>
      <c r="E4102" s="1348"/>
      <c r="F4102" s="1348"/>
      <c r="G4102" s="1348"/>
      <c r="H4102" s="1348"/>
      <c r="I4102" s="1348"/>
      <c r="J4102" s="1348"/>
      <c r="K4102" s="1348"/>
    </row>
    <row r="4103" spans="2:11" hidden="1">
      <c r="B4103" s="1348"/>
      <c r="C4103" s="1348"/>
      <c r="D4103" s="1348"/>
      <c r="E4103" s="1348"/>
      <c r="F4103" s="1348"/>
      <c r="G4103" s="1348"/>
      <c r="H4103" s="1348"/>
      <c r="I4103" s="1348"/>
      <c r="J4103" s="1348"/>
      <c r="K4103" s="1348"/>
    </row>
    <row r="4104" spans="2:11" hidden="1">
      <c r="B4104" s="1348"/>
      <c r="C4104" s="1348"/>
      <c r="D4104" s="1348"/>
      <c r="E4104" s="1348"/>
      <c r="F4104" s="1348"/>
      <c r="G4104" s="1348"/>
      <c r="H4104" s="1348"/>
      <c r="I4104" s="1348"/>
      <c r="J4104" s="1348"/>
      <c r="K4104" s="1348"/>
    </row>
    <row r="4105" spans="2:11" hidden="1">
      <c r="B4105" s="1348"/>
      <c r="C4105" s="1348"/>
      <c r="D4105" s="1348"/>
      <c r="E4105" s="1348"/>
      <c r="F4105" s="1348"/>
      <c r="G4105" s="1348"/>
      <c r="H4105" s="1348"/>
      <c r="I4105" s="1348"/>
      <c r="J4105" s="1348"/>
      <c r="K4105" s="1348"/>
    </row>
    <row r="4106" spans="2:11" hidden="1">
      <c r="B4106" s="1348"/>
      <c r="C4106" s="1348"/>
      <c r="D4106" s="1348"/>
      <c r="E4106" s="1348"/>
      <c r="F4106" s="1348"/>
      <c r="G4106" s="1348"/>
      <c r="H4106" s="1348"/>
      <c r="I4106" s="1348"/>
      <c r="J4106" s="1348"/>
      <c r="K4106" s="1348"/>
    </row>
    <row r="4107" spans="2:11" hidden="1">
      <c r="B4107" s="1348"/>
      <c r="C4107" s="1348"/>
      <c r="D4107" s="1348"/>
      <c r="E4107" s="1348"/>
      <c r="F4107" s="1348"/>
      <c r="G4107" s="1348"/>
      <c r="H4107" s="1348"/>
      <c r="I4107" s="1348"/>
      <c r="J4107" s="1348"/>
      <c r="K4107" s="1348"/>
    </row>
    <row r="4108" spans="2:11" hidden="1">
      <c r="B4108" s="1348"/>
      <c r="C4108" s="1348"/>
      <c r="D4108" s="1348"/>
      <c r="E4108" s="1348"/>
      <c r="F4108" s="1348"/>
      <c r="G4108" s="1348"/>
      <c r="H4108" s="1348"/>
      <c r="I4108" s="1348"/>
      <c r="J4108" s="1348"/>
      <c r="K4108" s="1348"/>
    </row>
    <row r="4109" spans="2:11" hidden="1">
      <c r="B4109" s="1348"/>
      <c r="C4109" s="1348"/>
      <c r="D4109" s="1348"/>
      <c r="E4109" s="1348"/>
      <c r="F4109" s="1348"/>
      <c r="G4109" s="1348"/>
      <c r="H4109" s="1348"/>
      <c r="I4109" s="1348"/>
      <c r="J4109" s="1348"/>
      <c r="K4109" s="1348"/>
    </row>
    <row r="4110" spans="2:11" hidden="1">
      <c r="B4110" s="1348"/>
      <c r="C4110" s="1348"/>
      <c r="D4110" s="1348"/>
      <c r="E4110" s="1348"/>
      <c r="F4110" s="1348"/>
      <c r="G4110" s="1348"/>
      <c r="H4110" s="1348"/>
      <c r="I4110" s="1348"/>
      <c r="J4110" s="1348"/>
      <c r="K4110" s="1348"/>
    </row>
    <row r="4111" spans="2:11" hidden="1">
      <c r="B4111" s="1348"/>
      <c r="C4111" s="1348"/>
      <c r="D4111" s="1348"/>
      <c r="E4111" s="1348"/>
      <c r="F4111" s="1348"/>
      <c r="G4111" s="1348"/>
      <c r="H4111" s="1348"/>
      <c r="I4111" s="1348"/>
      <c r="J4111" s="1348"/>
      <c r="K4111" s="1348"/>
    </row>
    <row r="4112" spans="2:11" hidden="1">
      <c r="B4112" s="1348"/>
      <c r="C4112" s="1348"/>
      <c r="D4112" s="1348"/>
      <c r="E4112" s="1348"/>
      <c r="F4112" s="1348"/>
      <c r="G4112" s="1348"/>
      <c r="H4112" s="1348"/>
      <c r="I4112" s="1348"/>
      <c r="J4112" s="1348"/>
      <c r="K4112" s="1348"/>
    </row>
    <row r="4113" spans="2:11" hidden="1">
      <c r="B4113" s="1348"/>
      <c r="C4113" s="1348"/>
      <c r="D4113" s="1348"/>
      <c r="E4113" s="1348"/>
      <c r="F4113" s="1348"/>
      <c r="G4113" s="1348"/>
      <c r="H4113" s="1348"/>
      <c r="I4113" s="1348"/>
      <c r="J4113" s="1348"/>
      <c r="K4113" s="1348"/>
    </row>
    <row r="4114" spans="2:11" hidden="1">
      <c r="B4114" s="1348"/>
      <c r="C4114" s="1348"/>
      <c r="D4114" s="1348"/>
      <c r="E4114" s="1348"/>
      <c r="F4114" s="1348"/>
      <c r="G4114" s="1348"/>
      <c r="H4114" s="1348"/>
      <c r="I4114" s="1348"/>
      <c r="J4114" s="1348"/>
      <c r="K4114" s="1348"/>
    </row>
    <row r="4115" spans="2:11" hidden="1">
      <c r="B4115" s="1348"/>
      <c r="C4115" s="1348"/>
      <c r="D4115" s="1348"/>
      <c r="E4115" s="1348"/>
      <c r="F4115" s="1348"/>
      <c r="G4115" s="1348"/>
      <c r="H4115" s="1348"/>
      <c r="I4115" s="1348"/>
      <c r="J4115" s="1348"/>
      <c r="K4115" s="1348"/>
    </row>
    <row r="4116" spans="2:11" hidden="1">
      <c r="B4116" s="1348"/>
      <c r="C4116" s="1348"/>
      <c r="D4116" s="1348"/>
      <c r="E4116" s="1348"/>
      <c r="F4116" s="1348"/>
      <c r="G4116" s="1348"/>
      <c r="H4116" s="1348"/>
      <c r="I4116" s="1348"/>
      <c r="J4116" s="1348"/>
      <c r="K4116" s="1348"/>
    </row>
    <row r="4117" spans="2:11" hidden="1">
      <c r="B4117" s="1348"/>
      <c r="C4117" s="1348"/>
      <c r="D4117" s="1348"/>
      <c r="E4117" s="1348"/>
      <c r="F4117" s="1348"/>
      <c r="G4117" s="1348"/>
      <c r="H4117" s="1348"/>
      <c r="I4117" s="1348"/>
      <c r="J4117" s="1348"/>
      <c r="K4117" s="1348"/>
    </row>
    <row r="4118" spans="2:11" hidden="1">
      <c r="B4118" s="1348"/>
      <c r="C4118" s="1348"/>
      <c r="D4118" s="1348"/>
      <c r="E4118" s="1348"/>
      <c r="F4118" s="1348"/>
      <c r="G4118" s="1348"/>
      <c r="H4118" s="1348"/>
      <c r="I4118" s="1348"/>
      <c r="J4118" s="1348"/>
      <c r="K4118" s="1348"/>
    </row>
    <row r="4119" spans="2:11" hidden="1">
      <c r="B4119" s="1348"/>
      <c r="C4119" s="1348"/>
      <c r="D4119" s="1348"/>
      <c r="E4119" s="1348"/>
      <c r="F4119" s="1348"/>
      <c r="G4119" s="1348"/>
      <c r="H4119" s="1348"/>
      <c r="I4119" s="1348"/>
      <c r="J4119" s="1348"/>
      <c r="K4119" s="1348"/>
    </row>
    <row r="4120" spans="2:11" hidden="1">
      <c r="B4120" s="1348"/>
      <c r="C4120" s="1348"/>
      <c r="D4120" s="1348"/>
      <c r="E4120" s="1348"/>
      <c r="F4120" s="1348"/>
      <c r="G4120" s="1348"/>
      <c r="H4120" s="1348"/>
      <c r="I4120" s="1348"/>
      <c r="J4120" s="1348"/>
      <c r="K4120" s="1348"/>
    </row>
    <row r="4121" spans="2:11" hidden="1">
      <c r="B4121" s="1348"/>
      <c r="C4121" s="1348"/>
      <c r="D4121" s="1348"/>
      <c r="E4121" s="1348"/>
      <c r="F4121" s="1348"/>
      <c r="G4121" s="1348"/>
      <c r="H4121" s="1348"/>
      <c r="I4121" s="1348"/>
      <c r="J4121" s="1348"/>
      <c r="K4121" s="1348"/>
    </row>
    <row r="4122" spans="2:11" hidden="1">
      <c r="B4122" s="1348"/>
      <c r="C4122" s="1348"/>
      <c r="D4122" s="1348"/>
      <c r="E4122" s="1348"/>
      <c r="F4122" s="1348"/>
      <c r="G4122" s="1348"/>
      <c r="H4122" s="1348"/>
      <c r="I4122" s="1348"/>
      <c r="J4122" s="1348"/>
      <c r="K4122" s="1348"/>
    </row>
    <row r="4123" spans="2:11" hidden="1">
      <c r="B4123" s="1348"/>
      <c r="C4123" s="1348"/>
      <c r="D4123" s="1348"/>
      <c r="E4123" s="1348"/>
      <c r="F4123" s="1348"/>
      <c r="G4123" s="1348"/>
      <c r="H4123" s="1348"/>
      <c r="I4123" s="1348"/>
      <c r="J4123" s="1348"/>
      <c r="K4123" s="1348"/>
    </row>
    <row r="4124" spans="2:11" hidden="1">
      <c r="B4124" s="1348"/>
      <c r="C4124" s="1348"/>
      <c r="D4124" s="1348"/>
      <c r="E4124" s="1348"/>
      <c r="F4124" s="1348"/>
      <c r="G4124" s="1348"/>
      <c r="H4124" s="1348"/>
      <c r="I4124" s="1348"/>
      <c r="J4124" s="1348"/>
      <c r="K4124" s="1348"/>
    </row>
    <row r="4125" spans="2:11" hidden="1">
      <c r="B4125" s="1348"/>
      <c r="C4125" s="1348"/>
      <c r="D4125" s="1348"/>
      <c r="E4125" s="1348"/>
      <c r="F4125" s="1348"/>
      <c r="G4125" s="1348"/>
      <c r="H4125" s="1348"/>
      <c r="I4125" s="1348"/>
      <c r="J4125" s="1348"/>
      <c r="K4125" s="1348"/>
    </row>
    <row r="4126" spans="2:11" hidden="1">
      <c r="B4126" s="1348"/>
      <c r="C4126" s="1348"/>
      <c r="D4126" s="1348"/>
      <c r="E4126" s="1348"/>
      <c r="F4126" s="1348"/>
      <c r="G4126" s="1348"/>
      <c r="H4126" s="1348"/>
      <c r="I4126" s="1348"/>
      <c r="J4126" s="1348"/>
      <c r="K4126" s="1348"/>
    </row>
    <row r="4127" spans="2:11" hidden="1">
      <c r="B4127" s="1348"/>
      <c r="C4127" s="1348"/>
      <c r="D4127" s="1348"/>
      <c r="E4127" s="1348"/>
      <c r="F4127" s="1348"/>
      <c r="G4127" s="1348"/>
      <c r="H4127" s="1348"/>
      <c r="I4127" s="1348"/>
      <c r="J4127" s="1348"/>
      <c r="K4127" s="1348"/>
    </row>
    <row r="4128" spans="2:11" hidden="1">
      <c r="B4128" s="1348"/>
      <c r="C4128" s="1348"/>
      <c r="D4128" s="1348"/>
      <c r="E4128" s="1348"/>
      <c r="F4128" s="1348"/>
      <c r="G4128" s="1348"/>
      <c r="H4128" s="1348"/>
      <c r="I4128" s="1348"/>
      <c r="J4128" s="1348"/>
      <c r="K4128" s="1348"/>
    </row>
    <row r="4129" spans="2:11" hidden="1">
      <c r="B4129" s="1348"/>
      <c r="C4129" s="1348"/>
      <c r="D4129" s="1348"/>
      <c r="E4129" s="1348"/>
      <c r="F4129" s="1348"/>
      <c r="G4129" s="1348"/>
      <c r="H4129" s="1348"/>
      <c r="I4129" s="1348"/>
      <c r="J4129" s="1348"/>
      <c r="K4129" s="1348"/>
    </row>
    <row r="4130" spans="2:11" hidden="1">
      <c r="B4130" s="1348"/>
      <c r="C4130" s="1348"/>
      <c r="D4130" s="1348"/>
      <c r="E4130" s="1348"/>
      <c r="F4130" s="1348"/>
      <c r="G4130" s="1348"/>
      <c r="H4130" s="1348"/>
      <c r="I4130" s="1348"/>
      <c r="J4130" s="1348"/>
      <c r="K4130" s="1348"/>
    </row>
    <row r="4131" spans="2:11" hidden="1">
      <c r="B4131" s="1348"/>
      <c r="C4131" s="1348"/>
      <c r="D4131" s="1348"/>
      <c r="E4131" s="1348"/>
      <c r="F4131" s="1348"/>
      <c r="G4131" s="1348"/>
      <c r="H4131" s="1348"/>
      <c r="I4131" s="1348"/>
      <c r="J4131" s="1348"/>
      <c r="K4131" s="1348"/>
    </row>
    <row r="4132" spans="2:11" hidden="1">
      <c r="B4132" s="1348"/>
      <c r="C4132" s="1348"/>
      <c r="D4132" s="1348"/>
      <c r="E4132" s="1348"/>
      <c r="F4132" s="1348"/>
      <c r="G4132" s="1348"/>
      <c r="H4132" s="1348"/>
      <c r="I4132" s="1348"/>
      <c r="J4132" s="1348"/>
      <c r="K4132" s="1348"/>
    </row>
    <row r="4133" spans="2:11" hidden="1">
      <c r="B4133" s="1348"/>
      <c r="C4133" s="1348"/>
      <c r="D4133" s="1348"/>
      <c r="E4133" s="1348"/>
      <c r="F4133" s="1348"/>
      <c r="G4133" s="1348"/>
      <c r="H4133" s="1348"/>
      <c r="I4133" s="1348"/>
      <c r="J4133" s="1348"/>
      <c r="K4133" s="1348"/>
    </row>
    <row r="4134" spans="2:11" hidden="1">
      <c r="B4134" s="1348"/>
      <c r="C4134" s="1348"/>
      <c r="D4134" s="1348"/>
      <c r="E4134" s="1348"/>
      <c r="F4134" s="1348"/>
      <c r="G4134" s="1348"/>
      <c r="H4134" s="1348"/>
      <c r="I4134" s="1348"/>
      <c r="J4134" s="1348"/>
      <c r="K4134" s="1348"/>
    </row>
    <row r="4135" spans="2:11" hidden="1">
      <c r="B4135" s="1348"/>
      <c r="C4135" s="1348"/>
      <c r="D4135" s="1348"/>
      <c r="E4135" s="1348"/>
      <c r="F4135" s="1348"/>
      <c r="G4135" s="1348"/>
      <c r="H4135" s="1348"/>
      <c r="I4135" s="1348"/>
      <c r="J4135" s="1348"/>
      <c r="K4135" s="1348"/>
    </row>
    <row r="4136" spans="2:11" hidden="1">
      <c r="B4136" s="1348"/>
      <c r="C4136" s="1348"/>
      <c r="D4136" s="1348"/>
      <c r="E4136" s="1348"/>
      <c r="F4136" s="1348"/>
      <c r="G4136" s="1348"/>
      <c r="H4136" s="1348"/>
      <c r="I4136" s="1348"/>
      <c r="J4136" s="1348"/>
      <c r="K4136" s="1348"/>
    </row>
    <row r="4137" spans="2:11" hidden="1">
      <c r="B4137" s="1348"/>
      <c r="C4137" s="1348"/>
      <c r="D4137" s="1348"/>
      <c r="E4137" s="1348"/>
      <c r="F4137" s="1348"/>
      <c r="G4137" s="1348"/>
      <c r="H4137" s="1348"/>
      <c r="I4137" s="1348"/>
      <c r="J4137" s="1348"/>
      <c r="K4137" s="1348"/>
    </row>
    <row r="4138" spans="2:11" hidden="1">
      <c r="B4138" s="1348"/>
      <c r="C4138" s="1348"/>
      <c r="D4138" s="1348"/>
      <c r="E4138" s="1348"/>
      <c r="F4138" s="1348"/>
      <c r="G4138" s="1348"/>
      <c r="H4138" s="1348"/>
      <c r="I4138" s="1348"/>
      <c r="J4138" s="1348"/>
      <c r="K4138" s="1348"/>
    </row>
    <row r="4139" spans="2:11" hidden="1">
      <c r="B4139" s="1348"/>
      <c r="C4139" s="1348"/>
      <c r="D4139" s="1348"/>
      <c r="E4139" s="1348"/>
      <c r="F4139" s="1348"/>
      <c r="G4139" s="1348"/>
      <c r="H4139" s="1348"/>
      <c r="I4139" s="1348"/>
      <c r="J4139" s="1348"/>
      <c r="K4139" s="1348"/>
    </row>
    <row r="4140" spans="2:11" hidden="1">
      <c r="B4140" s="1348"/>
      <c r="C4140" s="1348"/>
      <c r="D4140" s="1348"/>
      <c r="E4140" s="1348"/>
      <c r="F4140" s="1348"/>
      <c r="G4140" s="1348"/>
      <c r="H4140" s="1348"/>
      <c r="I4140" s="1348"/>
      <c r="J4140" s="1348"/>
      <c r="K4140" s="1348"/>
    </row>
    <row r="4141" spans="2:11" hidden="1">
      <c r="B4141" s="1348"/>
      <c r="C4141" s="1348"/>
      <c r="D4141" s="1348"/>
      <c r="E4141" s="1348"/>
      <c r="F4141" s="1348"/>
      <c r="G4141" s="1348"/>
      <c r="H4141" s="1348"/>
      <c r="I4141" s="1348"/>
      <c r="J4141" s="1348"/>
      <c r="K4141" s="1348"/>
    </row>
    <row r="4142" spans="2:11" hidden="1">
      <c r="B4142" s="1348"/>
      <c r="C4142" s="1348"/>
      <c r="D4142" s="1348"/>
      <c r="E4142" s="1348"/>
      <c r="F4142" s="1348"/>
      <c r="G4142" s="1348"/>
      <c r="H4142" s="1348"/>
      <c r="I4142" s="1348"/>
      <c r="J4142" s="1348"/>
      <c r="K4142" s="1348"/>
    </row>
    <row r="4143" spans="2:11" hidden="1">
      <c r="B4143" s="1348"/>
      <c r="C4143" s="1348"/>
      <c r="D4143" s="1348"/>
      <c r="E4143" s="1348"/>
      <c r="F4143" s="1348"/>
      <c r="G4143" s="1348"/>
      <c r="H4143" s="1348"/>
      <c r="I4143" s="1348"/>
      <c r="J4143" s="1348"/>
      <c r="K4143" s="1348"/>
    </row>
    <row r="4144" spans="2:11" hidden="1">
      <c r="B4144" s="1348"/>
      <c r="C4144" s="1348"/>
      <c r="D4144" s="1348"/>
      <c r="E4144" s="1348"/>
      <c r="F4144" s="1348"/>
      <c r="G4144" s="1348"/>
      <c r="H4144" s="1348"/>
      <c r="I4144" s="1348"/>
      <c r="J4144" s="1348"/>
      <c r="K4144" s="1348"/>
    </row>
    <row r="4145" spans="2:11" hidden="1">
      <c r="B4145" s="1348"/>
      <c r="C4145" s="1348"/>
      <c r="D4145" s="1348"/>
      <c r="E4145" s="1348"/>
      <c r="F4145" s="1348"/>
      <c r="G4145" s="1348"/>
      <c r="H4145" s="1348"/>
      <c r="I4145" s="1348"/>
      <c r="J4145" s="1348"/>
      <c r="K4145" s="1348"/>
    </row>
    <row r="4146" spans="2:11" hidden="1">
      <c r="B4146" s="1348"/>
      <c r="C4146" s="1348"/>
      <c r="D4146" s="1348"/>
      <c r="E4146" s="1348"/>
      <c r="F4146" s="1348"/>
      <c r="G4146" s="1348"/>
      <c r="H4146" s="1348"/>
      <c r="I4146" s="1348"/>
      <c r="J4146" s="1348"/>
      <c r="K4146" s="1348"/>
    </row>
    <row r="4147" spans="2:11" hidden="1">
      <c r="B4147" s="1348"/>
      <c r="C4147" s="1348"/>
      <c r="D4147" s="1348"/>
      <c r="E4147" s="1348"/>
      <c r="F4147" s="1348"/>
      <c r="G4147" s="1348"/>
      <c r="H4147" s="1348"/>
      <c r="I4147" s="1348"/>
      <c r="J4147" s="1348"/>
      <c r="K4147" s="1348"/>
    </row>
    <row r="4148" spans="2:11" hidden="1">
      <c r="B4148" s="1348"/>
      <c r="C4148" s="1348"/>
      <c r="D4148" s="1348"/>
      <c r="E4148" s="1348"/>
      <c r="F4148" s="1348"/>
      <c r="G4148" s="1348"/>
      <c r="H4148" s="1348"/>
      <c r="I4148" s="1348"/>
      <c r="J4148" s="1348"/>
      <c r="K4148" s="1348"/>
    </row>
    <row r="4149" spans="2:11" hidden="1">
      <c r="B4149" s="1348"/>
      <c r="C4149" s="1348"/>
      <c r="D4149" s="1348"/>
      <c r="E4149" s="1348"/>
      <c r="F4149" s="1348"/>
      <c r="G4149" s="1348"/>
      <c r="H4149" s="1348"/>
      <c r="I4149" s="1348"/>
      <c r="J4149" s="1348"/>
      <c r="K4149" s="1348"/>
    </row>
    <row r="4150" spans="2:11" hidden="1">
      <c r="B4150" s="1348"/>
      <c r="C4150" s="1348"/>
      <c r="D4150" s="1348"/>
      <c r="E4150" s="1348"/>
      <c r="F4150" s="1348"/>
      <c r="G4150" s="1348"/>
      <c r="H4150" s="1348"/>
      <c r="I4150" s="1348"/>
      <c r="J4150" s="1348"/>
      <c r="K4150" s="1348"/>
    </row>
    <row r="4151" spans="2:11" hidden="1">
      <c r="B4151" s="1348"/>
      <c r="C4151" s="1348"/>
      <c r="D4151" s="1348"/>
      <c r="E4151" s="1348"/>
      <c r="F4151" s="1348"/>
      <c r="G4151" s="1348"/>
      <c r="H4151" s="1348"/>
      <c r="I4151" s="1348"/>
      <c r="J4151" s="1348"/>
      <c r="K4151" s="1348"/>
    </row>
    <row r="4152" spans="2:11" hidden="1">
      <c r="B4152" s="1348"/>
      <c r="C4152" s="1348"/>
      <c r="D4152" s="1348"/>
      <c r="E4152" s="1348"/>
      <c r="F4152" s="1348"/>
      <c r="G4152" s="1348"/>
      <c r="H4152" s="1348"/>
      <c r="I4152" s="1348"/>
      <c r="J4152" s="1348"/>
      <c r="K4152" s="1348"/>
    </row>
    <row r="4153" spans="2:11" hidden="1">
      <c r="B4153" s="1348"/>
      <c r="C4153" s="1348"/>
      <c r="D4153" s="1348"/>
      <c r="E4153" s="1348"/>
      <c r="F4153" s="1348"/>
      <c r="G4153" s="1348"/>
      <c r="H4153" s="1348"/>
      <c r="I4153" s="1348"/>
      <c r="J4153" s="1348"/>
      <c r="K4153" s="1348"/>
    </row>
    <row r="4154" spans="2:11" hidden="1">
      <c r="B4154" s="1348"/>
      <c r="C4154" s="1348"/>
      <c r="D4154" s="1348"/>
      <c r="E4154" s="1348"/>
      <c r="F4154" s="1348"/>
      <c r="G4154" s="1348"/>
      <c r="H4154" s="1348"/>
      <c r="I4154" s="1348"/>
      <c r="J4154" s="1348"/>
      <c r="K4154" s="1348"/>
    </row>
    <row r="4155" spans="2:11" hidden="1">
      <c r="B4155" s="1348"/>
      <c r="C4155" s="1348"/>
      <c r="D4155" s="1348"/>
      <c r="E4155" s="1348"/>
      <c r="F4155" s="1348"/>
      <c r="G4155" s="1348"/>
      <c r="H4155" s="1348"/>
      <c r="I4155" s="1348"/>
      <c r="J4155" s="1348"/>
      <c r="K4155" s="1348"/>
    </row>
    <row r="4156" spans="2:11" hidden="1">
      <c r="B4156" s="1348"/>
      <c r="C4156" s="1348"/>
      <c r="D4156" s="1348"/>
      <c r="E4156" s="1348"/>
      <c r="F4156" s="1348"/>
      <c r="G4156" s="1348"/>
      <c r="H4156" s="1348"/>
      <c r="I4156" s="1348"/>
      <c r="J4156" s="1348"/>
      <c r="K4156" s="1348"/>
    </row>
    <row r="4157" spans="2:11" hidden="1">
      <c r="B4157" s="1348"/>
      <c r="C4157" s="1348"/>
      <c r="D4157" s="1348"/>
      <c r="E4157" s="1348"/>
      <c r="F4157" s="1348"/>
      <c r="G4157" s="1348"/>
      <c r="H4157" s="1348"/>
      <c r="I4157" s="1348"/>
      <c r="J4157" s="1348"/>
      <c r="K4157" s="1348"/>
    </row>
    <row r="4158" spans="2:11" hidden="1">
      <c r="B4158" s="1348"/>
      <c r="C4158" s="1348"/>
      <c r="D4158" s="1348"/>
      <c r="E4158" s="1348"/>
      <c r="F4158" s="1348"/>
      <c r="G4158" s="1348"/>
      <c r="H4158" s="1348"/>
      <c r="I4158" s="1348"/>
      <c r="J4158" s="1348"/>
      <c r="K4158" s="1348"/>
    </row>
    <row r="4159" spans="2:11" hidden="1">
      <c r="B4159" s="1348"/>
      <c r="C4159" s="1348"/>
      <c r="D4159" s="1348"/>
      <c r="E4159" s="1348"/>
      <c r="F4159" s="1348"/>
      <c r="G4159" s="1348"/>
      <c r="H4159" s="1348"/>
      <c r="I4159" s="1348"/>
      <c r="J4159" s="1348"/>
      <c r="K4159" s="1348"/>
    </row>
    <row r="4160" spans="2:11" hidden="1">
      <c r="B4160" s="1348"/>
      <c r="C4160" s="1348"/>
      <c r="D4160" s="1348"/>
      <c r="E4160" s="1348"/>
      <c r="F4160" s="1348"/>
      <c r="G4160" s="1348"/>
      <c r="H4160" s="1348"/>
      <c r="I4160" s="1348"/>
      <c r="J4160" s="1348"/>
      <c r="K4160" s="1348"/>
    </row>
    <row r="4161" spans="2:11" hidden="1">
      <c r="B4161" s="1348"/>
      <c r="C4161" s="1348"/>
      <c r="D4161" s="1348"/>
      <c r="E4161" s="1348"/>
      <c r="F4161" s="1348"/>
      <c r="G4161" s="1348"/>
      <c r="H4161" s="1348"/>
      <c r="I4161" s="1348"/>
      <c r="J4161" s="1348"/>
      <c r="K4161" s="1348"/>
    </row>
    <row r="4162" spans="2:11" hidden="1">
      <c r="B4162" s="1348"/>
      <c r="C4162" s="1348"/>
      <c r="D4162" s="1348"/>
      <c r="E4162" s="1348"/>
      <c r="F4162" s="1348"/>
      <c r="G4162" s="1348"/>
      <c r="H4162" s="1348"/>
      <c r="I4162" s="1348"/>
      <c r="J4162" s="1348"/>
      <c r="K4162" s="1348"/>
    </row>
    <row r="4163" spans="2:11" hidden="1">
      <c r="B4163" s="1348"/>
      <c r="C4163" s="1348"/>
      <c r="D4163" s="1348"/>
      <c r="E4163" s="1348"/>
      <c r="F4163" s="1348"/>
      <c r="G4163" s="1348"/>
      <c r="H4163" s="1348"/>
      <c r="I4163" s="1348"/>
      <c r="J4163" s="1348"/>
      <c r="K4163" s="1348"/>
    </row>
    <row r="4164" spans="2:11" hidden="1">
      <c r="B4164" s="1348"/>
      <c r="C4164" s="1348"/>
      <c r="D4164" s="1348"/>
      <c r="E4164" s="1348"/>
      <c r="F4164" s="1348"/>
      <c r="G4164" s="1348"/>
      <c r="H4164" s="1348"/>
      <c r="I4164" s="1348"/>
      <c r="J4164" s="1348"/>
      <c r="K4164" s="1348"/>
    </row>
    <row r="4165" spans="2:11" hidden="1">
      <c r="B4165" s="1348"/>
      <c r="C4165" s="1348"/>
      <c r="D4165" s="1348"/>
      <c r="E4165" s="1348"/>
      <c r="F4165" s="1348"/>
      <c r="G4165" s="1348"/>
      <c r="H4165" s="1348"/>
      <c r="I4165" s="1348"/>
      <c r="J4165" s="1348"/>
      <c r="K4165" s="1348"/>
    </row>
    <row r="4166" spans="2:11" hidden="1">
      <c r="B4166" s="1348"/>
      <c r="C4166" s="1348"/>
      <c r="D4166" s="1348"/>
      <c r="E4166" s="1348"/>
      <c r="F4166" s="1348"/>
      <c r="G4166" s="1348"/>
      <c r="H4166" s="1348"/>
      <c r="I4166" s="1348"/>
      <c r="J4166" s="1348"/>
      <c r="K4166" s="1348"/>
    </row>
    <row r="4167" spans="2:11" hidden="1">
      <c r="B4167" s="1348"/>
      <c r="C4167" s="1348"/>
      <c r="D4167" s="1348"/>
      <c r="E4167" s="1348"/>
      <c r="F4167" s="1348"/>
      <c r="G4167" s="1348"/>
      <c r="H4167" s="1348"/>
      <c r="I4167" s="1348"/>
      <c r="J4167" s="1348"/>
      <c r="K4167" s="1348"/>
    </row>
    <row r="4168" spans="2:11" hidden="1">
      <c r="B4168" s="1348"/>
      <c r="C4168" s="1348"/>
      <c r="D4168" s="1348"/>
      <c r="E4168" s="1348"/>
      <c r="F4168" s="1348"/>
      <c r="G4168" s="1348"/>
      <c r="H4168" s="1348"/>
      <c r="I4168" s="1348"/>
      <c r="J4168" s="1348"/>
      <c r="K4168" s="1348"/>
    </row>
    <row r="4169" spans="2:11" hidden="1">
      <c r="B4169" s="1348"/>
      <c r="C4169" s="1348"/>
      <c r="D4169" s="1348"/>
      <c r="E4169" s="1348"/>
      <c r="F4169" s="1348"/>
      <c r="G4169" s="1348"/>
      <c r="H4169" s="1348"/>
      <c r="I4169" s="1348"/>
      <c r="J4169" s="1348"/>
      <c r="K4169" s="1348"/>
    </row>
    <row r="4170" spans="2:11" hidden="1">
      <c r="B4170" s="1348"/>
      <c r="C4170" s="1348"/>
      <c r="D4170" s="1348"/>
      <c r="E4170" s="1348"/>
      <c r="F4170" s="1348"/>
      <c r="G4170" s="1348"/>
      <c r="H4170" s="1348"/>
      <c r="I4170" s="1348"/>
      <c r="J4170" s="1348"/>
      <c r="K4170" s="1348"/>
    </row>
    <row r="4171" spans="2:11" hidden="1">
      <c r="B4171" s="1348"/>
      <c r="C4171" s="1348"/>
      <c r="D4171" s="1348"/>
      <c r="E4171" s="1348"/>
      <c r="F4171" s="1348"/>
      <c r="G4171" s="1348"/>
      <c r="H4171" s="1348"/>
      <c r="I4171" s="1348"/>
      <c r="J4171" s="1348"/>
      <c r="K4171" s="1348"/>
    </row>
    <row r="4172" spans="2:11" hidden="1">
      <c r="B4172" s="1348"/>
      <c r="C4172" s="1348"/>
      <c r="D4172" s="1348"/>
      <c r="E4172" s="1348"/>
      <c r="F4172" s="1348"/>
      <c r="G4172" s="1348"/>
      <c r="H4172" s="1348"/>
      <c r="I4172" s="1348"/>
      <c r="J4172" s="1348"/>
      <c r="K4172" s="1348"/>
    </row>
    <row r="4173" spans="2:11" hidden="1">
      <c r="B4173" s="1348"/>
      <c r="C4173" s="1348"/>
      <c r="D4173" s="1348"/>
      <c r="E4173" s="1348"/>
      <c r="F4173" s="1348"/>
      <c r="G4173" s="1348"/>
      <c r="H4173" s="1348"/>
      <c r="I4173" s="1348"/>
      <c r="J4173" s="1348"/>
      <c r="K4173" s="1348"/>
    </row>
    <row r="4174" spans="2:11" hidden="1">
      <c r="B4174" s="1348"/>
      <c r="C4174" s="1348"/>
      <c r="D4174" s="1348"/>
      <c r="E4174" s="1348"/>
      <c r="F4174" s="1348"/>
      <c r="G4174" s="1348"/>
      <c r="H4174" s="1348"/>
      <c r="I4174" s="1348"/>
      <c r="J4174" s="1348"/>
      <c r="K4174" s="1348"/>
    </row>
    <row r="4175" spans="2:11" hidden="1">
      <c r="B4175" s="1348"/>
      <c r="C4175" s="1348"/>
      <c r="D4175" s="1348"/>
      <c r="E4175" s="1348"/>
      <c r="F4175" s="1348"/>
      <c r="G4175" s="1348"/>
      <c r="H4175" s="1348"/>
      <c r="I4175" s="1348"/>
      <c r="J4175" s="1348"/>
      <c r="K4175" s="1348"/>
    </row>
    <row r="4176" spans="2:11" hidden="1">
      <c r="B4176" s="1348"/>
      <c r="C4176" s="1348"/>
      <c r="D4176" s="1348"/>
      <c r="E4176" s="1348"/>
      <c r="F4176" s="1348"/>
      <c r="G4176" s="1348"/>
      <c r="H4176" s="1348"/>
      <c r="I4176" s="1348"/>
      <c r="J4176" s="1348"/>
      <c r="K4176" s="1348"/>
    </row>
    <row r="4177" spans="2:11" hidden="1">
      <c r="B4177" s="1348"/>
      <c r="C4177" s="1348"/>
      <c r="D4177" s="1348"/>
      <c r="E4177" s="1348"/>
      <c r="F4177" s="1348"/>
      <c r="G4177" s="1348"/>
      <c r="H4177" s="1348"/>
      <c r="I4177" s="1348"/>
      <c r="J4177" s="1348"/>
      <c r="K4177" s="1348"/>
    </row>
    <row r="4178" spans="2:11" hidden="1">
      <c r="B4178" s="1348"/>
      <c r="C4178" s="1348"/>
      <c r="D4178" s="1348"/>
      <c r="E4178" s="1348"/>
      <c r="F4178" s="1348"/>
      <c r="G4178" s="1348"/>
      <c r="H4178" s="1348"/>
      <c r="I4178" s="1348"/>
      <c r="J4178" s="1348"/>
      <c r="K4178" s="1348"/>
    </row>
    <row r="4179" spans="2:11" hidden="1">
      <c r="B4179" s="1348"/>
      <c r="C4179" s="1348"/>
      <c r="D4179" s="1348"/>
      <c r="E4179" s="1348"/>
      <c r="F4179" s="1348"/>
      <c r="G4179" s="1348"/>
      <c r="H4179" s="1348"/>
      <c r="I4179" s="1348"/>
      <c r="J4179" s="1348"/>
      <c r="K4179" s="1348"/>
    </row>
    <row r="4180" spans="2:11" hidden="1">
      <c r="B4180" s="1348"/>
      <c r="C4180" s="1348"/>
      <c r="D4180" s="1348"/>
      <c r="E4180" s="1348"/>
      <c r="F4180" s="1348"/>
      <c r="G4180" s="1348"/>
      <c r="H4180" s="1348"/>
      <c r="I4180" s="1348"/>
      <c r="J4180" s="1348"/>
      <c r="K4180" s="1348"/>
    </row>
    <row r="4181" spans="2:11" hidden="1">
      <c r="B4181" s="1348"/>
      <c r="C4181" s="1348"/>
      <c r="D4181" s="1348"/>
      <c r="E4181" s="1348"/>
      <c r="F4181" s="1348"/>
      <c r="G4181" s="1348"/>
      <c r="H4181" s="1348"/>
      <c r="I4181" s="1348"/>
      <c r="J4181" s="1348"/>
      <c r="K4181" s="1348"/>
    </row>
    <row r="4182" spans="2:11" hidden="1">
      <c r="B4182" s="1348"/>
      <c r="C4182" s="1348"/>
      <c r="D4182" s="1348"/>
      <c r="E4182" s="1348"/>
      <c r="F4182" s="1348"/>
      <c r="G4182" s="1348"/>
      <c r="H4182" s="1348"/>
      <c r="I4182" s="1348"/>
      <c r="J4182" s="1348"/>
      <c r="K4182" s="1348"/>
    </row>
    <row r="4183" spans="2:11" hidden="1">
      <c r="B4183" s="1348"/>
      <c r="C4183" s="1348"/>
      <c r="D4183" s="1348"/>
      <c r="E4183" s="1348"/>
      <c r="F4183" s="1348"/>
      <c r="G4183" s="1348"/>
      <c r="H4183" s="1348"/>
      <c r="I4183" s="1348"/>
      <c r="J4183" s="1348"/>
      <c r="K4183" s="1348"/>
    </row>
    <row r="4184" spans="2:11" hidden="1">
      <c r="B4184" s="1348"/>
      <c r="C4184" s="1348"/>
      <c r="D4184" s="1348"/>
      <c r="E4184" s="1348"/>
      <c r="F4184" s="1348"/>
      <c r="G4184" s="1348"/>
      <c r="H4184" s="1348"/>
      <c r="I4184" s="1348"/>
      <c r="J4184" s="1348"/>
      <c r="K4184" s="1348"/>
    </row>
    <row r="4185" spans="2:11" hidden="1">
      <c r="B4185" s="1348"/>
      <c r="C4185" s="1348"/>
      <c r="D4185" s="1348"/>
      <c r="E4185" s="1348"/>
      <c r="F4185" s="1348"/>
      <c r="G4185" s="1348"/>
      <c r="H4185" s="1348"/>
      <c r="I4185" s="1348"/>
      <c r="J4185" s="1348"/>
      <c r="K4185" s="1348"/>
    </row>
    <row r="4186" spans="2:11" hidden="1">
      <c r="B4186" s="1348"/>
      <c r="C4186" s="1348"/>
      <c r="D4186" s="1348"/>
      <c r="E4186" s="1348"/>
      <c r="F4186" s="1348"/>
      <c r="G4186" s="1348"/>
      <c r="H4186" s="1348"/>
      <c r="I4186" s="1348"/>
      <c r="J4186" s="1348"/>
      <c r="K4186" s="1348"/>
    </row>
    <row r="4187" spans="2:11" hidden="1">
      <c r="B4187" s="1348"/>
      <c r="C4187" s="1348"/>
      <c r="D4187" s="1348"/>
      <c r="E4187" s="1348"/>
      <c r="F4187" s="1348"/>
      <c r="G4187" s="1348"/>
      <c r="H4187" s="1348"/>
      <c r="I4187" s="1348"/>
      <c r="J4187" s="1348"/>
      <c r="K4187" s="1348"/>
    </row>
    <row r="4188" spans="2:11" hidden="1">
      <c r="B4188" s="1348"/>
      <c r="C4188" s="1348"/>
      <c r="D4188" s="1348"/>
      <c r="E4188" s="1348"/>
      <c r="F4188" s="1348"/>
      <c r="G4188" s="1348"/>
      <c r="H4188" s="1348"/>
      <c r="I4188" s="1348"/>
      <c r="J4188" s="1348"/>
      <c r="K4188" s="1348"/>
    </row>
    <row r="4189" spans="2:11" hidden="1">
      <c r="B4189" s="1348"/>
      <c r="C4189" s="1348"/>
      <c r="D4189" s="1348"/>
      <c r="E4189" s="1348"/>
      <c r="F4189" s="1348"/>
      <c r="G4189" s="1348"/>
      <c r="H4189" s="1348"/>
      <c r="I4189" s="1348"/>
      <c r="J4189" s="1348"/>
      <c r="K4189" s="1348"/>
    </row>
    <row r="4190" spans="2:11" hidden="1">
      <c r="B4190" s="1348"/>
      <c r="C4190" s="1348"/>
      <c r="D4190" s="1348"/>
      <c r="E4190" s="1348"/>
      <c r="F4190" s="1348"/>
      <c r="G4190" s="1348"/>
      <c r="H4190" s="1348"/>
      <c r="I4190" s="1348"/>
      <c r="J4190" s="1348"/>
      <c r="K4190" s="1348"/>
    </row>
    <row r="4191" spans="2:11" hidden="1">
      <c r="B4191" s="1348"/>
      <c r="C4191" s="1348"/>
      <c r="D4191" s="1348"/>
      <c r="E4191" s="1348"/>
      <c r="F4191" s="1348"/>
      <c r="G4191" s="1348"/>
      <c r="H4191" s="1348"/>
      <c r="I4191" s="1348"/>
      <c r="J4191" s="1348"/>
      <c r="K4191" s="1348"/>
    </row>
    <row r="4192" spans="2:11" hidden="1">
      <c r="B4192" s="1348"/>
      <c r="C4192" s="1348"/>
      <c r="D4192" s="1348"/>
      <c r="E4192" s="1348"/>
      <c r="F4192" s="1348"/>
      <c r="G4192" s="1348"/>
      <c r="H4192" s="1348"/>
      <c r="I4192" s="1348"/>
      <c r="J4192" s="1348"/>
      <c r="K4192" s="1348"/>
    </row>
    <row r="4193" spans="2:11" hidden="1">
      <c r="B4193" s="1348"/>
      <c r="C4193" s="1348"/>
      <c r="D4193" s="1348"/>
      <c r="E4193" s="1348"/>
      <c r="F4193" s="1348"/>
      <c r="G4193" s="1348"/>
      <c r="H4193" s="1348"/>
      <c r="I4193" s="1348"/>
      <c r="J4193" s="1348"/>
      <c r="K4193" s="1348"/>
    </row>
    <row r="4194" spans="2:11" hidden="1">
      <c r="B4194" s="1348"/>
      <c r="C4194" s="1348"/>
      <c r="D4194" s="1348"/>
      <c r="E4194" s="1348"/>
      <c r="F4194" s="1348"/>
      <c r="G4194" s="1348"/>
      <c r="H4194" s="1348"/>
      <c r="I4194" s="1348"/>
      <c r="J4194" s="1348"/>
      <c r="K4194" s="1348"/>
    </row>
    <row r="4195" spans="2:11" hidden="1">
      <c r="B4195" s="1348"/>
      <c r="C4195" s="1348"/>
      <c r="D4195" s="1348"/>
      <c r="E4195" s="1348"/>
      <c r="F4195" s="1348"/>
      <c r="G4195" s="1348"/>
      <c r="H4195" s="1348"/>
      <c r="I4195" s="1348"/>
      <c r="J4195" s="1348"/>
      <c r="K4195" s="1348"/>
    </row>
    <row r="4196" spans="2:11" hidden="1">
      <c r="B4196" s="1348"/>
      <c r="C4196" s="1348"/>
      <c r="D4196" s="1348"/>
      <c r="E4196" s="1348"/>
      <c r="F4196" s="1348"/>
      <c r="G4196" s="1348"/>
      <c r="H4196" s="1348"/>
      <c r="I4196" s="1348"/>
      <c r="J4196" s="1348"/>
      <c r="K4196" s="1348"/>
    </row>
    <row r="4197" spans="2:11" hidden="1">
      <c r="B4197" s="1348"/>
      <c r="C4197" s="1348"/>
      <c r="D4197" s="1348"/>
      <c r="E4197" s="1348"/>
      <c r="F4197" s="1348"/>
      <c r="G4197" s="1348"/>
      <c r="H4197" s="1348"/>
      <c r="I4197" s="1348"/>
      <c r="J4197" s="1348"/>
      <c r="K4197" s="1348"/>
    </row>
    <row r="4198" spans="2:11" hidden="1">
      <c r="B4198" s="1348"/>
      <c r="C4198" s="1348"/>
      <c r="D4198" s="1348"/>
      <c r="E4198" s="1348"/>
      <c r="F4198" s="1348"/>
      <c r="G4198" s="1348"/>
      <c r="H4198" s="1348"/>
      <c r="I4198" s="1348"/>
      <c r="J4198" s="1348"/>
      <c r="K4198" s="1348"/>
    </row>
    <row r="4199" spans="2:11" hidden="1">
      <c r="B4199" s="1348"/>
      <c r="C4199" s="1348"/>
      <c r="D4199" s="1348"/>
      <c r="E4199" s="1348"/>
      <c r="F4199" s="1348"/>
      <c r="G4199" s="1348"/>
      <c r="H4199" s="1348"/>
      <c r="I4199" s="1348"/>
      <c r="J4199" s="1348"/>
      <c r="K4199" s="1348"/>
    </row>
    <row r="4200" spans="2:11" hidden="1">
      <c r="B4200" s="1348"/>
      <c r="C4200" s="1348"/>
      <c r="D4200" s="1348"/>
      <c r="E4200" s="1348"/>
      <c r="F4200" s="1348"/>
      <c r="G4200" s="1348"/>
      <c r="H4200" s="1348"/>
      <c r="I4200" s="1348"/>
      <c r="J4200" s="1348"/>
      <c r="K4200" s="1348"/>
    </row>
    <row r="4201" spans="2:11" hidden="1">
      <c r="B4201" s="1348"/>
      <c r="C4201" s="1348"/>
      <c r="D4201" s="1348"/>
      <c r="E4201" s="1348"/>
      <c r="F4201" s="1348"/>
      <c r="G4201" s="1348"/>
      <c r="H4201" s="1348"/>
      <c r="I4201" s="1348"/>
      <c r="J4201" s="1348"/>
      <c r="K4201" s="1348"/>
    </row>
    <row r="4202" spans="2:11" hidden="1">
      <c r="B4202" s="1348"/>
      <c r="C4202" s="1348"/>
      <c r="D4202" s="1348"/>
      <c r="E4202" s="1348"/>
      <c r="F4202" s="1348"/>
      <c r="G4202" s="1348"/>
      <c r="H4202" s="1348"/>
      <c r="I4202" s="1348"/>
      <c r="J4202" s="1348"/>
      <c r="K4202" s="1348"/>
    </row>
    <row r="4203" spans="2:11" hidden="1">
      <c r="B4203" s="1348"/>
      <c r="C4203" s="1348"/>
      <c r="D4203" s="1348"/>
      <c r="E4203" s="1348"/>
      <c r="F4203" s="1348"/>
      <c r="G4203" s="1348"/>
      <c r="H4203" s="1348"/>
      <c r="I4203" s="1348"/>
      <c r="J4203" s="1348"/>
      <c r="K4203" s="1348"/>
    </row>
    <row r="4204" spans="2:11" hidden="1">
      <c r="B4204" s="1348"/>
      <c r="C4204" s="1348"/>
      <c r="D4204" s="1348"/>
      <c r="E4204" s="1348"/>
      <c r="F4204" s="1348"/>
      <c r="G4204" s="1348"/>
      <c r="H4204" s="1348"/>
      <c r="I4204" s="1348"/>
      <c r="J4204" s="1348"/>
      <c r="K4204" s="1348"/>
    </row>
    <row r="4205" spans="2:11" hidden="1">
      <c r="B4205" s="1348"/>
      <c r="C4205" s="1348"/>
      <c r="D4205" s="1348"/>
      <c r="E4205" s="1348"/>
      <c r="F4205" s="1348"/>
      <c r="G4205" s="1348"/>
      <c r="H4205" s="1348"/>
      <c r="I4205" s="1348"/>
      <c r="J4205" s="1348"/>
      <c r="K4205" s="1348"/>
    </row>
    <row r="4206" spans="2:11" hidden="1">
      <c r="B4206" s="1348"/>
      <c r="C4206" s="1348"/>
      <c r="D4206" s="1348"/>
      <c r="E4206" s="1348"/>
      <c r="F4206" s="1348"/>
      <c r="G4206" s="1348"/>
      <c r="H4206" s="1348"/>
      <c r="I4206" s="1348"/>
      <c r="J4206" s="1348"/>
      <c r="K4206" s="1348"/>
    </row>
    <row r="4207" spans="2:11" hidden="1">
      <c r="B4207" s="1348"/>
      <c r="C4207" s="1348"/>
      <c r="D4207" s="1348"/>
      <c r="E4207" s="1348"/>
      <c r="F4207" s="1348"/>
      <c r="G4207" s="1348"/>
      <c r="H4207" s="1348"/>
      <c r="I4207" s="1348"/>
      <c r="J4207" s="1348"/>
      <c r="K4207" s="1348"/>
    </row>
    <row r="4208" spans="2:11" hidden="1">
      <c r="B4208" s="1348"/>
      <c r="C4208" s="1348"/>
      <c r="D4208" s="1348"/>
      <c r="E4208" s="1348"/>
      <c r="F4208" s="1348"/>
      <c r="G4208" s="1348"/>
      <c r="H4208" s="1348"/>
      <c r="I4208" s="1348"/>
      <c r="J4208" s="1348"/>
      <c r="K4208" s="1348"/>
    </row>
    <row r="4209" spans="2:11" hidden="1">
      <c r="B4209" s="1348"/>
      <c r="C4209" s="1348"/>
      <c r="D4209" s="1348"/>
      <c r="E4209" s="1348"/>
      <c r="F4209" s="1348"/>
      <c r="G4209" s="1348"/>
      <c r="H4209" s="1348"/>
      <c r="I4209" s="1348"/>
      <c r="J4209" s="1348"/>
      <c r="K4209" s="1348"/>
    </row>
    <row r="4210" spans="2:11" hidden="1">
      <c r="B4210" s="1348"/>
      <c r="C4210" s="1348"/>
      <c r="D4210" s="1348"/>
      <c r="E4210" s="1348"/>
      <c r="F4210" s="1348"/>
      <c r="G4210" s="1348"/>
      <c r="H4210" s="1348"/>
      <c r="I4210" s="1348"/>
      <c r="J4210" s="1348"/>
      <c r="K4210" s="1348"/>
    </row>
    <row r="4211" spans="2:11" hidden="1">
      <c r="B4211" s="1348"/>
      <c r="C4211" s="1348"/>
      <c r="D4211" s="1348"/>
      <c r="E4211" s="1348"/>
      <c r="F4211" s="1348"/>
      <c r="G4211" s="1348"/>
      <c r="H4211" s="1348"/>
      <c r="I4211" s="1348"/>
      <c r="J4211" s="1348"/>
      <c r="K4211" s="1348"/>
    </row>
    <row r="4212" spans="2:11" hidden="1">
      <c r="B4212" s="1348"/>
      <c r="C4212" s="1348"/>
      <c r="D4212" s="1348"/>
      <c r="E4212" s="1348"/>
      <c r="F4212" s="1348"/>
      <c r="G4212" s="1348"/>
      <c r="H4212" s="1348"/>
      <c r="I4212" s="1348"/>
      <c r="J4212" s="1348"/>
      <c r="K4212" s="1348"/>
    </row>
    <row r="4213" spans="2:11" hidden="1">
      <c r="B4213" s="1348"/>
      <c r="C4213" s="1348"/>
      <c r="D4213" s="1348"/>
      <c r="E4213" s="1348"/>
      <c r="F4213" s="1348"/>
      <c r="G4213" s="1348"/>
      <c r="H4213" s="1348"/>
      <c r="I4213" s="1348"/>
      <c r="J4213" s="1348"/>
      <c r="K4213" s="1348"/>
    </row>
    <row r="4214" spans="2:11" hidden="1">
      <c r="B4214" s="1348"/>
      <c r="C4214" s="1348"/>
      <c r="D4214" s="1348"/>
      <c r="E4214" s="1348"/>
      <c r="F4214" s="1348"/>
      <c r="G4214" s="1348"/>
      <c r="H4214" s="1348"/>
      <c r="I4214" s="1348"/>
      <c r="J4214" s="1348"/>
      <c r="K4214" s="1348"/>
    </row>
    <row r="4215" spans="2:11" hidden="1">
      <c r="B4215" s="1348"/>
      <c r="C4215" s="1348"/>
      <c r="D4215" s="1348"/>
      <c r="E4215" s="1348"/>
      <c r="F4215" s="1348"/>
      <c r="G4215" s="1348"/>
      <c r="H4215" s="1348"/>
      <c r="I4215" s="1348"/>
      <c r="J4215" s="1348"/>
      <c r="K4215" s="1348"/>
    </row>
    <row r="4216" spans="2:11" hidden="1">
      <c r="B4216" s="1348"/>
      <c r="C4216" s="1348"/>
      <c r="D4216" s="1348"/>
      <c r="E4216" s="1348"/>
      <c r="F4216" s="1348"/>
      <c r="G4216" s="1348"/>
      <c r="H4216" s="1348"/>
      <c r="I4216" s="1348"/>
      <c r="J4216" s="1348"/>
      <c r="K4216" s="1348"/>
    </row>
    <row r="4217" spans="2:11" hidden="1">
      <c r="B4217" s="1348"/>
      <c r="C4217" s="1348"/>
      <c r="D4217" s="1348"/>
      <c r="E4217" s="1348"/>
      <c r="F4217" s="1348"/>
      <c r="G4217" s="1348"/>
      <c r="H4217" s="1348"/>
      <c r="I4217" s="1348"/>
      <c r="J4217" s="1348"/>
      <c r="K4217" s="1348"/>
    </row>
    <row r="4218" spans="2:11" hidden="1">
      <c r="B4218" s="1348"/>
      <c r="C4218" s="1348"/>
      <c r="D4218" s="1348"/>
      <c r="E4218" s="1348"/>
      <c r="F4218" s="1348"/>
      <c r="G4218" s="1348"/>
      <c r="H4218" s="1348"/>
      <c r="I4218" s="1348"/>
      <c r="J4218" s="1348"/>
      <c r="K4218" s="1348"/>
    </row>
    <row r="4219" spans="2:11" hidden="1">
      <c r="B4219" s="1348"/>
      <c r="C4219" s="1348"/>
      <c r="D4219" s="1348"/>
      <c r="E4219" s="1348"/>
      <c r="F4219" s="1348"/>
      <c r="G4219" s="1348"/>
      <c r="H4219" s="1348"/>
      <c r="I4219" s="1348"/>
      <c r="J4219" s="1348"/>
      <c r="K4219" s="1348"/>
    </row>
    <row r="4220" spans="2:11" hidden="1">
      <c r="B4220" s="1348"/>
      <c r="C4220" s="1348"/>
      <c r="D4220" s="1348"/>
      <c r="E4220" s="1348"/>
      <c r="F4220" s="1348"/>
      <c r="G4220" s="1348"/>
      <c r="H4220" s="1348"/>
      <c r="I4220" s="1348"/>
      <c r="J4220" s="1348"/>
      <c r="K4220" s="1348"/>
    </row>
    <row r="4221" spans="2:11" hidden="1">
      <c r="B4221" s="1348"/>
      <c r="C4221" s="1348"/>
      <c r="D4221" s="1348"/>
      <c r="E4221" s="1348"/>
      <c r="F4221" s="1348"/>
      <c r="G4221" s="1348"/>
      <c r="H4221" s="1348"/>
      <c r="I4221" s="1348"/>
      <c r="J4221" s="1348"/>
      <c r="K4221" s="1348"/>
    </row>
    <row r="4222" spans="2:11" hidden="1">
      <c r="B4222" s="1348"/>
      <c r="C4222" s="1348"/>
      <c r="D4222" s="1348"/>
      <c r="E4222" s="1348"/>
      <c r="F4222" s="1348"/>
      <c r="G4222" s="1348"/>
      <c r="H4222" s="1348"/>
      <c r="I4222" s="1348"/>
      <c r="J4222" s="1348"/>
      <c r="K4222" s="1348"/>
    </row>
    <row r="4223" spans="2:11" hidden="1">
      <c r="B4223" s="1348"/>
      <c r="C4223" s="1348"/>
      <c r="D4223" s="1348"/>
      <c r="E4223" s="1348"/>
      <c r="F4223" s="1348"/>
      <c r="G4223" s="1348"/>
      <c r="H4223" s="1348"/>
      <c r="I4223" s="1348"/>
      <c r="J4223" s="1348"/>
      <c r="K4223" s="1348"/>
    </row>
    <row r="4224" spans="2:11" hidden="1">
      <c r="B4224" s="1348"/>
      <c r="C4224" s="1348"/>
      <c r="D4224" s="1348"/>
      <c r="E4224" s="1348"/>
      <c r="F4224" s="1348"/>
      <c r="G4224" s="1348"/>
      <c r="H4224" s="1348"/>
      <c r="I4224" s="1348"/>
      <c r="J4224" s="1348"/>
      <c r="K4224" s="1348"/>
    </row>
    <row r="4225" spans="2:11" hidden="1">
      <c r="B4225" s="1348"/>
      <c r="C4225" s="1348"/>
      <c r="D4225" s="1348"/>
      <c r="E4225" s="1348"/>
      <c r="F4225" s="1348"/>
      <c r="G4225" s="1348"/>
      <c r="H4225" s="1348"/>
      <c r="I4225" s="1348"/>
      <c r="J4225" s="1348"/>
      <c r="K4225" s="1348"/>
    </row>
    <row r="4226" spans="2:11" hidden="1">
      <c r="B4226" s="1348"/>
      <c r="C4226" s="1348"/>
      <c r="D4226" s="1348"/>
      <c r="E4226" s="1348"/>
      <c r="F4226" s="1348"/>
      <c r="G4226" s="1348"/>
      <c r="H4226" s="1348"/>
      <c r="I4226" s="1348"/>
      <c r="J4226" s="1348"/>
      <c r="K4226" s="1348"/>
    </row>
    <row r="4227" spans="2:11" hidden="1">
      <c r="B4227" s="1348"/>
      <c r="C4227" s="1348"/>
      <c r="D4227" s="1348"/>
      <c r="E4227" s="1348"/>
      <c r="F4227" s="1348"/>
      <c r="G4227" s="1348"/>
      <c r="H4227" s="1348"/>
      <c r="I4227" s="1348"/>
      <c r="J4227" s="1348"/>
      <c r="K4227" s="1348"/>
    </row>
    <row r="4228" spans="2:11" hidden="1">
      <c r="B4228" s="1348"/>
      <c r="C4228" s="1348"/>
      <c r="D4228" s="1348"/>
      <c r="E4228" s="1348"/>
      <c r="F4228" s="1348"/>
      <c r="G4228" s="1348"/>
      <c r="H4228" s="1348"/>
      <c r="I4228" s="1348"/>
      <c r="J4228" s="1348"/>
      <c r="K4228" s="1348"/>
    </row>
    <row r="4229" spans="2:11" hidden="1">
      <c r="B4229" s="1348"/>
      <c r="C4229" s="1348"/>
      <c r="D4229" s="1348"/>
      <c r="E4229" s="1348"/>
      <c r="F4229" s="1348"/>
      <c r="G4229" s="1348"/>
      <c r="H4229" s="1348"/>
      <c r="I4229" s="1348"/>
      <c r="J4229" s="1348"/>
      <c r="K4229" s="1348"/>
    </row>
    <row r="4230" spans="2:11" hidden="1">
      <c r="B4230" s="1348"/>
      <c r="C4230" s="1348"/>
      <c r="D4230" s="1348"/>
      <c r="E4230" s="1348"/>
      <c r="F4230" s="1348"/>
      <c r="G4230" s="1348"/>
      <c r="H4230" s="1348"/>
      <c r="I4230" s="1348"/>
      <c r="J4230" s="1348"/>
      <c r="K4230" s="1348"/>
    </row>
    <row r="4231" spans="2:11" hidden="1">
      <c r="B4231" s="1348"/>
      <c r="C4231" s="1348"/>
      <c r="D4231" s="1348"/>
      <c r="E4231" s="1348"/>
      <c r="F4231" s="1348"/>
      <c r="G4231" s="1348"/>
      <c r="H4231" s="1348"/>
      <c r="I4231" s="1348"/>
      <c r="J4231" s="1348"/>
      <c r="K4231" s="1348"/>
    </row>
    <row r="4232" spans="2:11" hidden="1">
      <c r="B4232" s="1348"/>
      <c r="C4232" s="1348"/>
      <c r="D4232" s="1348"/>
      <c r="E4232" s="1348"/>
      <c r="F4232" s="1348"/>
      <c r="G4232" s="1348"/>
      <c r="H4232" s="1348"/>
      <c r="I4232" s="1348"/>
      <c r="J4232" s="1348"/>
      <c r="K4232" s="1348"/>
    </row>
    <row r="4233" spans="2:11" hidden="1">
      <c r="B4233" s="1348"/>
      <c r="C4233" s="1348"/>
      <c r="D4233" s="1348"/>
      <c r="E4233" s="1348"/>
      <c r="F4233" s="1348"/>
      <c r="G4233" s="1348"/>
      <c r="H4233" s="1348"/>
      <c r="I4233" s="1348"/>
      <c r="J4233" s="1348"/>
      <c r="K4233" s="1348"/>
    </row>
    <row r="4234" spans="2:11" hidden="1">
      <c r="B4234" s="1348"/>
      <c r="C4234" s="1348"/>
      <c r="D4234" s="1348"/>
      <c r="E4234" s="1348"/>
      <c r="F4234" s="1348"/>
      <c r="G4234" s="1348"/>
      <c r="H4234" s="1348"/>
      <c r="I4234" s="1348"/>
      <c r="J4234" s="1348"/>
      <c r="K4234" s="1348"/>
    </row>
    <row r="4235" spans="2:11" hidden="1">
      <c r="B4235" s="1348"/>
      <c r="C4235" s="1348"/>
      <c r="D4235" s="1348"/>
      <c r="E4235" s="1348"/>
      <c r="F4235" s="1348"/>
      <c r="G4235" s="1348"/>
      <c r="H4235" s="1348"/>
      <c r="I4235" s="1348"/>
      <c r="J4235" s="1348"/>
      <c r="K4235" s="1348"/>
    </row>
    <row r="4236" spans="2:11" hidden="1">
      <c r="B4236" s="1348"/>
      <c r="C4236" s="1348"/>
      <c r="D4236" s="1348"/>
      <c r="E4236" s="1348"/>
      <c r="F4236" s="1348"/>
      <c r="G4236" s="1348"/>
      <c r="H4236" s="1348"/>
      <c r="I4236" s="1348"/>
      <c r="J4236" s="1348"/>
      <c r="K4236" s="1348"/>
    </row>
    <row r="4237" spans="2:11" hidden="1">
      <c r="B4237" s="1348"/>
      <c r="C4237" s="1348"/>
      <c r="D4237" s="1348"/>
      <c r="E4237" s="1348"/>
      <c r="F4237" s="1348"/>
      <c r="G4237" s="1348"/>
      <c r="H4237" s="1348"/>
      <c r="I4237" s="1348"/>
      <c r="J4237" s="1348"/>
      <c r="K4237" s="1348"/>
    </row>
    <row r="4238" spans="2:11" hidden="1">
      <c r="B4238" s="1348"/>
      <c r="C4238" s="1348"/>
      <c r="D4238" s="1348"/>
      <c r="E4238" s="1348"/>
      <c r="F4238" s="1348"/>
      <c r="G4238" s="1348"/>
      <c r="H4238" s="1348"/>
      <c r="I4238" s="1348"/>
      <c r="J4238" s="1348"/>
      <c r="K4238" s="1348"/>
    </row>
    <row r="4239" spans="2:11" hidden="1">
      <c r="B4239" s="1348"/>
      <c r="C4239" s="1348"/>
      <c r="D4239" s="1348"/>
      <c r="E4239" s="1348"/>
      <c r="F4239" s="1348"/>
      <c r="G4239" s="1348"/>
      <c r="H4239" s="1348"/>
      <c r="I4239" s="1348"/>
      <c r="J4239" s="1348"/>
      <c r="K4239" s="1348"/>
    </row>
    <row r="4240" spans="2:11" hidden="1">
      <c r="B4240" s="1348"/>
      <c r="C4240" s="1348"/>
      <c r="D4240" s="1348"/>
      <c r="E4240" s="1348"/>
      <c r="F4240" s="1348"/>
      <c r="G4240" s="1348"/>
      <c r="H4240" s="1348"/>
      <c r="I4240" s="1348"/>
      <c r="J4240" s="1348"/>
      <c r="K4240" s="1348"/>
    </row>
    <row r="4241" spans="2:11" hidden="1">
      <c r="B4241" s="1348"/>
      <c r="C4241" s="1348"/>
      <c r="D4241" s="1348"/>
      <c r="E4241" s="1348"/>
      <c r="F4241" s="1348"/>
      <c r="G4241" s="1348"/>
      <c r="H4241" s="1348"/>
      <c r="I4241" s="1348"/>
      <c r="J4241" s="1348"/>
      <c r="K4241" s="1348"/>
    </row>
    <row r="4242" spans="2:11" hidden="1">
      <c r="B4242" s="1348"/>
      <c r="C4242" s="1348"/>
      <c r="D4242" s="1348"/>
      <c r="E4242" s="1348"/>
      <c r="F4242" s="1348"/>
      <c r="G4242" s="1348"/>
      <c r="H4242" s="1348"/>
      <c r="I4242" s="1348"/>
      <c r="J4242" s="1348"/>
      <c r="K4242" s="1348"/>
    </row>
    <row r="4243" spans="2:11" hidden="1">
      <c r="B4243" s="1348"/>
      <c r="C4243" s="1348"/>
      <c r="D4243" s="1348"/>
      <c r="E4243" s="1348"/>
      <c r="F4243" s="1348"/>
      <c r="G4243" s="1348"/>
      <c r="H4243" s="1348"/>
      <c r="I4243" s="1348"/>
      <c r="J4243" s="1348"/>
      <c r="K4243" s="1348"/>
    </row>
    <row r="4244" spans="2:11" hidden="1">
      <c r="B4244" s="1348"/>
      <c r="C4244" s="1348"/>
      <c r="D4244" s="1348"/>
      <c r="E4244" s="1348"/>
      <c r="F4244" s="1348"/>
      <c r="G4244" s="1348"/>
      <c r="H4244" s="1348"/>
      <c r="I4244" s="1348"/>
      <c r="J4244" s="1348"/>
      <c r="K4244" s="1348"/>
    </row>
    <row r="4245" spans="2:11" hidden="1">
      <c r="B4245" s="1348"/>
      <c r="C4245" s="1348"/>
      <c r="D4245" s="1348"/>
      <c r="E4245" s="1348"/>
      <c r="F4245" s="1348"/>
      <c r="G4245" s="1348"/>
      <c r="H4245" s="1348"/>
      <c r="I4245" s="1348"/>
      <c r="J4245" s="1348"/>
      <c r="K4245" s="1348"/>
    </row>
    <row r="4246" spans="2:11" hidden="1">
      <c r="B4246" s="1348"/>
      <c r="C4246" s="1348"/>
      <c r="D4246" s="1348"/>
      <c r="E4246" s="1348"/>
      <c r="F4246" s="1348"/>
      <c r="G4246" s="1348"/>
      <c r="H4246" s="1348"/>
      <c r="I4246" s="1348"/>
      <c r="J4246" s="1348"/>
      <c r="K4246" s="1348"/>
    </row>
    <row r="4247" spans="2:11" hidden="1">
      <c r="B4247" s="1348"/>
      <c r="C4247" s="1348"/>
      <c r="D4247" s="1348"/>
      <c r="E4247" s="1348"/>
      <c r="F4247" s="1348"/>
      <c r="G4247" s="1348"/>
      <c r="H4247" s="1348"/>
      <c r="I4247" s="1348"/>
      <c r="J4247" s="1348"/>
      <c r="K4247" s="1348"/>
    </row>
    <row r="4248" spans="2:11" hidden="1">
      <c r="B4248" s="1348"/>
      <c r="C4248" s="1348"/>
      <c r="D4248" s="1348"/>
      <c r="E4248" s="1348"/>
      <c r="F4248" s="1348"/>
      <c r="G4248" s="1348"/>
      <c r="H4248" s="1348"/>
      <c r="I4248" s="1348"/>
      <c r="J4248" s="1348"/>
      <c r="K4248" s="1348"/>
    </row>
    <row r="4249" spans="2:11" hidden="1">
      <c r="B4249" s="1348"/>
      <c r="C4249" s="1348"/>
      <c r="D4249" s="1348"/>
      <c r="E4249" s="1348"/>
      <c r="F4249" s="1348"/>
      <c r="G4249" s="1348"/>
      <c r="H4249" s="1348"/>
      <c r="I4249" s="1348"/>
      <c r="J4249" s="1348"/>
      <c r="K4249" s="1348"/>
    </row>
    <row r="4250" spans="2:11" hidden="1">
      <c r="B4250" s="1348"/>
      <c r="C4250" s="1348"/>
      <c r="D4250" s="1348"/>
      <c r="E4250" s="1348"/>
      <c r="F4250" s="1348"/>
      <c r="G4250" s="1348"/>
      <c r="H4250" s="1348"/>
      <c r="I4250" s="1348"/>
      <c r="J4250" s="1348"/>
      <c r="K4250" s="1348"/>
    </row>
    <row r="4251" spans="2:11" hidden="1">
      <c r="B4251" s="1348"/>
      <c r="C4251" s="1348"/>
      <c r="D4251" s="1348"/>
      <c r="E4251" s="1348"/>
      <c r="F4251" s="1348"/>
      <c r="G4251" s="1348"/>
      <c r="H4251" s="1348"/>
      <c r="I4251" s="1348"/>
      <c r="J4251" s="1348"/>
      <c r="K4251" s="1348"/>
    </row>
    <row r="4252" spans="2:11" hidden="1">
      <c r="B4252" s="1348"/>
      <c r="C4252" s="1348"/>
      <c r="D4252" s="1348"/>
      <c r="E4252" s="1348"/>
      <c r="F4252" s="1348"/>
      <c r="G4252" s="1348"/>
      <c r="H4252" s="1348"/>
      <c r="I4252" s="1348"/>
      <c r="J4252" s="1348"/>
      <c r="K4252" s="1348"/>
    </row>
    <row r="4253" spans="2:11" hidden="1">
      <c r="B4253" s="1348"/>
      <c r="C4253" s="1348"/>
      <c r="D4253" s="1348"/>
      <c r="E4253" s="1348"/>
      <c r="F4253" s="1348"/>
      <c r="G4253" s="1348"/>
      <c r="H4253" s="1348"/>
      <c r="I4253" s="1348"/>
      <c r="J4253" s="1348"/>
      <c r="K4253" s="1348"/>
    </row>
    <row r="4254" spans="2:11" hidden="1">
      <c r="B4254" s="1348"/>
      <c r="C4254" s="1348"/>
      <c r="D4254" s="1348"/>
      <c r="E4254" s="1348"/>
      <c r="F4254" s="1348"/>
      <c r="G4254" s="1348"/>
      <c r="H4254" s="1348"/>
      <c r="I4254" s="1348"/>
      <c r="J4254" s="1348"/>
      <c r="K4254" s="1348"/>
    </row>
    <row r="4255" spans="2:11" hidden="1">
      <c r="B4255" s="1348"/>
      <c r="C4255" s="1348"/>
      <c r="D4255" s="1348"/>
      <c r="E4255" s="1348"/>
      <c r="F4255" s="1348"/>
      <c r="G4255" s="1348"/>
      <c r="H4255" s="1348"/>
      <c r="I4255" s="1348"/>
      <c r="J4255" s="1348"/>
      <c r="K4255" s="1348"/>
    </row>
    <row r="4256" spans="2:11" hidden="1">
      <c r="B4256" s="1348"/>
      <c r="C4256" s="1348"/>
      <c r="D4256" s="1348"/>
      <c r="E4256" s="1348"/>
      <c r="F4256" s="1348"/>
      <c r="G4256" s="1348"/>
      <c r="H4256" s="1348"/>
      <c r="I4256" s="1348"/>
      <c r="J4256" s="1348"/>
      <c r="K4256" s="1348"/>
    </row>
    <row r="4257" spans="2:11" hidden="1">
      <c r="B4257" s="1348"/>
      <c r="C4257" s="1348"/>
      <c r="D4257" s="1348"/>
      <c r="E4257" s="1348"/>
      <c r="F4257" s="1348"/>
      <c r="G4257" s="1348"/>
      <c r="H4257" s="1348"/>
      <c r="I4257" s="1348"/>
      <c r="J4257" s="1348"/>
      <c r="K4257" s="1348"/>
    </row>
    <row r="4258" spans="2:11" hidden="1">
      <c r="B4258" s="1348"/>
      <c r="C4258" s="1348"/>
      <c r="D4258" s="1348"/>
      <c r="E4258" s="1348"/>
      <c r="F4258" s="1348"/>
      <c r="G4258" s="1348"/>
      <c r="H4258" s="1348"/>
      <c r="I4258" s="1348"/>
      <c r="J4258" s="1348"/>
      <c r="K4258" s="1348"/>
    </row>
    <row r="4259" spans="2:11" hidden="1">
      <c r="B4259" s="1348"/>
      <c r="C4259" s="1348"/>
      <c r="D4259" s="1348"/>
      <c r="E4259" s="1348"/>
      <c r="F4259" s="1348"/>
      <c r="G4259" s="1348"/>
      <c r="H4259" s="1348"/>
      <c r="I4259" s="1348"/>
      <c r="J4259" s="1348"/>
      <c r="K4259" s="1348"/>
    </row>
    <row r="4260" spans="2:11" hidden="1">
      <c r="B4260" s="1348"/>
      <c r="C4260" s="1348"/>
      <c r="D4260" s="1348"/>
      <c r="E4260" s="1348"/>
      <c r="F4260" s="1348"/>
      <c r="G4260" s="1348"/>
      <c r="H4260" s="1348"/>
      <c r="I4260" s="1348"/>
      <c r="J4260" s="1348"/>
      <c r="K4260" s="1348"/>
    </row>
    <row r="4261" spans="2:11" hidden="1">
      <c r="B4261" s="1348"/>
      <c r="C4261" s="1348"/>
      <c r="D4261" s="1348"/>
      <c r="E4261" s="1348"/>
      <c r="F4261" s="1348"/>
      <c r="G4261" s="1348"/>
      <c r="H4261" s="1348"/>
      <c r="I4261" s="1348"/>
      <c r="J4261" s="1348"/>
      <c r="K4261" s="1348"/>
    </row>
    <row r="4262" spans="2:11" hidden="1">
      <c r="B4262" s="1348"/>
      <c r="C4262" s="1348"/>
      <c r="D4262" s="1348"/>
      <c r="E4262" s="1348"/>
      <c r="F4262" s="1348"/>
      <c r="G4262" s="1348"/>
      <c r="H4262" s="1348"/>
      <c r="I4262" s="1348"/>
      <c r="J4262" s="1348"/>
      <c r="K4262" s="1348"/>
    </row>
    <row r="4263" spans="2:11" hidden="1">
      <c r="B4263" s="1348"/>
      <c r="C4263" s="1348"/>
      <c r="D4263" s="1348"/>
      <c r="E4263" s="1348"/>
      <c r="F4263" s="1348"/>
      <c r="G4263" s="1348"/>
      <c r="H4263" s="1348"/>
      <c r="I4263" s="1348"/>
      <c r="J4263" s="1348"/>
      <c r="K4263" s="1348"/>
    </row>
    <row r="4264" spans="2:11" hidden="1">
      <c r="B4264" s="1348"/>
      <c r="C4264" s="1348"/>
      <c r="D4264" s="1348"/>
      <c r="E4264" s="1348"/>
      <c r="F4264" s="1348"/>
      <c r="G4264" s="1348"/>
      <c r="H4264" s="1348"/>
      <c r="I4264" s="1348"/>
      <c r="J4264" s="1348"/>
      <c r="K4264" s="1348"/>
    </row>
    <row r="4265" spans="2:11" hidden="1">
      <c r="B4265" s="1348"/>
      <c r="C4265" s="1348"/>
      <c r="D4265" s="1348"/>
      <c r="E4265" s="1348"/>
      <c r="F4265" s="1348"/>
      <c r="G4265" s="1348"/>
      <c r="H4265" s="1348"/>
      <c r="I4265" s="1348"/>
      <c r="J4265" s="1348"/>
      <c r="K4265" s="1348"/>
    </row>
    <row r="4266" spans="2:11" hidden="1">
      <c r="B4266" s="1348"/>
      <c r="C4266" s="1348"/>
      <c r="D4266" s="1348"/>
      <c r="E4266" s="1348"/>
      <c r="F4266" s="1348"/>
      <c r="G4266" s="1348"/>
      <c r="H4266" s="1348"/>
      <c r="I4266" s="1348"/>
      <c r="J4266" s="1348"/>
      <c r="K4266" s="1348"/>
    </row>
    <row r="4267" spans="2:11" hidden="1">
      <c r="B4267" s="1348"/>
      <c r="C4267" s="1348"/>
      <c r="D4267" s="1348"/>
      <c r="E4267" s="1348"/>
      <c r="F4267" s="1348"/>
      <c r="G4267" s="1348"/>
      <c r="H4267" s="1348"/>
      <c r="I4267" s="1348"/>
      <c r="J4267" s="1348"/>
      <c r="K4267" s="1348"/>
    </row>
    <row r="4268" spans="2:11" hidden="1">
      <c r="B4268" s="1348"/>
      <c r="C4268" s="1348"/>
      <c r="D4268" s="1348"/>
      <c r="E4268" s="1348"/>
      <c r="F4268" s="1348"/>
      <c r="G4268" s="1348"/>
      <c r="H4268" s="1348"/>
      <c r="I4268" s="1348"/>
      <c r="J4268" s="1348"/>
      <c r="K4268" s="1348"/>
    </row>
    <row r="4269" spans="2:11" hidden="1">
      <c r="B4269" s="1348"/>
      <c r="C4269" s="1348"/>
      <c r="D4269" s="1348"/>
      <c r="E4269" s="1348"/>
      <c r="F4269" s="1348"/>
      <c r="G4269" s="1348"/>
      <c r="H4269" s="1348"/>
      <c r="I4269" s="1348"/>
      <c r="J4269" s="1348"/>
      <c r="K4269" s="1348"/>
    </row>
    <row r="4270" spans="2:11" hidden="1">
      <c r="B4270" s="1348"/>
      <c r="C4270" s="1348"/>
      <c r="D4270" s="1348"/>
      <c r="E4270" s="1348"/>
      <c r="F4270" s="1348"/>
      <c r="G4270" s="1348"/>
      <c r="H4270" s="1348"/>
      <c r="I4270" s="1348"/>
      <c r="J4270" s="1348"/>
      <c r="K4270" s="1348"/>
    </row>
    <row r="4271" spans="2:11" hidden="1">
      <c r="B4271" s="1348"/>
      <c r="C4271" s="1348"/>
      <c r="D4271" s="1348"/>
      <c r="E4271" s="1348"/>
      <c r="F4271" s="1348"/>
      <c r="G4271" s="1348"/>
      <c r="H4271" s="1348"/>
      <c r="I4271" s="1348"/>
      <c r="J4271" s="1348"/>
      <c r="K4271" s="1348"/>
    </row>
    <row r="4272" spans="2:11" hidden="1">
      <c r="B4272" s="1348"/>
      <c r="C4272" s="1348"/>
      <c r="D4272" s="1348"/>
      <c r="E4272" s="1348"/>
      <c r="F4272" s="1348"/>
      <c r="G4272" s="1348"/>
      <c r="H4272" s="1348"/>
      <c r="I4272" s="1348"/>
      <c r="J4272" s="1348"/>
      <c r="K4272" s="1348"/>
    </row>
    <row r="4273" spans="2:11" hidden="1">
      <c r="B4273" s="1348"/>
      <c r="C4273" s="1348"/>
      <c r="D4273" s="1348"/>
      <c r="E4273" s="1348"/>
      <c r="F4273" s="1348"/>
      <c r="G4273" s="1348"/>
      <c r="H4273" s="1348"/>
      <c r="I4273" s="1348"/>
      <c r="J4273" s="1348"/>
      <c r="K4273" s="1348"/>
    </row>
    <row r="4274" spans="2:11" hidden="1">
      <c r="B4274" s="1348"/>
      <c r="C4274" s="1348"/>
      <c r="D4274" s="1348"/>
      <c r="E4274" s="1348"/>
      <c r="F4274" s="1348"/>
      <c r="G4274" s="1348"/>
      <c r="H4274" s="1348"/>
      <c r="I4274" s="1348"/>
      <c r="J4274" s="1348"/>
      <c r="K4274" s="1348"/>
    </row>
    <row r="4275" spans="2:11" hidden="1">
      <c r="B4275" s="1348"/>
      <c r="C4275" s="1348"/>
      <c r="D4275" s="1348"/>
      <c r="E4275" s="1348"/>
      <c r="F4275" s="1348"/>
      <c r="G4275" s="1348"/>
      <c r="H4275" s="1348"/>
      <c r="I4275" s="1348"/>
      <c r="J4275" s="1348"/>
      <c r="K4275" s="1348"/>
    </row>
    <row r="4276" spans="2:11" hidden="1">
      <c r="B4276" s="1348"/>
      <c r="C4276" s="1348"/>
      <c r="D4276" s="1348"/>
      <c r="E4276" s="1348"/>
      <c r="F4276" s="1348"/>
      <c r="G4276" s="1348"/>
      <c r="H4276" s="1348"/>
      <c r="I4276" s="1348"/>
      <c r="J4276" s="1348"/>
      <c r="K4276" s="1348"/>
    </row>
    <row r="4277" spans="2:11" hidden="1">
      <c r="B4277" s="1348"/>
      <c r="C4277" s="1348"/>
      <c r="D4277" s="1348"/>
      <c r="E4277" s="1348"/>
      <c r="F4277" s="1348"/>
      <c r="G4277" s="1348"/>
      <c r="H4277" s="1348"/>
      <c r="I4277" s="1348"/>
      <c r="J4277" s="1348"/>
      <c r="K4277" s="1348"/>
    </row>
    <row r="4278" spans="2:11" hidden="1">
      <c r="B4278" s="1348"/>
      <c r="C4278" s="1348"/>
      <c r="D4278" s="1348"/>
      <c r="E4278" s="1348"/>
      <c r="F4278" s="1348"/>
      <c r="G4278" s="1348"/>
      <c r="H4278" s="1348"/>
      <c r="I4278" s="1348"/>
      <c r="J4278" s="1348"/>
      <c r="K4278" s="1348"/>
    </row>
    <row r="4279" spans="2:11" hidden="1">
      <c r="B4279" s="1348"/>
      <c r="C4279" s="1348"/>
      <c r="D4279" s="1348"/>
      <c r="E4279" s="1348"/>
      <c r="F4279" s="1348"/>
      <c r="G4279" s="1348"/>
      <c r="H4279" s="1348"/>
      <c r="I4279" s="1348"/>
      <c r="J4279" s="1348"/>
      <c r="K4279" s="1348"/>
    </row>
    <row r="4280" spans="2:11" hidden="1">
      <c r="B4280" s="1348"/>
      <c r="C4280" s="1348"/>
      <c r="D4280" s="1348"/>
      <c r="E4280" s="1348"/>
      <c r="F4280" s="1348"/>
      <c r="G4280" s="1348"/>
      <c r="H4280" s="1348"/>
      <c r="I4280" s="1348"/>
      <c r="J4280" s="1348"/>
      <c r="K4280" s="1348"/>
    </row>
    <row r="4281" spans="2:11" hidden="1">
      <c r="B4281" s="1348"/>
      <c r="C4281" s="1348"/>
      <c r="D4281" s="1348"/>
      <c r="E4281" s="1348"/>
      <c r="F4281" s="1348"/>
      <c r="G4281" s="1348"/>
      <c r="H4281" s="1348"/>
      <c r="I4281" s="1348"/>
      <c r="J4281" s="1348"/>
      <c r="K4281" s="1348"/>
    </row>
    <row r="4282" spans="2:11" hidden="1">
      <c r="B4282" s="1348"/>
      <c r="C4282" s="1348"/>
      <c r="D4282" s="1348"/>
      <c r="E4282" s="1348"/>
      <c r="F4282" s="1348"/>
      <c r="G4282" s="1348"/>
      <c r="H4282" s="1348"/>
      <c r="I4282" s="1348"/>
      <c r="J4282" s="1348"/>
      <c r="K4282" s="1348"/>
    </row>
    <row r="4283" spans="2:11" hidden="1">
      <c r="B4283" s="1348"/>
      <c r="C4283" s="1348"/>
      <c r="D4283" s="1348"/>
      <c r="E4283" s="1348"/>
      <c r="F4283" s="1348"/>
      <c r="G4283" s="1348"/>
      <c r="H4283" s="1348"/>
      <c r="I4283" s="1348"/>
      <c r="J4283" s="1348"/>
      <c r="K4283" s="1348"/>
    </row>
    <row r="4284" spans="2:11" hidden="1">
      <c r="B4284" s="1348"/>
      <c r="C4284" s="1348"/>
      <c r="D4284" s="1348"/>
      <c r="E4284" s="1348"/>
      <c r="F4284" s="1348"/>
      <c r="G4284" s="1348"/>
      <c r="H4284" s="1348"/>
      <c r="I4284" s="1348"/>
      <c r="J4284" s="1348"/>
      <c r="K4284" s="1348"/>
    </row>
    <row r="4285" spans="2:11" hidden="1">
      <c r="B4285" s="1348"/>
      <c r="C4285" s="1348"/>
      <c r="D4285" s="1348"/>
      <c r="E4285" s="1348"/>
      <c r="F4285" s="1348"/>
      <c r="G4285" s="1348"/>
      <c r="H4285" s="1348"/>
      <c r="I4285" s="1348"/>
      <c r="J4285" s="1348"/>
      <c r="K4285" s="1348"/>
    </row>
    <row r="4286" spans="2:11" hidden="1">
      <c r="B4286" s="1348"/>
      <c r="C4286" s="1348"/>
      <c r="D4286" s="1348"/>
      <c r="E4286" s="1348"/>
      <c r="F4286" s="1348"/>
      <c r="G4286" s="1348"/>
      <c r="H4286" s="1348"/>
      <c r="I4286" s="1348"/>
      <c r="J4286" s="1348"/>
      <c r="K4286" s="1348"/>
    </row>
    <row r="4287" spans="2:11" hidden="1">
      <c r="B4287" s="1348"/>
      <c r="C4287" s="1348"/>
      <c r="D4287" s="1348"/>
      <c r="E4287" s="1348"/>
      <c r="F4287" s="1348"/>
      <c r="G4287" s="1348"/>
      <c r="H4287" s="1348"/>
      <c r="I4287" s="1348"/>
      <c r="J4287" s="1348"/>
      <c r="K4287" s="1348"/>
    </row>
    <row r="4288" spans="2:11" hidden="1">
      <c r="B4288" s="1348"/>
      <c r="C4288" s="1348"/>
      <c r="D4288" s="1348"/>
      <c r="E4288" s="1348"/>
      <c r="F4288" s="1348"/>
      <c r="G4288" s="1348"/>
      <c r="H4288" s="1348"/>
      <c r="I4288" s="1348"/>
      <c r="J4288" s="1348"/>
      <c r="K4288" s="1348"/>
    </row>
    <row r="4289" spans="2:11" hidden="1">
      <c r="B4289" s="1348"/>
      <c r="C4289" s="1348"/>
      <c r="D4289" s="1348"/>
      <c r="E4289" s="1348"/>
      <c r="F4289" s="1348"/>
      <c r="G4289" s="1348"/>
      <c r="H4289" s="1348"/>
      <c r="I4289" s="1348"/>
      <c r="J4289" s="1348"/>
      <c r="K4289" s="1348"/>
    </row>
    <row r="4290" spans="2:11" hidden="1">
      <c r="B4290" s="1348"/>
      <c r="C4290" s="1348"/>
      <c r="D4290" s="1348"/>
      <c r="E4290" s="1348"/>
      <c r="F4290" s="1348"/>
      <c r="G4290" s="1348"/>
      <c r="H4290" s="1348"/>
      <c r="I4290" s="1348"/>
      <c r="J4290" s="1348"/>
      <c r="K4290" s="1348"/>
    </row>
    <row r="4291" spans="2:11" hidden="1">
      <c r="B4291" s="1348"/>
      <c r="C4291" s="1348"/>
      <c r="D4291" s="1348"/>
      <c r="E4291" s="1348"/>
      <c r="F4291" s="1348"/>
      <c r="G4291" s="1348"/>
      <c r="H4291" s="1348"/>
      <c r="I4291" s="1348"/>
      <c r="J4291" s="1348"/>
      <c r="K4291" s="1348"/>
    </row>
    <row r="4292" spans="2:11" hidden="1">
      <c r="B4292" s="1348"/>
      <c r="C4292" s="1348"/>
      <c r="D4292" s="1348"/>
      <c r="E4292" s="1348"/>
      <c r="F4292" s="1348"/>
      <c r="G4292" s="1348"/>
      <c r="H4292" s="1348"/>
      <c r="I4292" s="1348"/>
      <c r="J4292" s="1348"/>
      <c r="K4292" s="1348"/>
    </row>
    <row r="4293" spans="2:11" hidden="1">
      <c r="B4293" s="1348"/>
      <c r="C4293" s="1348"/>
      <c r="D4293" s="1348"/>
      <c r="E4293" s="1348"/>
      <c r="F4293" s="1348"/>
      <c r="G4293" s="1348"/>
      <c r="H4293" s="1348"/>
      <c r="I4293" s="1348"/>
      <c r="J4293" s="1348"/>
      <c r="K4293" s="1348"/>
    </row>
    <row r="4294" spans="2:11" hidden="1">
      <c r="B4294" s="1348"/>
      <c r="C4294" s="1348"/>
      <c r="D4294" s="1348"/>
      <c r="E4294" s="1348"/>
      <c r="F4294" s="1348"/>
      <c r="G4294" s="1348"/>
      <c r="H4294" s="1348"/>
      <c r="I4294" s="1348"/>
      <c r="J4294" s="1348"/>
      <c r="K4294" s="1348"/>
    </row>
    <row r="4295" spans="2:11" hidden="1">
      <c r="B4295" s="1348"/>
      <c r="C4295" s="1348"/>
      <c r="D4295" s="1348"/>
      <c r="E4295" s="1348"/>
      <c r="F4295" s="1348"/>
      <c r="G4295" s="1348"/>
      <c r="H4295" s="1348"/>
      <c r="I4295" s="1348"/>
      <c r="J4295" s="1348"/>
      <c r="K4295" s="1348"/>
    </row>
    <row r="4296" spans="2:11" hidden="1">
      <c r="B4296" s="1348"/>
      <c r="C4296" s="1348"/>
      <c r="D4296" s="1348"/>
      <c r="E4296" s="1348"/>
      <c r="F4296" s="1348"/>
      <c r="G4296" s="1348"/>
      <c r="H4296" s="1348"/>
      <c r="I4296" s="1348"/>
      <c r="J4296" s="1348"/>
      <c r="K4296" s="1348"/>
    </row>
    <row r="4297" spans="2:11" hidden="1">
      <c r="B4297" s="1348"/>
      <c r="C4297" s="1348"/>
      <c r="D4297" s="1348"/>
      <c r="E4297" s="1348"/>
      <c r="F4297" s="1348"/>
      <c r="G4297" s="1348"/>
      <c r="H4297" s="1348"/>
      <c r="I4297" s="1348"/>
      <c r="J4297" s="1348"/>
      <c r="K4297" s="1348"/>
    </row>
    <row r="4298" spans="2:11" hidden="1">
      <c r="B4298" s="1348"/>
      <c r="C4298" s="1348"/>
      <c r="D4298" s="1348"/>
      <c r="E4298" s="1348"/>
      <c r="F4298" s="1348"/>
      <c r="G4298" s="1348"/>
      <c r="H4298" s="1348"/>
      <c r="I4298" s="1348"/>
      <c r="J4298" s="1348"/>
      <c r="K4298" s="1348"/>
    </row>
    <row r="4299" spans="2:11" hidden="1">
      <c r="B4299" s="1348"/>
      <c r="C4299" s="1348"/>
      <c r="D4299" s="1348"/>
      <c r="E4299" s="1348"/>
      <c r="F4299" s="1348"/>
      <c r="G4299" s="1348"/>
      <c r="H4299" s="1348"/>
      <c r="I4299" s="1348"/>
      <c r="J4299" s="1348"/>
      <c r="K4299" s="1348"/>
    </row>
    <row r="4300" spans="2:11" hidden="1">
      <c r="B4300" s="1348"/>
      <c r="C4300" s="1348"/>
      <c r="D4300" s="1348"/>
      <c r="E4300" s="1348"/>
      <c r="F4300" s="1348"/>
      <c r="G4300" s="1348"/>
      <c r="H4300" s="1348"/>
      <c r="I4300" s="1348"/>
      <c r="J4300" s="1348"/>
      <c r="K4300" s="1348"/>
    </row>
    <row r="4301" spans="2:11" hidden="1">
      <c r="B4301" s="1348"/>
      <c r="C4301" s="1348"/>
      <c r="D4301" s="1348"/>
      <c r="E4301" s="1348"/>
      <c r="F4301" s="1348"/>
      <c r="G4301" s="1348"/>
      <c r="H4301" s="1348"/>
      <c r="I4301" s="1348"/>
      <c r="J4301" s="1348"/>
      <c r="K4301" s="1348"/>
    </row>
    <row r="4302" spans="2:11" hidden="1">
      <c r="B4302" s="1348"/>
      <c r="C4302" s="1348"/>
      <c r="D4302" s="1348"/>
      <c r="E4302" s="1348"/>
      <c r="F4302" s="1348"/>
      <c r="G4302" s="1348"/>
      <c r="H4302" s="1348"/>
      <c r="I4302" s="1348"/>
      <c r="J4302" s="1348"/>
      <c r="K4302" s="1348"/>
    </row>
    <row r="4303" spans="2:11" hidden="1">
      <c r="B4303" s="1348"/>
      <c r="C4303" s="1348"/>
      <c r="D4303" s="1348"/>
      <c r="E4303" s="1348"/>
      <c r="F4303" s="1348"/>
      <c r="G4303" s="1348"/>
      <c r="H4303" s="1348"/>
      <c r="I4303" s="1348"/>
      <c r="J4303" s="1348"/>
      <c r="K4303" s="1348"/>
    </row>
    <row r="4304" spans="2:11" hidden="1">
      <c r="B4304" s="1348"/>
      <c r="C4304" s="1348"/>
      <c r="D4304" s="1348"/>
      <c r="E4304" s="1348"/>
      <c r="F4304" s="1348"/>
      <c r="G4304" s="1348"/>
      <c r="H4304" s="1348"/>
      <c r="I4304" s="1348"/>
      <c r="J4304" s="1348"/>
      <c r="K4304" s="1348"/>
    </row>
    <row r="4305" spans="2:11" hidden="1">
      <c r="B4305" s="1348"/>
      <c r="C4305" s="1348"/>
      <c r="D4305" s="1348"/>
      <c r="E4305" s="1348"/>
      <c r="F4305" s="1348"/>
      <c r="G4305" s="1348"/>
      <c r="H4305" s="1348"/>
      <c r="I4305" s="1348"/>
      <c r="J4305" s="1348"/>
      <c r="K4305" s="1348"/>
    </row>
    <row r="4306" spans="2:11" hidden="1">
      <c r="B4306" s="1348"/>
      <c r="C4306" s="1348"/>
      <c r="D4306" s="1348"/>
      <c r="E4306" s="1348"/>
      <c r="F4306" s="1348"/>
      <c r="G4306" s="1348"/>
      <c r="H4306" s="1348"/>
      <c r="I4306" s="1348"/>
      <c r="J4306" s="1348"/>
      <c r="K4306" s="1348"/>
    </row>
    <row r="4307" spans="2:11" hidden="1">
      <c r="B4307" s="1348"/>
      <c r="C4307" s="1348"/>
      <c r="D4307" s="1348"/>
      <c r="E4307" s="1348"/>
      <c r="F4307" s="1348"/>
      <c r="G4307" s="1348"/>
      <c r="H4307" s="1348"/>
      <c r="I4307" s="1348"/>
      <c r="J4307" s="1348"/>
      <c r="K4307" s="1348"/>
    </row>
    <row r="4308" spans="2:11" hidden="1">
      <c r="B4308" s="1348"/>
      <c r="C4308" s="1348"/>
      <c r="D4308" s="1348"/>
      <c r="E4308" s="1348"/>
      <c r="F4308" s="1348"/>
      <c r="G4308" s="1348"/>
      <c r="H4308" s="1348"/>
      <c r="I4308" s="1348"/>
      <c r="J4308" s="1348"/>
      <c r="K4308" s="1348"/>
    </row>
    <row r="4309" spans="2:11" hidden="1">
      <c r="B4309" s="1348"/>
      <c r="C4309" s="1348"/>
      <c r="D4309" s="1348"/>
      <c r="E4309" s="1348"/>
      <c r="F4309" s="1348"/>
      <c r="G4309" s="1348"/>
      <c r="H4309" s="1348"/>
      <c r="I4309" s="1348"/>
      <c r="J4309" s="1348"/>
      <c r="K4309" s="1348"/>
    </row>
    <row r="4310" spans="2:11" hidden="1">
      <c r="B4310" s="1348"/>
      <c r="C4310" s="1348"/>
      <c r="D4310" s="1348"/>
      <c r="E4310" s="1348"/>
      <c r="F4310" s="1348"/>
      <c r="G4310" s="1348"/>
      <c r="H4310" s="1348"/>
      <c r="I4310" s="1348"/>
      <c r="J4310" s="1348"/>
      <c r="K4310" s="1348"/>
    </row>
    <row r="4311" spans="2:11" hidden="1">
      <c r="B4311" s="1348"/>
      <c r="C4311" s="1348"/>
      <c r="D4311" s="1348"/>
      <c r="E4311" s="1348"/>
      <c r="F4311" s="1348"/>
      <c r="G4311" s="1348"/>
      <c r="H4311" s="1348"/>
      <c r="I4311" s="1348"/>
      <c r="J4311" s="1348"/>
      <c r="K4311" s="1348"/>
    </row>
    <row r="4312" spans="2:11" hidden="1">
      <c r="B4312" s="1348"/>
      <c r="C4312" s="1348"/>
      <c r="D4312" s="1348"/>
      <c r="E4312" s="1348"/>
      <c r="F4312" s="1348"/>
      <c r="G4312" s="1348"/>
      <c r="H4312" s="1348"/>
      <c r="I4312" s="1348"/>
      <c r="J4312" s="1348"/>
      <c r="K4312" s="1348"/>
    </row>
    <row r="4313" spans="2:11" hidden="1">
      <c r="B4313" s="1348"/>
      <c r="C4313" s="1348"/>
      <c r="D4313" s="1348"/>
      <c r="E4313" s="1348"/>
      <c r="F4313" s="1348"/>
      <c r="G4313" s="1348"/>
      <c r="H4313" s="1348"/>
      <c r="I4313" s="1348"/>
      <c r="J4313" s="1348"/>
      <c r="K4313" s="1348"/>
    </row>
    <row r="4314" spans="2:11" hidden="1">
      <c r="B4314" s="1348"/>
      <c r="C4314" s="1348"/>
      <c r="D4314" s="1348"/>
      <c r="E4314" s="1348"/>
      <c r="F4314" s="1348"/>
      <c r="G4314" s="1348"/>
      <c r="H4314" s="1348"/>
      <c r="I4314" s="1348"/>
      <c r="J4314" s="1348"/>
      <c r="K4314" s="1348"/>
    </row>
    <row r="4315" spans="2:11" hidden="1">
      <c r="B4315" s="1348"/>
      <c r="C4315" s="1348"/>
      <c r="D4315" s="1348"/>
      <c r="E4315" s="1348"/>
      <c r="F4315" s="1348"/>
      <c r="G4315" s="1348"/>
      <c r="H4315" s="1348"/>
      <c r="I4315" s="1348"/>
      <c r="J4315" s="1348"/>
      <c r="K4315" s="1348"/>
    </row>
    <row r="4316" spans="2:11" hidden="1">
      <c r="B4316" s="1348"/>
      <c r="C4316" s="1348"/>
      <c r="D4316" s="1348"/>
      <c r="E4316" s="1348"/>
      <c r="F4316" s="1348"/>
      <c r="G4316" s="1348"/>
      <c r="H4316" s="1348"/>
      <c r="I4316" s="1348"/>
      <c r="J4316" s="1348"/>
      <c r="K4316" s="1348"/>
    </row>
    <row r="4317" spans="2:11" hidden="1">
      <c r="B4317" s="1348"/>
      <c r="C4317" s="1348"/>
      <c r="D4317" s="1348"/>
      <c r="E4317" s="1348"/>
      <c r="F4317" s="1348"/>
      <c r="G4317" s="1348"/>
      <c r="H4317" s="1348"/>
      <c r="I4317" s="1348"/>
      <c r="J4317" s="1348"/>
      <c r="K4317" s="1348"/>
    </row>
    <row r="4318" spans="2:11" hidden="1">
      <c r="B4318" s="1348"/>
      <c r="C4318" s="1348"/>
      <c r="D4318" s="1348"/>
      <c r="E4318" s="1348"/>
      <c r="F4318" s="1348"/>
      <c r="G4318" s="1348"/>
      <c r="H4318" s="1348"/>
      <c r="I4318" s="1348"/>
      <c r="J4318" s="1348"/>
      <c r="K4318" s="1348"/>
    </row>
    <row r="4319" spans="2:11" hidden="1">
      <c r="B4319" s="1348"/>
      <c r="C4319" s="1348"/>
      <c r="D4319" s="1348"/>
      <c r="E4319" s="1348"/>
      <c r="F4319" s="1348"/>
      <c r="G4319" s="1348"/>
      <c r="H4319" s="1348"/>
      <c r="I4319" s="1348"/>
      <c r="J4319" s="1348"/>
      <c r="K4319" s="1348"/>
    </row>
    <row r="4320" spans="2:11" hidden="1">
      <c r="B4320" s="1348"/>
      <c r="C4320" s="1348"/>
      <c r="D4320" s="1348"/>
      <c r="E4320" s="1348"/>
      <c r="F4320" s="1348"/>
      <c r="G4320" s="1348"/>
      <c r="H4320" s="1348"/>
      <c r="I4320" s="1348"/>
      <c r="J4320" s="1348"/>
      <c r="K4320" s="1348"/>
    </row>
    <row r="4321" spans="2:11" hidden="1">
      <c r="B4321" s="1348"/>
      <c r="C4321" s="1348"/>
      <c r="D4321" s="1348"/>
      <c r="E4321" s="1348"/>
      <c r="F4321" s="1348"/>
      <c r="G4321" s="1348"/>
      <c r="H4321" s="1348"/>
      <c r="I4321" s="1348"/>
      <c r="J4321" s="1348"/>
      <c r="K4321" s="1348"/>
    </row>
    <row r="4322" spans="2:11" hidden="1">
      <c r="B4322" s="1348"/>
      <c r="C4322" s="1348"/>
      <c r="D4322" s="1348"/>
      <c r="E4322" s="1348"/>
      <c r="F4322" s="1348"/>
      <c r="G4322" s="1348"/>
      <c r="H4322" s="1348"/>
      <c r="I4322" s="1348"/>
      <c r="J4322" s="1348"/>
      <c r="K4322" s="1348"/>
    </row>
    <row r="4323" spans="2:11" hidden="1">
      <c r="B4323" s="1348"/>
      <c r="C4323" s="1348"/>
      <c r="D4323" s="1348"/>
      <c r="E4323" s="1348"/>
      <c r="F4323" s="1348"/>
      <c r="G4323" s="1348"/>
      <c r="H4323" s="1348"/>
      <c r="I4323" s="1348"/>
      <c r="J4323" s="1348"/>
      <c r="K4323" s="1348"/>
    </row>
    <row r="4324" spans="2:11" hidden="1">
      <c r="B4324" s="1348"/>
      <c r="C4324" s="1348"/>
      <c r="D4324" s="1348"/>
      <c r="E4324" s="1348"/>
      <c r="F4324" s="1348"/>
      <c r="G4324" s="1348"/>
      <c r="H4324" s="1348"/>
      <c r="I4324" s="1348"/>
      <c r="J4324" s="1348"/>
      <c r="K4324" s="1348"/>
    </row>
    <row r="4325" spans="2:11" hidden="1">
      <c r="B4325" s="1348"/>
      <c r="C4325" s="1348"/>
      <c r="D4325" s="1348"/>
      <c r="E4325" s="1348"/>
      <c r="F4325" s="1348"/>
      <c r="G4325" s="1348"/>
      <c r="H4325" s="1348"/>
      <c r="I4325" s="1348"/>
      <c r="J4325" s="1348"/>
      <c r="K4325" s="1348"/>
    </row>
    <row r="4326" spans="2:11" hidden="1">
      <c r="B4326" s="1348"/>
      <c r="C4326" s="1348"/>
      <c r="D4326" s="1348"/>
      <c r="E4326" s="1348"/>
      <c r="F4326" s="1348"/>
      <c r="G4326" s="1348"/>
      <c r="H4326" s="1348"/>
      <c r="I4326" s="1348"/>
      <c r="J4326" s="1348"/>
      <c r="K4326" s="1348"/>
    </row>
    <row r="4327" spans="2:11" hidden="1">
      <c r="B4327" s="1348"/>
      <c r="C4327" s="1348"/>
      <c r="D4327" s="1348"/>
      <c r="E4327" s="1348"/>
      <c r="F4327" s="1348"/>
      <c r="G4327" s="1348"/>
      <c r="H4327" s="1348"/>
      <c r="I4327" s="1348"/>
      <c r="J4327" s="1348"/>
      <c r="K4327" s="1348"/>
    </row>
    <row r="4328" spans="2:11" hidden="1">
      <c r="B4328" s="1348"/>
      <c r="C4328" s="1348"/>
      <c r="D4328" s="1348"/>
      <c r="E4328" s="1348"/>
      <c r="F4328" s="1348"/>
      <c r="G4328" s="1348"/>
      <c r="H4328" s="1348"/>
      <c r="I4328" s="1348"/>
      <c r="J4328" s="1348"/>
      <c r="K4328" s="1348"/>
    </row>
    <row r="4329" spans="2:11" hidden="1">
      <c r="B4329" s="1348"/>
      <c r="C4329" s="1348"/>
      <c r="D4329" s="1348"/>
      <c r="E4329" s="1348"/>
      <c r="F4329" s="1348"/>
      <c r="G4329" s="1348"/>
      <c r="H4329" s="1348"/>
      <c r="I4329" s="1348"/>
      <c r="J4329" s="1348"/>
      <c r="K4329" s="1348"/>
    </row>
    <row r="4330" spans="2:11" hidden="1">
      <c r="B4330" s="1348"/>
      <c r="C4330" s="1348"/>
      <c r="D4330" s="1348"/>
      <c r="E4330" s="1348"/>
      <c r="F4330" s="1348"/>
      <c r="G4330" s="1348"/>
      <c r="H4330" s="1348"/>
      <c r="I4330" s="1348"/>
      <c r="J4330" s="1348"/>
      <c r="K4330" s="1348"/>
    </row>
    <row r="4331" spans="2:11" hidden="1">
      <c r="B4331" s="1348"/>
      <c r="C4331" s="1348"/>
      <c r="D4331" s="1348"/>
      <c r="E4331" s="1348"/>
      <c r="F4331" s="1348"/>
      <c r="G4331" s="1348"/>
      <c r="H4331" s="1348"/>
      <c r="I4331" s="1348"/>
      <c r="J4331" s="1348"/>
      <c r="K4331" s="1348"/>
    </row>
    <row r="4332" spans="2:11" hidden="1">
      <c r="B4332" s="1348"/>
      <c r="C4332" s="1348"/>
      <c r="D4332" s="1348"/>
      <c r="E4332" s="1348"/>
      <c r="F4332" s="1348"/>
      <c r="G4332" s="1348"/>
      <c r="H4332" s="1348"/>
      <c r="I4332" s="1348"/>
      <c r="J4332" s="1348"/>
      <c r="K4332" s="1348"/>
    </row>
    <row r="4333" spans="2:11" hidden="1">
      <c r="B4333" s="1348"/>
      <c r="C4333" s="1348"/>
      <c r="D4333" s="1348"/>
      <c r="E4333" s="1348"/>
      <c r="F4333" s="1348"/>
      <c r="G4333" s="1348"/>
      <c r="H4333" s="1348"/>
      <c r="I4333" s="1348"/>
      <c r="J4333" s="1348"/>
      <c r="K4333" s="1348"/>
    </row>
    <row r="4334" spans="2:11" hidden="1">
      <c r="B4334" s="1348"/>
      <c r="C4334" s="1348"/>
      <c r="D4334" s="1348"/>
      <c r="E4334" s="1348"/>
      <c r="F4334" s="1348"/>
      <c r="G4334" s="1348"/>
      <c r="H4334" s="1348"/>
      <c r="I4334" s="1348"/>
      <c r="J4334" s="1348"/>
      <c r="K4334" s="1348"/>
    </row>
    <row r="4335" spans="2:11" hidden="1">
      <c r="B4335" s="1348"/>
      <c r="C4335" s="1348"/>
      <c r="D4335" s="1348"/>
      <c r="E4335" s="1348"/>
      <c r="F4335" s="1348"/>
      <c r="G4335" s="1348"/>
      <c r="H4335" s="1348"/>
      <c r="I4335" s="1348"/>
      <c r="J4335" s="1348"/>
      <c r="K4335" s="1348"/>
    </row>
    <row r="4336" spans="2:11" hidden="1">
      <c r="B4336" s="1348"/>
      <c r="C4336" s="1348"/>
      <c r="D4336" s="1348"/>
      <c r="E4336" s="1348"/>
      <c r="F4336" s="1348"/>
      <c r="G4336" s="1348"/>
      <c r="H4336" s="1348"/>
      <c r="I4336" s="1348"/>
      <c r="J4336" s="1348"/>
      <c r="K4336" s="1348"/>
    </row>
    <row r="4337" spans="2:11" hidden="1">
      <c r="B4337" s="1348"/>
      <c r="C4337" s="1348"/>
      <c r="D4337" s="1348"/>
      <c r="E4337" s="1348"/>
      <c r="F4337" s="1348"/>
      <c r="G4337" s="1348"/>
      <c r="H4337" s="1348"/>
      <c r="I4337" s="1348"/>
      <c r="J4337" s="1348"/>
      <c r="K4337" s="1348"/>
    </row>
    <row r="4338" spans="2:11" hidden="1">
      <c r="B4338" s="1348"/>
      <c r="C4338" s="1348"/>
      <c r="D4338" s="1348"/>
      <c r="E4338" s="1348"/>
      <c r="F4338" s="1348"/>
      <c r="G4338" s="1348"/>
      <c r="H4338" s="1348"/>
      <c r="I4338" s="1348"/>
      <c r="J4338" s="1348"/>
      <c r="K4338" s="1348"/>
    </row>
    <row r="4339" spans="2:11" hidden="1">
      <c r="B4339" s="1348"/>
      <c r="C4339" s="1348"/>
      <c r="D4339" s="1348"/>
      <c r="E4339" s="1348"/>
      <c r="F4339" s="1348"/>
      <c r="G4339" s="1348"/>
      <c r="H4339" s="1348"/>
      <c r="I4339" s="1348"/>
      <c r="J4339" s="1348"/>
      <c r="K4339" s="1348"/>
    </row>
    <row r="4340" spans="2:11" hidden="1">
      <c r="B4340" s="1348"/>
      <c r="C4340" s="1348"/>
      <c r="D4340" s="1348"/>
      <c r="E4340" s="1348"/>
      <c r="F4340" s="1348"/>
      <c r="G4340" s="1348"/>
      <c r="H4340" s="1348"/>
      <c r="I4340" s="1348"/>
      <c r="J4340" s="1348"/>
      <c r="K4340" s="1348"/>
    </row>
    <row r="4341" spans="2:11" hidden="1">
      <c r="B4341" s="1348"/>
      <c r="C4341" s="1348"/>
      <c r="D4341" s="1348"/>
      <c r="E4341" s="1348"/>
      <c r="F4341" s="1348"/>
      <c r="G4341" s="1348"/>
      <c r="H4341" s="1348"/>
      <c r="I4341" s="1348"/>
      <c r="J4341" s="1348"/>
      <c r="K4341" s="1348"/>
    </row>
    <row r="4342" spans="2:11" hidden="1">
      <c r="B4342" s="1348"/>
      <c r="C4342" s="1348"/>
      <c r="D4342" s="1348"/>
      <c r="E4342" s="1348"/>
      <c r="F4342" s="1348"/>
      <c r="G4342" s="1348"/>
      <c r="H4342" s="1348"/>
      <c r="I4342" s="1348"/>
      <c r="J4342" s="1348"/>
      <c r="K4342" s="1348"/>
    </row>
    <row r="4343" spans="2:11" hidden="1">
      <c r="B4343" s="1348"/>
      <c r="C4343" s="1348"/>
      <c r="D4343" s="1348"/>
      <c r="E4343" s="1348"/>
      <c r="F4343" s="1348"/>
      <c r="G4343" s="1348"/>
      <c r="H4343" s="1348"/>
      <c r="I4343" s="1348"/>
      <c r="J4343" s="1348"/>
      <c r="K4343" s="1348"/>
    </row>
    <row r="4344" spans="2:11" hidden="1">
      <c r="B4344" s="1348"/>
      <c r="C4344" s="1348"/>
      <c r="D4344" s="1348"/>
      <c r="E4344" s="1348"/>
      <c r="F4344" s="1348"/>
      <c r="G4344" s="1348"/>
      <c r="H4344" s="1348"/>
      <c r="I4344" s="1348"/>
      <c r="J4344" s="1348"/>
      <c r="K4344" s="1348"/>
    </row>
    <row r="4345" spans="2:11" hidden="1">
      <c r="B4345" s="1348"/>
      <c r="C4345" s="1348"/>
      <c r="D4345" s="1348"/>
      <c r="E4345" s="1348"/>
      <c r="F4345" s="1348"/>
      <c r="G4345" s="1348"/>
      <c r="H4345" s="1348"/>
      <c r="I4345" s="1348"/>
      <c r="J4345" s="1348"/>
      <c r="K4345" s="1348"/>
    </row>
    <row r="4346" spans="2:11" hidden="1">
      <c r="B4346" s="1348"/>
      <c r="C4346" s="1348"/>
      <c r="D4346" s="1348"/>
      <c r="E4346" s="1348"/>
      <c r="F4346" s="1348"/>
      <c r="G4346" s="1348"/>
      <c r="H4346" s="1348"/>
      <c r="I4346" s="1348"/>
      <c r="J4346" s="1348"/>
      <c r="K4346" s="1348"/>
    </row>
    <row r="4347" spans="2:11" hidden="1">
      <c r="B4347" s="1348"/>
      <c r="C4347" s="1348"/>
      <c r="D4347" s="1348"/>
      <c r="E4347" s="1348"/>
      <c r="F4347" s="1348"/>
      <c r="G4347" s="1348"/>
      <c r="H4347" s="1348"/>
      <c r="I4347" s="1348"/>
      <c r="J4347" s="1348"/>
      <c r="K4347" s="1348"/>
    </row>
    <row r="4348" spans="2:11" hidden="1">
      <c r="B4348" s="1348"/>
      <c r="C4348" s="1348"/>
      <c r="D4348" s="1348"/>
      <c r="E4348" s="1348"/>
      <c r="F4348" s="1348"/>
      <c r="G4348" s="1348"/>
      <c r="H4348" s="1348"/>
      <c r="I4348" s="1348"/>
      <c r="J4348" s="1348"/>
      <c r="K4348" s="1348"/>
    </row>
    <row r="4349" spans="2:11" hidden="1">
      <c r="B4349" s="1348"/>
      <c r="C4349" s="1348"/>
      <c r="D4349" s="1348"/>
      <c r="E4349" s="1348"/>
      <c r="F4349" s="1348"/>
      <c r="G4349" s="1348"/>
      <c r="H4349" s="1348"/>
      <c r="I4349" s="1348"/>
      <c r="J4349" s="1348"/>
      <c r="K4349" s="1348"/>
    </row>
    <row r="4350" spans="2:11" hidden="1">
      <c r="B4350" s="1348"/>
      <c r="C4350" s="1348"/>
      <c r="D4350" s="1348"/>
      <c r="E4350" s="1348"/>
      <c r="F4350" s="1348"/>
      <c r="G4350" s="1348"/>
      <c r="H4350" s="1348"/>
      <c r="I4350" s="1348"/>
      <c r="J4350" s="1348"/>
      <c r="K4350" s="1348"/>
    </row>
    <row r="4351" spans="2:11" hidden="1">
      <c r="B4351" s="1348"/>
      <c r="C4351" s="1348"/>
      <c r="D4351" s="1348"/>
      <c r="E4351" s="1348"/>
      <c r="F4351" s="1348"/>
      <c r="G4351" s="1348"/>
      <c r="H4351" s="1348"/>
      <c r="I4351" s="1348"/>
      <c r="J4351" s="1348"/>
      <c r="K4351" s="1348"/>
    </row>
    <row r="4352" spans="2:11" hidden="1">
      <c r="B4352" s="1348"/>
      <c r="C4352" s="1348"/>
      <c r="D4352" s="1348"/>
      <c r="E4352" s="1348"/>
      <c r="F4352" s="1348"/>
      <c r="G4352" s="1348"/>
      <c r="H4352" s="1348"/>
      <c r="I4352" s="1348"/>
      <c r="J4352" s="1348"/>
      <c r="K4352" s="1348"/>
    </row>
    <row r="4353" spans="2:11" hidden="1">
      <c r="B4353" s="1348"/>
      <c r="C4353" s="1348"/>
      <c r="D4353" s="1348"/>
      <c r="E4353" s="1348"/>
      <c r="F4353" s="1348"/>
      <c r="G4353" s="1348"/>
      <c r="H4353" s="1348"/>
      <c r="I4353" s="1348"/>
      <c r="J4353" s="1348"/>
      <c r="K4353" s="1348"/>
    </row>
    <row r="4354" spans="2:11" hidden="1">
      <c r="B4354" s="1348"/>
      <c r="C4354" s="1348"/>
      <c r="D4354" s="1348"/>
      <c r="E4354" s="1348"/>
      <c r="F4354" s="1348"/>
      <c r="G4354" s="1348"/>
      <c r="H4354" s="1348"/>
      <c r="I4354" s="1348"/>
      <c r="J4354" s="1348"/>
      <c r="K4354" s="1348"/>
    </row>
    <row r="4355" spans="2:11" hidden="1">
      <c r="B4355" s="1348"/>
      <c r="C4355" s="1348"/>
      <c r="D4355" s="1348"/>
      <c r="E4355" s="1348"/>
      <c r="F4355" s="1348"/>
      <c r="G4355" s="1348"/>
      <c r="H4355" s="1348"/>
      <c r="I4355" s="1348"/>
      <c r="J4355" s="1348"/>
      <c r="K4355" s="1348"/>
    </row>
    <row r="4356" spans="2:11" hidden="1">
      <c r="B4356" s="1348"/>
      <c r="C4356" s="1348"/>
      <c r="D4356" s="1348"/>
      <c r="E4356" s="1348"/>
      <c r="F4356" s="1348"/>
      <c r="G4356" s="1348"/>
      <c r="H4356" s="1348"/>
      <c r="I4356" s="1348"/>
      <c r="J4356" s="1348"/>
      <c r="K4356" s="1348"/>
    </row>
    <row r="4357" spans="2:11" hidden="1">
      <c r="B4357" s="1348"/>
      <c r="C4357" s="1348"/>
      <c r="D4357" s="1348"/>
      <c r="E4357" s="1348"/>
      <c r="F4357" s="1348"/>
      <c r="G4357" s="1348"/>
      <c r="H4357" s="1348"/>
      <c r="I4357" s="1348"/>
      <c r="J4357" s="1348"/>
      <c r="K4357" s="1348"/>
    </row>
    <row r="4358" spans="2:11" hidden="1">
      <c r="B4358" s="1348"/>
      <c r="C4358" s="1348"/>
      <c r="D4358" s="1348"/>
      <c r="E4358" s="1348"/>
      <c r="F4358" s="1348"/>
      <c r="G4358" s="1348"/>
      <c r="H4358" s="1348"/>
      <c r="I4358" s="1348"/>
      <c r="J4358" s="1348"/>
      <c r="K4358" s="1348"/>
    </row>
    <row r="4359" spans="2:11" hidden="1">
      <c r="B4359" s="1348"/>
      <c r="C4359" s="1348"/>
      <c r="D4359" s="1348"/>
      <c r="E4359" s="1348"/>
      <c r="F4359" s="1348"/>
      <c r="G4359" s="1348"/>
      <c r="H4359" s="1348"/>
      <c r="I4359" s="1348"/>
      <c r="J4359" s="1348"/>
      <c r="K4359" s="1348"/>
    </row>
    <row r="4360" spans="2:11" hidden="1">
      <c r="B4360" s="1348"/>
      <c r="C4360" s="1348"/>
      <c r="D4360" s="1348"/>
      <c r="E4360" s="1348"/>
      <c r="F4360" s="1348"/>
      <c r="G4360" s="1348"/>
      <c r="H4360" s="1348"/>
      <c r="I4360" s="1348"/>
      <c r="J4360" s="1348"/>
      <c r="K4360" s="1348"/>
    </row>
    <row r="4361" spans="2:11" hidden="1">
      <c r="B4361" s="1348"/>
      <c r="C4361" s="1348"/>
      <c r="D4361" s="1348"/>
      <c r="E4361" s="1348"/>
      <c r="F4361" s="1348"/>
      <c r="G4361" s="1348"/>
      <c r="H4361" s="1348"/>
      <c r="I4361" s="1348"/>
      <c r="J4361" s="1348"/>
      <c r="K4361" s="1348"/>
    </row>
    <row r="4362" spans="2:11" hidden="1">
      <c r="B4362" s="1348"/>
      <c r="C4362" s="1348"/>
      <c r="D4362" s="1348"/>
      <c r="E4362" s="1348"/>
      <c r="F4362" s="1348"/>
      <c r="G4362" s="1348"/>
      <c r="H4362" s="1348"/>
      <c r="I4362" s="1348"/>
      <c r="J4362" s="1348"/>
      <c r="K4362" s="1348"/>
    </row>
    <row r="4363" spans="2:11" hidden="1">
      <c r="B4363" s="1348"/>
      <c r="C4363" s="1348"/>
      <c r="D4363" s="1348"/>
      <c r="E4363" s="1348"/>
      <c r="F4363" s="1348"/>
      <c r="G4363" s="1348"/>
      <c r="H4363" s="1348"/>
      <c r="I4363" s="1348"/>
      <c r="J4363" s="1348"/>
      <c r="K4363" s="1348"/>
    </row>
    <row r="4364" spans="2:11" hidden="1">
      <c r="B4364" s="1348"/>
      <c r="C4364" s="1348"/>
      <c r="D4364" s="1348"/>
      <c r="E4364" s="1348"/>
      <c r="F4364" s="1348"/>
      <c r="G4364" s="1348"/>
      <c r="H4364" s="1348"/>
      <c r="I4364" s="1348"/>
      <c r="J4364" s="1348"/>
      <c r="K4364" s="1348"/>
    </row>
    <row r="4365" spans="2:11" hidden="1">
      <c r="B4365" s="1348"/>
      <c r="C4365" s="1348"/>
      <c r="D4365" s="1348"/>
      <c r="E4365" s="1348"/>
      <c r="F4365" s="1348"/>
      <c r="G4365" s="1348"/>
      <c r="H4365" s="1348"/>
      <c r="I4365" s="1348"/>
      <c r="J4365" s="1348"/>
      <c r="K4365" s="1348"/>
    </row>
    <row r="4366" spans="2:11" hidden="1">
      <c r="B4366" s="1348"/>
      <c r="C4366" s="1348"/>
      <c r="D4366" s="1348"/>
      <c r="E4366" s="1348"/>
      <c r="F4366" s="1348"/>
      <c r="G4366" s="1348"/>
      <c r="H4366" s="1348"/>
      <c r="I4366" s="1348"/>
      <c r="J4366" s="1348"/>
      <c r="K4366" s="1348"/>
    </row>
    <row r="4367" spans="2:11" hidden="1">
      <c r="B4367" s="1348"/>
      <c r="C4367" s="1348"/>
      <c r="D4367" s="1348"/>
      <c r="E4367" s="1348"/>
      <c r="F4367" s="1348"/>
      <c r="G4367" s="1348"/>
      <c r="H4367" s="1348"/>
      <c r="I4367" s="1348"/>
      <c r="J4367" s="1348"/>
      <c r="K4367" s="1348"/>
    </row>
    <row r="4368" spans="2:11" hidden="1">
      <c r="B4368" s="1348"/>
      <c r="C4368" s="1348"/>
      <c r="D4368" s="1348"/>
      <c r="E4368" s="1348"/>
      <c r="F4368" s="1348"/>
      <c r="G4368" s="1348"/>
      <c r="H4368" s="1348"/>
      <c r="I4368" s="1348"/>
      <c r="J4368" s="1348"/>
      <c r="K4368" s="1348"/>
    </row>
    <row r="4369" spans="2:11" hidden="1">
      <c r="B4369" s="1348"/>
      <c r="C4369" s="1348"/>
      <c r="D4369" s="1348"/>
      <c r="E4369" s="1348"/>
      <c r="F4369" s="1348"/>
      <c r="G4369" s="1348"/>
      <c r="H4369" s="1348"/>
      <c r="I4369" s="1348"/>
      <c r="J4369" s="1348"/>
      <c r="K4369" s="1348"/>
    </row>
    <row r="4370" spans="2:11" hidden="1">
      <c r="B4370" s="1348"/>
      <c r="C4370" s="1348"/>
      <c r="D4370" s="1348"/>
      <c r="E4370" s="1348"/>
      <c r="F4370" s="1348"/>
      <c r="G4370" s="1348"/>
      <c r="H4370" s="1348"/>
      <c r="I4370" s="1348"/>
      <c r="J4370" s="1348"/>
      <c r="K4370" s="1348"/>
    </row>
    <row r="4371" spans="2:11" hidden="1">
      <c r="B4371" s="1348"/>
      <c r="C4371" s="1348"/>
      <c r="D4371" s="1348"/>
      <c r="E4371" s="1348"/>
      <c r="F4371" s="1348"/>
      <c r="G4371" s="1348"/>
      <c r="H4371" s="1348"/>
      <c r="I4371" s="1348"/>
      <c r="J4371" s="1348"/>
      <c r="K4371" s="1348"/>
    </row>
    <row r="4372" spans="2:11" hidden="1">
      <c r="B4372" s="1348"/>
      <c r="C4372" s="1348"/>
      <c r="D4372" s="1348"/>
      <c r="E4372" s="1348"/>
      <c r="F4372" s="1348"/>
      <c r="G4372" s="1348"/>
      <c r="H4372" s="1348"/>
      <c r="I4372" s="1348"/>
      <c r="J4372" s="1348"/>
      <c r="K4372" s="1348"/>
    </row>
    <row r="4373" spans="2:11" hidden="1">
      <c r="B4373" s="1348"/>
      <c r="C4373" s="1348"/>
      <c r="D4373" s="1348"/>
      <c r="E4373" s="1348"/>
      <c r="F4373" s="1348"/>
      <c r="G4373" s="1348"/>
      <c r="H4373" s="1348"/>
      <c r="I4373" s="1348"/>
      <c r="J4373" s="1348"/>
      <c r="K4373" s="1348"/>
    </row>
    <row r="4374" spans="2:11" hidden="1">
      <c r="B4374" s="1348"/>
      <c r="C4374" s="1348"/>
      <c r="D4374" s="1348"/>
      <c r="E4374" s="1348"/>
      <c r="F4374" s="1348"/>
      <c r="G4374" s="1348"/>
      <c r="H4374" s="1348"/>
      <c r="I4374" s="1348"/>
      <c r="J4374" s="1348"/>
      <c r="K4374" s="1348"/>
    </row>
    <row r="4375" spans="2:11" hidden="1">
      <c r="B4375" s="1348"/>
      <c r="C4375" s="1348"/>
      <c r="D4375" s="1348"/>
      <c r="E4375" s="1348"/>
      <c r="F4375" s="1348"/>
      <c r="G4375" s="1348"/>
      <c r="H4375" s="1348"/>
      <c r="I4375" s="1348"/>
      <c r="J4375" s="1348"/>
      <c r="K4375" s="1348"/>
    </row>
    <row r="4376" spans="2:11" hidden="1">
      <c r="B4376" s="1348"/>
      <c r="C4376" s="1348"/>
      <c r="D4376" s="1348"/>
      <c r="E4376" s="1348"/>
      <c r="F4376" s="1348"/>
      <c r="G4376" s="1348"/>
      <c r="H4376" s="1348"/>
      <c r="I4376" s="1348"/>
      <c r="J4376" s="1348"/>
      <c r="K4376" s="1348"/>
    </row>
    <row r="4377" spans="2:11" hidden="1">
      <c r="B4377" s="1348"/>
      <c r="C4377" s="1348"/>
      <c r="D4377" s="1348"/>
      <c r="E4377" s="1348"/>
      <c r="F4377" s="1348"/>
      <c r="G4377" s="1348"/>
      <c r="H4377" s="1348"/>
      <c r="I4377" s="1348"/>
      <c r="J4377" s="1348"/>
      <c r="K4377" s="1348"/>
    </row>
    <row r="4378" spans="2:11" hidden="1">
      <c r="B4378" s="1348"/>
      <c r="C4378" s="1348"/>
      <c r="D4378" s="1348"/>
      <c r="E4378" s="1348"/>
      <c r="F4378" s="1348"/>
      <c r="G4378" s="1348"/>
      <c r="H4378" s="1348"/>
      <c r="I4378" s="1348"/>
      <c r="J4378" s="1348"/>
      <c r="K4378" s="1348"/>
    </row>
    <row r="4379" spans="2:11" hidden="1">
      <c r="B4379" s="1348"/>
      <c r="C4379" s="1348"/>
      <c r="D4379" s="1348"/>
      <c r="E4379" s="1348"/>
      <c r="F4379" s="1348"/>
      <c r="G4379" s="1348"/>
      <c r="H4379" s="1348"/>
      <c r="I4379" s="1348"/>
      <c r="J4379" s="1348"/>
      <c r="K4379" s="1348"/>
    </row>
    <row r="4380" spans="2:11" hidden="1">
      <c r="B4380" s="1348"/>
      <c r="C4380" s="1348"/>
      <c r="D4380" s="1348"/>
      <c r="E4380" s="1348"/>
      <c r="F4380" s="1348"/>
      <c r="G4380" s="1348"/>
      <c r="H4380" s="1348"/>
      <c r="I4380" s="1348"/>
      <c r="J4380" s="1348"/>
      <c r="K4380" s="1348"/>
    </row>
    <row r="4381" spans="2:11" hidden="1">
      <c r="B4381" s="1348"/>
      <c r="C4381" s="1348"/>
      <c r="D4381" s="1348"/>
      <c r="E4381" s="1348"/>
      <c r="F4381" s="1348"/>
      <c r="G4381" s="1348"/>
      <c r="H4381" s="1348"/>
      <c r="I4381" s="1348"/>
      <c r="J4381" s="1348"/>
      <c r="K4381" s="1348"/>
    </row>
    <row r="4382" spans="2:11" hidden="1">
      <c r="B4382" s="1348"/>
      <c r="C4382" s="1348"/>
      <c r="D4382" s="1348"/>
      <c r="E4382" s="1348"/>
      <c r="F4382" s="1348"/>
      <c r="G4382" s="1348"/>
      <c r="H4382" s="1348"/>
      <c r="I4382" s="1348"/>
      <c r="J4382" s="1348"/>
      <c r="K4382" s="1348"/>
    </row>
    <row r="4383" spans="2:11" hidden="1">
      <c r="B4383" s="1348"/>
      <c r="C4383" s="1348"/>
      <c r="D4383" s="1348"/>
      <c r="E4383" s="1348"/>
      <c r="F4383" s="1348"/>
      <c r="G4383" s="1348"/>
      <c r="H4383" s="1348"/>
      <c r="I4383" s="1348"/>
      <c r="J4383" s="1348"/>
      <c r="K4383" s="1348"/>
    </row>
    <row r="4384" spans="2:11" hidden="1">
      <c r="B4384" s="1348"/>
      <c r="C4384" s="1348"/>
      <c r="D4384" s="1348"/>
      <c r="E4384" s="1348"/>
      <c r="F4384" s="1348"/>
      <c r="G4384" s="1348"/>
      <c r="H4384" s="1348"/>
      <c r="I4384" s="1348"/>
      <c r="J4384" s="1348"/>
      <c r="K4384" s="1348"/>
    </row>
    <row r="4385" spans="2:11" hidden="1">
      <c r="B4385" s="1348"/>
      <c r="C4385" s="1348"/>
      <c r="D4385" s="1348"/>
      <c r="E4385" s="1348"/>
      <c r="F4385" s="1348"/>
      <c r="G4385" s="1348"/>
      <c r="H4385" s="1348"/>
      <c r="I4385" s="1348"/>
      <c r="J4385" s="1348"/>
      <c r="K4385" s="1348"/>
    </row>
    <row r="4386" spans="2:11" hidden="1">
      <c r="B4386" s="1348"/>
      <c r="C4386" s="1348"/>
      <c r="D4386" s="1348"/>
      <c r="E4386" s="1348"/>
      <c r="F4386" s="1348"/>
      <c r="G4386" s="1348"/>
      <c r="H4386" s="1348"/>
      <c r="I4386" s="1348"/>
      <c r="J4386" s="1348"/>
      <c r="K4386" s="1348"/>
    </row>
    <row r="4387" spans="2:11" hidden="1">
      <c r="B4387" s="1348"/>
      <c r="C4387" s="1348"/>
      <c r="D4387" s="1348"/>
      <c r="E4387" s="1348"/>
      <c r="F4387" s="1348"/>
      <c r="G4387" s="1348"/>
      <c r="H4387" s="1348"/>
      <c r="I4387" s="1348"/>
      <c r="J4387" s="1348"/>
      <c r="K4387" s="1348"/>
    </row>
    <row r="4388" spans="2:11" hidden="1">
      <c r="B4388" s="1348"/>
      <c r="C4388" s="1348"/>
      <c r="D4388" s="1348"/>
      <c r="E4388" s="1348"/>
      <c r="F4388" s="1348"/>
      <c r="G4388" s="1348"/>
      <c r="H4388" s="1348"/>
      <c r="I4388" s="1348"/>
      <c r="J4388" s="1348"/>
      <c r="K4388" s="1348"/>
    </row>
    <row r="4389" spans="2:11" hidden="1">
      <c r="B4389" s="1348"/>
      <c r="C4389" s="1348"/>
      <c r="D4389" s="1348"/>
      <c r="E4389" s="1348"/>
      <c r="F4389" s="1348"/>
      <c r="G4389" s="1348"/>
      <c r="H4389" s="1348"/>
      <c r="I4389" s="1348"/>
      <c r="J4389" s="1348"/>
      <c r="K4389" s="1348"/>
    </row>
    <row r="4390" spans="2:11" hidden="1">
      <c r="B4390" s="1348"/>
      <c r="C4390" s="1348"/>
      <c r="D4390" s="1348"/>
      <c r="E4390" s="1348"/>
      <c r="F4390" s="1348"/>
      <c r="G4390" s="1348"/>
      <c r="H4390" s="1348"/>
      <c r="I4390" s="1348"/>
      <c r="J4390" s="1348"/>
      <c r="K4390" s="1348"/>
    </row>
    <row r="4391" spans="2:11" hidden="1">
      <c r="B4391" s="1348"/>
      <c r="C4391" s="1348"/>
      <c r="D4391" s="1348"/>
      <c r="E4391" s="1348"/>
      <c r="F4391" s="1348"/>
      <c r="G4391" s="1348"/>
      <c r="H4391" s="1348"/>
      <c r="I4391" s="1348"/>
      <c r="J4391" s="1348"/>
      <c r="K4391" s="1348"/>
    </row>
    <row r="4392" spans="2:11" hidden="1">
      <c r="B4392" s="1348"/>
      <c r="C4392" s="1348"/>
      <c r="D4392" s="1348"/>
      <c r="E4392" s="1348"/>
      <c r="F4392" s="1348"/>
      <c r="G4392" s="1348"/>
      <c r="H4392" s="1348"/>
      <c r="I4392" s="1348"/>
      <c r="J4392" s="1348"/>
      <c r="K4392" s="1348"/>
    </row>
    <row r="4393" spans="2:11" hidden="1">
      <c r="B4393" s="1348"/>
      <c r="C4393" s="1348"/>
      <c r="D4393" s="1348"/>
      <c r="E4393" s="1348"/>
      <c r="F4393" s="1348"/>
      <c r="G4393" s="1348"/>
      <c r="H4393" s="1348"/>
      <c r="I4393" s="1348"/>
      <c r="J4393" s="1348"/>
      <c r="K4393" s="1348"/>
    </row>
    <row r="4394" spans="2:11" hidden="1">
      <c r="B4394" s="1348"/>
      <c r="C4394" s="1348"/>
      <c r="D4394" s="1348"/>
      <c r="E4394" s="1348"/>
      <c r="F4394" s="1348"/>
      <c r="G4394" s="1348"/>
      <c r="H4394" s="1348"/>
      <c r="I4394" s="1348"/>
      <c r="J4394" s="1348"/>
      <c r="K4394" s="1348"/>
    </row>
    <row r="4395" spans="2:11" hidden="1">
      <c r="B4395" s="1348"/>
      <c r="C4395" s="1348"/>
      <c r="D4395" s="1348"/>
      <c r="E4395" s="1348"/>
      <c r="F4395" s="1348"/>
      <c r="G4395" s="1348"/>
      <c r="H4395" s="1348"/>
      <c r="I4395" s="1348"/>
      <c r="J4395" s="1348"/>
      <c r="K4395" s="1348"/>
    </row>
    <row r="4396" spans="2:11" hidden="1">
      <c r="B4396" s="1348"/>
      <c r="C4396" s="1348"/>
      <c r="D4396" s="1348"/>
      <c r="E4396" s="1348"/>
      <c r="F4396" s="1348"/>
      <c r="G4396" s="1348"/>
      <c r="H4396" s="1348"/>
      <c r="I4396" s="1348"/>
      <c r="J4396" s="1348"/>
      <c r="K4396" s="1348"/>
    </row>
    <row r="4397" spans="2:11" hidden="1">
      <c r="B4397" s="1348"/>
      <c r="C4397" s="1348"/>
      <c r="D4397" s="1348"/>
      <c r="E4397" s="1348"/>
      <c r="F4397" s="1348"/>
      <c r="G4397" s="1348"/>
      <c r="H4397" s="1348"/>
      <c r="I4397" s="1348"/>
      <c r="J4397" s="1348"/>
      <c r="K4397" s="1348"/>
    </row>
    <row r="4398" spans="2:11" hidden="1">
      <c r="B4398" s="1348"/>
      <c r="C4398" s="1348"/>
      <c r="D4398" s="1348"/>
      <c r="E4398" s="1348"/>
      <c r="F4398" s="1348"/>
      <c r="G4398" s="1348"/>
      <c r="H4398" s="1348"/>
      <c r="I4398" s="1348"/>
      <c r="J4398" s="1348"/>
      <c r="K4398" s="1348"/>
    </row>
    <row r="4399" spans="2:11" hidden="1">
      <c r="B4399" s="1348"/>
      <c r="C4399" s="1348"/>
      <c r="D4399" s="1348"/>
      <c r="E4399" s="1348"/>
      <c r="F4399" s="1348"/>
      <c r="G4399" s="1348"/>
      <c r="H4399" s="1348"/>
      <c r="I4399" s="1348"/>
      <c r="J4399" s="1348"/>
      <c r="K4399" s="1348"/>
    </row>
    <row r="4400" spans="2:11" hidden="1">
      <c r="B4400" s="1348"/>
      <c r="C4400" s="1348"/>
      <c r="D4400" s="1348"/>
      <c r="E4400" s="1348"/>
      <c r="F4400" s="1348"/>
      <c r="G4400" s="1348"/>
      <c r="H4400" s="1348"/>
      <c r="I4400" s="1348"/>
      <c r="J4400" s="1348"/>
      <c r="K4400" s="1348"/>
    </row>
    <row r="4401" spans="2:11" hidden="1">
      <c r="B4401" s="1348"/>
      <c r="C4401" s="1348"/>
      <c r="D4401" s="1348"/>
      <c r="E4401" s="1348"/>
      <c r="F4401" s="1348"/>
      <c r="G4401" s="1348"/>
      <c r="H4401" s="1348"/>
      <c r="I4401" s="1348"/>
      <c r="J4401" s="1348"/>
      <c r="K4401" s="1348"/>
    </row>
    <row r="4402" spans="2:11" hidden="1">
      <c r="B4402" s="1348"/>
      <c r="C4402" s="1348"/>
      <c r="D4402" s="1348"/>
      <c r="E4402" s="1348"/>
      <c r="F4402" s="1348"/>
      <c r="G4402" s="1348"/>
      <c r="H4402" s="1348"/>
      <c r="I4402" s="1348"/>
      <c r="J4402" s="1348"/>
      <c r="K4402" s="1348"/>
    </row>
    <row r="4403" spans="2:11" hidden="1">
      <c r="B4403" s="1348"/>
      <c r="C4403" s="1348"/>
      <c r="D4403" s="1348"/>
      <c r="E4403" s="1348"/>
      <c r="F4403" s="1348"/>
      <c r="G4403" s="1348"/>
      <c r="H4403" s="1348"/>
      <c r="I4403" s="1348"/>
      <c r="J4403" s="1348"/>
      <c r="K4403" s="1348"/>
    </row>
    <row r="4404" spans="2:11" hidden="1">
      <c r="B4404" s="1348"/>
      <c r="C4404" s="1348"/>
      <c r="D4404" s="1348"/>
      <c r="E4404" s="1348"/>
      <c r="F4404" s="1348"/>
      <c r="G4404" s="1348"/>
      <c r="H4404" s="1348"/>
      <c r="I4404" s="1348"/>
      <c r="J4404" s="1348"/>
      <c r="K4404" s="1348"/>
    </row>
    <row r="4405" spans="2:11" hidden="1">
      <c r="B4405" s="1348"/>
      <c r="C4405" s="1348"/>
      <c r="D4405" s="1348"/>
      <c r="E4405" s="1348"/>
      <c r="F4405" s="1348"/>
      <c r="G4405" s="1348"/>
      <c r="H4405" s="1348"/>
      <c r="I4405" s="1348"/>
      <c r="J4405" s="1348"/>
      <c r="K4405" s="1348"/>
    </row>
    <row r="4406" spans="2:11" hidden="1">
      <c r="B4406" s="1348"/>
      <c r="C4406" s="1348"/>
      <c r="D4406" s="1348"/>
      <c r="E4406" s="1348"/>
      <c r="F4406" s="1348"/>
      <c r="G4406" s="1348"/>
      <c r="H4406" s="1348"/>
      <c r="I4406" s="1348"/>
      <c r="J4406" s="1348"/>
      <c r="K4406" s="1348"/>
    </row>
    <row r="4407" spans="2:11" hidden="1">
      <c r="B4407" s="1348"/>
      <c r="C4407" s="1348"/>
      <c r="D4407" s="1348"/>
      <c r="E4407" s="1348"/>
      <c r="F4407" s="1348"/>
      <c r="G4407" s="1348"/>
      <c r="H4407" s="1348"/>
      <c r="I4407" s="1348"/>
      <c r="J4407" s="1348"/>
      <c r="K4407" s="1348"/>
    </row>
    <row r="4408" spans="2:11" hidden="1">
      <c r="B4408" s="1348"/>
      <c r="C4408" s="1348"/>
      <c r="D4408" s="1348"/>
      <c r="E4408" s="1348"/>
      <c r="F4408" s="1348"/>
      <c r="G4408" s="1348"/>
      <c r="H4408" s="1348"/>
      <c r="I4408" s="1348"/>
      <c r="J4408" s="1348"/>
      <c r="K4408" s="1348"/>
    </row>
    <row r="4409" spans="2:11" hidden="1">
      <c r="B4409" s="1348"/>
      <c r="C4409" s="1348"/>
      <c r="D4409" s="1348"/>
      <c r="E4409" s="1348"/>
      <c r="F4409" s="1348"/>
      <c r="G4409" s="1348"/>
      <c r="H4409" s="1348"/>
      <c r="I4409" s="1348"/>
      <c r="J4409" s="1348"/>
      <c r="K4409" s="1348"/>
    </row>
    <row r="4410" spans="2:11" hidden="1">
      <c r="B4410" s="1348"/>
      <c r="C4410" s="1348"/>
      <c r="D4410" s="1348"/>
      <c r="E4410" s="1348"/>
      <c r="F4410" s="1348"/>
      <c r="G4410" s="1348"/>
      <c r="H4410" s="1348"/>
      <c r="I4410" s="1348"/>
      <c r="J4410" s="1348"/>
      <c r="K4410" s="1348"/>
    </row>
    <row r="4411" spans="2:11" hidden="1">
      <c r="B4411" s="1348"/>
      <c r="C4411" s="1348"/>
      <c r="D4411" s="1348"/>
      <c r="E4411" s="1348"/>
      <c r="F4411" s="1348"/>
      <c r="G4411" s="1348"/>
      <c r="H4411" s="1348"/>
      <c r="I4411" s="1348"/>
      <c r="J4411" s="1348"/>
      <c r="K4411" s="1348"/>
    </row>
    <row r="4412" spans="2:11" hidden="1">
      <c r="B4412" s="1348"/>
      <c r="C4412" s="1348"/>
      <c r="D4412" s="1348"/>
      <c r="E4412" s="1348"/>
      <c r="F4412" s="1348"/>
      <c r="G4412" s="1348"/>
      <c r="H4412" s="1348"/>
      <c r="I4412" s="1348"/>
      <c r="J4412" s="1348"/>
      <c r="K4412" s="1348"/>
    </row>
    <row r="4413" spans="2:11" hidden="1">
      <c r="B4413" s="1348"/>
      <c r="C4413" s="1348"/>
      <c r="D4413" s="1348"/>
      <c r="E4413" s="1348"/>
      <c r="F4413" s="1348"/>
      <c r="G4413" s="1348"/>
      <c r="H4413" s="1348"/>
      <c r="I4413" s="1348"/>
      <c r="J4413" s="1348"/>
      <c r="K4413" s="1348"/>
    </row>
    <row r="4414" spans="2:11" hidden="1">
      <c r="B4414" s="1348"/>
      <c r="C4414" s="1348"/>
      <c r="D4414" s="1348"/>
      <c r="E4414" s="1348"/>
      <c r="F4414" s="1348"/>
      <c r="G4414" s="1348"/>
      <c r="H4414" s="1348"/>
      <c r="I4414" s="1348"/>
      <c r="J4414" s="1348"/>
      <c r="K4414" s="1348"/>
    </row>
    <row r="4415" spans="2:11" hidden="1">
      <c r="B4415" s="1348"/>
      <c r="C4415" s="1348"/>
      <c r="D4415" s="1348"/>
      <c r="E4415" s="1348"/>
      <c r="F4415" s="1348"/>
      <c r="G4415" s="1348"/>
      <c r="H4415" s="1348"/>
      <c r="I4415" s="1348"/>
      <c r="J4415" s="1348"/>
      <c r="K4415" s="1348"/>
    </row>
    <row r="4416" spans="2:11" hidden="1">
      <c r="B4416" s="1348"/>
      <c r="C4416" s="1348"/>
      <c r="D4416" s="1348"/>
      <c r="E4416" s="1348"/>
      <c r="F4416" s="1348"/>
      <c r="G4416" s="1348"/>
      <c r="H4416" s="1348"/>
      <c r="I4416" s="1348"/>
      <c r="J4416" s="1348"/>
      <c r="K4416" s="1348"/>
    </row>
    <row r="4417" spans="2:11" hidden="1">
      <c r="B4417" s="1348"/>
      <c r="C4417" s="1348"/>
      <c r="D4417" s="1348"/>
      <c r="E4417" s="1348"/>
      <c r="F4417" s="1348"/>
      <c r="G4417" s="1348"/>
      <c r="H4417" s="1348"/>
      <c r="I4417" s="1348"/>
      <c r="J4417" s="1348"/>
      <c r="K4417" s="1348"/>
    </row>
    <row r="4418" spans="2:11" hidden="1">
      <c r="B4418" s="1348"/>
      <c r="C4418" s="1348"/>
      <c r="D4418" s="1348"/>
      <c r="E4418" s="1348"/>
      <c r="F4418" s="1348"/>
      <c r="G4418" s="1348"/>
      <c r="H4418" s="1348"/>
      <c r="I4418" s="1348"/>
      <c r="J4418" s="1348"/>
      <c r="K4418" s="1348"/>
    </row>
    <row r="4419" spans="2:11" hidden="1">
      <c r="B4419" s="1348"/>
      <c r="C4419" s="1348"/>
      <c r="D4419" s="1348"/>
      <c r="E4419" s="1348"/>
      <c r="F4419" s="1348"/>
      <c r="G4419" s="1348"/>
      <c r="H4419" s="1348"/>
      <c r="I4419" s="1348"/>
      <c r="J4419" s="1348"/>
      <c r="K4419" s="1348"/>
    </row>
    <row r="4420" spans="2:11" hidden="1">
      <c r="B4420" s="1348"/>
      <c r="C4420" s="1348"/>
      <c r="D4420" s="1348"/>
      <c r="E4420" s="1348"/>
      <c r="F4420" s="1348"/>
      <c r="G4420" s="1348"/>
      <c r="H4420" s="1348"/>
      <c r="I4420" s="1348"/>
      <c r="J4420" s="1348"/>
      <c r="K4420" s="1348"/>
    </row>
    <row r="4421" spans="2:11" hidden="1">
      <c r="B4421" s="1348"/>
      <c r="C4421" s="1348"/>
      <c r="D4421" s="1348"/>
      <c r="E4421" s="1348"/>
      <c r="F4421" s="1348"/>
      <c r="G4421" s="1348"/>
      <c r="H4421" s="1348"/>
      <c r="I4421" s="1348"/>
      <c r="J4421" s="1348"/>
      <c r="K4421" s="1348"/>
    </row>
    <row r="4422" spans="2:11" hidden="1">
      <c r="B4422" s="1348"/>
      <c r="C4422" s="1348"/>
      <c r="D4422" s="1348"/>
      <c r="E4422" s="1348"/>
      <c r="F4422" s="1348"/>
      <c r="G4422" s="1348"/>
      <c r="H4422" s="1348"/>
      <c r="I4422" s="1348"/>
      <c r="J4422" s="1348"/>
      <c r="K4422" s="1348"/>
    </row>
    <row r="4423" spans="2:11" hidden="1">
      <c r="B4423" s="1348"/>
      <c r="C4423" s="1348"/>
      <c r="D4423" s="1348"/>
      <c r="E4423" s="1348"/>
      <c r="F4423" s="1348"/>
      <c r="G4423" s="1348"/>
      <c r="H4423" s="1348"/>
      <c r="I4423" s="1348"/>
      <c r="J4423" s="1348"/>
      <c r="K4423" s="1348"/>
    </row>
    <row r="4424" spans="2:11" hidden="1">
      <c r="B4424" s="1348"/>
      <c r="C4424" s="1348"/>
      <c r="D4424" s="1348"/>
      <c r="E4424" s="1348"/>
      <c r="F4424" s="1348"/>
      <c r="G4424" s="1348"/>
      <c r="H4424" s="1348"/>
      <c r="I4424" s="1348"/>
      <c r="J4424" s="1348"/>
      <c r="K4424" s="1348"/>
    </row>
    <row r="4425" spans="2:11" hidden="1">
      <c r="B4425" s="1348"/>
      <c r="C4425" s="1348"/>
      <c r="D4425" s="1348"/>
      <c r="E4425" s="1348"/>
      <c r="F4425" s="1348"/>
      <c r="G4425" s="1348"/>
      <c r="H4425" s="1348"/>
      <c r="I4425" s="1348"/>
      <c r="J4425" s="1348"/>
      <c r="K4425" s="1348"/>
    </row>
    <row r="4426" spans="2:11" hidden="1">
      <c r="B4426" s="1348"/>
      <c r="C4426" s="1348"/>
      <c r="D4426" s="1348"/>
      <c r="E4426" s="1348"/>
      <c r="F4426" s="1348"/>
      <c r="G4426" s="1348"/>
      <c r="H4426" s="1348"/>
      <c r="I4426" s="1348"/>
      <c r="J4426" s="1348"/>
      <c r="K4426" s="1348"/>
    </row>
    <row r="4427" spans="2:11" hidden="1">
      <c r="B4427" s="1348"/>
      <c r="C4427" s="1348"/>
      <c r="D4427" s="1348"/>
      <c r="E4427" s="1348"/>
      <c r="F4427" s="1348"/>
      <c r="G4427" s="1348"/>
      <c r="H4427" s="1348"/>
      <c r="I4427" s="1348"/>
      <c r="J4427" s="1348"/>
      <c r="K4427" s="1348"/>
    </row>
    <row r="4428" spans="2:11" hidden="1">
      <c r="B4428" s="1348"/>
      <c r="C4428" s="1348"/>
      <c r="D4428" s="1348"/>
      <c r="E4428" s="1348"/>
      <c r="F4428" s="1348"/>
      <c r="G4428" s="1348"/>
      <c r="H4428" s="1348"/>
      <c r="I4428" s="1348"/>
      <c r="J4428" s="1348"/>
      <c r="K4428" s="1348"/>
    </row>
    <row r="4429" spans="2:11" hidden="1">
      <c r="B4429" s="1348"/>
      <c r="C4429" s="1348"/>
      <c r="D4429" s="1348"/>
      <c r="E4429" s="1348"/>
      <c r="F4429" s="1348"/>
      <c r="G4429" s="1348"/>
      <c r="H4429" s="1348"/>
      <c r="I4429" s="1348"/>
      <c r="J4429" s="1348"/>
      <c r="K4429" s="1348"/>
    </row>
    <row r="4430" spans="2:11" hidden="1">
      <c r="B4430" s="1348"/>
      <c r="C4430" s="1348"/>
      <c r="D4430" s="1348"/>
      <c r="E4430" s="1348"/>
      <c r="F4430" s="1348"/>
      <c r="G4430" s="1348"/>
      <c r="H4430" s="1348"/>
      <c r="I4430" s="1348"/>
      <c r="J4430" s="1348"/>
      <c r="K4430" s="1348"/>
    </row>
    <row r="4431" spans="2:11" hidden="1">
      <c r="B4431" s="1348"/>
      <c r="C4431" s="1348"/>
      <c r="D4431" s="1348"/>
      <c r="E4431" s="1348"/>
      <c r="F4431" s="1348"/>
      <c r="G4431" s="1348"/>
      <c r="H4431" s="1348"/>
      <c r="I4431" s="1348"/>
      <c r="J4431" s="1348"/>
      <c r="K4431" s="1348"/>
    </row>
    <row r="4432" spans="2:11" hidden="1">
      <c r="B4432" s="1348"/>
      <c r="C4432" s="1348"/>
      <c r="D4432" s="1348"/>
      <c r="E4432" s="1348"/>
      <c r="F4432" s="1348"/>
      <c r="G4432" s="1348"/>
      <c r="H4432" s="1348"/>
      <c r="I4432" s="1348"/>
      <c r="J4432" s="1348"/>
      <c r="K4432" s="1348"/>
    </row>
    <row r="4433" spans="2:11" hidden="1">
      <c r="B4433" s="1348"/>
      <c r="C4433" s="1348"/>
      <c r="D4433" s="1348"/>
      <c r="E4433" s="1348"/>
      <c r="F4433" s="1348"/>
      <c r="G4433" s="1348"/>
      <c r="H4433" s="1348"/>
      <c r="I4433" s="1348"/>
      <c r="J4433" s="1348"/>
      <c r="K4433" s="1348"/>
    </row>
    <row r="4434" spans="2:11" hidden="1">
      <c r="B4434" s="1348"/>
      <c r="C4434" s="1348"/>
      <c r="D4434" s="1348"/>
      <c r="E4434" s="1348"/>
      <c r="F4434" s="1348"/>
      <c r="G4434" s="1348"/>
      <c r="H4434" s="1348"/>
      <c r="I4434" s="1348"/>
      <c r="J4434" s="1348"/>
      <c r="K4434" s="1348"/>
    </row>
    <row r="4435" spans="2:11" hidden="1">
      <c r="B4435" s="1348"/>
      <c r="C4435" s="1348"/>
      <c r="D4435" s="1348"/>
      <c r="E4435" s="1348"/>
      <c r="F4435" s="1348"/>
      <c r="G4435" s="1348"/>
      <c r="H4435" s="1348"/>
      <c r="I4435" s="1348"/>
      <c r="J4435" s="1348"/>
      <c r="K4435" s="1348"/>
    </row>
    <row r="4436" spans="2:11" hidden="1">
      <c r="B4436" s="1348"/>
      <c r="C4436" s="1348"/>
      <c r="D4436" s="1348"/>
      <c r="E4436" s="1348"/>
      <c r="F4436" s="1348"/>
      <c r="G4436" s="1348"/>
      <c r="H4436" s="1348"/>
      <c r="I4436" s="1348"/>
      <c r="J4436" s="1348"/>
      <c r="K4436" s="1348"/>
    </row>
    <row r="4437" spans="2:11" hidden="1">
      <c r="B4437" s="1348"/>
      <c r="C4437" s="1348"/>
      <c r="D4437" s="1348"/>
      <c r="E4437" s="1348"/>
      <c r="F4437" s="1348"/>
      <c r="G4437" s="1348"/>
      <c r="H4437" s="1348"/>
      <c r="I4437" s="1348"/>
      <c r="J4437" s="1348"/>
      <c r="K4437" s="1348"/>
    </row>
    <row r="4438" spans="2:11" hidden="1">
      <c r="B4438" s="1348"/>
      <c r="C4438" s="1348"/>
      <c r="D4438" s="1348"/>
      <c r="E4438" s="1348"/>
      <c r="F4438" s="1348"/>
      <c r="G4438" s="1348"/>
      <c r="H4438" s="1348"/>
      <c r="I4438" s="1348"/>
      <c r="J4438" s="1348"/>
      <c r="K4438" s="1348"/>
    </row>
    <row r="4439" spans="2:11" hidden="1">
      <c r="B4439" s="1348"/>
      <c r="C4439" s="1348"/>
      <c r="D4439" s="1348"/>
      <c r="E4439" s="1348"/>
      <c r="F4439" s="1348"/>
      <c r="G4439" s="1348"/>
      <c r="H4439" s="1348"/>
      <c r="I4439" s="1348"/>
      <c r="J4439" s="1348"/>
      <c r="K4439" s="1348"/>
    </row>
    <row r="4440" spans="2:11" hidden="1">
      <c r="B4440" s="1348"/>
      <c r="C4440" s="1348"/>
      <c r="D4440" s="1348"/>
      <c r="E4440" s="1348"/>
      <c r="F4440" s="1348"/>
      <c r="G4440" s="1348"/>
      <c r="H4440" s="1348"/>
      <c r="I4440" s="1348"/>
      <c r="J4440" s="1348"/>
      <c r="K4440" s="1348"/>
    </row>
    <row r="4441" spans="2:11" hidden="1">
      <c r="B4441" s="1348"/>
      <c r="C4441" s="1348"/>
      <c r="D4441" s="1348"/>
      <c r="E4441" s="1348"/>
      <c r="F4441" s="1348"/>
      <c r="G4441" s="1348"/>
      <c r="H4441" s="1348"/>
      <c r="I4441" s="1348"/>
      <c r="J4441" s="1348"/>
      <c r="K4441" s="1348"/>
    </row>
    <row r="4442" spans="2:11" hidden="1">
      <c r="B4442" s="1348"/>
      <c r="C4442" s="1348"/>
      <c r="D4442" s="1348"/>
      <c r="E4442" s="1348"/>
      <c r="F4442" s="1348"/>
      <c r="G4442" s="1348"/>
      <c r="H4442" s="1348"/>
      <c r="I4442" s="1348"/>
      <c r="J4442" s="1348"/>
      <c r="K4442" s="1348"/>
    </row>
    <row r="4443" spans="2:11" hidden="1">
      <c r="B4443" s="1348"/>
      <c r="C4443" s="1348"/>
      <c r="D4443" s="1348"/>
      <c r="E4443" s="1348"/>
      <c r="F4443" s="1348"/>
      <c r="G4443" s="1348"/>
      <c r="H4443" s="1348"/>
      <c r="I4443" s="1348"/>
      <c r="J4443" s="1348"/>
      <c r="K4443" s="1348"/>
    </row>
    <row r="4444" spans="2:11" hidden="1">
      <c r="B4444" s="1348"/>
      <c r="C4444" s="1348"/>
      <c r="D4444" s="1348"/>
      <c r="E4444" s="1348"/>
      <c r="F4444" s="1348"/>
      <c r="G4444" s="1348"/>
      <c r="H4444" s="1348"/>
      <c r="I4444" s="1348"/>
      <c r="J4444" s="1348"/>
      <c r="K4444" s="1348"/>
    </row>
    <row r="4445" spans="2:11" hidden="1">
      <c r="B4445" s="1348"/>
      <c r="C4445" s="1348"/>
      <c r="D4445" s="1348"/>
      <c r="E4445" s="1348"/>
      <c r="F4445" s="1348"/>
      <c r="G4445" s="1348"/>
      <c r="H4445" s="1348"/>
      <c r="I4445" s="1348"/>
      <c r="J4445" s="1348"/>
      <c r="K4445" s="1348"/>
    </row>
    <row r="4446" spans="2:11" hidden="1">
      <c r="B4446" s="1348"/>
      <c r="C4446" s="1348"/>
      <c r="D4446" s="1348"/>
      <c r="E4446" s="1348"/>
      <c r="F4446" s="1348"/>
      <c r="G4446" s="1348"/>
      <c r="H4446" s="1348"/>
      <c r="I4446" s="1348"/>
      <c r="J4446" s="1348"/>
      <c r="K4446" s="1348"/>
    </row>
    <row r="4447" spans="2:11" hidden="1">
      <c r="B4447" s="1348"/>
      <c r="C4447" s="1348"/>
      <c r="D4447" s="1348"/>
      <c r="E4447" s="1348"/>
      <c r="F4447" s="1348"/>
      <c r="G4447" s="1348"/>
      <c r="H4447" s="1348"/>
      <c r="I4447" s="1348"/>
      <c r="J4447" s="1348"/>
      <c r="K4447" s="1348"/>
    </row>
    <row r="4448" spans="2:11" hidden="1">
      <c r="B4448" s="1348"/>
      <c r="C4448" s="1348"/>
      <c r="D4448" s="1348"/>
      <c r="E4448" s="1348"/>
      <c r="F4448" s="1348"/>
      <c r="G4448" s="1348"/>
      <c r="H4448" s="1348"/>
      <c r="I4448" s="1348"/>
      <c r="J4448" s="1348"/>
      <c r="K4448" s="1348"/>
    </row>
    <row r="4449" spans="2:11" hidden="1">
      <c r="B4449" s="1348"/>
      <c r="C4449" s="1348"/>
      <c r="D4449" s="1348"/>
      <c r="E4449" s="1348"/>
      <c r="F4449" s="1348"/>
      <c r="G4449" s="1348"/>
      <c r="H4449" s="1348"/>
      <c r="I4449" s="1348"/>
      <c r="J4449" s="1348"/>
      <c r="K4449" s="1348"/>
    </row>
    <row r="4450" spans="2:11" hidden="1">
      <c r="B4450" s="1348"/>
      <c r="C4450" s="1348"/>
      <c r="D4450" s="1348"/>
      <c r="E4450" s="1348"/>
      <c r="F4450" s="1348"/>
      <c r="G4450" s="1348"/>
      <c r="H4450" s="1348"/>
      <c r="I4450" s="1348"/>
      <c r="J4450" s="1348"/>
      <c r="K4450" s="1348"/>
    </row>
    <row r="4451" spans="2:11" hidden="1">
      <c r="B4451" s="1348"/>
      <c r="C4451" s="1348"/>
      <c r="D4451" s="1348"/>
      <c r="E4451" s="1348"/>
      <c r="F4451" s="1348"/>
      <c r="G4451" s="1348"/>
      <c r="H4451" s="1348"/>
      <c r="I4451" s="1348"/>
      <c r="J4451" s="1348"/>
      <c r="K4451" s="1348"/>
    </row>
    <row r="4452" spans="2:11" hidden="1">
      <c r="B4452" s="1348"/>
      <c r="C4452" s="1348"/>
      <c r="D4452" s="1348"/>
      <c r="E4452" s="1348"/>
      <c r="F4452" s="1348"/>
      <c r="G4452" s="1348"/>
      <c r="H4452" s="1348"/>
      <c r="I4452" s="1348"/>
      <c r="J4452" s="1348"/>
      <c r="K4452" s="1348"/>
    </row>
    <row r="4453" spans="2:11" hidden="1">
      <c r="B4453" s="1348"/>
      <c r="C4453" s="1348"/>
      <c r="D4453" s="1348"/>
      <c r="E4453" s="1348"/>
      <c r="F4453" s="1348"/>
      <c r="G4453" s="1348"/>
      <c r="H4453" s="1348"/>
      <c r="I4453" s="1348"/>
      <c r="J4453" s="1348"/>
      <c r="K4453" s="1348"/>
    </row>
    <row r="4454" spans="2:11" hidden="1">
      <c r="B4454" s="1348"/>
      <c r="C4454" s="1348"/>
      <c r="D4454" s="1348"/>
      <c r="E4454" s="1348"/>
      <c r="F4454" s="1348"/>
      <c r="G4454" s="1348"/>
      <c r="H4454" s="1348"/>
      <c r="I4454" s="1348"/>
      <c r="J4454" s="1348"/>
      <c r="K4454" s="1348"/>
    </row>
    <row r="4455" spans="2:11" hidden="1">
      <c r="B4455" s="1348"/>
      <c r="C4455" s="1348"/>
      <c r="D4455" s="1348"/>
      <c r="E4455" s="1348"/>
      <c r="F4455" s="1348"/>
      <c r="G4455" s="1348"/>
      <c r="H4455" s="1348"/>
      <c r="I4455" s="1348"/>
      <c r="J4455" s="1348"/>
      <c r="K4455" s="1348"/>
    </row>
    <row r="4456" spans="2:11" hidden="1">
      <c r="B4456" s="1348"/>
      <c r="C4456" s="1348"/>
      <c r="D4456" s="1348"/>
      <c r="E4456" s="1348"/>
      <c r="F4456" s="1348"/>
      <c r="G4456" s="1348"/>
      <c r="H4456" s="1348"/>
      <c r="I4456" s="1348"/>
      <c r="J4456" s="1348"/>
      <c r="K4456" s="1348"/>
    </row>
    <row r="4457" spans="2:11" hidden="1">
      <c r="B4457" s="1348"/>
      <c r="C4457" s="1348"/>
      <c r="D4457" s="1348"/>
      <c r="E4457" s="1348"/>
      <c r="F4457" s="1348"/>
      <c r="G4457" s="1348"/>
      <c r="H4457" s="1348"/>
      <c r="I4457" s="1348"/>
      <c r="J4457" s="1348"/>
      <c r="K4457" s="1348"/>
    </row>
    <row r="4458" spans="2:11" hidden="1">
      <c r="B4458" s="1348"/>
      <c r="C4458" s="1348"/>
      <c r="D4458" s="1348"/>
      <c r="E4458" s="1348"/>
      <c r="F4458" s="1348"/>
      <c r="G4458" s="1348"/>
      <c r="H4458" s="1348"/>
      <c r="I4458" s="1348"/>
      <c r="J4458" s="1348"/>
      <c r="K4458" s="1348"/>
    </row>
    <row r="4459" spans="2:11" hidden="1">
      <c r="B4459" s="1348"/>
      <c r="C4459" s="1348"/>
      <c r="D4459" s="1348"/>
      <c r="E4459" s="1348"/>
      <c r="F4459" s="1348"/>
      <c r="G4459" s="1348"/>
      <c r="H4459" s="1348"/>
      <c r="I4459" s="1348"/>
      <c r="J4459" s="1348"/>
      <c r="K4459" s="1348"/>
    </row>
    <row r="4460" spans="2:11" hidden="1">
      <c r="B4460" s="1348"/>
      <c r="C4460" s="1348"/>
      <c r="D4460" s="1348"/>
      <c r="E4460" s="1348"/>
      <c r="F4460" s="1348"/>
      <c r="G4460" s="1348"/>
      <c r="H4460" s="1348"/>
      <c r="I4460" s="1348"/>
      <c r="J4460" s="1348"/>
      <c r="K4460" s="1348"/>
    </row>
    <row r="4461" spans="2:11" hidden="1">
      <c r="B4461" s="1348"/>
      <c r="C4461" s="1348"/>
      <c r="D4461" s="1348"/>
      <c r="E4461" s="1348"/>
      <c r="F4461" s="1348"/>
      <c r="G4461" s="1348"/>
      <c r="H4461" s="1348"/>
      <c r="I4461" s="1348"/>
      <c r="J4461" s="1348"/>
      <c r="K4461" s="1348"/>
    </row>
    <row r="4462" spans="2:11" hidden="1">
      <c r="B4462" s="1348"/>
      <c r="C4462" s="1348"/>
      <c r="D4462" s="1348"/>
      <c r="E4462" s="1348"/>
      <c r="F4462" s="1348"/>
      <c r="G4462" s="1348"/>
      <c r="H4462" s="1348"/>
      <c r="I4462" s="1348"/>
      <c r="J4462" s="1348"/>
      <c r="K4462" s="1348"/>
    </row>
    <row r="4463" spans="2:11" hidden="1">
      <c r="B4463" s="1348"/>
      <c r="C4463" s="1348"/>
      <c r="D4463" s="1348"/>
      <c r="E4463" s="1348"/>
      <c r="F4463" s="1348"/>
      <c r="G4463" s="1348"/>
      <c r="H4463" s="1348"/>
      <c r="I4463" s="1348"/>
      <c r="J4463" s="1348"/>
      <c r="K4463" s="1348"/>
    </row>
    <row r="4464" spans="2:11" hidden="1">
      <c r="B4464" s="1348"/>
      <c r="C4464" s="1348"/>
      <c r="D4464" s="1348"/>
      <c r="E4464" s="1348"/>
      <c r="F4464" s="1348"/>
      <c r="G4464" s="1348"/>
      <c r="H4464" s="1348"/>
      <c r="I4464" s="1348"/>
      <c r="J4464" s="1348"/>
      <c r="K4464" s="1348"/>
    </row>
    <row r="4465" spans="2:11" hidden="1">
      <c r="B4465" s="1348"/>
      <c r="C4465" s="1348"/>
      <c r="D4465" s="1348"/>
      <c r="E4465" s="1348"/>
      <c r="F4465" s="1348"/>
      <c r="G4465" s="1348"/>
      <c r="H4465" s="1348"/>
      <c r="I4465" s="1348"/>
      <c r="J4465" s="1348"/>
      <c r="K4465" s="1348"/>
    </row>
    <row r="4466" spans="2:11" hidden="1">
      <c r="B4466" s="1348"/>
      <c r="C4466" s="1348"/>
      <c r="D4466" s="1348"/>
      <c r="E4466" s="1348"/>
      <c r="F4466" s="1348"/>
      <c r="G4466" s="1348"/>
      <c r="H4466" s="1348"/>
      <c r="I4466" s="1348"/>
      <c r="J4466" s="1348"/>
      <c r="K4466" s="1348"/>
    </row>
    <row r="4467" spans="2:11" hidden="1">
      <c r="B4467" s="1348"/>
      <c r="C4467" s="1348"/>
      <c r="D4467" s="1348"/>
      <c r="E4467" s="1348"/>
      <c r="F4467" s="1348"/>
      <c r="G4467" s="1348"/>
      <c r="H4467" s="1348"/>
      <c r="I4467" s="1348"/>
      <c r="J4467" s="1348"/>
      <c r="K4467" s="1348"/>
    </row>
    <row r="4468" spans="2:11" hidden="1">
      <c r="B4468" s="1348"/>
      <c r="C4468" s="1348"/>
      <c r="D4468" s="1348"/>
      <c r="E4468" s="1348"/>
      <c r="F4468" s="1348"/>
      <c r="G4468" s="1348"/>
      <c r="H4468" s="1348"/>
      <c r="I4468" s="1348"/>
      <c r="J4468" s="1348"/>
      <c r="K4468" s="1348"/>
    </row>
    <row r="4469" spans="2:11" hidden="1">
      <c r="B4469" s="1348"/>
      <c r="C4469" s="1348"/>
      <c r="D4469" s="1348"/>
      <c r="E4469" s="1348"/>
      <c r="F4469" s="1348"/>
      <c r="G4469" s="1348"/>
      <c r="H4469" s="1348"/>
      <c r="I4469" s="1348"/>
      <c r="J4469" s="1348"/>
      <c r="K4469" s="1348"/>
    </row>
    <row r="4470" spans="2:11" hidden="1">
      <c r="B4470" s="1348"/>
      <c r="C4470" s="1348"/>
      <c r="D4470" s="1348"/>
      <c r="E4470" s="1348"/>
      <c r="F4470" s="1348"/>
      <c r="G4470" s="1348"/>
      <c r="H4470" s="1348"/>
      <c r="I4470" s="1348"/>
      <c r="J4470" s="1348"/>
      <c r="K4470" s="1348"/>
    </row>
    <row r="4471" spans="2:11" hidden="1">
      <c r="B4471" s="1348"/>
      <c r="C4471" s="1348"/>
      <c r="D4471" s="1348"/>
      <c r="E4471" s="1348"/>
      <c r="F4471" s="1348"/>
      <c r="G4471" s="1348"/>
      <c r="H4471" s="1348"/>
      <c r="I4471" s="1348"/>
      <c r="J4471" s="1348"/>
      <c r="K4471" s="1348"/>
    </row>
    <row r="4472" spans="2:11" hidden="1">
      <c r="B4472" s="1348"/>
      <c r="C4472" s="1348"/>
      <c r="D4472" s="1348"/>
      <c r="E4472" s="1348"/>
      <c r="F4472" s="1348"/>
      <c r="G4472" s="1348"/>
      <c r="H4472" s="1348"/>
      <c r="I4472" s="1348"/>
      <c r="J4472" s="1348"/>
      <c r="K4472" s="1348"/>
    </row>
    <row r="4473" spans="2:11" hidden="1">
      <c r="B4473" s="1348"/>
      <c r="C4473" s="1348"/>
      <c r="D4473" s="1348"/>
      <c r="E4473" s="1348"/>
      <c r="F4473" s="1348"/>
      <c r="G4473" s="1348"/>
      <c r="H4473" s="1348"/>
      <c r="I4473" s="1348"/>
      <c r="J4473" s="1348"/>
      <c r="K4473" s="1348"/>
    </row>
    <row r="4474" spans="2:11" hidden="1">
      <c r="B4474" s="1348"/>
      <c r="C4474" s="1348"/>
      <c r="D4474" s="1348"/>
      <c r="E4474" s="1348"/>
      <c r="F4474" s="1348"/>
      <c r="G4474" s="1348"/>
      <c r="H4474" s="1348"/>
      <c r="I4474" s="1348"/>
      <c r="J4474" s="1348"/>
      <c r="K4474" s="1348"/>
    </row>
    <row r="4475" spans="2:11" hidden="1">
      <c r="B4475" s="1348"/>
      <c r="C4475" s="1348"/>
      <c r="D4475" s="1348"/>
      <c r="E4475" s="1348"/>
      <c r="F4475" s="1348"/>
      <c r="G4475" s="1348"/>
      <c r="H4475" s="1348"/>
      <c r="I4475" s="1348"/>
      <c r="J4475" s="1348"/>
      <c r="K4475" s="1348"/>
    </row>
    <row r="4476" spans="2:11" hidden="1">
      <c r="B4476" s="1348"/>
      <c r="C4476" s="1348"/>
      <c r="D4476" s="1348"/>
      <c r="E4476" s="1348"/>
      <c r="F4476" s="1348"/>
      <c r="G4476" s="1348"/>
      <c r="H4476" s="1348"/>
      <c r="I4476" s="1348"/>
      <c r="J4476" s="1348"/>
      <c r="K4476" s="1348"/>
    </row>
    <row r="4477" spans="2:11" hidden="1">
      <c r="B4477" s="1348"/>
      <c r="C4477" s="1348"/>
      <c r="D4477" s="1348"/>
      <c r="E4477" s="1348"/>
      <c r="F4477" s="1348"/>
      <c r="G4477" s="1348"/>
      <c r="H4477" s="1348"/>
      <c r="I4477" s="1348"/>
      <c r="J4477" s="1348"/>
      <c r="K4477" s="1348"/>
    </row>
    <row r="4478" spans="2:11" hidden="1">
      <c r="B4478" s="1348"/>
      <c r="C4478" s="1348"/>
      <c r="D4478" s="1348"/>
      <c r="E4478" s="1348"/>
      <c r="F4478" s="1348"/>
      <c r="G4478" s="1348"/>
      <c r="H4478" s="1348"/>
      <c r="I4478" s="1348"/>
      <c r="J4478" s="1348"/>
      <c r="K4478" s="1348"/>
    </row>
    <row r="4479" spans="2:11" hidden="1">
      <c r="B4479" s="1348"/>
      <c r="C4479" s="1348"/>
      <c r="D4479" s="1348"/>
      <c r="E4479" s="1348"/>
      <c r="F4479" s="1348"/>
      <c r="G4479" s="1348"/>
      <c r="H4479" s="1348"/>
      <c r="I4479" s="1348"/>
      <c r="J4479" s="1348"/>
      <c r="K4479" s="1348"/>
    </row>
    <row r="4480" spans="2:11" hidden="1">
      <c r="B4480" s="1348"/>
      <c r="C4480" s="1348"/>
      <c r="D4480" s="1348"/>
      <c r="E4480" s="1348"/>
      <c r="F4480" s="1348"/>
      <c r="G4480" s="1348"/>
      <c r="H4480" s="1348"/>
      <c r="I4480" s="1348"/>
      <c r="J4480" s="1348"/>
      <c r="K4480" s="1348"/>
    </row>
    <row r="4481" spans="2:11" hidden="1">
      <c r="B4481" s="1348"/>
      <c r="C4481" s="1348"/>
      <c r="D4481" s="1348"/>
      <c r="E4481" s="1348"/>
      <c r="F4481" s="1348"/>
      <c r="G4481" s="1348"/>
      <c r="H4481" s="1348"/>
      <c r="I4481" s="1348"/>
      <c r="J4481" s="1348"/>
      <c r="K4481" s="1348"/>
    </row>
    <row r="4482" spans="2:11" hidden="1">
      <c r="B4482" s="1348"/>
      <c r="C4482" s="1348"/>
      <c r="D4482" s="1348"/>
      <c r="E4482" s="1348"/>
      <c r="F4482" s="1348"/>
      <c r="G4482" s="1348"/>
      <c r="H4482" s="1348"/>
      <c r="I4482" s="1348"/>
      <c r="J4482" s="1348"/>
      <c r="K4482" s="1348"/>
    </row>
    <row r="4483" spans="2:11" hidden="1">
      <c r="B4483" s="1348"/>
      <c r="C4483" s="1348"/>
      <c r="D4483" s="1348"/>
      <c r="E4483" s="1348"/>
      <c r="F4483" s="1348"/>
      <c r="G4483" s="1348"/>
      <c r="H4483" s="1348"/>
      <c r="I4483" s="1348"/>
      <c r="J4483" s="1348"/>
      <c r="K4483" s="1348"/>
    </row>
    <row r="4484" spans="2:11" hidden="1">
      <c r="B4484" s="1348"/>
      <c r="C4484" s="1348"/>
      <c r="D4484" s="1348"/>
      <c r="E4484" s="1348"/>
      <c r="F4484" s="1348"/>
      <c r="G4484" s="1348"/>
      <c r="H4484" s="1348"/>
      <c r="I4484" s="1348"/>
      <c r="J4484" s="1348"/>
      <c r="K4484" s="1348"/>
    </row>
    <row r="4485" spans="2:11" hidden="1">
      <c r="B4485" s="1348"/>
      <c r="C4485" s="1348"/>
      <c r="D4485" s="1348"/>
      <c r="E4485" s="1348"/>
      <c r="F4485" s="1348"/>
      <c r="G4485" s="1348"/>
      <c r="H4485" s="1348"/>
      <c r="I4485" s="1348"/>
      <c r="J4485" s="1348"/>
      <c r="K4485" s="1348"/>
    </row>
    <row r="4486" spans="2:11" hidden="1">
      <c r="B4486" s="1348"/>
      <c r="C4486" s="1348"/>
      <c r="D4486" s="1348"/>
      <c r="E4486" s="1348"/>
      <c r="F4486" s="1348"/>
      <c r="G4486" s="1348"/>
      <c r="H4486" s="1348"/>
      <c r="I4486" s="1348"/>
      <c r="J4486" s="1348"/>
      <c r="K4486" s="1348"/>
    </row>
    <row r="4487" spans="2:11" hidden="1">
      <c r="B4487" s="1348"/>
      <c r="C4487" s="1348"/>
      <c r="D4487" s="1348"/>
      <c r="E4487" s="1348"/>
      <c r="F4487" s="1348"/>
      <c r="G4487" s="1348"/>
      <c r="H4487" s="1348"/>
      <c r="I4487" s="1348"/>
      <c r="J4487" s="1348"/>
      <c r="K4487" s="1348"/>
    </row>
    <row r="4488" spans="2:11" hidden="1">
      <c r="B4488" s="1348"/>
      <c r="C4488" s="1348"/>
      <c r="D4488" s="1348"/>
      <c r="E4488" s="1348"/>
      <c r="F4488" s="1348"/>
      <c r="G4488" s="1348"/>
      <c r="H4488" s="1348"/>
      <c r="I4488" s="1348"/>
      <c r="J4488" s="1348"/>
      <c r="K4488" s="1348"/>
    </row>
    <row r="4489" spans="2:11" hidden="1">
      <c r="B4489" s="1348"/>
      <c r="C4489" s="1348"/>
      <c r="D4489" s="1348"/>
      <c r="E4489" s="1348"/>
      <c r="F4489" s="1348"/>
      <c r="G4489" s="1348"/>
      <c r="H4489" s="1348"/>
      <c r="I4489" s="1348"/>
      <c r="J4489" s="1348"/>
      <c r="K4489" s="1348"/>
    </row>
    <row r="4490" spans="2:11" hidden="1">
      <c r="B4490" s="1348"/>
      <c r="C4490" s="1348"/>
      <c r="D4490" s="1348"/>
      <c r="E4490" s="1348"/>
      <c r="F4490" s="1348"/>
      <c r="G4490" s="1348"/>
      <c r="H4490" s="1348"/>
      <c r="I4490" s="1348"/>
      <c r="J4490" s="1348"/>
      <c r="K4490" s="1348"/>
    </row>
    <row r="4491" spans="2:11" hidden="1">
      <c r="B4491" s="1348"/>
      <c r="C4491" s="1348"/>
      <c r="D4491" s="1348"/>
      <c r="E4491" s="1348"/>
      <c r="F4491" s="1348"/>
      <c r="G4491" s="1348"/>
      <c r="H4491" s="1348"/>
      <c r="I4491" s="1348"/>
      <c r="J4491" s="1348"/>
      <c r="K4491" s="1348"/>
    </row>
    <row r="4492" spans="2:11" hidden="1">
      <c r="B4492" s="1348"/>
      <c r="C4492" s="1348"/>
      <c r="D4492" s="1348"/>
      <c r="E4492" s="1348"/>
      <c r="F4492" s="1348"/>
      <c r="G4492" s="1348"/>
      <c r="H4492" s="1348"/>
      <c r="I4492" s="1348"/>
      <c r="J4492" s="1348"/>
      <c r="K4492" s="1348"/>
    </row>
    <row r="4493" spans="2:11" hidden="1">
      <c r="B4493" s="1348"/>
      <c r="C4493" s="1348"/>
      <c r="D4493" s="1348"/>
      <c r="E4493" s="1348"/>
      <c r="F4493" s="1348"/>
      <c r="G4493" s="1348"/>
      <c r="H4493" s="1348"/>
      <c r="I4493" s="1348"/>
      <c r="J4493" s="1348"/>
      <c r="K4493" s="1348"/>
    </row>
    <row r="4494" spans="2:11" hidden="1">
      <c r="B4494" s="1348"/>
      <c r="C4494" s="1348"/>
      <c r="D4494" s="1348"/>
      <c r="E4494" s="1348"/>
      <c r="F4494" s="1348"/>
      <c r="G4494" s="1348"/>
      <c r="H4494" s="1348"/>
      <c r="I4494" s="1348"/>
      <c r="J4494" s="1348"/>
      <c r="K4494" s="1348"/>
    </row>
    <row r="4495" spans="2:11" hidden="1">
      <c r="B4495" s="1348"/>
      <c r="C4495" s="1348"/>
      <c r="D4495" s="1348"/>
      <c r="E4495" s="1348"/>
      <c r="F4495" s="1348"/>
      <c r="G4495" s="1348"/>
      <c r="H4495" s="1348"/>
      <c r="I4495" s="1348"/>
      <c r="J4495" s="1348"/>
      <c r="K4495" s="1348"/>
    </row>
    <row r="4496" spans="2:11" hidden="1">
      <c r="B4496" s="1348"/>
      <c r="C4496" s="1348"/>
      <c r="D4496" s="1348"/>
      <c r="E4496" s="1348"/>
      <c r="F4496" s="1348"/>
      <c r="G4496" s="1348"/>
      <c r="H4496" s="1348"/>
      <c r="I4496" s="1348"/>
      <c r="J4496" s="1348"/>
      <c r="K4496" s="1348"/>
    </row>
    <row r="4497" spans="2:11" hidden="1">
      <c r="B4497" s="1348"/>
      <c r="C4497" s="1348"/>
      <c r="D4497" s="1348"/>
      <c r="E4497" s="1348"/>
      <c r="F4497" s="1348"/>
      <c r="G4497" s="1348"/>
      <c r="H4497" s="1348"/>
      <c r="I4497" s="1348"/>
      <c r="J4497" s="1348"/>
      <c r="K4497" s="1348"/>
    </row>
    <row r="4498" spans="2:11" hidden="1">
      <c r="B4498" s="1348"/>
      <c r="C4498" s="1348"/>
      <c r="D4498" s="1348"/>
      <c r="E4498" s="1348"/>
      <c r="F4498" s="1348"/>
      <c r="G4498" s="1348"/>
      <c r="H4498" s="1348"/>
      <c r="I4498" s="1348"/>
      <c r="J4498" s="1348"/>
      <c r="K4498" s="1348"/>
    </row>
    <row r="4499" spans="2:11" hidden="1">
      <c r="B4499" s="1348"/>
      <c r="C4499" s="1348"/>
      <c r="D4499" s="1348"/>
      <c r="E4499" s="1348"/>
      <c r="F4499" s="1348"/>
      <c r="G4499" s="1348"/>
      <c r="H4499" s="1348"/>
      <c r="I4499" s="1348"/>
      <c r="J4499" s="1348"/>
      <c r="K4499" s="1348"/>
    </row>
    <row r="4500" spans="2:11" hidden="1">
      <c r="B4500" s="1348"/>
      <c r="C4500" s="1348"/>
      <c r="D4500" s="1348"/>
      <c r="E4500" s="1348"/>
      <c r="F4500" s="1348"/>
      <c r="G4500" s="1348"/>
      <c r="H4500" s="1348"/>
      <c r="I4500" s="1348"/>
      <c r="J4500" s="1348"/>
      <c r="K4500" s="1348"/>
    </row>
    <row r="4501" spans="2:11" hidden="1">
      <c r="B4501" s="1348"/>
      <c r="C4501" s="1348"/>
      <c r="D4501" s="1348"/>
      <c r="E4501" s="1348"/>
      <c r="F4501" s="1348"/>
      <c r="G4501" s="1348"/>
      <c r="H4501" s="1348"/>
      <c r="I4501" s="1348"/>
      <c r="J4501" s="1348"/>
      <c r="K4501" s="1348"/>
    </row>
    <row r="4502" spans="2:11" hidden="1">
      <c r="B4502" s="1348"/>
      <c r="C4502" s="1348"/>
      <c r="D4502" s="1348"/>
      <c r="E4502" s="1348"/>
      <c r="F4502" s="1348"/>
      <c r="G4502" s="1348"/>
      <c r="H4502" s="1348"/>
      <c r="I4502" s="1348"/>
      <c r="J4502" s="1348"/>
      <c r="K4502" s="1348"/>
    </row>
    <row r="4503" spans="2:11" hidden="1">
      <c r="B4503" s="1348"/>
      <c r="C4503" s="1348"/>
      <c r="D4503" s="1348"/>
      <c r="E4503" s="1348"/>
      <c r="F4503" s="1348"/>
      <c r="G4503" s="1348"/>
      <c r="H4503" s="1348"/>
      <c r="I4503" s="1348"/>
      <c r="J4503" s="1348"/>
      <c r="K4503" s="1348"/>
    </row>
    <row r="4504" spans="2:11" hidden="1">
      <c r="B4504" s="1348"/>
      <c r="C4504" s="1348"/>
      <c r="D4504" s="1348"/>
      <c r="E4504" s="1348"/>
      <c r="F4504" s="1348"/>
      <c r="G4504" s="1348"/>
      <c r="H4504" s="1348"/>
      <c r="I4504" s="1348"/>
      <c r="J4504" s="1348"/>
      <c r="K4504" s="1348"/>
    </row>
    <row r="4505" spans="2:11" hidden="1">
      <c r="B4505" s="1348"/>
      <c r="C4505" s="1348"/>
      <c r="D4505" s="1348"/>
      <c r="E4505" s="1348"/>
      <c r="F4505" s="1348"/>
      <c r="G4505" s="1348"/>
      <c r="H4505" s="1348"/>
      <c r="I4505" s="1348"/>
      <c r="J4505" s="1348"/>
      <c r="K4505" s="1348"/>
    </row>
    <row r="4506" spans="2:11" hidden="1">
      <c r="B4506" s="1348"/>
      <c r="C4506" s="1348"/>
      <c r="D4506" s="1348"/>
      <c r="E4506" s="1348"/>
      <c r="F4506" s="1348"/>
      <c r="G4506" s="1348"/>
      <c r="H4506" s="1348"/>
      <c r="I4506" s="1348"/>
      <c r="J4506" s="1348"/>
      <c r="K4506" s="1348"/>
    </row>
    <row r="4507" spans="2:11" hidden="1">
      <c r="B4507" s="1348"/>
      <c r="C4507" s="1348"/>
      <c r="D4507" s="1348"/>
      <c r="E4507" s="1348"/>
      <c r="F4507" s="1348"/>
      <c r="G4507" s="1348"/>
      <c r="H4507" s="1348"/>
      <c r="I4507" s="1348"/>
      <c r="J4507" s="1348"/>
      <c r="K4507" s="1348"/>
    </row>
    <row r="4508" spans="2:11" hidden="1">
      <c r="B4508" s="1348"/>
      <c r="C4508" s="1348"/>
      <c r="D4508" s="1348"/>
      <c r="E4508" s="1348"/>
      <c r="F4508" s="1348"/>
      <c r="G4508" s="1348"/>
      <c r="H4508" s="1348"/>
      <c r="I4508" s="1348"/>
      <c r="J4508" s="1348"/>
      <c r="K4508" s="1348"/>
    </row>
    <row r="4509" spans="2:11" hidden="1">
      <c r="B4509" s="1348"/>
      <c r="C4509" s="1348"/>
      <c r="D4509" s="1348"/>
      <c r="E4509" s="1348"/>
      <c r="F4509" s="1348"/>
      <c r="G4509" s="1348"/>
      <c r="H4509" s="1348"/>
      <c r="I4509" s="1348"/>
      <c r="J4509" s="1348"/>
      <c r="K4509" s="1348"/>
    </row>
    <row r="4510" spans="2:11" hidden="1">
      <c r="B4510" s="1348"/>
      <c r="C4510" s="1348"/>
      <c r="D4510" s="1348"/>
      <c r="E4510" s="1348"/>
      <c r="F4510" s="1348"/>
      <c r="G4510" s="1348"/>
      <c r="H4510" s="1348"/>
      <c r="I4510" s="1348"/>
      <c r="J4510" s="1348"/>
      <c r="K4510" s="1348"/>
    </row>
    <row r="4511" spans="2:11" hidden="1">
      <c r="B4511" s="1348"/>
      <c r="C4511" s="1348"/>
      <c r="D4511" s="1348"/>
      <c r="E4511" s="1348"/>
      <c r="F4511" s="1348"/>
      <c r="G4511" s="1348"/>
      <c r="H4511" s="1348"/>
      <c r="I4511" s="1348"/>
      <c r="J4511" s="1348"/>
      <c r="K4511" s="1348"/>
    </row>
    <row r="4512" spans="2:11" hidden="1">
      <c r="B4512" s="1348"/>
      <c r="C4512" s="1348"/>
      <c r="D4512" s="1348"/>
      <c r="E4512" s="1348"/>
      <c r="F4512" s="1348"/>
      <c r="G4512" s="1348"/>
      <c r="H4512" s="1348"/>
      <c r="I4512" s="1348"/>
      <c r="J4512" s="1348"/>
      <c r="K4512" s="1348"/>
    </row>
    <row r="4513" spans="2:11" hidden="1">
      <c r="B4513" s="1348"/>
      <c r="C4513" s="1348"/>
      <c r="D4513" s="1348"/>
      <c r="E4513" s="1348"/>
      <c r="F4513" s="1348"/>
      <c r="G4513" s="1348"/>
      <c r="H4513" s="1348"/>
      <c r="I4513" s="1348"/>
      <c r="J4513" s="1348"/>
      <c r="K4513" s="1348"/>
    </row>
    <row r="4514" spans="2:11" hidden="1">
      <c r="B4514" s="1348"/>
      <c r="C4514" s="1348"/>
      <c r="D4514" s="1348"/>
      <c r="E4514" s="1348"/>
      <c r="F4514" s="1348"/>
      <c r="G4514" s="1348"/>
      <c r="H4514" s="1348"/>
      <c r="I4514" s="1348"/>
      <c r="J4514" s="1348"/>
      <c r="K4514" s="1348"/>
    </row>
    <row r="4515" spans="2:11" hidden="1">
      <c r="B4515" s="1348"/>
      <c r="C4515" s="1348"/>
      <c r="D4515" s="1348"/>
      <c r="E4515" s="1348"/>
      <c r="F4515" s="1348"/>
      <c r="G4515" s="1348"/>
      <c r="H4515" s="1348"/>
      <c r="I4515" s="1348"/>
      <c r="J4515" s="1348"/>
      <c r="K4515" s="1348"/>
    </row>
    <row r="4516" spans="2:11" hidden="1">
      <c r="B4516" s="1348"/>
      <c r="C4516" s="1348"/>
      <c r="D4516" s="1348"/>
      <c r="E4516" s="1348"/>
      <c r="F4516" s="1348"/>
      <c r="G4516" s="1348"/>
      <c r="H4516" s="1348"/>
      <c r="I4516" s="1348"/>
      <c r="J4516" s="1348"/>
      <c r="K4516" s="1348"/>
    </row>
    <row r="4517" spans="2:11" hidden="1">
      <c r="B4517" s="1348"/>
      <c r="C4517" s="1348"/>
      <c r="D4517" s="1348"/>
      <c r="E4517" s="1348"/>
      <c r="F4517" s="1348"/>
      <c r="G4517" s="1348"/>
      <c r="H4517" s="1348"/>
      <c r="I4517" s="1348"/>
      <c r="J4517" s="1348"/>
      <c r="K4517" s="1348"/>
    </row>
    <row r="4518" spans="2:11" hidden="1">
      <c r="B4518" s="1348"/>
      <c r="C4518" s="1348"/>
      <c r="D4518" s="1348"/>
      <c r="E4518" s="1348"/>
      <c r="F4518" s="1348"/>
      <c r="G4518" s="1348"/>
      <c r="H4518" s="1348"/>
      <c r="I4518" s="1348"/>
      <c r="J4518" s="1348"/>
      <c r="K4518" s="1348"/>
    </row>
    <row r="4519" spans="2:11" hidden="1">
      <c r="B4519" s="1348"/>
      <c r="C4519" s="1348"/>
      <c r="D4519" s="1348"/>
      <c r="E4519" s="1348"/>
      <c r="F4519" s="1348"/>
      <c r="G4519" s="1348"/>
      <c r="H4519" s="1348"/>
      <c r="I4519" s="1348"/>
      <c r="J4519" s="1348"/>
      <c r="K4519" s="1348"/>
    </row>
    <row r="4520" spans="2:11" hidden="1">
      <c r="B4520" s="1348"/>
      <c r="C4520" s="1348"/>
      <c r="D4520" s="1348"/>
      <c r="E4520" s="1348"/>
      <c r="F4520" s="1348"/>
      <c r="G4520" s="1348"/>
      <c r="H4520" s="1348"/>
      <c r="I4520" s="1348"/>
      <c r="J4520" s="1348"/>
      <c r="K4520" s="1348"/>
    </row>
    <row r="4521" spans="2:11" hidden="1">
      <c r="B4521" s="1348"/>
      <c r="C4521" s="1348"/>
      <c r="D4521" s="1348"/>
      <c r="E4521" s="1348"/>
      <c r="F4521" s="1348"/>
      <c r="G4521" s="1348"/>
      <c r="H4521" s="1348"/>
      <c r="I4521" s="1348"/>
      <c r="J4521" s="1348"/>
      <c r="K4521" s="1348"/>
    </row>
    <row r="4522" spans="2:11" hidden="1">
      <c r="B4522" s="1348"/>
      <c r="C4522" s="1348"/>
      <c r="D4522" s="1348"/>
      <c r="E4522" s="1348"/>
      <c r="F4522" s="1348"/>
      <c r="G4522" s="1348"/>
      <c r="H4522" s="1348"/>
      <c r="I4522" s="1348"/>
      <c r="J4522" s="1348"/>
      <c r="K4522" s="1348"/>
    </row>
    <row r="4523" spans="2:11" hidden="1">
      <c r="B4523" s="1348"/>
      <c r="C4523" s="1348"/>
      <c r="D4523" s="1348"/>
      <c r="E4523" s="1348"/>
      <c r="F4523" s="1348"/>
      <c r="G4523" s="1348"/>
      <c r="H4523" s="1348"/>
      <c r="I4523" s="1348"/>
      <c r="J4523" s="1348"/>
      <c r="K4523" s="1348"/>
    </row>
    <row r="4524" spans="2:11" hidden="1">
      <c r="B4524" s="1348"/>
      <c r="C4524" s="1348"/>
      <c r="D4524" s="1348"/>
      <c r="E4524" s="1348"/>
      <c r="F4524" s="1348"/>
      <c r="G4524" s="1348"/>
      <c r="H4524" s="1348"/>
      <c r="I4524" s="1348"/>
      <c r="J4524" s="1348"/>
      <c r="K4524" s="1348"/>
    </row>
    <row r="4525" spans="2:11" hidden="1">
      <c r="B4525" s="1348"/>
      <c r="C4525" s="1348"/>
      <c r="D4525" s="1348"/>
      <c r="E4525" s="1348"/>
      <c r="F4525" s="1348"/>
      <c r="G4525" s="1348"/>
      <c r="H4525" s="1348"/>
      <c r="I4525" s="1348"/>
      <c r="J4525" s="1348"/>
      <c r="K4525" s="1348"/>
    </row>
    <row r="4526" spans="2:11" hidden="1">
      <c r="B4526" s="1348"/>
      <c r="C4526" s="1348"/>
      <c r="D4526" s="1348"/>
      <c r="E4526" s="1348"/>
      <c r="F4526" s="1348"/>
      <c r="G4526" s="1348"/>
      <c r="H4526" s="1348"/>
      <c r="I4526" s="1348"/>
      <c r="J4526" s="1348"/>
      <c r="K4526" s="1348"/>
    </row>
    <row r="4527" spans="2:11" hidden="1">
      <c r="B4527" s="1348"/>
      <c r="C4527" s="1348"/>
      <c r="D4527" s="1348"/>
      <c r="E4527" s="1348"/>
      <c r="F4527" s="1348"/>
      <c r="G4527" s="1348"/>
      <c r="H4527" s="1348"/>
      <c r="I4527" s="1348"/>
      <c r="J4527" s="1348"/>
      <c r="K4527" s="1348"/>
    </row>
    <row r="4528" spans="2:11" hidden="1">
      <c r="B4528" s="1348"/>
      <c r="C4528" s="1348"/>
      <c r="D4528" s="1348"/>
      <c r="E4528" s="1348"/>
      <c r="F4528" s="1348"/>
      <c r="G4528" s="1348"/>
      <c r="H4528" s="1348"/>
      <c r="I4528" s="1348"/>
      <c r="J4528" s="1348"/>
      <c r="K4528" s="1348"/>
    </row>
    <row r="4529" spans="2:11" hidden="1">
      <c r="B4529" s="1348"/>
      <c r="C4529" s="1348"/>
      <c r="D4529" s="1348"/>
      <c r="E4529" s="1348"/>
      <c r="F4529" s="1348"/>
      <c r="G4529" s="1348"/>
      <c r="H4529" s="1348"/>
      <c r="I4529" s="1348"/>
      <c r="J4529" s="1348"/>
      <c r="K4529" s="1348"/>
    </row>
    <row r="4530" spans="2:11" hidden="1">
      <c r="B4530" s="1348"/>
      <c r="C4530" s="1348"/>
      <c r="D4530" s="1348"/>
      <c r="E4530" s="1348"/>
      <c r="F4530" s="1348"/>
      <c r="G4530" s="1348"/>
      <c r="H4530" s="1348"/>
      <c r="I4530" s="1348"/>
      <c r="J4530" s="1348"/>
      <c r="K4530" s="1348"/>
    </row>
    <row r="4531" spans="2:11" hidden="1">
      <c r="B4531" s="1348"/>
      <c r="C4531" s="1348"/>
      <c r="D4531" s="1348"/>
      <c r="E4531" s="1348"/>
      <c r="F4531" s="1348"/>
      <c r="G4531" s="1348"/>
      <c r="H4531" s="1348"/>
      <c r="I4531" s="1348"/>
      <c r="J4531" s="1348"/>
      <c r="K4531" s="1348"/>
    </row>
    <row r="4532" spans="2:11" hidden="1">
      <c r="B4532" s="1348"/>
      <c r="C4532" s="1348"/>
      <c r="D4532" s="1348"/>
      <c r="E4532" s="1348"/>
      <c r="F4532" s="1348"/>
      <c r="G4532" s="1348"/>
      <c r="H4532" s="1348"/>
      <c r="I4532" s="1348"/>
      <c r="J4532" s="1348"/>
      <c r="K4532" s="1348"/>
    </row>
    <row r="4533" spans="2:11" hidden="1">
      <c r="B4533" s="1348"/>
      <c r="C4533" s="1348"/>
      <c r="D4533" s="1348"/>
      <c r="E4533" s="1348"/>
      <c r="F4533" s="1348"/>
      <c r="G4533" s="1348"/>
      <c r="H4533" s="1348"/>
      <c r="I4533" s="1348"/>
      <c r="J4533" s="1348"/>
      <c r="K4533" s="1348"/>
    </row>
    <row r="4534" spans="2:11" hidden="1">
      <c r="B4534" s="1348"/>
      <c r="C4534" s="1348"/>
      <c r="D4534" s="1348"/>
      <c r="E4534" s="1348"/>
      <c r="F4534" s="1348"/>
      <c r="G4534" s="1348"/>
      <c r="H4534" s="1348"/>
      <c r="I4534" s="1348"/>
      <c r="J4534" s="1348"/>
      <c r="K4534" s="1348"/>
    </row>
    <row r="4535" spans="2:11" hidden="1">
      <c r="B4535" s="1348"/>
      <c r="C4535" s="1348"/>
      <c r="D4535" s="1348"/>
      <c r="E4535" s="1348"/>
      <c r="F4535" s="1348"/>
      <c r="G4535" s="1348"/>
      <c r="H4535" s="1348"/>
      <c r="I4535" s="1348"/>
      <c r="J4535" s="1348"/>
      <c r="K4535" s="1348"/>
    </row>
    <row r="4536" spans="2:11" hidden="1">
      <c r="B4536" s="1348"/>
      <c r="C4536" s="1348"/>
      <c r="D4536" s="1348"/>
      <c r="E4536" s="1348"/>
      <c r="F4536" s="1348"/>
      <c r="G4536" s="1348"/>
      <c r="H4536" s="1348"/>
      <c r="I4536" s="1348"/>
      <c r="J4536" s="1348"/>
      <c r="K4536" s="1348"/>
    </row>
    <row r="4537" spans="2:11" hidden="1">
      <c r="B4537" s="1348"/>
      <c r="C4537" s="1348"/>
      <c r="D4537" s="1348"/>
      <c r="E4537" s="1348"/>
      <c r="F4537" s="1348"/>
      <c r="G4537" s="1348"/>
      <c r="H4537" s="1348"/>
      <c r="I4537" s="1348"/>
      <c r="J4537" s="1348"/>
      <c r="K4537" s="1348"/>
    </row>
    <row r="4538" spans="2:11" hidden="1">
      <c r="B4538" s="1348"/>
      <c r="C4538" s="1348"/>
      <c r="D4538" s="1348"/>
      <c r="E4538" s="1348"/>
      <c r="F4538" s="1348"/>
      <c r="G4538" s="1348"/>
      <c r="H4538" s="1348"/>
      <c r="I4538" s="1348"/>
      <c r="J4538" s="1348"/>
      <c r="K4538" s="1348"/>
    </row>
    <row r="4539" spans="2:11" hidden="1">
      <c r="B4539" s="1348"/>
      <c r="C4539" s="1348"/>
      <c r="D4539" s="1348"/>
      <c r="E4539" s="1348"/>
      <c r="F4539" s="1348"/>
      <c r="G4539" s="1348"/>
      <c r="H4539" s="1348"/>
      <c r="I4539" s="1348"/>
      <c r="J4539" s="1348"/>
      <c r="K4539" s="1348"/>
    </row>
    <row r="4540" spans="2:11" hidden="1">
      <c r="B4540" s="1348"/>
      <c r="C4540" s="1348"/>
      <c r="D4540" s="1348"/>
      <c r="E4540" s="1348"/>
      <c r="F4540" s="1348"/>
      <c r="G4540" s="1348"/>
      <c r="H4540" s="1348"/>
      <c r="I4540" s="1348"/>
      <c r="J4540" s="1348"/>
      <c r="K4540" s="1348"/>
    </row>
    <row r="4541" spans="2:11" hidden="1">
      <c r="B4541" s="1348"/>
      <c r="C4541" s="1348"/>
      <c r="D4541" s="1348"/>
      <c r="E4541" s="1348"/>
      <c r="F4541" s="1348"/>
      <c r="G4541" s="1348"/>
      <c r="H4541" s="1348"/>
      <c r="I4541" s="1348"/>
      <c r="J4541" s="1348"/>
      <c r="K4541" s="1348"/>
    </row>
    <row r="4542" spans="2:11" hidden="1">
      <c r="B4542" s="1348"/>
      <c r="C4542" s="1348"/>
      <c r="D4542" s="1348"/>
      <c r="E4542" s="1348"/>
      <c r="F4542" s="1348"/>
      <c r="G4542" s="1348"/>
      <c r="H4542" s="1348"/>
      <c r="I4542" s="1348"/>
      <c r="J4542" s="1348"/>
      <c r="K4542" s="1348"/>
    </row>
    <row r="4543" spans="2:11" hidden="1">
      <c r="B4543" s="1348"/>
      <c r="C4543" s="1348"/>
      <c r="D4543" s="1348"/>
      <c r="E4543" s="1348"/>
      <c r="F4543" s="1348"/>
      <c r="G4543" s="1348"/>
      <c r="H4543" s="1348"/>
      <c r="I4543" s="1348"/>
      <c r="J4543" s="1348"/>
      <c r="K4543" s="1348"/>
    </row>
    <row r="4544" spans="2:11" hidden="1">
      <c r="B4544" s="1348"/>
      <c r="C4544" s="1348"/>
      <c r="D4544" s="1348"/>
      <c r="E4544" s="1348"/>
      <c r="F4544" s="1348"/>
      <c r="G4544" s="1348"/>
      <c r="H4544" s="1348"/>
      <c r="I4544" s="1348"/>
      <c r="J4544" s="1348"/>
      <c r="K4544" s="1348"/>
    </row>
    <row r="4545" spans="2:11" hidden="1">
      <c r="B4545" s="1348"/>
      <c r="C4545" s="1348"/>
      <c r="D4545" s="1348"/>
      <c r="E4545" s="1348"/>
      <c r="F4545" s="1348"/>
      <c r="G4545" s="1348"/>
      <c r="H4545" s="1348"/>
      <c r="I4545" s="1348"/>
      <c r="J4545" s="1348"/>
      <c r="K4545" s="1348"/>
    </row>
    <row r="4546" spans="2:11" hidden="1">
      <c r="B4546" s="1348"/>
      <c r="C4546" s="1348"/>
      <c r="D4546" s="1348"/>
      <c r="E4546" s="1348"/>
      <c r="F4546" s="1348"/>
      <c r="G4546" s="1348"/>
      <c r="H4546" s="1348"/>
      <c r="I4546" s="1348"/>
      <c r="J4546" s="1348"/>
      <c r="K4546" s="1348"/>
    </row>
    <row r="4547" spans="2:11" hidden="1">
      <c r="B4547" s="1348"/>
      <c r="C4547" s="1348"/>
      <c r="D4547" s="1348"/>
      <c r="E4547" s="1348"/>
      <c r="F4547" s="1348"/>
      <c r="G4547" s="1348"/>
      <c r="H4547" s="1348"/>
      <c r="I4547" s="1348"/>
      <c r="J4547" s="1348"/>
      <c r="K4547" s="1348"/>
    </row>
    <row r="4548" spans="2:11" hidden="1">
      <c r="B4548" s="1348"/>
      <c r="C4548" s="1348"/>
      <c r="D4548" s="1348"/>
      <c r="E4548" s="1348"/>
      <c r="F4548" s="1348"/>
      <c r="G4548" s="1348"/>
      <c r="H4548" s="1348"/>
      <c r="I4548" s="1348"/>
      <c r="J4548" s="1348"/>
      <c r="K4548" s="1348"/>
    </row>
    <row r="4549" spans="2:11" hidden="1">
      <c r="B4549" s="1348"/>
      <c r="C4549" s="1348"/>
      <c r="D4549" s="1348"/>
      <c r="E4549" s="1348"/>
      <c r="F4549" s="1348"/>
      <c r="G4549" s="1348"/>
      <c r="H4549" s="1348"/>
      <c r="I4549" s="1348"/>
      <c r="J4549" s="1348"/>
      <c r="K4549" s="1348"/>
    </row>
    <row r="4550" spans="2:11" hidden="1">
      <c r="B4550" s="1348"/>
      <c r="C4550" s="1348"/>
      <c r="D4550" s="1348"/>
      <c r="E4550" s="1348"/>
      <c r="F4550" s="1348"/>
      <c r="G4550" s="1348"/>
      <c r="H4550" s="1348"/>
      <c r="I4550" s="1348"/>
      <c r="J4550" s="1348"/>
      <c r="K4550" s="1348"/>
    </row>
    <row r="4551" spans="2:11" hidden="1">
      <c r="B4551" s="1348"/>
      <c r="C4551" s="1348"/>
      <c r="D4551" s="1348"/>
      <c r="E4551" s="1348"/>
      <c r="F4551" s="1348"/>
      <c r="G4551" s="1348"/>
      <c r="H4551" s="1348"/>
      <c r="I4551" s="1348"/>
      <c r="J4551" s="1348"/>
      <c r="K4551" s="1348"/>
    </row>
    <row r="4552" spans="2:11" hidden="1">
      <c r="B4552" s="1348"/>
      <c r="C4552" s="1348"/>
      <c r="D4552" s="1348"/>
      <c r="E4552" s="1348"/>
      <c r="F4552" s="1348"/>
      <c r="G4552" s="1348"/>
      <c r="H4552" s="1348"/>
      <c r="I4552" s="1348"/>
      <c r="J4552" s="1348"/>
      <c r="K4552" s="1348"/>
    </row>
    <row r="4553" spans="2:11" hidden="1">
      <c r="B4553" s="1348"/>
      <c r="C4553" s="1348"/>
      <c r="D4553" s="1348"/>
      <c r="E4553" s="1348"/>
      <c r="F4553" s="1348"/>
      <c r="G4553" s="1348"/>
      <c r="H4553" s="1348"/>
      <c r="I4553" s="1348"/>
      <c r="J4553" s="1348"/>
      <c r="K4553" s="1348"/>
    </row>
    <row r="4554" spans="2:11" hidden="1">
      <c r="B4554" s="1348"/>
      <c r="C4554" s="1348"/>
      <c r="D4554" s="1348"/>
      <c r="E4554" s="1348"/>
      <c r="F4554" s="1348"/>
      <c r="G4554" s="1348"/>
      <c r="H4554" s="1348"/>
      <c r="I4554" s="1348"/>
      <c r="J4554" s="1348"/>
      <c r="K4554" s="1348"/>
    </row>
    <row r="4555" spans="2:11" hidden="1">
      <c r="B4555" s="1348"/>
      <c r="C4555" s="1348"/>
      <c r="D4555" s="1348"/>
      <c r="E4555" s="1348"/>
      <c r="F4555" s="1348"/>
      <c r="G4555" s="1348"/>
      <c r="H4555" s="1348"/>
      <c r="I4555" s="1348"/>
      <c r="J4555" s="1348"/>
      <c r="K4555" s="1348"/>
    </row>
    <row r="4556" spans="2:11" hidden="1">
      <c r="B4556" s="1348"/>
      <c r="C4556" s="1348"/>
      <c r="D4556" s="1348"/>
      <c r="E4556" s="1348"/>
      <c r="F4556" s="1348"/>
      <c r="G4556" s="1348"/>
      <c r="H4556" s="1348"/>
      <c r="I4556" s="1348"/>
      <c r="J4556" s="1348"/>
      <c r="K4556" s="1348"/>
    </row>
    <row r="4557" spans="2:11" hidden="1">
      <c r="B4557" s="1348"/>
      <c r="C4557" s="1348"/>
      <c r="D4557" s="1348"/>
      <c r="E4557" s="1348"/>
      <c r="F4557" s="1348"/>
      <c r="G4557" s="1348"/>
      <c r="H4557" s="1348"/>
      <c r="I4557" s="1348"/>
      <c r="J4557" s="1348"/>
      <c r="K4557" s="1348"/>
    </row>
    <row r="4558" spans="2:11" hidden="1">
      <c r="B4558" s="1348"/>
      <c r="C4558" s="1348"/>
      <c r="D4558" s="1348"/>
      <c r="E4558" s="1348"/>
      <c r="F4558" s="1348"/>
      <c r="G4558" s="1348"/>
      <c r="H4558" s="1348"/>
      <c r="I4558" s="1348"/>
      <c r="J4558" s="1348"/>
      <c r="K4558" s="1348"/>
    </row>
    <row r="4559" spans="2:11" hidden="1">
      <c r="B4559" s="1348"/>
      <c r="C4559" s="1348"/>
      <c r="D4559" s="1348"/>
      <c r="E4559" s="1348"/>
      <c r="F4559" s="1348"/>
      <c r="G4559" s="1348"/>
      <c r="H4559" s="1348"/>
      <c r="I4559" s="1348"/>
      <c r="J4559" s="1348"/>
      <c r="K4559" s="1348"/>
    </row>
    <row r="4560" spans="2:11" hidden="1">
      <c r="B4560" s="1348"/>
      <c r="C4560" s="1348"/>
      <c r="D4560" s="1348"/>
      <c r="E4560" s="1348"/>
      <c r="F4560" s="1348"/>
      <c r="G4560" s="1348"/>
      <c r="H4560" s="1348"/>
      <c r="I4560" s="1348"/>
      <c r="J4560" s="1348"/>
      <c r="K4560" s="1348"/>
    </row>
    <row r="4561" spans="2:11" hidden="1">
      <c r="B4561" s="1348"/>
      <c r="C4561" s="1348"/>
      <c r="D4561" s="1348"/>
      <c r="E4561" s="1348"/>
      <c r="F4561" s="1348"/>
      <c r="G4561" s="1348"/>
      <c r="H4561" s="1348"/>
      <c r="I4561" s="1348"/>
      <c r="J4561" s="1348"/>
      <c r="K4561" s="1348"/>
    </row>
    <row r="4562" spans="2:11" hidden="1">
      <c r="B4562" s="1348"/>
      <c r="C4562" s="1348"/>
      <c r="D4562" s="1348"/>
      <c r="E4562" s="1348"/>
      <c r="F4562" s="1348"/>
      <c r="G4562" s="1348"/>
      <c r="H4562" s="1348"/>
      <c r="I4562" s="1348"/>
      <c r="J4562" s="1348"/>
      <c r="K4562" s="1348"/>
    </row>
    <row r="4563" spans="2:11" hidden="1">
      <c r="B4563" s="1348"/>
      <c r="C4563" s="1348"/>
      <c r="D4563" s="1348"/>
      <c r="E4563" s="1348"/>
      <c r="F4563" s="1348"/>
      <c r="G4563" s="1348"/>
      <c r="H4563" s="1348"/>
      <c r="I4563" s="1348"/>
      <c r="J4563" s="1348"/>
      <c r="K4563" s="1348"/>
    </row>
    <row r="4564" spans="2:11" hidden="1">
      <c r="B4564" s="1348"/>
      <c r="C4564" s="1348"/>
      <c r="D4564" s="1348"/>
      <c r="E4564" s="1348"/>
      <c r="F4564" s="1348"/>
      <c r="G4564" s="1348"/>
      <c r="H4564" s="1348"/>
      <c r="I4564" s="1348"/>
      <c r="J4564" s="1348"/>
      <c r="K4564" s="1348"/>
    </row>
    <row r="4565" spans="2:11" hidden="1">
      <c r="B4565" s="1348"/>
      <c r="C4565" s="1348"/>
      <c r="D4565" s="1348"/>
      <c r="E4565" s="1348"/>
      <c r="F4565" s="1348"/>
      <c r="G4565" s="1348"/>
      <c r="H4565" s="1348"/>
      <c r="I4565" s="1348"/>
      <c r="J4565" s="1348"/>
      <c r="K4565" s="1348"/>
    </row>
    <row r="4566" spans="2:11" hidden="1">
      <c r="B4566" s="1348"/>
      <c r="C4566" s="1348"/>
      <c r="D4566" s="1348"/>
      <c r="E4566" s="1348"/>
      <c r="F4566" s="1348"/>
      <c r="G4566" s="1348"/>
      <c r="H4566" s="1348"/>
      <c r="I4566" s="1348"/>
      <c r="J4566" s="1348"/>
      <c r="K4566" s="1348"/>
    </row>
    <row r="4567" spans="2:11" hidden="1">
      <c r="B4567" s="1348"/>
      <c r="C4567" s="1348"/>
      <c r="D4567" s="1348"/>
      <c r="E4567" s="1348"/>
      <c r="F4567" s="1348"/>
      <c r="G4567" s="1348"/>
      <c r="H4567" s="1348"/>
      <c r="I4567" s="1348"/>
      <c r="J4567" s="1348"/>
      <c r="K4567" s="1348"/>
    </row>
    <row r="4568" spans="2:11" hidden="1">
      <c r="B4568" s="1348"/>
      <c r="C4568" s="1348"/>
      <c r="D4568" s="1348"/>
      <c r="E4568" s="1348"/>
      <c r="F4568" s="1348"/>
      <c r="G4568" s="1348"/>
      <c r="H4568" s="1348"/>
      <c r="I4568" s="1348"/>
      <c r="J4568" s="1348"/>
      <c r="K4568" s="1348"/>
    </row>
    <row r="4569" spans="2:11" hidden="1">
      <c r="B4569" s="1348"/>
      <c r="C4569" s="1348"/>
      <c r="D4569" s="1348"/>
      <c r="E4569" s="1348"/>
      <c r="F4569" s="1348"/>
      <c r="G4569" s="1348"/>
      <c r="H4569" s="1348"/>
      <c r="I4569" s="1348"/>
      <c r="J4569" s="1348"/>
      <c r="K4569" s="1348"/>
    </row>
    <row r="4570" spans="2:11" hidden="1">
      <c r="B4570" s="1348"/>
      <c r="C4570" s="1348"/>
      <c r="D4570" s="1348"/>
      <c r="E4570" s="1348"/>
      <c r="F4570" s="1348"/>
      <c r="G4570" s="1348"/>
      <c r="H4570" s="1348"/>
      <c r="I4570" s="1348"/>
      <c r="J4570" s="1348"/>
      <c r="K4570" s="1348"/>
    </row>
    <row r="4571" spans="2:11" hidden="1">
      <c r="B4571" s="1348"/>
      <c r="C4571" s="1348"/>
      <c r="D4571" s="1348"/>
      <c r="E4571" s="1348"/>
      <c r="F4571" s="1348"/>
      <c r="G4571" s="1348"/>
      <c r="H4571" s="1348"/>
      <c r="I4571" s="1348"/>
      <c r="J4571" s="1348"/>
      <c r="K4571" s="1348"/>
    </row>
    <row r="4572" spans="2:11" hidden="1">
      <c r="B4572" s="1348"/>
      <c r="C4572" s="1348"/>
      <c r="D4572" s="1348"/>
      <c r="E4572" s="1348"/>
      <c r="F4572" s="1348"/>
      <c r="G4572" s="1348"/>
      <c r="H4572" s="1348"/>
      <c r="I4572" s="1348"/>
      <c r="J4572" s="1348"/>
      <c r="K4572" s="1348"/>
    </row>
    <row r="4573" spans="2:11" hidden="1">
      <c r="B4573" s="1348"/>
      <c r="C4573" s="1348"/>
      <c r="D4573" s="1348"/>
      <c r="E4573" s="1348"/>
      <c r="F4573" s="1348"/>
      <c r="G4573" s="1348"/>
      <c r="H4573" s="1348"/>
      <c r="I4573" s="1348"/>
      <c r="J4573" s="1348"/>
      <c r="K4573" s="1348"/>
    </row>
    <row r="4574" spans="2:11" hidden="1">
      <c r="B4574" s="1348"/>
      <c r="C4574" s="1348"/>
      <c r="D4574" s="1348"/>
      <c r="E4574" s="1348"/>
      <c r="F4574" s="1348"/>
      <c r="G4574" s="1348"/>
      <c r="H4574" s="1348"/>
      <c r="I4574" s="1348"/>
      <c r="J4574" s="1348"/>
      <c r="K4574" s="1348"/>
    </row>
    <row r="4575" spans="2:11" hidden="1">
      <c r="B4575" s="1348"/>
      <c r="C4575" s="1348"/>
      <c r="D4575" s="1348"/>
      <c r="E4575" s="1348"/>
      <c r="F4575" s="1348"/>
      <c r="G4575" s="1348"/>
      <c r="H4575" s="1348"/>
      <c r="I4575" s="1348"/>
      <c r="J4575" s="1348"/>
      <c r="K4575" s="1348"/>
    </row>
    <row r="4576" spans="2:11" hidden="1">
      <c r="B4576" s="1348"/>
      <c r="C4576" s="1348"/>
      <c r="D4576" s="1348"/>
      <c r="E4576" s="1348"/>
      <c r="F4576" s="1348"/>
      <c r="G4576" s="1348"/>
      <c r="H4576" s="1348"/>
      <c r="I4576" s="1348"/>
      <c r="J4576" s="1348"/>
      <c r="K4576" s="1348"/>
    </row>
    <row r="4577" spans="2:11" hidden="1">
      <c r="B4577" s="1348"/>
      <c r="C4577" s="1348"/>
      <c r="D4577" s="1348"/>
      <c r="E4577" s="1348"/>
      <c r="F4577" s="1348"/>
      <c r="G4577" s="1348"/>
      <c r="H4577" s="1348"/>
      <c r="I4577" s="1348"/>
      <c r="J4577" s="1348"/>
      <c r="K4577" s="1348"/>
    </row>
    <row r="4578" spans="2:11" hidden="1">
      <c r="B4578" s="1348"/>
      <c r="C4578" s="1348"/>
      <c r="D4578" s="1348"/>
      <c r="E4578" s="1348"/>
      <c r="F4578" s="1348"/>
      <c r="G4578" s="1348"/>
      <c r="H4578" s="1348"/>
      <c r="I4578" s="1348"/>
      <c r="J4578" s="1348"/>
      <c r="K4578" s="1348"/>
    </row>
    <row r="4579" spans="2:11" hidden="1">
      <c r="B4579" s="1348"/>
      <c r="C4579" s="1348"/>
      <c r="D4579" s="1348"/>
      <c r="E4579" s="1348"/>
      <c r="F4579" s="1348"/>
      <c r="G4579" s="1348"/>
      <c r="H4579" s="1348"/>
      <c r="I4579" s="1348"/>
      <c r="J4579" s="1348"/>
      <c r="K4579" s="1348"/>
    </row>
    <row r="4580" spans="2:11" hidden="1">
      <c r="B4580" s="1348"/>
      <c r="C4580" s="1348"/>
      <c r="D4580" s="1348"/>
      <c r="E4580" s="1348"/>
      <c r="F4580" s="1348"/>
      <c r="G4580" s="1348"/>
      <c r="H4580" s="1348"/>
      <c r="I4580" s="1348"/>
      <c r="J4580" s="1348"/>
      <c r="K4580" s="1348"/>
    </row>
    <row r="4581" spans="2:11" hidden="1">
      <c r="B4581" s="1348"/>
      <c r="C4581" s="1348"/>
      <c r="D4581" s="1348"/>
      <c r="E4581" s="1348"/>
      <c r="F4581" s="1348"/>
      <c r="G4581" s="1348"/>
      <c r="H4581" s="1348"/>
      <c r="I4581" s="1348"/>
      <c r="J4581" s="1348"/>
      <c r="K4581" s="1348"/>
    </row>
    <row r="4582" spans="2:11" hidden="1">
      <c r="B4582" s="1348"/>
      <c r="C4582" s="1348"/>
      <c r="D4582" s="1348"/>
      <c r="E4582" s="1348"/>
      <c r="F4582" s="1348"/>
      <c r="G4582" s="1348"/>
      <c r="H4582" s="1348"/>
      <c r="I4582" s="1348"/>
      <c r="J4582" s="1348"/>
      <c r="K4582" s="1348"/>
    </row>
    <row r="4583" spans="2:11" hidden="1">
      <c r="B4583" s="1348"/>
      <c r="C4583" s="1348"/>
      <c r="D4583" s="1348"/>
      <c r="E4583" s="1348"/>
      <c r="F4583" s="1348"/>
      <c r="G4583" s="1348"/>
      <c r="H4583" s="1348"/>
      <c r="I4583" s="1348"/>
      <c r="J4583" s="1348"/>
      <c r="K4583" s="1348"/>
    </row>
    <row r="4584" spans="2:11" hidden="1">
      <c r="B4584" s="1348"/>
      <c r="C4584" s="1348"/>
      <c r="D4584" s="1348"/>
      <c r="E4584" s="1348"/>
      <c r="F4584" s="1348"/>
      <c r="G4584" s="1348"/>
      <c r="H4584" s="1348"/>
      <c r="I4584" s="1348"/>
      <c r="J4584" s="1348"/>
      <c r="K4584" s="1348"/>
    </row>
    <row r="4585" spans="2:11" hidden="1">
      <c r="B4585" s="1348"/>
      <c r="C4585" s="1348"/>
      <c r="D4585" s="1348"/>
      <c r="E4585" s="1348"/>
      <c r="F4585" s="1348"/>
      <c r="G4585" s="1348"/>
      <c r="H4585" s="1348"/>
      <c r="I4585" s="1348"/>
      <c r="J4585" s="1348"/>
      <c r="K4585" s="1348"/>
    </row>
    <row r="4586" spans="2:11" hidden="1">
      <c r="B4586" s="1348"/>
      <c r="C4586" s="1348"/>
      <c r="D4586" s="1348"/>
      <c r="E4586" s="1348"/>
      <c r="F4586" s="1348"/>
      <c r="G4586" s="1348"/>
      <c r="H4586" s="1348"/>
      <c r="I4586" s="1348"/>
      <c r="J4586" s="1348"/>
      <c r="K4586" s="1348"/>
    </row>
    <row r="4587" spans="2:11" hidden="1">
      <c r="B4587" s="1348"/>
      <c r="C4587" s="1348"/>
      <c r="D4587" s="1348"/>
      <c r="E4587" s="1348"/>
      <c r="F4587" s="1348"/>
      <c r="G4587" s="1348"/>
      <c r="H4587" s="1348"/>
      <c r="I4587" s="1348"/>
      <c r="J4587" s="1348"/>
      <c r="K4587" s="1348"/>
    </row>
    <row r="4588" spans="2:11" hidden="1">
      <c r="B4588" s="1348"/>
      <c r="C4588" s="1348"/>
      <c r="D4588" s="1348"/>
      <c r="E4588" s="1348"/>
      <c r="F4588" s="1348"/>
      <c r="G4588" s="1348"/>
      <c r="H4588" s="1348"/>
      <c r="I4588" s="1348"/>
      <c r="J4588" s="1348"/>
      <c r="K4588" s="1348"/>
    </row>
    <row r="4589" spans="2:11" hidden="1">
      <c r="B4589" s="1348"/>
      <c r="C4589" s="1348"/>
      <c r="D4589" s="1348"/>
      <c r="E4589" s="1348"/>
      <c r="F4589" s="1348"/>
      <c r="G4589" s="1348"/>
      <c r="H4589" s="1348"/>
      <c r="I4589" s="1348"/>
      <c r="J4589" s="1348"/>
      <c r="K4589" s="1348"/>
    </row>
    <row r="4590" spans="2:11" hidden="1">
      <c r="B4590" s="1348"/>
      <c r="C4590" s="1348"/>
      <c r="D4590" s="1348"/>
      <c r="E4590" s="1348"/>
      <c r="F4590" s="1348"/>
      <c r="G4590" s="1348"/>
      <c r="H4590" s="1348"/>
      <c r="I4590" s="1348"/>
      <c r="J4590" s="1348"/>
      <c r="K4590" s="1348"/>
    </row>
    <row r="4591" spans="2:11" hidden="1">
      <c r="B4591" s="1348"/>
      <c r="C4591" s="1348"/>
      <c r="D4591" s="1348"/>
      <c r="E4591" s="1348"/>
      <c r="F4591" s="1348"/>
      <c r="G4591" s="1348"/>
      <c r="H4591" s="1348"/>
      <c r="I4591" s="1348"/>
      <c r="J4591" s="1348"/>
      <c r="K4591" s="1348"/>
    </row>
    <row r="4592" spans="2:11" hidden="1">
      <c r="B4592" s="1348"/>
      <c r="C4592" s="1348"/>
      <c r="D4592" s="1348"/>
      <c r="E4592" s="1348"/>
      <c r="F4592" s="1348"/>
      <c r="G4592" s="1348"/>
      <c r="H4592" s="1348"/>
      <c r="I4592" s="1348"/>
      <c r="J4592" s="1348"/>
      <c r="K4592" s="1348"/>
    </row>
    <row r="4593" spans="2:11" hidden="1">
      <c r="B4593" s="1348"/>
      <c r="C4593" s="1348"/>
      <c r="D4593" s="1348"/>
      <c r="E4593" s="1348"/>
      <c r="F4593" s="1348"/>
      <c r="G4593" s="1348"/>
      <c r="H4593" s="1348"/>
      <c r="I4593" s="1348"/>
      <c r="J4593" s="1348"/>
      <c r="K4593" s="1348"/>
    </row>
    <row r="4594" spans="2:11" hidden="1">
      <c r="B4594" s="1348"/>
      <c r="C4594" s="1348"/>
      <c r="D4594" s="1348"/>
      <c r="E4594" s="1348"/>
      <c r="F4594" s="1348"/>
      <c r="G4594" s="1348"/>
      <c r="H4594" s="1348"/>
      <c r="I4594" s="1348"/>
      <c r="J4594" s="1348"/>
      <c r="K4594" s="1348"/>
    </row>
    <row r="4595" spans="2:11" hidden="1">
      <c r="B4595" s="1348"/>
      <c r="C4595" s="1348"/>
      <c r="D4595" s="1348"/>
      <c r="E4595" s="1348"/>
      <c r="F4595" s="1348"/>
      <c r="G4595" s="1348"/>
      <c r="H4595" s="1348"/>
      <c r="I4595" s="1348"/>
      <c r="J4595" s="1348"/>
      <c r="K4595" s="1348"/>
    </row>
    <row r="4596" spans="2:11" hidden="1">
      <c r="B4596" s="1348"/>
      <c r="C4596" s="1348"/>
      <c r="D4596" s="1348"/>
      <c r="E4596" s="1348"/>
      <c r="F4596" s="1348"/>
      <c r="G4596" s="1348"/>
      <c r="H4596" s="1348"/>
      <c r="I4596" s="1348"/>
      <c r="J4596" s="1348"/>
      <c r="K4596" s="1348"/>
    </row>
    <row r="4597" spans="2:11" hidden="1">
      <c r="B4597" s="1348"/>
      <c r="C4597" s="1348"/>
      <c r="D4597" s="1348"/>
      <c r="E4597" s="1348"/>
      <c r="F4597" s="1348"/>
      <c r="G4597" s="1348"/>
      <c r="H4597" s="1348"/>
      <c r="I4597" s="1348"/>
      <c r="J4597" s="1348"/>
      <c r="K4597" s="1348"/>
    </row>
    <row r="4598" spans="2:11" hidden="1">
      <c r="B4598" s="1348"/>
      <c r="C4598" s="1348"/>
      <c r="D4598" s="1348"/>
      <c r="E4598" s="1348"/>
      <c r="F4598" s="1348"/>
      <c r="G4598" s="1348"/>
      <c r="H4598" s="1348"/>
      <c r="I4598" s="1348"/>
      <c r="J4598" s="1348"/>
      <c r="K4598" s="1348"/>
    </row>
    <row r="4599" spans="2:11" hidden="1">
      <c r="B4599" s="1348"/>
      <c r="C4599" s="1348"/>
      <c r="D4599" s="1348"/>
      <c r="E4599" s="1348"/>
      <c r="F4599" s="1348"/>
      <c r="G4599" s="1348"/>
      <c r="H4599" s="1348"/>
      <c r="I4599" s="1348"/>
      <c r="J4599" s="1348"/>
      <c r="K4599" s="1348"/>
    </row>
    <row r="4600" spans="2:11" hidden="1">
      <c r="B4600" s="1348"/>
      <c r="C4600" s="1348"/>
      <c r="D4600" s="1348"/>
      <c r="E4600" s="1348"/>
      <c r="F4600" s="1348"/>
      <c r="G4600" s="1348"/>
      <c r="H4600" s="1348"/>
      <c r="I4600" s="1348"/>
      <c r="J4600" s="1348"/>
      <c r="K4600" s="1348"/>
    </row>
    <row r="4601" spans="2:11" hidden="1">
      <c r="B4601" s="1348"/>
      <c r="C4601" s="1348"/>
      <c r="D4601" s="1348"/>
      <c r="E4601" s="1348"/>
      <c r="F4601" s="1348"/>
      <c r="G4601" s="1348"/>
      <c r="H4601" s="1348"/>
      <c r="I4601" s="1348"/>
      <c r="J4601" s="1348"/>
      <c r="K4601" s="1348"/>
    </row>
    <row r="4602" spans="2:11" hidden="1">
      <c r="B4602" s="1348"/>
      <c r="C4602" s="1348"/>
      <c r="D4602" s="1348"/>
      <c r="E4602" s="1348"/>
      <c r="F4602" s="1348"/>
      <c r="G4602" s="1348"/>
      <c r="H4602" s="1348"/>
      <c r="I4602" s="1348"/>
      <c r="J4602" s="1348"/>
      <c r="K4602" s="1348"/>
    </row>
    <row r="4603" spans="2:11" hidden="1">
      <c r="B4603" s="1348"/>
      <c r="C4603" s="1348"/>
      <c r="D4603" s="1348"/>
      <c r="E4603" s="1348"/>
      <c r="F4603" s="1348"/>
      <c r="G4603" s="1348"/>
      <c r="H4603" s="1348"/>
      <c r="I4603" s="1348"/>
      <c r="J4603" s="1348"/>
      <c r="K4603" s="1348"/>
    </row>
    <row r="4604" spans="2:11" hidden="1">
      <c r="B4604" s="1348"/>
      <c r="C4604" s="1348"/>
      <c r="D4604" s="1348"/>
      <c r="E4604" s="1348"/>
      <c r="F4604" s="1348"/>
      <c r="G4604" s="1348"/>
      <c r="H4604" s="1348"/>
      <c r="I4604" s="1348"/>
      <c r="J4604" s="1348"/>
      <c r="K4604" s="1348"/>
    </row>
    <row r="4605" spans="2:11" hidden="1">
      <c r="B4605" s="1348"/>
      <c r="C4605" s="1348"/>
      <c r="D4605" s="1348"/>
      <c r="E4605" s="1348"/>
      <c r="F4605" s="1348"/>
      <c r="G4605" s="1348"/>
      <c r="H4605" s="1348"/>
      <c r="I4605" s="1348"/>
      <c r="J4605" s="1348"/>
      <c r="K4605" s="1348"/>
    </row>
    <row r="4606" spans="2:11" hidden="1">
      <c r="B4606" s="1348"/>
      <c r="C4606" s="1348"/>
      <c r="D4606" s="1348"/>
      <c r="E4606" s="1348"/>
      <c r="F4606" s="1348"/>
      <c r="G4606" s="1348"/>
      <c r="H4606" s="1348"/>
      <c r="I4606" s="1348"/>
      <c r="J4606" s="1348"/>
      <c r="K4606" s="1348"/>
    </row>
    <row r="4607" spans="2:11" hidden="1">
      <c r="B4607" s="1348"/>
      <c r="C4607" s="1348"/>
      <c r="D4607" s="1348"/>
      <c r="E4607" s="1348"/>
      <c r="F4607" s="1348"/>
      <c r="G4607" s="1348"/>
      <c r="H4607" s="1348"/>
      <c r="I4607" s="1348"/>
      <c r="J4607" s="1348"/>
      <c r="K4607" s="1348"/>
    </row>
    <row r="4608" spans="2:11" hidden="1">
      <c r="B4608" s="1348"/>
      <c r="C4608" s="1348"/>
      <c r="D4608" s="1348"/>
      <c r="E4608" s="1348"/>
      <c r="F4608" s="1348"/>
      <c r="G4608" s="1348"/>
      <c r="H4608" s="1348"/>
      <c r="I4608" s="1348"/>
      <c r="J4608" s="1348"/>
      <c r="K4608" s="1348"/>
    </row>
    <row r="4609" spans="2:11" hidden="1">
      <c r="B4609" s="1348"/>
      <c r="C4609" s="1348"/>
      <c r="D4609" s="1348"/>
      <c r="E4609" s="1348"/>
      <c r="F4609" s="1348"/>
      <c r="G4609" s="1348"/>
      <c r="H4609" s="1348"/>
      <c r="I4609" s="1348"/>
      <c r="J4609" s="1348"/>
      <c r="K4609" s="1348"/>
    </row>
    <row r="4610" spans="2:11" hidden="1">
      <c r="B4610" s="1348"/>
      <c r="C4610" s="1348"/>
      <c r="D4610" s="1348"/>
      <c r="E4610" s="1348"/>
      <c r="F4610" s="1348"/>
      <c r="G4610" s="1348"/>
      <c r="H4610" s="1348"/>
      <c r="I4610" s="1348"/>
      <c r="J4610" s="1348"/>
      <c r="K4610" s="1348"/>
    </row>
    <row r="4611" spans="2:11" hidden="1">
      <c r="B4611" s="1348"/>
      <c r="C4611" s="1348"/>
      <c r="D4611" s="1348"/>
      <c r="E4611" s="1348"/>
      <c r="F4611" s="1348"/>
      <c r="G4611" s="1348"/>
      <c r="H4611" s="1348"/>
      <c r="I4611" s="1348"/>
      <c r="J4611" s="1348"/>
      <c r="K4611" s="1348"/>
    </row>
    <row r="4612" spans="2:11" hidden="1">
      <c r="B4612" s="1348"/>
      <c r="C4612" s="1348"/>
      <c r="D4612" s="1348"/>
      <c r="E4612" s="1348"/>
      <c r="F4612" s="1348"/>
      <c r="G4612" s="1348"/>
      <c r="H4612" s="1348"/>
      <c r="I4612" s="1348"/>
      <c r="J4612" s="1348"/>
      <c r="K4612" s="1348"/>
    </row>
    <row r="4613" spans="2:11" hidden="1">
      <c r="B4613" s="1348"/>
      <c r="C4613" s="1348"/>
      <c r="D4613" s="1348"/>
      <c r="E4613" s="1348"/>
      <c r="F4613" s="1348"/>
      <c r="G4613" s="1348"/>
      <c r="H4613" s="1348"/>
      <c r="I4613" s="1348"/>
      <c r="J4613" s="1348"/>
      <c r="K4613" s="1348"/>
    </row>
    <row r="4614" spans="2:11" hidden="1">
      <c r="B4614" s="1348"/>
      <c r="C4614" s="1348"/>
      <c r="D4614" s="1348"/>
      <c r="E4614" s="1348"/>
      <c r="F4614" s="1348"/>
      <c r="G4614" s="1348"/>
      <c r="H4614" s="1348"/>
      <c r="I4614" s="1348"/>
      <c r="J4614" s="1348"/>
      <c r="K4614" s="1348"/>
    </row>
    <row r="4615" spans="2:11" hidden="1">
      <c r="B4615" s="1348"/>
      <c r="C4615" s="1348"/>
      <c r="D4615" s="1348"/>
      <c r="E4615" s="1348"/>
      <c r="F4615" s="1348"/>
      <c r="G4615" s="1348"/>
      <c r="H4615" s="1348"/>
      <c r="I4615" s="1348"/>
      <c r="J4615" s="1348"/>
      <c r="K4615" s="1348"/>
    </row>
    <row r="4616" spans="2:11" hidden="1">
      <c r="B4616" s="1348"/>
      <c r="C4616" s="1348"/>
      <c r="D4616" s="1348"/>
      <c r="E4616" s="1348"/>
      <c r="F4616" s="1348"/>
      <c r="G4616" s="1348"/>
      <c r="H4616" s="1348"/>
      <c r="I4616" s="1348"/>
      <c r="J4616" s="1348"/>
      <c r="K4616" s="1348"/>
    </row>
    <row r="4617" spans="2:11" hidden="1">
      <c r="B4617" s="1348"/>
      <c r="C4617" s="1348"/>
      <c r="D4617" s="1348"/>
      <c r="E4617" s="1348"/>
      <c r="F4617" s="1348"/>
      <c r="G4617" s="1348"/>
      <c r="H4617" s="1348"/>
      <c r="I4617" s="1348"/>
      <c r="J4617" s="1348"/>
      <c r="K4617" s="1348"/>
    </row>
    <row r="4618" spans="2:11" hidden="1">
      <c r="B4618" s="1348"/>
      <c r="C4618" s="1348"/>
      <c r="D4618" s="1348"/>
      <c r="E4618" s="1348"/>
      <c r="F4618" s="1348"/>
      <c r="G4618" s="1348"/>
      <c r="H4618" s="1348"/>
      <c r="I4618" s="1348"/>
      <c r="J4618" s="1348"/>
      <c r="K4618" s="1348"/>
    </row>
    <row r="4619" spans="2:11" hidden="1">
      <c r="B4619" s="1348"/>
      <c r="C4619" s="1348"/>
      <c r="D4619" s="1348"/>
      <c r="E4619" s="1348"/>
      <c r="F4619" s="1348"/>
      <c r="G4619" s="1348"/>
      <c r="H4619" s="1348"/>
      <c r="I4619" s="1348"/>
      <c r="J4619" s="1348"/>
      <c r="K4619" s="1348"/>
    </row>
    <row r="4620" spans="2:11" hidden="1">
      <c r="B4620" s="1348"/>
      <c r="C4620" s="1348"/>
      <c r="D4620" s="1348"/>
      <c r="E4620" s="1348"/>
      <c r="F4620" s="1348"/>
      <c r="G4620" s="1348"/>
      <c r="H4620" s="1348"/>
      <c r="I4620" s="1348"/>
      <c r="J4620" s="1348"/>
      <c r="K4620" s="1348"/>
    </row>
    <row r="4621" spans="2:11" hidden="1">
      <c r="B4621" s="1348"/>
      <c r="C4621" s="1348"/>
      <c r="D4621" s="1348"/>
      <c r="E4621" s="1348"/>
      <c r="F4621" s="1348"/>
      <c r="G4621" s="1348"/>
      <c r="H4621" s="1348"/>
      <c r="I4621" s="1348"/>
      <c r="J4621" s="1348"/>
      <c r="K4621" s="1348"/>
    </row>
    <row r="4622" spans="2:11" hidden="1">
      <c r="B4622" s="1348"/>
      <c r="C4622" s="1348"/>
      <c r="D4622" s="1348"/>
      <c r="E4622" s="1348"/>
      <c r="F4622" s="1348"/>
      <c r="G4622" s="1348"/>
      <c r="H4622" s="1348"/>
      <c r="I4622" s="1348"/>
      <c r="J4622" s="1348"/>
      <c r="K4622" s="1348"/>
    </row>
    <row r="4623" spans="2:11" hidden="1">
      <c r="B4623" s="1348"/>
      <c r="C4623" s="1348"/>
      <c r="D4623" s="1348"/>
      <c r="E4623" s="1348"/>
      <c r="F4623" s="1348"/>
      <c r="G4623" s="1348"/>
      <c r="H4623" s="1348"/>
      <c r="I4623" s="1348"/>
      <c r="J4623" s="1348"/>
      <c r="K4623" s="1348"/>
    </row>
    <row r="4624" spans="2:11" hidden="1">
      <c r="B4624" s="1348"/>
      <c r="C4624" s="1348"/>
      <c r="D4624" s="1348"/>
      <c r="E4624" s="1348"/>
      <c r="F4624" s="1348"/>
      <c r="G4624" s="1348"/>
      <c r="H4624" s="1348"/>
      <c r="I4624" s="1348"/>
      <c r="J4624" s="1348"/>
      <c r="K4624" s="1348"/>
    </row>
    <row r="4625" spans="2:11" hidden="1">
      <c r="B4625" s="1348"/>
      <c r="C4625" s="1348"/>
      <c r="D4625" s="1348"/>
      <c r="E4625" s="1348"/>
      <c r="F4625" s="1348"/>
      <c r="G4625" s="1348"/>
      <c r="H4625" s="1348"/>
      <c r="I4625" s="1348"/>
      <c r="J4625" s="1348"/>
      <c r="K4625" s="1348"/>
    </row>
    <row r="4626" spans="2:11" hidden="1">
      <c r="B4626" s="1348"/>
      <c r="C4626" s="1348"/>
      <c r="D4626" s="1348"/>
      <c r="E4626" s="1348"/>
      <c r="F4626" s="1348"/>
      <c r="G4626" s="1348"/>
      <c r="H4626" s="1348"/>
      <c r="I4626" s="1348"/>
      <c r="J4626" s="1348"/>
      <c r="K4626" s="1348"/>
    </row>
    <row r="4627" spans="2:11" hidden="1">
      <c r="B4627" s="1348"/>
      <c r="C4627" s="1348"/>
      <c r="D4627" s="1348"/>
      <c r="E4627" s="1348"/>
      <c r="F4627" s="1348"/>
      <c r="G4627" s="1348"/>
      <c r="H4627" s="1348"/>
      <c r="I4627" s="1348"/>
      <c r="J4627" s="1348"/>
      <c r="K4627" s="1348"/>
    </row>
    <row r="4628" spans="2:11" hidden="1">
      <c r="B4628" s="1348"/>
      <c r="C4628" s="1348"/>
      <c r="D4628" s="1348"/>
      <c r="E4628" s="1348"/>
      <c r="F4628" s="1348"/>
      <c r="G4628" s="1348"/>
      <c r="H4628" s="1348"/>
      <c r="I4628" s="1348"/>
      <c r="J4628" s="1348"/>
      <c r="K4628" s="1348"/>
    </row>
    <row r="4629" spans="2:11" hidden="1">
      <c r="B4629" s="1348"/>
      <c r="C4629" s="1348"/>
      <c r="D4629" s="1348"/>
      <c r="E4629" s="1348"/>
      <c r="F4629" s="1348"/>
      <c r="G4629" s="1348"/>
      <c r="H4629" s="1348"/>
      <c r="I4629" s="1348"/>
      <c r="J4629" s="1348"/>
      <c r="K4629" s="1348"/>
    </row>
    <row r="4630" spans="2:11" hidden="1">
      <c r="B4630" s="1348"/>
      <c r="C4630" s="1348"/>
      <c r="D4630" s="1348"/>
      <c r="E4630" s="1348"/>
      <c r="F4630" s="1348"/>
      <c r="G4630" s="1348"/>
      <c r="H4630" s="1348"/>
      <c r="I4630" s="1348"/>
      <c r="J4630" s="1348"/>
      <c r="K4630" s="1348"/>
    </row>
    <row r="4631" spans="2:11" hidden="1">
      <c r="B4631" s="1348"/>
      <c r="C4631" s="1348"/>
      <c r="D4631" s="1348"/>
      <c r="E4631" s="1348"/>
      <c r="F4631" s="1348"/>
      <c r="G4631" s="1348"/>
      <c r="H4631" s="1348"/>
      <c r="I4631" s="1348"/>
      <c r="J4631" s="1348"/>
      <c r="K4631" s="1348"/>
    </row>
    <row r="4632" spans="2:11" hidden="1">
      <c r="B4632" s="1348"/>
      <c r="C4632" s="1348"/>
      <c r="D4632" s="1348"/>
      <c r="E4632" s="1348"/>
      <c r="F4632" s="1348"/>
      <c r="G4632" s="1348"/>
      <c r="H4632" s="1348"/>
      <c r="I4632" s="1348"/>
      <c r="J4632" s="1348"/>
      <c r="K4632" s="1348"/>
    </row>
    <row r="4633" spans="2:11" hidden="1">
      <c r="B4633" s="1348"/>
      <c r="C4633" s="1348"/>
      <c r="D4633" s="1348"/>
      <c r="E4633" s="1348"/>
      <c r="F4633" s="1348"/>
      <c r="G4633" s="1348"/>
      <c r="H4633" s="1348"/>
      <c r="I4633" s="1348"/>
      <c r="J4633" s="1348"/>
      <c r="K4633" s="1348"/>
    </row>
    <row r="4634" spans="2:11" hidden="1">
      <c r="B4634" s="1348"/>
      <c r="C4634" s="1348"/>
      <c r="D4634" s="1348"/>
      <c r="E4634" s="1348"/>
      <c r="F4634" s="1348"/>
      <c r="G4634" s="1348"/>
      <c r="H4634" s="1348"/>
      <c r="I4634" s="1348"/>
      <c r="J4634" s="1348"/>
      <c r="K4634" s="1348"/>
    </row>
    <row r="4635" spans="2:11" hidden="1">
      <c r="B4635" s="1348"/>
      <c r="C4635" s="1348"/>
      <c r="D4635" s="1348"/>
      <c r="E4635" s="1348"/>
      <c r="F4635" s="1348"/>
      <c r="G4635" s="1348"/>
      <c r="H4635" s="1348"/>
      <c r="I4635" s="1348"/>
      <c r="J4635" s="1348"/>
      <c r="K4635" s="1348"/>
    </row>
    <row r="4636" spans="2:11" hidden="1">
      <c r="B4636" s="1348"/>
      <c r="C4636" s="1348"/>
      <c r="D4636" s="1348"/>
      <c r="E4636" s="1348"/>
      <c r="F4636" s="1348"/>
      <c r="G4636" s="1348"/>
      <c r="H4636" s="1348"/>
      <c r="I4636" s="1348"/>
      <c r="J4636" s="1348"/>
      <c r="K4636" s="1348"/>
    </row>
    <row r="4637" spans="2:11" hidden="1">
      <c r="B4637" s="1348"/>
      <c r="C4637" s="1348"/>
      <c r="D4637" s="1348"/>
      <c r="E4637" s="1348"/>
      <c r="F4637" s="1348"/>
      <c r="G4637" s="1348"/>
      <c r="H4637" s="1348"/>
      <c r="I4637" s="1348"/>
      <c r="J4637" s="1348"/>
      <c r="K4637" s="1348"/>
    </row>
    <row r="4638" spans="2:11" hidden="1">
      <c r="B4638" s="1348"/>
      <c r="C4638" s="1348"/>
      <c r="D4638" s="1348"/>
      <c r="E4638" s="1348"/>
      <c r="F4638" s="1348"/>
      <c r="G4638" s="1348"/>
      <c r="H4638" s="1348"/>
      <c r="I4638" s="1348"/>
      <c r="J4638" s="1348"/>
      <c r="K4638" s="1348"/>
    </row>
    <row r="4639" spans="2:11" hidden="1">
      <c r="B4639" s="1348"/>
      <c r="C4639" s="1348"/>
      <c r="D4639" s="1348"/>
      <c r="E4639" s="1348"/>
      <c r="F4639" s="1348"/>
      <c r="G4639" s="1348"/>
      <c r="H4639" s="1348"/>
      <c r="I4639" s="1348"/>
      <c r="J4639" s="1348"/>
      <c r="K4639" s="1348"/>
    </row>
    <row r="4640" spans="2:11" hidden="1">
      <c r="B4640" s="1348"/>
      <c r="C4640" s="1348"/>
      <c r="D4640" s="1348"/>
      <c r="E4640" s="1348"/>
      <c r="F4640" s="1348"/>
      <c r="G4640" s="1348"/>
      <c r="H4640" s="1348"/>
      <c r="I4640" s="1348"/>
      <c r="J4640" s="1348"/>
      <c r="K4640" s="1348"/>
    </row>
    <row r="4641" spans="2:11" hidden="1">
      <c r="B4641" s="1348"/>
      <c r="C4641" s="1348"/>
      <c r="D4641" s="1348"/>
      <c r="E4641" s="1348"/>
      <c r="F4641" s="1348"/>
      <c r="G4641" s="1348"/>
      <c r="H4641" s="1348"/>
      <c r="I4641" s="1348"/>
      <c r="J4641" s="1348"/>
      <c r="K4641" s="1348"/>
    </row>
    <row r="4642" spans="2:11" hidden="1">
      <c r="B4642" s="1348"/>
      <c r="C4642" s="1348"/>
      <c r="D4642" s="1348"/>
      <c r="E4642" s="1348"/>
      <c r="F4642" s="1348"/>
      <c r="G4642" s="1348"/>
      <c r="H4642" s="1348"/>
      <c r="I4642" s="1348"/>
      <c r="J4642" s="1348"/>
      <c r="K4642" s="1348"/>
    </row>
    <row r="4643" spans="2:11" hidden="1">
      <c r="B4643" s="1348"/>
      <c r="C4643" s="1348"/>
      <c r="D4643" s="1348"/>
      <c r="E4643" s="1348"/>
      <c r="F4643" s="1348"/>
      <c r="G4643" s="1348"/>
      <c r="H4643" s="1348"/>
      <c r="I4643" s="1348"/>
      <c r="J4643" s="1348"/>
      <c r="K4643" s="1348"/>
    </row>
    <row r="4644" spans="2:11" hidden="1">
      <c r="B4644" s="1348"/>
      <c r="C4644" s="1348"/>
      <c r="D4644" s="1348"/>
      <c r="E4644" s="1348"/>
      <c r="F4644" s="1348"/>
      <c r="G4644" s="1348"/>
      <c r="H4644" s="1348"/>
      <c r="I4644" s="1348"/>
      <c r="J4644" s="1348"/>
      <c r="K4644" s="1348"/>
    </row>
    <row r="4645" spans="2:11" hidden="1">
      <c r="B4645" s="1348"/>
      <c r="C4645" s="1348"/>
      <c r="D4645" s="1348"/>
      <c r="E4645" s="1348"/>
      <c r="F4645" s="1348"/>
      <c r="G4645" s="1348"/>
      <c r="H4645" s="1348"/>
      <c r="I4645" s="1348"/>
      <c r="J4645" s="1348"/>
      <c r="K4645" s="1348"/>
    </row>
    <row r="4646" spans="2:11" hidden="1">
      <c r="B4646" s="1348"/>
      <c r="C4646" s="1348"/>
      <c r="D4646" s="1348"/>
      <c r="E4646" s="1348"/>
      <c r="F4646" s="1348"/>
      <c r="G4646" s="1348"/>
      <c r="H4646" s="1348"/>
      <c r="I4646" s="1348"/>
      <c r="J4646" s="1348"/>
      <c r="K4646" s="1348"/>
    </row>
    <row r="4647" spans="2:11" hidden="1">
      <c r="B4647" s="1348"/>
      <c r="C4647" s="1348"/>
      <c r="D4647" s="1348"/>
      <c r="E4647" s="1348"/>
      <c r="F4647" s="1348"/>
      <c r="G4647" s="1348"/>
      <c r="H4647" s="1348"/>
      <c r="I4647" s="1348"/>
      <c r="J4647" s="1348"/>
      <c r="K4647" s="1348"/>
    </row>
    <row r="4648" spans="2:11" hidden="1">
      <c r="B4648" s="1348"/>
      <c r="C4648" s="1348"/>
      <c r="D4648" s="1348"/>
      <c r="E4648" s="1348"/>
      <c r="F4648" s="1348"/>
      <c r="G4648" s="1348"/>
      <c r="H4648" s="1348"/>
      <c r="I4648" s="1348"/>
      <c r="J4648" s="1348"/>
      <c r="K4648" s="1348"/>
    </row>
    <row r="4649" spans="2:11" hidden="1">
      <c r="B4649" s="1348"/>
      <c r="C4649" s="1348"/>
      <c r="D4649" s="1348"/>
      <c r="E4649" s="1348"/>
      <c r="F4649" s="1348"/>
      <c r="G4649" s="1348"/>
      <c r="H4649" s="1348"/>
      <c r="I4649" s="1348"/>
      <c r="J4649" s="1348"/>
      <c r="K4649" s="1348"/>
    </row>
    <row r="4650" spans="2:11" hidden="1">
      <c r="B4650" s="1348"/>
      <c r="C4650" s="1348"/>
      <c r="D4650" s="1348"/>
      <c r="E4650" s="1348"/>
      <c r="F4650" s="1348"/>
      <c r="G4650" s="1348"/>
      <c r="H4650" s="1348"/>
      <c r="I4650" s="1348"/>
      <c r="J4650" s="1348"/>
      <c r="K4650" s="1348"/>
    </row>
    <row r="4651" spans="2:11" hidden="1">
      <c r="B4651" s="1348"/>
      <c r="C4651" s="1348"/>
      <c r="D4651" s="1348"/>
      <c r="E4651" s="1348"/>
      <c r="F4651" s="1348"/>
      <c r="G4651" s="1348"/>
      <c r="H4651" s="1348"/>
      <c r="I4651" s="1348"/>
      <c r="J4651" s="1348"/>
      <c r="K4651" s="1348"/>
    </row>
    <row r="4652" spans="2:11" hidden="1">
      <c r="B4652" s="1348"/>
      <c r="C4652" s="1348"/>
      <c r="D4652" s="1348"/>
      <c r="E4652" s="1348"/>
      <c r="F4652" s="1348"/>
      <c r="G4652" s="1348"/>
      <c r="H4652" s="1348"/>
      <c r="I4652" s="1348"/>
      <c r="J4652" s="1348"/>
      <c r="K4652" s="1348"/>
    </row>
    <row r="4653" spans="2:11" hidden="1">
      <c r="B4653" s="1348"/>
      <c r="C4653" s="1348"/>
      <c r="D4653" s="1348"/>
      <c r="E4653" s="1348"/>
      <c r="F4653" s="1348"/>
      <c r="G4653" s="1348"/>
      <c r="H4653" s="1348"/>
      <c r="I4653" s="1348"/>
      <c r="J4653" s="1348"/>
      <c r="K4653" s="1348"/>
    </row>
    <row r="4654" spans="2:11" hidden="1">
      <c r="B4654" s="1348"/>
      <c r="C4654" s="1348"/>
      <c r="D4654" s="1348"/>
      <c r="E4654" s="1348"/>
      <c r="F4654" s="1348"/>
      <c r="G4654" s="1348"/>
      <c r="H4654" s="1348"/>
      <c r="I4654" s="1348"/>
      <c r="J4654" s="1348"/>
      <c r="K4654" s="1348"/>
    </row>
    <row r="4655" spans="2:11" hidden="1">
      <c r="B4655" s="1348"/>
      <c r="C4655" s="1348"/>
      <c r="D4655" s="1348"/>
      <c r="E4655" s="1348"/>
      <c r="F4655" s="1348"/>
      <c r="G4655" s="1348"/>
      <c r="H4655" s="1348"/>
      <c r="I4655" s="1348"/>
      <c r="J4655" s="1348"/>
      <c r="K4655" s="1348"/>
    </row>
    <row r="4656" spans="2:11" hidden="1">
      <c r="B4656" s="1348"/>
      <c r="C4656" s="1348"/>
      <c r="D4656" s="1348"/>
      <c r="E4656" s="1348"/>
      <c r="F4656" s="1348"/>
      <c r="G4656" s="1348"/>
      <c r="H4656" s="1348"/>
      <c r="I4656" s="1348"/>
      <c r="J4656" s="1348"/>
      <c r="K4656" s="1348"/>
    </row>
    <row r="4657" spans="2:11" hidden="1">
      <c r="B4657" s="1348"/>
      <c r="C4657" s="1348"/>
      <c r="D4657" s="1348"/>
      <c r="E4657" s="1348"/>
      <c r="F4657" s="1348"/>
      <c r="G4657" s="1348"/>
      <c r="H4657" s="1348"/>
      <c r="I4657" s="1348"/>
      <c r="J4657" s="1348"/>
      <c r="K4657" s="1348"/>
    </row>
    <row r="4658" spans="2:11" hidden="1">
      <c r="B4658" s="1348"/>
      <c r="C4658" s="1348"/>
      <c r="D4658" s="1348"/>
      <c r="E4658" s="1348"/>
      <c r="F4658" s="1348"/>
      <c r="G4658" s="1348"/>
      <c r="H4658" s="1348"/>
      <c r="I4658" s="1348"/>
      <c r="J4658" s="1348"/>
      <c r="K4658" s="1348"/>
    </row>
    <row r="4659" spans="2:11" hidden="1">
      <c r="B4659" s="1348"/>
      <c r="C4659" s="1348"/>
      <c r="D4659" s="1348"/>
      <c r="E4659" s="1348"/>
      <c r="F4659" s="1348"/>
      <c r="G4659" s="1348"/>
      <c r="H4659" s="1348"/>
      <c r="I4659" s="1348"/>
      <c r="J4659" s="1348"/>
      <c r="K4659" s="1348"/>
    </row>
    <row r="4660" spans="2:11" hidden="1">
      <c r="B4660" s="1348"/>
      <c r="C4660" s="1348"/>
      <c r="D4660" s="1348"/>
      <c r="E4660" s="1348"/>
      <c r="F4660" s="1348"/>
      <c r="G4660" s="1348"/>
      <c r="H4660" s="1348"/>
      <c r="I4660" s="1348"/>
      <c r="J4660" s="1348"/>
      <c r="K4660" s="1348"/>
    </row>
    <row r="4661" spans="2:11" hidden="1">
      <c r="B4661" s="1348"/>
      <c r="C4661" s="1348"/>
      <c r="D4661" s="1348"/>
      <c r="E4661" s="1348"/>
      <c r="F4661" s="1348"/>
      <c r="G4661" s="1348"/>
      <c r="H4661" s="1348"/>
      <c r="I4661" s="1348"/>
      <c r="J4661" s="1348"/>
      <c r="K4661" s="1348"/>
    </row>
    <row r="4662" spans="2:11" hidden="1">
      <c r="B4662" s="1348"/>
      <c r="C4662" s="1348"/>
      <c r="D4662" s="1348"/>
      <c r="E4662" s="1348"/>
      <c r="F4662" s="1348"/>
      <c r="G4662" s="1348"/>
      <c r="H4662" s="1348"/>
      <c r="I4662" s="1348"/>
      <c r="J4662" s="1348"/>
      <c r="K4662" s="1348"/>
    </row>
    <row r="4663" spans="2:11" hidden="1">
      <c r="B4663" s="1348"/>
      <c r="C4663" s="1348"/>
      <c r="D4663" s="1348"/>
      <c r="E4663" s="1348"/>
      <c r="F4663" s="1348"/>
      <c r="G4663" s="1348"/>
      <c r="H4663" s="1348"/>
      <c r="I4663" s="1348"/>
      <c r="J4663" s="1348"/>
      <c r="K4663" s="1348"/>
    </row>
    <row r="4664" spans="2:11" hidden="1">
      <c r="B4664" s="1348"/>
      <c r="C4664" s="1348"/>
      <c r="D4664" s="1348"/>
      <c r="E4664" s="1348"/>
      <c r="F4664" s="1348"/>
      <c r="G4664" s="1348"/>
      <c r="H4664" s="1348"/>
      <c r="I4664" s="1348"/>
      <c r="J4664" s="1348"/>
      <c r="K4664" s="1348"/>
    </row>
    <row r="4665" spans="2:11" hidden="1">
      <c r="B4665" s="1348"/>
      <c r="C4665" s="1348"/>
      <c r="D4665" s="1348"/>
      <c r="E4665" s="1348"/>
      <c r="F4665" s="1348"/>
      <c r="G4665" s="1348"/>
      <c r="H4665" s="1348"/>
      <c r="I4665" s="1348"/>
      <c r="J4665" s="1348"/>
      <c r="K4665" s="1348"/>
    </row>
    <row r="4666" spans="2:11" hidden="1">
      <c r="B4666" s="1348"/>
      <c r="C4666" s="1348"/>
      <c r="D4666" s="1348"/>
      <c r="E4666" s="1348"/>
      <c r="F4666" s="1348"/>
      <c r="G4666" s="1348"/>
      <c r="H4666" s="1348"/>
      <c r="I4666" s="1348"/>
      <c r="J4666" s="1348"/>
      <c r="K4666" s="1348"/>
    </row>
    <row r="4667" spans="2:11" hidden="1">
      <c r="B4667" s="1348"/>
      <c r="C4667" s="1348"/>
      <c r="D4667" s="1348"/>
      <c r="E4667" s="1348"/>
      <c r="F4667" s="1348"/>
      <c r="G4667" s="1348"/>
      <c r="H4667" s="1348"/>
      <c r="I4667" s="1348"/>
      <c r="J4667" s="1348"/>
      <c r="K4667" s="1348"/>
    </row>
    <row r="4668" spans="2:11" hidden="1">
      <c r="B4668" s="1348"/>
      <c r="C4668" s="1348"/>
      <c r="D4668" s="1348"/>
      <c r="E4668" s="1348"/>
      <c r="F4668" s="1348"/>
      <c r="G4668" s="1348"/>
      <c r="H4668" s="1348"/>
      <c r="I4668" s="1348"/>
      <c r="J4668" s="1348"/>
      <c r="K4668" s="1348"/>
    </row>
    <row r="4669" spans="2:11" hidden="1">
      <c r="B4669" s="1348"/>
      <c r="C4669" s="1348"/>
      <c r="D4669" s="1348"/>
      <c r="E4669" s="1348"/>
      <c r="F4669" s="1348"/>
      <c r="G4669" s="1348"/>
      <c r="H4669" s="1348"/>
      <c r="I4669" s="1348"/>
      <c r="J4669" s="1348"/>
      <c r="K4669" s="1348"/>
    </row>
    <row r="4670" spans="2:11" hidden="1">
      <c r="B4670" s="1348"/>
      <c r="C4670" s="1348"/>
      <c r="D4670" s="1348"/>
      <c r="E4670" s="1348"/>
      <c r="F4670" s="1348"/>
      <c r="G4670" s="1348"/>
      <c r="H4670" s="1348"/>
      <c r="I4670" s="1348"/>
      <c r="J4670" s="1348"/>
      <c r="K4670" s="1348"/>
    </row>
    <row r="4671" spans="2:11" hidden="1">
      <c r="B4671" s="1348"/>
      <c r="C4671" s="1348"/>
      <c r="D4671" s="1348"/>
      <c r="E4671" s="1348"/>
      <c r="F4671" s="1348"/>
      <c r="G4671" s="1348"/>
      <c r="H4671" s="1348"/>
      <c r="I4671" s="1348"/>
      <c r="J4671" s="1348"/>
      <c r="K4671" s="1348"/>
    </row>
    <row r="4672" spans="2:11" hidden="1">
      <c r="B4672" s="1348"/>
      <c r="C4672" s="1348"/>
      <c r="D4672" s="1348"/>
      <c r="E4672" s="1348"/>
      <c r="F4672" s="1348"/>
      <c r="G4672" s="1348"/>
      <c r="H4672" s="1348"/>
      <c r="I4672" s="1348"/>
      <c r="J4672" s="1348"/>
      <c r="K4672" s="1348"/>
    </row>
    <row r="4673" spans="2:11" hidden="1">
      <c r="B4673" s="1348"/>
      <c r="C4673" s="1348"/>
      <c r="D4673" s="1348"/>
      <c r="E4673" s="1348"/>
      <c r="F4673" s="1348"/>
      <c r="G4673" s="1348"/>
      <c r="H4673" s="1348"/>
      <c r="I4673" s="1348"/>
      <c r="J4673" s="1348"/>
      <c r="K4673" s="1348"/>
    </row>
    <row r="4674" spans="2:11" hidden="1">
      <c r="B4674" s="1348"/>
      <c r="C4674" s="1348"/>
      <c r="D4674" s="1348"/>
      <c r="E4674" s="1348"/>
      <c r="F4674" s="1348"/>
      <c r="G4674" s="1348"/>
      <c r="H4674" s="1348"/>
      <c r="I4674" s="1348"/>
      <c r="J4674" s="1348"/>
      <c r="K4674" s="1348"/>
    </row>
    <row r="4675" spans="2:11" hidden="1">
      <c r="B4675" s="1348"/>
      <c r="C4675" s="1348"/>
      <c r="D4675" s="1348"/>
      <c r="E4675" s="1348"/>
      <c r="F4675" s="1348"/>
      <c r="G4675" s="1348"/>
      <c r="H4675" s="1348"/>
      <c r="I4675" s="1348"/>
      <c r="J4675" s="1348"/>
      <c r="K4675" s="1348"/>
    </row>
    <row r="4676" spans="2:11" hidden="1">
      <c r="B4676" s="1348"/>
      <c r="C4676" s="1348"/>
      <c r="D4676" s="1348"/>
      <c r="E4676" s="1348"/>
      <c r="F4676" s="1348"/>
      <c r="G4676" s="1348"/>
      <c r="H4676" s="1348"/>
      <c r="I4676" s="1348"/>
      <c r="J4676" s="1348"/>
      <c r="K4676" s="1348"/>
    </row>
    <row r="4677" spans="2:11" hidden="1">
      <c r="B4677" s="1348"/>
      <c r="C4677" s="1348"/>
      <c r="D4677" s="1348"/>
      <c r="E4677" s="1348"/>
      <c r="F4677" s="1348"/>
      <c r="G4677" s="1348"/>
      <c r="H4677" s="1348"/>
      <c r="I4677" s="1348"/>
      <c r="J4677" s="1348"/>
      <c r="K4677" s="1348"/>
    </row>
    <row r="4678" spans="2:11" hidden="1">
      <c r="B4678" s="1348"/>
      <c r="C4678" s="1348"/>
      <c r="D4678" s="1348"/>
      <c r="E4678" s="1348"/>
      <c r="F4678" s="1348"/>
      <c r="G4678" s="1348"/>
      <c r="H4678" s="1348"/>
      <c r="I4678" s="1348"/>
      <c r="J4678" s="1348"/>
      <c r="K4678" s="1348"/>
    </row>
    <row r="4679" spans="2:11" hidden="1">
      <c r="B4679" s="1348"/>
      <c r="C4679" s="1348"/>
      <c r="D4679" s="1348"/>
      <c r="E4679" s="1348"/>
      <c r="F4679" s="1348"/>
      <c r="G4679" s="1348"/>
      <c r="H4679" s="1348"/>
      <c r="I4679" s="1348"/>
      <c r="J4679" s="1348"/>
      <c r="K4679" s="1348"/>
    </row>
    <row r="4680" spans="2:11" hidden="1">
      <c r="B4680" s="1348"/>
      <c r="C4680" s="1348"/>
      <c r="D4680" s="1348"/>
      <c r="E4680" s="1348"/>
      <c r="F4680" s="1348"/>
      <c r="G4680" s="1348"/>
      <c r="H4680" s="1348"/>
      <c r="I4680" s="1348"/>
      <c r="J4680" s="1348"/>
      <c r="K4680" s="1348"/>
    </row>
    <row r="4681" spans="2:11" hidden="1">
      <c r="B4681" s="1348"/>
      <c r="C4681" s="1348"/>
      <c r="D4681" s="1348"/>
      <c r="E4681" s="1348"/>
      <c r="F4681" s="1348"/>
      <c r="G4681" s="1348"/>
      <c r="H4681" s="1348"/>
      <c r="I4681" s="1348"/>
      <c r="J4681" s="1348"/>
      <c r="K4681" s="1348"/>
    </row>
    <row r="4682" spans="2:11" hidden="1">
      <c r="B4682" s="1348"/>
      <c r="C4682" s="1348"/>
      <c r="D4682" s="1348"/>
      <c r="E4682" s="1348"/>
      <c r="F4682" s="1348"/>
      <c r="G4682" s="1348"/>
      <c r="H4682" s="1348"/>
      <c r="I4682" s="1348"/>
      <c r="J4682" s="1348"/>
      <c r="K4682" s="1348"/>
    </row>
    <row r="4683" spans="2:11" hidden="1">
      <c r="B4683" s="1348"/>
      <c r="C4683" s="1348"/>
      <c r="D4683" s="1348"/>
      <c r="E4683" s="1348"/>
      <c r="F4683" s="1348"/>
      <c r="G4683" s="1348"/>
      <c r="H4683" s="1348"/>
      <c r="I4683" s="1348"/>
      <c r="J4683" s="1348"/>
      <c r="K4683" s="1348"/>
    </row>
    <row r="4684" spans="2:11" hidden="1">
      <c r="B4684" s="1348"/>
      <c r="C4684" s="1348"/>
      <c r="D4684" s="1348"/>
      <c r="E4684" s="1348"/>
      <c r="F4684" s="1348"/>
      <c r="G4684" s="1348"/>
      <c r="H4684" s="1348"/>
      <c r="I4684" s="1348"/>
      <c r="J4684" s="1348"/>
      <c r="K4684" s="1348"/>
    </row>
    <row r="4685" spans="2:11" hidden="1">
      <c r="B4685" s="1348"/>
      <c r="C4685" s="1348"/>
      <c r="D4685" s="1348"/>
      <c r="E4685" s="1348"/>
      <c r="F4685" s="1348"/>
      <c r="G4685" s="1348"/>
      <c r="H4685" s="1348"/>
      <c r="I4685" s="1348"/>
      <c r="J4685" s="1348"/>
      <c r="K4685" s="1348"/>
    </row>
    <row r="4686" spans="2:11" hidden="1">
      <c r="B4686" s="1348"/>
      <c r="C4686" s="1348"/>
      <c r="D4686" s="1348"/>
      <c r="E4686" s="1348"/>
      <c r="F4686" s="1348"/>
      <c r="G4686" s="1348"/>
      <c r="H4686" s="1348"/>
      <c r="I4686" s="1348"/>
      <c r="J4686" s="1348"/>
      <c r="K4686" s="1348"/>
    </row>
    <row r="4687" spans="2:11" hidden="1">
      <c r="B4687" s="1348"/>
      <c r="C4687" s="1348"/>
      <c r="D4687" s="1348"/>
      <c r="E4687" s="1348"/>
      <c r="F4687" s="1348"/>
      <c r="G4687" s="1348"/>
      <c r="H4687" s="1348"/>
      <c r="I4687" s="1348"/>
      <c r="J4687" s="1348"/>
      <c r="K4687" s="1348"/>
    </row>
    <row r="4688" spans="2:11" hidden="1">
      <c r="B4688" s="1348"/>
      <c r="C4688" s="1348"/>
      <c r="D4688" s="1348"/>
      <c r="E4688" s="1348"/>
      <c r="F4688" s="1348"/>
      <c r="G4688" s="1348"/>
      <c r="H4688" s="1348"/>
      <c r="I4688" s="1348"/>
      <c r="J4688" s="1348"/>
      <c r="K4688" s="1348"/>
    </row>
    <row r="4689" spans="2:11" hidden="1">
      <c r="B4689" s="1348"/>
      <c r="C4689" s="1348"/>
      <c r="D4689" s="1348"/>
      <c r="E4689" s="1348"/>
      <c r="F4689" s="1348"/>
      <c r="G4689" s="1348"/>
      <c r="H4689" s="1348"/>
      <c r="I4689" s="1348"/>
      <c r="J4689" s="1348"/>
      <c r="K4689" s="1348"/>
    </row>
    <row r="4690" spans="2:11" hidden="1">
      <c r="B4690" s="1348"/>
      <c r="C4690" s="1348"/>
      <c r="D4690" s="1348"/>
      <c r="E4690" s="1348"/>
      <c r="F4690" s="1348"/>
      <c r="G4690" s="1348"/>
      <c r="H4690" s="1348"/>
      <c r="I4690" s="1348"/>
      <c r="J4690" s="1348"/>
      <c r="K4690" s="1348"/>
    </row>
    <row r="4691" spans="2:11" hidden="1">
      <c r="B4691" s="1348"/>
      <c r="C4691" s="1348"/>
      <c r="D4691" s="1348"/>
      <c r="E4691" s="1348"/>
      <c r="F4691" s="1348"/>
      <c r="G4691" s="1348"/>
      <c r="H4691" s="1348"/>
      <c r="I4691" s="1348"/>
      <c r="J4691" s="1348"/>
      <c r="K4691" s="1348"/>
    </row>
    <row r="4692" spans="2:11" hidden="1">
      <c r="B4692" s="1348"/>
      <c r="C4692" s="1348"/>
      <c r="D4692" s="1348"/>
      <c r="E4692" s="1348"/>
      <c r="F4692" s="1348"/>
      <c r="G4692" s="1348"/>
      <c r="H4692" s="1348"/>
      <c r="I4692" s="1348"/>
      <c r="J4692" s="1348"/>
      <c r="K4692" s="1348"/>
    </row>
    <row r="4693" spans="2:11" hidden="1">
      <c r="B4693" s="1348"/>
      <c r="C4693" s="1348"/>
      <c r="D4693" s="1348"/>
      <c r="E4693" s="1348"/>
      <c r="F4693" s="1348"/>
      <c r="G4693" s="1348"/>
      <c r="H4693" s="1348"/>
      <c r="I4693" s="1348"/>
      <c r="J4693" s="1348"/>
      <c r="K4693" s="1348"/>
    </row>
    <row r="4694" spans="2:11" hidden="1">
      <c r="B4694" s="1348"/>
      <c r="C4694" s="1348"/>
      <c r="D4694" s="1348"/>
      <c r="E4694" s="1348"/>
      <c r="F4694" s="1348"/>
      <c r="G4694" s="1348"/>
      <c r="H4694" s="1348"/>
      <c r="I4694" s="1348"/>
      <c r="J4694" s="1348"/>
      <c r="K4694" s="1348"/>
    </row>
    <row r="4695" spans="2:11" hidden="1">
      <c r="B4695" s="1348"/>
      <c r="C4695" s="1348"/>
      <c r="D4695" s="1348"/>
      <c r="E4695" s="1348"/>
      <c r="F4695" s="1348"/>
      <c r="G4695" s="1348"/>
      <c r="H4695" s="1348"/>
      <c r="I4695" s="1348"/>
      <c r="J4695" s="1348"/>
      <c r="K4695" s="1348"/>
    </row>
    <row r="4696" spans="2:11" hidden="1">
      <c r="B4696" s="1348"/>
      <c r="C4696" s="1348"/>
      <c r="D4696" s="1348"/>
      <c r="E4696" s="1348"/>
      <c r="F4696" s="1348"/>
      <c r="G4696" s="1348"/>
      <c r="H4696" s="1348"/>
      <c r="I4696" s="1348"/>
      <c r="J4696" s="1348"/>
      <c r="K4696" s="1348"/>
    </row>
    <row r="4697" spans="2:11" hidden="1">
      <c r="B4697" s="1348"/>
      <c r="C4697" s="1348"/>
      <c r="D4697" s="1348"/>
      <c r="E4697" s="1348"/>
      <c r="F4697" s="1348"/>
      <c r="G4697" s="1348"/>
      <c r="H4697" s="1348"/>
      <c r="I4697" s="1348"/>
      <c r="J4697" s="1348"/>
      <c r="K4697" s="1348"/>
    </row>
    <row r="4698" spans="2:11" hidden="1">
      <c r="B4698" s="1348"/>
      <c r="C4698" s="1348"/>
      <c r="D4698" s="1348"/>
      <c r="E4698" s="1348"/>
      <c r="F4698" s="1348"/>
      <c r="G4698" s="1348"/>
      <c r="H4698" s="1348"/>
      <c r="I4698" s="1348"/>
      <c r="J4698" s="1348"/>
      <c r="K4698" s="1348"/>
    </row>
    <row r="4699" spans="2:11" hidden="1">
      <c r="B4699" s="1348"/>
      <c r="C4699" s="1348"/>
      <c r="D4699" s="1348"/>
      <c r="E4699" s="1348"/>
      <c r="F4699" s="1348"/>
      <c r="G4699" s="1348"/>
      <c r="H4699" s="1348"/>
      <c r="I4699" s="1348"/>
      <c r="J4699" s="1348"/>
      <c r="K4699" s="1348"/>
    </row>
    <row r="4700" spans="2:11" hidden="1">
      <c r="B4700" s="1348"/>
      <c r="C4700" s="1348"/>
      <c r="D4700" s="1348"/>
      <c r="E4700" s="1348"/>
      <c r="F4700" s="1348"/>
      <c r="G4700" s="1348"/>
      <c r="H4700" s="1348"/>
      <c r="I4700" s="1348"/>
      <c r="J4700" s="1348"/>
      <c r="K4700" s="1348"/>
    </row>
    <row r="4701" spans="2:11" hidden="1">
      <c r="B4701" s="1348"/>
      <c r="C4701" s="1348"/>
      <c r="D4701" s="1348"/>
      <c r="E4701" s="1348"/>
      <c r="F4701" s="1348"/>
      <c r="G4701" s="1348"/>
      <c r="H4701" s="1348"/>
      <c r="I4701" s="1348"/>
      <c r="J4701" s="1348"/>
      <c r="K4701" s="1348"/>
    </row>
    <row r="4702" spans="2:11" hidden="1">
      <c r="B4702" s="1348"/>
      <c r="C4702" s="1348"/>
      <c r="D4702" s="1348"/>
      <c r="E4702" s="1348"/>
      <c r="F4702" s="1348"/>
      <c r="G4702" s="1348"/>
      <c r="H4702" s="1348"/>
      <c r="I4702" s="1348"/>
      <c r="J4702" s="1348"/>
      <c r="K4702" s="1348"/>
    </row>
    <row r="4703" spans="2:11" hidden="1">
      <c r="B4703" s="1348"/>
      <c r="C4703" s="1348"/>
      <c r="D4703" s="1348"/>
      <c r="E4703" s="1348"/>
      <c r="F4703" s="1348"/>
      <c r="G4703" s="1348"/>
      <c r="H4703" s="1348"/>
      <c r="I4703" s="1348"/>
      <c r="J4703" s="1348"/>
      <c r="K4703" s="1348"/>
    </row>
    <row r="4704" spans="2:11" hidden="1">
      <c r="B4704" s="1348"/>
      <c r="C4704" s="1348"/>
      <c r="D4704" s="1348"/>
      <c r="E4704" s="1348"/>
      <c r="F4704" s="1348"/>
      <c r="G4704" s="1348"/>
      <c r="H4704" s="1348"/>
      <c r="I4704" s="1348"/>
      <c r="J4704" s="1348"/>
      <c r="K4704" s="1348"/>
    </row>
    <row r="4705" spans="2:11" hidden="1">
      <c r="B4705" s="1348"/>
      <c r="C4705" s="1348"/>
      <c r="D4705" s="1348"/>
      <c r="E4705" s="1348"/>
      <c r="F4705" s="1348"/>
      <c r="G4705" s="1348"/>
      <c r="H4705" s="1348"/>
      <c r="I4705" s="1348"/>
      <c r="J4705" s="1348"/>
      <c r="K4705" s="1348"/>
    </row>
    <row r="4706" spans="2:11" hidden="1">
      <c r="B4706" s="1348"/>
      <c r="C4706" s="1348"/>
      <c r="D4706" s="1348"/>
      <c r="E4706" s="1348"/>
      <c r="F4706" s="1348"/>
      <c r="G4706" s="1348"/>
      <c r="H4706" s="1348"/>
      <c r="I4706" s="1348"/>
      <c r="J4706" s="1348"/>
      <c r="K4706" s="1348"/>
    </row>
    <row r="4707" spans="2:11" hidden="1">
      <c r="B4707" s="1348"/>
      <c r="C4707" s="1348"/>
      <c r="D4707" s="1348"/>
      <c r="E4707" s="1348"/>
      <c r="F4707" s="1348"/>
      <c r="G4707" s="1348"/>
      <c r="H4707" s="1348"/>
      <c r="I4707" s="1348"/>
      <c r="J4707" s="1348"/>
      <c r="K4707" s="1348"/>
    </row>
    <row r="4708" spans="2:11" hidden="1">
      <c r="B4708" s="1348"/>
      <c r="C4708" s="1348"/>
      <c r="D4708" s="1348"/>
      <c r="E4708" s="1348"/>
      <c r="F4708" s="1348"/>
      <c r="G4708" s="1348"/>
      <c r="H4708" s="1348"/>
      <c r="I4708" s="1348"/>
      <c r="J4708" s="1348"/>
      <c r="K4708" s="1348"/>
    </row>
    <row r="4709" spans="2:11" hidden="1">
      <c r="B4709" s="1348"/>
      <c r="C4709" s="1348"/>
      <c r="D4709" s="1348"/>
      <c r="E4709" s="1348"/>
      <c r="F4709" s="1348"/>
      <c r="G4709" s="1348"/>
      <c r="H4709" s="1348"/>
      <c r="I4709" s="1348"/>
      <c r="J4709" s="1348"/>
      <c r="K4709" s="1348"/>
    </row>
    <row r="4710" spans="2:11" hidden="1">
      <c r="B4710" s="1348"/>
      <c r="C4710" s="1348"/>
      <c r="D4710" s="1348"/>
      <c r="E4710" s="1348"/>
      <c r="F4710" s="1348"/>
      <c r="G4710" s="1348"/>
      <c r="H4710" s="1348"/>
      <c r="I4710" s="1348"/>
      <c r="J4710" s="1348"/>
      <c r="K4710" s="1348"/>
    </row>
    <row r="4711" spans="2:11" hidden="1">
      <c r="B4711" s="1348"/>
      <c r="C4711" s="1348"/>
      <c r="D4711" s="1348"/>
      <c r="E4711" s="1348"/>
      <c r="F4711" s="1348"/>
      <c r="G4711" s="1348"/>
      <c r="H4711" s="1348"/>
      <c r="I4711" s="1348"/>
      <c r="J4711" s="1348"/>
      <c r="K4711" s="1348"/>
    </row>
    <row r="4712" spans="2:11" hidden="1">
      <c r="B4712" s="1348"/>
      <c r="C4712" s="1348"/>
      <c r="D4712" s="1348"/>
      <c r="E4712" s="1348"/>
      <c r="F4712" s="1348"/>
      <c r="G4712" s="1348"/>
      <c r="H4712" s="1348"/>
      <c r="I4712" s="1348"/>
      <c r="J4712" s="1348"/>
      <c r="K4712" s="1348"/>
    </row>
    <row r="4713" spans="2:11" hidden="1">
      <c r="B4713" s="1348"/>
      <c r="C4713" s="1348"/>
      <c r="D4713" s="1348"/>
      <c r="E4713" s="1348"/>
      <c r="F4713" s="1348"/>
      <c r="G4713" s="1348"/>
      <c r="H4713" s="1348"/>
      <c r="I4713" s="1348"/>
      <c r="J4713" s="1348"/>
      <c r="K4713" s="1348"/>
    </row>
    <row r="4714" spans="2:11" hidden="1">
      <c r="B4714" s="1348"/>
      <c r="C4714" s="1348"/>
      <c r="D4714" s="1348"/>
      <c r="E4714" s="1348"/>
      <c r="F4714" s="1348"/>
      <c r="G4714" s="1348"/>
      <c r="H4714" s="1348"/>
      <c r="I4714" s="1348"/>
      <c r="J4714" s="1348"/>
      <c r="K4714" s="1348"/>
    </row>
    <row r="4715" spans="2:11" hidden="1">
      <c r="B4715" s="1348"/>
      <c r="C4715" s="1348"/>
      <c r="D4715" s="1348"/>
      <c r="E4715" s="1348"/>
      <c r="F4715" s="1348"/>
      <c r="G4715" s="1348"/>
      <c r="H4715" s="1348"/>
      <c r="I4715" s="1348"/>
      <c r="J4715" s="1348"/>
      <c r="K4715" s="1348"/>
    </row>
    <row r="4716" spans="2:11" hidden="1">
      <c r="B4716" s="1348"/>
      <c r="C4716" s="1348"/>
      <c r="D4716" s="1348"/>
      <c r="E4716" s="1348"/>
      <c r="F4716" s="1348"/>
      <c r="G4716" s="1348"/>
      <c r="H4716" s="1348"/>
      <c r="I4716" s="1348"/>
      <c r="J4716" s="1348"/>
      <c r="K4716" s="1348"/>
    </row>
    <row r="4717" spans="2:11" hidden="1">
      <c r="B4717" s="1348"/>
      <c r="C4717" s="1348"/>
      <c r="D4717" s="1348"/>
      <c r="E4717" s="1348"/>
      <c r="F4717" s="1348"/>
      <c r="G4717" s="1348"/>
      <c r="H4717" s="1348"/>
      <c r="I4717" s="1348"/>
      <c r="J4717" s="1348"/>
      <c r="K4717" s="1348"/>
    </row>
    <row r="4718" spans="2:11" hidden="1">
      <c r="B4718" s="1348"/>
      <c r="C4718" s="1348"/>
      <c r="D4718" s="1348"/>
      <c r="E4718" s="1348"/>
      <c r="F4718" s="1348"/>
      <c r="G4718" s="1348"/>
      <c r="H4718" s="1348"/>
      <c r="I4718" s="1348"/>
      <c r="J4718" s="1348"/>
      <c r="K4718" s="1348"/>
    </row>
    <row r="4719" spans="2:11" hidden="1">
      <c r="B4719" s="1348"/>
      <c r="C4719" s="1348"/>
      <c r="D4719" s="1348"/>
      <c r="E4719" s="1348"/>
      <c r="F4719" s="1348"/>
      <c r="G4719" s="1348"/>
      <c r="H4719" s="1348"/>
      <c r="I4719" s="1348"/>
      <c r="J4719" s="1348"/>
      <c r="K4719" s="1348"/>
    </row>
    <row r="4720" spans="2:11" hidden="1">
      <c r="B4720" s="1348"/>
      <c r="C4720" s="1348"/>
      <c r="D4720" s="1348"/>
      <c r="E4720" s="1348"/>
      <c r="F4720" s="1348"/>
      <c r="G4720" s="1348"/>
      <c r="H4720" s="1348"/>
      <c r="I4720" s="1348"/>
      <c r="J4720" s="1348"/>
      <c r="K4720" s="1348"/>
    </row>
    <row r="4721" spans="2:11" hidden="1">
      <c r="B4721" s="1348"/>
      <c r="C4721" s="1348"/>
      <c r="D4721" s="1348"/>
      <c r="E4721" s="1348"/>
      <c r="F4721" s="1348"/>
      <c r="G4721" s="1348"/>
      <c r="H4721" s="1348"/>
      <c r="I4721" s="1348"/>
      <c r="J4721" s="1348"/>
      <c r="K4721" s="1348"/>
    </row>
    <row r="4722" spans="2:11" hidden="1">
      <c r="B4722" s="1348"/>
      <c r="C4722" s="1348"/>
      <c r="D4722" s="1348"/>
      <c r="E4722" s="1348"/>
      <c r="F4722" s="1348"/>
      <c r="G4722" s="1348"/>
      <c r="H4722" s="1348"/>
      <c r="I4722" s="1348"/>
      <c r="J4722" s="1348"/>
      <c r="K4722" s="1348"/>
    </row>
    <row r="4723" spans="2:11" hidden="1">
      <c r="B4723" s="1348"/>
      <c r="C4723" s="1348"/>
      <c r="D4723" s="1348"/>
      <c r="E4723" s="1348"/>
      <c r="F4723" s="1348"/>
      <c r="G4723" s="1348"/>
      <c r="H4723" s="1348"/>
      <c r="I4723" s="1348"/>
      <c r="J4723" s="1348"/>
      <c r="K4723" s="1348"/>
    </row>
    <row r="4724" spans="2:11" hidden="1">
      <c r="B4724" s="1348"/>
      <c r="C4724" s="1348"/>
      <c r="D4724" s="1348"/>
      <c r="E4724" s="1348"/>
      <c r="F4724" s="1348"/>
      <c r="G4724" s="1348"/>
      <c r="H4724" s="1348"/>
      <c r="I4724" s="1348"/>
      <c r="J4724" s="1348"/>
      <c r="K4724" s="1348"/>
    </row>
    <row r="4725" spans="2:11" hidden="1">
      <c r="B4725" s="1348"/>
      <c r="C4725" s="1348"/>
      <c r="D4725" s="1348"/>
      <c r="E4725" s="1348"/>
      <c r="F4725" s="1348"/>
      <c r="G4725" s="1348"/>
      <c r="H4725" s="1348"/>
      <c r="I4725" s="1348"/>
      <c r="J4725" s="1348"/>
      <c r="K4725" s="1348"/>
    </row>
    <row r="4726" spans="2:11" hidden="1">
      <c r="B4726" s="1348"/>
      <c r="C4726" s="1348"/>
      <c r="D4726" s="1348"/>
      <c r="E4726" s="1348"/>
      <c r="F4726" s="1348"/>
      <c r="G4726" s="1348"/>
      <c r="H4726" s="1348"/>
      <c r="I4726" s="1348"/>
      <c r="J4726" s="1348"/>
      <c r="K4726" s="1348"/>
    </row>
    <row r="4727" spans="2:11" hidden="1">
      <c r="B4727" s="1348"/>
      <c r="C4727" s="1348"/>
      <c r="D4727" s="1348"/>
      <c r="E4727" s="1348"/>
      <c r="F4727" s="1348"/>
      <c r="G4727" s="1348"/>
      <c r="H4727" s="1348"/>
      <c r="I4727" s="1348"/>
      <c r="J4727" s="1348"/>
      <c r="K4727" s="1348"/>
    </row>
    <row r="4728" spans="2:11" hidden="1">
      <c r="B4728" s="1348"/>
      <c r="C4728" s="1348"/>
      <c r="D4728" s="1348"/>
      <c r="E4728" s="1348"/>
      <c r="F4728" s="1348"/>
      <c r="G4728" s="1348"/>
      <c r="H4728" s="1348"/>
      <c r="I4728" s="1348"/>
      <c r="J4728" s="1348"/>
      <c r="K4728" s="1348"/>
    </row>
    <row r="4729" spans="2:11" hidden="1">
      <c r="B4729" s="1348"/>
      <c r="C4729" s="1348"/>
      <c r="D4729" s="1348"/>
      <c r="E4729" s="1348"/>
      <c r="F4729" s="1348"/>
      <c r="G4729" s="1348"/>
      <c r="H4729" s="1348"/>
      <c r="I4729" s="1348"/>
      <c r="J4729" s="1348"/>
      <c r="K4729" s="1348"/>
    </row>
    <row r="4730" spans="2:11" hidden="1">
      <c r="B4730" s="1348"/>
      <c r="C4730" s="1348"/>
      <c r="D4730" s="1348"/>
      <c r="E4730" s="1348"/>
      <c r="F4730" s="1348"/>
      <c r="G4730" s="1348"/>
      <c r="H4730" s="1348"/>
      <c r="I4730" s="1348"/>
      <c r="J4730" s="1348"/>
      <c r="K4730" s="1348"/>
    </row>
    <row r="4731" spans="2:11" hidden="1">
      <c r="B4731" s="1348"/>
      <c r="C4731" s="1348"/>
      <c r="D4731" s="1348"/>
      <c r="E4731" s="1348"/>
      <c r="F4731" s="1348"/>
      <c r="G4731" s="1348"/>
      <c r="H4731" s="1348"/>
      <c r="I4731" s="1348"/>
      <c r="J4731" s="1348"/>
      <c r="K4731" s="1348"/>
    </row>
    <row r="4732" spans="2:11" hidden="1">
      <c r="B4732" s="1348"/>
      <c r="C4732" s="1348"/>
      <c r="D4732" s="1348"/>
      <c r="E4732" s="1348"/>
      <c r="F4732" s="1348"/>
      <c r="G4732" s="1348"/>
      <c r="H4732" s="1348"/>
      <c r="I4732" s="1348"/>
      <c r="J4732" s="1348"/>
      <c r="K4732" s="1348"/>
    </row>
    <row r="4733" spans="2:11" hidden="1">
      <c r="B4733" s="1348"/>
      <c r="C4733" s="1348"/>
      <c r="D4733" s="1348"/>
      <c r="E4733" s="1348"/>
      <c r="F4733" s="1348"/>
      <c r="G4733" s="1348"/>
      <c r="H4733" s="1348"/>
      <c r="I4733" s="1348"/>
      <c r="J4733" s="1348"/>
      <c r="K4733" s="1348"/>
    </row>
    <row r="4734" spans="2:11" hidden="1">
      <c r="B4734" s="1348"/>
      <c r="C4734" s="1348"/>
      <c r="D4734" s="1348"/>
      <c r="E4734" s="1348"/>
      <c r="F4734" s="1348"/>
      <c r="G4734" s="1348"/>
      <c r="H4734" s="1348"/>
      <c r="I4734" s="1348"/>
      <c r="J4734" s="1348"/>
      <c r="K4734" s="1348"/>
    </row>
    <row r="4735" spans="2:11" hidden="1">
      <c r="B4735" s="1348"/>
      <c r="C4735" s="1348"/>
      <c r="D4735" s="1348"/>
      <c r="E4735" s="1348"/>
      <c r="F4735" s="1348"/>
      <c r="G4735" s="1348"/>
      <c r="H4735" s="1348"/>
      <c r="I4735" s="1348"/>
      <c r="J4735" s="1348"/>
      <c r="K4735" s="1348"/>
    </row>
    <row r="4736" spans="2:11" hidden="1">
      <c r="B4736" s="1348"/>
      <c r="C4736" s="1348"/>
      <c r="D4736" s="1348"/>
      <c r="E4736" s="1348"/>
      <c r="F4736" s="1348"/>
      <c r="G4736" s="1348"/>
      <c r="H4736" s="1348"/>
      <c r="I4736" s="1348"/>
      <c r="J4736" s="1348"/>
      <c r="K4736" s="1348"/>
    </row>
    <row r="4737" spans="2:11" hidden="1">
      <c r="B4737" s="1348"/>
      <c r="C4737" s="1348"/>
      <c r="D4737" s="1348"/>
      <c r="E4737" s="1348"/>
      <c r="F4737" s="1348"/>
      <c r="G4737" s="1348"/>
      <c r="H4737" s="1348"/>
      <c r="I4737" s="1348"/>
      <c r="J4737" s="1348"/>
      <c r="K4737" s="1348"/>
    </row>
    <row r="4738" spans="2:11" hidden="1">
      <c r="B4738" s="1348"/>
      <c r="C4738" s="1348"/>
      <c r="D4738" s="1348"/>
      <c r="E4738" s="1348"/>
      <c r="F4738" s="1348"/>
      <c r="G4738" s="1348"/>
      <c r="H4738" s="1348"/>
      <c r="I4738" s="1348"/>
      <c r="J4738" s="1348"/>
      <c r="K4738" s="1348"/>
    </row>
    <row r="4739" spans="2:11" hidden="1">
      <c r="B4739" s="1348"/>
      <c r="C4739" s="1348"/>
      <c r="D4739" s="1348"/>
      <c r="E4739" s="1348"/>
      <c r="F4739" s="1348"/>
      <c r="G4739" s="1348"/>
      <c r="H4739" s="1348"/>
      <c r="I4739" s="1348"/>
      <c r="J4739" s="1348"/>
      <c r="K4739" s="1348"/>
    </row>
    <row r="4740" spans="2:11" hidden="1">
      <c r="B4740" s="1348"/>
      <c r="C4740" s="1348"/>
      <c r="D4740" s="1348"/>
      <c r="E4740" s="1348"/>
      <c r="F4740" s="1348"/>
      <c r="G4740" s="1348"/>
      <c r="H4740" s="1348"/>
      <c r="I4740" s="1348"/>
      <c r="J4740" s="1348"/>
      <c r="K4740" s="1348"/>
    </row>
    <row r="4741" spans="2:11" hidden="1">
      <c r="B4741" s="1348"/>
      <c r="C4741" s="1348"/>
      <c r="D4741" s="1348"/>
      <c r="E4741" s="1348"/>
      <c r="F4741" s="1348"/>
      <c r="G4741" s="1348"/>
      <c r="H4741" s="1348"/>
      <c r="I4741" s="1348"/>
      <c r="J4741" s="1348"/>
      <c r="K4741" s="1348"/>
    </row>
    <row r="4742" spans="2:11" hidden="1">
      <c r="B4742" s="1348"/>
      <c r="C4742" s="1348"/>
      <c r="D4742" s="1348"/>
      <c r="E4742" s="1348"/>
      <c r="F4742" s="1348"/>
      <c r="G4742" s="1348"/>
      <c r="H4742" s="1348"/>
      <c r="I4742" s="1348"/>
      <c r="J4742" s="1348"/>
      <c r="K4742" s="1348"/>
    </row>
    <row r="4743" spans="2:11" hidden="1">
      <c r="B4743" s="1348"/>
      <c r="C4743" s="1348"/>
      <c r="D4743" s="1348"/>
      <c r="E4743" s="1348"/>
      <c r="F4743" s="1348"/>
      <c r="G4743" s="1348"/>
      <c r="H4743" s="1348"/>
      <c r="I4743" s="1348"/>
      <c r="J4743" s="1348"/>
      <c r="K4743" s="1348"/>
    </row>
    <row r="4744" spans="2:11" hidden="1">
      <c r="B4744" s="1348"/>
      <c r="C4744" s="1348"/>
      <c r="D4744" s="1348"/>
      <c r="E4744" s="1348"/>
      <c r="F4744" s="1348"/>
      <c r="G4744" s="1348"/>
      <c r="H4744" s="1348"/>
      <c r="I4744" s="1348"/>
      <c r="J4744" s="1348"/>
      <c r="K4744" s="1348"/>
    </row>
    <row r="4745" spans="2:11" hidden="1">
      <c r="B4745" s="1348"/>
      <c r="C4745" s="1348"/>
      <c r="D4745" s="1348"/>
      <c r="E4745" s="1348"/>
      <c r="F4745" s="1348"/>
      <c r="G4745" s="1348"/>
      <c r="H4745" s="1348"/>
      <c r="I4745" s="1348"/>
      <c r="J4745" s="1348"/>
      <c r="K4745" s="1348"/>
    </row>
    <row r="4746" spans="2:11" hidden="1">
      <c r="B4746" s="1348"/>
      <c r="C4746" s="1348"/>
      <c r="D4746" s="1348"/>
      <c r="E4746" s="1348"/>
      <c r="F4746" s="1348"/>
      <c r="G4746" s="1348"/>
      <c r="H4746" s="1348"/>
      <c r="I4746" s="1348"/>
      <c r="J4746" s="1348"/>
      <c r="K4746" s="1348"/>
    </row>
    <row r="4747" spans="2:11" hidden="1">
      <c r="B4747" s="1348"/>
      <c r="C4747" s="1348"/>
      <c r="D4747" s="1348"/>
      <c r="E4747" s="1348"/>
      <c r="F4747" s="1348"/>
      <c r="G4747" s="1348"/>
      <c r="H4747" s="1348"/>
      <c r="I4747" s="1348"/>
      <c r="J4747" s="1348"/>
      <c r="K4747" s="1348"/>
    </row>
    <row r="4748" spans="2:11" hidden="1">
      <c r="B4748" s="1348"/>
      <c r="C4748" s="1348"/>
      <c r="D4748" s="1348"/>
      <c r="E4748" s="1348"/>
      <c r="F4748" s="1348"/>
      <c r="G4748" s="1348"/>
      <c r="H4748" s="1348"/>
      <c r="I4748" s="1348"/>
      <c r="J4748" s="1348"/>
      <c r="K4748" s="1348"/>
    </row>
    <row r="4749" spans="2:11" hidden="1">
      <c r="B4749" s="1348"/>
      <c r="C4749" s="1348"/>
      <c r="D4749" s="1348"/>
      <c r="E4749" s="1348"/>
      <c r="F4749" s="1348"/>
      <c r="G4749" s="1348"/>
      <c r="H4749" s="1348"/>
      <c r="I4749" s="1348"/>
      <c r="J4749" s="1348"/>
      <c r="K4749" s="1348"/>
    </row>
    <row r="4750" spans="2:11" hidden="1">
      <c r="B4750" s="1348"/>
      <c r="C4750" s="1348"/>
      <c r="D4750" s="1348"/>
      <c r="E4750" s="1348"/>
      <c r="F4750" s="1348"/>
      <c r="G4750" s="1348"/>
      <c r="H4750" s="1348"/>
      <c r="I4750" s="1348"/>
      <c r="J4750" s="1348"/>
      <c r="K4750" s="1348"/>
    </row>
    <row r="4751" spans="2:11" hidden="1">
      <c r="B4751" s="1348"/>
      <c r="C4751" s="1348"/>
      <c r="D4751" s="1348"/>
      <c r="E4751" s="1348"/>
      <c r="F4751" s="1348"/>
      <c r="G4751" s="1348"/>
      <c r="H4751" s="1348"/>
      <c r="I4751" s="1348"/>
      <c r="J4751" s="1348"/>
      <c r="K4751" s="1348"/>
    </row>
    <row r="4752" spans="2:11" hidden="1">
      <c r="B4752" s="1348"/>
      <c r="C4752" s="1348"/>
      <c r="D4752" s="1348"/>
      <c r="E4752" s="1348"/>
      <c r="F4752" s="1348"/>
      <c r="G4752" s="1348"/>
      <c r="H4752" s="1348"/>
      <c r="I4752" s="1348"/>
      <c r="J4752" s="1348"/>
      <c r="K4752" s="1348"/>
    </row>
    <row r="4753" spans="2:11" hidden="1">
      <c r="B4753" s="1348"/>
      <c r="C4753" s="1348"/>
      <c r="D4753" s="1348"/>
      <c r="E4753" s="1348"/>
      <c r="F4753" s="1348"/>
      <c r="G4753" s="1348"/>
      <c r="H4753" s="1348"/>
      <c r="I4753" s="1348"/>
      <c r="J4753" s="1348"/>
      <c r="K4753" s="1348"/>
    </row>
    <row r="4754" spans="2:11" hidden="1">
      <c r="B4754" s="1348"/>
      <c r="C4754" s="1348"/>
      <c r="D4754" s="1348"/>
      <c r="E4754" s="1348"/>
      <c r="F4754" s="1348"/>
      <c r="G4754" s="1348"/>
      <c r="H4754" s="1348"/>
      <c r="I4754" s="1348"/>
      <c r="J4754" s="1348"/>
      <c r="K4754" s="1348"/>
    </row>
    <row r="4755" spans="2:11" hidden="1">
      <c r="B4755" s="1348"/>
      <c r="C4755" s="1348"/>
      <c r="D4755" s="1348"/>
      <c r="E4755" s="1348"/>
      <c r="F4755" s="1348"/>
      <c r="G4755" s="1348"/>
      <c r="H4755" s="1348"/>
      <c r="I4755" s="1348"/>
      <c r="J4755" s="1348"/>
      <c r="K4755" s="1348"/>
    </row>
    <row r="4756" spans="2:11" hidden="1">
      <c r="B4756" s="1348"/>
      <c r="C4756" s="1348"/>
      <c r="D4756" s="1348"/>
      <c r="E4756" s="1348"/>
      <c r="F4756" s="1348"/>
      <c r="G4756" s="1348"/>
      <c r="H4756" s="1348"/>
      <c r="I4756" s="1348"/>
      <c r="J4756" s="1348"/>
      <c r="K4756" s="1348"/>
    </row>
    <row r="4757" spans="2:11" hidden="1">
      <c r="B4757" s="1348"/>
      <c r="C4757" s="1348"/>
      <c r="D4757" s="1348"/>
      <c r="E4757" s="1348"/>
      <c r="F4757" s="1348"/>
      <c r="G4757" s="1348"/>
      <c r="H4757" s="1348"/>
      <c r="I4757" s="1348"/>
      <c r="J4757" s="1348"/>
      <c r="K4757" s="1348"/>
    </row>
    <row r="4758" spans="2:11" hidden="1">
      <c r="B4758" s="1348"/>
      <c r="C4758" s="1348"/>
      <c r="D4758" s="1348"/>
      <c r="E4758" s="1348"/>
      <c r="F4758" s="1348"/>
      <c r="G4758" s="1348"/>
      <c r="H4758" s="1348"/>
      <c r="I4758" s="1348"/>
      <c r="J4758" s="1348"/>
      <c r="K4758" s="1348"/>
    </row>
    <row r="4759" spans="2:11" hidden="1">
      <c r="B4759" s="1348"/>
      <c r="C4759" s="1348"/>
      <c r="D4759" s="1348"/>
      <c r="E4759" s="1348"/>
      <c r="F4759" s="1348"/>
      <c r="G4759" s="1348"/>
      <c r="H4759" s="1348"/>
      <c r="I4759" s="1348"/>
      <c r="J4759" s="1348"/>
      <c r="K4759" s="1348"/>
    </row>
    <row r="4760" spans="2:11" hidden="1">
      <c r="B4760" s="1348"/>
      <c r="C4760" s="1348"/>
      <c r="D4760" s="1348"/>
      <c r="E4760" s="1348"/>
      <c r="F4760" s="1348"/>
      <c r="G4760" s="1348"/>
      <c r="H4760" s="1348"/>
      <c r="I4760" s="1348"/>
      <c r="J4760" s="1348"/>
      <c r="K4760" s="1348"/>
    </row>
    <row r="4761" spans="2:11" hidden="1">
      <c r="B4761" s="1348"/>
      <c r="C4761" s="1348"/>
      <c r="D4761" s="1348"/>
      <c r="E4761" s="1348"/>
      <c r="F4761" s="1348"/>
      <c r="G4761" s="1348"/>
      <c r="H4761" s="1348"/>
      <c r="I4761" s="1348"/>
      <c r="J4761" s="1348"/>
      <c r="K4761" s="1348"/>
    </row>
    <row r="4762" spans="2:11" hidden="1">
      <c r="B4762" s="1348"/>
      <c r="C4762" s="1348"/>
      <c r="D4762" s="1348"/>
      <c r="E4762" s="1348"/>
      <c r="F4762" s="1348"/>
      <c r="G4762" s="1348"/>
      <c r="H4762" s="1348"/>
      <c r="I4762" s="1348"/>
      <c r="J4762" s="1348"/>
      <c r="K4762" s="1348"/>
    </row>
    <row r="4763" spans="2:11" hidden="1">
      <c r="B4763" s="1348"/>
      <c r="C4763" s="1348"/>
      <c r="D4763" s="1348"/>
      <c r="E4763" s="1348"/>
      <c r="F4763" s="1348"/>
      <c r="G4763" s="1348"/>
      <c r="H4763" s="1348"/>
      <c r="I4763" s="1348"/>
      <c r="J4763" s="1348"/>
      <c r="K4763" s="1348"/>
    </row>
    <row r="4764" spans="2:11" hidden="1">
      <c r="B4764" s="1348"/>
      <c r="C4764" s="1348"/>
      <c r="D4764" s="1348"/>
      <c r="E4764" s="1348"/>
      <c r="F4764" s="1348"/>
      <c r="G4764" s="1348"/>
      <c r="H4764" s="1348"/>
      <c r="I4764" s="1348"/>
      <c r="J4764" s="1348"/>
      <c r="K4764" s="1348"/>
    </row>
    <row r="4765" spans="2:11" hidden="1">
      <c r="B4765" s="1348"/>
      <c r="C4765" s="1348"/>
      <c r="D4765" s="1348"/>
      <c r="E4765" s="1348"/>
      <c r="F4765" s="1348"/>
      <c r="G4765" s="1348"/>
      <c r="H4765" s="1348"/>
      <c r="I4765" s="1348"/>
      <c r="J4765" s="1348"/>
      <c r="K4765" s="1348"/>
    </row>
    <row r="4766" spans="2:11" hidden="1">
      <c r="B4766" s="1348"/>
      <c r="C4766" s="1348"/>
      <c r="D4766" s="1348"/>
      <c r="E4766" s="1348"/>
      <c r="F4766" s="1348"/>
      <c r="G4766" s="1348"/>
      <c r="H4766" s="1348"/>
      <c r="I4766" s="1348"/>
      <c r="J4766" s="1348"/>
      <c r="K4766" s="1348"/>
    </row>
    <row r="4767" spans="2:11" hidden="1">
      <c r="B4767" s="1348"/>
      <c r="C4767" s="1348"/>
      <c r="D4767" s="1348"/>
      <c r="E4767" s="1348"/>
      <c r="F4767" s="1348"/>
      <c r="G4767" s="1348"/>
      <c r="H4767" s="1348"/>
      <c r="I4767" s="1348"/>
      <c r="J4767" s="1348"/>
      <c r="K4767" s="1348"/>
    </row>
    <row r="4768" spans="2:11" hidden="1">
      <c r="B4768" s="1348"/>
      <c r="C4768" s="1348"/>
      <c r="D4768" s="1348"/>
      <c r="E4768" s="1348"/>
      <c r="F4768" s="1348"/>
      <c r="G4768" s="1348"/>
      <c r="H4768" s="1348"/>
      <c r="I4768" s="1348"/>
      <c r="J4768" s="1348"/>
      <c r="K4768" s="1348"/>
    </row>
    <row r="4769" spans="2:11" hidden="1">
      <c r="B4769" s="1348"/>
      <c r="C4769" s="1348"/>
      <c r="D4769" s="1348"/>
      <c r="E4769" s="1348"/>
      <c r="F4769" s="1348"/>
      <c r="G4769" s="1348"/>
      <c r="H4769" s="1348"/>
      <c r="I4769" s="1348"/>
      <c r="J4769" s="1348"/>
      <c r="K4769" s="1348"/>
    </row>
    <row r="4770" spans="2:11" hidden="1">
      <c r="B4770" s="1348"/>
      <c r="C4770" s="1348"/>
      <c r="D4770" s="1348"/>
      <c r="E4770" s="1348"/>
      <c r="F4770" s="1348"/>
      <c r="G4770" s="1348"/>
      <c r="H4770" s="1348"/>
      <c r="I4770" s="1348"/>
      <c r="J4770" s="1348"/>
      <c r="K4770" s="1348"/>
    </row>
    <row r="4771" spans="2:11" hidden="1">
      <c r="B4771" s="1348"/>
      <c r="C4771" s="1348"/>
      <c r="D4771" s="1348"/>
      <c r="E4771" s="1348"/>
      <c r="F4771" s="1348"/>
      <c r="G4771" s="1348"/>
      <c r="H4771" s="1348"/>
      <c r="I4771" s="1348"/>
      <c r="J4771" s="1348"/>
      <c r="K4771" s="1348"/>
    </row>
    <row r="4772" spans="2:11" hidden="1">
      <c r="B4772" s="1348"/>
      <c r="C4772" s="1348"/>
      <c r="D4772" s="1348"/>
      <c r="E4772" s="1348"/>
      <c r="F4772" s="1348"/>
      <c r="G4772" s="1348"/>
      <c r="H4772" s="1348"/>
      <c r="I4772" s="1348"/>
      <c r="J4772" s="1348"/>
      <c r="K4772" s="1348"/>
    </row>
    <row r="4773" spans="2:11" hidden="1">
      <c r="B4773" s="1348"/>
      <c r="C4773" s="1348"/>
      <c r="D4773" s="1348"/>
      <c r="E4773" s="1348"/>
      <c r="F4773" s="1348"/>
      <c r="G4773" s="1348"/>
      <c r="H4773" s="1348"/>
      <c r="I4773" s="1348"/>
      <c r="J4773" s="1348"/>
      <c r="K4773" s="1348"/>
    </row>
    <row r="4774" spans="2:11" hidden="1">
      <c r="B4774" s="1348"/>
      <c r="C4774" s="1348"/>
      <c r="D4774" s="1348"/>
      <c r="E4774" s="1348"/>
      <c r="F4774" s="1348"/>
      <c r="G4774" s="1348"/>
      <c r="H4774" s="1348"/>
      <c r="I4774" s="1348"/>
      <c r="J4774" s="1348"/>
      <c r="K4774" s="1348"/>
    </row>
    <row r="4775" spans="2:11" hidden="1">
      <c r="B4775" s="1348"/>
      <c r="C4775" s="1348"/>
      <c r="D4775" s="1348"/>
      <c r="E4775" s="1348"/>
      <c r="F4775" s="1348"/>
      <c r="G4775" s="1348"/>
      <c r="H4775" s="1348"/>
      <c r="I4775" s="1348"/>
      <c r="J4775" s="1348"/>
      <c r="K4775" s="1348"/>
    </row>
    <row r="4776" spans="2:11" hidden="1">
      <c r="B4776" s="1348"/>
      <c r="C4776" s="1348"/>
      <c r="D4776" s="1348"/>
      <c r="E4776" s="1348"/>
      <c r="F4776" s="1348"/>
      <c r="G4776" s="1348"/>
      <c r="H4776" s="1348"/>
      <c r="I4776" s="1348"/>
      <c r="J4776" s="1348"/>
      <c r="K4776" s="1348"/>
    </row>
    <row r="4777" spans="2:11" hidden="1">
      <c r="B4777" s="1348"/>
      <c r="C4777" s="1348"/>
      <c r="D4777" s="1348"/>
      <c r="E4777" s="1348"/>
      <c r="F4777" s="1348"/>
      <c r="G4777" s="1348"/>
      <c r="H4777" s="1348"/>
      <c r="I4777" s="1348"/>
      <c r="J4777" s="1348"/>
      <c r="K4777" s="1348"/>
    </row>
    <row r="4778" spans="2:11" hidden="1">
      <c r="B4778" s="1348"/>
      <c r="C4778" s="1348"/>
      <c r="D4778" s="1348"/>
      <c r="E4778" s="1348"/>
      <c r="F4778" s="1348"/>
      <c r="G4778" s="1348"/>
      <c r="H4778" s="1348"/>
      <c r="I4778" s="1348"/>
      <c r="J4778" s="1348"/>
      <c r="K4778" s="1348"/>
    </row>
    <row r="4779" spans="2:11" hidden="1">
      <c r="B4779" s="1348"/>
      <c r="C4779" s="1348"/>
      <c r="D4779" s="1348"/>
      <c r="E4779" s="1348"/>
      <c r="F4779" s="1348"/>
      <c r="G4779" s="1348"/>
      <c r="H4779" s="1348"/>
      <c r="I4779" s="1348"/>
      <c r="J4779" s="1348"/>
      <c r="K4779" s="1348"/>
    </row>
    <row r="4780" spans="2:11" hidden="1">
      <c r="B4780" s="1348"/>
      <c r="C4780" s="1348"/>
      <c r="D4780" s="1348"/>
      <c r="E4780" s="1348"/>
      <c r="F4780" s="1348"/>
      <c r="G4780" s="1348"/>
      <c r="H4780" s="1348"/>
      <c r="I4780" s="1348"/>
      <c r="J4780" s="1348"/>
      <c r="K4780" s="1348"/>
    </row>
    <row r="4781" spans="2:11" hidden="1">
      <c r="B4781" s="1348"/>
      <c r="C4781" s="1348"/>
      <c r="D4781" s="1348"/>
      <c r="E4781" s="1348"/>
      <c r="F4781" s="1348"/>
      <c r="G4781" s="1348"/>
      <c r="H4781" s="1348"/>
      <c r="I4781" s="1348"/>
      <c r="J4781" s="1348"/>
      <c r="K4781" s="1348"/>
    </row>
    <row r="4782" spans="2:11" hidden="1">
      <c r="B4782" s="1348"/>
      <c r="C4782" s="1348"/>
      <c r="D4782" s="1348"/>
      <c r="E4782" s="1348"/>
      <c r="F4782" s="1348"/>
      <c r="G4782" s="1348"/>
      <c r="H4782" s="1348"/>
      <c r="I4782" s="1348"/>
      <c r="J4782" s="1348"/>
      <c r="K4782" s="1348"/>
    </row>
    <row r="4783" spans="2:11" hidden="1">
      <c r="B4783" s="1348"/>
      <c r="C4783" s="1348"/>
      <c r="D4783" s="1348"/>
      <c r="E4783" s="1348"/>
      <c r="F4783" s="1348"/>
      <c r="G4783" s="1348"/>
      <c r="H4783" s="1348"/>
      <c r="I4783" s="1348"/>
      <c r="J4783" s="1348"/>
      <c r="K4783" s="1348"/>
    </row>
    <row r="4784" spans="2:11" hidden="1">
      <c r="B4784" s="1348"/>
      <c r="C4784" s="1348"/>
      <c r="D4784" s="1348"/>
      <c r="E4784" s="1348"/>
      <c r="F4784" s="1348"/>
      <c r="G4784" s="1348"/>
      <c r="H4784" s="1348"/>
      <c r="I4784" s="1348"/>
      <c r="J4784" s="1348"/>
      <c r="K4784" s="1348"/>
    </row>
    <row r="4785" spans="2:11" hidden="1">
      <c r="B4785" s="1348"/>
      <c r="C4785" s="1348"/>
      <c r="D4785" s="1348"/>
      <c r="E4785" s="1348"/>
      <c r="F4785" s="1348"/>
      <c r="G4785" s="1348"/>
      <c r="H4785" s="1348"/>
      <c r="I4785" s="1348"/>
      <c r="J4785" s="1348"/>
      <c r="K4785" s="1348"/>
    </row>
    <row r="4786" spans="2:11" hidden="1">
      <c r="B4786" s="1348"/>
      <c r="C4786" s="1348"/>
      <c r="D4786" s="1348"/>
      <c r="E4786" s="1348"/>
      <c r="F4786" s="1348"/>
      <c r="G4786" s="1348"/>
      <c r="H4786" s="1348"/>
      <c r="I4786" s="1348"/>
      <c r="J4786" s="1348"/>
      <c r="K4786" s="1348"/>
    </row>
    <row r="4787" spans="2:11" hidden="1">
      <c r="B4787" s="1348"/>
      <c r="C4787" s="1348"/>
      <c r="D4787" s="1348"/>
      <c r="E4787" s="1348"/>
      <c r="F4787" s="1348"/>
      <c r="G4787" s="1348"/>
      <c r="H4787" s="1348"/>
      <c r="I4787" s="1348"/>
      <c r="J4787" s="1348"/>
      <c r="K4787" s="1348"/>
    </row>
    <row r="4788" spans="2:11" hidden="1">
      <c r="B4788" s="1348"/>
      <c r="C4788" s="1348"/>
      <c r="D4788" s="1348"/>
      <c r="E4788" s="1348"/>
      <c r="F4788" s="1348"/>
      <c r="G4788" s="1348"/>
      <c r="H4788" s="1348"/>
      <c r="I4788" s="1348"/>
      <c r="J4788" s="1348"/>
      <c r="K4788" s="1348"/>
    </row>
    <row r="4789" spans="2:11" hidden="1">
      <c r="B4789" s="1348"/>
      <c r="C4789" s="1348"/>
      <c r="D4789" s="1348"/>
      <c r="E4789" s="1348"/>
      <c r="F4789" s="1348"/>
      <c r="G4789" s="1348"/>
      <c r="H4789" s="1348"/>
      <c r="I4789" s="1348"/>
      <c r="J4789" s="1348"/>
      <c r="K4789" s="1348"/>
    </row>
    <row r="4790" spans="2:11" hidden="1">
      <c r="B4790" s="1348"/>
      <c r="C4790" s="1348"/>
      <c r="D4790" s="1348"/>
      <c r="E4790" s="1348"/>
      <c r="F4790" s="1348"/>
      <c r="G4790" s="1348"/>
      <c r="H4790" s="1348"/>
      <c r="I4790" s="1348"/>
      <c r="J4790" s="1348"/>
      <c r="K4790" s="1348"/>
    </row>
    <row r="4791" spans="2:11" hidden="1">
      <c r="B4791" s="1348"/>
      <c r="C4791" s="1348"/>
      <c r="D4791" s="1348"/>
      <c r="E4791" s="1348"/>
      <c r="F4791" s="1348"/>
      <c r="G4791" s="1348"/>
      <c r="H4791" s="1348"/>
      <c r="I4791" s="1348"/>
      <c r="J4791" s="1348"/>
      <c r="K4791" s="1348"/>
    </row>
    <row r="4792" spans="2:11" hidden="1">
      <c r="B4792" s="1348"/>
      <c r="C4792" s="1348"/>
      <c r="D4792" s="1348"/>
      <c r="E4792" s="1348"/>
      <c r="F4792" s="1348"/>
      <c r="G4792" s="1348"/>
      <c r="H4792" s="1348"/>
      <c r="I4792" s="1348"/>
      <c r="J4792" s="1348"/>
      <c r="K4792" s="1348"/>
    </row>
    <row r="4793" spans="2:11" hidden="1">
      <c r="B4793" s="1348"/>
      <c r="C4793" s="1348"/>
      <c r="D4793" s="1348"/>
      <c r="E4793" s="1348"/>
      <c r="F4793" s="1348"/>
      <c r="G4793" s="1348"/>
      <c r="H4793" s="1348"/>
      <c r="I4793" s="1348"/>
      <c r="J4793" s="1348"/>
      <c r="K4793" s="1348"/>
    </row>
    <row r="4794" spans="2:11" hidden="1">
      <c r="B4794" s="1348"/>
      <c r="C4794" s="1348"/>
      <c r="D4794" s="1348"/>
      <c r="E4794" s="1348"/>
      <c r="F4794" s="1348"/>
      <c r="G4794" s="1348"/>
      <c r="H4794" s="1348"/>
      <c r="I4794" s="1348"/>
      <c r="J4794" s="1348"/>
      <c r="K4794" s="1348"/>
    </row>
    <row r="4795" spans="2:11" hidden="1">
      <c r="B4795" s="1348"/>
      <c r="C4795" s="1348"/>
      <c r="D4795" s="1348"/>
      <c r="E4795" s="1348"/>
      <c r="F4795" s="1348"/>
      <c r="G4795" s="1348"/>
      <c r="H4795" s="1348"/>
      <c r="I4795" s="1348"/>
      <c r="J4795" s="1348"/>
      <c r="K4795" s="1348"/>
    </row>
    <row r="4796" spans="2:11" hidden="1">
      <c r="B4796" s="1348"/>
      <c r="C4796" s="1348"/>
      <c r="D4796" s="1348"/>
      <c r="E4796" s="1348"/>
      <c r="F4796" s="1348"/>
      <c r="G4796" s="1348"/>
      <c r="H4796" s="1348"/>
      <c r="I4796" s="1348"/>
      <c r="J4796" s="1348"/>
      <c r="K4796" s="1348"/>
    </row>
    <row r="4797" spans="2:11" hidden="1">
      <c r="B4797" s="1348"/>
      <c r="C4797" s="1348"/>
      <c r="D4797" s="1348"/>
      <c r="E4797" s="1348"/>
      <c r="F4797" s="1348"/>
      <c r="G4797" s="1348"/>
      <c r="H4797" s="1348"/>
      <c r="I4797" s="1348"/>
      <c r="J4797" s="1348"/>
      <c r="K4797" s="1348"/>
    </row>
    <row r="4798" spans="2:11" hidden="1">
      <c r="B4798" s="1348"/>
      <c r="C4798" s="1348"/>
      <c r="D4798" s="1348"/>
      <c r="E4798" s="1348"/>
      <c r="F4798" s="1348"/>
      <c r="G4798" s="1348"/>
      <c r="H4798" s="1348"/>
      <c r="I4798" s="1348"/>
      <c r="J4798" s="1348"/>
      <c r="K4798" s="1348"/>
    </row>
    <row r="4799" spans="2:11" hidden="1">
      <c r="B4799" s="1348"/>
      <c r="C4799" s="1348"/>
      <c r="D4799" s="1348"/>
      <c r="E4799" s="1348"/>
      <c r="F4799" s="1348"/>
      <c r="G4799" s="1348"/>
      <c r="H4799" s="1348"/>
      <c r="I4799" s="1348"/>
      <c r="J4799" s="1348"/>
      <c r="K4799" s="1348"/>
    </row>
    <row r="4800" spans="2:11" hidden="1">
      <c r="B4800" s="1348"/>
      <c r="C4800" s="1348"/>
      <c r="D4800" s="1348"/>
      <c r="E4800" s="1348"/>
      <c r="F4800" s="1348"/>
      <c r="G4800" s="1348"/>
      <c r="H4800" s="1348"/>
      <c r="I4800" s="1348"/>
      <c r="J4800" s="1348"/>
      <c r="K4800" s="1348"/>
    </row>
    <row r="4801" spans="2:11" hidden="1">
      <c r="B4801" s="1348"/>
      <c r="C4801" s="1348"/>
      <c r="D4801" s="1348"/>
      <c r="E4801" s="1348"/>
      <c r="F4801" s="1348"/>
      <c r="G4801" s="1348"/>
      <c r="H4801" s="1348"/>
      <c r="I4801" s="1348"/>
      <c r="J4801" s="1348"/>
      <c r="K4801" s="1348"/>
    </row>
    <row r="4802" spans="2:11" hidden="1">
      <c r="B4802" s="1348"/>
      <c r="C4802" s="1348"/>
      <c r="D4802" s="1348"/>
      <c r="E4802" s="1348"/>
      <c r="F4802" s="1348"/>
      <c r="G4802" s="1348"/>
      <c r="H4802" s="1348"/>
      <c r="I4802" s="1348"/>
      <c r="J4802" s="1348"/>
      <c r="K4802" s="1348"/>
    </row>
    <row r="4803" spans="2:11" hidden="1">
      <c r="B4803" s="1348"/>
      <c r="C4803" s="1348"/>
      <c r="D4803" s="1348"/>
      <c r="E4803" s="1348"/>
      <c r="F4803" s="1348"/>
      <c r="G4803" s="1348"/>
      <c r="H4803" s="1348"/>
      <c r="I4803" s="1348"/>
      <c r="J4803" s="1348"/>
      <c r="K4803" s="1348"/>
    </row>
    <row r="4804" spans="2:11" hidden="1">
      <c r="B4804" s="1348"/>
      <c r="C4804" s="1348"/>
      <c r="D4804" s="1348"/>
      <c r="E4804" s="1348"/>
      <c r="F4804" s="1348"/>
      <c r="G4804" s="1348"/>
      <c r="H4804" s="1348"/>
      <c r="I4804" s="1348"/>
      <c r="J4804" s="1348"/>
      <c r="K4804" s="1348"/>
    </row>
    <row r="4805" spans="2:11" hidden="1">
      <c r="B4805" s="1348"/>
      <c r="C4805" s="1348"/>
      <c r="D4805" s="1348"/>
      <c r="E4805" s="1348"/>
      <c r="F4805" s="1348"/>
      <c r="G4805" s="1348"/>
      <c r="H4805" s="1348"/>
      <c r="I4805" s="1348"/>
      <c r="J4805" s="1348"/>
      <c r="K4805" s="1348"/>
    </row>
    <row r="4806" spans="2:11" hidden="1">
      <c r="B4806" s="1348"/>
      <c r="C4806" s="1348"/>
      <c r="D4806" s="1348"/>
      <c r="E4806" s="1348"/>
      <c r="F4806" s="1348"/>
      <c r="G4806" s="1348"/>
      <c r="H4806" s="1348"/>
      <c r="I4806" s="1348"/>
      <c r="J4806" s="1348"/>
      <c r="K4806" s="1348"/>
    </row>
    <row r="4807" spans="2:11" hidden="1">
      <c r="B4807" s="1348"/>
      <c r="C4807" s="1348"/>
      <c r="D4807" s="1348"/>
      <c r="E4807" s="1348"/>
      <c r="F4807" s="1348"/>
      <c r="G4807" s="1348"/>
      <c r="H4807" s="1348"/>
      <c r="I4807" s="1348"/>
      <c r="J4807" s="1348"/>
      <c r="K4807" s="1348"/>
    </row>
    <row r="4808" spans="2:11" hidden="1">
      <c r="B4808" s="1348"/>
      <c r="C4808" s="1348"/>
      <c r="D4808" s="1348"/>
      <c r="E4808" s="1348"/>
      <c r="F4808" s="1348"/>
      <c r="G4808" s="1348"/>
      <c r="H4808" s="1348"/>
      <c r="I4808" s="1348"/>
      <c r="J4808" s="1348"/>
      <c r="K4808" s="1348"/>
    </row>
    <row r="4809" spans="2:11" hidden="1">
      <c r="B4809" s="1348"/>
      <c r="C4809" s="1348"/>
      <c r="D4809" s="1348"/>
      <c r="E4809" s="1348"/>
      <c r="F4809" s="1348"/>
      <c r="G4809" s="1348"/>
      <c r="H4809" s="1348"/>
      <c r="I4809" s="1348"/>
      <c r="J4809" s="1348"/>
      <c r="K4809" s="1348"/>
    </row>
    <row r="4810" spans="2:11" hidden="1">
      <c r="B4810" s="1348"/>
      <c r="C4810" s="1348"/>
      <c r="D4810" s="1348"/>
      <c r="E4810" s="1348"/>
      <c r="F4810" s="1348"/>
      <c r="G4810" s="1348"/>
      <c r="H4810" s="1348"/>
      <c r="I4810" s="1348"/>
      <c r="J4810" s="1348"/>
      <c r="K4810" s="1348"/>
    </row>
    <row r="4811" spans="2:11" hidden="1">
      <c r="B4811" s="1348"/>
      <c r="C4811" s="1348"/>
      <c r="D4811" s="1348"/>
      <c r="E4811" s="1348"/>
      <c r="F4811" s="1348"/>
      <c r="G4811" s="1348"/>
      <c r="H4811" s="1348"/>
      <c r="I4811" s="1348"/>
      <c r="J4811" s="1348"/>
      <c r="K4811" s="1348"/>
    </row>
    <row r="4812" spans="2:11" hidden="1">
      <c r="B4812" s="1348"/>
      <c r="C4812" s="1348"/>
      <c r="D4812" s="1348"/>
      <c r="E4812" s="1348"/>
      <c r="F4812" s="1348"/>
      <c r="G4812" s="1348"/>
      <c r="H4812" s="1348"/>
      <c r="I4812" s="1348"/>
      <c r="J4812" s="1348"/>
      <c r="K4812" s="1348"/>
    </row>
    <row r="4813" spans="2:11" hidden="1">
      <c r="B4813" s="1348"/>
      <c r="C4813" s="1348"/>
      <c r="D4813" s="1348"/>
      <c r="E4813" s="1348"/>
      <c r="F4813" s="1348"/>
      <c r="G4813" s="1348"/>
      <c r="H4813" s="1348"/>
      <c r="I4813" s="1348"/>
      <c r="J4813" s="1348"/>
      <c r="K4813" s="1348"/>
    </row>
    <row r="4814" spans="2:11" hidden="1">
      <c r="B4814" s="1348"/>
      <c r="C4814" s="1348"/>
      <c r="D4814" s="1348"/>
      <c r="E4814" s="1348"/>
      <c r="F4814" s="1348"/>
      <c r="G4814" s="1348"/>
      <c r="H4814" s="1348"/>
      <c r="I4814" s="1348"/>
      <c r="J4814" s="1348"/>
      <c r="K4814" s="1348"/>
    </row>
    <row r="4815" spans="2:11" hidden="1">
      <c r="B4815" s="1348"/>
      <c r="C4815" s="1348"/>
      <c r="D4815" s="1348"/>
      <c r="E4815" s="1348"/>
      <c r="F4815" s="1348"/>
      <c r="G4815" s="1348"/>
      <c r="H4815" s="1348"/>
      <c r="I4815" s="1348"/>
      <c r="J4815" s="1348"/>
      <c r="K4815" s="1348"/>
    </row>
    <row r="4816" spans="2:11" hidden="1">
      <c r="B4816" s="1348"/>
      <c r="C4816" s="1348"/>
      <c r="D4816" s="1348"/>
      <c r="E4816" s="1348"/>
      <c r="F4816" s="1348"/>
      <c r="G4816" s="1348"/>
      <c r="H4816" s="1348"/>
      <c r="I4816" s="1348"/>
      <c r="J4816" s="1348"/>
      <c r="K4816" s="1348"/>
    </row>
    <row r="4817" spans="2:11" hidden="1">
      <c r="B4817" s="1348"/>
      <c r="C4817" s="1348"/>
      <c r="D4817" s="1348"/>
      <c r="E4817" s="1348"/>
      <c r="F4817" s="1348"/>
      <c r="G4817" s="1348"/>
      <c r="H4817" s="1348"/>
      <c r="I4817" s="1348"/>
      <c r="J4817" s="1348"/>
      <c r="K4817" s="1348"/>
    </row>
    <row r="4818" spans="2:11" hidden="1">
      <c r="B4818" s="1348"/>
      <c r="C4818" s="1348"/>
      <c r="D4818" s="1348"/>
      <c r="E4818" s="1348"/>
      <c r="F4818" s="1348"/>
      <c r="G4818" s="1348"/>
      <c r="H4818" s="1348"/>
      <c r="I4818" s="1348"/>
      <c r="J4818" s="1348"/>
      <c r="K4818" s="1348"/>
    </row>
    <row r="4819" spans="2:11" hidden="1">
      <c r="B4819" s="1348"/>
      <c r="C4819" s="1348"/>
      <c r="D4819" s="1348"/>
      <c r="E4819" s="1348"/>
      <c r="F4819" s="1348"/>
      <c r="G4819" s="1348"/>
      <c r="H4819" s="1348"/>
      <c r="I4819" s="1348"/>
      <c r="J4819" s="1348"/>
      <c r="K4819" s="1348"/>
    </row>
    <row r="4820" spans="2:11" hidden="1">
      <c r="B4820" s="1348"/>
      <c r="C4820" s="1348"/>
      <c r="D4820" s="1348"/>
      <c r="E4820" s="1348"/>
      <c r="F4820" s="1348"/>
      <c r="G4820" s="1348"/>
      <c r="H4820" s="1348"/>
      <c r="I4820" s="1348"/>
      <c r="J4820" s="1348"/>
      <c r="K4820" s="1348"/>
    </row>
    <row r="4821" spans="2:11" hidden="1">
      <c r="B4821" s="1348"/>
      <c r="C4821" s="1348"/>
      <c r="D4821" s="1348"/>
      <c r="E4821" s="1348"/>
      <c r="F4821" s="1348"/>
      <c r="G4821" s="1348"/>
      <c r="H4821" s="1348"/>
      <c r="I4821" s="1348"/>
      <c r="J4821" s="1348"/>
      <c r="K4821" s="1348"/>
    </row>
    <row r="4822" spans="2:11" hidden="1">
      <c r="B4822" s="1348"/>
      <c r="C4822" s="1348"/>
      <c r="D4822" s="1348"/>
      <c r="E4822" s="1348"/>
      <c r="F4822" s="1348"/>
      <c r="G4822" s="1348"/>
      <c r="H4822" s="1348"/>
      <c r="I4822" s="1348"/>
      <c r="J4822" s="1348"/>
      <c r="K4822" s="1348"/>
    </row>
    <row r="4823" spans="2:11" hidden="1">
      <c r="B4823" s="1348"/>
      <c r="C4823" s="1348"/>
      <c r="D4823" s="1348"/>
      <c r="E4823" s="1348"/>
      <c r="F4823" s="1348"/>
      <c r="G4823" s="1348"/>
      <c r="H4823" s="1348"/>
      <c r="I4823" s="1348"/>
      <c r="J4823" s="1348"/>
      <c r="K4823" s="1348"/>
    </row>
    <row r="4824" spans="2:11" hidden="1">
      <c r="B4824" s="1348"/>
      <c r="C4824" s="1348"/>
      <c r="D4824" s="1348"/>
      <c r="E4824" s="1348"/>
      <c r="F4824" s="1348"/>
      <c r="G4824" s="1348"/>
      <c r="H4824" s="1348"/>
      <c r="I4824" s="1348"/>
      <c r="J4824" s="1348"/>
      <c r="K4824" s="1348"/>
    </row>
    <row r="4825" spans="2:11" hidden="1">
      <c r="B4825" s="1348"/>
      <c r="C4825" s="1348"/>
      <c r="D4825" s="1348"/>
      <c r="E4825" s="1348"/>
      <c r="F4825" s="1348"/>
      <c r="G4825" s="1348"/>
      <c r="H4825" s="1348"/>
      <c r="I4825" s="1348"/>
      <c r="J4825" s="1348"/>
      <c r="K4825" s="1348"/>
    </row>
    <row r="4826" spans="2:11" hidden="1">
      <c r="B4826" s="1348"/>
      <c r="C4826" s="1348"/>
      <c r="D4826" s="1348"/>
      <c r="E4826" s="1348"/>
      <c r="F4826" s="1348"/>
      <c r="G4826" s="1348"/>
      <c r="H4826" s="1348"/>
      <c r="I4826" s="1348"/>
      <c r="J4826" s="1348"/>
      <c r="K4826" s="1348"/>
    </row>
    <row r="4827" spans="2:11" hidden="1">
      <c r="B4827" s="1348"/>
      <c r="C4827" s="1348"/>
      <c r="D4827" s="1348"/>
      <c r="E4827" s="1348"/>
      <c r="F4827" s="1348"/>
      <c r="G4827" s="1348"/>
      <c r="H4827" s="1348"/>
      <c r="I4827" s="1348"/>
      <c r="J4827" s="1348"/>
      <c r="K4827" s="1348"/>
    </row>
    <row r="4828" spans="2:11" hidden="1">
      <c r="B4828" s="1348"/>
      <c r="C4828" s="1348"/>
      <c r="D4828" s="1348"/>
      <c r="E4828" s="1348"/>
      <c r="F4828" s="1348"/>
      <c r="G4828" s="1348"/>
      <c r="H4828" s="1348"/>
      <c r="I4828" s="1348"/>
      <c r="J4828" s="1348"/>
      <c r="K4828" s="1348"/>
    </row>
    <row r="4829" spans="2:11" hidden="1">
      <c r="B4829" s="1348"/>
      <c r="C4829" s="1348"/>
      <c r="D4829" s="1348"/>
      <c r="E4829" s="1348"/>
      <c r="F4829" s="1348"/>
      <c r="G4829" s="1348"/>
      <c r="H4829" s="1348"/>
      <c r="I4829" s="1348"/>
      <c r="J4829" s="1348"/>
      <c r="K4829" s="1348"/>
    </row>
    <row r="4830" spans="2:11" hidden="1">
      <c r="B4830" s="1348"/>
      <c r="C4830" s="1348"/>
      <c r="D4830" s="1348"/>
      <c r="E4830" s="1348"/>
      <c r="F4830" s="1348"/>
      <c r="G4830" s="1348"/>
      <c r="H4830" s="1348"/>
      <c r="I4830" s="1348"/>
      <c r="J4830" s="1348"/>
      <c r="K4830" s="1348"/>
    </row>
    <row r="4831" spans="2:11" hidden="1">
      <c r="B4831" s="1348"/>
      <c r="C4831" s="1348"/>
      <c r="D4831" s="1348"/>
      <c r="E4831" s="1348"/>
      <c r="F4831" s="1348"/>
      <c r="G4831" s="1348"/>
      <c r="H4831" s="1348"/>
      <c r="I4831" s="1348"/>
      <c r="J4831" s="1348"/>
      <c r="K4831" s="1348"/>
    </row>
    <row r="4832" spans="2:11" hidden="1">
      <c r="B4832" s="1348"/>
      <c r="C4832" s="1348"/>
      <c r="D4832" s="1348"/>
      <c r="E4832" s="1348"/>
      <c r="F4832" s="1348"/>
      <c r="G4832" s="1348"/>
      <c r="H4832" s="1348"/>
      <c r="I4832" s="1348"/>
      <c r="J4832" s="1348"/>
      <c r="K4832" s="1348"/>
    </row>
    <row r="4833" spans="2:11" hidden="1">
      <c r="B4833" s="1348"/>
      <c r="C4833" s="1348"/>
      <c r="D4833" s="1348"/>
      <c r="E4833" s="1348"/>
      <c r="F4833" s="1348"/>
      <c r="G4833" s="1348"/>
      <c r="H4833" s="1348"/>
      <c r="I4833" s="1348"/>
      <c r="J4833" s="1348"/>
      <c r="K4833" s="1348"/>
    </row>
    <row r="4834" spans="2:11" hidden="1">
      <c r="B4834" s="1348"/>
      <c r="C4834" s="1348"/>
      <c r="D4834" s="1348"/>
      <c r="E4834" s="1348"/>
      <c r="F4834" s="1348"/>
      <c r="G4834" s="1348"/>
      <c r="H4834" s="1348"/>
      <c r="I4834" s="1348"/>
      <c r="J4834" s="1348"/>
      <c r="K4834" s="1348"/>
    </row>
    <row r="4835" spans="2:11" hidden="1">
      <c r="B4835" s="1348"/>
      <c r="C4835" s="1348"/>
      <c r="D4835" s="1348"/>
      <c r="E4835" s="1348"/>
      <c r="F4835" s="1348"/>
      <c r="G4835" s="1348"/>
      <c r="H4835" s="1348"/>
      <c r="I4835" s="1348"/>
      <c r="J4835" s="1348"/>
      <c r="K4835" s="1348"/>
    </row>
    <row r="4836" spans="2:11" hidden="1">
      <c r="B4836" s="1348"/>
      <c r="C4836" s="1348"/>
      <c r="D4836" s="1348"/>
      <c r="E4836" s="1348"/>
      <c r="F4836" s="1348"/>
      <c r="G4836" s="1348"/>
      <c r="H4836" s="1348"/>
      <c r="I4836" s="1348"/>
      <c r="J4836" s="1348"/>
      <c r="K4836" s="1348"/>
    </row>
    <row r="4837" spans="2:11" hidden="1">
      <c r="B4837" s="1348"/>
      <c r="C4837" s="1348"/>
      <c r="D4837" s="1348"/>
      <c r="E4837" s="1348"/>
      <c r="F4837" s="1348"/>
      <c r="G4837" s="1348"/>
      <c r="H4837" s="1348"/>
      <c r="I4837" s="1348"/>
      <c r="J4837" s="1348"/>
      <c r="K4837" s="1348"/>
    </row>
    <row r="4838" spans="2:11" hidden="1">
      <c r="B4838" s="1348"/>
      <c r="C4838" s="1348"/>
      <c r="D4838" s="1348"/>
      <c r="E4838" s="1348"/>
      <c r="F4838" s="1348"/>
      <c r="G4838" s="1348"/>
      <c r="H4838" s="1348"/>
      <c r="I4838" s="1348"/>
      <c r="J4838" s="1348"/>
      <c r="K4838" s="1348"/>
    </row>
    <row r="4839" spans="2:11" hidden="1">
      <c r="B4839" s="1348"/>
      <c r="C4839" s="1348"/>
      <c r="D4839" s="1348"/>
      <c r="E4839" s="1348"/>
      <c r="F4839" s="1348"/>
      <c r="G4839" s="1348"/>
      <c r="H4839" s="1348"/>
      <c r="I4839" s="1348"/>
      <c r="J4839" s="1348"/>
      <c r="K4839" s="1348"/>
    </row>
    <row r="4840" spans="2:11" hidden="1">
      <c r="B4840" s="1348"/>
      <c r="C4840" s="1348"/>
      <c r="D4840" s="1348"/>
      <c r="E4840" s="1348"/>
      <c r="F4840" s="1348"/>
      <c r="G4840" s="1348"/>
      <c r="H4840" s="1348"/>
      <c r="I4840" s="1348"/>
      <c r="J4840" s="1348"/>
      <c r="K4840" s="1348"/>
    </row>
    <row r="4841" spans="2:11" hidden="1">
      <c r="B4841" s="1348"/>
      <c r="C4841" s="1348"/>
      <c r="D4841" s="1348"/>
      <c r="E4841" s="1348"/>
      <c r="F4841" s="1348"/>
      <c r="G4841" s="1348"/>
      <c r="H4841" s="1348"/>
      <c r="I4841" s="1348"/>
      <c r="J4841" s="1348"/>
      <c r="K4841" s="1348"/>
    </row>
    <row r="4842" spans="2:11" hidden="1">
      <c r="B4842" s="1348"/>
      <c r="C4842" s="1348"/>
      <c r="D4842" s="1348"/>
      <c r="E4842" s="1348"/>
      <c r="F4842" s="1348"/>
      <c r="G4842" s="1348"/>
      <c r="H4842" s="1348"/>
      <c r="I4842" s="1348"/>
      <c r="J4842" s="1348"/>
      <c r="K4842" s="1348"/>
    </row>
    <row r="4843" spans="2:11" hidden="1">
      <c r="B4843" s="1348"/>
      <c r="C4843" s="1348"/>
      <c r="D4843" s="1348"/>
      <c r="E4843" s="1348"/>
      <c r="F4843" s="1348"/>
      <c r="G4843" s="1348"/>
      <c r="H4843" s="1348"/>
      <c r="I4843" s="1348"/>
      <c r="J4843" s="1348"/>
      <c r="K4843" s="1348"/>
    </row>
    <row r="4844" spans="2:11" hidden="1">
      <c r="B4844" s="1348"/>
      <c r="C4844" s="1348"/>
      <c r="D4844" s="1348"/>
      <c r="E4844" s="1348"/>
      <c r="F4844" s="1348"/>
      <c r="G4844" s="1348"/>
      <c r="H4844" s="1348"/>
      <c r="I4844" s="1348"/>
      <c r="J4844" s="1348"/>
      <c r="K4844" s="1348"/>
    </row>
    <row r="4845" spans="2:11" hidden="1">
      <c r="B4845" s="1348"/>
      <c r="C4845" s="1348"/>
      <c r="D4845" s="1348"/>
      <c r="E4845" s="1348"/>
      <c r="F4845" s="1348"/>
      <c r="G4845" s="1348"/>
      <c r="H4845" s="1348"/>
      <c r="I4845" s="1348"/>
      <c r="J4845" s="1348"/>
      <c r="K4845" s="1348"/>
    </row>
    <row r="4846" spans="2:11" hidden="1">
      <c r="B4846" s="1348"/>
      <c r="C4846" s="1348"/>
      <c r="D4846" s="1348"/>
      <c r="E4846" s="1348"/>
      <c r="F4846" s="1348"/>
      <c r="G4846" s="1348"/>
      <c r="H4846" s="1348"/>
      <c r="I4846" s="1348"/>
      <c r="J4846" s="1348"/>
      <c r="K4846" s="1348"/>
    </row>
    <row r="4847" spans="2:11" hidden="1">
      <c r="B4847" s="1348"/>
      <c r="C4847" s="1348"/>
      <c r="D4847" s="1348"/>
      <c r="E4847" s="1348"/>
      <c r="F4847" s="1348"/>
      <c r="G4847" s="1348"/>
      <c r="H4847" s="1348"/>
      <c r="I4847" s="1348"/>
      <c r="J4847" s="1348"/>
      <c r="K4847" s="1348"/>
    </row>
    <row r="4848" spans="2:11" hidden="1">
      <c r="B4848" s="1348"/>
      <c r="C4848" s="1348"/>
      <c r="D4848" s="1348"/>
      <c r="E4848" s="1348"/>
      <c r="F4848" s="1348"/>
      <c r="G4848" s="1348"/>
      <c r="H4848" s="1348"/>
      <c r="I4848" s="1348"/>
      <c r="J4848" s="1348"/>
      <c r="K4848" s="1348"/>
    </row>
    <row r="4849" spans="2:11" hidden="1">
      <c r="B4849" s="1348"/>
      <c r="C4849" s="1348"/>
      <c r="D4849" s="1348"/>
      <c r="E4849" s="1348"/>
      <c r="F4849" s="1348"/>
      <c r="G4849" s="1348"/>
      <c r="H4849" s="1348"/>
      <c r="I4849" s="1348"/>
      <c r="J4849" s="1348"/>
      <c r="K4849" s="1348"/>
    </row>
    <row r="4850" spans="2:11" hidden="1">
      <c r="B4850" s="1348"/>
      <c r="C4850" s="1348"/>
      <c r="D4850" s="1348"/>
      <c r="E4850" s="1348"/>
      <c r="F4850" s="1348"/>
      <c r="G4850" s="1348"/>
      <c r="H4850" s="1348"/>
      <c r="I4850" s="1348"/>
      <c r="J4850" s="1348"/>
      <c r="K4850" s="1348"/>
    </row>
    <row r="4851" spans="2:11" hidden="1">
      <c r="B4851" s="1348"/>
      <c r="C4851" s="1348"/>
      <c r="D4851" s="1348"/>
      <c r="E4851" s="1348"/>
      <c r="F4851" s="1348"/>
      <c r="G4851" s="1348"/>
      <c r="H4851" s="1348"/>
      <c r="I4851" s="1348"/>
      <c r="J4851" s="1348"/>
      <c r="K4851" s="1348"/>
    </row>
    <row r="4852" spans="2:11" hidden="1">
      <c r="B4852" s="1348"/>
      <c r="C4852" s="1348"/>
      <c r="D4852" s="1348"/>
      <c r="E4852" s="1348"/>
      <c r="F4852" s="1348"/>
      <c r="G4852" s="1348"/>
      <c r="H4852" s="1348"/>
      <c r="I4852" s="1348"/>
      <c r="J4852" s="1348"/>
      <c r="K4852" s="1348"/>
    </row>
    <row r="4853" spans="2:11" hidden="1">
      <c r="B4853" s="1348"/>
      <c r="C4853" s="1348"/>
      <c r="D4853" s="1348"/>
      <c r="E4853" s="1348"/>
      <c r="F4853" s="1348"/>
      <c r="G4853" s="1348"/>
      <c r="H4853" s="1348"/>
      <c r="I4853" s="1348"/>
      <c r="J4853" s="1348"/>
      <c r="K4853" s="1348"/>
    </row>
    <row r="4854" spans="2:11" hidden="1">
      <c r="B4854" s="1348"/>
      <c r="C4854" s="1348"/>
      <c r="D4854" s="1348"/>
      <c r="E4854" s="1348"/>
      <c r="F4854" s="1348"/>
      <c r="G4854" s="1348"/>
      <c r="H4854" s="1348"/>
      <c r="I4854" s="1348"/>
      <c r="J4854" s="1348"/>
      <c r="K4854" s="1348"/>
    </row>
    <row r="4855" spans="2:11" hidden="1">
      <c r="B4855" s="1348"/>
      <c r="C4855" s="1348"/>
      <c r="D4855" s="1348"/>
      <c r="E4855" s="1348"/>
      <c r="F4855" s="1348"/>
      <c r="G4855" s="1348"/>
      <c r="H4855" s="1348"/>
      <c r="I4855" s="1348"/>
      <c r="J4855" s="1348"/>
      <c r="K4855" s="1348"/>
    </row>
    <row r="4856" spans="2:11" hidden="1">
      <c r="B4856" s="1348"/>
      <c r="C4856" s="1348"/>
      <c r="D4856" s="1348"/>
      <c r="E4856" s="1348"/>
      <c r="F4856" s="1348"/>
      <c r="G4856" s="1348"/>
      <c r="H4856" s="1348"/>
      <c r="I4856" s="1348"/>
      <c r="J4856" s="1348"/>
      <c r="K4856" s="1348"/>
    </row>
    <row r="4857" spans="2:11" hidden="1">
      <c r="B4857" s="1348"/>
      <c r="C4857" s="1348"/>
      <c r="D4857" s="1348"/>
      <c r="E4857" s="1348"/>
      <c r="F4857" s="1348"/>
      <c r="G4857" s="1348"/>
      <c r="H4857" s="1348"/>
      <c r="I4857" s="1348"/>
      <c r="J4857" s="1348"/>
      <c r="K4857" s="1348"/>
    </row>
    <row r="4858" spans="2:11" hidden="1">
      <c r="B4858" s="1348"/>
      <c r="C4858" s="1348"/>
      <c r="D4858" s="1348"/>
      <c r="E4858" s="1348"/>
      <c r="F4858" s="1348"/>
      <c r="G4858" s="1348"/>
      <c r="H4858" s="1348"/>
      <c r="I4858" s="1348"/>
      <c r="J4858" s="1348"/>
      <c r="K4858" s="1348"/>
    </row>
    <row r="4859" spans="2:11" hidden="1">
      <c r="B4859" s="1348"/>
      <c r="C4859" s="1348"/>
      <c r="D4859" s="1348"/>
      <c r="E4859" s="1348"/>
      <c r="F4859" s="1348"/>
      <c r="G4859" s="1348"/>
      <c r="H4859" s="1348"/>
      <c r="I4859" s="1348"/>
      <c r="J4859" s="1348"/>
      <c r="K4859" s="1348"/>
    </row>
    <row r="4860" spans="2:11" hidden="1">
      <c r="B4860" s="1348"/>
      <c r="C4860" s="1348"/>
      <c r="D4860" s="1348"/>
      <c r="E4860" s="1348"/>
      <c r="F4860" s="1348"/>
      <c r="G4860" s="1348"/>
      <c r="H4860" s="1348"/>
      <c r="I4860" s="1348"/>
      <c r="J4860" s="1348"/>
      <c r="K4860" s="1348"/>
    </row>
    <row r="4861" spans="2:11" hidden="1">
      <c r="B4861" s="1348"/>
      <c r="C4861" s="1348"/>
      <c r="D4861" s="1348"/>
      <c r="E4861" s="1348"/>
      <c r="F4861" s="1348"/>
      <c r="G4861" s="1348"/>
      <c r="H4861" s="1348"/>
      <c r="I4861" s="1348"/>
      <c r="J4861" s="1348"/>
      <c r="K4861" s="1348"/>
    </row>
    <row r="4862" spans="2:11" hidden="1">
      <c r="B4862" s="1348"/>
      <c r="C4862" s="1348"/>
      <c r="D4862" s="1348"/>
      <c r="E4862" s="1348"/>
      <c r="F4862" s="1348"/>
      <c r="G4862" s="1348"/>
      <c r="H4862" s="1348"/>
      <c r="I4862" s="1348"/>
      <c r="J4862" s="1348"/>
      <c r="K4862" s="1348"/>
    </row>
    <row r="4863" spans="2:11" hidden="1">
      <c r="B4863" s="1348"/>
      <c r="C4863" s="1348"/>
      <c r="D4863" s="1348"/>
      <c r="E4863" s="1348"/>
      <c r="F4863" s="1348"/>
      <c r="G4863" s="1348"/>
      <c r="H4863" s="1348"/>
      <c r="I4863" s="1348"/>
      <c r="J4863" s="1348"/>
      <c r="K4863" s="1348"/>
    </row>
    <row r="4864" spans="2:11" hidden="1">
      <c r="B4864" s="1348"/>
      <c r="C4864" s="1348"/>
      <c r="D4864" s="1348"/>
      <c r="E4864" s="1348"/>
      <c r="F4864" s="1348"/>
      <c r="G4864" s="1348"/>
      <c r="H4864" s="1348"/>
      <c r="I4864" s="1348"/>
      <c r="J4864" s="1348"/>
      <c r="K4864" s="1348"/>
    </row>
    <row r="4865" spans="2:11" hidden="1">
      <c r="B4865" s="1348"/>
      <c r="C4865" s="1348"/>
      <c r="D4865" s="1348"/>
      <c r="E4865" s="1348"/>
      <c r="F4865" s="1348"/>
      <c r="G4865" s="1348"/>
      <c r="H4865" s="1348"/>
      <c r="I4865" s="1348"/>
      <c r="J4865" s="1348"/>
      <c r="K4865" s="1348"/>
    </row>
    <row r="4866" spans="2:11" hidden="1">
      <c r="B4866" s="1348"/>
      <c r="C4866" s="1348"/>
      <c r="D4866" s="1348"/>
      <c r="E4866" s="1348"/>
      <c r="F4866" s="1348"/>
      <c r="G4866" s="1348"/>
      <c r="H4866" s="1348"/>
      <c r="I4866" s="1348"/>
      <c r="J4866" s="1348"/>
      <c r="K4866" s="1348"/>
    </row>
    <row r="4867" spans="2:11" hidden="1">
      <c r="B4867" s="1348"/>
      <c r="C4867" s="1348"/>
      <c r="D4867" s="1348"/>
      <c r="E4867" s="1348"/>
      <c r="F4867" s="1348"/>
      <c r="G4867" s="1348"/>
      <c r="H4867" s="1348"/>
      <c r="I4867" s="1348"/>
      <c r="J4867" s="1348"/>
      <c r="K4867" s="1348"/>
    </row>
    <row r="4868" spans="2:11" hidden="1">
      <c r="B4868" s="1348"/>
      <c r="C4868" s="1348"/>
      <c r="D4868" s="1348"/>
      <c r="E4868" s="1348"/>
      <c r="F4868" s="1348"/>
      <c r="G4868" s="1348"/>
      <c r="H4868" s="1348"/>
      <c r="I4868" s="1348"/>
      <c r="J4868" s="1348"/>
      <c r="K4868" s="1348"/>
    </row>
    <row r="4869" spans="2:11" hidden="1">
      <c r="B4869" s="1348"/>
      <c r="C4869" s="1348"/>
      <c r="D4869" s="1348"/>
      <c r="E4869" s="1348"/>
      <c r="F4869" s="1348"/>
      <c r="G4869" s="1348"/>
      <c r="H4869" s="1348"/>
      <c r="I4869" s="1348"/>
      <c r="J4869" s="1348"/>
      <c r="K4869" s="1348"/>
    </row>
    <row r="4870" spans="2:11" hidden="1">
      <c r="B4870" s="1348"/>
      <c r="C4870" s="1348"/>
      <c r="D4870" s="1348"/>
      <c r="E4870" s="1348"/>
      <c r="F4870" s="1348"/>
      <c r="G4870" s="1348"/>
      <c r="H4870" s="1348"/>
      <c r="I4870" s="1348"/>
      <c r="J4870" s="1348"/>
      <c r="K4870" s="1348"/>
    </row>
    <row r="4871" spans="2:11" hidden="1">
      <c r="B4871" s="1348"/>
      <c r="C4871" s="1348"/>
      <c r="D4871" s="1348"/>
      <c r="E4871" s="1348"/>
      <c r="F4871" s="1348"/>
      <c r="G4871" s="1348"/>
      <c r="H4871" s="1348"/>
      <c r="I4871" s="1348"/>
      <c r="J4871" s="1348"/>
      <c r="K4871" s="1348"/>
    </row>
    <row r="4872" spans="2:11" hidden="1">
      <c r="B4872" s="1348"/>
      <c r="C4872" s="1348"/>
      <c r="D4872" s="1348"/>
      <c r="E4872" s="1348"/>
      <c r="F4872" s="1348"/>
      <c r="G4872" s="1348"/>
      <c r="H4872" s="1348"/>
      <c r="I4872" s="1348"/>
      <c r="J4872" s="1348"/>
      <c r="K4872" s="1348"/>
    </row>
    <row r="4873" spans="2:11" hidden="1">
      <c r="B4873" s="1348"/>
      <c r="C4873" s="1348"/>
      <c r="D4873" s="1348"/>
      <c r="E4873" s="1348"/>
      <c r="F4873" s="1348"/>
      <c r="G4873" s="1348"/>
      <c r="H4873" s="1348"/>
      <c r="I4873" s="1348"/>
      <c r="J4873" s="1348"/>
      <c r="K4873" s="1348"/>
    </row>
    <row r="4874" spans="2:11" hidden="1">
      <c r="B4874" s="1348"/>
      <c r="C4874" s="1348"/>
      <c r="D4874" s="1348"/>
      <c r="E4874" s="1348"/>
      <c r="F4874" s="1348"/>
      <c r="G4874" s="1348"/>
      <c r="H4874" s="1348"/>
      <c r="I4874" s="1348"/>
      <c r="J4874" s="1348"/>
      <c r="K4874" s="1348"/>
    </row>
    <row r="4875" spans="2:11" hidden="1">
      <c r="B4875" s="1348"/>
      <c r="C4875" s="1348"/>
      <c r="D4875" s="1348"/>
      <c r="E4875" s="1348"/>
      <c r="F4875" s="1348"/>
      <c r="G4875" s="1348"/>
      <c r="H4875" s="1348"/>
      <c r="I4875" s="1348"/>
      <c r="J4875" s="1348"/>
      <c r="K4875" s="1348"/>
    </row>
    <row r="4876" spans="2:11" hidden="1">
      <c r="B4876" s="1348"/>
      <c r="C4876" s="1348"/>
      <c r="D4876" s="1348"/>
      <c r="E4876" s="1348"/>
      <c r="F4876" s="1348"/>
      <c r="G4876" s="1348"/>
      <c r="H4876" s="1348"/>
      <c r="I4876" s="1348"/>
      <c r="J4876" s="1348"/>
      <c r="K4876" s="1348"/>
    </row>
    <row r="4877" spans="2:11" hidden="1">
      <c r="B4877" s="1348"/>
      <c r="C4877" s="1348"/>
      <c r="D4877" s="1348"/>
      <c r="E4877" s="1348"/>
      <c r="F4877" s="1348"/>
      <c r="G4877" s="1348"/>
      <c r="H4877" s="1348"/>
      <c r="I4877" s="1348"/>
      <c r="J4877" s="1348"/>
      <c r="K4877" s="1348"/>
    </row>
    <row r="4878" spans="2:11" hidden="1">
      <c r="B4878" s="1348"/>
      <c r="C4878" s="1348"/>
      <c r="D4878" s="1348"/>
      <c r="E4878" s="1348"/>
      <c r="F4878" s="1348"/>
      <c r="G4878" s="1348"/>
      <c r="H4878" s="1348"/>
      <c r="I4878" s="1348"/>
      <c r="J4878" s="1348"/>
      <c r="K4878" s="1348"/>
    </row>
    <row r="4879" spans="2:11" hidden="1">
      <c r="B4879" s="1348"/>
      <c r="C4879" s="1348"/>
      <c r="D4879" s="1348"/>
      <c r="E4879" s="1348"/>
      <c r="F4879" s="1348"/>
      <c r="G4879" s="1348"/>
      <c r="H4879" s="1348"/>
      <c r="I4879" s="1348"/>
      <c r="J4879" s="1348"/>
      <c r="K4879" s="1348"/>
    </row>
    <row r="4880" spans="2:11" hidden="1">
      <c r="B4880" s="1348"/>
      <c r="C4880" s="1348"/>
      <c r="D4880" s="1348"/>
      <c r="E4880" s="1348"/>
      <c r="F4880" s="1348"/>
      <c r="G4880" s="1348"/>
      <c r="H4880" s="1348"/>
      <c r="I4880" s="1348"/>
      <c r="J4880" s="1348"/>
      <c r="K4880" s="1348"/>
    </row>
    <row r="4881" spans="2:11" hidden="1">
      <c r="B4881" s="1348"/>
      <c r="C4881" s="1348"/>
      <c r="D4881" s="1348"/>
      <c r="E4881" s="1348"/>
      <c r="F4881" s="1348"/>
      <c r="G4881" s="1348"/>
      <c r="H4881" s="1348"/>
      <c r="I4881" s="1348"/>
      <c r="J4881" s="1348"/>
      <c r="K4881" s="1348"/>
    </row>
    <row r="4882" spans="2:11" hidden="1">
      <c r="B4882" s="1348"/>
      <c r="C4882" s="1348"/>
      <c r="D4882" s="1348"/>
      <c r="E4882" s="1348"/>
      <c r="F4882" s="1348"/>
      <c r="G4882" s="1348"/>
      <c r="H4882" s="1348"/>
      <c r="I4882" s="1348"/>
      <c r="J4882" s="1348"/>
      <c r="K4882" s="1348"/>
    </row>
    <row r="4883" spans="2:11" hidden="1">
      <c r="B4883" s="1348"/>
      <c r="C4883" s="1348"/>
      <c r="D4883" s="1348"/>
      <c r="E4883" s="1348"/>
      <c r="F4883" s="1348"/>
      <c r="G4883" s="1348"/>
      <c r="H4883" s="1348"/>
      <c r="I4883" s="1348"/>
      <c r="J4883" s="1348"/>
      <c r="K4883" s="1348"/>
    </row>
    <row r="4884" spans="2:11" hidden="1">
      <c r="B4884" s="1348"/>
      <c r="C4884" s="1348"/>
      <c r="D4884" s="1348"/>
      <c r="E4884" s="1348"/>
      <c r="F4884" s="1348"/>
      <c r="G4884" s="1348"/>
      <c r="H4884" s="1348"/>
      <c r="I4884" s="1348"/>
      <c r="J4884" s="1348"/>
      <c r="K4884" s="1348"/>
    </row>
    <row r="4885" spans="2:11" hidden="1">
      <c r="B4885" s="1348"/>
      <c r="C4885" s="1348"/>
      <c r="D4885" s="1348"/>
      <c r="E4885" s="1348"/>
      <c r="F4885" s="1348"/>
      <c r="G4885" s="1348"/>
      <c r="H4885" s="1348"/>
      <c r="I4885" s="1348"/>
      <c r="J4885" s="1348"/>
      <c r="K4885" s="1348"/>
    </row>
    <row r="4886" spans="2:11" hidden="1">
      <c r="B4886" s="1348"/>
      <c r="C4886" s="1348"/>
      <c r="D4886" s="1348"/>
      <c r="E4886" s="1348"/>
      <c r="F4886" s="1348"/>
      <c r="G4886" s="1348"/>
      <c r="H4886" s="1348"/>
      <c r="I4886" s="1348"/>
      <c r="J4886" s="1348"/>
      <c r="K4886" s="1348"/>
    </row>
    <row r="4887" spans="2:11" hidden="1">
      <c r="B4887" s="1348"/>
      <c r="C4887" s="1348"/>
      <c r="D4887" s="1348"/>
      <c r="E4887" s="1348"/>
      <c r="F4887" s="1348"/>
      <c r="G4887" s="1348"/>
      <c r="H4887" s="1348"/>
      <c r="I4887" s="1348"/>
      <c r="J4887" s="1348"/>
      <c r="K4887" s="1348"/>
    </row>
    <row r="4888" spans="2:11" hidden="1">
      <c r="B4888" s="1348"/>
      <c r="C4888" s="1348"/>
      <c r="D4888" s="1348"/>
      <c r="E4888" s="1348"/>
      <c r="F4888" s="1348"/>
      <c r="G4888" s="1348"/>
      <c r="H4888" s="1348"/>
      <c r="I4888" s="1348"/>
      <c r="J4888" s="1348"/>
      <c r="K4888" s="1348"/>
    </row>
    <row r="4889" spans="2:11" hidden="1">
      <c r="B4889" s="1348"/>
      <c r="C4889" s="1348"/>
      <c r="D4889" s="1348"/>
      <c r="E4889" s="1348"/>
      <c r="F4889" s="1348"/>
      <c r="G4889" s="1348"/>
      <c r="H4889" s="1348"/>
      <c r="I4889" s="1348"/>
      <c r="J4889" s="1348"/>
      <c r="K4889" s="1348"/>
    </row>
    <row r="4890" spans="2:11" hidden="1">
      <c r="B4890" s="1348"/>
      <c r="C4890" s="1348"/>
      <c r="D4890" s="1348"/>
      <c r="E4890" s="1348"/>
      <c r="F4890" s="1348"/>
      <c r="G4890" s="1348"/>
      <c r="H4890" s="1348"/>
      <c r="I4890" s="1348"/>
      <c r="J4890" s="1348"/>
      <c r="K4890" s="1348"/>
    </row>
    <row r="4891" spans="2:11" hidden="1">
      <c r="B4891" s="1348"/>
      <c r="C4891" s="1348"/>
      <c r="D4891" s="1348"/>
      <c r="E4891" s="1348"/>
      <c r="F4891" s="1348"/>
      <c r="G4891" s="1348"/>
      <c r="H4891" s="1348"/>
      <c r="I4891" s="1348"/>
      <c r="J4891" s="1348"/>
      <c r="K4891" s="1348"/>
    </row>
    <row r="4892" spans="2:11" hidden="1">
      <c r="B4892" s="1348"/>
      <c r="C4892" s="1348"/>
      <c r="D4892" s="1348"/>
      <c r="E4892" s="1348"/>
      <c r="F4892" s="1348"/>
      <c r="G4892" s="1348"/>
      <c r="H4892" s="1348"/>
      <c r="I4892" s="1348"/>
      <c r="J4892" s="1348"/>
      <c r="K4892" s="1348"/>
    </row>
    <row r="4893" spans="2:11" hidden="1">
      <c r="B4893" s="1348"/>
      <c r="C4893" s="1348"/>
      <c r="D4893" s="1348"/>
      <c r="E4893" s="1348"/>
      <c r="F4893" s="1348"/>
      <c r="G4893" s="1348"/>
      <c r="H4893" s="1348"/>
      <c r="I4893" s="1348"/>
      <c r="J4893" s="1348"/>
      <c r="K4893" s="1348"/>
    </row>
    <row r="4894" spans="2:11" hidden="1">
      <c r="B4894" s="1348"/>
      <c r="C4894" s="1348"/>
      <c r="D4894" s="1348"/>
      <c r="E4894" s="1348"/>
      <c r="F4894" s="1348"/>
      <c r="G4894" s="1348"/>
      <c r="H4894" s="1348"/>
      <c r="I4894" s="1348"/>
      <c r="J4894" s="1348"/>
      <c r="K4894" s="1348"/>
    </row>
    <row r="4895" spans="2:11" hidden="1">
      <c r="B4895" s="1348"/>
      <c r="C4895" s="1348"/>
      <c r="D4895" s="1348"/>
      <c r="E4895" s="1348"/>
      <c r="F4895" s="1348"/>
      <c r="G4895" s="1348"/>
      <c r="H4895" s="1348"/>
      <c r="I4895" s="1348"/>
      <c r="J4895" s="1348"/>
      <c r="K4895" s="1348"/>
    </row>
    <row r="4896" spans="2:11" hidden="1">
      <c r="B4896" s="1348"/>
      <c r="C4896" s="1348"/>
      <c r="D4896" s="1348"/>
      <c r="E4896" s="1348"/>
      <c r="F4896" s="1348"/>
      <c r="G4896" s="1348"/>
      <c r="H4896" s="1348"/>
      <c r="I4896" s="1348"/>
      <c r="J4896" s="1348"/>
      <c r="K4896" s="1348"/>
    </row>
    <row r="4897" spans="2:11" hidden="1">
      <c r="B4897" s="1348"/>
      <c r="C4897" s="1348"/>
      <c r="D4897" s="1348"/>
      <c r="E4897" s="1348"/>
      <c r="F4897" s="1348"/>
      <c r="G4897" s="1348"/>
      <c r="H4897" s="1348"/>
      <c r="I4897" s="1348"/>
      <c r="J4897" s="1348"/>
      <c r="K4897" s="1348"/>
    </row>
    <row r="4898" spans="2:11" hidden="1">
      <c r="B4898" s="1348"/>
      <c r="C4898" s="1348"/>
      <c r="D4898" s="1348"/>
      <c r="E4898" s="1348"/>
      <c r="F4898" s="1348"/>
      <c r="G4898" s="1348"/>
      <c r="H4898" s="1348"/>
      <c r="I4898" s="1348"/>
      <c r="J4898" s="1348"/>
      <c r="K4898" s="1348"/>
    </row>
    <row r="4899" spans="2:11" hidden="1">
      <c r="B4899" s="1348"/>
      <c r="C4899" s="1348"/>
      <c r="D4899" s="1348"/>
      <c r="E4899" s="1348"/>
      <c r="F4899" s="1348"/>
      <c r="G4899" s="1348"/>
      <c r="H4899" s="1348"/>
      <c r="I4899" s="1348"/>
      <c r="J4899" s="1348"/>
      <c r="K4899" s="1348"/>
    </row>
    <row r="4900" spans="2:11" hidden="1">
      <c r="B4900" s="1348"/>
      <c r="C4900" s="1348"/>
      <c r="D4900" s="1348"/>
      <c r="E4900" s="1348"/>
      <c r="F4900" s="1348"/>
      <c r="G4900" s="1348"/>
      <c r="H4900" s="1348"/>
      <c r="I4900" s="1348"/>
      <c r="J4900" s="1348"/>
      <c r="K4900" s="1348"/>
    </row>
    <row r="4901" spans="2:11" hidden="1">
      <c r="B4901" s="1348"/>
      <c r="C4901" s="1348"/>
      <c r="D4901" s="1348"/>
      <c r="E4901" s="1348"/>
      <c r="F4901" s="1348"/>
      <c r="G4901" s="1348"/>
      <c r="H4901" s="1348"/>
      <c r="I4901" s="1348"/>
      <c r="J4901" s="1348"/>
      <c r="K4901" s="1348"/>
    </row>
    <row r="4902" spans="2:11" hidden="1">
      <c r="B4902" s="1348"/>
      <c r="C4902" s="1348"/>
      <c r="D4902" s="1348"/>
      <c r="E4902" s="1348"/>
      <c r="F4902" s="1348"/>
      <c r="G4902" s="1348"/>
      <c r="H4902" s="1348"/>
      <c r="I4902" s="1348"/>
      <c r="J4902" s="1348"/>
      <c r="K4902" s="1348"/>
    </row>
    <row r="4903" spans="2:11" hidden="1">
      <c r="B4903" s="1348"/>
      <c r="C4903" s="1348"/>
      <c r="D4903" s="1348"/>
      <c r="E4903" s="1348"/>
      <c r="F4903" s="1348"/>
      <c r="G4903" s="1348"/>
      <c r="H4903" s="1348"/>
      <c r="I4903" s="1348"/>
      <c r="J4903" s="1348"/>
      <c r="K4903" s="1348"/>
    </row>
    <row r="4904" spans="2:11" hidden="1">
      <c r="B4904" s="1348"/>
      <c r="C4904" s="1348"/>
      <c r="D4904" s="1348"/>
      <c r="E4904" s="1348"/>
      <c r="F4904" s="1348"/>
      <c r="G4904" s="1348"/>
      <c r="H4904" s="1348"/>
      <c r="I4904" s="1348"/>
      <c r="J4904" s="1348"/>
      <c r="K4904" s="1348"/>
    </row>
    <row r="4905" spans="2:11" hidden="1">
      <c r="B4905" s="1348"/>
      <c r="C4905" s="1348"/>
      <c r="D4905" s="1348"/>
      <c r="E4905" s="1348"/>
      <c r="F4905" s="1348"/>
      <c r="G4905" s="1348"/>
      <c r="H4905" s="1348"/>
      <c r="I4905" s="1348"/>
      <c r="J4905" s="1348"/>
      <c r="K4905" s="1348"/>
    </row>
    <row r="4906" spans="2:11" hidden="1">
      <c r="B4906" s="1348"/>
      <c r="C4906" s="1348"/>
      <c r="D4906" s="1348"/>
      <c r="E4906" s="1348"/>
      <c r="F4906" s="1348"/>
      <c r="G4906" s="1348"/>
      <c r="H4906" s="1348"/>
      <c r="I4906" s="1348"/>
      <c r="J4906" s="1348"/>
      <c r="K4906" s="1348"/>
    </row>
    <row r="4907" spans="2:11" hidden="1">
      <c r="B4907" s="1348"/>
      <c r="C4907" s="1348"/>
      <c r="D4907" s="1348"/>
      <c r="E4907" s="1348"/>
      <c r="F4907" s="1348"/>
      <c r="G4907" s="1348"/>
      <c r="H4907" s="1348"/>
      <c r="I4907" s="1348"/>
      <c r="J4907" s="1348"/>
      <c r="K4907" s="1348"/>
    </row>
    <row r="4908" spans="2:11" hidden="1">
      <c r="B4908" s="1348"/>
      <c r="C4908" s="1348"/>
      <c r="D4908" s="1348"/>
      <c r="E4908" s="1348"/>
      <c r="F4908" s="1348"/>
      <c r="G4908" s="1348"/>
      <c r="H4908" s="1348"/>
      <c r="I4908" s="1348"/>
      <c r="J4908" s="1348"/>
      <c r="K4908" s="1348"/>
    </row>
    <row r="4909" spans="2:11" hidden="1">
      <c r="B4909" s="1348"/>
      <c r="C4909" s="1348"/>
      <c r="D4909" s="1348"/>
      <c r="E4909" s="1348"/>
      <c r="F4909" s="1348"/>
      <c r="G4909" s="1348"/>
      <c r="H4909" s="1348"/>
      <c r="I4909" s="1348"/>
      <c r="J4909" s="1348"/>
      <c r="K4909" s="1348"/>
    </row>
    <row r="4910" spans="2:11" hidden="1">
      <c r="B4910" s="1348"/>
      <c r="C4910" s="1348"/>
      <c r="D4910" s="1348"/>
      <c r="E4910" s="1348"/>
      <c r="F4910" s="1348"/>
      <c r="G4910" s="1348"/>
      <c r="H4910" s="1348"/>
      <c r="I4910" s="1348"/>
      <c r="J4910" s="1348"/>
      <c r="K4910" s="1348"/>
    </row>
    <row r="4911" spans="2:11" hidden="1">
      <c r="B4911" s="1348"/>
      <c r="C4911" s="1348"/>
      <c r="D4911" s="1348"/>
      <c r="E4911" s="1348"/>
      <c r="F4911" s="1348"/>
      <c r="G4911" s="1348"/>
      <c r="H4911" s="1348"/>
      <c r="I4911" s="1348"/>
      <c r="J4911" s="1348"/>
      <c r="K4911" s="1348"/>
    </row>
    <row r="4912" spans="2:11" hidden="1">
      <c r="B4912" s="1348"/>
      <c r="C4912" s="1348"/>
      <c r="D4912" s="1348"/>
      <c r="E4912" s="1348"/>
      <c r="F4912" s="1348"/>
      <c r="G4912" s="1348"/>
      <c r="H4912" s="1348"/>
      <c r="I4912" s="1348"/>
      <c r="J4912" s="1348"/>
      <c r="K4912" s="1348"/>
    </row>
    <row r="4913" spans="2:11" hidden="1">
      <c r="B4913" s="1348"/>
      <c r="C4913" s="1348"/>
      <c r="D4913" s="1348"/>
      <c r="E4913" s="1348"/>
      <c r="F4913" s="1348"/>
      <c r="G4913" s="1348"/>
      <c r="H4913" s="1348"/>
      <c r="I4913" s="1348"/>
      <c r="J4913" s="1348"/>
      <c r="K4913" s="1348"/>
    </row>
    <row r="4914" spans="2:11" hidden="1">
      <c r="B4914" s="1348"/>
      <c r="C4914" s="1348"/>
      <c r="D4914" s="1348"/>
      <c r="E4914" s="1348"/>
      <c r="F4914" s="1348"/>
      <c r="G4914" s="1348"/>
      <c r="H4914" s="1348"/>
      <c r="I4914" s="1348"/>
      <c r="J4914" s="1348"/>
      <c r="K4914" s="1348"/>
    </row>
    <row r="4915" spans="2:11" hidden="1">
      <c r="B4915" s="1348"/>
      <c r="C4915" s="1348"/>
      <c r="D4915" s="1348"/>
      <c r="E4915" s="1348"/>
      <c r="F4915" s="1348"/>
      <c r="G4915" s="1348"/>
      <c r="H4915" s="1348"/>
      <c r="I4915" s="1348"/>
      <c r="J4915" s="1348"/>
      <c r="K4915" s="1348"/>
    </row>
    <row r="4916" spans="2:11" hidden="1">
      <c r="B4916" s="1348"/>
      <c r="C4916" s="1348"/>
      <c r="D4916" s="1348"/>
      <c r="E4916" s="1348"/>
      <c r="F4916" s="1348"/>
      <c r="G4916" s="1348"/>
      <c r="H4916" s="1348"/>
      <c r="I4916" s="1348"/>
      <c r="J4916" s="1348"/>
      <c r="K4916" s="1348"/>
    </row>
    <row r="4917" spans="2:11" hidden="1">
      <c r="B4917" s="1348"/>
      <c r="C4917" s="1348"/>
      <c r="D4917" s="1348"/>
      <c r="E4917" s="1348"/>
      <c r="F4917" s="1348"/>
      <c r="G4917" s="1348"/>
      <c r="H4917" s="1348"/>
      <c r="I4917" s="1348"/>
      <c r="J4917" s="1348"/>
      <c r="K4917" s="1348"/>
    </row>
    <row r="4918" spans="2:11" hidden="1">
      <c r="B4918" s="1348"/>
      <c r="C4918" s="1348"/>
      <c r="D4918" s="1348"/>
      <c r="E4918" s="1348"/>
      <c r="F4918" s="1348"/>
      <c r="G4918" s="1348"/>
      <c r="H4918" s="1348"/>
      <c r="I4918" s="1348"/>
      <c r="J4918" s="1348"/>
      <c r="K4918" s="1348"/>
    </row>
    <row r="4919" spans="2:11" hidden="1">
      <c r="B4919" s="1348"/>
      <c r="C4919" s="1348"/>
      <c r="D4919" s="1348"/>
      <c r="E4919" s="1348"/>
      <c r="F4919" s="1348"/>
      <c r="G4919" s="1348"/>
      <c r="H4919" s="1348"/>
      <c r="I4919" s="1348"/>
      <c r="J4919" s="1348"/>
      <c r="K4919" s="1348"/>
    </row>
    <row r="4920" spans="2:11" hidden="1">
      <c r="B4920" s="1348"/>
      <c r="C4920" s="1348"/>
      <c r="D4920" s="1348"/>
      <c r="E4920" s="1348"/>
      <c r="F4920" s="1348"/>
      <c r="G4920" s="1348"/>
      <c r="H4920" s="1348"/>
      <c r="I4920" s="1348"/>
      <c r="J4920" s="1348"/>
      <c r="K4920" s="1348"/>
    </row>
    <row r="4921" spans="2:11" hidden="1">
      <c r="B4921" s="1348"/>
      <c r="C4921" s="1348"/>
      <c r="D4921" s="1348"/>
      <c r="E4921" s="1348"/>
      <c r="F4921" s="1348"/>
      <c r="G4921" s="1348"/>
      <c r="H4921" s="1348"/>
      <c r="I4921" s="1348"/>
      <c r="J4921" s="1348"/>
      <c r="K4921" s="1348"/>
    </row>
    <row r="4922" spans="2:11" hidden="1">
      <c r="B4922" s="1348"/>
      <c r="C4922" s="1348"/>
      <c r="D4922" s="1348"/>
      <c r="E4922" s="1348"/>
      <c r="F4922" s="1348"/>
      <c r="G4922" s="1348"/>
      <c r="H4922" s="1348"/>
      <c r="I4922" s="1348"/>
      <c r="J4922" s="1348"/>
      <c r="K4922" s="1348"/>
    </row>
    <row r="4923" spans="2:11" hidden="1">
      <c r="B4923" s="1348"/>
      <c r="C4923" s="1348"/>
      <c r="D4923" s="1348"/>
      <c r="E4923" s="1348"/>
      <c r="F4923" s="1348"/>
      <c r="G4923" s="1348"/>
      <c r="H4923" s="1348"/>
      <c r="I4923" s="1348"/>
      <c r="J4923" s="1348"/>
      <c r="K4923" s="1348"/>
    </row>
    <row r="4924" spans="2:11" hidden="1">
      <c r="B4924" s="1348"/>
      <c r="C4924" s="1348"/>
      <c r="D4924" s="1348"/>
      <c r="E4924" s="1348"/>
      <c r="F4924" s="1348"/>
      <c r="G4924" s="1348"/>
      <c r="H4924" s="1348"/>
      <c r="I4924" s="1348"/>
      <c r="J4924" s="1348"/>
      <c r="K4924" s="1348"/>
    </row>
    <row r="4925" spans="2:11" hidden="1">
      <c r="B4925" s="1348"/>
      <c r="C4925" s="1348"/>
      <c r="D4925" s="1348"/>
      <c r="E4925" s="1348"/>
      <c r="F4925" s="1348"/>
      <c r="G4925" s="1348"/>
      <c r="H4925" s="1348"/>
      <c r="I4925" s="1348"/>
      <c r="J4925" s="1348"/>
      <c r="K4925" s="1348"/>
    </row>
    <row r="4926" spans="2:11" hidden="1">
      <c r="B4926" s="1348"/>
      <c r="C4926" s="1348"/>
      <c r="D4926" s="1348"/>
      <c r="E4926" s="1348"/>
      <c r="F4926" s="1348"/>
      <c r="G4926" s="1348"/>
      <c r="H4926" s="1348"/>
      <c r="I4926" s="1348"/>
      <c r="J4926" s="1348"/>
      <c r="K4926" s="1348"/>
    </row>
    <row r="4927" spans="2:11" hidden="1">
      <c r="B4927" s="1348"/>
      <c r="C4927" s="1348"/>
      <c r="D4927" s="1348"/>
      <c r="E4927" s="1348"/>
      <c r="F4927" s="1348"/>
      <c r="G4927" s="1348"/>
      <c r="H4927" s="1348"/>
      <c r="I4927" s="1348"/>
      <c r="J4927" s="1348"/>
      <c r="K4927" s="1348"/>
    </row>
    <row r="4928" spans="2:11" hidden="1">
      <c r="B4928" s="1348"/>
      <c r="C4928" s="1348"/>
      <c r="D4928" s="1348"/>
      <c r="E4928" s="1348"/>
      <c r="F4928" s="1348"/>
      <c r="G4928" s="1348"/>
      <c r="H4928" s="1348"/>
      <c r="I4928" s="1348"/>
      <c r="J4928" s="1348"/>
      <c r="K4928" s="1348"/>
    </row>
    <row r="4929" spans="2:11" hidden="1">
      <c r="B4929" s="1348"/>
      <c r="C4929" s="1348"/>
      <c r="D4929" s="1348"/>
      <c r="E4929" s="1348"/>
      <c r="F4929" s="1348"/>
      <c r="G4929" s="1348"/>
      <c r="H4929" s="1348"/>
      <c r="I4929" s="1348"/>
      <c r="J4929" s="1348"/>
      <c r="K4929" s="1348"/>
    </row>
    <row r="4930" spans="2:11" hidden="1">
      <c r="B4930" s="1348"/>
      <c r="C4930" s="1348"/>
      <c r="D4930" s="1348"/>
      <c r="E4930" s="1348"/>
      <c r="F4930" s="1348"/>
      <c r="G4930" s="1348"/>
      <c r="H4930" s="1348"/>
      <c r="I4930" s="1348"/>
      <c r="J4930" s="1348"/>
      <c r="K4930" s="1348"/>
    </row>
    <row r="4931" spans="2:11" hidden="1">
      <c r="B4931" s="1348"/>
      <c r="C4931" s="1348"/>
      <c r="D4931" s="1348"/>
      <c r="E4931" s="1348"/>
      <c r="F4931" s="1348"/>
      <c r="G4931" s="1348"/>
      <c r="H4931" s="1348"/>
      <c r="I4931" s="1348"/>
      <c r="J4931" s="1348"/>
      <c r="K4931" s="1348"/>
    </row>
    <row r="4932" spans="2:11" hidden="1">
      <c r="B4932" s="1348"/>
      <c r="C4932" s="1348"/>
      <c r="D4932" s="1348"/>
      <c r="E4932" s="1348"/>
      <c r="F4932" s="1348"/>
      <c r="G4932" s="1348"/>
      <c r="H4932" s="1348"/>
      <c r="I4932" s="1348"/>
      <c r="J4932" s="1348"/>
      <c r="K4932" s="1348"/>
    </row>
    <row r="4933" spans="2:11" hidden="1">
      <c r="B4933" s="1348"/>
      <c r="C4933" s="1348"/>
      <c r="D4933" s="1348"/>
      <c r="E4933" s="1348"/>
      <c r="F4933" s="1348"/>
      <c r="G4933" s="1348"/>
      <c r="H4933" s="1348"/>
      <c r="I4933" s="1348"/>
      <c r="J4933" s="1348"/>
      <c r="K4933" s="1348"/>
    </row>
    <row r="4934" spans="2:11" hidden="1">
      <c r="B4934" s="1348"/>
      <c r="C4934" s="1348"/>
      <c r="D4934" s="1348"/>
      <c r="E4934" s="1348"/>
      <c r="F4934" s="1348"/>
      <c r="G4934" s="1348"/>
      <c r="H4934" s="1348"/>
      <c r="I4934" s="1348"/>
      <c r="J4934" s="1348"/>
      <c r="K4934" s="1348"/>
    </row>
    <row r="4935" spans="2:11" hidden="1">
      <c r="B4935" s="1348"/>
      <c r="C4935" s="1348"/>
      <c r="D4935" s="1348"/>
      <c r="E4935" s="1348"/>
      <c r="F4935" s="1348"/>
      <c r="G4935" s="1348"/>
      <c r="H4935" s="1348"/>
      <c r="I4935" s="1348"/>
      <c r="J4935" s="1348"/>
      <c r="K4935" s="1348"/>
    </row>
    <row r="4936" spans="2:11" hidden="1">
      <c r="B4936" s="1348"/>
      <c r="C4936" s="1348"/>
      <c r="D4936" s="1348"/>
      <c r="E4936" s="1348"/>
      <c r="F4936" s="1348"/>
      <c r="G4936" s="1348"/>
      <c r="H4936" s="1348"/>
      <c r="I4936" s="1348"/>
      <c r="J4936" s="1348"/>
      <c r="K4936" s="1348"/>
    </row>
    <row r="4937" spans="2:11" hidden="1">
      <c r="B4937" s="1348"/>
      <c r="C4937" s="1348"/>
      <c r="D4937" s="1348"/>
      <c r="E4937" s="1348"/>
      <c r="F4937" s="1348"/>
      <c r="G4937" s="1348"/>
      <c r="H4937" s="1348"/>
      <c r="I4937" s="1348"/>
      <c r="J4937" s="1348"/>
      <c r="K4937" s="1348"/>
    </row>
    <row r="4938" spans="2:11" hidden="1">
      <c r="B4938" s="1348"/>
      <c r="C4938" s="1348"/>
      <c r="D4938" s="1348"/>
      <c r="E4938" s="1348"/>
      <c r="F4938" s="1348"/>
      <c r="G4938" s="1348"/>
      <c r="H4938" s="1348"/>
      <c r="I4938" s="1348"/>
      <c r="J4938" s="1348"/>
      <c r="K4938" s="1348"/>
    </row>
    <row r="4939" spans="2:11" hidden="1">
      <c r="B4939" s="1348"/>
      <c r="C4939" s="1348"/>
      <c r="D4939" s="1348"/>
      <c r="E4939" s="1348"/>
      <c r="F4939" s="1348"/>
      <c r="G4939" s="1348"/>
      <c r="H4939" s="1348"/>
      <c r="I4939" s="1348"/>
      <c r="J4939" s="1348"/>
      <c r="K4939" s="1348"/>
    </row>
    <row r="4940" spans="2:11" hidden="1">
      <c r="B4940" s="1348"/>
      <c r="C4940" s="1348"/>
      <c r="D4940" s="1348"/>
      <c r="E4940" s="1348"/>
      <c r="F4940" s="1348"/>
      <c r="G4940" s="1348"/>
      <c r="H4940" s="1348"/>
      <c r="I4940" s="1348"/>
      <c r="J4940" s="1348"/>
      <c r="K4940" s="1348"/>
    </row>
    <row r="4941" spans="2:11" hidden="1">
      <c r="B4941" s="1348"/>
      <c r="C4941" s="1348"/>
      <c r="D4941" s="1348"/>
      <c r="E4941" s="1348"/>
      <c r="F4941" s="1348"/>
      <c r="G4941" s="1348"/>
      <c r="H4941" s="1348"/>
      <c r="I4941" s="1348"/>
      <c r="J4941" s="1348"/>
      <c r="K4941" s="1348"/>
    </row>
    <row r="4942" spans="2:11" hidden="1">
      <c r="B4942" s="1348"/>
      <c r="C4942" s="1348"/>
      <c r="D4942" s="1348"/>
      <c r="E4942" s="1348"/>
      <c r="F4942" s="1348"/>
      <c r="G4942" s="1348"/>
      <c r="H4942" s="1348"/>
      <c r="I4942" s="1348"/>
      <c r="J4942" s="1348"/>
      <c r="K4942" s="1348"/>
    </row>
    <row r="4943" spans="2:11" hidden="1">
      <c r="B4943" s="1348"/>
      <c r="C4943" s="1348"/>
      <c r="D4943" s="1348"/>
      <c r="E4943" s="1348"/>
      <c r="F4943" s="1348"/>
      <c r="G4943" s="1348"/>
      <c r="H4943" s="1348"/>
      <c r="I4943" s="1348"/>
      <c r="J4943" s="1348"/>
      <c r="K4943" s="1348"/>
    </row>
    <row r="4944" spans="2:11" hidden="1">
      <c r="B4944" s="1348"/>
      <c r="C4944" s="1348"/>
      <c r="D4944" s="1348"/>
      <c r="E4944" s="1348"/>
      <c r="F4944" s="1348"/>
      <c r="G4944" s="1348"/>
      <c r="H4944" s="1348"/>
      <c r="I4944" s="1348"/>
      <c r="J4944" s="1348"/>
      <c r="K4944" s="1348"/>
    </row>
    <row r="4945" spans="2:11" hidden="1">
      <c r="B4945" s="1348"/>
      <c r="C4945" s="1348"/>
      <c r="D4945" s="1348"/>
      <c r="E4945" s="1348"/>
      <c r="F4945" s="1348"/>
      <c r="G4945" s="1348"/>
      <c r="H4945" s="1348"/>
      <c r="I4945" s="1348"/>
      <c r="J4945" s="1348"/>
      <c r="K4945" s="1348"/>
    </row>
    <row r="4946" spans="2:11" hidden="1">
      <c r="B4946" s="1348"/>
      <c r="C4946" s="1348"/>
      <c r="D4946" s="1348"/>
      <c r="E4946" s="1348"/>
      <c r="F4946" s="1348"/>
      <c r="G4946" s="1348"/>
      <c r="H4946" s="1348"/>
      <c r="I4946" s="1348"/>
      <c r="J4946" s="1348"/>
      <c r="K4946" s="1348"/>
    </row>
    <row r="4947" spans="2:11" hidden="1">
      <c r="B4947" s="1348"/>
      <c r="C4947" s="1348"/>
      <c r="D4947" s="1348"/>
      <c r="E4947" s="1348"/>
      <c r="F4947" s="1348"/>
      <c r="G4947" s="1348"/>
      <c r="H4947" s="1348"/>
      <c r="I4947" s="1348"/>
      <c r="J4947" s="1348"/>
      <c r="K4947" s="1348"/>
    </row>
    <row r="4948" spans="2:11" hidden="1">
      <c r="B4948" s="1348"/>
      <c r="C4948" s="1348"/>
      <c r="D4948" s="1348"/>
      <c r="E4948" s="1348"/>
      <c r="F4948" s="1348"/>
      <c r="G4948" s="1348"/>
      <c r="H4948" s="1348"/>
      <c r="I4948" s="1348"/>
      <c r="J4948" s="1348"/>
      <c r="K4948" s="1348"/>
    </row>
    <row r="4949" spans="2:11" hidden="1">
      <c r="B4949" s="1348"/>
      <c r="C4949" s="1348"/>
      <c r="D4949" s="1348"/>
      <c r="E4949" s="1348"/>
      <c r="F4949" s="1348"/>
      <c r="G4949" s="1348"/>
      <c r="H4949" s="1348"/>
      <c r="I4949" s="1348"/>
      <c r="J4949" s="1348"/>
      <c r="K4949" s="1348"/>
    </row>
    <row r="4950" spans="2:11" hidden="1">
      <c r="B4950" s="1348"/>
      <c r="C4950" s="1348"/>
      <c r="D4950" s="1348"/>
      <c r="E4950" s="1348"/>
      <c r="F4950" s="1348"/>
      <c r="G4950" s="1348"/>
      <c r="H4950" s="1348"/>
      <c r="I4950" s="1348"/>
      <c r="J4950" s="1348"/>
      <c r="K4950" s="1348"/>
    </row>
    <row r="4951" spans="2:11" hidden="1">
      <c r="B4951" s="1348"/>
      <c r="C4951" s="1348"/>
      <c r="D4951" s="1348"/>
      <c r="E4951" s="1348"/>
      <c r="F4951" s="1348"/>
      <c r="G4951" s="1348"/>
      <c r="H4951" s="1348"/>
      <c r="I4951" s="1348"/>
      <c r="J4951" s="1348"/>
      <c r="K4951" s="1348"/>
    </row>
    <row r="4952" spans="2:11" hidden="1">
      <c r="B4952" s="1348"/>
      <c r="C4952" s="1348"/>
      <c r="D4952" s="1348"/>
      <c r="E4952" s="1348"/>
      <c r="F4952" s="1348"/>
      <c r="G4952" s="1348"/>
      <c r="H4952" s="1348"/>
      <c r="I4952" s="1348"/>
      <c r="J4952" s="1348"/>
      <c r="K4952" s="1348"/>
    </row>
    <row r="4953" spans="2:11" hidden="1">
      <c r="B4953" s="1348"/>
      <c r="C4953" s="1348"/>
      <c r="D4953" s="1348"/>
      <c r="E4953" s="1348"/>
      <c r="F4953" s="1348"/>
      <c r="G4953" s="1348"/>
      <c r="H4953" s="1348"/>
      <c r="I4953" s="1348"/>
      <c r="J4953" s="1348"/>
      <c r="K4953" s="1348"/>
    </row>
    <row r="4954" spans="2:11" hidden="1">
      <c r="B4954" s="1348"/>
      <c r="C4954" s="1348"/>
      <c r="D4954" s="1348"/>
      <c r="E4954" s="1348"/>
      <c r="F4954" s="1348"/>
      <c r="G4954" s="1348"/>
      <c r="H4954" s="1348"/>
      <c r="I4954" s="1348"/>
      <c r="J4954" s="1348"/>
      <c r="K4954" s="1348"/>
    </row>
    <row r="4955" spans="2:11" hidden="1">
      <c r="B4955" s="1348"/>
      <c r="C4955" s="1348"/>
      <c r="D4955" s="1348"/>
      <c r="E4955" s="1348"/>
      <c r="F4955" s="1348"/>
      <c r="G4955" s="1348"/>
      <c r="H4955" s="1348"/>
      <c r="I4955" s="1348"/>
      <c r="J4955" s="1348"/>
      <c r="K4955" s="1348"/>
    </row>
    <row r="4956" spans="2:11" hidden="1">
      <c r="B4956" s="1348"/>
      <c r="C4956" s="1348"/>
      <c r="D4956" s="1348"/>
      <c r="E4956" s="1348"/>
      <c r="F4956" s="1348"/>
      <c r="G4956" s="1348"/>
      <c r="H4956" s="1348"/>
      <c r="I4956" s="1348"/>
      <c r="J4956" s="1348"/>
      <c r="K4956" s="1348"/>
    </row>
    <row r="4957" spans="2:11" hidden="1">
      <c r="B4957" s="1348"/>
      <c r="C4957" s="1348"/>
      <c r="D4957" s="1348"/>
      <c r="E4957" s="1348"/>
      <c r="F4957" s="1348"/>
      <c r="G4957" s="1348"/>
      <c r="H4957" s="1348"/>
      <c r="I4957" s="1348"/>
      <c r="J4957" s="1348"/>
      <c r="K4957" s="1348"/>
    </row>
    <row r="4958" spans="2:11" hidden="1">
      <c r="B4958" s="1348"/>
      <c r="C4958" s="1348"/>
      <c r="D4958" s="1348"/>
      <c r="E4958" s="1348"/>
      <c r="F4958" s="1348"/>
      <c r="G4958" s="1348"/>
      <c r="H4958" s="1348"/>
      <c r="I4958" s="1348"/>
      <c r="J4958" s="1348"/>
      <c r="K4958" s="1348"/>
    </row>
    <row r="4959" spans="2:11" hidden="1">
      <c r="B4959" s="1348"/>
      <c r="C4959" s="1348"/>
      <c r="D4959" s="1348"/>
      <c r="E4959" s="1348"/>
      <c r="F4959" s="1348"/>
      <c r="G4959" s="1348"/>
      <c r="H4959" s="1348"/>
      <c r="I4959" s="1348"/>
      <c r="J4959" s="1348"/>
      <c r="K4959" s="1348"/>
    </row>
    <row r="4960" spans="2:11" hidden="1">
      <c r="B4960" s="1348"/>
      <c r="C4960" s="1348"/>
      <c r="D4960" s="1348"/>
      <c r="E4960" s="1348"/>
      <c r="F4960" s="1348"/>
      <c r="G4960" s="1348"/>
      <c r="H4960" s="1348"/>
      <c r="I4960" s="1348"/>
      <c r="J4960" s="1348"/>
      <c r="K4960" s="1348"/>
    </row>
    <row r="4961" spans="2:11" hidden="1">
      <c r="B4961" s="1348"/>
      <c r="C4961" s="1348"/>
      <c r="D4961" s="1348"/>
      <c r="E4961" s="1348"/>
      <c r="F4961" s="1348"/>
      <c r="G4961" s="1348"/>
      <c r="H4961" s="1348"/>
      <c r="I4961" s="1348"/>
      <c r="J4961" s="1348"/>
      <c r="K4961" s="1348"/>
    </row>
    <row r="4962" spans="2:11" hidden="1">
      <c r="B4962" s="1348"/>
      <c r="C4962" s="1348"/>
      <c r="D4962" s="1348"/>
      <c r="E4962" s="1348"/>
      <c r="F4962" s="1348"/>
      <c r="G4962" s="1348"/>
      <c r="H4962" s="1348"/>
      <c r="I4962" s="1348"/>
      <c r="J4962" s="1348"/>
      <c r="K4962" s="1348"/>
    </row>
    <row r="4963" spans="2:11" hidden="1">
      <c r="B4963" s="1348"/>
      <c r="C4963" s="1348"/>
      <c r="D4963" s="1348"/>
      <c r="E4963" s="1348"/>
      <c r="F4963" s="1348"/>
      <c r="G4963" s="1348"/>
      <c r="H4963" s="1348"/>
      <c r="I4963" s="1348"/>
      <c r="J4963" s="1348"/>
      <c r="K4963" s="1348"/>
    </row>
    <row r="4964" spans="2:11" hidden="1">
      <c r="B4964" s="1348"/>
      <c r="C4964" s="1348"/>
      <c r="D4964" s="1348"/>
      <c r="E4964" s="1348"/>
      <c r="F4964" s="1348"/>
      <c r="G4964" s="1348"/>
      <c r="H4964" s="1348"/>
      <c r="I4964" s="1348"/>
      <c r="J4964" s="1348"/>
      <c r="K4964" s="1348"/>
    </row>
    <row r="4965" spans="2:11" hidden="1">
      <c r="B4965" s="1348"/>
      <c r="C4965" s="1348"/>
      <c r="D4965" s="1348"/>
      <c r="E4965" s="1348"/>
      <c r="F4965" s="1348"/>
      <c r="G4965" s="1348"/>
      <c r="H4965" s="1348"/>
      <c r="I4965" s="1348"/>
      <c r="J4965" s="1348"/>
      <c r="K4965" s="1348"/>
    </row>
    <row r="4966" spans="2:11" hidden="1">
      <c r="B4966" s="1348"/>
      <c r="C4966" s="1348"/>
      <c r="D4966" s="1348"/>
      <c r="E4966" s="1348"/>
      <c r="F4966" s="1348"/>
      <c r="G4966" s="1348"/>
      <c r="H4966" s="1348"/>
      <c r="I4966" s="1348"/>
      <c r="J4966" s="1348"/>
      <c r="K4966" s="1348"/>
    </row>
    <row r="4967" spans="2:11" hidden="1">
      <c r="B4967" s="1348"/>
      <c r="C4967" s="1348"/>
      <c r="D4967" s="1348"/>
      <c r="E4967" s="1348"/>
      <c r="F4967" s="1348"/>
      <c r="G4967" s="1348"/>
      <c r="H4967" s="1348"/>
      <c r="I4967" s="1348"/>
      <c r="J4967" s="1348"/>
      <c r="K4967" s="1348"/>
    </row>
    <row r="4968" spans="2:11" hidden="1">
      <c r="B4968" s="1348"/>
      <c r="C4968" s="1348"/>
      <c r="D4968" s="1348"/>
      <c r="E4968" s="1348"/>
      <c r="F4968" s="1348"/>
      <c r="G4968" s="1348"/>
      <c r="H4968" s="1348"/>
      <c r="I4968" s="1348"/>
      <c r="J4968" s="1348"/>
      <c r="K4968" s="1348"/>
    </row>
    <row r="4969" spans="2:11" hidden="1">
      <c r="B4969" s="1348"/>
      <c r="C4969" s="1348"/>
      <c r="D4969" s="1348"/>
      <c r="E4969" s="1348"/>
      <c r="F4969" s="1348"/>
      <c r="G4969" s="1348"/>
      <c r="H4969" s="1348"/>
      <c r="I4969" s="1348"/>
      <c r="J4969" s="1348"/>
      <c r="K4969" s="1348"/>
    </row>
    <row r="4970" spans="2:11" hidden="1">
      <c r="B4970" s="1348"/>
      <c r="C4970" s="1348"/>
      <c r="D4970" s="1348"/>
      <c r="E4970" s="1348"/>
      <c r="F4970" s="1348"/>
      <c r="G4970" s="1348"/>
      <c r="H4970" s="1348"/>
      <c r="I4970" s="1348"/>
      <c r="J4970" s="1348"/>
      <c r="K4970" s="1348"/>
    </row>
    <row r="4971" spans="2:11" hidden="1">
      <c r="B4971" s="1348"/>
      <c r="C4971" s="1348"/>
      <c r="D4971" s="1348"/>
      <c r="E4971" s="1348"/>
      <c r="F4971" s="1348"/>
      <c r="G4971" s="1348"/>
      <c r="H4971" s="1348"/>
      <c r="I4971" s="1348"/>
      <c r="J4971" s="1348"/>
      <c r="K4971" s="1348"/>
    </row>
    <row r="4972" spans="2:11" hidden="1">
      <c r="B4972" s="1348"/>
      <c r="C4972" s="1348"/>
      <c r="D4972" s="1348"/>
      <c r="E4972" s="1348"/>
      <c r="F4972" s="1348"/>
      <c r="G4972" s="1348"/>
      <c r="H4972" s="1348"/>
      <c r="I4972" s="1348"/>
      <c r="J4972" s="1348"/>
      <c r="K4972" s="1348"/>
    </row>
    <row r="4973" spans="2:11" hidden="1">
      <c r="B4973" s="1348"/>
      <c r="C4973" s="1348"/>
      <c r="D4973" s="1348"/>
      <c r="E4973" s="1348"/>
      <c r="F4973" s="1348"/>
      <c r="G4973" s="1348"/>
      <c r="H4973" s="1348"/>
      <c r="I4973" s="1348"/>
      <c r="J4973" s="1348"/>
      <c r="K4973" s="1348"/>
    </row>
    <row r="4974" spans="2:11" hidden="1">
      <c r="B4974" s="1348"/>
      <c r="C4974" s="1348"/>
      <c r="D4974" s="1348"/>
      <c r="E4974" s="1348"/>
      <c r="F4974" s="1348"/>
      <c r="G4974" s="1348"/>
      <c r="H4974" s="1348"/>
      <c r="I4974" s="1348"/>
      <c r="J4974" s="1348"/>
      <c r="K4974" s="1348"/>
    </row>
    <row r="4975" spans="2:11" hidden="1">
      <c r="B4975" s="1348"/>
      <c r="C4975" s="1348"/>
      <c r="D4975" s="1348"/>
      <c r="E4975" s="1348"/>
      <c r="F4975" s="1348"/>
      <c r="G4975" s="1348"/>
      <c r="H4975" s="1348"/>
      <c r="I4975" s="1348"/>
      <c r="J4975" s="1348"/>
      <c r="K4975" s="1348"/>
    </row>
    <row r="4976" spans="2:11" hidden="1">
      <c r="B4976" s="1348"/>
      <c r="C4976" s="1348"/>
      <c r="D4976" s="1348"/>
      <c r="E4976" s="1348"/>
      <c r="F4976" s="1348"/>
      <c r="G4976" s="1348"/>
      <c r="H4976" s="1348"/>
      <c r="I4976" s="1348"/>
      <c r="J4976" s="1348"/>
      <c r="K4976" s="1348"/>
    </row>
    <row r="4977" spans="2:11" hidden="1">
      <c r="B4977" s="1348"/>
      <c r="C4977" s="1348"/>
      <c r="D4977" s="1348"/>
      <c r="E4977" s="1348"/>
      <c r="F4977" s="1348"/>
      <c r="G4977" s="1348"/>
      <c r="H4977" s="1348"/>
      <c r="I4977" s="1348"/>
      <c r="J4977" s="1348"/>
      <c r="K4977" s="1348"/>
    </row>
    <row r="4978" spans="2:11" hidden="1">
      <c r="B4978" s="1348"/>
      <c r="C4978" s="1348"/>
      <c r="D4978" s="1348"/>
      <c r="E4978" s="1348"/>
      <c r="F4978" s="1348"/>
      <c r="G4978" s="1348"/>
      <c r="H4978" s="1348"/>
      <c r="I4978" s="1348"/>
      <c r="J4978" s="1348"/>
      <c r="K4978" s="1348"/>
    </row>
    <row r="4979" spans="2:11" hidden="1">
      <c r="B4979" s="1348"/>
      <c r="C4979" s="1348"/>
      <c r="D4979" s="1348"/>
      <c r="E4979" s="1348"/>
      <c r="F4979" s="1348"/>
      <c r="G4979" s="1348"/>
      <c r="H4979" s="1348"/>
      <c r="I4979" s="1348"/>
      <c r="J4979" s="1348"/>
      <c r="K4979" s="1348"/>
    </row>
    <row r="4980" spans="2:11" hidden="1">
      <c r="B4980" s="1348"/>
      <c r="C4980" s="1348"/>
      <c r="D4980" s="1348"/>
      <c r="E4980" s="1348"/>
      <c r="F4980" s="1348"/>
      <c r="G4980" s="1348"/>
      <c r="H4980" s="1348"/>
      <c r="I4980" s="1348"/>
      <c r="J4980" s="1348"/>
      <c r="K4980" s="1348"/>
    </row>
    <row r="4981" spans="2:11" hidden="1">
      <c r="B4981" s="1348"/>
      <c r="C4981" s="1348"/>
      <c r="D4981" s="1348"/>
      <c r="E4981" s="1348"/>
      <c r="F4981" s="1348"/>
      <c r="G4981" s="1348"/>
      <c r="H4981" s="1348"/>
      <c r="I4981" s="1348"/>
      <c r="J4981" s="1348"/>
      <c r="K4981" s="1348"/>
    </row>
    <row r="4982" spans="2:11" hidden="1">
      <c r="B4982" s="1348"/>
      <c r="C4982" s="1348"/>
      <c r="D4982" s="1348"/>
      <c r="E4982" s="1348"/>
      <c r="F4982" s="1348"/>
      <c r="G4982" s="1348"/>
      <c r="H4982" s="1348"/>
      <c r="I4982" s="1348"/>
      <c r="J4982" s="1348"/>
      <c r="K4982" s="1348"/>
    </row>
    <row r="4983" spans="2:11" hidden="1">
      <c r="B4983" s="1348"/>
      <c r="C4983" s="1348"/>
      <c r="D4983" s="1348"/>
      <c r="E4983" s="1348"/>
      <c r="F4983" s="1348"/>
      <c r="G4983" s="1348"/>
      <c r="H4983" s="1348"/>
      <c r="I4983" s="1348"/>
      <c r="J4983" s="1348"/>
      <c r="K4983" s="1348"/>
    </row>
    <row r="4984" spans="2:11" hidden="1">
      <c r="B4984" s="1348"/>
      <c r="C4984" s="1348"/>
      <c r="D4984" s="1348"/>
      <c r="E4984" s="1348"/>
      <c r="F4984" s="1348"/>
      <c r="G4984" s="1348"/>
      <c r="H4984" s="1348"/>
      <c r="I4984" s="1348"/>
      <c r="J4984" s="1348"/>
      <c r="K4984" s="1348"/>
    </row>
    <row r="4985" spans="2:11" hidden="1">
      <c r="B4985" s="1348"/>
      <c r="C4985" s="1348"/>
      <c r="D4985" s="1348"/>
      <c r="E4985" s="1348"/>
      <c r="F4985" s="1348"/>
      <c r="G4985" s="1348"/>
      <c r="H4985" s="1348"/>
      <c r="I4985" s="1348"/>
      <c r="J4985" s="1348"/>
      <c r="K4985" s="1348"/>
    </row>
    <row r="4986" spans="2:11" hidden="1">
      <c r="B4986" s="1348"/>
      <c r="C4986" s="1348"/>
      <c r="D4986" s="1348"/>
      <c r="E4986" s="1348"/>
      <c r="F4986" s="1348"/>
      <c r="G4986" s="1348"/>
      <c r="H4986" s="1348"/>
      <c r="I4986" s="1348"/>
      <c r="J4986" s="1348"/>
      <c r="K4986" s="1348"/>
    </row>
    <row r="4987" spans="2:11" hidden="1">
      <c r="B4987" s="1348"/>
      <c r="C4987" s="1348"/>
      <c r="D4987" s="1348"/>
      <c r="E4987" s="1348"/>
      <c r="F4987" s="1348"/>
      <c r="G4987" s="1348"/>
      <c r="H4987" s="1348"/>
      <c r="I4987" s="1348"/>
      <c r="J4987" s="1348"/>
      <c r="K4987" s="1348"/>
    </row>
    <row r="4988" spans="2:11" hidden="1">
      <c r="B4988" s="1348"/>
      <c r="C4988" s="1348"/>
      <c r="D4988" s="1348"/>
      <c r="E4988" s="1348"/>
      <c r="F4988" s="1348"/>
      <c r="G4988" s="1348"/>
      <c r="H4988" s="1348"/>
      <c r="I4988" s="1348"/>
      <c r="J4988" s="1348"/>
      <c r="K4988" s="1348"/>
    </row>
    <row r="4989" spans="2:11" hidden="1">
      <c r="B4989" s="1348"/>
      <c r="C4989" s="1348"/>
      <c r="D4989" s="1348"/>
      <c r="E4989" s="1348"/>
      <c r="F4989" s="1348"/>
      <c r="G4989" s="1348"/>
      <c r="H4989" s="1348"/>
      <c r="I4989" s="1348"/>
      <c r="J4989" s="1348"/>
      <c r="K4989" s="1348"/>
    </row>
    <row r="4990" spans="2:11" hidden="1">
      <c r="B4990" s="1348"/>
      <c r="C4990" s="1348"/>
      <c r="D4990" s="1348"/>
      <c r="E4990" s="1348"/>
      <c r="F4990" s="1348"/>
      <c r="G4990" s="1348"/>
      <c r="H4990" s="1348"/>
      <c r="I4990" s="1348"/>
      <c r="J4990" s="1348"/>
      <c r="K4990" s="1348"/>
    </row>
    <row r="4991" spans="2:11" hidden="1">
      <c r="B4991" s="1348"/>
      <c r="C4991" s="1348"/>
      <c r="D4991" s="1348"/>
      <c r="E4991" s="1348"/>
      <c r="F4991" s="1348"/>
      <c r="G4991" s="1348"/>
      <c r="H4991" s="1348"/>
      <c r="I4991" s="1348"/>
      <c r="J4991" s="1348"/>
      <c r="K4991" s="1348"/>
    </row>
    <row r="4992" spans="2:11" hidden="1">
      <c r="B4992" s="1348"/>
      <c r="C4992" s="1348"/>
      <c r="D4992" s="1348"/>
      <c r="E4992" s="1348"/>
      <c r="F4992" s="1348"/>
      <c r="G4992" s="1348"/>
      <c r="H4992" s="1348"/>
      <c r="I4992" s="1348"/>
      <c r="J4992" s="1348"/>
      <c r="K4992" s="1348"/>
    </row>
    <row r="4993" spans="2:11" hidden="1">
      <c r="B4993" s="1348"/>
      <c r="C4993" s="1348"/>
      <c r="D4993" s="1348"/>
      <c r="E4993" s="1348"/>
      <c r="F4993" s="1348"/>
      <c r="G4993" s="1348"/>
      <c r="H4993" s="1348"/>
      <c r="I4993" s="1348"/>
      <c r="J4993" s="1348"/>
      <c r="K4993" s="1348"/>
    </row>
    <row r="4994" spans="2:11" hidden="1">
      <c r="B4994" s="1348"/>
      <c r="C4994" s="1348"/>
      <c r="D4994" s="1348"/>
      <c r="E4994" s="1348"/>
      <c r="F4994" s="1348"/>
      <c r="G4994" s="1348"/>
      <c r="H4994" s="1348"/>
      <c r="I4994" s="1348"/>
      <c r="J4994" s="1348"/>
      <c r="K4994" s="1348"/>
    </row>
    <row r="4995" spans="2:11" hidden="1">
      <c r="B4995" s="1348"/>
      <c r="C4995" s="1348"/>
      <c r="D4995" s="1348"/>
      <c r="E4995" s="1348"/>
      <c r="F4995" s="1348"/>
      <c r="G4995" s="1348"/>
      <c r="H4995" s="1348"/>
      <c r="I4995" s="1348"/>
      <c r="J4995" s="1348"/>
      <c r="K4995" s="1348"/>
    </row>
    <row r="4996" spans="2:11" hidden="1">
      <c r="B4996" s="1348"/>
      <c r="C4996" s="1348"/>
      <c r="D4996" s="1348"/>
      <c r="E4996" s="1348"/>
      <c r="F4996" s="1348"/>
      <c r="G4996" s="1348"/>
      <c r="H4996" s="1348"/>
      <c r="I4996" s="1348"/>
      <c r="J4996" s="1348"/>
      <c r="K4996" s="1348"/>
    </row>
    <row r="4997" spans="2:11" hidden="1">
      <c r="B4997" s="1348"/>
      <c r="C4997" s="1348"/>
      <c r="D4997" s="1348"/>
      <c r="E4997" s="1348"/>
      <c r="F4997" s="1348"/>
      <c r="G4997" s="1348"/>
      <c r="H4997" s="1348"/>
      <c r="I4997" s="1348"/>
      <c r="J4997" s="1348"/>
      <c r="K4997" s="1348"/>
    </row>
    <row r="4998" spans="2:11" hidden="1">
      <c r="B4998" s="1348"/>
      <c r="C4998" s="1348"/>
      <c r="D4998" s="1348"/>
      <c r="E4998" s="1348"/>
      <c r="F4998" s="1348"/>
      <c r="G4998" s="1348"/>
      <c r="H4998" s="1348"/>
      <c r="I4998" s="1348"/>
      <c r="J4998" s="1348"/>
      <c r="K4998" s="1348"/>
    </row>
    <row r="4999" spans="2:11" hidden="1">
      <c r="B4999" s="1348"/>
      <c r="C4999" s="1348"/>
      <c r="D4999" s="1348"/>
      <c r="E4999" s="1348"/>
      <c r="F4999" s="1348"/>
      <c r="G4999" s="1348"/>
      <c r="H4999" s="1348"/>
      <c r="I4999" s="1348"/>
      <c r="J4999" s="1348"/>
      <c r="K4999" s="1348"/>
    </row>
    <row r="5000" spans="2:11" hidden="1">
      <c r="B5000" s="1348"/>
      <c r="C5000" s="1348"/>
      <c r="D5000" s="1348"/>
      <c r="E5000" s="1348"/>
      <c r="F5000" s="1348"/>
      <c r="G5000" s="1348"/>
      <c r="H5000" s="1348"/>
      <c r="I5000" s="1348"/>
      <c r="J5000" s="1348"/>
      <c r="K5000" s="1348"/>
    </row>
    <row r="5001" spans="2:11" hidden="1">
      <c r="B5001" s="1348"/>
      <c r="C5001" s="1348"/>
      <c r="D5001" s="1348"/>
      <c r="E5001" s="1348"/>
      <c r="F5001" s="1348"/>
      <c r="G5001" s="1348"/>
      <c r="H5001" s="1348"/>
      <c r="I5001" s="1348"/>
      <c r="J5001" s="1348"/>
      <c r="K5001" s="1348"/>
    </row>
    <row r="5002" spans="2:11" hidden="1">
      <c r="B5002" s="1348"/>
      <c r="C5002" s="1348"/>
      <c r="D5002" s="1348"/>
      <c r="E5002" s="1348"/>
      <c r="F5002" s="1348"/>
      <c r="G5002" s="1348"/>
      <c r="H5002" s="1348"/>
      <c r="I5002" s="1348"/>
      <c r="J5002" s="1348"/>
      <c r="K5002" s="1348"/>
    </row>
    <row r="5003" spans="2:11" hidden="1">
      <c r="B5003" s="1348"/>
      <c r="C5003" s="1348"/>
      <c r="D5003" s="1348"/>
      <c r="E5003" s="1348"/>
      <c r="F5003" s="1348"/>
      <c r="G5003" s="1348"/>
      <c r="H5003" s="1348"/>
      <c r="I5003" s="1348"/>
      <c r="J5003" s="1348"/>
      <c r="K5003" s="1348"/>
    </row>
    <row r="5004" spans="2:11" hidden="1">
      <c r="B5004" s="1348"/>
      <c r="C5004" s="1348"/>
      <c r="D5004" s="1348"/>
      <c r="E5004" s="1348"/>
      <c r="F5004" s="1348"/>
      <c r="G5004" s="1348"/>
      <c r="H5004" s="1348"/>
      <c r="I5004" s="1348"/>
      <c r="J5004" s="1348"/>
      <c r="K5004" s="1348"/>
    </row>
    <row r="5005" spans="2:11" hidden="1">
      <c r="B5005" s="1348"/>
      <c r="C5005" s="1348"/>
      <c r="D5005" s="1348"/>
      <c r="E5005" s="1348"/>
      <c r="F5005" s="1348"/>
      <c r="G5005" s="1348"/>
      <c r="H5005" s="1348"/>
      <c r="I5005" s="1348"/>
      <c r="J5005" s="1348"/>
      <c r="K5005" s="1348"/>
    </row>
    <row r="5006" spans="2:11" hidden="1">
      <c r="B5006" s="1348"/>
      <c r="C5006" s="1348"/>
      <c r="D5006" s="1348"/>
      <c r="E5006" s="1348"/>
      <c r="F5006" s="1348"/>
      <c r="G5006" s="1348"/>
      <c r="H5006" s="1348"/>
      <c r="I5006" s="1348"/>
      <c r="J5006" s="1348"/>
      <c r="K5006" s="1348"/>
    </row>
    <row r="5007" spans="2:11" hidden="1">
      <c r="B5007" s="1348"/>
      <c r="C5007" s="1348"/>
      <c r="D5007" s="1348"/>
      <c r="E5007" s="1348"/>
      <c r="F5007" s="1348"/>
      <c r="G5007" s="1348"/>
      <c r="H5007" s="1348"/>
      <c r="I5007" s="1348"/>
      <c r="J5007" s="1348"/>
      <c r="K5007" s="1348"/>
    </row>
    <row r="5008" spans="2:11" hidden="1">
      <c r="B5008" s="1348"/>
      <c r="C5008" s="1348"/>
      <c r="D5008" s="1348"/>
      <c r="E5008" s="1348"/>
      <c r="F5008" s="1348"/>
      <c r="G5008" s="1348"/>
      <c r="H5008" s="1348"/>
      <c r="I5008" s="1348"/>
      <c r="J5008" s="1348"/>
      <c r="K5008" s="1348"/>
    </row>
    <row r="5009" spans="2:11" hidden="1">
      <c r="B5009" s="1348"/>
      <c r="C5009" s="1348"/>
      <c r="D5009" s="1348"/>
      <c r="E5009" s="1348"/>
      <c r="F5009" s="1348"/>
      <c r="G5009" s="1348"/>
      <c r="H5009" s="1348"/>
      <c r="I5009" s="1348"/>
      <c r="J5009" s="1348"/>
      <c r="K5009" s="1348"/>
    </row>
    <row r="5010" spans="2:11" hidden="1">
      <c r="B5010" s="1348"/>
      <c r="C5010" s="1348"/>
      <c r="D5010" s="1348"/>
      <c r="E5010" s="1348"/>
      <c r="F5010" s="1348"/>
      <c r="G5010" s="1348"/>
      <c r="H5010" s="1348"/>
      <c r="I5010" s="1348"/>
      <c r="J5010" s="1348"/>
      <c r="K5010" s="1348"/>
    </row>
    <row r="5011" spans="2:11" hidden="1">
      <c r="B5011" s="1348"/>
      <c r="C5011" s="1348"/>
      <c r="D5011" s="1348"/>
      <c r="E5011" s="1348"/>
      <c r="F5011" s="1348"/>
      <c r="G5011" s="1348"/>
      <c r="H5011" s="1348"/>
      <c r="I5011" s="1348"/>
      <c r="J5011" s="1348"/>
      <c r="K5011" s="1348"/>
    </row>
    <row r="5012" spans="2:11" hidden="1">
      <c r="B5012" s="1348"/>
      <c r="C5012" s="1348"/>
      <c r="D5012" s="1348"/>
      <c r="E5012" s="1348"/>
      <c r="F5012" s="1348"/>
      <c r="G5012" s="1348"/>
      <c r="H5012" s="1348"/>
      <c r="I5012" s="1348"/>
      <c r="J5012" s="1348"/>
      <c r="K5012" s="1348"/>
    </row>
    <row r="5013" spans="2:11" hidden="1">
      <c r="B5013" s="1348"/>
      <c r="C5013" s="1348"/>
      <c r="D5013" s="1348"/>
      <c r="E5013" s="1348"/>
      <c r="F5013" s="1348"/>
      <c r="G5013" s="1348"/>
      <c r="H5013" s="1348"/>
      <c r="I5013" s="1348"/>
      <c r="J5013" s="1348"/>
      <c r="K5013" s="1348"/>
    </row>
    <row r="5014" spans="2:11" hidden="1">
      <c r="B5014" s="1348"/>
      <c r="C5014" s="1348"/>
      <c r="D5014" s="1348"/>
      <c r="E5014" s="1348"/>
      <c r="F5014" s="1348"/>
      <c r="G5014" s="1348"/>
      <c r="H5014" s="1348"/>
      <c r="I5014" s="1348"/>
      <c r="J5014" s="1348"/>
      <c r="K5014" s="1348"/>
    </row>
    <row r="5015" spans="2:11" hidden="1">
      <c r="B5015" s="1348"/>
      <c r="C5015" s="1348"/>
      <c r="D5015" s="1348"/>
      <c r="E5015" s="1348"/>
      <c r="F5015" s="1348"/>
      <c r="G5015" s="1348"/>
      <c r="H5015" s="1348"/>
      <c r="I5015" s="1348"/>
      <c r="J5015" s="1348"/>
      <c r="K5015" s="1348"/>
    </row>
    <row r="5016" spans="2:11" hidden="1">
      <c r="B5016" s="1348"/>
      <c r="C5016" s="1348"/>
      <c r="D5016" s="1348"/>
      <c r="E5016" s="1348"/>
      <c r="F5016" s="1348"/>
      <c r="G5016" s="1348"/>
      <c r="H5016" s="1348"/>
      <c r="I5016" s="1348"/>
      <c r="J5016" s="1348"/>
      <c r="K5016" s="1348"/>
    </row>
    <row r="5017" spans="2:11" hidden="1">
      <c r="B5017" s="1348"/>
      <c r="C5017" s="1348"/>
      <c r="D5017" s="1348"/>
      <c r="E5017" s="1348"/>
      <c r="F5017" s="1348"/>
      <c r="G5017" s="1348"/>
      <c r="H5017" s="1348"/>
      <c r="I5017" s="1348"/>
      <c r="J5017" s="1348"/>
      <c r="K5017" s="1348"/>
    </row>
    <row r="5018" spans="2:11" hidden="1">
      <c r="B5018" s="1348"/>
      <c r="C5018" s="1348"/>
      <c r="D5018" s="1348"/>
      <c r="E5018" s="1348"/>
      <c r="F5018" s="1348"/>
      <c r="G5018" s="1348"/>
      <c r="H5018" s="1348"/>
      <c r="I5018" s="1348"/>
      <c r="J5018" s="1348"/>
      <c r="K5018" s="1348"/>
    </row>
    <row r="5019" spans="2:11" hidden="1">
      <c r="B5019" s="1348"/>
      <c r="C5019" s="1348"/>
      <c r="D5019" s="1348"/>
      <c r="E5019" s="1348"/>
      <c r="F5019" s="1348"/>
      <c r="G5019" s="1348"/>
      <c r="H5019" s="1348"/>
      <c r="I5019" s="1348"/>
      <c r="J5019" s="1348"/>
      <c r="K5019" s="1348"/>
    </row>
    <row r="5020" spans="2:11" hidden="1">
      <c r="B5020" s="1348"/>
      <c r="C5020" s="1348"/>
      <c r="D5020" s="1348"/>
      <c r="E5020" s="1348"/>
      <c r="F5020" s="1348"/>
      <c r="G5020" s="1348"/>
      <c r="H5020" s="1348"/>
      <c r="I5020" s="1348"/>
      <c r="J5020" s="1348"/>
      <c r="K5020" s="1348"/>
    </row>
    <row r="5021" spans="2:11" hidden="1">
      <c r="B5021" s="1348"/>
      <c r="C5021" s="1348"/>
      <c r="D5021" s="1348"/>
      <c r="E5021" s="1348"/>
      <c r="F5021" s="1348"/>
      <c r="G5021" s="1348"/>
      <c r="H5021" s="1348"/>
      <c r="I5021" s="1348"/>
      <c r="J5021" s="1348"/>
      <c r="K5021" s="1348"/>
    </row>
    <row r="5022" spans="2:11" hidden="1">
      <c r="B5022" s="1348"/>
      <c r="C5022" s="1348"/>
      <c r="D5022" s="1348"/>
      <c r="E5022" s="1348"/>
      <c r="F5022" s="1348"/>
      <c r="G5022" s="1348"/>
      <c r="H5022" s="1348"/>
      <c r="I5022" s="1348"/>
      <c r="J5022" s="1348"/>
      <c r="K5022" s="1348"/>
    </row>
    <row r="5023" spans="2:11" hidden="1">
      <c r="B5023" s="1348"/>
      <c r="C5023" s="1348"/>
      <c r="D5023" s="1348"/>
      <c r="E5023" s="1348"/>
      <c r="F5023" s="1348"/>
      <c r="G5023" s="1348"/>
      <c r="H5023" s="1348"/>
      <c r="I5023" s="1348"/>
      <c r="J5023" s="1348"/>
      <c r="K5023" s="1348"/>
    </row>
    <row r="5024" spans="2:11" hidden="1">
      <c r="B5024" s="1348"/>
      <c r="C5024" s="1348"/>
      <c r="D5024" s="1348"/>
      <c r="E5024" s="1348"/>
      <c r="F5024" s="1348"/>
      <c r="G5024" s="1348"/>
      <c r="H5024" s="1348"/>
      <c r="I5024" s="1348"/>
      <c r="J5024" s="1348"/>
      <c r="K5024" s="1348"/>
    </row>
    <row r="5025" spans="2:11" hidden="1">
      <c r="B5025" s="1348"/>
      <c r="C5025" s="1348"/>
      <c r="D5025" s="1348"/>
      <c r="E5025" s="1348"/>
      <c r="F5025" s="1348"/>
      <c r="G5025" s="1348"/>
      <c r="H5025" s="1348"/>
      <c r="I5025" s="1348"/>
      <c r="J5025" s="1348"/>
      <c r="K5025" s="1348"/>
    </row>
    <row r="5026" spans="2:11" hidden="1">
      <c r="B5026" s="1348"/>
      <c r="C5026" s="1348"/>
      <c r="D5026" s="1348"/>
      <c r="E5026" s="1348"/>
      <c r="F5026" s="1348"/>
      <c r="G5026" s="1348"/>
      <c r="H5026" s="1348"/>
      <c r="I5026" s="1348"/>
      <c r="J5026" s="1348"/>
      <c r="K5026" s="1348"/>
    </row>
    <row r="5027" spans="2:11" hidden="1">
      <c r="B5027" s="1348"/>
      <c r="C5027" s="1348"/>
      <c r="D5027" s="1348"/>
      <c r="E5027" s="1348"/>
      <c r="F5027" s="1348"/>
      <c r="G5027" s="1348"/>
      <c r="H5027" s="1348"/>
      <c r="I5027" s="1348"/>
      <c r="J5027" s="1348"/>
      <c r="K5027" s="1348"/>
    </row>
    <row r="5028" spans="2:11" hidden="1">
      <c r="B5028" s="1348"/>
      <c r="C5028" s="1348"/>
      <c r="D5028" s="1348"/>
      <c r="E5028" s="1348"/>
      <c r="F5028" s="1348"/>
      <c r="G5028" s="1348"/>
      <c r="H5028" s="1348"/>
      <c r="I5028" s="1348"/>
      <c r="J5028" s="1348"/>
      <c r="K5028" s="1348"/>
    </row>
    <row r="5029" spans="2:11" hidden="1">
      <c r="B5029" s="1348"/>
      <c r="C5029" s="1348"/>
      <c r="D5029" s="1348"/>
      <c r="E5029" s="1348"/>
      <c r="F5029" s="1348"/>
      <c r="G5029" s="1348"/>
      <c r="H5029" s="1348"/>
      <c r="I5029" s="1348"/>
      <c r="J5029" s="1348"/>
      <c r="K5029" s="1348"/>
    </row>
    <row r="5030" spans="2:11" hidden="1">
      <c r="B5030" s="1348"/>
      <c r="C5030" s="1348"/>
      <c r="D5030" s="1348"/>
      <c r="E5030" s="1348"/>
      <c r="F5030" s="1348"/>
      <c r="G5030" s="1348"/>
      <c r="H5030" s="1348"/>
      <c r="I5030" s="1348"/>
      <c r="J5030" s="1348"/>
      <c r="K5030" s="1348"/>
    </row>
    <row r="5031" spans="2:11" hidden="1">
      <c r="B5031" s="1348"/>
      <c r="C5031" s="1348"/>
      <c r="D5031" s="1348"/>
      <c r="E5031" s="1348"/>
      <c r="F5031" s="1348"/>
      <c r="G5031" s="1348"/>
      <c r="H5031" s="1348"/>
      <c r="I5031" s="1348"/>
      <c r="J5031" s="1348"/>
      <c r="K5031" s="1348"/>
    </row>
    <row r="5032" spans="2:11" hidden="1">
      <c r="B5032" s="1348"/>
      <c r="C5032" s="1348"/>
      <c r="D5032" s="1348"/>
      <c r="E5032" s="1348"/>
      <c r="F5032" s="1348"/>
      <c r="G5032" s="1348"/>
      <c r="H5032" s="1348"/>
      <c r="I5032" s="1348"/>
      <c r="J5032" s="1348"/>
      <c r="K5032" s="1348"/>
    </row>
    <row r="5033" spans="2:11" hidden="1">
      <c r="B5033" s="1348"/>
      <c r="C5033" s="1348"/>
      <c r="D5033" s="1348"/>
      <c r="E5033" s="1348"/>
      <c r="F5033" s="1348"/>
      <c r="G5033" s="1348"/>
      <c r="H5033" s="1348"/>
      <c r="I5033" s="1348"/>
      <c r="J5033" s="1348"/>
      <c r="K5033" s="1348"/>
    </row>
    <row r="5034" spans="2:11" hidden="1">
      <c r="B5034" s="1348"/>
      <c r="C5034" s="1348"/>
      <c r="D5034" s="1348"/>
      <c r="E5034" s="1348"/>
      <c r="F5034" s="1348"/>
      <c r="G5034" s="1348"/>
      <c r="H5034" s="1348"/>
      <c r="I5034" s="1348"/>
      <c r="J5034" s="1348"/>
      <c r="K5034" s="1348"/>
    </row>
    <row r="5035" spans="2:11" hidden="1">
      <c r="B5035" s="1348"/>
      <c r="C5035" s="1348"/>
      <c r="D5035" s="1348"/>
      <c r="E5035" s="1348"/>
      <c r="F5035" s="1348"/>
      <c r="G5035" s="1348"/>
      <c r="H5035" s="1348"/>
      <c r="I5035" s="1348"/>
      <c r="J5035" s="1348"/>
      <c r="K5035" s="1348"/>
    </row>
    <row r="5036" spans="2:11" hidden="1">
      <c r="B5036" s="1348"/>
      <c r="C5036" s="1348"/>
      <c r="D5036" s="1348"/>
      <c r="E5036" s="1348"/>
      <c r="F5036" s="1348"/>
      <c r="G5036" s="1348"/>
      <c r="H5036" s="1348"/>
      <c r="I5036" s="1348"/>
      <c r="J5036" s="1348"/>
      <c r="K5036" s="1348"/>
    </row>
    <row r="5037" spans="2:11" hidden="1">
      <c r="B5037" s="1348"/>
      <c r="C5037" s="1348"/>
      <c r="D5037" s="1348"/>
      <c r="E5037" s="1348"/>
      <c r="F5037" s="1348"/>
      <c r="G5037" s="1348"/>
      <c r="H5037" s="1348"/>
      <c r="I5037" s="1348"/>
      <c r="J5037" s="1348"/>
      <c r="K5037" s="1348"/>
    </row>
    <row r="5038" spans="2:11" hidden="1">
      <c r="B5038" s="1348"/>
      <c r="C5038" s="1348"/>
      <c r="D5038" s="1348"/>
      <c r="E5038" s="1348"/>
      <c r="F5038" s="1348"/>
      <c r="G5038" s="1348"/>
      <c r="H5038" s="1348"/>
      <c r="I5038" s="1348"/>
      <c r="J5038" s="1348"/>
      <c r="K5038" s="1348"/>
    </row>
    <row r="5039" spans="2:11" hidden="1">
      <c r="B5039" s="1348"/>
      <c r="C5039" s="1348"/>
      <c r="D5039" s="1348"/>
      <c r="E5039" s="1348"/>
      <c r="F5039" s="1348"/>
      <c r="G5039" s="1348"/>
      <c r="H5039" s="1348"/>
      <c r="I5039" s="1348"/>
      <c r="J5039" s="1348"/>
      <c r="K5039" s="1348"/>
    </row>
    <row r="5040" spans="2:11" hidden="1">
      <c r="B5040" s="1348"/>
      <c r="C5040" s="1348"/>
      <c r="D5040" s="1348"/>
      <c r="E5040" s="1348"/>
      <c r="F5040" s="1348"/>
      <c r="G5040" s="1348"/>
      <c r="H5040" s="1348"/>
      <c r="I5040" s="1348"/>
      <c r="J5040" s="1348"/>
      <c r="K5040" s="1348"/>
    </row>
    <row r="5041" spans="2:11" hidden="1">
      <c r="B5041" s="1348"/>
      <c r="C5041" s="1348"/>
      <c r="D5041" s="1348"/>
      <c r="E5041" s="1348"/>
      <c r="F5041" s="1348"/>
      <c r="G5041" s="1348"/>
      <c r="H5041" s="1348"/>
      <c r="I5041" s="1348"/>
      <c r="J5041" s="1348"/>
      <c r="K5041" s="1348"/>
    </row>
    <row r="5042" spans="2:11" hidden="1">
      <c r="B5042" s="1348"/>
      <c r="C5042" s="1348"/>
      <c r="D5042" s="1348"/>
      <c r="E5042" s="1348"/>
      <c r="F5042" s="1348"/>
      <c r="G5042" s="1348"/>
      <c r="H5042" s="1348"/>
      <c r="I5042" s="1348"/>
      <c r="J5042" s="1348"/>
      <c r="K5042" s="1348"/>
    </row>
    <row r="5043" spans="2:11" hidden="1">
      <c r="B5043" s="1348"/>
      <c r="C5043" s="1348"/>
      <c r="D5043" s="1348"/>
      <c r="E5043" s="1348"/>
      <c r="F5043" s="1348"/>
      <c r="G5043" s="1348"/>
      <c r="H5043" s="1348"/>
      <c r="I5043" s="1348"/>
      <c r="J5043" s="1348"/>
      <c r="K5043" s="1348"/>
    </row>
    <row r="5044" spans="2:11" hidden="1">
      <c r="B5044" s="1348"/>
      <c r="C5044" s="1348"/>
      <c r="D5044" s="1348"/>
      <c r="E5044" s="1348"/>
      <c r="F5044" s="1348"/>
      <c r="G5044" s="1348"/>
      <c r="H5044" s="1348"/>
      <c r="I5044" s="1348"/>
      <c r="J5044" s="1348"/>
      <c r="K5044" s="1348"/>
    </row>
    <row r="5045" spans="2:11" hidden="1">
      <c r="B5045" s="1348"/>
      <c r="C5045" s="1348"/>
      <c r="D5045" s="1348"/>
      <c r="E5045" s="1348"/>
      <c r="F5045" s="1348"/>
      <c r="G5045" s="1348"/>
      <c r="H5045" s="1348"/>
      <c r="I5045" s="1348"/>
      <c r="J5045" s="1348"/>
      <c r="K5045" s="1348"/>
    </row>
    <row r="5046" spans="2:11" hidden="1">
      <c r="B5046" s="1348"/>
      <c r="C5046" s="1348"/>
      <c r="D5046" s="1348"/>
      <c r="E5046" s="1348"/>
      <c r="F5046" s="1348"/>
      <c r="G5046" s="1348"/>
      <c r="H5046" s="1348"/>
      <c r="I5046" s="1348"/>
      <c r="J5046" s="1348"/>
      <c r="K5046" s="1348"/>
    </row>
    <row r="5047" spans="2:11" hidden="1">
      <c r="B5047" s="1348"/>
      <c r="C5047" s="1348"/>
      <c r="D5047" s="1348"/>
      <c r="E5047" s="1348"/>
      <c r="F5047" s="1348"/>
      <c r="G5047" s="1348"/>
      <c r="H5047" s="1348"/>
      <c r="I5047" s="1348"/>
      <c r="J5047" s="1348"/>
      <c r="K5047" s="1348"/>
    </row>
    <row r="5048" spans="2:11" hidden="1">
      <c r="B5048" s="1348"/>
      <c r="C5048" s="1348"/>
      <c r="D5048" s="1348"/>
      <c r="E5048" s="1348"/>
      <c r="F5048" s="1348"/>
      <c r="G5048" s="1348"/>
      <c r="H5048" s="1348"/>
      <c r="I5048" s="1348"/>
      <c r="J5048" s="1348"/>
      <c r="K5048" s="1348"/>
    </row>
    <row r="5049" spans="2:11" hidden="1">
      <c r="B5049" s="1348"/>
      <c r="C5049" s="1348"/>
      <c r="D5049" s="1348"/>
      <c r="E5049" s="1348"/>
      <c r="F5049" s="1348"/>
      <c r="G5049" s="1348"/>
      <c r="H5049" s="1348"/>
      <c r="I5049" s="1348"/>
      <c r="J5049" s="1348"/>
      <c r="K5049" s="1348"/>
    </row>
    <row r="5050" spans="2:11" hidden="1">
      <c r="B5050" s="1348"/>
      <c r="C5050" s="1348"/>
      <c r="D5050" s="1348"/>
      <c r="E5050" s="1348"/>
      <c r="F5050" s="1348"/>
      <c r="G5050" s="1348"/>
      <c r="H5050" s="1348"/>
      <c r="I5050" s="1348"/>
      <c r="J5050" s="1348"/>
      <c r="K5050" s="1348"/>
    </row>
    <row r="5051" spans="2:11" hidden="1">
      <c r="B5051" s="1348"/>
      <c r="C5051" s="1348"/>
      <c r="D5051" s="1348"/>
      <c r="E5051" s="1348"/>
      <c r="F5051" s="1348"/>
      <c r="G5051" s="1348"/>
      <c r="H5051" s="1348"/>
      <c r="I5051" s="1348"/>
      <c r="J5051" s="1348"/>
      <c r="K5051" s="1348"/>
    </row>
    <row r="5052" spans="2:11" hidden="1">
      <c r="B5052" s="1348"/>
      <c r="C5052" s="1348"/>
      <c r="D5052" s="1348"/>
      <c r="E5052" s="1348"/>
      <c r="F5052" s="1348"/>
      <c r="G5052" s="1348"/>
      <c r="H5052" s="1348"/>
      <c r="I5052" s="1348"/>
      <c r="J5052" s="1348"/>
      <c r="K5052" s="1348"/>
    </row>
    <row r="5053" spans="2:11" hidden="1">
      <c r="B5053" s="1348"/>
      <c r="C5053" s="1348"/>
      <c r="D5053" s="1348"/>
      <c r="E5053" s="1348"/>
      <c r="F5053" s="1348"/>
      <c r="G5053" s="1348"/>
      <c r="H5053" s="1348"/>
      <c r="I5053" s="1348"/>
      <c r="J5053" s="1348"/>
      <c r="K5053" s="1348"/>
    </row>
    <row r="5054" spans="2:11" hidden="1">
      <c r="B5054" s="1348"/>
      <c r="C5054" s="1348"/>
      <c r="D5054" s="1348"/>
      <c r="E5054" s="1348"/>
      <c r="F5054" s="1348"/>
      <c r="G5054" s="1348"/>
      <c r="H5054" s="1348"/>
      <c r="I5054" s="1348"/>
      <c r="J5054" s="1348"/>
      <c r="K5054" s="1348"/>
    </row>
    <row r="5055" spans="2:11" hidden="1">
      <c r="B5055" s="1348"/>
      <c r="C5055" s="1348"/>
      <c r="D5055" s="1348"/>
      <c r="E5055" s="1348"/>
      <c r="F5055" s="1348"/>
      <c r="G5055" s="1348"/>
      <c r="H5055" s="1348"/>
      <c r="I5055" s="1348"/>
      <c r="J5055" s="1348"/>
      <c r="K5055" s="1348"/>
    </row>
    <row r="5056" spans="2:11" hidden="1">
      <c r="B5056" s="1348"/>
      <c r="C5056" s="1348"/>
      <c r="D5056" s="1348"/>
      <c r="E5056" s="1348"/>
      <c r="F5056" s="1348"/>
      <c r="G5056" s="1348"/>
      <c r="H5056" s="1348"/>
      <c r="I5056" s="1348"/>
      <c r="J5056" s="1348"/>
      <c r="K5056" s="1348"/>
    </row>
    <row r="5057" spans="2:11" hidden="1">
      <c r="B5057" s="1348"/>
      <c r="C5057" s="1348"/>
      <c r="D5057" s="1348"/>
      <c r="E5057" s="1348"/>
      <c r="F5057" s="1348"/>
      <c r="G5057" s="1348"/>
      <c r="H5057" s="1348"/>
      <c r="I5057" s="1348"/>
      <c r="J5057" s="1348"/>
      <c r="K5057" s="1348"/>
    </row>
    <row r="5058" spans="2:11" hidden="1">
      <c r="B5058" s="1348"/>
      <c r="C5058" s="1348"/>
      <c r="D5058" s="1348"/>
      <c r="E5058" s="1348"/>
      <c r="F5058" s="1348"/>
      <c r="G5058" s="1348"/>
      <c r="H5058" s="1348"/>
      <c r="I5058" s="1348"/>
      <c r="J5058" s="1348"/>
      <c r="K5058" s="1348"/>
    </row>
    <row r="5059" spans="2:11" hidden="1">
      <c r="B5059" s="1348"/>
      <c r="C5059" s="1348"/>
      <c r="D5059" s="1348"/>
      <c r="E5059" s="1348"/>
      <c r="F5059" s="1348"/>
      <c r="G5059" s="1348"/>
      <c r="H5059" s="1348"/>
      <c r="I5059" s="1348"/>
      <c r="J5059" s="1348"/>
      <c r="K5059" s="1348"/>
    </row>
    <row r="5060" spans="2:11" hidden="1">
      <c r="B5060" s="1348"/>
      <c r="C5060" s="1348"/>
      <c r="D5060" s="1348"/>
      <c r="E5060" s="1348"/>
      <c r="F5060" s="1348"/>
      <c r="G5060" s="1348"/>
      <c r="H5060" s="1348"/>
      <c r="I5060" s="1348"/>
      <c r="J5060" s="1348"/>
      <c r="K5060" s="1348"/>
    </row>
    <row r="5061" spans="2:11" hidden="1">
      <c r="B5061" s="1348"/>
      <c r="C5061" s="1348"/>
      <c r="D5061" s="1348"/>
      <c r="E5061" s="1348"/>
      <c r="F5061" s="1348"/>
      <c r="G5061" s="1348"/>
      <c r="H5061" s="1348"/>
      <c r="I5061" s="1348"/>
      <c r="J5061" s="1348"/>
      <c r="K5061" s="1348"/>
    </row>
    <row r="5062" spans="2:11" hidden="1">
      <c r="B5062" s="1348"/>
      <c r="C5062" s="1348"/>
      <c r="D5062" s="1348"/>
      <c r="E5062" s="1348"/>
      <c r="F5062" s="1348"/>
      <c r="G5062" s="1348"/>
      <c r="H5062" s="1348"/>
      <c r="I5062" s="1348"/>
      <c r="J5062" s="1348"/>
      <c r="K5062" s="1348"/>
    </row>
    <row r="5063" spans="2:11" hidden="1">
      <c r="B5063" s="1348"/>
      <c r="C5063" s="1348"/>
      <c r="D5063" s="1348"/>
      <c r="E5063" s="1348"/>
      <c r="F5063" s="1348"/>
      <c r="G5063" s="1348"/>
      <c r="H5063" s="1348"/>
      <c r="I5063" s="1348"/>
      <c r="J5063" s="1348"/>
      <c r="K5063" s="1348"/>
    </row>
    <row r="5064" spans="2:11" hidden="1">
      <c r="B5064" s="1348"/>
      <c r="C5064" s="1348"/>
      <c r="D5064" s="1348"/>
      <c r="E5064" s="1348"/>
      <c r="F5064" s="1348"/>
      <c r="G5064" s="1348"/>
      <c r="H5064" s="1348"/>
      <c r="I5064" s="1348"/>
      <c r="J5064" s="1348"/>
      <c r="K5064" s="1348"/>
    </row>
    <row r="5065" spans="2:11" hidden="1">
      <c r="B5065" s="1348"/>
      <c r="C5065" s="1348"/>
      <c r="D5065" s="1348"/>
      <c r="E5065" s="1348"/>
      <c r="F5065" s="1348"/>
      <c r="G5065" s="1348"/>
      <c r="H5065" s="1348"/>
      <c r="I5065" s="1348"/>
      <c r="J5065" s="1348"/>
      <c r="K5065" s="1348"/>
    </row>
    <row r="5066" spans="2:11" hidden="1">
      <c r="B5066" s="1348"/>
      <c r="C5066" s="1348"/>
      <c r="D5066" s="1348"/>
      <c r="E5066" s="1348"/>
      <c r="F5066" s="1348"/>
      <c r="G5066" s="1348"/>
      <c r="H5066" s="1348"/>
      <c r="I5066" s="1348"/>
      <c r="J5066" s="1348"/>
      <c r="K5066" s="1348"/>
    </row>
    <row r="5067" spans="2:11" hidden="1">
      <c r="B5067" s="1348"/>
      <c r="C5067" s="1348"/>
      <c r="D5067" s="1348"/>
      <c r="E5067" s="1348"/>
      <c r="F5067" s="1348"/>
      <c r="G5067" s="1348"/>
      <c r="H5067" s="1348"/>
      <c r="I5067" s="1348"/>
      <c r="J5067" s="1348"/>
      <c r="K5067" s="1348"/>
    </row>
    <row r="5068" spans="2:11" hidden="1">
      <c r="B5068" s="1348"/>
      <c r="C5068" s="1348"/>
      <c r="D5068" s="1348"/>
      <c r="E5068" s="1348"/>
      <c r="F5068" s="1348"/>
      <c r="G5068" s="1348"/>
      <c r="H5068" s="1348"/>
      <c r="I5068" s="1348"/>
      <c r="J5068" s="1348"/>
      <c r="K5068" s="1348"/>
    </row>
    <row r="5069" spans="2:11" hidden="1">
      <c r="B5069" s="1348"/>
      <c r="C5069" s="1348"/>
      <c r="D5069" s="1348"/>
      <c r="E5069" s="1348"/>
      <c r="F5069" s="1348"/>
      <c r="G5069" s="1348"/>
      <c r="H5069" s="1348"/>
      <c r="I5069" s="1348"/>
      <c r="J5069" s="1348"/>
      <c r="K5069" s="1348"/>
    </row>
    <row r="5070" spans="2:11" hidden="1">
      <c r="B5070" s="1348"/>
      <c r="C5070" s="1348"/>
      <c r="D5070" s="1348"/>
      <c r="E5070" s="1348"/>
      <c r="F5070" s="1348"/>
      <c r="G5070" s="1348"/>
      <c r="H5070" s="1348"/>
      <c r="I5070" s="1348"/>
      <c r="J5070" s="1348"/>
      <c r="K5070" s="1348"/>
    </row>
    <row r="5071" spans="2:11" hidden="1">
      <c r="B5071" s="1348"/>
      <c r="C5071" s="1348"/>
      <c r="D5071" s="1348"/>
      <c r="E5071" s="1348"/>
      <c r="F5071" s="1348"/>
      <c r="G5071" s="1348"/>
      <c r="H5071" s="1348"/>
      <c r="I5071" s="1348"/>
      <c r="J5071" s="1348"/>
      <c r="K5071" s="1348"/>
    </row>
    <row r="5072" spans="2:11" hidden="1">
      <c r="B5072" s="1348"/>
      <c r="C5072" s="1348"/>
      <c r="D5072" s="1348"/>
      <c r="E5072" s="1348"/>
      <c r="F5072" s="1348"/>
      <c r="G5072" s="1348"/>
      <c r="H5072" s="1348"/>
      <c r="I5072" s="1348"/>
      <c r="J5072" s="1348"/>
      <c r="K5072" s="1348"/>
    </row>
    <row r="5073" spans="2:11" hidden="1">
      <c r="B5073" s="1348"/>
      <c r="C5073" s="1348"/>
      <c r="D5073" s="1348"/>
      <c r="E5073" s="1348"/>
      <c r="F5073" s="1348"/>
      <c r="G5073" s="1348"/>
      <c r="H5073" s="1348"/>
      <c r="I5073" s="1348"/>
      <c r="J5073" s="1348"/>
      <c r="K5073" s="1348"/>
    </row>
    <row r="5074" spans="2:11" hidden="1">
      <c r="B5074" s="1348"/>
      <c r="C5074" s="1348"/>
      <c r="D5074" s="1348"/>
      <c r="E5074" s="1348"/>
      <c r="F5074" s="1348"/>
      <c r="G5074" s="1348"/>
      <c r="H5074" s="1348"/>
      <c r="I5074" s="1348"/>
      <c r="J5074" s="1348"/>
      <c r="K5074" s="1348"/>
    </row>
    <row r="5075" spans="2:11" hidden="1">
      <c r="B5075" s="1348"/>
      <c r="C5075" s="1348"/>
      <c r="D5075" s="1348"/>
      <c r="E5075" s="1348"/>
      <c r="F5075" s="1348"/>
      <c r="G5075" s="1348"/>
      <c r="H5075" s="1348"/>
      <c r="I5075" s="1348"/>
      <c r="J5075" s="1348"/>
      <c r="K5075" s="1348"/>
    </row>
    <row r="5076" spans="2:11" hidden="1">
      <c r="B5076" s="1348"/>
      <c r="C5076" s="1348"/>
      <c r="D5076" s="1348"/>
      <c r="E5076" s="1348"/>
      <c r="F5076" s="1348"/>
      <c r="G5076" s="1348"/>
      <c r="H5076" s="1348"/>
      <c r="I5076" s="1348"/>
      <c r="J5076" s="1348"/>
      <c r="K5076" s="1348"/>
    </row>
    <row r="5077" spans="2:11" hidden="1">
      <c r="B5077" s="1348"/>
      <c r="C5077" s="1348"/>
      <c r="D5077" s="1348"/>
      <c r="E5077" s="1348"/>
      <c r="F5077" s="1348"/>
      <c r="G5077" s="1348"/>
      <c r="H5077" s="1348"/>
      <c r="I5077" s="1348"/>
      <c r="J5077" s="1348"/>
      <c r="K5077" s="1348"/>
    </row>
    <row r="5078" spans="2:11" hidden="1">
      <c r="B5078" s="1348"/>
      <c r="C5078" s="1348"/>
      <c r="D5078" s="1348"/>
      <c r="E5078" s="1348"/>
      <c r="F5078" s="1348"/>
      <c r="G5078" s="1348"/>
      <c r="H5078" s="1348"/>
      <c r="I5078" s="1348"/>
      <c r="J5078" s="1348"/>
      <c r="K5078" s="1348"/>
    </row>
    <row r="5079" spans="2:11" hidden="1">
      <c r="B5079" s="1348"/>
      <c r="C5079" s="1348"/>
      <c r="D5079" s="1348"/>
      <c r="E5079" s="1348"/>
      <c r="F5079" s="1348"/>
      <c r="G5079" s="1348"/>
      <c r="H5079" s="1348"/>
      <c r="I5079" s="1348"/>
      <c r="J5079" s="1348"/>
      <c r="K5079" s="1348"/>
    </row>
    <row r="5080" spans="2:11" hidden="1">
      <c r="B5080" s="1348"/>
      <c r="C5080" s="1348"/>
      <c r="D5080" s="1348"/>
      <c r="E5080" s="1348"/>
      <c r="F5080" s="1348"/>
      <c r="G5080" s="1348"/>
      <c r="H5080" s="1348"/>
      <c r="I5080" s="1348"/>
      <c r="J5080" s="1348"/>
      <c r="K5080" s="1348"/>
    </row>
    <row r="5081" spans="2:11" hidden="1">
      <c r="B5081" s="1348"/>
      <c r="C5081" s="1348"/>
      <c r="D5081" s="1348"/>
      <c r="E5081" s="1348"/>
      <c r="F5081" s="1348"/>
      <c r="G5081" s="1348"/>
      <c r="H5081" s="1348"/>
      <c r="I5081" s="1348"/>
      <c r="J5081" s="1348"/>
      <c r="K5081" s="1348"/>
    </row>
    <row r="5082" spans="2:11" hidden="1">
      <c r="B5082" s="1348"/>
      <c r="C5082" s="1348"/>
      <c r="D5082" s="1348"/>
      <c r="E5082" s="1348"/>
      <c r="F5082" s="1348"/>
      <c r="G5082" s="1348"/>
      <c r="H5082" s="1348"/>
      <c r="I5082" s="1348"/>
      <c r="J5082" s="1348"/>
      <c r="K5082" s="1348"/>
    </row>
    <row r="5083" spans="2:11" hidden="1">
      <c r="B5083" s="1348"/>
      <c r="C5083" s="1348"/>
      <c r="D5083" s="1348"/>
      <c r="E5083" s="1348"/>
      <c r="F5083" s="1348"/>
      <c r="G5083" s="1348"/>
      <c r="H5083" s="1348"/>
      <c r="I5083" s="1348"/>
      <c r="J5083" s="1348"/>
      <c r="K5083" s="1348"/>
    </row>
    <row r="5084" spans="2:11" hidden="1">
      <c r="B5084" s="1348"/>
      <c r="C5084" s="1348"/>
      <c r="D5084" s="1348"/>
      <c r="E5084" s="1348"/>
      <c r="F5084" s="1348"/>
      <c r="G5084" s="1348"/>
      <c r="H5084" s="1348"/>
      <c r="I5084" s="1348"/>
      <c r="J5084" s="1348"/>
      <c r="K5084" s="1348"/>
    </row>
    <row r="5085" spans="2:11" hidden="1">
      <c r="B5085" s="1348"/>
      <c r="C5085" s="1348"/>
      <c r="D5085" s="1348"/>
      <c r="E5085" s="1348"/>
      <c r="F5085" s="1348"/>
      <c r="G5085" s="1348"/>
      <c r="H5085" s="1348"/>
      <c r="I5085" s="1348"/>
      <c r="J5085" s="1348"/>
      <c r="K5085" s="1348"/>
    </row>
    <row r="5086" spans="2:11" hidden="1">
      <c r="B5086" s="1348"/>
      <c r="C5086" s="1348"/>
      <c r="D5086" s="1348"/>
      <c r="E5086" s="1348"/>
      <c r="F5086" s="1348"/>
      <c r="G5086" s="1348"/>
      <c r="H5086" s="1348"/>
      <c r="I5086" s="1348"/>
      <c r="J5086" s="1348"/>
      <c r="K5086" s="1348"/>
    </row>
    <row r="5087" spans="2:11" hidden="1">
      <c r="B5087" s="1348"/>
      <c r="C5087" s="1348"/>
      <c r="D5087" s="1348"/>
      <c r="E5087" s="1348"/>
      <c r="F5087" s="1348"/>
      <c r="G5087" s="1348"/>
      <c r="H5087" s="1348"/>
      <c r="I5087" s="1348"/>
      <c r="J5087" s="1348"/>
      <c r="K5087" s="1348"/>
    </row>
    <row r="5088" spans="2:11" hidden="1">
      <c r="B5088" s="1348"/>
      <c r="C5088" s="1348"/>
      <c r="D5088" s="1348"/>
      <c r="E5088" s="1348"/>
      <c r="F5088" s="1348"/>
      <c r="G5088" s="1348"/>
      <c r="H5088" s="1348"/>
      <c r="I5088" s="1348"/>
      <c r="J5088" s="1348"/>
      <c r="K5088" s="1348"/>
    </row>
    <row r="5089" spans="2:11" hidden="1">
      <c r="B5089" s="1348"/>
      <c r="C5089" s="1348"/>
      <c r="D5089" s="1348"/>
      <c r="E5089" s="1348"/>
      <c r="F5089" s="1348"/>
      <c r="G5089" s="1348"/>
      <c r="H5089" s="1348"/>
      <c r="I5089" s="1348"/>
      <c r="J5089" s="1348"/>
      <c r="K5089" s="1348"/>
    </row>
    <row r="5090" spans="2:11" hidden="1">
      <c r="B5090" s="1348"/>
      <c r="C5090" s="1348"/>
      <c r="D5090" s="1348"/>
      <c r="E5090" s="1348"/>
      <c r="F5090" s="1348"/>
      <c r="G5090" s="1348"/>
      <c r="H5090" s="1348"/>
      <c r="I5090" s="1348"/>
      <c r="J5090" s="1348"/>
      <c r="K5090" s="1348"/>
    </row>
    <row r="5091" spans="2:11" hidden="1">
      <c r="B5091" s="1348"/>
      <c r="C5091" s="1348"/>
      <c r="D5091" s="1348"/>
      <c r="E5091" s="1348"/>
      <c r="F5091" s="1348"/>
      <c r="G5091" s="1348"/>
      <c r="H5091" s="1348"/>
      <c r="I5091" s="1348"/>
      <c r="J5091" s="1348"/>
      <c r="K5091" s="1348"/>
    </row>
    <row r="5092" spans="2:11" hidden="1">
      <c r="B5092" s="1348"/>
      <c r="C5092" s="1348"/>
      <c r="D5092" s="1348"/>
      <c r="E5092" s="1348"/>
      <c r="F5092" s="1348"/>
      <c r="G5092" s="1348"/>
      <c r="H5092" s="1348"/>
      <c r="I5092" s="1348"/>
      <c r="J5092" s="1348"/>
      <c r="K5092" s="1348"/>
    </row>
    <row r="5093" spans="2:11" hidden="1">
      <c r="B5093" s="1348"/>
      <c r="C5093" s="1348"/>
      <c r="D5093" s="1348"/>
      <c r="E5093" s="1348"/>
      <c r="F5093" s="1348"/>
      <c r="G5093" s="1348"/>
      <c r="H5093" s="1348"/>
      <c r="I5093" s="1348"/>
      <c r="J5093" s="1348"/>
      <c r="K5093" s="1348"/>
    </row>
    <row r="5094" spans="2:11" hidden="1">
      <c r="B5094" s="1348"/>
      <c r="C5094" s="1348"/>
      <c r="D5094" s="1348"/>
      <c r="E5094" s="1348"/>
      <c r="F5094" s="1348"/>
      <c r="G5094" s="1348"/>
      <c r="H5094" s="1348"/>
      <c r="I5094" s="1348"/>
      <c r="J5094" s="1348"/>
      <c r="K5094" s="1348"/>
    </row>
    <row r="5095" spans="2:11" hidden="1">
      <c r="B5095" s="1348"/>
      <c r="C5095" s="1348"/>
      <c r="D5095" s="1348"/>
      <c r="E5095" s="1348"/>
      <c r="F5095" s="1348"/>
      <c r="G5095" s="1348"/>
      <c r="H5095" s="1348"/>
      <c r="I5095" s="1348"/>
      <c r="J5095" s="1348"/>
      <c r="K5095" s="1348"/>
    </row>
    <row r="5096" spans="2:11" hidden="1">
      <c r="B5096" s="1348"/>
      <c r="C5096" s="1348"/>
      <c r="D5096" s="1348"/>
      <c r="E5096" s="1348"/>
      <c r="F5096" s="1348"/>
      <c r="G5096" s="1348"/>
      <c r="H5096" s="1348"/>
      <c r="I5096" s="1348"/>
      <c r="J5096" s="1348"/>
      <c r="K5096" s="1348"/>
    </row>
    <row r="5097" spans="2:11" hidden="1">
      <c r="B5097" s="1348"/>
      <c r="C5097" s="1348"/>
      <c r="D5097" s="1348"/>
      <c r="E5097" s="1348"/>
      <c r="F5097" s="1348"/>
      <c r="G5097" s="1348"/>
      <c r="H5097" s="1348"/>
      <c r="I5097" s="1348"/>
      <c r="J5097" s="1348"/>
      <c r="K5097" s="1348"/>
    </row>
    <row r="5098" spans="2:11" hidden="1">
      <c r="B5098" s="1348"/>
      <c r="C5098" s="1348"/>
      <c r="D5098" s="1348"/>
      <c r="E5098" s="1348"/>
      <c r="F5098" s="1348"/>
      <c r="G5098" s="1348"/>
      <c r="H5098" s="1348"/>
      <c r="I5098" s="1348"/>
      <c r="J5098" s="1348"/>
      <c r="K5098" s="1348"/>
    </row>
    <row r="5099" spans="2:11" hidden="1">
      <c r="B5099" s="1348"/>
      <c r="C5099" s="1348"/>
      <c r="D5099" s="1348"/>
      <c r="E5099" s="1348"/>
      <c r="F5099" s="1348"/>
      <c r="G5099" s="1348"/>
      <c r="H5099" s="1348"/>
      <c r="I5099" s="1348"/>
      <c r="J5099" s="1348"/>
      <c r="K5099" s="1348"/>
    </row>
    <row r="5100" spans="2:11" hidden="1">
      <c r="B5100" s="1348"/>
      <c r="C5100" s="1348"/>
      <c r="D5100" s="1348"/>
      <c r="E5100" s="1348"/>
      <c r="F5100" s="1348"/>
      <c r="G5100" s="1348"/>
      <c r="H5100" s="1348"/>
      <c r="I5100" s="1348"/>
      <c r="J5100" s="1348"/>
      <c r="K5100" s="1348"/>
    </row>
    <row r="5101" spans="2:11" hidden="1">
      <c r="B5101" s="1348"/>
      <c r="C5101" s="1348"/>
      <c r="D5101" s="1348"/>
      <c r="E5101" s="1348"/>
      <c r="F5101" s="1348"/>
      <c r="G5101" s="1348"/>
      <c r="H5101" s="1348"/>
      <c r="I5101" s="1348"/>
      <c r="J5101" s="1348"/>
      <c r="K5101" s="1348"/>
    </row>
    <row r="5102" spans="2:11" hidden="1">
      <c r="B5102" s="1348"/>
      <c r="C5102" s="1348"/>
      <c r="D5102" s="1348"/>
      <c r="E5102" s="1348"/>
      <c r="F5102" s="1348"/>
      <c r="G5102" s="1348"/>
      <c r="H5102" s="1348"/>
      <c r="I5102" s="1348"/>
      <c r="J5102" s="1348"/>
      <c r="K5102" s="1348"/>
    </row>
    <row r="5103" spans="2:11" hidden="1">
      <c r="B5103" s="1348"/>
      <c r="C5103" s="1348"/>
      <c r="D5103" s="1348"/>
      <c r="E5103" s="1348"/>
      <c r="F5103" s="1348"/>
      <c r="G5103" s="1348"/>
      <c r="H5103" s="1348"/>
      <c r="I5103" s="1348"/>
      <c r="J5103" s="1348"/>
      <c r="K5103" s="1348"/>
    </row>
    <row r="5104" spans="2:11" hidden="1">
      <c r="B5104" s="1348"/>
      <c r="C5104" s="1348"/>
      <c r="D5104" s="1348"/>
      <c r="E5104" s="1348"/>
      <c r="F5104" s="1348"/>
      <c r="G5104" s="1348"/>
      <c r="H5104" s="1348"/>
      <c r="I5104" s="1348"/>
      <c r="J5104" s="1348"/>
      <c r="K5104" s="1348"/>
    </row>
    <row r="5105" spans="2:11" hidden="1">
      <c r="B5105" s="1348"/>
      <c r="C5105" s="1348"/>
      <c r="D5105" s="1348"/>
      <c r="E5105" s="1348"/>
      <c r="F5105" s="1348"/>
      <c r="G5105" s="1348"/>
      <c r="H5105" s="1348"/>
      <c r="I5105" s="1348"/>
      <c r="J5105" s="1348"/>
      <c r="K5105" s="1348"/>
    </row>
    <row r="5106" spans="2:11" hidden="1">
      <c r="B5106" s="1348"/>
      <c r="C5106" s="1348"/>
      <c r="D5106" s="1348"/>
      <c r="E5106" s="1348"/>
      <c r="F5106" s="1348"/>
      <c r="G5106" s="1348"/>
      <c r="H5106" s="1348"/>
      <c r="I5106" s="1348"/>
      <c r="J5106" s="1348"/>
      <c r="K5106" s="1348"/>
    </row>
    <row r="5107" spans="2:11" hidden="1">
      <c r="B5107" s="1348"/>
      <c r="C5107" s="1348"/>
      <c r="D5107" s="1348"/>
      <c r="E5107" s="1348"/>
      <c r="F5107" s="1348"/>
      <c r="G5107" s="1348"/>
      <c r="H5107" s="1348"/>
      <c r="I5107" s="1348"/>
      <c r="J5107" s="1348"/>
      <c r="K5107" s="1348"/>
    </row>
    <row r="5108" spans="2:11" hidden="1">
      <c r="B5108" s="1348"/>
      <c r="C5108" s="1348"/>
      <c r="D5108" s="1348"/>
      <c r="E5108" s="1348"/>
      <c r="F5108" s="1348"/>
      <c r="G5108" s="1348"/>
      <c r="H5108" s="1348"/>
      <c r="I5108" s="1348"/>
      <c r="J5108" s="1348"/>
      <c r="K5108" s="1348"/>
    </row>
    <row r="5109" spans="2:11" hidden="1">
      <c r="B5109" s="1348"/>
      <c r="C5109" s="1348"/>
      <c r="D5109" s="1348"/>
      <c r="E5109" s="1348"/>
      <c r="F5109" s="1348"/>
      <c r="G5109" s="1348"/>
      <c r="H5109" s="1348"/>
      <c r="I5109" s="1348"/>
      <c r="J5109" s="1348"/>
      <c r="K5109" s="1348"/>
    </row>
    <row r="5110" spans="2:11" hidden="1">
      <c r="B5110" s="1348"/>
      <c r="C5110" s="1348"/>
      <c r="D5110" s="1348"/>
      <c r="E5110" s="1348"/>
      <c r="F5110" s="1348"/>
      <c r="G5110" s="1348"/>
      <c r="H5110" s="1348"/>
      <c r="I5110" s="1348"/>
      <c r="J5110" s="1348"/>
      <c r="K5110" s="1348"/>
    </row>
    <row r="5111" spans="2:11" hidden="1">
      <c r="B5111" s="1348"/>
      <c r="C5111" s="1348"/>
      <c r="D5111" s="1348"/>
      <c r="E5111" s="1348"/>
      <c r="F5111" s="1348"/>
      <c r="G5111" s="1348"/>
      <c r="H5111" s="1348"/>
      <c r="I5111" s="1348"/>
      <c r="J5111" s="1348"/>
      <c r="K5111" s="1348"/>
    </row>
    <row r="5112" spans="2:11" hidden="1">
      <c r="B5112" s="1348"/>
      <c r="C5112" s="1348"/>
      <c r="D5112" s="1348"/>
      <c r="E5112" s="1348"/>
      <c r="F5112" s="1348"/>
      <c r="G5112" s="1348"/>
      <c r="H5112" s="1348"/>
      <c r="I5112" s="1348"/>
      <c r="J5112" s="1348"/>
      <c r="K5112" s="1348"/>
    </row>
    <row r="5113" spans="2:11" hidden="1">
      <c r="B5113" s="1348"/>
      <c r="C5113" s="1348"/>
      <c r="D5113" s="1348"/>
      <c r="E5113" s="1348"/>
      <c r="F5113" s="1348"/>
      <c r="G5113" s="1348"/>
      <c r="H5113" s="1348"/>
      <c r="I5113" s="1348"/>
      <c r="J5113" s="1348"/>
      <c r="K5113" s="1348"/>
    </row>
    <row r="5114" spans="2:11" hidden="1">
      <c r="B5114" s="1348"/>
      <c r="C5114" s="1348"/>
      <c r="D5114" s="1348"/>
      <c r="E5114" s="1348"/>
      <c r="F5114" s="1348"/>
      <c r="G5114" s="1348"/>
      <c r="H5114" s="1348"/>
      <c r="I5114" s="1348"/>
      <c r="J5114" s="1348"/>
      <c r="K5114" s="1348"/>
    </row>
    <row r="5115" spans="2:11" hidden="1">
      <c r="B5115" s="1348"/>
      <c r="C5115" s="1348"/>
      <c r="D5115" s="1348"/>
      <c r="E5115" s="1348"/>
      <c r="F5115" s="1348"/>
      <c r="G5115" s="1348"/>
      <c r="H5115" s="1348"/>
      <c r="I5115" s="1348"/>
      <c r="J5115" s="1348"/>
      <c r="K5115" s="1348"/>
    </row>
    <row r="5116" spans="2:11" hidden="1">
      <c r="B5116" s="1348"/>
      <c r="C5116" s="1348"/>
      <c r="D5116" s="1348"/>
      <c r="E5116" s="1348"/>
      <c r="F5116" s="1348"/>
      <c r="G5116" s="1348"/>
      <c r="H5116" s="1348"/>
      <c r="I5116" s="1348"/>
      <c r="J5116" s="1348"/>
      <c r="K5116" s="1348"/>
    </row>
    <row r="5117" spans="2:11" hidden="1">
      <c r="B5117" s="1348"/>
      <c r="C5117" s="1348"/>
      <c r="D5117" s="1348"/>
      <c r="E5117" s="1348"/>
      <c r="F5117" s="1348"/>
      <c r="G5117" s="1348"/>
      <c r="H5117" s="1348"/>
      <c r="I5117" s="1348"/>
      <c r="J5117" s="1348"/>
      <c r="K5117" s="1348"/>
    </row>
    <row r="5118" spans="2:11" hidden="1">
      <c r="B5118" s="1348"/>
      <c r="C5118" s="1348"/>
      <c r="D5118" s="1348"/>
      <c r="E5118" s="1348"/>
      <c r="F5118" s="1348"/>
      <c r="G5118" s="1348"/>
      <c r="H5118" s="1348"/>
      <c r="I5118" s="1348"/>
      <c r="J5118" s="1348"/>
      <c r="K5118" s="1348"/>
    </row>
    <row r="5119" spans="2:11" hidden="1">
      <c r="B5119" s="1348"/>
      <c r="C5119" s="1348"/>
      <c r="D5119" s="1348"/>
      <c r="E5119" s="1348"/>
      <c r="F5119" s="1348"/>
      <c r="G5119" s="1348"/>
      <c r="H5119" s="1348"/>
      <c r="I5119" s="1348"/>
      <c r="J5119" s="1348"/>
      <c r="K5119" s="1348"/>
    </row>
    <row r="5120" spans="2:11" hidden="1">
      <c r="B5120" s="1348"/>
      <c r="C5120" s="1348"/>
      <c r="D5120" s="1348"/>
      <c r="E5120" s="1348"/>
      <c r="F5120" s="1348"/>
      <c r="G5120" s="1348"/>
      <c r="H5120" s="1348"/>
      <c r="I5120" s="1348"/>
      <c r="J5120" s="1348"/>
      <c r="K5120" s="1348"/>
    </row>
    <row r="5121" spans="2:11" hidden="1">
      <c r="B5121" s="1348"/>
      <c r="C5121" s="1348"/>
      <c r="D5121" s="1348"/>
      <c r="E5121" s="1348"/>
      <c r="F5121" s="1348"/>
      <c r="G5121" s="1348"/>
      <c r="H5121" s="1348"/>
      <c r="I5121" s="1348"/>
      <c r="J5121" s="1348"/>
      <c r="K5121" s="1348"/>
    </row>
    <row r="5122" spans="2:11" hidden="1">
      <c r="B5122" s="1348"/>
      <c r="C5122" s="1348"/>
      <c r="D5122" s="1348"/>
      <c r="E5122" s="1348"/>
      <c r="F5122" s="1348"/>
      <c r="G5122" s="1348"/>
      <c r="H5122" s="1348"/>
      <c r="I5122" s="1348"/>
      <c r="J5122" s="1348"/>
      <c r="K5122" s="1348"/>
    </row>
    <row r="5123" spans="2:11" hidden="1">
      <c r="B5123" s="1348"/>
      <c r="C5123" s="1348"/>
      <c r="D5123" s="1348"/>
      <c r="E5123" s="1348"/>
      <c r="F5123" s="1348"/>
      <c r="G5123" s="1348"/>
      <c r="H5123" s="1348"/>
      <c r="I5123" s="1348"/>
      <c r="J5123" s="1348"/>
      <c r="K5123" s="1348"/>
    </row>
    <row r="5124" spans="2:11" hidden="1">
      <c r="B5124" s="1348"/>
      <c r="C5124" s="1348"/>
      <c r="D5124" s="1348"/>
      <c r="E5124" s="1348"/>
      <c r="F5124" s="1348"/>
      <c r="G5124" s="1348"/>
      <c r="H5124" s="1348"/>
      <c r="I5124" s="1348"/>
      <c r="J5124" s="1348"/>
      <c r="K5124" s="1348"/>
    </row>
    <row r="5125" spans="2:11" hidden="1">
      <c r="B5125" s="1348"/>
      <c r="C5125" s="1348"/>
      <c r="D5125" s="1348"/>
      <c r="E5125" s="1348"/>
      <c r="F5125" s="1348"/>
      <c r="G5125" s="1348"/>
      <c r="H5125" s="1348"/>
      <c r="I5125" s="1348"/>
      <c r="J5125" s="1348"/>
      <c r="K5125" s="1348"/>
    </row>
    <row r="5126" spans="2:11" hidden="1">
      <c r="B5126" s="1348"/>
      <c r="C5126" s="1348"/>
      <c r="D5126" s="1348"/>
      <c r="E5126" s="1348"/>
      <c r="F5126" s="1348"/>
      <c r="G5126" s="1348"/>
      <c r="H5126" s="1348"/>
      <c r="I5126" s="1348"/>
      <c r="J5126" s="1348"/>
      <c r="K5126" s="1348"/>
    </row>
    <row r="5127" spans="2:11" hidden="1">
      <c r="B5127" s="1348"/>
      <c r="C5127" s="1348"/>
      <c r="D5127" s="1348"/>
      <c r="E5127" s="1348"/>
      <c r="F5127" s="1348"/>
      <c r="G5127" s="1348"/>
      <c r="H5127" s="1348"/>
      <c r="I5127" s="1348"/>
      <c r="J5127" s="1348"/>
      <c r="K5127" s="1348"/>
    </row>
    <row r="5128" spans="2:11" hidden="1">
      <c r="B5128" s="1348"/>
      <c r="C5128" s="1348"/>
      <c r="D5128" s="1348"/>
      <c r="E5128" s="1348"/>
      <c r="F5128" s="1348"/>
      <c r="G5128" s="1348"/>
      <c r="H5128" s="1348"/>
      <c r="I5128" s="1348"/>
      <c r="J5128" s="1348"/>
      <c r="K5128" s="1348"/>
    </row>
    <row r="5129" spans="2:11" hidden="1">
      <c r="B5129" s="1348"/>
      <c r="C5129" s="1348"/>
      <c r="D5129" s="1348"/>
      <c r="E5129" s="1348"/>
      <c r="F5129" s="1348"/>
      <c r="G5129" s="1348"/>
      <c r="H5129" s="1348"/>
      <c r="I5129" s="1348"/>
      <c r="J5129" s="1348"/>
      <c r="K5129" s="1348"/>
    </row>
    <row r="5130" spans="2:11" hidden="1">
      <c r="B5130" s="1348"/>
      <c r="C5130" s="1348"/>
      <c r="D5130" s="1348"/>
      <c r="E5130" s="1348"/>
      <c r="F5130" s="1348"/>
      <c r="G5130" s="1348"/>
      <c r="H5130" s="1348"/>
      <c r="I5130" s="1348"/>
      <c r="J5130" s="1348"/>
      <c r="K5130" s="1348"/>
    </row>
    <row r="5131" spans="2:11" hidden="1">
      <c r="B5131" s="1348"/>
      <c r="C5131" s="1348"/>
      <c r="D5131" s="1348"/>
      <c r="E5131" s="1348"/>
      <c r="F5131" s="1348"/>
      <c r="G5131" s="1348"/>
      <c r="H5131" s="1348"/>
      <c r="I5131" s="1348"/>
      <c r="J5131" s="1348"/>
      <c r="K5131" s="1348"/>
    </row>
    <row r="5132" spans="2:11" hidden="1">
      <c r="B5132" s="1348"/>
      <c r="C5132" s="1348"/>
      <c r="D5132" s="1348"/>
      <c r="E5132" s="1348"/>
      <c r="F5132" s="1348"/>
      <c r="G5132" s="1348"/>
      <c r="H5132" s="1348"/>
      <c r="I5132" s="1348"/>
      <c r="J5132" s="1348"/>
      <c r="K5132" s="1348"/>
    </row>
    <row r="5133" spans="2:11" hidden="1">
      <c r="B5133" s="1348"/>
      <c r="C5133" s="1348"/>
      <c r="D5133" s="1348"/>
      <c r="E5133" s="1348"/>
      <c r="F5133" s="1348"/>
      <c r="G5133" s="1348"/>
      <c r="H5133" s="1348"/>
      <c r="I5133" s="1348"/>
      <c r="J5133" s="1348"/>
      <c r="K5133" s="1348"/>
    </row>
    <row r="5134" spans="2:11" hidden="1">
      <c r="B5134" s="1348"/>
      <c r="C5134" s="1348"/>
      <c r="D5134" s="1348"/>
      <c r="E5134" s="1348"/>
      <c r="F5134" s="1348"/>
      <c r="G5134" s="1348"/>
      <c r="H5134" s="1348"/>
      <c r="I5134" s="1348"/>
      <c r="J5134" s="1348"/>
      <c r="K5134" s="1348"/>
    </row>
    <row r="5135" spans="2:11" hidden="1">
      <c r="B5135" s="1348"/>
      <c r="C5135" s="1348"/>
      <c r="D5135" s="1348"/>
      <c r="E5135" s="1348"/>
      <c r="F5135" s="1348"/>
      <c r="G5135" s="1348"/>
      <c r="H5135" s="1348"/>
      <c r="I5135" s="1348"/>
      <c r="J5135" s="1348"/>
      <c r="K5135" s="1348"/>
    </row>
    <row r="5136" spans="2:11" hidden="1">
      <c r="B5136" s="1348"/>
      <c r="C5136" s="1348"/>
      <c r="D5136" s="1348"/>
      <c r="E5136" s="1348"/>
      <c r="F5136" s="1348"/>
      <c r="G5136" s="1348"/>
      <c r="H5136" s="1348"/>
      <c r="I5136" s="1348"/>
      <c r="J5136" s="1348"/>
      <c r="K5136" s="1348"/>
    </row>
    <row r="5137" spans="2:11" hidden="1">
      <c r="B5137" s="1348"/>
      <c r="C5137" s="1348"/>
      <c r="D5137" s="1348"/>
      <c r="E5137" s="1348"/>
      <c r="F5137" s="1348"/>
      <c r="G5137" s="1348"/>
      <c r="H5137" s="1348"/>
      <c r="I5137" s="1348"/>
      <c r="J5137" s="1348"/>
      <c r="K5137" s="1348"/>
    </row>
    <row r="5138" spans="2:11" hidden="1">
      <c r="B5138" s="1348"/>
      <c r="C5138" s="1348"/>
      <c r="D5138" s="1348"/>
      <c r="E5138" s="1348"/>
      <c r="F5138" s="1348"/>
      <c r="G5138" s="1348"/>
      <c r="H5138" s="1348"/>
      <c r="I5138" s="1348"/>
      <c r="J5138" s="1348"/>
      <c r="K5138" s="1348"/>
    </row>
    <row r="5139" spans="2:11" hidden="1">
      <c r="B5139" s="1348"/>
      <c r="C5139" s="1348"/>
      <c r="D5139" s="1348"/>
      <c r="E5139" s="1348"/>
      <c r="F5139" s="1348"/>
      <c r="G5139" s="1348"/>
      <c r="H5139" s="1348"/>
      <c r="I5139" s="1348"/>
      <c r="J5139" s="1348"/>
      <c r="K5139" s="1348"/>
    </row>
    <row r="5140" spans="2:11" hidden="1">
      <c r="B5140" s="1348"/>
      <c r="C5140" s="1348"/>
      <c r="D5140" s="1348"/>
      <c r="E5140" s="1348"/>
      <c r="F5140" s="1348"/>
      <c r="G5140" s="1348"/>
      <c r="H5140" s="1348"/>
      <c r="I5140" s="1348"/>
      <c r="J5140" s="1348"/>
      <c r="K5140" s="1348"/>
    </row>
    <row r="5141" spans="2:11" hidden="1">
      <c r="B5141" s="1348"/>
      <c r="C5141" s="1348"/>
      <c r="D5141" s="1348"/>
      <c r="E5141" s="1348"/>
      <c r="F5141" s="1348"/>
      <c r="G5141" s="1348"/>
      <c r="H5141" s="1348"/>
      <c r="I5141" s="1348"/>
      <c r="J5141" s="1348"/>
      <c r="K5141" s="1348"/>
    </row>
    <row r="5142" spans="2:11" hidden="1">
      <c r="B5142" s="1348"/>
      <c r="C5142" s="1348"/>
      <c r="D5142" s="1348"/>
      <c r="E5142" s="1348"/>
      <c r="F5142" s="1348"/>
      <c r="G5142" s="1348"/>
      <c r="H5142" s="1348"/>
      <c r="I5142" s="1348"/>
      <c r="J5142" s="1348"/>
      <c r="K5142" s="1348"/>
    </row>
    <row r="5143" spans="2:11" hidden="1">
      <c r="B5143" s="1348"/>
      <c r="C5143" s="1348"/>
      <c r="D5143" s="1348"/>
      <c r="E5143" s="1348"/>
      <c r="F5143" s="1348"/>
      <c r="G5143" s="1348"/>
      <c r="H5143" s="1348"/>
      <c r="I5143" s="1348"/>
      <c r="J5143" s="1348"/>
      <c r="K5143" s="1348"/>
    </row>
    <row r="5144" spans="2:11" hidden="1">
      <c r="B5144" s="1348"/>
      <c r="C5144" s="1348"/>
      <c r="D5144" s="1348"/>
      <c r="E5144" s="1348"/>
      <c r="F5144" s="1348"/>
      <c r="G5144" s="1348"/>
      <c r="H5144" s="1348"/>
      <c r="I5144" s="1348"/>
      <c r="J5144" s="1348"/>
      <c r="K5144" s="1348"/>
    </row>
    <row r="5145" spans="2:11" hidden="1">
      <c r="B5145" s="1348"/>
      <c r="C5145" s="1348"/>
      <c r="D5145" s="1348"/>
      <c r="E5145" s="1348"/>
      <c r="F5145" s="1348"/>
      <c r="G5145" s="1348"/>
      <c r="H5145" s="1348"/>
      <c r="I5145" s="1348"/>
      <c r="J5145" s="1348"/>
      <c r="K5145" s="1348"/>
    </row>
    <row r="5146" spans="2:11" hidden="1">
      <c r="B5146" s="1348"/>
      <c r="C5146" s="1348"/>
      <c r="D5146" s="1348"/>
      <c r="E5146" s="1348"/>
      <c r="F5146" s="1348"/>
      <c r="G5146" s="1348"/>
      <c r="H5146" s="1348"/>
      <c r="I5146" s="1348"/>
      <c r="J5146" s="1348"/>
      <c r="K5146" s="1348"/>
    </row>
    <row r="5147" spans="2:11" hidden="1">
      <c r="B5147" s="1348"/>
      <c r="C5147" s="1348"/>
      <c r="D5147" s="1348"/>
      <c r="E5147" s="1348"/>
      <c r="F5147" s="1348"/>
      <c r="G5147" s="1348"/>
      <c r="H5147" s="1348"/>
      <c r="I5147" s="1348"/>
      <c r="J5147" s="1348"/>
      <c r="K5147" s="1348"/>
    </row>
    <row r="5148" spans="2:11" hidden="1">
      <c r="B5148" s="1348"/>
      <c r="C5148" s="1348"/>
      <c r="D5148" s="1348"/>
      <c r="E5148" s="1348"/>
      <c r="F5148" s="1348"/>
      <c r="G5148" s="1348"/>
      <c r="H5148" s="1348"/>
      <c r="I5148" s="1348"/>
      <c r="J5148" s="1348"/>
      <c r="K5148" s="1348"/>
    </row>
    <row r="5149" spans="2:11" hidden="1">
      <c r="B5149" s="1348"/>
      <c r="C5149" s="1348"/>
      <c r="D5149" s="1348"/>
      <c r="E5149" s="1348"/>
      <c r="F5149" s="1348"/>
      <c r="G5149" s="1348"/>
      <c r="H5149" s="1348"/>
      <c r="I5149" s="1348"/>
      <c r="J5149" s="1348"/>
      <c r="K5149" s="1348"/>
    </row>
    <row r="5150" spans="2:11" hidden="1">
      <c r="B5150" s="1348"/>
      <c r="C5150" s="1348"/>
      <c r="D5150" s="1348"/>
      <c r="E5150" s="1348"/>
      <c r="F5150" s="1348"/>
      <c r="G5150" s="1348"/>
      <c r="H5150" s="1348"/>
      <c r="I5150" s="1348"/>
      <c r="J5150" s="1348"/>
      <c r="K5150" s="1348"/>
    </row>
    <row r="5151" spans="2:11" hidden="1">
      <c r="B5151" s="1348"/>
      <c r="C5151" s="1348"/>
      <c r="D5151" s="1348"/>
      <c r="E5151" s="1348"/>
      <c r="F5151" s="1348"/>
      <c r="G5151" s="1348"/>
      <c r="H5151" s="1348"/>
      <c r="I5151" s="1348"/>
      <c r="J5151" s="1348"/>
      <c r="K5151" s="1348"/>
    </row>
    <row r="5152" spans="2:11" hidden="1">
      <c r="B5152" s="1348"/>
      <c r="C5152" s="1348"/>
      <c r="D5152" s="1348"/>
      <c r="E5152" s="1348"/>
      <c r="F5152" s="1348"/>
      <c r="G5152" s="1348"/>
      <c r="H5152" s="1348"/>
      <c r="I5152" s="1348"/>
      <c r="J5152" s="1348"/>
      <c r="K5152" s="1348"/>
    </row>
    <row r="5153" spans="2:11" hidden="1">
      <c r="B5153" s="1348"/>
      <c r="C5153" s="1348"/>
      <c r="D5153" s="1348"/>
      <c r="E5153" s="1348"/>
      <c r="F5153" s="1348"/>
      <c r="G5153" s="1348"/>
      <c r="H5153" s="1348"/>
      <c r="I5153" s="1348"/>
      <c r="J5153" s="1348"/>
      <c r="K5153" s="1348"/>
    </row>
    <row r="5154" spans="2:11" hidden="1">
      <c r="B5154" s="1348"/>
      <c r="C5154" s="1348"/>
      <c r="D5154" s="1348"/>
      <c r="E5154" s="1348"/>
      <c r="F5154" s="1348"/>
      <c r="G5154" s="1348"/>
      <c r="H5154" s="1348"/>
      <c r="I5154" s="1348"/>
      <c r="J5154" s="1348"/>
      <c r="K5154" s="1348"/>
    </row>
    <row r="5155" spans="2:11" hidden="1">
      <c r="B5155" s="1348"/>
      <c r="C5155" s="1348"/>
      <c r="D5155" s="1348"/>
      <c r="E5155" s="1348"/>
      <c r="F5155" s="1348"/>
      <c r="G5155" s="1348"/>
      <c r="H5155" s="1348"/>
      <c r="I5155" s="1348"/>
      <c r="J5155" s="1348"/>
      <c r="K5155" s="1348"/>
    </row>
    <row r="5156" spans="2:11" hidden="1">
      <c r="B5156" s="1348"/>
      <c r="C5156" s="1348"/>
      <c r="D5156" s="1348"/>
      <c r="E5156" s="1348"/>
      <c r="F5156" s="1348"/>
      <c r="G5156" s="1348"/>
      <c r="H5156" s="1348"/>
      <c r="I5156" s="1348"/>
      <c r="J5156" s="1348"/>
      <c r="K5156" s="1348"/>
    </row>
    <row r="5157" spans="2:11" hidden="1">
      <c r="B5157" s="1348"/>
      <c r="C5157" s="1348"/>
      <c r="D5157" s="1348"/>
      <c r="E5157" s="1348"/>
      <c r="F5157" s="1348"/>
      <c r="G5157" s="1348"/>
      <c r="H5157" s="1348"/>
      <c r="I5157" s="1348"/>
      <c r="J5157" s="1348"/>
      <c r="K5157" s="1348"/>
    </row>
    <row r="5158" spans="2:11" hidden="1">
      <c r="B5158" s="1348"/>
      <c r="C5158" s="1348"/>
      <c r="D5158" s="1348"/>
      <c r="E5158" s="1348"/>
      <c r="F5158" s="1348"/>
      <c r="G5158" s="1348"/>
      <c r="H5158" s="1348"/>
      <c r="I5158" s="1348"/>
      <c r="J5158" s="1348"/>
      <c r="K5158" s="1348"/>
    </row>
    <row r="5159" spans="2:11" hidden="1">
      <c r="B5159" s="1348"/>
      <c r="C5159" s="1348"/>
      <c r="D5159" s="1348"/>
      <c r="E5159" s="1348"/>
      <c r="F5159" s="1348"/>
      <c r="G5159" s="1348"/>
      <c r="H5159" s="1348"/>
      <c r="I5159" s="1348"/>
      <c r="J5159" s="1348"/>
      <c r="K5159" s="1348"/>
    </row>
    <row r="5160" spans="2:11" hidden="1">
      <c r="B5160" s="1348"/>
      <c r="C5160" s="1348"/>
      <c r="D5160" s="1348"/>
      <c r="E5160" s="1348"/>
      <c r="F5160" s="1348"/>
      <c r="G5160" s="1348"/>
      <c r="H5160" s="1348"/>
      <c r="I5160" s="1348"/>
      <c r="J5160" s="1348"/>
      <c r="K5160" s="1348"/>
    </row>
    <row r="5161" spans="2:11" hidden="1">
      <c r="B5161" s="1348"/>
      <c r="C5161" s="1348"/>
      <c r="D5161" s="1348"/>
      <c r="E5161" s="1348"/>
      <c r="F5161" s="1348"/>
      <c r="G5161" s="1348"/>
      <c r="H5161" s="1348"/>
      <c r="I5161" s="1348"/>
      <c r="J5161" s="1348"/>
      <c r="K5161" s="1348"/>
    </row>
    <row r="5162" spans="2:11" hidden="1">
      <c r="B5162" s="1348"/>
      <c r="C5162" s="1348"/>
      <c r="D5162" s="1348"/>
      <c r="E5162" s="1348"/>
      <c r="F5162" s="1348"/>
      <c r="G5162" s="1348"/>
      <c r="H5162" s="1348"/>
      <c r="I5162" s="1348"/>
      <c r="J5162" s="1348"/>
      <c r="K5162" s="1348"/>
    </row>
    <row r="5163" spans="2:11" hidden="1">
      <c r="B5163" s="1348"/>
      <c r="C5163" s="1348"/>
      <c r="D5163" s="1348"/>
      <c r="E5163" s="1348"/>
      <c r="F5163" s="1348"/>
      <c r="G5163" s="1348"/>
      <c r="H5163" s="1348"/>
      <c r="I5163" s="1348"/>
      <c r="J5163" s="1348"/>
      <c r="K5163" s="1348"/>
    </row>
    <row r="5164" spans="2:11" hidden="1">
      <c r="B5164" s="1348"/>
      <c r="C5164" s="1348"/>
      <c r="D5164" s="1348"/>
      <c r="E5164" s="1348"/>
      <c r="F5164" s="1348"/>
      <c r="G5164" s="1348"/>
      <c r="H5164" s="1348"/>
      <c r="I5164" s="1348"/>
      <c r="J5164" s="1348"/>
      <c r="K5164" s="1348"/>
    </row>
    <row r="5165" spans="2:11" hidden="1">
      <c r="B5165" s="1348"/>
      <c r="C5165" s="1348"/>
      <c r="D5165" s="1348"/>
      <c r="E5165" s="1348"/>
      <c r="F5165" s="1348"/>
      <c r="G5165" s="1348"/>
      <c r="H5165" s="1348"/>
      <c r="I5165" s="1348"/>
      <c r="J5165" s="1348"/>
      <c r="K5165" s="1348"/>
    </row>
    <row r="5166" spans="2:11" hidden="1">
      <c r="B5166" s="1348"/>
      <c r="C5166" s="1348"/>
      <c r="D5166" s="1348"/>
      <c r="E5166" s="1348"/>
      <c r="F5166" s="1348"/>
      <c r="G5166" s="1348"/>
      <c r="H5166" s="1348"/>
      <c r="I5166" s="1348"/>
      <c r="J5166" s="1348"/>
      <c r="K5166" s="1348"/>
    </row>
    <row r="5167" spans="2:11" hidden="1">
      <c r="B5167" s="1348"/>
      <c r="C5167" s="1348"/>
      <c r="D5167" s="1348"/>
      <c r="E5167" s="1348"/>
      <c r="F5167" s="1348"/>
      <c r="G5167" s="1348"/>
      <c r="H5167" s="1348"/>
      <c r="I5167" s="1348"/>
      <c r="J5167" s="1348"/>
      <c r="K5167" s="1348"/>
    </row>
    <row r="5168" spans="2:11" hidden="1">
      <c r="B5168" s="1348"/>
      <c r="C5168" s="1348"/>
      <c r="D5168" s="1348"/>
      <c r="E5168" s="1348"/>
      <c r="F5168" s="1348"/>
      <c r="G5168" s="1348"/>
      <c r="H5168" s="1348"/>
      <c r="I5168" s="1348"/>
      <c r="J5168" s="1348"/>
      <c r="K5168" s="1348"/>
    </row>
    <row r="5169" spans="2:11" hidden="1">
      <c r="B5169" s="1348"/>
      <c r="C5169" s="1348"/>
      <c r="D5169" s="1348"/>
      <c r="E5169" s="1348"/>
      <c r="F5169" s="1348"/>
      <c r="G5169" s="1348"/>
      <c r="H5169" s="1348"/>
      <c r="I5169" s="1348"/>
      <c r="J5169" s="1348"/>
      <c r="K5169" s="1348"/>
    </row>
    <row r="5170" spans="2:11" hidden="1">
      <c r="B5170" s="1348"/>
      <c r="C5170" s="1348"/>
      <c r="D5170" s="1348"/>
      <c r="E5170" s="1348"/>
      <c r="F5170" s="1348"/>
      <c r="G5170" s="1348"/>
      <c r="H5170" s="1348"/>
      <c r="I5170" s="1348"/>
      <c r="J5170" s="1348"/>
      <c r="K5170" s="1348"/>
    </row>
    <row r="5171" spans="2:11" hidden="1">
      <c r="B5171" s="1348"/>
      <c r="C5171" s="1348"/>
      <c r="D5171" s="1348"/>
      <c r="E5171" s="1348"/>
      <c r="F5171" s="1348"/>
      <c r="G5171" s="1348"/>
      <c r="H5171" s="1348"/>
      <c r="I5171" s="1348"/>
      <c r="J5171" s="1348"/>
      <c r="K5171" s="1348"/>
    </row>
    <row r="5172" spans="2:11" hidden="1">
      <c r="B5172" s="1348"/>
      <c r="C5172" s="1348"/>
      <c r="D5172" s="1348"/>
      <c r="E5172" s="1348"/>
      <c r="F5172" s="1348"/>
      <c r="G5172" s="1348"/>
      <c r="H5172" s="1348"/>
      <c r="I5172" s="1348"/>
      <c r="J5172" s="1348"/>
      <c r="K5172" s="1348"/>
    </row>
    <row r="5173" spans="2:11" hidden="1">
      <c r="B5173" s="1348"/>
      <c r="C5173" s="1348"/>
      <c r="D5173" s="1348"/>
      <c r="E5173" s="1348"/>
      <c r="F5173" s="1348"/>
      <c r="G5173" s="1348"/>
      <c r="H5173" s="1348"/>
      <c r="I5173" s="1348"/>
      <c r="J5173" s="1348"/>
      <c r="K5173" s="1348"/>
    </row>
    <row r="5174" spans="2:11" hidden="1">
      <c r="B5174" s="1348"/>
      <c r="C5174" s="1348"/>
      <c r="D5174" s="1348"/>
      <c r="E5174" s="1348"/>
      <c r="F5174" s="1348"/>
      <c r="G5174" s="1348"/>
      <c r="H5174" s="1348"/>
      <c r="I5174" s="1348"/>
      <c r="J5174" s="1348"/>
      <c r="K5174" s="1348"/>
    </row>
    <row r="5175" spans="2:11" hidden="1">
      <c r="B5175" s="1348"/>
      <c r="C5175" s="1348"/>
      <c r="D5175" s="1348"/>
      <c r="E5175" s="1348"/>
      <c r="F5175" s="1348"/>
      <c r="G5175" s="1348"/>
      <c r="H5175" s="1348"/>
      <c r="I5175" s="1348"/>
      <c r="J5175" s="1348"/>
      <c r="K5175" s="1348"/>
    </row>
    <row r="5176" spans="2:11" hidden="1">
      <c r="B5176" s="1348"/>
      <c r="C5176" s="1348"/>
      <c r="D5176" s="1348"/>
      <c r="E5176" s="1348"/>
      <c r="F5176" s="1348"/>
      <c r="G5176" s="1348"/>
      <c r="H5176" s="1348"/>
      <c r="I5176" s="1348"/>
      <c r="J5176" s="1348"/>
      <c r="K5176" s="1348"/>
    </row>
    <row r="5177" spans="2:11" hidden="1">
      <c r="B5177" s="1348"/>
      <c r="C5177" s="1348"/>
      <c r="D5177" s="1348"/>
      <c r="E5177" s="1348"/>
      <c r="F5177" s="1348"/>
      <c r="G5177" s="1348"/>
      <c r="H5177" s="1348"/>
      <c r="I5177" s="1348"/>
      <c r="J5177" s="1348"/>
      <c r="K5177" s="1348"/>
    </row>
    <row r="5178" spans="2:11" hidden="1">
      <c r="B5178" s="1348"/>
      <c r="C5178" s="1348"/>
      <c r="D5178" s="1348"/>
      <c r="E5178" s="1348"/>
      <c r="F5178" s="1348"/>
      <c r="G5178" s="1348"/>
      <c r="H5178" s="1348"/>
      <c r="I5178" s="1348"/>
      <c r="J5178" s="1348"/>
      <c r="K5178" s="1348"/>
    </row>
    <row r="5179" spans="2:11" hidden="1">
      <c r="B5179" s="1348"/>
      <c r="C5179" s="1348"/>
      <c r="D5179" s="1348"/>
      <c r="E5179" s="1348"/>
      <c r="F5179" s="1348"/>
      <c r="G5179" s="1348"/>
      <c r="H5179" s="1348"/>
      <c r="I5179" s="1348"/>
      <c r="J5179" s="1348"/>
      <c r="K5179" s="1348"/>
    </row>
    <row r="5180" spans="2:11" hidden="1">
      <c r="B5180" s="1348"/>
      <c r="C5180" s="1348"/>
      <c r="D5180" s="1348"/>
      <c r="E5180" s="1348"/>
      <c r="F5180" s="1348"/>
      <c r="G5180" s="1348"/>
      <c r="H5180" s="1348"/>
      <c r="I5180" s="1348"/>
      <c r="J5180" s="1348"/>
      <c r="K5180" s="1348"/>
    </row>
    <row r="5181" spans="2:11" hidden="1">
      <c r="B5181" s="1348"/>
      <c r="C5181" s="1348"/>
      <c r="D5181" s="1348"/>
      <c r="E5181" s="1348"/>
      <c r="F5181" s="1348"/>
      <c r="G5181" s="1348"/>
      <c r="H5181" s="1348"/>
      <c r="I5181" s="1348"/>
      <c r="J5181" s="1348"/>
      <c r="K5181" s="1348"/>
    </row>
    <row r="5182" spans="2:11" hidden="1">
      <c r="B5182" s="1348"/>
      <c r="C5182" s="1348"/>
      <c r="D5182" s="1348"/>
      <c r="E5182" s="1348"/>
      <c r="F5182" s="1348"/>
      <c r="G5182" s="1348"/>
      <c r="H5182" s="1348"/>
      <c r="I5182" s="1348"/>
      <c r="J5182" s="1348"/>
      <c r="K5182" s="1348"/>
    </row>
    <row r="5183" spans="2:11" hidden="1">
      <c r="B5183" s="1348"/>
      <c r="C5183" s="1348"/>
      <c r="D5183" s="1348"/>
      <c r="E5183" s="1348"/>
      <c r="F5183" s="1348"/>
      <c r="G5183" s="1348"/>
      <c r="H5183" s="1348"/>
      <c r="I5183" s="1348"/>
      <c r="J5183" s="1348"/>
      <c r="K5183" s="1348"/>
    </row>
    <row r="5184" spans="2:11" hidden="1">
      <c r="B5184" s="1348"/>
      <c r="C5184" s="1348"/>
      <c r="D5184" s="1348"/>
      <c r="E5184" s="1348"/>
      <c r="F5184" s="1348"/>
      <c r="G5184" s="1348"/>
      <c r="H5184" s="1348"/>
      <c r="I5184" s="1348"/>
      <c r="J5184" s="1348"/>
      <c r="K5184" s="1348"/>
    </row>
    <row r="5185" spans="2:11" hidden="1">
      <c r="B5185" s="1348"/>
      <c r="C5185" s="1348"/>
      <c r="D5185" s="1348"/>
      <c r="E5185" s="1348"/>
      <c r="F5185" s="1348"/>
      <c r="G5185" s="1348"/>
      <c r="H5185" s="1348"/>
      <c r="I5185" s="1348"/>
      <c r="J5185" s="1348"/>
      <c r="K5185" s="1348"/>
    </row>
    <row r="5186" spans="2:11" hidden="1">
      <c r="B5186" s="1348"/>
      <c r="C5186" s="1348"/>
      <c r="D5186" s="1348"/>
      <c r="E5186" s="1348"/>
      <c r="F5186" s="1348"/>
      <c r="G5186" s="1348"/>
      <c r="H5186" s="1348"/>
      <c r="I5186" s="1348"/>
      <c r="J5186" s="1348"/>
      <c r="K5186" s="1348"/>
    </row>
    <row r="5187" spans="2:11" hidden="1">
      <c r="B5187" s="1348"/>
      <c r="C5187" s="1348"/>
      <c r="D5187" s="1348"/>
      <c r="E5187" s="1348"/>
      <c r="F5187" s="1348"/>
      <c r="G5187" s="1348"/>
      <c r="H5187" s="1348"/>
      <c r="I5187" s="1348"/>
      <c r="J5187" s="1348"/>
      <c r="K5187" s="1348"/>
    </row>
    <row r="5188" spans="2:11" hidden="1">
      <c r="B5188" s="1348"/>
      <c r="C5188" s="1348"/>
      <c r="D5188" s="1348"/>
      <c r="E5188" s="1348"/>
      <c r="F5188" s="1348"/>
      <c r="G5188" s="1348"/>
      <c r="H5188" s="1348"/>
      <c r="I5188" s="1348"/>
      <c r="J5188" s="1348"/>
      <c r="K5188" s="1348"/>
    </row>
    <row r="5189" spans="2:11" hidden="1">
      <c r="B5189" s="1348"/>
      <c r="C5189" s="1348"/>
      <c r="D5189" s="1348"/>
      <c r="E5189" s="1348"/>
      <c r="F5189" s="1348"/>
      <c r="G5189" s="1348"/>
      <c r="H5189" s="1348"/>
      <c r="I5189" s="1348"/>
      <c r="J5189" s="1348"/>
      <c r="K5189" s="1348"/>
    </row>
    <row r="5190" spans="2:11" hidden="1">
      <c r="B5190" s="1348"/>
      <c r="C5190" s="1348"/>
      <c r="D5190" s="1348"/>
      <c r="E5190" s="1348"/>
      <c r="F5190" s="1348"/>
      <c r="G5190" s="1348"/>
      <c r="H5190" s="1348"/>
      <c r="I5190" s="1348"/>
      <c r="J5190" s="1348"/>
      <c r="K5190" s="1348"/>
    </row>
    <row r="5191" spans="2:11" hidden="1">
      <c r="B5191" s="1348"/>
      <c r="C5191" s="1348"/>
      <c r="D5191" s="1348"/>
      <c r="E5191" s="1348"/>
      <c r="F5191" s="1348"/>
      <c r="G5191" s="1348"/>
      <c r="H5191" s="1348"/>
      <c r="I5191" s="1348"/>
      <c r="J5191" s="1348"/>
      <c r="K5191" s="1348"/>
    </row>
    <row r="5192" spans="2:11" hidden="1">
      <c r="B5192" s="1348"/>
      <c r="C5192" s="1348"/>
      <c r="D5192" s="1348"/>
      <c r="E5192" s="1348"/>
      <c r="F5192" s="1348"/>
      <c r="G5192" s="1348"/>
      <c r="H5192" s="1348"/>
      <c r="I5192" s="1348"/>
      <c r="J5192" s="1348"/>
      <c r="K5192" s="1348"/>
    </row>
    <row r="5193" spans="2:11" hidden="1">
      <c r="B5193" s="1348"/>
      <c r="C5193" s="1348"/>
      <c r="D5193" s="1348"/>
      <c r="E5193" s="1348"/>
      <c r="F5193" s="1348"/>
      <c r="G5193" s="1348"/>
      <c r="H5193" s="1348"/>
      <c r="I5193" s="1348"/>
      <c r="J5193" s="1348"/>
      <c r="K5193" s="1348"/>
    </row>
    <row r="5194" spans="2:11" hidden="1">
      <c r="B5194" s="1348"/>
      <c r="C5194" s="1348"/>
      <c r="D5194" s="1348"/>
      <c r="E5194" s="1348"/>
      <c r="F5194" s="1348"/>
      <c r="G5194" s="1348"/>
      <c r="H5194" s="1348"/>
      <c r="I5194" s="1348"/>
      <c r="J5194" s="1348"/>
      <c r="K5194" s="1348"/>
    </row>
    <row r="5195" spans="2:11" hidden="1">
      <c r="B5195" s="1348"/>
      <c r="C5195" s="1348"/>
      <c r="D5195" s="1348"/>
      <c r="E5195" s="1348"/>
      <c r="F5195" s="1348"/>
      <c r="G5195" s="1348"/>
      <c r="H5195" s="1348"/>
      <c r="I5195" s="1348"/>
      <c r="J5195" s="1348"/>
      <c r="K5195" s="1348"/>
    </row>
    <row r="5196" spans="2:11" hidden="1">
      <c r="B5196" s="1348"/>
      <c r="C5196" s="1348"/>
      <c r="D5196" s="1348"/>
      <c r="E5196" s="1348"/>
      <c r="F5196" s="1348"/>
      <c r="G5196" s="1348"/>
      <c r="H5196" s="1348"/>
      <c r="I5196" s="1348"/>
      <c r="J5196" s="1348"/>
      <c r="K5196" s="1348"/>
    </row>
    <row r="5197" spans="2:11" hidden="1">
      <c r="B5197" s="1348"/>
      <c r="C5197" s="1348"/>
      <c r="D5197" s="1348"/>
      <c r="E5197" s="1348"/>
      <c r="F5197" s="1348"/>
      <c r="G5197" s="1348"/>
      <c r="H5197" s="1348"/>
      <c r="I5197" s="1348"/>
      <c r="J5197" s="1348"/>
      <c r="K5197" s="1348"/>
    </row>
    <row r="5198" spans="2:11" hidden="1">
      <c r="B5198" s="1348"/>
      <c r="C5198" s="1348"/>
      <c r="D5198" s="1348"/>
      <c r="E5198" s="1348"/>
      <c r="F5198" s="1348"/>
      <c r="G5198" s="1348"/>
      <c r="H5198" s="1348"/>
      <c r="I5198" s="1348"/>
      <c r="J5198" s="1348"/>
      <c r="K5198" s="1348"/>
    </row>
    <row r="5199" spans="2:11" hidden="1">
      <c r="B5199" s="1348"/>
      <c r="C5199" s="1348"/>
      <c r="D5199" s="1348"/>
      <c r="E5199" s="1348"/>
      <c r="F5199" s="1348"/>
      <c r="G5199" s="1348"/>
      <c r="H5199" s="1348"/>
      <c r="I5199" s="1348"/>
      <c r="J5199" s="1348"/>
      <c r="K5199" s="1348"/>
    </row>
    <row r="5200" spans="2:11" hidden="1">
      <c r="B5200" s="1348"/>
      <c r="C5200" s="1348"/>
      <c r="D5200" s="1348"/>
      <c r="E5200" s="1348"/>
      <c r="F5200" s="1348"/>
      <c r="G5200" s="1348"/>
      <c r="H5200" s="1348"/>
      <c r="I5200" s="1348"/>
      <c r="J5200" s="1348"/>
      <c r="K5200" s="1348"/>
    </row>
    <row r="5201" spans="2:11" hidden="1">
      <c r="B5201" s="1348"/>
      <c r="C5201" s="1348"/>
      <c r="D5201" s="1348"/>
      <c r="E5201" s="1348"/>
      <c r="F5201" s="1348"/>
      <c r="G5201" s="1348"/>
      <c r="H5201" s="1348"/>
      <c r="I5201" s="1348"/>
      <c r="J5201" s="1348"/>
      <c r="K5201" s="1348"/>
    </row>
    <row r="5202" spans="2:11" hidden="1">
      <c r="B5202" s="1348"/>
      <c r="C5202" s="1348"/>
      <c r="D5202" s="1348"/>
      <c r="E5202" s="1348"/>
      <c r="F5202" s="1348"/>
      <c r="G5202" s="1348"/>
      <c r="H5202" s="1348"/>
      <c r="I5202" s="1348"/>
      <c r="J5202" s="1348"/>
      <c r="K5202" s="1348"/>
    </row>
    <row r="5203" spans="2:11" hidden="1">
      <c r="B5203" s="1348"/>
      <c r="C5203" s="1348"/>
      <c r="D5203" s="1348"/>
      <c r="E5203" s="1348"/>
      <c r="F5203" s="1348"/>
      <c r="G5203" s="1348"/>
      <c r="H5203" s="1348"/>
      <c r="I5203" s="1348"/>
      <c r="J5203" s="1348"/>
      <c r="K5203" s="1348"/>
    </row>
    <row r="5204" spans="2:11" hidden="1">
      <c r="B5204" s="1348"/>
      <c r="C5204" s="1348"/>
      <c r="D5204" s="1348"/>
      <c r="E5204" s="1348"/>
      <c r="F5204" s="1348"/>
      <c r="G5204" s="1348"/>
      <c r="H5204" s="1348"/>
      <c r="I5204" s="1348"/>
      <c r="J5204" s="1348"/>
      <c r="K5204" s="1348"/>
    </row>
    <row r="5205" spans="2:11" hidden="1">
      <c r="B5205" s="1348"/>
      <c r="C5205" s="1348"/>
      <c r="D5205" s="1348"/>
      <c r="E5205" s="1348"/>
      <c r="F5205" s="1348"/>
      <c r="G5205" s="1348"/>
      <c r="H5205" s="1348"/>
      <c r="I5205" s="1348"/>
      <c r="J5205" s="1348"/>
      <c r="K5205" s="1348"/>
    </row>
    <row r="5206" spans="2:11" hidden="1">
      <c r="B5206" s="1348"/>
      <c r="C5206" s="1348"/>
      <c r="D5206" s="1348"/>
      <c r="E5206" s="1348"/>
      <c r="F5206" s="1348"/>
      <c r="G5206" s="1348"/>
      <c r="H5206" s="1348"/>
      <c r="I5206" s="1348"/>
      <c r="J5206" s="1348"/>
      <c r="K5206" s="1348"/>
    </row>
    <row r="5207" spans="2:11" hidden="1">
      <c r="B5207" s="1348"/>
      <c r="C5207" s="1348"/>
      <c r="D5207" s="1348"/>
      <c r="E5207" s="1348"/>
      <c r="F5207" s="1348"/>
      <c r="G5207" s="1348"/>
      <c r="H5207" s="1348"/>
      <c r="I5207" s="1348"/>
      <c r="J5207" s="1348"/>
      <c r="K5207" s="1348"/>
    </row>
    <row r="5208" spans="2:11" hidden="1">
      <c r="B5208" s="1348"/>
      <c r="C5208" s="1348"/>
      <c r="D5208" s="1348"/>
      <c r="E5208" s="1348"/>
      <c r="F5208" s="1348"/>
      <c r="G5208" s="1348"/>
      <c r="H5208" s="1348"/>
      <c r="I5208" s="1348"/>
      <c r="J5208" s="1348"/>
      <c r="K5208" s="1348"/>
    </row>
    <row r="5209" spans="2:11" hidden="1">
      <c r="B5209" s="1348"/>
      <c r="C5209" s="1348"/>
      <c r="D5209" s="1348"/>
      <c r="E5209" s="1348"/>
      <c r="F5209" s="1348"/>
      <c r="G5209" s="1348"/>
      <c r="H5209" s="1348"/>
      <c r="I5209" s="1348"/>
      <c r="J5209" s="1348"/>
      <c r="K5209" s="1348"/>
    </row>
    <row r="5210" spans="2:11" hidden="1">
      <c r="B5210" s="1348"/>
      <c r="C5210" s="1348"/>
      <c r="D5210" s="1348"/>
      <c r="E5210" s="1348"/>
      <c r="F5210" s="1348"/>
      <c r="G5210" s="1348"/>
      <c r="H5210" s="1348"/>
      <c r="I5210" s="1348"/>
      <c r="J5210" s="1348"/>
      <c r="K5210" s="1348"/>
    </row>
    <row r="5211" spans="2:11" hidden="1">
      <c r="B5211" s="1348"/>
      <c r="C5211" s="1348"/>
      <c r="D5211" s="1348"/>
      <c r="E5211" s="1348"/>
      <c r="F5211" s="1348"/>
      <c r="G5211" s="1348"/>
      <c r="H5211" s="1348"/>
      <c r="I5211" s="1348"/>
      <c r="J5211" s="1348"/>
      <c r="K5211" s="1348"/>
    </row>
    <row r="5212" spans="2:11" hidden="1">
      <c r="B5212" s="1348"/>
      <c r="C5212" s="1348"/>
      <c r="D5212" s="1348"/>
      <c r="E5212" s="1348"/>
      <c r="F5212" s="1348"/>
      <c r="G5212" s="1348"/>
      <c r="H5212" s="1348"/>
      <c r="I5212" s="1348"/>
      <c r="J5212" s="1348"/>
      <c r="K5212" s="1348"/>
    </row>
    <row r="5213" spans="2:11" hidden="1">
      <c r="B5213" s="1348"/>
      <c r="C5213" s="1348"/>
      <c r="D5213" s="1348"/>
      <c r="E5213" s="1348"/>
      <c r="F5213" s="1348"/>
      <c r="G5213" s="1348"/>
      <c r="H5213" s="1348"/>
      <c r="I5213" s="1348"/>
      <c r="J5213" s="1348"/>
      <c r="K5213" s="1348"/>
    </row>
    <row r="5214" spans="2:11" hidden="1">
      <c r="B5214" s="1348"/>
      <c r="C5214" s="1348"/>
      <c r="D5214" s="1348"/>
      <c r="E5214" s="1348"/>
      <c r="F5214" s="1348"/>
      <c r="G5214" s="1348"/>
      <c r="H5214" s="1348"/>
      <c r="I5214" s="1348"/>
      <c r="J5214" s="1348"/>
      <c r="K5214" s="1348"/>
    </row>
    <row r="5215" spans="2:11" hidden="1">
      <c r="B5215" s="1348"/>
      <c r="C5215" s="1348"/>
      <c r="D5215" s="1348"/>
      <c r="E5215" s="1348"/>
      <c r="F5215" s="1348"/>
      <c r="G5215" s="1348"/>
      <c r="H5215" s="1348"/>
      <c r="I5215" s="1348"/>
      <c r="J5215" s="1348"/>
      <c r="K5215" s="1348"/>
    </row>
    <row r="5216" spans="2:11" hidden="1">
      <c r="B5216" s="1348"/>
      <c r="C5216" s="1348"/>
      <c r="D5216" s="1348"/>
      <c r="E5216" s="1348"/>
      <c r="F5216" s="1348"/>
      <c r="G5216" s="1348"/>
      <c r="H5216" s="1348"/>
      <c r="I5216" s="1348"/>
      <c r="J5216" s="1348"/>
      <c r="K5216" s="1348"/>
    </row>
    <row r="5217" spans="2:11" hidden="1">
      <c r="B5217" s="1348"/>
      <c r="C5217" s="1348"/>
      <c r="D5217" s="1348"/>
      <c r="E5217" s="1348"/>
      <c r="F5217" s="1348"/>
      <c r="G5217" s="1348"/>
      <c r="H5217" s="1348"/>
      <c r="I5217" s="1348"/>
      <c r="J5217" s="1348"/>
      <c r="K5217" s="1348"/>
    </row>
    <row r="5218" spans="2:11" hidden="1">
      <c r="B5218" s="1348"/>
      <c r="C5218" s="1348"/>
      <c r="D5218" s="1348"/>
      <c r="E5218" s="1348"/>
      <c r="F5218" s="1348"/>
      <c r="G5218" s="1348"/>
      <c r="H5218" s="1348"/>
      <c r="I5218" s="1348"/>
      <c r="J5218" s="1348"/>
      <c r="K5218" s="1348"/>
    </row>
    <row r="5219" spans="2:11" hidden="1">
      <c r="B5219" s="1348"/>
      <c r="C5219" s="1348"/>
      <c r="D5219" s="1348"/>
      <c r="E5219" s="1348"/>
      <c r="F5219" s="1348"/>
      <c r="G5219" s="1348"/>
      <c r="H5219" s="1348"/>
      <c r="I5219" s="1348"/>
      <c r="J5219" s="1348"/>
      <c r="K5219" s="1348"/>
    </row>
    <row r="5220" spans="2:11" hidden="1">
      <c r="B5220" s="1348"/>
      <c r="C5220" s="1348"/>
      <c r="D5220" s="1348"/>
      <c r="E5220" s="1348"/>
      <c r="F5220" s="1348"/>
      <c r="G5220" s="1348"/>
      <c r="H5220" s="1348"/>
      <c r="I5220" s="1348"/>
      <c r="J5220" s="1348"/>
      <c r="K5220" s="1348"/>
    </row>
    <row r="5221" spans="2:11" hidden="1">
      <c r="B5221" s="1348"/>
      <c r="C5221" s="1348"/>
      <c r="D5221" s="1348"/>
      <c r="E5221" s="1348"/>
      <c r="F5221" s="1348"/>
      <c r="G5221" s="1348"/>
      <c r="H5221" s="1348"/>
      <c r="I5221" s="1348"/>
      <c r="J5221" s="1348"/>
      <c r="K5221" s="1348"/>
    </row>
    <row r="5222" spans="2:11" hidden="1">
      <c r="B5222" s="1348"/>
      <c r="C5222" s="1348"/>
      <c r="D5222" s="1348"/>
      <c r="E5222" s="1348"/>
      <c r="F5222" s="1348"/>
      <c r="G5222" s="1348"/>
      <c r="H5222" s="1348"/>
      <c r="I5222" s="1348"/>
      <c r="J5222" s="1348"/>
      <c r="K5222" s="1348"/>
    </row>
    <row r="5223" spans="2:11" hidden="1">
      <c r="B5223" s="1348"/>
      <c r="C5223" s="1348"/>
      <c r="D5223" s="1348"/>
      <c r="E5223" s="1348"/>
      <c r="F5223" s="1348"/>
      <c r="G5223" s="1348"/>
      <c r="H5223" s="1348"/>
      <c r="I5223" s="1348"/>
      <c r="J5223" s="1348"/>
      <c r="K5223" s="1348"/>
    </row>
    <row r="5224" spans="2:11" hidden="1">
      <c r="B5224" s="1348"/>
      <c r="C5224" s="1348"/>
      <c r="D5224" s="1348"/>
      <c r="E5224" s="1348"/>
      <c r="F5224" s="1348"/>
      <c r="G5224" s="1348"/>
      <c r="H5224" s="1348"/>
      <c r="I5224" s="1348"/>
      <c r="J5224" s="1348"/>
      <c r="K5224" s="1348"/>
    </row>
    <row r="5225" spans="2:11" hidden="1">
      <c r="B5225" s="1348"/>
      <c r="C5225" s="1348"/>
      <c r="D5225" s="1348"/>
      <c r="E5225" s="1348"/>
      <c r="F5225" s="1348"/>
      <c r="G5225" s="1348"/>
      <c r="H5225" s="1348"/>
      <c r="I5225" s="1348"/>
      <c r="J5225" s="1348"/>
      <c r="K5225" s="1348"/>
    </row>
    <row r="5226" spans="2:11" hidden="1">
      <c r="B5226" s="1348"/>
      <c r="C5226" s="1348"/>
      <c r="D5226" s="1348"/>
      <c r="E5226" s="1348"/>
      <c r="F5226" s="1348"/>
      <c r="G5226" s="1348"/>
      <c r="H5226" s="1348"/>
      <c r="I5226" s="1348"/>
      <c r="J5226" s="1348"/>
      <c r="K5226" s="1348"/>
    </row>
    <row r="5227" spans="2:11" hidden="1">
      <c r="B5227" s="1348"/>
      <c r="C5227" s="1348"/>
      <c r="D5227" s="1348"/>
      <c r="E5227" s="1348"/>
      <c r="F5227" s="1348"/>
      <c r="G5227" s="1348"/>
      <c r="H5227" s="1348"/>
      <c r="I5227" s="1348"/>
      <c r="J5227" s="1348"/>
      <c r="K5227" s="1348"/>
    </row>
    <row r="5228" spans="2:11" hidden="1">
      <c r="B5228" s="1348"/>
      <c r="C5228" s="1348"/>
      <c r="D5228" s="1348"/>
      <c r="E5228" s="1348"/>
      <c r="F5228" s="1348"/>
      <c r="G5228" s="1348"/>
      <c r="H5228" s="1348"/>
      <c r="I5228" s="1348"/>
      <c r="J5228" s="1348"/>
      <c r="K5228" s="1348"/>
    </row>
    <row r="5229" spans="2:11" hidden="1">
      <c r="B5229" s="1348"/>
      <c r="C5229" s="1348"/>
      <c r="D5229" s="1348"/>
      <c r="E5229" s="1348"/>
      <c r="F5229" s="1348"/>
      <c r="G5229" s="1348"/>
      <c r="H5229" s="1348"/>
      <c r="I5229" s="1348"/>
      <c r="J5229" s="1348"/>
      <c r="K5229" s="1348"/>
    </row>
    <row r="5230" spans="2:11" hidden="1">
      <c r="B5230" s="1348"/>
      <c r="C5230" s="1348"/>
      <c r="D5230" s="1348"/>
      <c r="E5230" s="1348"/>
      <c r="F5230" s="1348"/>
      <c r="G5230" s="1348"/>
      <c r="H5230" s="1348"/>
      <c r="I5230" s="1348"/>
      <c r="J5230" s="1348"/>
      <c r="K5230" s="1348"/>
    </row>
    <row r="5231" spans="2:11" hidden="1">
      <c r="B5231" s="1348"/>
      <c r="C5231" s="1348"/>
      <c r="D5231" s="1348"/>
      <c r="E5231" s="1348"/>
      <c r="F5231" s="1348"/>
      <c r="G5231" s="1348"/>
      <c r="H5231" s="1348"/>
      <c r="I5231" s="1348"/>
      <c r="J5231" s="1348"/>
      <c r="K5231" s="1348"/>
    </row>
    <row r="5232" spans="2:11" hidden="1">
      <c r="B5232" s="1348"/>
      <c r="C5232" s="1348"/>
      <c r="D5232" s="1348"/>
      <c r="E5232" s="1348"/>
      <c r="F5232" s="1348"/>
      <c r="G5232" s="1348"/>
      <c r="H5232" s="1348"/>
      <c r="I5232" s="1348"/>
      <c r="J5232" s="1348"/>
      <c r="K5232" s="1348"/>
    </row>
    <row r="5233" spans="2:11" hidden="1">
      <c r="B5233" s="1348"/>
      <c r="C5233" s="1348"/>
      <c r="D5233" s="1348"/>
      <c r="E5233" s="1348"/>
      <c r="F5233" s="1348"/>
      <c r="G5233" s="1348"/>
      <c r="H5233" s="1348"/>
      <c r="I5233" s="1348"/>
      <c r="J5233" s="1348"/>
      <c r="K5233" s="1348"/>
    </row>
    <row r="5234" spans="2:11" hidden="1">
      <c r="B5234" s="1348"/>
      <c r="C5234" s="1348"/>
      <c r="D5234" s="1348"/>
      <c r="E5234" s="1348"/>
      <c r="F5234" s="1348"/>
      <c r="G5234" s="1348"/>
      <c r="H5234" s="1348"/>
      <c r="I5234" s="1348"/>
      <c r="J5234" s="1348"/>
      <c r="K5234" s="1348"/>
    </row>
    <row r="5235" spans="2:11" hidden="1">
      <c r="B5235" s="1348"/>
      <c r="C5235" s="1348"/>
      <c r="D5235" s="1348"/>
      <c r="E5235" s="1348"/>
      <c r="F5235" s="1348"/>
      <c r="G5235" s="1348"/>
      <c r="H5235" s="1348"/>
      <c r="I5235" s="1348"/>
      <c r="J5235" s="1348"/>
      <c r="K5235" s="1348"/>
    </row>
    <row r="5236" spans="2:11" hidden="1">
      <c r="B5236" s="1348"/>
      <c r="C5236" s="1348"/>
      <c r="D5236" s="1348"/>
      <c r="E5236" s="1348"/>
      <c r="F5236" s="1348"/>
      <c r="G5236" s="1348"/>
      <c r="H5236" s="1348"/>
      <c r="I5236" s="1348"/>
      <c r="J5236" s="1348"/>
      <c r="K5236" s="1348"/>
    </row>
    <row r="5237" spans="2:11" hidden="1">
      <c r="B5237" s="1348"/>
      <c r="C5237" s="1348"/>
      <c r="D5237" s="1348"/>
      <c r="E5237" s="1348"/>
      <c r="F5237" s="1348"/>
      <c r="G5237" s="1348"/>
      <c r="H5237" s="1348"/>
      <c r="I5237" s="1348"/>
      <c r="J5237" s="1348"/>
      <c r="K5237" s="1348"/>
    </row>
    <row r="5238" spans="2:11" hidden="1">
      <c r="B5238" s="1348"/>
      <c r="C5238" s="1348"/>
      <c r="D5238" s="1348"/>
      <c r="E5238" s="1348"/>
      <c r="F5238" s="1348"/>
      <c r="G5238" s="1348"/>
      <c r="H5238" s="1348"/>
      <c r="I5238" s="1348"/>
      <c r="J5238" s="1348"/>
      <c r="K5238" s="1348"/>
    </row>
    <row r="5239" spans="2:11" hidden="1">
      <c r="B5239" s="1348"/>
      <c r="C5239" s="1348"/>
      <c r="D5239" s="1348"/>
      <c r="E5239" s="1348"/>
      <c r="F5239" s="1348"/>
      <c r="G5239" s="1348"/>
      <c r="H5239" s="1348"/>
      <c r="I5239" s="1348"/>
      <c r="J5239" s="1348"/>
      <c r="K5239" s="1348"/>
    </row>
    <row r="5240" spans="2:11" hidden="1">
      <c r="B5240" s="1348"/>
      <c r="C5240" s="1348"/>
      <c r="D5240" s="1348"/>
      <c r="E5240" s="1348"/>
      <c r="F5240" s="1348"/>
      <c r="G5240" s="1348"/>
      <c r="H5240" s="1348"/>
      <c r="I5240" s="1348"/>
      <c r="J5240" s="1348"/>
      <c r="K5240" s="1348"/>
    </row>
    <row r="5241" spans="2:11" hidden="1">
      <c r="B5241" s="1348"/>
      <c r="C5241" s="1348"/>
      <c r="D5241" s="1348"/>
      <c r="E5241" s="1348"/>
      <c r="F5241" s="1348"/>
      <c r="G5241" s="1348"/>
      <c r="H5241" s="1348"/>
      <c r="I5241" s="1348"/>
      <c r="J5241" s="1348"/>
      <c r="K5241" s="1348"/>
    </row>
    <row r="5242" spans="2:11" hidden="1">
      <c r="B5242" s="1348"/>
      <c r="C5242" s="1348"/>
      <c r="D5242" s="1348"/>
      <c r="E5242" s="1348"/>
      <c r="F5242" s="1348"/>
      <c r="G5242" s="1348"/>
      <c r="H5242" s="1348"/>
      <c r="I5242" s="1348"/>
      <c r="J5242" s="1348"/>
      <c r="K5242" s="1348"/>
    </row>
    <row r="5243" spans="2:11" hidden="1">
      <c r="B5243" s="1348"/>
      <c r="C5243" s="1348"/>
      <c r="D5243" s="1348"/>
      <c r="E5243" s="1348"/>
      <c r="F5243" s="1348"/>
      <c r="G5243" s="1348"/>
      <c r="H5243" s="1348"/>
      <c r="I5243" s="1348"/>
      <c r="J5243" s="1348"/>
      <c r="K5243" s="1348"/>
    </row>
    <row r="5244" spans="2:11" hidden="1">
      <c r="B5244" s="1348"/>
      <c r="C5244" s="1348"/>
      <c r="D5244" s="1348"/>
      <c r="E5244" s="1348"/>
      <c r="F5244" s="1348"/>
      <c r="G5244" s="1348"/>
      <c r="H5244" s="1348"/>
      <c r="I5244" s="1348"/>
      <c r="J5244" s="1348"/>
      <c r="K5244" s="1348"/>
    </row>
    <row r="5245" spans="2:11" hidden="1">
      <c r="B5245" s="1348"/>
      <c r="C5245" s="1348"/>
      <c r="D5245" s="1348"/>
      <c r="E5245" s="1348"/>
      <c r="F5245" s="1348"/>
      <c r="G5245" s="1348"/>
      <c r="H5245" s="1348"/>
      <c r="I5245" s="1348"/>
      <c r="J5245" s="1348"/>
      <c r="K5245" s="1348"/>
    </row>
    <row r="5246" spans="2:11" hidden="1">
      <c r="B5246" s="1348"/>
      <c r="C5246" s="1348"/>
      <c r="D5246" s="1348"/>
      <c r="E5246" s="1348"/>
      <c r="F5246" s="1348"/>
      <c r="G5246" s="1348"/>
      <c r="H5246" s="1348"/>
      <c r="I5246" s="1348"/>
      <c r="J5246" s="1348"/>
      <c r="K5246" s="1348"/>
    </row>
    <row r="5247" spans="2:11" hidden="1">
      <c r="B5247" s="1348"/>
      <c r="C5247" s="1348"/>
      <c r="D5247" s="1348"/>
      <c r="E5247" s="1348"/>
      <c r="F5247" s="1348"/>
      <c r="G5247" s="1348"/>
      <c r="H5247" s="1348"/>
      <c r="I5247" s="1348"/>
      <c r="J5247" s="1348"/>
      <c r="K5247" s="1348"/>
    </row>
    <row r="5248" spans="2:11" hidden="1">
      <c r="B5248" s="1348"/>
      <c r="C5248" s="1348"/>
      <c r="D5248" s="1348"/>
      <c r="E5248" s="1348"/>
      <c r="F5248" s="1348"/>
      <c r="G5248" s="1348"/>
      <c r="H5248" s="1348"/>
      <c r="I5248" s="1348"/>
      <c r="J5248" s="1348"/>
      <c r="K5248" s="1348"/>
    </row>
    <row r="5249" spans="2:11" hidden="1">
      <c r="B5249" s="1348"/>
      <c r="C5249" s="1348"/>
      <c r="D5249" s="1348"/>
      <c r="E5249" s="1348"/>
      <c r="F5249" s="1348"/>
      <c r="G5249" s="1348"/>
      <c r="H5249" s="1348"/>
      <c r="I5249" s="1348"/>
      <c r="J5249" s="1348"/>
      <c r="K5249" s="1348"/>
    </row>
    <row r="5250" spans="2:11" hidden="1">
      <c r="B5250" s="1348"/>
      <c r="C5250" s="1348"/>
      <c r="D5250" s="1348"/>
      <c r="E5250" s="1348"/>
      <c r="F5250" s="1348"/>
      <c r="G5250" s="1348"/>
      <c r="H5250" s="1348"/>
      <c r="I5250" s="1348"/>
      <c r="J5250" s="1348"/>
      <c r="K5250" s="1348"/>
    </row>
    <row r="5251" spans="2:11" hidden="1">
      <c r="B5251" s="1348"/>
      <c r="C5251" s="1348"/>
      <c r="D5251" s="1348"/>
      <c r="E5251" s="1348"/>
      <c r="F5251" s="1348"/>
      <c r="G5251" s="1348"/>
      <c r="H5251" s="1348"/>
      <c r="I5251" s="1348"/>
      <c r="J5251" s="1348"/>
      <c r="K5251" s="1348"/>
    </row>
    <row r="5252" spans="2:11" hidden="1">
      <c r="B5252" s="1348"/>
      <c r="C5252" s="1348"/>
      <c r="D5252" s="1348"/>
      <c r="E5252" s="1348"/>
      <c r="F5252" s="1348"/>
      <c r="G5252" s="1348"/>
      <c r="H5252" s="1348"/>
      <c r="I5252" s="1348"/>
      <c r="J5252" s="1348"/>
      <c r="K5252" s="1348"/>
    </row>
    <row r="5253" spans="2:11" hidden="1">
      <c r="B5253" s="1348"/>
      <c r="C5253" s="1348"/>
      <c r="D5253" s="1348"/>
      <c r="E5253" s="1348"/>
      <c r="F5253" s="1348"/>
      <c r="G5253" s="1348"/>
      <c r="H5253" s="1348"/>
      <c r="I5253" s="1348"/>
      <c r="J5253" s="1348"/>
      <c r="K5253" s="1348"/>
    </row>
    <row r="5254" spans="2:11" hidden="1">
      <c r="B5254" s="1348"/>
      <c r="C5254" s="1348"/>
      <c r="D5254" s="1348"/>
      <c r="E5254" s="1348"/>
      <c r="F5254" s="1348"/>
      <c r="G5254" s="1348"/>
      <c r="H5254" s="1348"/>
      <c r="I5254" s="1348"/>
      <c r="J5254" s="1348"/>
      <c r="K5254" s="1348"/>
    </row>
    <row r="5255" spans="2:11" hidden="1">
      <c r="B5255" s="1348"/>
      <c r="C5255" s="1348"/>
      <c r="D5255" s="1348"/>
      <c r="E5255" s="1348"/>
      <c r="F5255" s="1348"/>
      <c r="G5255" s="1348"/>
      <c r="H5255" s="1348"/>
      <c r="I5255" s="1348"/>
      <c r="J5255" s="1348"/>
      <c r="K5255" s="1348"/>
    </row>
    <row r="5256" spans="2:11" hidden="1">
      <c r="B5256" s="1348"/>
      <c r="C5256" s="1348"/>
      <c r="D5256" s="1348"/>
      <c r="E5256" s="1348"/>
      <c r="F5256" s="1348"/>
      <c r="G5256" s="1348"/>
      <c r="H5256" s="1348"/>
      <c r="I5256" s="1348"/>
      <c r="J5256" s="1348"/>
      <c r="K5256" s="1348"/>
    </row>
    <row r="5257" spans="2:11" hidden="1">
      <c r="B5257" s="1348"/>
      <c r="C5257" s="1348"/>
      <c r="D5257" s="1348"/>
      <c r="E5257" s="1348"/>
      <c r="F5257" s="1348"/>
      <c r="G5257" s="1348"/>
      <c r="H5257" s="1348"/>
      <c r="I5257" s="1348"/>
      <c r="J5257" s="1348"/>
      <c r="K5257" s="1348"/>
    </row>
    <row r="5258" spans="2:11" hidden="1">
      <c r="B5258" s="1348"/>
      <c r="C5258" s="1348"/>
      <c r="D5258" s="1348"/>
      <c r="E5258" s="1348"/>
      <c r="F5258" s="1348"/>
      <c r="G5258" s="1348"/>
      <c r="H5258" s="1348"/>
      <c r="I5258" s="1348"/>
      <c r="J5258" s="1348"/>
      <c r="K5258" s="1348"/>
    </row>
    <row r="5259" spans="2:11" hidden="1">
      <c r="B5259" s="1348"/>
      <c r="C5259" s="1348"/>
      <c r="D5259" s="1348"/>
      <c r="E5259" s="1348"/>
      <c r="F5259" s="1348"/>
      <c r="G5259" s="1348"/>
      <c r="H5259" s="1348"/>
      <c r="I5259" s="1348"/>
      <c r="J5259" s="1348"/>
      <c r="K5259" s="1348"/>
    </row>
    <row r="5260" spans="2:11" hidden="1">
      <c r="B5260" s="1348"/>
      <c r="C5260" s="1348"/>
      <c r="D5260" s="1348"/>
      <c r="E5260" s="1348"/>
      <c r="F5260" s="1348"/>
      <c r="G5260" s="1348"/>
      <c r="H5260" s="1348"/>
      <c r="I5260" s="1348"/>
      <c r="J5260" s="1348"/>
      <c r="K5260" s="1348"/>
    </row>
    <row r="5261" spans="2:11" hidden="1">
      <c r="B5261" s="1348"/>
      <c r="C5261" s="1348"/>
      <c r="D5261" s="1348"/>
      <c r="E5261" s="1348"/>
      <c r="F5261" s="1348"/>
      <c r="G5261" s="1348"/>
      <c r="H5261" s="1348"/>
      <c r="I5261" s="1348"/>
      <c r="J5261" s="1348"/>
      <c r="K5261" s="1348"/>
    </row>
    <row r="5262" spans="2:11" hidden="1">
      <c r="B5262" s="1348"/>
      <c r="C5262" s="1348"/>
      <c r="D5262" s="1348"/>
      <c r="E5262" s="1348"/>
      <c r="F5262" s="1348"/>
      <c r="G5262" s="1348"/>
      <c r="H5262" s="1348"/>
      <c r="I5262" s="1348"/>
      <c r="J5262" s="1348"/>
      <c r="K5262" s="1348"/>
    </row>
    <row r="5263" spans="2:11" hidden="1">
      <c r="B5263" s="1348"/>
      <c r="C5263" s="1348"/>
      <c r="D5263" s="1348"/>
      <c r="E5263" s="1348"/>
      <c r="F5263" s="1348"/>
      <c r="G5263" s="1348"/>
      <c r="H5263" s="1348"/>
      <c r="I5263" s="1348"/>
      <c r="J5263" s="1348"/>
      <c r="K5263" s="1348"/>
    </row>
    <row r="5264" spans="2:11" hidden="1">
      <c r="B5264" s="1348"/>
      <c r="C5264" s="1348"/>
      <c r="D5264" s="1348"/>
      <c r="E5264" s="1348"/>
      <c r="F5264" s="1348"/>
      <c r="G5264" s="1348"/>
      <c r="H5264" s="1348"/>
      <c r="I5264" s="1348"/>
      <c r="J5264" s="1348"/>
      <c r="K5264" s="1348"/>
    </row>
    <row r="5265" spans="2:11" hidden="1">
      <c r="B5265" s="1348"/>
      <c r="C5265" s="1348"/>
      <c r="D5265" s="1348"/>
      <c r="E5265" s="1348"/>
      <c r="F5265" s="1348"/>
      <c r="G5265" s="1348"/>
      <c r="H5265" s="1348"/>
      <c r="I5265" s="1348"/>
      <c r="J5265" s="1348"/>
      <c r="K5265" s="1348"/>
    </row>
    <row r="5266" spans="2:11" hidden="1">
      <c r="B5266" s="1348"/>
      <c r="C5266" s="1348"/>
      <c r="D5266" s="1348"/>
      <c r="E5266" s="1348"/>
      <c r="F5266" s="1348"/>
      <c r="G5266" s="1348"/>
      <c r="H5266" s="1348"/>
      <c r="I5266" s="1348"/>
      <c r="J5266" s="1348"/>
      <c r="K5266" s="1348"/>
    </row>
    <row r="5267" spans="2:11" hidden="1">
      <c r="B5267" s="1348"/>
      <c r="C5267" s="1348"/>
      <c r="D5267" s="1348"/>
      <c r="E5267" s="1348"/>
      <c r="F5267" s="1348"/>
      <c r="G5267" s="1348"/>
      <c r="H5267" s="1348"/>
      <c r="I5267" s="1348"/>
      <c r="J5267" s="1348"/>
      <c r="K5267" s="1348"/>
    </row>
    <row r="5268" spans="2:11" hidden="1">
      <c r="B5268" s="1348"/>
      <c r="C5268" s="1348"/>
      <c r="D5268" s="1348"/>
      <c r="E5268" s="1348"/>
      <c r="F5268" s="1348"/>
      <c r="G5268" s="1348"/>
      <c r="H5268" s="1348"/>
      <c r="I5268" s="1348"/>
      <c r="J5268" s="1348"/>
      <c r="K5268" s="1348"/>
    </row>
    <row r="5269" spans="2:11" hidden="1">
      <c r="B5269" s="1348"/>
      <c r="C5269" s="1348"/>
      <c r="D5269" s="1348"/>
      <c r="E5269" s="1348"/>
      <c r="F5269" s="1348"/>
      <c r="G5269" s="1348"/>
      <c r="H5269" s="1348"/>
      <c r="I5269" s="1348"/>
      <c r="J5269" s="1348"/>
      <c r="K5269" s="1348"/>
    </row>
    <row r="5270" spans="2:11" hidden="1">
      <c r="B5270" s="1348"/>
      <c r="C5270" s="1348"/>
      <c r="D5270" s="1348"/>
      <c r="E5270" s="1348"/>
      <c r="F5270" s="1348"/>
      <c r="G5270" s="1348"/>
      <c r="H5270" s="1348"/>
      <c r="I5270" s="1348"/>
      <c r="J5270" s="1348"/>
      <c r="K5270" s="1348"/>
    </row>
    <row r="5271" spans="2:11" hidden="1">
      <c r="B5271" s="1348"/>
      <c r="C5271" s="1348"/>
      <c r="D5271" s="1348"/>
      <c r="E5271" s="1348"/>
      <c r="F5271" s="1348"/>
      <c r="G5271" s="1348"/>
      <c r="H5271" s="1348"/>
      <c r="I5271" s="1348"/>
      <c r="J5271" s="1348"/>
      <c r="K5271" s="1348"/>
    </row>
    <row r="5272" spans="2:11" hidden="1">
      <c r="B5272" s="1348"/>
      <c r="C5272" s="1348"/>
      <c r="D5272" s="1348"/>
      <c r="E5272" s="1348"/>
      <c r="F5272" s="1348"/>
      <c r="G5272" s="1348"/>
      <c r="H5272" s="1348"/>
      <c r="I5272" s="1348"/>
      <c r="J5272" s="1348"/>
      <c r="K5272" s="1348"/>
    </row>
    <row r="5273" spans="2:11" hidden="1">
      <c r="B5273" s="1348"/>
      <c r="C5273" s="1348"/>
      <c r="D5273" s="1348"/>
      <c r="E5273" s="1348"/>
      <c r="F5273" s="1348"/>
      <c r="G5273" s="1348"/>
      <c r="H5273" s="1348"/>
      <c r="I5273" s="1348"/>
      <c r="J5273" s="1348"/>
      <c r="K5273" s="1348"/>
    </row>
    <row r="5274" spans="2:11" hidden="1">
      <c r="B5274" s="1348"/>
      <c r="C5274" s="1348"/>
      <c r="D5274" s="1348"/>
      <c r="E5274" s="1348"/>
      <c r="F5274" s="1348"/>
      <c r="G5274" s="1348"/>
      <c r="H5274" s="1348"/>
      <c r="I5274" s="1348"/>
      <c r="J5274" s="1348"/>
      <c r="K5274" s="1348"/>
    </row>
    <row r="5275" spans="2:11" hidden="1">
      <c r="B5275" s="1348"/>
      <c r="C5275" s="1348"/>
      <c r="D5275" s="1348"/>
      <c r="E5275" s="1348"/>
      <c r="F5275" s="1348"/>
      <c r="G5275" s="1348"/>
      <c r="H5275" s="1348"/>
      <c r="I5275" s="1348"/>
      <c r="J5275" s="1348"/>
      <c r="K5275" s="1348"/>
    </row>
    <row r="5276" spans="2:11" hidden="1">
      <c r="B5276" s="1348"/>
      <c r="C5276" s="1348"/>
      <c r="D5276" s="1348"/>
      <c r="E5276" s="1348"/>
      <c r="F5276" s="1348"/>
      <c r="G5276" s="1348"/>
      <c r="H5276" s="1348"/>
      <c r="I5276" s="1348"/>
      <c r="J5276" s="1348"/>
      <c r="K5276" s="1348"/>
    </row>
    <row r="5277" spans="2:11" hidden="1">
      <c r="B5277" s="1348"/>
      <c r="C5277" s="1348"/>
      <c r="D5277" s="1348"/>
      <c r="E5277" s="1348"/>
      <c r="F5277" s="1348"/>
      <c r="G5277" s="1348"/>
      <c r="H5277" s="1348"/>
      <c r="I5277" s="1348"/>
      <c r="J5277" s="1348"/>
      <c r="K5277" s="1348"/>
    </row>
    <row r="5278" spans="2:11" hidden="1">
      <c r="B5278" s="1348"/>
      <c r="C5278" s="1348"/>
      <c r="D5278" s="1348"/>
      <c r="E5278" s="1348"/>
      <c r="F5278" s="1348"/>
      <c r="G5278" s="1348"/>
      <c r="H5278" s="1348"/>
      <c r="I5278" s="1348"/>
      <c r="J5278" s="1348"/>
      <c r="K5278" s="1348"/>
    </row>
    <row r="5279" spans="2:11" hidden="1">
      <c r="B5279" s="1348"/>
      <c r="C5279" s="1348"/>
      <c r="D5279" s="1348"/>
      <c r="E5279" s="1348"/>
      <c r="F5279" s="1348"/>
      <c r="G5279" s="1348"/>
      <c r="H5279" s="1348"/>
      <c r="I5279" s="1348"/>
      <c r="J5279" s="1348"/>
      <c r="K5279" s="1348"/>
    </row>
    <row r="5280" spans="2:11" hidden="1">
      <c r="B5280" s="1348"/>
      <c r="C5280" s="1348"/>
      <c r="D5280" s="1348"/>
      <c r="E5280" s="1348"/>
      <c r="F5280" s="1348"/>
      <c r="G5280" s="1348"/>
      <c r="H5280" s="1348"/>
      <c r="I5280" s="1348"/>
      <c r="J5280" s="1348"/>
      <c r="K5280" s="1348"/>
    </row>
    <row r="5281" spans="2:11" hidden="1">
      <c r="B5281" s="1348"/>
      <c r="C5281" s="1348"/>
      <c r="D5281" s="1348"/>
      <c r="E5281" s="1348"/>
      <c r="F5281" s="1348"/>
      <c r="G5281" s="1348"/>
      <c r="H5281" s="1348"/>
      <c r="I5281" s="1348"/>
      <c r="J5281" s="1348"/>
      <c r="K5281" s="1348"/>
    </row>
    <row r="5282" spans="2:11" hidden="1">
      <c r="B5282" s="1348"/>
      <c r="C5282" s="1348"/>
      <c r="D5282" s="1348"/>
      <c r="E5282" s="1348"/>
      <c r="F5282" s="1348"/>
      <c r="G5282" s="1348"/>
      <c r="H5282" s="1348"/>
      <c r="I5282" s="1348"/>
      <c r="J5282" s="1348"/>
      <c r="K5282" s="1348"/>
    </row>
    <row r="5283" spans="2:11" hidden="1">
      <c r="B5283" s="1348"/>
      <c r="C5283" s="1348"/>
      <c r="D5283" s="1348"/>
      <c r="E5283" s="1348"/>
      <c r="F5283" s="1348"/>
      <c r="G5283" s="1348"/>
      <c r="H5283" s="1348"/>
      <c r="I5283" s="1348"/>
      <c r="J5283" s="1348"/>
      <c r="K5283" s="1348"/>
    </row>
    <row r="5284" spans="2:11" hidden="1">
      <c r="B5284" s="1348"/>
      <c r="C5284" s="1348"/>
      <c r="D5284" s="1348"/>
      <c r="E5284" s="1348"/>
      <c r="F5284" s="1348"/>
      <c r="G5284" s="1348"/>
      <c r="H5284" s="1348"/>
      <c r="I5284" s="1348"/>
      <c r="J5284" s="1348"/>
      <c r="K5284" s="1348"/>
    </row>
    <row r="5285" spans="2:11" hidden="1">
      <c r="B5285" s="1348"/>
      <c r="C5285" s="1348"/>
      <c r="D5285" s="1348"/>
      <c r="E5285" s="1348"/>
      <c r="F5285" s="1348"/>
      <c r="G5285" s="1348"/>
      <c r="H5285" s="1348"/>
      <c r="I5285" s="1348"/>
      <c r="J5285" s="1348"/>
      <c r="K5285" s="1348"/>
    </row>
    <row r="5286" spans="2:11" hidden="1">
      <c r="B5286" s="1348"/>
      <c r="C5286" s="1348"/>
      <c r="D5286" s="1348"/>
      <c r="E5286" s="1348"/>
      <c r="F5286" s="1348"/>
      <c r="G5286" s="1348"/>
      <c r="H5286" s="1348"/>
      <c r="I5286" s="1348"/>
      <c r="J5286" s="1348"/>
      <c r="K5286" s="1348"/>
    </row>
    <row r="5287" spans="2:11" hidden="1">
      <c r="B5287" s="1348"/>
      <c r="C5287" s="1348"/>
      <c r="D5287" s="1348"/>
      <c r="E5287" s="1348"/>
      <c r="F5287" s="1348"/>
      <c r="G5287" s="1348"/>
      <c r="H5287" s="1348"/>
      <c r="I5287" s="1348"/>
      <c r="J5287" s="1348"/>
      <c r="K5287" s="1348"/>
    </row>
    <row r="5288" spans="2:11" hidden="1">
      <c r="B5288" s="1348"/>
      <c r="C5288" s="1348"/>
      <c r="D5288" s="1348"/>
      <c r="E5288" s="1348"/>
      <c r="F5288" s="1348"/>
      <c r="G5288" s="1348"/>
      <c r="H5288" s="1348"/>
      <c r="I5288" s="1348"/>
      <c r="J5288" s="1348"/>
      <c r="K5288" s="1348"/>
    </row>
    <row r="5289" spans="2:11" hidden="1">
      <c r="B5289" s="1348"/>
      <c r="C5289" s="1348"/>
      <c r="D5289" s="1348"/>
      <c r="E5289" s="1348"/>
      <c r="F5289" s="1348"/>
      <c r="G5289" s="1348"/>
      <c r="H5289" s="1348"/>
      <c r="I5289" s="1348"/>
      <c r="J5289" s="1348"/>
      <c r="K5289" s="1348"/>
    </row>
    <row r="5290" spans="2:11" hidden="1">
      <c r="B5290" s="1348"/>
      <c r="C5290" s="1348"/>
      <c r="D5290" s="1348"/>
      <c r="E5290" s="1348"/>
      <c r="F5290" s="1348"/>
      <c r="G5290" s="1348"/>
      <c r="H5290" s="1348"/>
      <c r="I5290" s="1348"/>
      <c r="J5290" s="1348"/>
      <c r="K5290" s="1348"/>
    </row>
    <row r="5291" spans="2:11" hidden="1">
      <c r="B5291" s="1348"/>
      <c r="C5291" s="1348"/>
      <c r="D5291" s="1348"/>
      <c r="E5291" s="1348"/>
      <c r="F5291" s="1348"/>
      <c r="G5291" s="1348"/>
      <c r="H5291" s="1348"/>
      <c r="I5291" s="1348"/>
      <c r="J5291" s="1348"/>
      <c r="K5291" s="1348"/>
    </row>
    <row r="5292" spans="2:11" hidden="1">
      <c r="B5292" s="1348"/>
      <c r="C5292" s="1348"/>
      <c r="D5292" s="1348"/>
      <c r="E5292" s="1348"/>
      <c r="F5292" s="1348"/>
      <c r="G5292" s="1348"/>
      <c r="H5292" s="1348"/>
      <c r="I5292" s="1348"/>
      <c r="J5292" s="1348"/>
      <c r="K5292" s="1348"/>
    </row>
    <row r="5293" spans="2:11" hidden="1">
      <c r="B5293" s="1348"/>
      <c r="C5293" s="1348"/>
      <c r="D5293" s="1348"/>
      <c r="E5293" s="1348"/>
      <c r="F5293" s="1348"/>
      <c r="G5293" s="1348"/>
      <c r="H5293" s="1348"/>
      <c r="I5293" s="1348"/>
      <c r="J5293" s="1348"/>
      <c r="K5293" s="1348"/>
    </row>
    <row r="5294" spans="2:11" hidden="1">
      <c r="B5294" s="1348"/>
      <c r="C5294" s="1348"/>
      <c r="D5294" s="1348"/>
      <c r="E5294" s="1348"/>
      <c r="F5294" s="1348"/>
      <c r="G5294" s="1348"/>
      <c r="H5294" s="1348"/>
      <c r="I5294" s="1348"/>
      <c r="J5294" s="1348"/>
      <c r="K5294" s="1348"/>
    </row>
    <row r="5295" spans="2:11" hidden="1">
      <c r="B5295" s="1348"/>
      <c r="C5295" s="1348"/>
      <c r="D5295" s="1348"/>
      <c r="E5295" s="1348"/>
      <c r="F5295" s="1348"/>
      <c r="G5295" s="1348"/>
      <c r="H5295" s="1348"/>
      <c r="I5295" s="1348"/>
      <c r="J5295" s="1348"/>
      <c r="K5295" s="1348"/>
    </row>
    <row r="5296" spans="2:11" hidden="1">
      <c r="B5296" s="1348"/>
      <c r="C5296" s="1348"/>
      <c r="D5296" s="1348"/>
      <c r="E5296" s="1348"/>
      <c r="F5296" s="1348"/>
      <c r="G5296" s="1348"/>
      <c r="H5296" s="1348"/>
      <c r="I5296" s="1348"/>
      <c r="J5296" s="1348"/>
      <c r="K5296" s="1348"/>
    </row>
    <row r="5297" spans="2:11" hidden="1">
      <c r="B5297" s="1348"/>
      <c r="C5297" s="1348"/>
      <c r="D5297" s="1348"/>
      <c r="E5297" s="1348"/>
      <c r="F5297" s="1348"/>
      <c r="G5297" s="1348"/>
      <c r="H5297" s="1348"/>
      <c r="I5297" s="1348"/>
      <c r="J5297" s="1348"/>
      <c r="K5297" s="1348"/>
    </row>
    <row r="5298" spans="2:11" hidden="1">
      <c r="B5298" s="1348"/>
      <c r="C5298" s="1348"/>
      <c r="D5298" s="1348"/>
      <c r="E5298" s="1348"/>
      <c r="F5298" s="1348"/>
      <c r="G5298" s="1348"/>
      <c r="H5298" s="1348"/>
      <c r="I5298" s="1348"/>
      <c r="J5298" s="1348"/>
      <c r="K5298" s="1348"/>
    </row>
    <row r="5299" spans="2:11" hidden="1">
      <c r="B5299" s="1348"/>
      <c r="C5299" s="1348"/>
      <c r="D5299" s="1348"/>
      <c r="E5299" s="1348"/>
      <c r="F5299" s="1348"/>
      <c r="G5299" s="1348"/>
      <c r="H5299" s="1348"/>
      <c r="I5299" s="1348"/>
      <c r="J5299" s="1348"/>
      <c r="K5299" s="1348"/>
    </row>
    <row r="5300" spans="2:11" hidden="1">
      <c r="B5300" s="1348"/>
      <c r="C5300" s="1348"/>
      <c r="D5300" s="1348"/>
      <c r="E5300" s="1348"/>
      <c r="F5300" s="1348"/>
      <c r="G5300" s="1348"/>
      <c r="H5300" s="1348"/>
      <c r="I5300" s="1348"/>
      <c r="J5300" s="1348"/>
      <c r="K5300" s="1348"/>
    </row>
    <row r="5301" spans="2:11" hidden="1">
      <c r="B5301" s="1348"/>
      <c r="C5301" s="1348"/>
      <c r="D5301" s="1348"/>
      <c r="E5301" s="1348"/>
      <c r="F5301" s="1348"/>
      <c r="G5301" s="1348"/>
      <c r="H5301" s="1348"/>
      <c r="I5301" s="1348"/>
      <c r="J5301" s="1348"/>
      <c r="K5301" s="1348"/>
    </row>
    <row r="5302" spans="2:11" hidden="1">
      <c r="B5302" s="1348"/>
      <c r="C5302" s="1348"/>
      <c r="D5302" s="1348"/>
      <c r="E5302" s="1348"/>
      <c r="F5302" s="1348"/>
      <c r="G5302" s="1348"/>
      <c r="H5302" s="1348"/>
      <c r="I5302" s="1348"/>
      <c r="J5302" s="1348"/>
      <c r="K5302" s="1348"/>
    </row>
    <row r="5303" spans="2:11" hidden="1">
      <c r="B5303" s="1348"/>
      <c r="C5303" s="1348"/>
      <c r="D5303" s="1348"/>
      <c r="E5303" s="1348"/>
      <c r="F5303" s="1348"/>
      <c r="G5303" s="1348"/>
      <c r="H5303" s="1348"/>
      <c r="I5303" s="1348"/>
      <c r="J5303" s="1348"/>
      <c r="K5303" s="1348"/>
    </row>
    <row r="5304" spans="2:11" hidden="1">
      <c r="B5304" s="1348"/>
      <c r="C5304" s="1348"/>
      <c r="D5304" s="1348"/>
      <c r="E5304" s="1348"/>
      <c r="F5304" s="1348"/>
      <c r="G5304" s="1348"/>
      <c r="H5304" s="1348"/>
      <c r="I5304" s="1348"/>
      <c r="J5304" s="1348"/>
      <c r="K5304" s="1348"/>
    </row>
    <row r="5305" spans="2:11" hidden="1">
      <c r="B5305" s="1348"/>
      <c r="C5305" s="1348"/>
      <c r="D5305" s="1348"/>
      <c r="E5305" s="1348"/>
      <c r="F5305" s="1348"/>
      <c r="G5305" s="1348"/>
      <c r="H5305" s="1348"/>
      <c r="I5305" s="1348"/>
      <c r="J5305" s="1348"/>
      <c r="K5305" s="1348"/>
    </row>
    <row r="5306" spans="2:11" hidden="1">
      <c r="B5306" s="1348"/>
      <c r="C5306" s="1348"/>
      <c r="D5306" s="1348"/>
      <c r="E5306" s="1348"/>
      <c r="F5306" s="1348"/>
      <c r="G5306" s="1348"/>
      <c r="H5306" s="1348"/>
      <c r="I5306" s="1348"/>
      <c r="J5306" s="1348"/>
      <c r="K5306" s="1348"/>
    </row>
    <row r="5307" spans="2:11" hidden="1">
      <c r="B5307" s="1348"/>
      <c r="C5307" s="1348"/>
      <c r="D5307" s="1348"/>
      <c r="E5307" s="1348"/>
      <c r="F5307" s="1348"/>
      <c r="G5307" s="1348"/>
      <c r="H5307" s="1348"/>
      <c r="I5307" s="1348"/>
      <c r="J5307" s="1348"/>
      <c r="K5307" s="1348"/>
    </row>
    <row r="5308" spans="2:11" hidden="1">
      <c r="B5308" s="1348"/>
      <c r="C5308" s="1348"/>
      <c r="D5308" s="1348"/>
      <c r="E5308" s="1348"/>
      <c r="F5308" s="1348"/>
      <c r="G5308" s="1348"/>
      <c r="H5308" s="1348"/>
      <c r="I5308" s="1348"/>
      <c r="J5308" s="1348"/>
      <c r="K5308" s="1348"/>
    </row>
    <row r="5309" spans="2:11" hidden="1">
      <c r="B5309" s="1348"/>
      <c r="C5309" s="1348"/>
      <c r="D5309" s="1348"/>
      <c r="E5309" s="1348"/>
      <c r="F5309" s="1348"/>
      <c r="G5309" s="1348"/>
      <c r="H5309" s="1348"/>
      <c r="I5309" s="1348"/>
      <c r="J5309" s="1348"/>
      <c r="K5309" s="1348"/>
    </row>
    <row r="5310" spans="2:11" hidden="1">
      <c r="B5310" s="1348"/>
      <c r="C5310" s="1348"/>
      <c r="D5310" s="1348"/>
      <c r="E5310" s="1348"/>
      <c r="F5310" s="1348"/>
      <c r="G5310" s="1348"/>
      <c r="H5310" s="1348"/>
      <c r="I5310" s="1348"/>
      <c r="J5310" s="1348"/>
      <c r="K5310" s="1348"/>
    </row>
    <row r="5311" spans="2:11" hidden="1">
      <c r="B5311" s="1348"/>
      <c r="C5311" s="1348"/>
      <c r="D5311" s="1348"/>
      <c r="E5311" s="1348"/>
      <c r="F5311" s="1348"/>
      <c r="G5311" s="1348"/>
      <c r="H5311" s="1348"/>
      <c r="I5311" s="1348"/>
      <c r="J5311" s="1348"/>
      <c r="K5311" s="1348"/>
    </row>
    <row r="5312" spans="2:11" hidden="1">
      <c r="B5312" s="1348"/>
      <c r="C5312" s="1348"/>
      <c r="D5312" s="1348"/>
      <c r="E5312" s="1348"/>
      <c r="F5312" s="1348"/>
      <c r="G5312" s="1348"/>
      <c r="H5312" s="1348"/>
      <c r="I5312" s="1348"/>
      <c r="J5312" s="1348"/>
      <c r="K5312" s="1348"/>
    </row>
    <row r="5313" spans="2:11" hidden="1">
      <c r="B5313" s="1348"/>
      <c r="C5313" s="1348"/>
      <c r="D5313" s="1348"/>
      <c r="E5313" s="1348"/>
      <c r="F5313" s="1348"/>
      <c r="G5313" s="1348"/>
      <c r="H5313" s="1348"/>
      <c r="I5313" s="1348"/>
      <c r="J5313" s="1348"/>
      <c r="K5313" s="1348"/>
    </row>
    <row r="5314" spans="2:11" hidden="1">
      <c r="B5314" s="1348"/>
      <c r="C5314" s="1348"/>
      <c r="D5314" s="1348"/>
      <c r="E5314" s="1348"/>
      <c r="F5314" s="1348"/>
      <c r="G5314" s="1348"/>
      <c r="H5314" s="1348"/>
      <c r="I5314" s="1348"/>
      <c r="J5314" s="1348"/>
      <c r="K5314" s="1348"/>
    </row>
    <row r="5315" spans="2:11" hidden="1">
      <c r="B5315" s="1348"/>
      <c r="C5315" s="1348"/>
      <c r="D5315" s="1348"/>
      <c r="E5315" s="1348"/>
      <c r="F5315" s="1348"/>
      <c r="G5315" s="1348"/>
      <c r="H5315" s="1348"/>
      <c r="I5315" s="1348"/>
      <c r="J5315" s="1348"/>
      <c r="K5315" s="1348"/>
    </row>
    <row r="5316" spans="2:11" hidden="1">
      <c r="B5316" s="1348"/>
      <c r="C5316" s="1348"/>
      <c r="D5316" s="1348"/>
      <c r="E5316" s="1348"/>
      <c r="F5316" s="1348"/>
      <c r="G5316" s="1348"/>
      <c r="H5316" s="1348"/>
      <c r="I5316" s="1348"/>
      <c r="J5316" s="1348"/>
      <c r="K5316" s="1348"/>
    </row>
    <row r="5317" spans="2:11" hidden="1">
      <c r="B5317" s="1348"/>
      <c r="C5317" s="1348"/>
      <c r="D5317" s="1348"/>
      <c r="E5317" s="1348"/>
      <c r="F5317" s="1348"/>
      <c r="G5317" s="1348"/>
      <c r="H5317" s="1348"/>
      <c r="I5317" s="1348"/>
      <c r="J5317" s="1348"/>
      <c r="K5317" s="1348"/>
    </row>
    <row r="5318" spans="2:11" hidden="1">
      <c r="B5318" s="1348"/>
      <c r="C5318" s="1348"/>
      <c r="D5318" s="1348"/>
      <c r="E5318" s="1348"/>
      <c r="F5318" s="1348"/>
      <c r="G5318" s="1348"/>
      <c r="H5318" s="1348"/>
      <c r="I5318" s="1348"/>
      <c r="J5318" s="1348"/>
      <c r="K5318" s="1348"/>
    </row>
    <row r="5319" spans="2:11" hidden="1">
      <c r="B5319" s="1348"/>
      <c r="C5319" s="1348"/>
      <c r="D5319" s="1348"/>
      <c r="E5319" s="1348"/>
      <c r="F5319" s="1348"/>
      <c r="G5319" s="1348"/>
      <c r="H5319" s="1348"/>
      <c r="I5319" s="1348"/>
      <c r="J5319" s="1348"/>
      <c r="K5319" s="1348"/>
    </row>
    <row r="5320" spans="2:11" hidden="1">
      <c r="B5320" s="1348"/>
      <c r="C5320" s="1348"/>
      <c r="D5320" s="1348"/>
      <c r="E5320" s="1348"/>
      <c r="F5320" s="1348"/>
      <c r="G5320" s="1348"/>
      <c r="H5320" s="1348"/>
      <c r="I5320" s="1348"/>
      <c r="J5320" s="1348"/>
      <c r="K5320" s="1348"/>
    </row>
    <row r="5321" spans="2:11" hidden="1">
      <c r="B5321" s="1348"/>
      <c r="C5321" s="1348"/>
      <c r="D5321" s="1348"/>
      <c r="E5321" s="1348"/>
      <c r="F5321" s="1348"/>
      <c r="G5321" s="1348"/>
      <c r="H5321" s="1348"/>
      <c r="I5321" s="1348"/>
      <c r="J5321" s="1348"/>
      <c r="K5321" s="1348"/>
    </row>
    <row r="5322" spans="2:11" hidden="1">
      <c r="B5322" s="1348"/>
      <c r="C5322" s="1348"/>
      <c r="D5322" s="1348"/>
      <c r="E5322" s="1348"/>
      <c r="F5322" s="1348"/>
      <c r="G5322" s="1348"/>
      <c r="H5322" s="1348"/>
      <c r="I5322" s="1348"/>
      <c r="J5322" s="1348"/>
      <c r="K5322" s="1348"/>
    </row>
    <row r="5323" spans="2:11" hidden="1">
      <c r="B5323" s="1348"/>
      <c r="C5323" s="1348"/>
      <c r="D5323" s="1348"/>
      <c r="E5323" s="1348"/>
      <c r="F5323" s="1348"/>
      <c r="G5323" s="1348"/>
      <c r="H5323" s="1348"/>
      <c r="I5323" s="1348"/>
      <c r="J5323" s="1348"/>
      <c r="K5323" s="1348"/>
    </row>
    <row r="5324" spans="2:11" hidden="1">
      <c r="B5324" s="1348"/>
      <c r="C5324" s="1348"/>
      <c r="D5324" s="1348"/>
      <c r="E5324" s="1348"/>
      <c r="F5324" s="1348"/>
      <c r="G5324" s="1348"/>
      <c r="H5324" s="1348"/>
      <c r="I5324" s="1348"/>
      <c r="J5324" s="1348"/>
      <c r="K5324" s="1348"/>
    </row>
    <row r="5325" spans="2:11" hidden="1">
      <c r="B5325" s="1348"/>
      <c r="C5325" s="1348"/>
      <c r="D5325" s="1348"/>
      <c r="E5325" s="1348"/>
      <c r="F5325" s="1348"/>
      <c r="G5325" s="1348"/>
      <c r="H5325" s="1348"/>
      <c r="I5325" s="1348"/>
      <c r="J5325" s="1348"/>
      <c r="K5325" s="1348"/>
    </row>
    <row r="5326" spans="2:11" hidden="1">
      <c r="B5326" s="1348"/>
      <c r="C5326" s="1348"/>
      <c r="D5326" s="1348"/>
      <c r="E5326" s="1348"/>
      <c r="F5326" s="1348"/>
      <c r="G5326" s="1348"/>
      <c r="H5326" s="1348"/>
      <c r="I5326" s="1348"/>
      <c r="J5326" s="1348"/>
      <c r="K5326" s="1348"/>
    </row>
    <row r="5327" spans="2:11" hidden="1">
      <c r="B5327" s="1348"/>
      <c r="C5327" s="1348"/>
      <c r="D5327" s="1348"/>
      <c r="E5327" s="1348"/>
      <c r="F5327" s="1348"/>
      <c r="G5327" s="1348"/>
      <c r="H5327" s="1348"/>
      <c r="I5327" s="1348"/>
      <c r="J5327" s="1348"/>
      <c r="K5327" s="1348"/>
    </row>
    <row r="5328" spans="2:11" hidden="1">
      <c r="B5328" s="1348"/>
      <c r="C5328" s="1348"/>
      <c r="D5328" s="1348"/>
      <c r="E5328" s="1348"/>
      <c r="F5328" s="1348"/>
      <c r="G5328" s="1348"/>
      <c r="H5328" s="1348"/>
      <c r="I5328" s="1348"/>
      <c r="J5328" s="1348"/>
      <c r="K5328" s="1348"/>
    </row>
    <row r="5329" spans="2:11" hidden="1">
      <c r="B5329" s="1348"/>
      <c r="C5329" s="1348"/>
      <c r="D5329" s="1348"/>
      <c r="E5329" s="1348"/>
      <c r="F5329" s="1348"/>
      <c r="G5329" s="1348"/>
      <c r="H5329" s="1348"/>
      <c r="I5329" s="1348"/>
      <c r="J5329" s="1348"/>
      <c r="K5329" s="1348"/>
    </row>
    <row r="5330" spans="2:11" hidden="1">
      <c r="B5330" s="1348"/>
      <c r="C5330" s="1348"/>
      <c r="D5330" s="1348"/>
      <c r="E5330" s="1348"/>
      <c r="F5330" s="1348"/>
      <c r="G5330" s="1348"/>
      <c r="H5330" s="1348"/>
      <c r="I5330" s="1348"/>
      <c r="J5330" s="1348"/>
      <c r="K5330" s="1348"/>
    </row>
    <row r="5331" spans="2:11" hidden="1">
      <c r="B5331" s="1348"/>
      <c r="C5331" s="1348"/>
      <c r="D5331" s="1348"/>
      <c r="E5331" s="1348"/>
      <c r="F5331" s="1348"/>
      <c r="G5331" s="1348"/>
      <c r="H5331" s="1348"/>
      <c r="I5331" s="1348"/>
      <c r="J5331" s="1348"/>
      <c r="K5331" s="1348"/>
    </row>
    <row r="5332" spans="2:11" hidden="1">
      <c r="B5332" s="1348"/>
      <c r="C5332" s="1348"/>
      <c r="D5332" s="1348"/>
      <c r="E5332" s="1348"/>
      <c r="F5332" s="1348"/>
      <c r="G5332" s="1348"/>
      <c r="H5332" s="1348"/>
      <c r="I5332" s="1348"/>
      <c r="J5332" s="1348"/>
      <c r="K5332" s="1348"/>
    </row>
    <row r="5333" spans="2:11" hidden="1">
      <c r="B5333" s="1348"/>
      <c r="C5333" s="1348"/>
      <c r="D5333" s="1348"/>
      <c r="E5333" s="1348"/>
      <c r="F5333" s="1348"/>
      <c r="G5333" s="1348"/>
      <c r="H5333" s="1348"/>
      <c r="I5333" s="1348"/>
      <c r="J5333" s="1348"/>
      <c r="K5333" s="1348"/>
    </row>
    <row r="5334" spans="2:11" hidden="1">
      <c r="B5334" s="1348"/>
      <c r="C5334" s="1348"/>
      <c r="D5334" s="1348"/>
      <c r="E5334" s="1348"/>
      <c r="F5334" s="1348"/>
      <c r="G5334" s="1348"/>
      <c r="H5334" s="1348"/>
      <c r="I5334" s="1348"/>
      <c r="J5334" s="1348"/>
      <c r="K5334" s="1348"/>
    </row>
    <row r="5335" spans="2:11" hidden="1">
      <c r="B5335" s="1348"/>
      <c r="C5335" s="1348"/>
      <c r="D5335" s="1348"/>
      <c r="E5335" s="1348"/>
      <c r="F5335" s="1348"/>
      <c r="G5335" s="1348"/>
      <c r="H5335" s="1348"/>
      <c r="I5335" s="1348"/>
      <c r="J5335" s="1348"/>
      <c r="K5335" s="1348"/>
    </row>
    <row r="5336" spans="2:11" hidden="1">
      <c r="B5336" s="1348"/>
      <c r="C5336" s="1348"/>
      <c r="D5336" s="1348"/>
      <c r="E5336" s="1348"/>
      <c r="F5336" s="1348"/>
      <c r="G5336" s="1348"/>
      <c r="H5336" s="1348"/>
      <c r="I5336" s="1348"/>
      <c r="J5336" s="1348"/>
      <c r="K5336" s="1348"/>
    </row>
    <row r="5337" spans="2:11" hidden="1">
      <c r="B5337" s="1348"/>
      <c r="C5337" s="1348"/>
      <c r="D5337" s="1348"/>
      <c r="E5337" s="1348"/>
      <c r="F5337" s="1348"/>
      <c r="G5337" s="1348"/>
      <c r="H5337" s="1348"/>
      <c r="I5337" s="1348"/>
      <c r="J5337" s="1348"/>
      <c r="K5337" s="1348"/>
    </row>
    <row r="5338" spans="2:11" hidden="1">
      <c r="B5338" s="1348"/>
      <c r="C5338" s="1348"/>
      <c r="D5338" s="1348"/>
      <c r="E5338" s="1348"/>
      <c r="F5338" s="1348"/>
      <c r="G5338" s="1348"/>
      <c r="H5338" s="1348"/>
      <c r="I5338" s="1348"/>
      <c r="J5338" s="1348"/>
      <c r="K5338" s="1348"/>
    </row>
    <row r="5339" spans="2:11" hidden="1">
      <c r="B5339" s="1348"/>
      <c r="C5339" s="1348"/>
      <c r="D5339" s="1348"/>
      <c r="E5339" s="1348"/>
      <c r="F5339" s="1348"/>
      <c r="G5339" s="1348"/>
      <c r="H5339" s="1348"/>
      <c r="I5339" s="1348"/>
      <c r="J5339" s="1348"/>
      <c r="K5339" s="1348"/>
    </row>
    <row r="5340" spans="2:11" hidden="1">
      <c r="B5340" s="1348"/>
      <c r="C5340" s="1348"/>
      <c r="D5340" s="1348"/>
      <c r="E5340" s="1348"/>
      <c r="F5340" s="1348"/>
      <c r="G5340" s="1348"/>
      <c r="H5340" s="1348"/>
      <c r="I5340" s="1348"/>
      <c r="J5340" s="1348"/>
      <c r="K5340" s="1348"/>
    </row>
    <row r="5341" spans="2:11" hidden="1">
      <c r="B5341" s="1348"/>
      <c r="C5341" s="1348"/>
      <c r="D5341" s="1348"/>
      <c r="E5341" s="1348"/>
      <c r="F5341" s="1348"/>
      <c r="G5341" s="1348"/>
      <c r="H5341" s="1348"/>
      <c r="I5341" s="1348"/>
      <c r="J5341" s="1348"/>
      <c r="K5341" s="1348"/>
    </row>
    <row r="5342" spans="2:11" hidden="1">
      <c r="B5342" s="1348"/>
      <c r="C5342" s="1348"/>
      <c r="D5342" s="1348"/>
      <c r="E5342" s="1348"/>
      <c r="F5342" s="1348"/>
      <c r="G5342" s="1348"/>
      <c r="H5342" s="1348"/>
      <c r="I5342" s="1348"/>
      <c r="J5342" s="1348"/>
      <c r="K5342" s="1348"/>
    </row>
    <row r="5343" spans="2:11" hidden="1">
      <c r="B5343" s="1348"/>
      <c r="C5343" s="1348"/>
      <c r="D5343" s="1348"/>
      <c r="E5343" s="1348"/>
      <c r="F5343" s="1348"/>
      <c r="G5343" s="1348"/>
      <c r="H5343" s="1348"/>
      <c r="I5343" s="1348"/>
      <c r="J5343" s="1348"/>
      <c r="K5343" s="1348"/>
    </row>
    <row r="5344" spans="2:11" hidden="1">
      <c r="B5344" s="1348"/>
      <c r="C5344" s="1348"/>
      <c r="D5344" s="1348"/>
      <c r="E5344" s="1348"/>
      <c r="F5344" s="1348"/>
      <c r="G5344" s="1348"/>
      <c r="H5344" s="1348"/>
      <c r="I5344" s="1348"/>
      <c r="J5344" s="1348"/>
      <c r="K5344" s="1348"/>
    </row>
    <row r="5345" spans="2:11" hidden="1">
      <c r="B5345" s="1348"/>
      <c r="C5345" s="1348"/>
      <c r="D5345" s="1348"/>
      <c r="E5345" s="1348"/>
      <c r="F5345" s="1348"/>
      <c r="G5345" s="1348"/>
      <c r="H5345" s="1348"/>
      <c r="I5345" s="1348"/>
      <c r="J5345" s="1348"/>
      <c r="K5345" s="1348"/>
    </row>
    <row r="5346" spans="2:11" hidden="1">
      <c r="B5346" s="1348"/>
      <c r="C5346" s="1348"/>
      <c r="D5346" s="1348"/>
      <c r="E5346" s="1348"/>
      <c r="F5346" s="1348"/>
      <c r="G5346" s="1348"/>
      <c r="H5346" s="1348"/>
      <c r="I5346" s="1348"/>
      <c r="J5346" s="1348"/>
      <c r="K5346" s="1348"/>
    </row>
    <row r="5347" spans="2:11" hidden="1">
      <c r="B5347" s="1348"/>
      <c r="C5347" s="1348"/>
      <c r="D5347" s="1348"/>
      <c r="E5347" s="1348"/>
      <c r="F5347" s="1348"/>
      <c r="G5347" s="1348"/>
      <c r="H5347" s="1348"/>
      <c r="I5347" s="1348"/>
      <c r="J5347" s="1348"/>
      <c r="K5347" s="1348"/>
    </row>
    <row r="5348" spans="2:11" hidden="1">
      <c r="B5348" s="1348"/>
      <c r="C5348" s="1348"/>
      <c r="D5348" s="1348"/>
      <c r="E5348" s="1348"/>
      <c r="F5348" s="1348"/>
      <c r="G5348" s="1348"/>
      <c r="H5348" s="1348"/>
      <c r="I5348" s="1348"/>
      <c r="J5348" s="1348"/>
      <c r="K5348" s="1348"/>
    </row>
    <row r="5349" spans="2:11" hidden="1">
      <c r="B5349" s="1348"/>
      <c r="C5349" s="1348"/>
      <c r="D5349" s="1348"/>
      <c r="E5349" s="1348"/>
      <c r="F5349" s="1348"/>
      <c r="G5349" s="1348"/>
      <c r="H5349" s="1348"/>
      <c r="I5349" s="1348"/>
      <c r="J5349" s="1348"/>
      <c r="K5349" s="1348"/>
    </row>
    <row r="5350" spans="2:11" hidden="1">
      <c r="B5350" s="1348"/>
      <c r="C5350" s="1348"/>
      <c r="D5350" s="1348"/>
      <c r="E5350" s="1348"/>
      <c r="F5350" s="1348"/>
      <c r="G5350" s="1348"/>
      <c r="H5350" s="1348"/>
      <c r="I5350" s="1348"/>
      <c r="J5350" s="1348"/>
      <c r="K5350" s="1348"/>
    </row>
    <row r="5351" spans="2:11" hidden="1">
      <c r="B5351" s="1348"/>
      <c r="C5351" s="1348"/>
      <c r="D5351" s="1348"/>
      <c r="E5351" s="1348"/>
      <c r="F5351" s="1348"/>
      <c r="G5351" s="1348"/>
      <c r="H5351" s="1348"/>
      <c r="I5351" s="1348"/>
      <c r="J5351" s="1348"/>
      <c r="K5351" s="1348"/>
    </row>
    <row r="5352" spans="2:11" hidden="1">
      <c r="B5352" s="1348"/>
      <c r="C5352" s="1348"/>
      <c r="D5352" s="1348"/>
      <c r="E5352" s="1348"/>
      <c r="F5352" s="1348"/>
      <c r="G5352" s="1348"/>
      <c r="H5352" s="1348"/>
      <c r="I5352" s="1348"/>
      <c r="J5352" s="1348"/>
      <c r="K5352" s="1348"/>
    </row>
    <row r="5353" spans="2:11" hidden="1">
      <c r="B5353" s="1348"/>
      <c r="C5353" s="1348"/>
      <c r="D5353" s="1348"/>
      <c r="E5353" s="1348"/>
      <c r="F5353" s="1348"/>
      <c r="G5353" s="1348"/>
      <c r="H5353" s="1348"/>
      <c r="I5353" s="1348"/>
      <c r="J5353" s="1348"/>
      <c r="K5353" s="1348"/>
    </row>
    <row r="5354" spans="2:11" hidden="1">
      <c r="B5354" s="1348"/>
      <c r="C5354" s="1348"/>
      <c r="D5354" s="1348"/>
      <c r="E5354" s="1348"/>
      <c r="F5354" s="1348"/>
      <c r="G5354" s="1348"/>
      <c r="H5354" s="1348"/>
      <c r="I5354" s="1348"/>
      <c r="J5354" s="1348"/>
      <c r="K5354" s="1348"/>
    </row>
    <row r="5355" spans="2:11" hidden="1">
      <c r="B5355" s="1348"/>
      <c r="C5355" s="1348"/>
      <c r="D5355" s="1348"/>
      <c r="E5355" s="1348"/>
      <c r="F5355" s="1348"/>
      <c r="G5355" s="1348"/>
      <c r="H5355" s="1348"/>
      <c r="I5355" s="1348"/>
      <c r="J5355" s="1348"/>
      <c r="K5355" s="1348"/>
    </row>
    <row r="5356" spans="2:11" hidden="1">
      <c r="B5356" s="1348"/>
      <c r="C5356" s="1348"/>
      <c r="D5356" s="1348"/>
      <c r="E5356" s="1348"/>
      <c r="F5356" s="1348"/>
      <c r="G5356" s="1348"/>
      <c r="H5356" s="1348"/>
      <c r="I5356" s="1348"/>
      <c r="J5356" s="1348"/>
      <c r="K5356" s="1348"/>
    </row>
    <row r="5357" spans="2:11" hidden="1">
      <c r="B5357" s="1348"/>
      <c r="C5357" s="1348"/>
      <c r="D5357" s="1348"/>
      <c r="E5357" s="1348"/>
      <c r="F5357" s="1348"/>
      <c r="G5357" s="1348"/>
      <c r="H5357" s="1348"/>
      <c r="I5357" s="1348"/>
      <c r="J5357" s="1348"/>
      <c r="K5357" s="1348"/>
    </row>
    <row r="5358" spans="2:11" hidden="1">
      <c r="B5358" s="1348"/>
      <c r="C5358" s="1348"/>
      <c r="D5358" s="1348"/>
      <c r="E5358" s="1348"/>
      <c r="F5358" s="1348"/>
      <c r="G5358" s="1348"/>
      <c r="H5358" s="1348"/>
      <c r="I5358" s="1348"/>
      <c r="J5358" s="1348"/>
      <c r="K5358" s="1348"/>
    </row>
    <row r="5359" spans="2:11" hidden="1">
      <c r="B5359" s="1348"/>
      <c r="C5359" s="1348"/>
      <c r="D5359" s="1348"/>
      <c r="E5359" s="1348"/>
      <c r="F5359" s="1348"/>
      <c r="G5359" s="1348"/>
      <c r="H5359" s="1348"/>
      <c r="I5359" s="1348"/>
      <c r="J5359" s="1348"/>
      <c r="K5359" s="1348"/>
    </row>
    <row r="5360" spans="2:11" hidden="1">
      <c r="B5360" s="1348"/>
      <c r="C5360" s="1348"/>
      <c r="D5360" s="1348"/>
      <c r="E5360" s="1348"/>
      <c r="F5360" s="1348"/>
      <c r="G5360" s="1348"/>
      <c r="H5360" s="1348"/>
      <c r="I5360" s="1348"/>
      <c r="J5360" s="1348"/>
      <c r="K5360" s="1348"/>
    </row>
    <row r="5361" spans="2:11" hidden="1">
      <c r="B5361" s="1348"/>
      <c r="C5361" s="1348"/>
      <c r="D5361" s="1348"/>
      <c r="E5361" s="1348"/>
      <c r="F5361" s="1348"/>
      <c r="G5361" s="1348"/>
      <c r="H5361" s="1348"/>
      <c r="I5361" s="1348"/>
      <c r="J5361" s="1348"/>
      <c r="K5361" s="1348"/>
    </row>
    <row r="5362" spans="2:11" hidden="1">
      <c r="B5362" s="1348"/>
      <c r="C5362" s="1348"/>
      <c r="D5362" s="1348"/>
      <c r="E5362" s="1348"/>
      <c r="F5362" s="1348"/>
      <c r="G5362" s="1348"/>
      <c r="H5362" s="1348"/>
      <c r="I5362" s="1348"/>
      <c r="J5362" s="1348"/>
      <c r="K5362" s="1348"/>
    </row>
    <row r="5363" spans="2:11" hidden="1">
      <c r="B5363" s="1348"/>
      <c r="C5363" s="1348"/>
      <c r="D5363" s="1348"/>
      <c r="E5363" s="1348"/>
      <c r="F5363" s="1348"/>
      <c r="G5363" s="1348"/>
      <c r="H5363" s="1348"/>
      <c r="I5363" s="1348"/>
      <c r="J5363" s="1348"/>
      <c r="K5363" s="1348"/>
    </row>
    <row r="5364" spans="2:11" hidden="1">
      <c r="B5364" s="1348"/>
      <c r="C5364" s="1348"/>
      <c r="D5364" s="1348"/>
      <c r="E5364" s="1348"/>
      <c r="F5364" s="1348"/>
      <c r="G5364" s="1348"/>
      <c r="H5364" s="1348"/>
      <c r="I5364" s="1348"/>
      <c r="J5364" s="1348"/>
      <c r="K5364" s="1348"/>
    </row>
    <row r="5365" spans="2:11" hidden="1">
      <c r="B5365" s="1348"/>
      <c r="C5365" s="1348"/>
      <c r="D5365" s="1348"/>
      <c r="E5365" s="1348"/>
      <c r="F5365" s="1348"/>
      <c r="G5365" s="1348"/>
      <c r="H5365" s="1348"/>
      <c r="I5365" s="1348"/>
      <c r="J5365" s="1348"/>
      <c r="K5365" s="1348"/>
    </row>
    <row r="5366" spans="2:11" hidden="1">
      <c r="B5366" s="1348"/>
      <c r="C5366" s="1348"/>
      <c r="D5366" s="1348"/>
      <c r="E5366" s="1348"/>
      <c r="F5366" s="1348"/>
      <c r="G5366" s="1348"/>
      <c r="H5366" s="1348"/>
      <c r="I5366" s="1348"/>
      <c r="J5366" s="1348"/>
      <c r="K5366" s="1348"/>
    </row>
    <row r="5367" spans="2:11" hidden="1">
      <c r="B5367" s="1348"/>
      <c r="C5367" s="1348"/>
      <c r="D5367" s="1348"/>
      <c r="E5367" s="1348"/>
      <c r="F5367" s="1348"/>
      <c r="G5367" s="1348"/>
      <c r="H5367" s="1348"/>
      <c r="I5367" s="1348"/>
      <c r="J5367" s="1348"/>
      <c r="K5367" s="1348"/>
    </row>
    <row r="5368" spans="2:11" hidden="1">
      <c r="B5368" s="1348"/>
      <c r="C5368" s="1348"/>
      <c r="D5368" s="1348"/>
      <c r="E5368" s="1348"/>
      <c r="F5368" s="1348"/>
      <c r="G5368" s="1348"/>
      <c r="H5368" s="1348"/>
      <c r="I5368" s="1348"/>
      <c r="J5368" s="1348"/>
      <c r="K5368" s="1348"/>
    </row>
    <row r="5369" spans="2:11" hidden="1">
      <c r="B5369" s="1348"/>
      <c r="C5369" s="1348"/>
      <c r="D5369" s="1348"/>
      <c r="E5369" s="1348"/>
      <c r="F5369" s="1348"/>
      <c r="G5369" s="1348"/>
      <c r="H5369" s="1348"/>
      <c r="I5369" s="1348"/>
      <c r="J5369" s="1348"/>
      <c r="K5369" s="1348"/>
    </row>
    <row r="5370" spans="2:11" hidden="1">
      <c r="B5370" s="1348"/>
      <c r="C5370" s="1348"/>
      <c r="D5370" s="1348"/>
      <c r="E5370" s="1348"/>
      <c r="F5370" s="1348"/>
      <c r="G5370" s="1348"/>
      <c r="H5370" s="1348"/>
      <c r="I5370" s="1348"/>
      <c r="J5370" s="1348"/>
      <c r="K5370" s="1348"/>
    </row>
    <row r="5371" spans="2:11" hidden="1">
      <c r="B5371" s="1348"/>
      <c r="C5371" s="1348"/>
      <c r="D5371" s="1348"/>
      <c r="E5371" s="1348"/>
      <c r="F5371" s="1348"/>
      <c r="G5371" s="1348"/>
      <c r="H5371" s="1348"/>
      <c r="I5371" s="1348"/>
      <c r="J5371" s="1348"/>
      <c r="K5371" s="1348"/>
    </row>
    <row r="5372" spans="2:11" hidden="1">
      <c r="B5372" s="1348"/>
      <c r="C5372" s="1348"/>
      <c r="D5372" s="1348"/>
      <c r="E5372" s="1348"/>
      <c r="F5372" s="1348"/>
      <c r="G5372" s="1348"/>
      <c r="H5372" s="1348"/>
      <c r="I5372" s="1348"/>
      <c r="J5372" s="1348"/>
      <c r="K5372" s="1348"/>
    </row>
    <row r="5373" spans="2:11" hidden="1">
      <c r="B5373" s="1348"/>
      <c r="C5373" s="1348"/>
      <c r="D5373" s="1348"/>
      <c r="E5373" s="1348"/>
      <c r="F5373" s="1348"/>
      <c r="G5373" s="1348"/>
      <c r="H5373" s="1348"/>
      <c r="I5373" s="1348"/>
      <c r="J5373" s="1348"/>
      <c r="K5373" s="1348"/>
    </row>
    <row r="5374" spans="2:11" hidden="1">
      <c r="B5374" s="1348"/>
      <c r="C5374" s="1348"/>
      <c r="D5374" s="1348"/>
      <c r="E5374" s="1348"/>
      <c r="F5374" s="1348"/>
      <c r="G5374" s="1348"/>
      <c r="H5374" s="1348"/>
      <c r="I5374" s="1348"/>
      <c r="J5374" s="1348"/>
      <c r="K5374" s="1348"/>
    </row>
    <row r="5375" spans="2:11" hidden="1">
      <c r="B5375" s="1348"/>
      <c r="C5375" s="1348"/>
      <c r="D5375" s="1348"/>
      <c r="E5375" s="1348"/>
      <c r="F5375" s="1348"/>
      <c r="G5375" s="1348"/>
      <c r="H5375" s="1348"/>
      <c r="I5375" s="1348"/>
      <c r="J5375" s="1348"/>
      <c r="K5375" s="1348"/>
    </row>
    <row r="5376" spans="2:11" hidden="1">
      <c r="B5376" s="1348"/>
      <c r="C5376" s="1348"/>
      <c r="D5376" s="1348"/>
      <c r="E5376" s="1348"/>
      <c r="F5376" s="1348"/>
      <c r="G5376" s="1348"/>
      <c r="H5376" s="1348"/>
      <c r="I5376" s="1348"/>
      <c r="J5376" s="1348"/>
      <c r="K5376" s="1348"/>
    </row>
    <row r="5377" spans="2:11" hidden="1">
      <c r="B5377" s="1348"/>
      <c r="C5377" s="1348"/>
      <c r="D5377" s="1348"/>
      <c r="E5377" s="1348"/>
      <c r="F5377" s="1348"/>
      <c r="G5377" s="1348"/>
      <c r="H5377" s="1348"/>
      <c r="I5377" s="1348"/>
      <c r="J5377" s="1348"/>
      <c r="K5377" s="1348"/>
    </row>
    <row r="5378" spans="2:11" hidden="1">
      <c r="B5378" s="1348"/>
      <c r="C5378" s="1348"/>
      <c r="D5378" s="1348"/>
      <c r="E5378" s="1348"/>
      <c r="F5378" s="1348"/>
      <c r="G5378" s="1348"/>
      <c r="H5378" s="1348"/>
      <c r="I5378" s="1348"/>
      <c r="J5378" s="1348"/>
      <c r="K5378" s="1348"/>
    </row>
    <row r="5379" spans="2:11" hidden="1">
      <c r="B5379" s="1348"/>
      <c r="C5379" s="1348"/>
      <c r="D5379" s="1348"/>
      <c r="E5379" s="1348"/>
      <c r="F5379" s="1348"/>
      <c r="G5379" s="1348"/>
      <c r="H5379" s="1348"/>
      <c r="I5379" s="1348"/>
      <c r="J5379" s="1348"/>
      <c r="K5379" s="1348"/>
    </row>
    <row r="5380" spans="2:11" hidden="1">
      <c r="B5380" s="1348"/>
      <c r="C5380" s="1348"/>
      <c r="D5380" s="1348"/>
      <c r="E5380" s="1348"/>
      <c r="F5380" s="1348"/>
      <c r="G5380" s="1348"/>
      <c r="H5380" s="1348"/>
      <c r="I5380" s="1348"/>
      <c r="J5380" s="1348"/>
      <c r="K5380" s="1348"/>
    </row>
    <row r="5381" spans="2:11" hidden="1">
      <c r="B5381" s="1348"/>
      <c r="C5381" s="1348"/>
      <c r="D5381" s="1348"/>
      <c r="E5381" s="1348"/>
      <c r="F5381" s="1348"/>
      <c r="G5381" s="1348"/>
      <c r="H5381" s="1348"/>
      <c r="I5381" s="1348"/>
      <c r="J5381" s="1348"/>
      <c r="K5381" s="1348"/>
    </row>
    <row r="5382" spans="2:11" hidden="1">
      <c r="B5382" s="1348"/>
      <c r="C5382" s="1348"/>
      <c r="D5382" s="1348"/>
      <c r="E5382" s="1348"/>
      <c r="F5382" s="1348"/>
      <c r="G5382" s="1348"/>
      <c r="H5382" s="1348"/>
      <c r="I5382" s="1348"/>
      <c r="J5382" s="1348"/>
      <c r="K5382" s="1348"/>
    </row>
    <row r="5383" spans="2:11" hidden="1">
      <c r="B5383" s="1348"/>
      <c r="C5383" s="1348"/>
      <c r="D5383" s="1348"/>
      <c r="E5383" s="1348"/>
      <c r="F5383" s="1348"/>
      <c r="G5383" s="1348"/>
      <c r="H5383" s="1348"/>
      <c r="I5383" s="1348"/>
      <c r="J5383" s="1348"/>
      <c r="K5383" s="1348"/>
    </row>
    <row r="5384" spans="2:11" hidden="1">
      <c r="B5384" s="1348"/>
      <c r="C5384" s="1348"/>
      <c r="D5384" s="1348"/>
      <c r="E5384" s="1348"/>
      <c r="F5384" s="1348"/>
      <c r="G5384" s="1348"/>
      <c r="H5384" s="1348"/>
      <c r="I5384" s="1348"/>
      <c r="J5384" s="1348"/>
      <c r="K5384" s="1348"/>
    </row>
    <row r="5385" spans="2:11" hidden="1">
      <c r="B5385" s="1348"/>
      <c r="C5385" s="1348"/>
      <c r="D5385" s="1348"/>
      <c r="E5385" s="1348"/>
      <c r="F5385" s="1348"/>
      <c r="G5385" s="1348"/>
      <c r="H5385" s="1348"/>
      <c r="I5385" s="1348"/>
      <c r="J5385" s="1348"/>
      <c r="K5385" s="1348"/>
    </row>
    <row r="5386" spans="2:11" hidden="1">
      <c r="B5386" s="1348"/>
      <c r="C5386" s="1348"/>
      <c r="D5386" s="1348"/>
      <c r="E5386" s="1348"/>
      <c r="F5386" s="1348"/>
      <c r="G5386" s="1348"/>
      <c r="H5386" s="1348"/>
      <c r="I5386" s="1348"/>
      <c r="J5386" s="1348"/>
      <c r="K5386" s="1348"/>
    </row>
    <row r="5387" spans="2:11" hidden="1">
      <c r="B5387" s="1348"/>
      <c r="C5387" s="1348"/>
      <c r="D5387" s="1348"/>
      <c r="E5387" s="1348"/>
      <c r="F5387" s="1348"/>
      <c r="G5387" s="1348"/>
      <c r="H5387" s="1348"/>
      <c r="I5387" s="1348"/>
      <c r="J5387" s="1348"/>
      <c r="K5387" s="1348"/>
    </row>
    <row r="5388" spans="2:11" hidden="1">
      <c r="B5388" s="1348"/>
      <c r="C5388" s="1348"/>
      <c r="D5388" s="1348"/>
      <c r="E5388" s="1348"/>
      <c r="F5388" s="1348"/>
      <c r="G5388" s="1348"/>
      <c r="H5388" s="1348"/>
      <c r="I5388" s="1348"/>
      <c r="J5388" s="1348"/>
      <c r="K5388" s="1348"/>
    </row>
    <row r="5389" spans="2:11" hidden="1">
      <c r="B5389" s="1348"/>
      <c r="C5389" s="1348"/>
      <c r="D5389" s="1348"/>
      <c r="E5389" s="1348"/>
      <c r="F5389" s="1348"/>
      <c r="G5389" s="1348"/>
      <c r="H5389" s="1348"/>
      <c r="I5389" s="1348"/>
      <c r="J5389" s="1348"/>
      <c r="K5389" s="1348"/>
    </row>
    <row r="5390" spans="2:11" hidden="1">
      <c r="B5390" s="1348"/>
      <c r="C5390" s="1348"/>
      <c r="D5390" s="1348"/>
      <c r="E5390" s="1348"/>
      <c r="F5390" s="1348"/>
      <c r="G5390" s="1348"/>
      <c r="H5390" s="1348"/>
      <c r="I5390" s="1348"/>
      <c r="J5390" s="1348"/>
      <c r="K5390" s="1348"/>
    </row>
    <row r="5391" spans="2:11" hidden="1">
      <c r="B5391" s="1348"/>
      <c r="C5391" s="1348"/>
      <c r="D5391" s="1348"/>
      <c r="E5391" s="1348"/>
      <c r="F5391" s="1348"/>
      <c r="G5391" s="1348"/>
      <c r="H5391" s="1348"/>
      <c r="I5391" s="1348"/>
      <c r="J5391" s="1348"/>
      <c r="K5391" s="1348"/>
    </row>
    <row r="5392" spans="2:11" hidden="1">
      <c r="B5392" s="1348"/>
      <c r="C5392" s="1348"/>
      <c r="D5392" s="1348"/>
      <c r="E5392" s="1348"/>
      <c r="F5392" s="1348"/>
      <c r="G5392" s="1348"/>
      <c r="H5392" s="1348"/>
      <c r="I5392" s="1348"/>
      <c r="J5392" s="1348"/>
      <c r="K5392" s="1348"/>
    </row>
    <row r="5393" spans="2:11" hidden="1">
      <c r="B5393" s="1348"/>
      <c r="C5393" s="1348"/>
      <c r="D5393" s="1348"/>
      <c r="E5393" s="1348"/>
      <c r="F5393" s="1348"/>
      <c r="G5393" s="1348"/>
      <c r="H5393" s="1348"/>
      <c r="I5393" s="1348"/>
      <c r="J5393" s="1348"/>
      <c r="K5393" s="1348"/>
    </row>
    <row r="5394" spans="2:11" hidden="1">
      <c r="B5394" s="1348"/>
      <c r="C5394" s="1348"/>
      <c r="D5394" s="1348"/>
      <c r="E5394" s="1348"/>
      <c r="F5394" s="1348"/>
      <c r="G5394" s="1348"/>
      <c r="H5394" s="1348"/>
      <c r="I5394" s="1348"/>
      <c r="J5394" s="1348"/>
      <c r="K5394" s="1348"/>
    </row>
    <row r="5395" spans="2:11" hidden="1">
      <c r="B5395" s="1348"/>
      <c r="C5395" s="1348"/>
      <c r="D5395" s="1348"/>
      <c r="E5395" s="1348"/>
      <c r="F5395" s="1348"/>
      <c r="G5395" s="1348"/>
      <c r="H5395" s="1348"/>
      <c r="I5395" s="1348"/>
      <c r="J5395" s="1348"/>
      <c r="K5395" s="1348"/>
    </row>
    <row r="5396" spans="2:11" hidden="1">
      <c r="B5396" s="1348"/>
      <c r="C5396" s="1348"/>
      <c r="D5396" s="1348"/>
      <c r="E5396" s="1348"/>
      <c r="F5396" s="1348"/>
      <c r="G5396" s="1348"/>
      <c r="H5396" s="1348"/>
      <c r="I5396" s="1348"/>
      <c r="J5396" s="1348"/>
      <c r="K5396" s="1348"/>
    </row>
    <row r="5397" spans="2:11" hidden="1">
      <c r="B5397" s="1348"/>
      <c r="C5397" s="1348"/>
      <c r="D5397" s="1348"/>
      <c r="E5397" s="1348"/>
      <c r="F5397" s="1348"/>
      <c r="G5397" s="1348"/>
      <c r="H5397" s="1348"/>
      <c r="I5397" s="1348"/>
      <c r="J5397" s="1348"/>
      <c r="K5397" s="1348"/>
    </row>
    <row r="5398" spans="2:11" hidden="1">
      <c r="B5398" s="1348"/>
      <c r="C5398" s="1348"/>
      <c r="D5398" s="1348"/>
      <c r="E5398" s="1348"/>
      <c r="F5398" s="1348"/>
      <c r="G5398" s="1348"/>
      <c r="H5398" s="1348"/>
      <c r="I5398" s="1348"/>
      <c r="J5398" s="1348"/>
      <c r="K5398" s="1348"/>
    </row>
    <row r="5399" spans="2:11" hidden="1">
      <c r="B5399" s="1348"/>
      <c r="C5399" s="1348"/>
      <c r="D5399" s="1348"/>
      <c r="E5399" s="1348"/>
      <c r="F5399" s="1348"/>
      <c r="G5399" s="1348"/>
      <c r="H5399" s="1348"/>
      <c r="I5399" s="1348"/>
      <c r="J5399" s="1348"/>
      <c r="K5399" s="1348"/>
    </row>
    <row r="5400" spans="2:11" hidden="1">
      <c r="B5400" s="1348"/>
      <c r="C5400" s="1348"/>
      <c r="D5400" s="1348"/>
      <c r="E5400" s="1348"/>
      <c r="F5400" s="1348"/>
      <c r="G5400" s="1348"/>
      <c r="H5400" s="1348"/>
      <c r="I5400" s="1348"/>
      <c r="J5400" s="1348"/>
      <c r="K5400" s="1348"/>
    </row>
    <row r="5401" spans="2:11" hidden="1">
      <c r="B5401" s="1348"/>
      <c r="C5401" s="1348"/>
      <c r="D5401" s="1348"/>
      <c r="E5401" s="1348"/>
      <c r="F5401" s="1348"/>
      <c r="G5401" s="1348"/>
      <c r="H5401" s="1348"/>
      <c r="I5401" s="1348"/>
      <c r="J5401" s="1348"/>
      <c r="K5401" s="1348"/>
    </row>
    <row r="5402" spans="2:11" hidden="1">
      <c r="B5402" s="1348"/>
      <c r="C5402" s="1348"/>
      <c r="D5402" s="1348"/>
      <c r="E5402" s="1348"/>
      <c r="F5402" s="1348"/>
      <c r="G5402" s="1348"/>
      <c r="H5402" s="1348"/>
      <c r="I5402" s="1348"/>
      <c r="J5402" s="1348"/>
      <c r="K5402" s="1348"/>
    </row>
    <row r="5403" spans="2:11" hidden="1">
      <c r="B5403" s="1348"/>
      <c r="C5403" s="1348"/>
      <c r="D5403" s="1348"/>
      <c r="E5403" s="1348"/>
      <c r="F5403" s="1348"/>
      <c r="G5403" s="1348"/>
      <c r="H5403" s="1348"/>
      <c r="I5403" s="1348"/>
      <c r="J5403" s="1348"/>
      <c r="K5403" s="1348"/>
    </row>
    <row r="5404" spans="2:11" hidden="1">
      <c r="B5404" s="1348"/>
      <c r="C5404" s="1348"/>
      <c r="D5404" s="1348"/>
      <c r="E5404" s="1348"/>
      <c r="F5404" s="1348"/>
      <c r="G5404" s="1348"/>
      <c r="H5404" s="1348"/>
      <c r="I5404" s="1348"/>
      <c r="J5404" s="1348"/>
      <c r="K5404" s="1348"/>
    </row>
    <row r="5405" spans="2:11" hidden="1">
      <c r="B5405" s="1348"/>
      <c r="C5405" s="1348"/>
      <c r="D5405" s="1348"/>
      <c r="E5405" s="1348"/>
      <c r="F5405" s="1348"/>
      <c r="G5405" s="1348"/>
      <c r="H5405" s="1348"/>
      <c r="I5405" s="1348"/>
      <c r="J5405" s="1348"/>
      <c r="K5405" s="1348"/>
    </row>
    <row r="5406" spans="2:11" hidden="1">
      <c r="B5406" s="1348"/>
      <c r="C5406" s="1348"/>
      <c r="D5406" s="1348"/>
      <c r="E5406" s="1348"/>
      <c r="F5406" s="1348"/>
      <c r="G5406" s="1348"/>
      <c r="H5406" s="1348"/>
      <c r="I5406" s="1348"/>
      <c r="J5406" s="1348"/>
      <c r="K5406" s="1348"/>
    </row>
    <row r="5407" spans="2:11" hidden="1">
      <c r="B5407" s="1348"/>
      <c r="C5407" s="1348"/>
      <c r="D5407" s="1348"/>
      <c r="E5407" s="1348"/>
      <c r="F5407" s="1348"/>
      <c r="G5407" s="1348"/>
      <c r="H5407" s="1348"/>
      <c r="I5407" s="1348"/>
      <c r="J5407" s="1348"/>
      <c r="K5407" s="1348"/>
    </row>
    <row r="5408" spans="2:11" hidden="1">
      <c r="B5408" s="1348"/>
      <c r="C5408" s="1348"/>
      <c r="D5408" s="1348"/>
      <c r="E5408" s="1348"/>
      <c r="F5408" s="1348"/>
      <c r="G5408" s="1348"/>
      <c r="H5408" s="1348"/>
      <c r="I5408" s="1348"/>
      <c r="J5408" s="1348"/>
      <c r="K5408" s="1348"/>
    </row>
    <row r="5409" spans="2:11" hidden="1">
      <c r="B5409" s="1348"/>
      <c r="C5409" s="1348"/>
      <c r="D5409" s="1348"/>
      <c r="E5409" s="1348"/>
      <c r="F5409" s="1348"/>
      <c r="G5409" s="1348"/>
      <c r="H5409" s="1348"/>
      <c r="I5409" s="1348"/>
      <c r="J5409" s="1348"/>
      <c r="K5409" s="1348"/>
    </row>
    <row r="5410" spans="2:11" hidden="1">
      <c r="B5410" s="1348"/>
      <c r="C5410" s="1348"/>
      <c r="D5410" s="1348"/>
      <c r="E5410" s="1348"/>
      <c r="F5410" s="1348"/>
      <c r="G5410" s="1348"/>
      <c r="H5410" s="1348"/>
      <c r="I5410" s="1348"/>
      <c r="J5410" s="1348"/>
      <c r="K5410" s="1348"/>
    </row>
    <row r="5411" spans="2:11" hidden="1">
      <c r="B5411" s="1348"/>
      <c r="C5411" s="1348"/>
      <c r="D5411" s="1348"/>
      <c r="E5411" s="1348"/>
      <c r="F5411" s="1348"/>
      <c r="G5411" s="1348"/>
      <c r="H5411" s="1348"/>
      <c r="I5411" s="1348"/>
      <c r="J5411" s="1348"/>
      <c r="K5411" s="1348"/>
    </row>
    <row r="5412" spans="2:11" hidden="1">
      <c r="B5412" s="1348"/>
      <c r="C5412" s="1348"/>
      <c r="D5412" s="1348"/>
      <c r="E5412" s="1348"/>
      <c r="F5412" s="1348"/>
      <c r="G5412" s="1348"/>
      <c r="H5412" s="1348"/>
      <c r="I5412" s="1348"/>
      <c r="J5412" s="1348"/>
      <c r="K5412" s="1348"/>
    </row>
    <row r="5413" spans="2:11" hidden="1">
      <c r="B5413" s="1348"/>
      <c r="C5413" s="1348"/>
      <c r="D5413" s="1348"/>
      <c r="E5413" s="1348"/>
      <c r="F5413" s="1348"/>
      <c r="G5413" s="1348"/>
      <c r="H5413" s="1348"/>
      <c r="I5413" s="1348"/>
      <c r="J5413" s="1348"/>
      <c r="K5413" s="1348"/>
    </row>
    <row r="5414" spans="2:11" hidden="1">
      <c r="B5414" s="1348"/>
      <c r="C5414" s="1348"/>
      <c r="D5414" s="1348"/>
      <c r="E5414" s="1348"/>
      <c r="F5414" s="1348"/>
      <c r="G5414" s="1348"/>
      <c r="H5414" s="1348"/>
      <c r="I5414" s="1348"/>
      <c r="J5414" s="1348"/>
      <c r="K5414" s="1348"/>
    </row>
    <row r="5415" spans="2:11" hidden="1">
      <c r="B5415" s="1348"/>
      <c r="C5415" s="1348"/>
      <c r="D5415" s="1348"/>
      <c r="E5415" s="1348"/>
      <c r="F5415" s="1348"/>
      <c r="G5415" s="1348"/>
      <c r="H5415" s="1348"/>
      <c r="I5415" s="1348"/>
      <c r="J5415" s="1348"/>
      <c r="K5415" s="1348"/>
    </row>
    <row r="5416" spans="2:11" hidden="1">
      <c r="B5416" s="1348"/>
      <c r="C5416" s="1348"/>
      <c r="D5416" s="1348"/>
      <c r="E5416" s="1348"/>
      <c r="F5416" s="1348"/>
      <c r="G5416" s="1348"/>
      <c r="H5416" s="1348"/>
      <c r="I5416" s="1348"/>
      <c r="J5416" s="1348"/>
      <c r="K5416" s="1348"/>
    </row>
    <row r="5417" spans="2:11" hidden="1">
      <c r="B5417" s="1348"/>
      <c r="C5417" s="1348"/>
      <c r="D5417" s="1348"/>
      <c r="E5417" s="1348"/>
      <c r="F5417" s="1348"/>
      <c r="G5417" s="1348"/>
      <c r="H5417" s="1348"/>
      <c r="I5417" s="1348"/>
      <c r="J5417" s="1348"/>
      <c r="K5417" s="1348"/>
    </row>
    <row r="5418" spans="2:11" hidden="1">
      <c r="B5418" s="1348"/>
      <c r="C5418" s="1348"/>
      <c r="D5418" s="1348"/>
      <c r="E5418" s="1348"/>
      <c r="F5418" s="1348"/>
      <c r="G5418" s="1348"/>
      <c r="H5418" s="1348"/>
      <c r="I5418" s="1348"/>
      <c r="J5418" s="1348"/>
      <c r="K5418" s="1348"/>
    </row>
    <row r="5419" spans="2:11" hidden="1">
      <c r="B5419" s="1348"/>
      <c r="C5419" s="1348"/>
      <c r="D5419" s="1348"/>
      <c r="E5419" s="1348"/>
      <c r="F5419" s="1348"/>
      <c r="G5419" s="1348"/>
      <c r="H5419" s="1348"/>
      <c r="I5419" s="1348"/>
      <c r="J5419" s="1348"/>
      <c r="K5419" s="1348"/>
    </row>
    <row r="5420" spans="2:11" hidden="1">
      <c r="B5420" s="1348"/>
      <c r="C5420" s="1348"/>
      <c r="D5420" s="1348"/>
      <c r="E5420" s="1348"/>
      <c r="F5420" s="1348"/>
      <c r="G5420" s="1348"/>
      <c r="H5420" s="1348"/>
      <c r="I5420" s="1348"/>
      <c r="J5420" s="1348"/>
      <c r="K5420" s="1348"/>
    </row>
    <row r="5421" spans="2:11" hidden="1">
      <c r="B5421" s="1348"/>
      <c r="C5421" s="1348"/>
      <c r="D5421" s="1348"/>
      <c r="E5421" s="1348"/>
      <c r="F5421" s="1348"/>
      <c r="G5421" s="1348"/>
      <c r="H5421" s="1348"/>
      <c r="I5421" s="1348"/>
      <c r="J5421" s="1348"/>
      <c r="K5421" s="1348"/>
    </row>
    <row r="5422" spans="2:11" hidden="1">
      <c r="B5422" s="1348"/>
      <c r="C5422" s="1348"/>
      <c r="D5422" s="1348"/>
      <c r="E5422" s="1348"/>
      <c r="F5422" s="1348"/>
      <c r="G5422" s="1348"/>
      <c r="H5422" s="1348"/>
      <c r="I5422" s="1348"/>
      <c r="J5422" s="1348"/>
      <c r="K5422" s="1348"/>
    </row>
    <row r="5423" spans="2:11" hidden="1">
      <c r="B5423" s="1348"/>
      <c r="C5423" s="1348"/>
      <c r="D5423" s="1348"/>
      <c r="E5423" s="1348"/>
      <c r="F5423" s="1348"/>
      <c r="G5423" s="1348"/>
      <c r="H5423" s="1348"/>
      <c r="I5423" s="1348"/>
      <c r="J5423" s="1348"/>
      <c r="K5423" s="1348"/>
    </row>
    <row r="5424" spans="2:11" hidden="1">
      <c r="B5424" s="1348"/>
      <c r="C5424" s="1348"/>
      <c r="D5424" s="1348"/>
      <c r="E5424" s="1348"/>
      <c r="F5424" s="1348"/>
      <c r="G5424" s="1348"/>
      <c r="H5424" s="1348"/>
      <c r="I5424" s="1348"/>
      <c r="J5424" s="1348"/>
      <c r="K5424" s="1348"/>
    </row>
    <row r="5425" spans="2:11" hidden="1">
      <c r="B5425" s="1348"/>
      <c r="C5425" s="1348"/>
      <c r="D5425" s="1348"/>
      <c r="E5425" s="1348"/>
      <c r="F5425" s="1348"/>
      <c r="G5425" s="1348"/>
      <c r="H5425" s="1348"/>
      <c r="I5425" s="1348"/>
      <c r="J5425" s="1348"/>
      <c r="K5425" s="1348"/>
    </row>
    <row r="5426" spans="2:11" hidden="1">
      <c r="B5426" s="1348"/>
      <c r="C5426" s="1348"/>
      <c r="D5426" s="1348"/>
      <c r="E5426" s="1348"/>
      <c r="F5426" s="1348"/>
      <c r="G5426" s="1348"/>
      <c r="H5426" s="1348"/>
      <c r="I5426" s="1348"/>
      <c r="J5426" s="1348"/>
      <c r="K5426" s="1348"/>
    </row>
    <row r="5427" spans="2:11" hidden="1">
      <c r="B5427" s="1348"/>
      <c r="C5427" s="1348"/>
      <c r="D5427" s="1348"/>
      <c r="E5427" s="1348"/>
      <c r="F5427" s="1348"/>
      <c r="G5427" s="1348"/>
      <c r="H5427" s="1348"/>
      <c r="I5427" s="1348"/>
      <c r="J5427" s="1348"/>
      <c r="K5427" s="1348"/>
    </row>
    <row r="5428" spans="2:11" hidden="1">
      <c r="B5428" s="1348"/>
      <c r="C5428" s="1348"/>
      <c r="D5428" s="1348"/>
      <c r="E5428" s="1348"/>
      <c r="F5428" s="1348"/>
      <c r="G5428" s="1348"/>
      <c r="H5428" s="1348"/>
      <c r="I5428" s="1348"/>
      <c r="J5428" s="1348"/>
      <c r="K5428" s="1348"/>
    </row>
    <row r="5429" spans="2:11" hidden="1">
      <c r="B5429" s="1348"/>
      <c r="C5429" s="1348"/>
      <c r="D5429" s="1348"/>
      <c r="E5429" s="1348"/>
      <c r="F5429" s="1348"/>
      <c r="G5429" s="1348"/>
      <c r="H5429" s="1348"/>
      <c r="I5429" s="1348"/>
      <c r="J5429" s="1348"/>
      <c r="K5429" s="1348"/>
    </row>
    <row r="5430" spans="2:11" hidden="1">
      <c r="B5430" s="1348"/>
      <c r="C5430" s="1348"/>
      <c r="D5430" s="1348"/>
      <c r="E5430" s="1348"/>
      <c r="F5430" s="1348"/>
      <c r="G5430" s="1348"/>
      <c r="H5430" s="1348"/>
      <c r="I5430" s="1348"/>
      <c r="J5430" s="1348"/>
      <c r="K5430" s="1348"/>
    </row>
    <row r="5431" spans="2:11" hidden="1">
      <c r="B5431" s="1348"/>
      <c r="C5431" s="1348"/>
      <c r="D5431" s="1348"/>
      <c r="E5431" s="1348"/>
      <c r="F5431" s="1348"/>
      <c r="G5431" s="1348"/>
      <c r="H5431" s="1348"/>
      <c r="I5431" s="1348"/>
      <c r="J5431" s="1348"/>
      <c r="K5431" s="1348"/>
    </row>
    <row r="5432" spans="2:11" hidden="1">
      <c r="B5432" s="1348"/>
      <c r="C5432" s="1348"/>
      <c r="D5432" s="1348"/>
      <c r="E5432" s="1348"/>
      <c r="F5432" s="1348"/>
      <c r="G5432" s="1348"/>
      <c r="H5432" s="1348"/>
      <c r="I5432" s="1348"/>
      <c r="J5432" s="1348"/>
      <c r="K5432" s="1348"/>
    </row>
    <row r="5433" spans="2:11" hidden="1">
      <c r="B5433" s="1348"/>
      <c r="C5433" s="1348"/>
      <c r="D5433" s="1348"/>
      <c r="E5433" s="1348"/>
      <c r="F5433" s="1348"/>
      <c r="G5433" s="1348"/>
      <c r="H5433" s="1348"/>
      <c r="I5433" s="1348"/>
      <c r="J5433" s="1348"/>
      <c r="K5433" s="1348"/>
    </row>
    <row r="5434" spans="2:11" hidden="1">
      <c r="B5434" s="1348"/>
      <c r="C5434" s="1348"/>
      <c r="D5434" s="1348"/>
      <c r="E5434" s="1348"/>
      <c r="F5434" s="1348"/>
      <c r="G5434" s="1348"/>
      <c r="H5434" s="1348"/>
      <c r="I5434" s="1348"/>
      <c r="J5434" s="1348"/>
      <c r="K5434" s="1348"/>
    </row>
    <row r="5435" spans="2:11" hidden="1">
      <c r="B5435" s="1348"/>
      <c r="C5435" s="1348"/>
      <c r="D5435" s="1348"/>
      <c r="E5435" s="1348"/>
      <c r="F5435" s="1348"/>
      <c r="G5435" s="1348"/>
      <c r="H5435" s="1348"/>
      <c r="I5435" s="1348"/>
      <c r="J5435" s="1348"/>
      <c r="K5435" s="1348"/>
    </row>
    <row r="5436" spans="2:11" hidden="1">
      <c r="B5436" s="1348"/>
      <c r="C5436" s="1348"/>
      <c r="D5436" s="1348"/>
      <c r="E5436" s="1348"/>
      <c r="F5436" s="1348"/>
      <c r="G5436" s="1348"/>
      <c r="H5436" s="1348"/>
      <c r="I5436" s="1348"/>
      <c r="J5436" s="1348"/>
      <c r="K5436" s="1348"/>
    </row>
    <row r="5437" spans="2:11" hidden="1">
      <c r="B5437" s="1348"/>
      <c r="C5437" s="1348"/>
      <c r="D5437" s="1348"/>
      <c r="E5437" s="1348"/>
      <c r="F5437" s="1348"/>
      <c r="G5437" s="1348"/>
      <c r="H5437" s="1348"/>
      <c r="I5437" s="1348"/>
      <c r="J5437" s="1348"/>
      <c r="K5437" s="1348"/>
    </row>
    <row r="5438" spans="2:11" hidden="1">
      <c r="B5438" s="1348"/>
      <c r="C5438" s="1348"/>
      <c r="D5438" s="1348"/>
      <c r="E5438" s="1348"/>
      <c r="F5438" s="1348"/>
      <c r="G5438" s="1348"/>
      <c r="H5438" s="1348"/>
      <c r="I5438" s="1348"/>
      <c r="J5438" s="1348"/>
      <c r="K5438" s="1348"/>
    </row>
    <row r="5439" spans="2:11" hidden="1">
      <c r="B5439" s="1348"/>
      <c r="C5439" s="1348"/>
      <c r="D5439" s="1348"/>
      <c r="E5439" s="1348"/>
      <c r="F5439" s="1348"/>
      <c r="G5439" s="1348"/>
      <c r="H5439" s="1348"/>
      <c r="I5439" s="1348"/>
      <c r="J5439" s="1348"/>
      <c r="K5439" s="1348"/>
    </row>
    <row r="5440" spans="2:11" hidden="1">
      <c r="B5440" s="1348"/>
      <c r="C5440" s="1348"/>
      <c r="D5440" s="1348"/>
      <c r="E5440" s="1348"/>
      <c r="F5440" s="1348"/>
      <c r="G5440" s="1348"/>
      <c r="H5440" s="1348"/>
      <c r="I5440" s="1348"/>
      <c r="J5440" s="1348"/>
      <c r="K5440" s="1348"/>
    </row>
    <row r="5441" spans="2:11" hidden="1">
      <c r="B5441" s="1348"/>
      <c r="C5441" s="1348"/>
      <c r="D5441" s="1348"/>
      <c r="E5441" s="1348"/>
      <c r="F5441" s="1348"/>
      <c r="G5441" s="1348"/>
      <c r="H5441" s="1348"/>
      <c r="I5441" s="1348"/>
      <c r="J5441" s="1348"/>
      <c r="K5441" s="1348"/>
    </row>
    <row r="5442" spans="2:11" hidden="1">
      <c r="B5442" s="1348"/>
      <c r="C5442" s="1348"/>
      <c r="D5442" s="1348"/>
      <c r="E5442" s="1348"/>
      <c r="F5442" s="1348"/>
      <c r="G5442" s="1348"/>
      <c r="H5442" s="1348"/>
      <c r="I5442" s="1348"/>
      <c r="J5442" s="1348"/>
      <c r="K5442" s="1348"/>
    </row>
    <row r="5443" spans="2:11" hidden="1">
      <c r="B5443" s="1348"/>
      <c r="C5443" s="1348"/>
      <c r="D5443" s="1348"/>
      <c r="E5443" s="1348"/>
      <c r="F5443" s="1348"/>
      <c r="G5443" s="1348"/>
      <c r="H5443" s="1348"/>
      <c r="I5443" s="1348"/>
      <c r="J5443" s="1348"/>
      <c r="K5443" s="1348"/>
    </row>
    <row r="5444" spans="2:11" hidden="1">
      <c r="B5444" s="1348"/>
      <c r="C5444" s="1348"/>
      <c r="D5444" s="1348"/>
      <c r="E5444" s="1348"/>
      <c r="F5444" s="1348"/>
      <c r="G5444" s="1348"/>
      <c r="H5444" s="1348"/>
      <c r="I5444" s="1348"/>
      <c r="J5444" s="1348"/>
      <c r="K5444" s="1348"/>
    </row>
    <row r="5445" spans="2:11" hidden="1">
      <c r="B5445" s="1348"/>
      <c r="C5445" s="1348"/>
      <c r="D5445" s="1348"/>
      <c r="E5445" s="1348"/>
      <c r="F5445" s="1348"/>
      <c r="G5445" s="1348"/>
      <c r="H5445" s="1348"/>
      <c r="I5445" s="1348"/>
      <c r="J5445" s="1348"/>
      <c r="K5445" s="1348"/>
    </row>
    <row r="5446" spans="2:11" hidden="1">
      <c r="B5446" s="1348"/>
      <c r="C5446" s="1348"/>
      <c r="D5446" s="1348"/>
      <c r="E5446" s="1348"/>
      <c r="F5446" s="1348"/>
      <c r="G5446" s="1348"/>
      <c r="H5446" s="1348"/>
      <c r="I5446" s="1348"/>
      <c r="J5446" s="1348"/>
      <c r="K5446" s="1348"/>
    </row>
    <row r="5447" spans="2:11" hidden="1">
      <c r="B5447" s="1348"/>
      <c r="C5447" s="1348"/>
      <c r="D5447" s="1348"/>
      <c r="E5447" s="1348"/>
      <c r="F5447" s="1348"/>
      <c r="G5447" s="1348"/>
      <c r="H5447" s="1348"/>
      <c r="I5447" s="1348"/>
      <c r="J5447" s="1348"/>
      <c r="K5447" s="1348"/>
    </row>
    <row r="5448" spans="2:11" hidden="1">
      <c r="B5448" s="1348"/>
      <c r="C5448" s="1348"/>
      <c r="D5448" s="1348"/>
      <c r="E5448" s="1348"/>
      <c r="F5448" s="1348"/>
      <c r="G5448" s="1348"/>
      <c r="H5448" s="1348"/>
      <c r="I5448" s="1348"/>
      <c r="J5448" s="1348"/>
      <c r="K5448" s="1348"/>
    </row>
    <row r="5449" spans="2:11" hidden="1">
      <c r="B5449" s="1348"/>
      <c r="C5449" s="1348"/>
      <c r="D5449" s="1348"/>
      <c r="E5449" s="1348"/>
      <c r="F5449" s="1348"/>
      <c r="G5449" s="1348"/>
      <c r="H5449" s="1348"/>
      <c r="I5449" s="1348"/>
      <c r="J5449" s="1348"/>
      <c r="K5449" s="1348"/>
    </row>
    <row r="5450" spans="2:11" hidden="1">
      <c r="B5450" s="1348"/>
      <c r="C5450" s="1348"/>
      <c r="D5450" s="1348"/>
      <c r="E5450" s="1348"/>
      <c r="F5450" s="1348"/>
      <c r="G5450" s="1348"/>
      <c r="H5450" s="1348"/>
      <c r="I5450" s="1348"/>
      <c r="J5450" s="1348"/>
      <c r="K5450" s="1348"/>
    </row>
    <row r="5451" spans="2:11" hidden="1">
      <c r="B5451" s="1348"/>
      <c r="C5451" s="1348"/>
      <c r="D5451" s="1348"/>
      <c r="E5451" s="1348"/>
      <c r="F5451" s="1348"/>
      <c r="G5451" s="1348"/>
      <c r="H5451" s="1348"/>
      <c r="I5451" s="1348"/>
      <c r="J5451" s="1348"/>
      <c r="K5451" s="1348"/>
    </row>
    <row r="5452" spans="2:11" hidden="1">
      <c r="B5452" s="1348"/>
      <c r="C5452" s="1348"/>
      <c r="D5452" s="1348"/>
      <c r="E5452" s="1348"/>
      <c r="F5452" s="1348"/>
      <c r="G5452" s="1348"/>
      <c r="H5452" s="1348"/>
      <c r="I5452" s="1348"/>
      <c r="J5452" s="1348"/>
      <c r="K5452" s="1348"/>
    </row>
    <row r="5453" spans="2:11" hidden="1">
      <c r="B5453" s="1348"/>
      <c r="C5453" s="1348"/>
      <c r="D5453" s="1348"/>
      <c r="E5453" s="1348"/>
      <c r="F5453" s="1348"/>
      <c r="G5453" s="1348"/>
      <c r="H5453" s="1348"/>
      <c r="I5453" s="1348"/>
      <c r="J5453" s="1348"/>
      <c r="K5453" s="1348"/>
    </row>
    <row r="5454" spans="2:11" hidden="1">
      <c r="B5454" s="1348"/>
      <c r="C5454" s="1348"/>
      <c r="D5454" s="1348"/>
      <c r="E5454" s="1348"/>
      <c r="F5454" s="1348"/>
      <c r="G5454" s="1348"/>
      <c r="H5454" s="1348"/>
      <c r="I5454" s="1348"/>
      <c r="J5454" s="1348"/>
      <c r="K5454" s="1348"/>
    </row>
    <row r="5455" spans="2:11" hidden="1">
      <c r="B5455" s="1348"/>
      <c r="C5455" s="1348"/>
      <c r="D5455" s="1348"/>
      <c r="E5455" s="1348"/>
      <c r="F5455" s="1348"/>
      <c r="G5455" s="1348"/>
      <c r="H5455" s="1348"/>
      <c r="I5455" s="1348"/>
      <c r="J5455" s="1348"/>
      <c r="K5455" s="1348"/>
    </row>
    <row r="5456" spans="2:11" hidden="1">
      <c r="B5456" s="1348"/>
      <c r="C5456" s="1348"/>
      <c r="D5456" s="1348"/>
      <c r="E5456" s="1348"/>
      <c r="F5456" s="1348"/>
      <c r="G5456" s="1348"/>
      <c r="H5456" s="1348"/>
      <c r="I5456" s="1348"/>
      <c r="J5456" s="1348"/>
      <c r="K5456" s="1348"/>
    </row>
    <row r="5457" spans="2:11" hidden="1">
      <c r="B5457" s="1348"/>
      <c r="C5457" s="1348"/>
      <c r="D5457" s="1348"/>
      <c r="E5457" s="1348"/>
      <c r="F5457" s="1348"/>
      <c r="G5457" s="1348"/>
      <c r="H5457" s="1348"/>
      <c r="I5457" s="1348"/>
      <c r="J5457" s="1348"/>
      <c r="K5457" s="1348"/>
    </row>
    <row r="5458" spans="2:11" hidden="1">
      <c r="B5458" s="1348"/>
      <c r="C5458" s="1348"/>
      <c r="D5458" s="1348"/>
      <c r="E5458" s="1348"/>
      <c r="F5458" s="1348"/>
      <c r="G5458" s="1348"/>
      <c r="H5458" s="1348"/>
      <c r="I5458" s="1348"/>
      <c r="J5458" s="1348"/>
      <c r="K5458" s="1348"/>
    </row>
    <row r="5459" spans="2:11" hidden="1">
      <c r="B5459" s="1348"/>
      <c r="C5459" s="1348"/>
      <c r="D5459" s="1348"/>
      <c r="E5459" s="1348"/>
      <c r="F5459" s="1348"/>
      <c r="G5459" s="1348"/>
      <c r="H5459" s="1348"/>
      <c r="I5459" s="1348"/>
      <c r="J5459" s="1348"/>
      <c r="K5459" s="1348"/>
    </row>
    <row r="5460" spans="2:11" hidden="1">
      <c r="B5460" s="1348"/>
      <c r="C5460" s="1348"/>
      <c r="D5460" s="1348"/>
      <c r="E5460" s="1348"/>
      <c r="F5460" s="1348"/>
      <c r="G5460" s="1348"/>
      <c r="H5460" s="1348"/>
      <c r="I5460" s="1348"/>
      <c r="J5460" s="1348"/>
      <c r="K5460" s="1348"/>
    </row>
    <row r="5461" spans="2:11" hidden="1">
      <c r="B5461" s="1348"/>
      <c r="C5461" s="1348"/>
      <c r="D5461" s="1348"/>
      <c r="E5461" s="1348"/>
      <c r="F5461" s="1348"/>
      <c r="G5461" s="1348"/>
      <c r="H5461" s="1348"/>
      <c r="I5461" s="1348"/>
      <c r="J5461" s="1348"/>
      <c r="K5461" s="1348"/>
    </row>
    <row r="5462" spans="2:11" hidden="1">
      <c r="B5462" s="1348"/>
      <c r="C5462" s="1348"/>
      <c r="D5462" s="1348"/>
      <c r="E5462" s="1348"/>
      <c r="F5462" s="1348"/>
      <c r="G5462" s="1348"/>
      <c r="H5462" s="1348"/>
      <c r="I5462" s="1348"/>
      <c r="J5462" s="1348"/>
      <c r="K5462" s="1348"/>
    </row>
    <row r="5463" spans="2:11" hidden="1">
      <c r="B5463" s="1348"/>
      <c r="C5463" s="1348"/>
      <c r="D5463" s="1348"/>
      <c r="E5463" s="1348"/>
      <c r="F5463" s="1348"/>
      <c r="G5463" s="1348"/>
      <c r="H5463" s="1348"/>
      <c r="I5463" s="1348"/>
      <c r="J5463" s="1348"/>
      <c r="K5463" s="1348"/>
    </row>
    <row r="5464" spans="2:11" hidden="1">
      <c r="B5464" s="1348"/>
      <c r="C5464" s="1348"/>
      <c r="D5464" s="1348"/>
      <c r="E5464" s="1348"/>
      <c r="F5464" s="1348"/>
      <c r="G5464" s="1348"/>
      <c r="H5464" s="1348"/>
      <c r="I5464" s="1348"/>
      <c r="J5464" s="1348"/>
      <c r="K5464" s="1348"/>
    </row>
    <row r="5465" spans="2:11" hidden="1">
      <c r="B5465" s="1348"/>
      <c r="C5465" s="1348"/>
      <c r="D5465" s="1348"/>
      <c r="E5465" s="1348"/>
      <c r="F5465" s="1348"/>
      <c r="G5465" s="1348"/>
      <c r="H5465" s="1348"/>
      <c r="I5465" s="1348"/>
      <c r="J5465" s="1348"/>
      <c r="K5465" s="1348"/>
    </row>
    <row r="5466" spans="2:11" hidden="1">
      <c r="B5466" s="1348"/>
      <c r="C5466" s="1348"/>
      <c r="D5466" s="1348"/>
      <c r="E5466" s="1348"/>
      <c r="F5466" s="1348"/>
      <c r="G5466" s="1348"/>
      <c r="H5466" s="1348"/>
      <c r="I5466" s="1348"/>
      <c r="J5466" s="1348"/>
      <c r="K5466" s="1348"/>
    </row>
    <row r="5467" spans="2:11" hidden="1">
      <c r="B5467" s="1348"/>
      <c r="C5467" s="1348"/>
      <c r="D5467" s="1348"/>
      <c r="E5467" s="1348"/>
      <c r="F5467" s="1348"/>
      <c r="G5467" s="1348"/>
      <c r="H5467" s="1348"/>
      <c r="I5467" s="1348"/>
      <c r="J5467" s="1348"/>
      <c r="K5467" s="1348"/>
    </row>
    <row r="5468" spans="2:11" hidden="1">
      <c r="B5468" s="1348"/>
      <c r="C5468" s="1348"/>
      <c r="D5468" s="1348"/>
      <c r="E5468" s="1348"/>
      <c r="F5468" s="1348"/>
      <c r="G5468" s="1348"/>
      <c r="H5468" s="1348"/>
      <c r="I5468" s="1348"/>
      <c r="J5468" s="1348"/>
      <c r="K5468" s="1348"/>
    </row>
    <row r="5469" spans="2:11" hidden="1">
      <c r="B5469" s="1348"/>
      <c r="C5469" s="1348"/>
      <c r="D5469" s="1348"/>
      <c r="E5469" s="1348"/>
      <c r="F5469" s="1348"/>
      <c r="G5469" s="1348"/>
      <c r="H5469" s="1348"/>
      <c r="I5469" s="1348"/>
      <c r="J5469" s="1348"/>
      <c r="K5469" s="1348"/>
    </row>
    <row r="5470" spans="2:11" hidden="1">
      <c r="B5470" s="1348"/>
      <c r="C5470" s="1348"/>
      <c r="D5470" s="1348"/>
      <c r="E5470" s="1348"/>
      <c r="F5470" s="1348"/>
      <c r="G5470" s="1348"/>
      <c r="H5470" s="1348"/>
      <c r="I5470" s="1348"/>
      <c r="J5470" s="1348"/>
      <c r="K5470" s="1348"/>
    </row>
    <row r="5471" spans="2:11" hidden="1">
      <c r="B5471" s="1348"/>
      <c r="C5471" s="1348"/>
      <c r="D5471" s="1348"/>
      <c r="E5471" s="1348"/>
      <c r="F5471" s="1348"/>
      <c r="G5471" s="1348"/>
      <c r="H5471" s="1348"/>
      <c r="I5471" s="1348"/>
      <c r="J5471" s="1348"/>
      <c r="K5471" s="1348"/>
    </row>
    <row r="5472" spans="2:11" hidden="1">
      <c r="B5472" s="1348"/>
      <c r="C5472" s="1348"/>
      <c r="D5472" s="1348"/>
      <c r="E5472" s="1348"/>
      <c r="F5472" s="1348"/>
      <c r="G5472" s="1348"/>
      <c r="H5472" s="1348"/>
      <c r="I5472" s="1348"/>
      <c r="J5472" s="1348"/>
      <c r="K5472" s="1348"/>
    </row>
    <row r="5473" spans="2:11" hidden="1">
      <c r="B5473" s="1348"/>
      <c r="C5473" s="1348"/>
      <c r="D5473" s="1348"/>
      <c r="E5473" s="1348"/>
      <c r="F5473" s="1348"/>
      <c r="G5473" s="1348"/>
      <c r="H5473" s="1348"/>
      <c r="I5473" s="1348"/>
      <c r="J5473" s="1348"/>
      <c r="K5473" s="1348"/>
    </row>
    <row r="5474" spans="2:11" hidden="1">
      <c r="B5474" s="1348"/>
      <c r="C5474" s="1348"/>
      <c r="D5474" s="1348"/>
      <c r="E5474" s="1348"/>
      <c r="F5474" s="1348"/>
      <c r="G5474" s="1348"/>
      <c r="H5474" s="1348"/>
      <c r="I5474" s="1348"/>
      <c r="J5474" s="1348"/>
      <c r="K5474" s="1348"/>
    </row>
    <row r="5475" spans="2:11" hidden="1">
      <c r="B5475" s="1348"/>
      <c r="C5475" s="1348"/>
      <c r="D5475" s="1348"/>
      <c r="E5475" s="1348"/>
      <c r="F5475" s="1348"/>
      <c r="G5475" s="1348"/>
      <c r="H5475" s="1348"/>
      <c r="I5475" s="1348"/>
      <c r="J5475" s="1348"/>
      <c r="K5475" s="1348"/>
    </row>
    <row r="5476" spans="2:11" hidden="1">
      <c r="B5476" s="1348"/>
      <c r="C5476" s="1348"/>
      <c r="D5476" s="1348"/>
      <c r="E5476" s="1348"/>
      <c r="F5476" s="1348"/>
      <c r="G5476" s="1348"/>
      <c r="H5476" s="1348"/>
      <c r="I5476" s="1348"/>
      <c r="J5476" s="1348"/>
      <c r="K5476" s="1348"/>
    </row>
    <row r="5477" spans="2:11" hidden="1">
      <c r="B5477" s="1348"/>
      <c r="C5477" s="1348"/>
      <c r="D5477" s="1348"/>
      <c r="E5477" s="1348"/>
      <c r="F5477" s="1348"/>
      <c r="G5477" s="1348"/>
      <c r="H5477" s="1348"/>
      <c r="I5477" s="1348"/>
      <c r="J5477" s="1348"/>
      <c r="K5477" s="1348"/>
    </row>
    <row r="5478" spans="2:11" hidden="1">
      <c r="B5478" s="1348"/>
      <c r="C5478" s="1348"/>
      <c r="D5478" s="1348"/>
      <c r="E5478" s="1348"/>
      <c r="F5478" s="1348"/>
      <c r="G5478" s="1348"/>
      <c r="H5478" s="1348"/>
      <c r="I5478" s="1348"/>
      <c r="J5478" s="1348"/>
      <c r="K5478" s="1348"/>
    </row>
    <row r="5479" spans="2:11" hidden="1">
      <c r="B5479" s="1348"/>
      <c r="C5479" s="1348"/>
      <c r="D5479" s="1348"/>
      <c r="E5479" s="1348"/>
      <c r="F5479" s="1348"/>
      <c r="G5479" s="1348"/>
      <c r="H5479" s="1348"/>
      <c r="I5479" s="1348"/>
      <c r="J5479" s="1348"/>
      <c r="K5479" s="1348"/>
    </row>
    <row r="5480" spans="2:11" hidden="1">
      <c r="B5480" s="1348"/>
      <c r="C5480" s="1348"/>
      <c r="D5480" s="1348"/>
      <c r="E5480" s="1348"/>
      <c r="F5480" s="1348"/>
      <c r="G5480" s="1348"/>
      <c r="H5480" s="1348"/>
      <c r="I5480" s="1348"/>
      <c r="J5480" s="1348"/>
      <c r="K5480" s="1348"/>
    </row>
    <row r="5481" spans="2:11" hidden="1">
      <c r="B5481" s="1348"/>
      <c r="C5481" s="1348"/>
      <c r="D5481" s="1348"/>
      <c r="E5481" s="1348"/>
      <c r="F5481" s="1348"/>
      <c r="G5481" s="1348"/>
      <c r="H5481" s="1348"/>
      <c r="I5481" s="1348"/>
      <c r="J5481" s="1348"/>
      <c r="K5481" s="1348"/>
    </row>
    <row r="5482" spans="2:11" hidden="1">
      <c r="B5482" s="1348"/>
      <c r="C5482" s="1348"/>
      <c r="D5482" s="1348"/>
      <c r="E5482" s="1348"/>
      <c r="F5482" s="1348"/>
      <c r="G5482" s="1348"/>
      <c r="H5482" s="1348"/>
      <c r="I5482" s="1348"/>
      <c r="J5482" s="1348"/>
      <c r="K5482" s="1348"/>
    </row>
    <row r="5483" spans="2:11" hidden="1">
      <c r="B5483" s="1348"/>
      <c r="C5483" s="1348"/>
      <c r="D5483" s="1348"/>
      <c r="E5483" s="1348"/>
      <c r="F5483" s="1348"/>
      <c r="G5483" s="1348"/>
      <c r="H5483" s="1348"/>
      <c r="I5483" s="1348"/>
      <c r="J5483" s="1348"/>
      <c r="K5483" s="1348"/>
    </row>
    <row r="5484" spans="2:11" hidden="1">
      <c r="B5484" s="1348"/>
      <c r="C5484" s="1348"/>
      <c r="D5484" s="1348"/>
      <c r="E5484" s="1348"/>
      <c r="F5484" s="1348"/>
      <c r="G5484" s="1348"/>
      <c r="H5484" s="1348"/>
      <c r="I5484" s="1348"/>
      <c r="J5484" s="1348"/>
      <c r="K5484" s="1348"/>
    </row>
    <row r="5485" spans="2:11" hidden="1">
      <c r="B5485" s="1348"/>
      <c r="C5485" s="1348"/>
      <c r="D5485" s="1348"/>
      <c r="E5485" s="1348"/>
      <c r="F5485" s="1348"/>
      <c r="G5485" s="1348"/>
      <c r="H5485" s="1348"/>
      <c r="I5485" s="1348"/>
      <c r="J5485" s="1348"/>
      <c r="K5485" s="1348"/>
    </row>
    <row r="5486" spans="2:11" hidden="1">
      <c r="B5486" s="1348"/>
      <c r="C5486" s="1348"/>
      <c r="D5486" s="1348"/>
      <c r="E5486" s="1348"/>
      <c r="F5486" s="1348"/>
      <c r="G5486" s="1348"/>
      <c r="H5486" s="1348"/>
      <c r="I5486" s="1348"/>
      <c r="J5486" s="1348"/>
      <c r="K5486" s="1348"/>
    </row>
    <row r="5487" spans="2:11" hidden="1">
      <c r="B5487" s="1348"/>
      <c r="C5487" s="1348"/>
      <c r="D5487" s="1348"/>
      <c r="E5487" s="1348"/>
      <c r="F5487" s="1348"/>
      <c r="G5487" s="1348"/>
      <c r="H5487" s="1348"/>
      <c r="I5487" s="1348"/>
      <c r="J5487" s="1348"/>
      <c r="K5487" s="1348"/>
    </row>
    <row r="5488" spans="2:11" hidden="1">
      <c r="B5488" s="1348"/>
      <c r="C5488" s="1348"/>
      <c r="D5488" s="1348"/>
      <c r="E5488" s="1348"/>
      <c r="F5488" s="1348"/>
      <c r="G5488" s="1348"/>
      <c r="H5488" s="1348"/>
      <c r="I5488" s="1348"/>
      <c r="J5488" s="1348"/>
      <c r="K5488" s="1348"/>
    </row>
    <row r="5489" spans="2:11" hidden="1">
      <c r="B5489" s="1348"/>
      <c r="C5489" s="1348"/>
      <c r="D5489" s="1348"/>
      <c r="E5489" s="1348"/>
      <c r="F5489" s="1348"/>
      <c r="G5489" s="1348"/>
      <c r="H5489" s="1348"/>
      <c r="I5489" s="1348"/>
      <c r="J5489" s="1348"/>
      <c r="K5489" s="1348"/>
    </row>
    <row r="5490" spans="2:11" hidden="1">
      <c r="B5490" s="1348"/>
      <c r="C5490" s="1348"/>
      <c r="D5490" s="1348"/>
      <c r="E5490" s="1348"/>
      <c r="F5490" s="1348"/>
      <c r="G5490" s="1348"/>
      <c r="H5490" s="1348"/>
      <c r="I5490" s="1348"/>
      <c r="J5490" s="1348"/>
      <c r="K5490" s="1348"/>
    </row>
    <row r="5491" spans="2:11" hidden="1">
      <c r="B5491" s="1348"/>
      <c r="C5491" s="1348"/>
      <c r="D5491" s="1348"/>
      <c r="E5491" s="1348"/>
      <c r="F5491" s="1348"/>
      <c r="G5491" s="1348"/>
      <c r="H5491" s="1348"/>
      <c r="I5491" s="1348"/>
      <c r="J5491" s="1348"/>
      <c r="K5491" s="1348"/>
    </row>
    <row r="5492" spans="2:11" hidden="1">
      <c r="B5492" s="1348"/>
      <c r="C5492" s="1348"/>
      <c r="D5492" s="1348"/>
      <c r="E5492" s="1348"/>
      <c r="F5492" s="1348"/>
      <c r="G5492" s="1348"/>
      <c r="H5492" s="1348"/>
      <c r="I5492" s="1348"/>
      <c r="J5492" s="1348"/>
      <c r="K5492" s="1348"/>
    </row>
    <row r="5493" spans="2:11" hidden="1">
      <c r="B5493" s="1348"/>
      <c r="C5493" s="1348"/>
      <c r="D5493" s="1348"/>
      <c r="E5493" s="1348"/>
      <c r="F5493" s="1348"/>
      <c r="G5493" s="1348"/>
      <c r="H5493" s="1348"/>
      <c r="I5493" s="1348"/>
      <c r="J5493" s="1348"/>
      <c r="K5493" s="1348"/>
    </row>
    <row r="5494" spans="2:11" hidden="1">
      <c r="B5494" s="1348"/>
      <c r="C5494" s="1348"/>
      <c r="D5494" s="1348"/>
      <c r="E5494" s="1348"/>
      <c r="F5494" s="1348"/>
      <c r="G5494" s="1348"/>
      <c r="H5494" s="1348"/>
      <c r="I5494" s="1348"/>
      <c r="J5494" s="1348"/>
      <c r="K5494" s="1348"/>
    </row>
    <row r="5495" spans="2:11" hidden="1">
      <c r="B5495" s="1348"/>
      <c r="C5495" s="1348"/>
      <c r="D5495" s="1348"/>
      <c r="E5495" s="1348"/>
      <c r="F5495" s="1348"/>
      <c r="G5495" s="1348"/>
      <c r="H5495" s="1348"/>
      <c r="I5495" s="1348"/>
      <c r="J5495" s="1348"/>
      <c r="K5495" s="1348"/>
    </row>
    <row r="5496" spans="2:11" hidden="1">
      <c r="B5496" s="1348"/>
      <c r="C5496" s="1348"/>
      <c r="D5496" s="1348"/>
      <c r="E5496" s="1348"/>
      <c r="F5496" s="1348"/>
      <c r="G5496" s="1348"/>
      <c r="H5496" s="1348"/>
      <c r="I5496" s="1348"/>
      <c r="J5496" s="1348"/>
      <c r="K5496" s="1348"/>
    </row>
    <row r="5497" spans="2:11" hidden="1">
      <c r="B5497" s="1348"/>
      <c r="C5497" s="1348"/>
      <c r="D5497" s="1348"/>
      <c r="E5497" s="1348"/>
      <c r="F5497" s="1348"/>
      <c r="G5497" s="1348"/>
      <c r="H5497" s="1348"/>
      <c r="I5497" s="1348"/>
      <c r="J5497" s="1348"/>
      <c r="K5497" s="1348"/>
    </row>
    <row r="5498" spans="2:11" hidden="1">
      <c r="B5498" s="1348"/>
      <c r="C5498" s="1348"/>
      <c r="D5498" s="1348"/>
      <c r="E5498" s="1348"/>
      <c r="F5498" s="1348"/>
      <c r="G5498" s="1348"/>
      <c r="H5498" s="1348"/>
      <c r="I5498" s="1348"/>
      <c r="J5498" s="1348"/>
      <c r="K5498" s="1348"/>
    </row>
    <row r="5499" spans="2:11" hidden="1">
      <c r="B5499" s="1348"/>
      <c r="C5499" s="1348"/>
      <c r="D5499" s="1348"/>
      <c r="E5499" s="1348"/>
      <c r="F5499" s="1348"/>
      <c r="G5499" s="1348"/>
      <c r="H5499" s="1348"/>
      <c r="I5499" s="1348"/>
      <c r="J5499" s="1348"/>
      <c r="K5499" s="1348"/>
    </row>
    <row r="5500" spans="2:11" hidden="1">
      <c r="B5500" s="1348"/>
      <c r="C5500" s="1348"/>
      <c r="D5500" s="1348"/>
      <c r="E5500" s="1348"/>
      <c r="F5500" s="1348"/>
      <c r="G5500" s="1348"/>
      <c r="H5500" s="1348"/>
      <c r="I5500" s="1348"/>
      <c r="J5500" s="1348"/>
      <c r="K5500" s="1348"/>
    </row>
    <row r="5501" spans="2:11" hidden="1">
      <c r="B5501" s="1348"/>
      <c r="C5501" s="1348"/>
      <c r="D5501" s="1348"/>
      <c r="E5501" s="1348"/>
      <c r="F5501" s="1348"/>
      <c r="G5501" s="1348"/>
      <c r="H5501" s="1348"/>
      <c r="I5501" s="1348"/>
      <c r="J5501" s="1348"/>
      <c r="K5501" s="1348"/>
    </row>
    <row r="5502" spans="2:11" hidden="1">
      <c r="B5502" s="1348"/>
      <c r="C5502" s="1348"/>
      <c r="D5502" s="1348"/>
      <c r="E5502" s="1348"/>
      <c r="F5502" s="1348"/>
      <c r="G5502" s="1348"/>
      <c r="H5502" s="1348"/>
      <c r="I5502" s="1348"/>
      <c r="J5502" s="1348"/>
      <c r="K5502" s="1348"/>
    </row>
    <row r="5503" spans="2:11" hidden="1">
      <c r="B5503" s="1348"/>
      <c r="C5503" s="1348"/>
      <c r="D5503" s="1348"/>
      <c r="E5503" s="1348"/>
      <c r="F5503" s="1348"/>
      <c r="G5503" s="1348"/>
      <c r="H5503" s="1348"/>
      <c r="I5503" s="1348"/>
      <c r="J5503" s="1348"/>
      <c r="K5503" s="1348"/>
    </row>
    <row r="5504" spans="2:11" hidden="1">
      <c r="B5504" s="1348"/>
      <c r="C5504" s="1348"/>
      <c r="D5504" s="1348"/>
      <c r="E5504" s="1348"/>
      <c r="F5504" s="1348"/>
      <c r="G5504" s="1348"/>
      <c r="H5504" s="1348"/>
      <c r="I5504" s="1348"/>
      <c r="J5504" s="1348"/>
      <c r="K5504" s="1348"/>
    </row>
    <row r="5505" spans="2:11" hidden="1">
      <c r="B5505" s="1348"/>
      <c r="C5505" s="1348"/>
      <c r="D5505" s="1348"/>
      <c r="E5505" s="1348"/>
      <c r="F5505" s="1348"/>
      <c r="G5505" s="1348"/>
      <c r="H5505" s="1348"/>
      <c r="I5505" s="1348"/>
      <c r="J5505" s="1348"/>
      <c r="K5505" s="1348"/>
    </row>
    <row r="5506" spans="2:11" hidden="1">
      <c r="B5506" s="1348"/>
      <c r="C5506" s="1348"/>
      <c r="D5506" s="1348"/>
      <c r="E5506" s="1348"/>
      <c r="F5506" s="1348"/>
      <c r="G5506" s="1348"/>
      <c r="H5506" s="1348"/>
      <c r="I5506" s="1348"/>
      <c r="J5506" s="1348"/>
      <c r="K5506" s="1348"/>
    </row>
    <row r="5507" spans="2:11" hidden="1">
      <c r="B5507" s="1348"/>
      <c r="C5507" s="1348"/>
      <c r="D5507" s="1348"/>
      <c r="E5507" s="1348"/>
      <c r="F5507" s="1348"/>
      <c r="G5507" s="1348"/>
      <c r="H5507" s="1348"/>
      <c r="I5507" s="1348"/>
      <c r="J5507" s="1348"/>
      <c r="K5507" s="1348"/>
    </row>
    <row r="5508" spans="2:11" hidden="1">
      <c r="B5508" s="1348"/>
      <c r="C5508" s="1348"/>
      <c r="D5508" s="1348"/>
      <c r="E5508" s="1348"/>
      <c r="F5508" s="1348"/>
      <c r="G5508" s="1348"/>
      <c r="H5508" s="1348"/>
      <c r="I5508" s="1348"/>
      <c r="J5508" s="1348"/>
      <c r="K5508" s="1348"/>
    </row>
    <row r="5509" spans="2:11" hidden="1">
      <c r="B5509" s="1348"/>
      <c r="C5509" s="1348"/>
      <c r="D5509" s="1348"/>
      <c r="E5509" s="1348"/>
      <c r="F5509" s="1348"/>
      <c r="G5509" s="1348"/>
      <c r="H5509" s="1348"/>
      <c r="I5509" s="1348"/>
      <c r="J5509" s="1348"/>
      <c r="K5509" s="1348"/>
    </row>
    <row r="5510" spans="2:11" hidden="1">
      <c r="B5510" s="1348"/>
      <c r="C5510" s="1348"/>
      <c r="D5510" s="1348"/>
      <c r="E5510" s="1348"/>
      <c r="F5510" s="1348"/>
      <c r="G5510" s="1348"/>
      <c r="H5510" s="1348"/>
      <c r="I5510" s="1348"/>
      <c r="J5510" s="1348"/>
      <c r="K5510" s="1348"/>
    </row>
    <row r="5511" spans="2:11" hidden="1">
      <c r="B5511" s="1348"/>
      <c r="C5511" s="1348"/>
      <c r="D5511" s="1348"/>
      <c r="E5511" s="1348"/>
      <c r="F5511" s="1348"/>
      <c r="G5511" s="1348"/>
      <c r="H5511" s="1348"/>
      <c r="I5511" s="1348"/>
      <c r="J5511" s="1348"/>
      <c r="K5511" s="1348"/>
    </row>
    <row r="5512" spans="2:11" hidden="1">
      <c r="B5512" s="1348"/>
      <c r="C5512" s="1348"/>
      <c r="D5512" s="1348"/>
      <c r="E5512" s="1348"/>
      <c r="F5512" s="1348"/>
      <c r="G5512" s="1348"/>
      <c r="H5512" s="1348"/>
      <c r="I5512" s="1348"/>
      <c r="J5512" s="1348"/>
      <c r="K5512" s="1348"/>
    </row>
    <row r="5513" spans="2:11" hidden="1">
      <c r="B5513" s="1348"/>
      <c r="C5513" s="1348"/>
      <c r="D5513" s="1348"/>
      <c r="E5513" s="1348"/>
      <c r="F5513" s="1348"/>
      <c r="G5513" s="1348"/>
      <c r="H5513" s="1348"/>
      <c r="I5513" s="1348"/>
      <c r="J5513" s="1348"/>
      <c r="K5513" s="1348"/>
    </row>
    <row r="5514" spans="2:11" hidden="1">
      <c r="B5514" s="1348"/>
      <c r="C5514" s="1348"/>
      <c r="D5514" s="1348"/>
      <c r="E5514" s="1348"/>
      <c r="F5514" s="1348"/>
      <c r="G5514" s="1348"/>
      <c r="H5514" s="1348"/>
      <c r="I5514" s="1348"/>
      <c r="J5514" s="1348"/>
      <c r="K5514" s="1348"/>
    </row>
    <row r="5515" spans="2:11" hidden="1">
      <c r="B5515" s="1348"/>
      <c r="C5515" s="1348"/>
      <c r="D5515" s="1348"/>
      <c r="E5515" s="1348"/>
      <c r="F5515" s="1348"/>
      <c r="G5515" s="1348"/>
      <c r="H5515" s="1348"/>
      <c r="I5515" s="1348"/>
      <c r="J5515" s="1348"/>
      <c r="K5515" s="1348"/>
    </row>
    <row r="5516" spans="2:11" hidden="1">
      <c r="B5516" s="1348"/>
      <c r="C5516" s="1348"/>
      <c r="D5516" s="1348"/>
      <c r="E5516" s="1348"/>
      <c r="F5516" s="1348"/>
      <c r="G5516" s="1348"/>
      <c r="H5516" s="1348"/>
      <c r="I5516" s="1348"/>
      <c r="J5516" s="1348"/>
      <c r="K5516" s="1348"/>
    </row>
    <row r="5517" spans="2:11" hidden="1">
      <c r="B5517" s="1348"/>
      <c r="C5517" s="1348"/>
      <c r="D5517" s="1348"/>
      <c r="E5517" s="1348"/>
      <c r="F5517" s="1348"/>
      <c r="G5517" s="1348"/>
      <c r="H5517" s="1348"/>
      <c r="I5517" s="1348"/>
      <c r="J5517" s="1348"/>
      <c r="K5517" s="1348"/>
    </row>
    <row r="5518" spans="2:11" hidden="1">
      <c r="B5518" s="1348"/>
      <c r="C5518" s="1348"/>
      <c r="D5518" s="1348"/>
      <c r="E5518" s="1348"/>
      <c r="F5518" s="1348"/>
      <c r="G5518" s="1348"/>
      <c r="H5518" s="1348"/>
      <c r="I5518" s="1348"/>
      <c r="J5518" s="1348"/>
      <c r="K5518" s="1348"/>
    </row>
    <row r="5519" spans="2:11" hidden="1">
      <c r="B5519" s="1348"/>
      <c r="C5519" s="1348"/>
      <c r="D5519" s="1348"/>
      <c r="E5519" s="1348"/>
      <c r="F5519" s="1348"/>
      <c r="G5519" s="1348"/>
      <c r="H5519" s="1348"/>
      <c r="I5519" s="1348"/>
      <c r="J5519" s="1348"/>
      <c r="K5519" s="1348"/>
    </row>
    <row r="5520" spans="2:11" hidden="1">
      <c r="B5520" s="1348"/>
      <c r="C5520" s="1348"/>
      <c r="D5520" s="1348"/>
      <c r="E5520" s="1348"/>
      <c r="F5520" s="1348"/>
      <c r="G5520" s="1348"/>
      <c r="H5520" s="1348"/>
      <c r="I5520" s="1348"/>
      <c r="J5520" s="1348"/>
      <c r="K5520" s="1348"/>
    </row>
    <row r="5521" spans="2:11" hidden="1">
      <c r="B5521" s="1348"/>
      <c r="C5521" s="1348"/>
      <c r="D5521" s="1348"/>
      <c r="E5521" s="1348"/>
      <c r="F5521" s="1348"/>
      <c r="G5521" s="1348"/>
      <c r="H5521" s="1348"/>
      <c r="I5521" s="1348"/>
      <c r="J5521" s="1348"/>
      <c r="K5521" s="1348"/>
    </row>
    <row r="5522" spans="2:11" hidden="1">
      <c r="B5522" s="1348"/>
      <c r="C5522" s="1348"/>
      <c r="D5522" s="1348"/>
      <c r="E5522" s="1348"/>
      <c r="F5522" s="1348"/>
      <c r="G5522" s="1348"/>
      <c r="H5522" s="1348"/>
      <c r="I5522" s="1348"/>
      <c r="J5522" s="1348"/>
      <c r="K5522" s="1348"/>
    </row>
    <row r="5523" spans="2:11" hidden="1">
      <c r="B5523" s="1348"/>
      <c r="C5523" s="1348"/>
      <c r="D5523" s="1348"/>
      <c r="E5523" s="1348"/>
      <c r="F5523" s="1348"/>
      <c r="G5523" s="1348"/>
      <c r="H5523" s="1348"/>
      <c r="I5523" s="1348"/>
      <c r="J5523" s="1348"/>
      <c r="K5523" s="1348"/>
    </row>
    <row r="5524" spans="2:11" hidden="1">
      <c r="B5524" s="1348"/>
      <c r="C5524" s="1348"/>
      <c r="D5524" s="1348"/>
      <c r="E5524" s="1348"/>
      <c r="F5524" s="1348"/>
      <c r="G5524" s="1348"/>
      <c r="H5524" s="1348"/>
      <c r="I5524" s="1348"/>
      <c r="J5524" s="1348"/>
      <c r="K5524" s="1348"/>
    </row>
    <row r="5525" spans="2:11" hidden="1">
      <c r="B5525" s="1348"/>
      <c r="C5525" s="1348"/>
      <c r="D5525" s="1348"/>
      <c r="E5525" s="1348"/>
      <c r="F5525" s="1348"/>
      <c r="G5525" s="1348"/>
      <c r="H5525" s="1348"/>
      <c r="I5525" s="1348"/>
      <c r="J5525" s="1348"/>
      <c r="K5525" s="1348"/>
    </row>
    <row r="5526" spans="2:11" hidden="1">
      <c r="B5526" s="1348"/>
      <c r="C5526" s="1348"/>
      <c r="D5526" s="1348"/>
      <c r="E5526" s="1348"/>
      <c r="F5526" s="1348"/>
      <c r="G5526" s="1348"/>
      <c r="H5526" s="1348"/>
      <c r="I5526" s="1348"/>
      <c r="J5526" s="1348"/>
      <c r="K5526" s="1348"/>
    </row>
    <row r="5527" spans="2:11" hidden="1">
      <c r="B5527" s="1348"/>
      <c r="C5527" s="1348"/>
      <c r="D5527" s="1348"/>
      <c r="E5527" s="1348"/>
      <c r="F5527" s="1348"/>
      <c r="G5527" s="1348"/>
      <c r="H5527" s="1348"/>
      <c r="I5527" s="1348"/>
      <c r="J5527" s="1348"/>
      <c r="K5527" s="1348"/>
    </row>
    <row r="5528" spans="2:11" hidden="1">
      <c r="B5528" s="1348"/>
      <c r="C5528" s="1348"/>
      <c r="D5528" s="1348"/>
      <c r="E5528" s="1348"/>
      <c r="F5528" s="1348"/>
      <c r="G5528" s="1348"/>
      <c r="H5528" s="1348"/>
      <c r="I5528" s="1348"/>
      <c r="J5528" s="1348"/>
      <c r="K5528" s="1348"/>
    </row>
    <row r="5529" spans="2:11" hidden="1">
      <c r="B5529" s="1348"/>
      <c r="C5529" s="1348"/>
      <c r="D5529" s="1348"/>
      <c r="E5529" s="1348"/>
      <c r="F5529" s="1348"/>
      <c r="G5529" s="1348"/>
      <c r="H5529" s="1348"/>
      <c r="I5529" s="1348"/>
      <c r="J5529" s="1348"/>
      <c r="K5529" s="1348"/>
    </row>
    <row r="5530" spans="2:11" hidden="1">
      <c r="B5530" s="1348"/>
      <c r="C5530" s="1348"/>
      <c r="D5530" s="1348"/>
      <c r="E5530" s="1348"/>
      <c r="F5530" s="1348"/>
      <c r="G5530" s="1348"/>
      <c r="H5530" s="1348"/>
      <c r="I5530" s="1348"/>
      <c r="J5530" s="1348"/>
      <c r="K5530" s="1348"/>
    </row>
    <row r="5531" spans="2:11" hidden="1">
      <c r="B5531" s="1348"/>
      <c r="C5531" s="1348"/>
      <c r="D5531" s="1348"/>
      <c r="E5531" s="1348"/>
      <c r="F5531" s="1348"/>
      <c r="G5531" s="1348"/>
      <c r="H5531" s="1348"/>
      <c r="I5531" s="1348"/>
      <c r="J5531" s="1348"/>
      <c r="K5531" s="1348"/>
    </row>
    <row r="5532" spans="2:11" hidden="1">
      <c r="B5532" s="1348"/>
      <c r="C5532" s="1348"/>
      <c r="D5532" s="1348"/>
      <c r="E5532" s="1348"/>
      <c r="F5532" s="1348"/>
      <c r="G5532" s="1348"/>
      <c r="H5532" s="1348"/>
      <c r="I5532" s="1348"/>
      <c r="J5532" s="1348"/>
      <c r="K5532" s="1348"/>
    </row>
    <row r="5533" spans="2:11" hidden="1">
      <c r="B5533" s="1348"/>
      <c r="C5533" s="1348"/>
      <c r="D5533" s="1348"/>
      <c r="E5533" s="1348"/>
      <c r="F5533" s="1348"/>
      <c r="G5533" s="1348"/>
      <c r="H5533" s="1348"/>
      <c r="I5533" s="1348"/>
      <c r="J5533" s="1348"/>
      <c r="K5533" s="1348"/>
    </row>
    <row r="5534" spans="2:11" hidden="1">
      <c r="B5534" s="1348"/>
      <c r="C5534" s="1348"/>
      <c r="D5534" s="1348"/>
      <c r="E5534" s="1348"/>
      <c r="F5534" s="1348"/>
      <c r="G5534" s="1348"/>
      <c r="H5534" s="1348"/>
      <c r="I5534" s="1348"/>
      <c r="J5534" s="1348"/>
      <c r="K5534" s="1348"/>
    </row>
    <row r="5535" spans="2:11" hidden="1">
      <c r="B5535" s="1348"/>
      <c r="C5535" s="1348"/>
      <c r="D5535" s="1348"/>
      <c r="E5535" s="1348"/>
      <c r="F5535" s="1348"/>
      <c r="G5535" s="1348"/>
      <c r="H5535" s="1348"/>
      <c r="I5535" s="1348"/>
      <c r="J5535" s="1348"/>
      <c r="K5535" s="1348"/>
    </row>
    <row r="5536" spans="2:11" hidden="1">
      <c r="B5536" s="1348"/>
      <c r="C5536" s="1348"/>
      <c r="D5536" s="1348"/>
      <c r="E5536" s="1348"/>
      <c r="F5536" s="1348"/>
      <c r="G5536" s="1348"/>
      <c r="H5536" s="1348"/>
      <c r="I5536" s="1348"/>
      <c r="J5536" s="1348"/>
      <c r="K5536" s="1348"/>
    </row>
    <row r="5537" spans="2:11" hidden="1">
      <c r="B5537" s="1348"/>
      <c r="C5537" s="1348"/>
      <c r="D5537" s="1348"/>
      <c r="E5537" s="1348"/>
      <c r="F5537" s="1348"/>
      <c r="G5537" s="1348"/>
      <c r="H5537" s="1348"/>
      <c r="I5537" s="1348"/>
      <c r="J5537" s="1348"/>
      <c r="K5537" s="1348"/>
    </row>
    <row r="5538" spans="2:11" hidden="1">
      <c r="B5538" s="1348"/>
      <c r="C5538" s="1348"/>
      <c r="D5538" s="1348"/>
      <c r="E5538" s="1348"/>
      <c r="F5538" s="1348"/>
      <c r="G5538" s="1348"/>
      <c r="H5538" s="1348"/>
      <c r="I5538" s="1348"/>
      <c r="J5538" s="1348"/>
      <c r="K5538" s="1348"/>
    </row>
    <row r="5539" spans="2:11" hidden="1">
      <c r="B5539" s="1348"/>
      <c r="C5539" s="1348"/>
      <c r="D5539" s="1348"/>
      <c r="E5539" s="1348"/>
      <c r="F5539" s="1348"/>
      <c r="G5539" s="1348"/>
      <c r="H5539" s="1348"/>
      <c r="I5539" s="1348"/>
      <c r="J5539" s="1348"/>
      <c r="K5539" s="1348"/>
    </row>
    <row r="5540" spans="2:11" hidden="1">
      <c r="B5540" s="1348"/>
      <c r="C5540" s="1348"/>
      <c r="D5540" s="1348"/>
      <c r="E5540" s="1348"/>
      <c r="F5540" s="1348"/>
      <c r="G5540" s="1348"/>
      <c r="H5540" s="1348"/>
      <c r="I5540" s="1348"/>
      <c r="J5540" s="1348"/>
      <c r="K5540" s="1348"/>
    </row>
    <row r="5541" spans="2:11" hidden="1">
      <c r="B5541" s="1348"/>
      <c r="C5541" s="1348"/>
      <c r="D5541" s="1348"/>
      <c r="E5541" s="1348"/>
      <c r="F5541" s="1348"/>
      <c r="G5541" s="1348"/>
      <c r="H5541" s="1348"/>
      <c r="I5541" s="1348"/>
      <c r="J5541" s="1348"/>
      <c r="K5541" s="1348"/>
    </row>
    <row r="5542" spans="2:11" hidden="1">
      <c r="B5542" s="1348"/>
      <c r="C5542" s="1348"/>
      <c r="D5542" s="1348"/>
      <c r="E5542" s="1348"/>
      <c r="F5542" s="1348"/>
      <c r="G5542" s="1348"/>
      <c r="H5542" s="1348"/>
      <c r="I5542" s="1348"/>
      <c r="J5542" s="1348"/>
      <c r="K5542" s="1348"/>
    </row>
    <row r="5543" spans="2:11" hidden="1">
      <c r="B5543" s="1348"/>
      <c r="C5543" s="1348"/>
      <c r="D5543" s="1348"/>
      <c r="E5543" s="1348"/>
      <c r="F5543" s="1348"/>
      <c r="G5543" s="1348"/>
      <c r="H5543" s="1348"/>
      <c r="I5543" s="1348"/>
      <c r="J5543" s="1348"/>
      <c r="K5543" s="1348"/>
    </row>
    <row r="5544" spans="2:11" hidden="1">
      <c r="B5544" s="1348"/>
      <c r="C5544" s="1348"/>
      <c r="D5544" s="1348"/>
      <c r="E5544" s="1348"/>
      <c r="F5544" s="1348"/>
      <c r="G5544" s="1348"/>
      <c r="H5544" s="1348"/>
      <c r="I5544" s="1348"/>
      <c r="J5544" s="1348"/>
      <c r="K5544" s="1348"/>
    </row>
    <row r="5545" spans="2:11" hidden="1">
      <c r="B5545" s="1348"/>
      <c r="C5545" s="1348"/>
      <c r="D5545" s="1348"/>
      <c r="E5545" s="1348"/>
      <c r="F5545" s="1348"/>
      <c r="G5545" s="1348"/>
      <c r="H5545" s="1348"/>
      <c r="I5545" s="1348"/>
      <c r="J5545" s="1348"/>
      <c r="K5545" s="1348"/>
    </row>
    <row r="5546" spans="2:11" hidden="1">
      <c r="B5546" s="1348"/>
      <c r="C5546" s="1348"/>
      <c r="D5546" s="1348"/>
      <c r="E5546" s="1348"/>
      <c r="F5546" s="1348"/>
      <c r="G5546" s="1348"/>
      <c r="H5546" s="1348"/>
      <c r="I5546" s="1348"/>
      <c r="J5546" s="1348"/>
      <c r="K5546" s="1348"/>
    </row>
    <row r="5547" spans="2:11" hidden="1">
      <c r="B5547" s="1348"/>
      <c r="C5547" s="1348"/>
      <c r="D5547" s="1348"/>
      <c r="E5547" s="1348"/>
      <c r="F5547" s="1348"/>
      <c r="G5547" s="1348"/>
      <c r="H5547" s="1348"/>
      <c r="I5547" s="1348"/>
      <c r="J5547" s="1348"/>
      <c r="K5547" s="1348"/>
    </row>
    <row r="5548" spans="2:11" hidden="1">
      <c r="B5548" s="1348"/>
      <c r="C5548" s="1348"/>
      <c r="D5548" s="1348"/>
      <c r="E5548" s="1348"/>
      <c r="F5548" s="1348"/>
      <c r="G5548" s="1348"/>
      <c r="H5548" s="1348"/>
      <c r="I5548" s="1348"/>
      <c r="J5548" s="1348"/>
      <c r="K5548" s="1348"/>
    </row>
    <row r="5549" spans="2:11" hidden="1">
      <c r="B5549" s="1348"/>
      <c r="C5549" s="1348"/>
      <c r="D5549" s="1348"/>
      <c r="E5549" s="1348"/>
      <c r="F5549" s="1348"/>
      <c r="G5549" s="1348"/>
      <c r="H5549" s="1348"/>
      <c r="I5549" s="1348"/>
      <c r="J5549" s="1348"/>
      <c r="K5549" s="1348"/>
    </row>
    <row r="5550" spans="2:11" hidden="1">
      <c r="B5550" s="1348"/>
      <c r="C5550" s="1348"/>
      <c r="D5550" s="1348"/>
      <c r="E5550" s="1348"/>
      <c r="F5550" s="1348"/>
      <c r="G5550" s="1348"/>
      <c r="H5550" s="1348"/>
      <c r="I5550" s="1348"/>
      <c r="J5550" s="1348"/>
      <c r="K5550" s="1348"/>
    </row>
    <row r="5551" spans="2:11" hidden="1">
      <c r="B5551" s="1348"/>
      <c r="C5551" s="1348"/>
      <c r="D5551" s="1348"/>
      <c r="E5551" s="1348"/>
      <c r="F5551" s="1348"/>
      <c r="G5551" s="1348"/>
      <c r="H5551" s="1348"/>
      <c r="I5551" s="1348"/>
      <c r="J5551" s="1348"/>
      <c r="K5551" s="1348"/>
    </row>
    <row r="5552" spans="2:11" hidden="1">
      <c r="B5552" s="1348"/>
      <c r="C5552" s="1348"/>
      <c r="D5552" s="1348"/>
      <c r="E5552" s="1348"/>
      <c r="F5552" s="1348"/>
      <c r="G5552" s="1348"/>
      <c r="H5552" s="1348"/>
      <c r="I5552" s="1348"/>
      <c r="J5552" s="1348"/>
      <c r="K5552" s="1348"/>
    </row>
    <row r="5553" spans="2:11" hidden="1">
      <c r="B5553" s="1348"/>
      <c r="C5553" s="1348"/>
      <c r="D5553" s="1348"/>
      <c r="E5553" s="1348"/>
      <c r="F5553" s="1348"/>
      <c r="G5553" s="1348"/>
      <c r="H5553" s="1348"/>
      <c r="I5553" s="1348"/>
      <c r="J5553" s="1348"/>
      <c r="K5553" s="1348"/>
    </row>
    <row r="5554" spans="2:11" hidden="1">
      <c r="B5554" s="1348"/>
      <c r="C5554" s="1348"/>
      <c r="D5554" s="1348"/>
      <c r="E5554" s="1348"/>
      <c r="F5554" s="1348"/>
      <c r="G5554" s="1348"/>
      <c r="H5554" s="1348"/>
      <c r="I5554" s="1348"/>
      <c r="J5554" s="1348"/>
      <c r="K5554" s="1348"/>
    </row>
    <row r="5555" spans="2:11" hidden="1">
      <c r="B5555" s="1348"/>
      <c r="C5555" s="1348"/>
      <c r="D5555" s="1348"/>
      <c r="E5555" s="1348"/>
      <c r="F5555" s="1348"/>
      <c r="G5555" s="1348"/>
      <c r="H5555" s="1348"/>
      <c r="I5555" s="1348"/>
      <c r="J5555" s="1348"/>
      <c r="K5555" s="1348"/>
    </row>
    <row r="5556" spans="2:11" hidden="1">
      <c r="B5556" s="1348"/>
      <c r="C5556" s="1348"/>
      <c r="D5556" s="1348"/>
      <c r="E5556" s="1348"/>
      <c r="F5556" s="1348"/>
      <c r="G5556" s="1348"/>
      <c r="H5556" s="1348"/>
      <c r="I5556" s="1348"/>
      <c r="J5556" s="1348"/>
      <c r="K5556" s="1348"/>
    </row>
    <row r="5557" spans="2:11" hidden="1">
      <c r="B5557" s="1348"/>
      <c r="C5557" s="1348"/>
      <c r="D5557" s="1348"/>
      <c r="E5557" s="1348"/>
      <c r="F5557" s="1348"/>
      <c r="G5557" s="1348"/>
      <c r="H5557" s="1348"/>
      <c r="I5557" s="1348"/>
      <c r="J5557" s="1348"/>
      <c r="K5557" s="1348"/>
    </row>
    <row r="5558" spans="2:11" hidden="1">
      <c r="B5558" s="1348"/>
      <c r="C5558" s="1348"/>
      <c r="D5558" s="1348"/>
      <c r="E5558" s="1348"/>
      <c r="F5558" s="1348"/>
      <c r="G5558" s="1348"/>
      <c r="H5558" s="1348"/>
      <c r="I5558" s="1348"/>
      <c r="J5558" s="1348"/>
      <c r="K5558" s="1348"/>
    </row>
    <row r="5559" spans="2:11" hidden="1">
      <c r="B5559" s="1348"/>
      <c r="C5559" s="1348"/>
      <c r="D5559" s="1348"/>
      <c r="E5559" s="1348"/>
      <c r="F5559" s="1348"/>
      <c r="G5559" s="1348"/>
      <c r="H5559" s="1348"/>
      <c r="I5559" s="1348"/>
      <c r="J5559" s="1348"/>
      <c r="K5559" s="1348"/>
    </row>
    <row r="5560" spans="2:11" hidden="1">
      <c r="B5560" s="1348"/>
      <c r="C5560" s="1348"/>
      <c r="D5560" s="1348"/>
      <c r="E5560" s="1348"/>
      <c r="F5560" s="1348"/>
      <c r="G5560" s="1348"/>
      <c r="H5560" s="1348"/>
      <c r="I5560" s="1348"/>
      <c r="J5560" s="1348"/>
      <c r="K5560" s="1348"/>
    </row>
    <row r="5561" spans="2:11" hidden="1">
      <c r="B5561" s="1348"/>
      <c r="C5561" s="1348"/>
      <c r="D5561" s="1348"/>
      <c r="E5561" s="1348"/>
      <c r="F5561" s="1348"/>
      <c r="G5561" s="1348"/>
      <c r="H5561" s="1348"/>
      <c r="I5561" s="1348"/>
      <c r="J5561" s="1348"/>
      <c r="K5561" s="1348"/>
    </row>
    <row r="5562" spans="2:11" hidden="1">
      <c r="B5562" s="1348"/>
      <c r="C5562" s="1348"/>
      <c r="D5562" s="1348"/>
      <c r="E5562" s="1348"/>
      <c r="F5562" s="1348"/>
      <c r="G5562" s="1348"/>
      <c r="H5562" s="1348"/>
      <c r="I5562" s="1348"/>
      <c r="J5562" s="1348"/>
      <c r="K5562" s="1348"/>
    </row>
    <row r="5563" spans="2:11" hidden="1">
      <c r="B5563" s="1348"/>
      <c r="C5563" s="1348"/>
      <c r="D5563" s="1348"/>
      <c r="E5563" s="1348"/>
      <c r="F5563" s="1348"/>
      <c r="G5563" s="1348"/>
      <c r="H5563" s="1348"/>
      <c r="I5563" s="1348"/>
      <c r="J5563" s="1348"/>
      <c r="K5563" s="1348"/>
    </row>
    <row r="5564" spans="2:11" hidden="1">
      <c r="B5564" s="1348"/>
      <c r="C5564" s="1348"/>
      <c r="D5564" s="1348"/>
      <c r="E5564" s="1348"/>
      <c r="F5564" s="1348"/>
      <c r="G5564" s="1348"/>
      <c r="H5564" s="1348"/>
      <c r="I5564" s="1348"/>
      <c r="J5564" s="1348"/>
      <c r="K5564" s="1348"/>
    </row>
    <row r="5565" spans="2:11" hidden="1">
      <c r="B5565" s="1348"/>
      <c r="C5565" s="1348"/>
      <c r="D5565" s="1348"/>
      <c r="E5565" s="1348"/>
      <c r="F5565" s="1348"/>
      <c r="G5565" s="1348"/>
      <c r="H5565" s="1348"/>
      <c r="I5565" s="1348"/>
      <c r="J5565" s="1348"/>
      <c r="K5565" s="1348"/>
    </row>
    <row r="5566" spans="2:11" hidden="1">
      <c r="B5566" s="1348"/>
      <c r="C5566" s="1348"/>
      <c r="D5566" s="1348"/>
      <c r="E5566" s="1348"/>
      <c r="F5566" s="1348"/>
      <c r="G5566" s="1348"/>
      <c r="H5566" s="1348"/>
      <c r="I5566" s="1348"/>
      <c r="J5566" s="1348"/>
      <c r="K5566" s="1348"/>
    </row>
    <row r="5567" spans="2:11" hidden="1">
      <c r="B5567" s="1348"/>
      <c r="C5567" s="1348"/>
      <c r="D5567" s="1348"/>
      <c r="E5567" s="1348"/>
      <c r="F5567" s="1348"/>
      <c r="G5567" s="1348"/>
      <c r="H5567" s="1348"/>
      <c r="I5567" s="1348"/>
      <c r="J5567" s="1348"/>
      <c r="K5567" s="1348"/>
    </row>
    <row r="5568" spans="2:11" hidden="1">
      <c r="B5568" s="1348"/>
      <c r="C5568" s="1348"/>
      <c r="D5568" s="1348"/>
      <c r="E5568" s="1348"/>
      <c r="F5568" s="1348"/>
      <c r="G5568" s="1348"/>
      <c r="H5568" s="1348"/>
      <c r="I5568" s="1348"/>
      <c r="J5568" s="1348"/>
      <c r="K5568" s="1348"/>
    </row>
    <row r="5569" spans="2:11" hidden="1">
      <c r="B5569" s="1348"/>
      <c r="C5569" s="1348"/>
      <c r="D5569" s="1348"/>
      <c r="E5569" s="1348"/>
      <c r="F5569" s="1348"/>
      <c r="G5569" s="1348"/>
      <c r="H5569" s="1348"/>
      <c r="I5569" s="1348"/>
      <c r="J5569" s="1348"/>
      <c r="K5569" s="1348"/>
    </row>
    <row r="5570" spans="2:11" hidden="1">
      <c r="B5570" s="1348"/>
      <c r="C5570" s="1348"/>
      <c r="D5570" s="1348"/>
      <c r="E5570" s="1348"/>
      <c r="F5570" s="1348"/>
      <c r="G5570" s="1348"/>
      <c r="H5570" s="1348"/>
      <c r="I5570" s="1348"/>
      <c r="J5570" s="1348"/>
      <c r="K5570" s="1348"/>
    </row>
    <row r="5571" spans="2:11" hidden="1">
      <c r="B5571" s="1348"/>
      <c r="C5571" s="1348"/>
      <c r="D5571" s="1348"/>
      <c r="E5571" s="1348"/>
      <c r="F5571" s="1348"/>
      <c r="G5571" s="1348"/>
      <c r="H5571" s="1348"/>
      <c r="I5571" s="1348"/>
      <c r="J5571" s="1348"/>
      <c r="K5571" s="1348"/>
    </row>
    <row r="5572" spans="2:11" hidden="1">
      <c r="B5572" s="1348"/>
      <c r="C5572" s="1348"/>
      <c r="D5572" s="1348"/>
      <c r="E5572" s="1348"/>
      <c r="F5572" s="1348"/>
      <c r="G5572" s="1348"/>
      <c r="H5572" s="1348"/>
      <c r="I5572" s="1348"/>
      <c r="J5572" s="1348"/>
      <c r="K5572" s="1348"/>
    </row>
    <row r="5573" spans="2:11" hidden="1">
      <c r="B5573" s="1348"/>
      <c r="C5573" s="1348"/>
      <c r="D5573" s="1348"/>
      <c r="E5573" s="1348"/>
      <c r="F5573" s="1348"/>
      <c r="G5573" s="1348"/>
      <c r="H5573" s="1348"/>
      <c r="I5573" s="1348"/>
      <c r="J5573" s="1348"/>
      <c r="K5573" s="1348"/>
    </row>
    <row r="5574" spans="2:11" hidden="1">
      <c r="B5574" s="1348"/>
      <c r="C5574" s="1348"/>
      <c r="D5574" s="1348"/>
      <c r="E5574" s="1348"/>
      <c r="F5574" s="1348"/>
      <c r="G5574" s="1348"/>
      <c r="H5574" s="1348"/>
      <c r="I5574" s="1348"/>
      <c r="J5574" s="1348"/>
      <c r="K5574" s="1348"/>
    </row>
    <row r="5575" spans="2:11" hidden="1">
      <c r="B5575" s="1348"/>
      <c r="C5575" s="1348"/>
      <c r="D5575" s="1348"/>
      <c r="E5575" s="1348"/>
      <c r="F5575" s="1348"/>
      <c r="G5575" s="1348"/>
      <c r="H5575" s="1348"/>
      <c r="I5575" s="1348"/>
      <c r="J5575" s="1348"/>
      <c r="K5575" s="1348"/>
    </row>
    <row r="5576" spans="2:11" hidden="1">
      <c r="B5576" s="1348"/>
      <c r="C5576" s="1348"/>
      <c r="D5576" s="1348"/>
      <c r="E5576" s="1348"/>
      <c r="F5576" s="1348"/>
      <c r="G5576" s="1348"/>
      <c r="H5576" s="1348"/>
      <c r="I5576" s="1348"/>
      <c r="J5576" s="1348"/>
      <c r="K5576" s="1348"/>
    </row>
    <row r="5577" spans="2:11" hidden="1">
      <c r="B5577" s="1348"/>
      <c r="C5577" s="1348"/>
      <c r="D5577" s="1348"/>
      <c r="E5577" s="1348"/>
      <c r="F5577" s="1348"/>
      <c r="G5577" s="1348"/>
      <c r="H5577" s="1348"/>
      <c r="I5577" s="1348"/>
      <c r="J5577" s="1348"/>
      <c r="K5577" s="1348"/>
    </row>
    <row r="5578" spans="2:11" hidden="1">
      <c r="B5578" s="1348"/>
      <c r="C5578" s="1348"/>
      <c r="D5578" s="1348"/>
      <c r="E5578" s="1348"/>
      <c r="F5578" s="1348"/>
      <c r="G5578" s="1348"/>
      <c r="H5578" s="1348"/>
      <c r="I5578" s="1348"/>
      <c r="J5578" s="1348"/>
      <c r="K5578" s="1348"/>
    </row>
    <row r="5579" spans="2:11" hidden="1">
      <c r="B5579" s="1348"/>
      <c r="C5579" s="1348"/>
      <c r="D5579" s="1348"/>
      <c r="E5579" s="1348"/>
      <c r="F5579" s="1348"/>
      <c r="G5579" s="1348"/>
      <c r="H5579" s="1348"/>
      <c r="I5579" s="1348"/>
      <c r="J5579" s="1348"/>
      <c r="K5579" s="1348"/>
    </row>
    <row r="5580" spans="2:11" hidden="1">
      <c r="B5580" s="1348"/>
      <c r="C5580" s="1348"/>
      <c r="D5580" s="1348"/>
      <c r="E5580" s="1348"/>
      <c r="F5580" s="1348"/>
      <c r="G5580" s="1348"/>
      <c r="H5580" s="1348"/>
      <c r="I5580" s="1348"/>
      <c r="J5580" s="1348"/>
      <c r="K5580" s="1348"/>
    </row>
    <row r="5581" spans="2:11" hidden="1">
      <c r="B5581" s="1348"/>
      <c r="C5581" s="1348"/>
      <c r="D5581" s="1348"/>
      <c r="E5581" s="1348"/>
      <c r="F5581" s="1348"/>
      <c r="G5581" s="1348"/>
      <c r="H5581" s="1348"/>
      <c r="I5581" s="1348"/>
      <c r="J5581" s="1348"/>
      <c r="K5581" s="1348"/>
    </row>
    <row r="5582" spans="2:11" hidden="1">
      <c r="B5582" s="1348"/>
      <c r="C5582" s="1348"/>
      <c r="D5582" s="1348"/>
      <c r="E5582" s="1348"/>
      <c r="F5582" s="1348"/>
      <c r="G5582" s="1348"/>
      <c r="H5582" s="1348"/>
      <c r="I5582" s="1348"/>
      <c r="J5582" s="1348"/>
      <c r="K5582" s="1348"/>
    </row>
    <row r="5583" spans="2:11" hidden="1">
      <c r="B5583" s="1348"/>
      <c r="C5583" s="1348"/>
      <c r="D5583" s="1348"/>
      <c r="E5583" s="1348"/>
      <c r="F5583" s="1348"/>
      <c r="G5583" s="1348"/>
      <c r="H5583" s="1348"/>
      <c r="I5583" s="1348"/>
      <c r="J5583" s="1348"/>
      <c r="K5583" s="1348"/>
    </row>
    <row r="5584" spans="2:11" hidden="1">
      <c r="B5584" s="1348"/>
      <c r="C5584" s="1348"/>
      <c r="D5584" s="1348"/>
      <c r="E5584" s="1348"/>
      <c r="F5584" s="1348"/>
      <c r="G5584" s="1348"/>
      <c r="H5584" s="1348"/>
      <c r="I5584" s="1348"/>
      <c r="J5584" s="1348"/>
      <c r="K5584" s="1348"/>
    </row>
    <row r="5585" spans="2:11" hidden="1">
      <c r="B5585" s="1348"/>
      <c r="C5585" s="1348"/>
      <c r="D5585" s="1348"/>
      <c r="E5585" s="1348"/>
      <c r="F5585" s="1348"/>
      <c r="G5585" s="1348"/>
      <c r="H5585" s="1348"/>
      <c r="I5585" s="1348"/>
      <c r="J5585" s="1348"/>
      <c r="K5585" s="1348"/>
    </row>
    <row r="5586" spans="2:11" hidden="1">
      <c r="B5586" s="1348"/>
      <c r="C5586" s="1348"/>
      <c r="D5586" s="1348"/>
      <c r="E5586" s="1348"/>
      <c r="F5586" s="1348"/>
      <c r="G5586" s="1348"/>
      <c r="H5586" s="1348"/>
      <c r="I5586" s="1348"/>
      <c r="J5586" s="1348"/>
      <c r="K5586" s="1348"/>
    </row>
    <row r="5587" spans="2:11" hidden="1">
      <c r="B5587" s="1348"/>
      <c r="C5587" s="1348"/>
      <c r="D5587" s="1348"/>
      <c r="E5587" s="1348"/>
      <c r="F5587" s="1348"/>
      <c r="G5587" s="1348"/>
      <c r="H5587" s="1348"/>
      <c r="I5587" s="1348"/>
      <c r="J5587" s="1348"/>
      <c r="K5587" s="1348"/>
    </row>
    <row r="5588" spans="2:11" hidden="1">
      <c r="B5588" s="1348"/>
      <c r="C5588" s="1348"/>
      <c r="D5588" s="1348"/>
      <c r="E5588" s="1348"/>
      <c r="F5588" s="1348"/>
      <c r="G5588" s="1348"/>
      <c r="H5588" s="1348"/>
      <c r="I5588" s="1348"/>
      <c r="J5588" s="1348"/>
      <c r="K5588" s="1348"/>
    </row>
    <row r="5589" spans="2:11" hidden="1">
      <c r="B5589" s="1348"/>
      <c r="C5589" s="1348"/>
      <c r="D5589" s="1348"/>
      <c r="E5589" s="1348"/>
      <c r="F5589" s="1348"/>
      <c r="G5589" s="1348"/>
      <c r="H5589" s="1348"/>
      <c r="I5589" s="1348"/>
      <c r="J5589" s="1348"/>
      <c r="K5589" s="1348"/>
    </row>
    <row r="5590" spans="2:11" hidden="1">
      <c r="B5590" s="1348"/>
      <c r="C5590" s="1348"/>
      <c r="D5590" s="1348"/>
      <c r="E5590" s="1348"/>
      <c r="F5590" s="1348"/>
      <c r="G5590" s="1348"/>
      <c r="H5590" s="1348"/>
      <c r="I5590" s="1348"/>
      <c r="J5590" s="1348"/>
      <c r="K5590" s="1348"/>
    </row>
    <row r="5591" spans="2:11" hidden="1">
      <c r="B5591" s="1348"/>
      <c r="C5591" s="1348"/>
      <c r="D5591" s="1348"/>
      <c r="E5591" s="1348"/>
      <c r="F5591" s="1348"/>
      <c r="G5591" s="1348"/>
      <c r="H5591" s="1348"/>
      <c r="I5591" s="1348"/>
      <c r="J5591" s="1348"/>
      <c r="K5591" s="1348"/>
    </row>
    <row r="5592" spans="2:11" hidden="1">
      <c r="B5592" s="1348"/>
      <c r="C5592" s="1348"/>
      <c r="D5592" s="1348"/>
      <c r="E5592" s="1348"/>
      <c r="F5592" s="1348"/>
      <c r="G5592" s="1348"/>
      <c r="H5592" s="1348"/>
      <c r="I5592" s="1348"/>
      <c r="J5592" s="1348"/>
      <c r="K5592" s="1348"/>
    </row>
    <row r="5593" spans="2:11" hidden="1">
      <c r="B5593" s="1348"/>
      <c r="C5593" s="1348"/>
      <c r="D5593" s="1348"/>
      <c r="E5593" s="1348"/>
      <c r="F5593" s="1348"/>
      <c r="G5593" s="1348"/>
      <c r="H5593" s="1348"/>
      <c r="I5593" s="1348"/>
      <c r="J5593" s="1348"/>
      <c r="K5593" s="1348"/>
    </row>
    <row r="5594" spans="2:11" hidden="1">
      <c r="B5594" s="1348"/>
      <c r="C5594" s="1348"/>
      <c r="D5594" s="1348"/>
      <c r="E5594" s="1348"/>
      <c r="F5594" s="1348"/>
      <c r="G5594" s="1348"/>
      <c r="H5594" s="1348"/>
      <c r="I5594" s="1348"/>
      <c r="J5594" s="1348"/>
      <c r="K5594" s="1348"/>
    </row>
    <row r="5595" spans="2:11" hidden="1">
      <c r="B5595" s="1348"/>
      <c r="C5595" s="1348"/>
      <c r="D5595" s="1348"/>
      <c r="E5595" s="1348"/>
      <c r="F5595" s="1348"/>
      <c r="G5595" s="1348"/>
      <c r="H5595" s="1348"/>
      <c r="I5595" s="1348"/>
      <c r="J5595" s="1348"/>
      <c r="K5595" s="1348"/>
    </row>
    <row r="5596" spans="2:11" hidden="1">
      <c r="B5596" s="1348"/>
      <c r="C5596" s="1348"/>
      <c r="D5596" s="1348"/>
      <c r="E5596" s="1348"/>
      <c r="F5596" s="1348"/>
      <c r="G5596" s="1348"/>
      <c r="H5596" s="1348"/>
      <c r="I5596" s="1348"/>
      <c r="J5596" s="1348"/>
      <c r="K5596" s="1348"/>
    </row>
    <row r="5597" spans="2:11" hidden="1">
      <c r="B5597" s="1348"/>
      <c r="C5597" s="1348"/>
      <c r="D5597" s="1348"/>
      <c r="E5597" s="1348"/>
      <c r="F5597" s="1348"/>
      <c r="G5597" s="1348"/>
      <c r="H5597" s="1348"/>
      <c r="I5597" s="1348"/>
      <c r="J5597" s="1348"/>
      <c r="K5597" s="1348"/>
    </row>
    <row r="5598" spans="2:11" hidden="1">
      <c r="B5598" s="1348"/>
      <c r="C5598" s="1348"/>
      <c r="D5598" s="1348"/>
      <c r="E5598" s="1348"/>
      <c r="F5598" s="1348"/>
      <c r="G5598" s="1348"/>
      <c r="H5598" s="1348"/>
      <c r="I5598" s="1348"/>
      <c r="J5598" s="1348"/>
      <c r="K5598" s="1348"/>
    </row>
    <row r="5599" spans="2:11" hidden="1">
      <c r="B5599" s="1348"/>
      <c r="C5599" s="1348"/>
      <c r="D5599" s="1348"/>
      <c r="E5599" s="1348"/>
      <c r="F5599" s="1348"/>
      <c r="G5599" s="1348"/>
      <c r="H5599" s="1348"/>
      <c r="I5599" s="1348"/>
      <c r="J5599" s="1348"/>
      <c r="K5599" s="1348"/>
    </row>
    <row r="5600" spans="2:11" hidden="1">
      <c r="B5600" s="1348"/>
      <c r="C5600" s="1348"/>
      <c r="D5600" s="1348"/>
      <c r="E5600" s="1348"/>
      <c r="F5600" s="1348"/>
      <c r="G5600" s="1348"/>
      <c r="H5600" s="1348"/>
      <c r="I5600" s="1348"/>
      <c r="J5600" s="1348"/>
      <c r="K5600" s="1348"/>
    </row>
    <row r="5601" spans="2:11" hidden="1">
      <c r="B5601" s="1348"/>
      <c r="C5601" s="1348"/>
      <c r="D5601" s="1348"/>
      <c r="E5601" s="1348"/>
      <c r="F5601" s="1348"/>
      <c r="G5601" s="1348"/>
      <c r="H5601" s="1348"/>
      <c r="I5601" s="1348"/>
      <c r="J5601" s="1348"/>
      <c r="K5601" s="1348"/>
    </row>
    <row r="5602" spans="2:11" hidden="1">
      <c r="B5602" s="1348"/>
      <c r="C5602" s="1348"/>
      <c r="D5602" s="1348"/>
      <c r="E5602" s="1348"/>
      <c r="F5602" s="1348"/>
      <c r="G5602" s="1348"/>
      <c r="H5602" s="1348"/>
      <c r="I5602" s="1348"/>
      <c r="J5602" s="1348"/>
      <c r="K5602" s="1348"/>
    </row>
    <row r="5603" spans="2:11" hidden="1">
      <c r="B5603" s="1348"/>
      <c r="C5603" s="1348"/>
      <c r="D5603" s="1348"/>
      <c r="E5603" s="1348"/>
      <c r="F5603" s="1348"/>
      <c r="G5603" s="1348"/>
      <c r="H5603" s="1348"/>
      <c r="I5603" s="1348"/>
      <c r="J5603" s="1348"/>
      <c r="K5603" s="1348"/>
    </row>
    <row r="5604" spans="2:11" hidden="1">
      <c r="B5604" s="1348"/>
      <c r="C5604" s="1348"/>
      <c r="D5604" s="1348"/>
      <c r="E5604" s="1348"/>
      <c r="F5604" s="1348"/>
      <c r="G5604" s="1348"/>
      <c r="H5604" s="1348"/>
      <c r="I5604" s="1348"/>
      <c r="J5604" s="1348"/>
      <c r="K5604" s="1348"/>
    </row>
    <row r="5605" spans="2:11" hidden="1">
      <c r="B5605" s="1348"/>
      <c r="C5605" s="1348"/>
      <c r="D5605" s="1348"/>
      <c r="E5605" s="1348"/>
      <c r="F5605" s="1348"/>
      <c r="G5605" s="1348"/>
      <c r="H5605" s="1348"/>
      <c r="I5605" s="1348"/>
      <c r="J5605" s="1348"/>
      <c r="K5605" s="1348"/>
    </row>
    <row r="5606" spans="2:11" hidden="1">
      <c r="B5606" s="1348"/>
      <c r="C5606" s="1348"/>
      <c r="D5606" s="1348"/>
      <c r="E5606" s="1348"/>
      <c r="F5606" s="1348"/>
      <c r="G5606" s="1348"/>
      <c r="H5606" s="1348"/>
      <c r="I5606" s="1348"/>
      <c r="J5606" s="1348"/>
      <c r="K5606" s="1348"/>
    </row>
    <row r="5607" spans="2:11" hidden="1">
      <c r="B5607" s="1348"/>
      <c r="C5607" s="1348"/>
      <c r="D5607" s="1348"/>
      <c r="E5607" s="1348"/>
      <c r="F5607" s="1348"/>
      <c r="G5607" s="1348"/>
      <c r="H5607" s="1348"/>
      <c r="I5607" s="1348"/>
      <c r="J5607" s="1348"/>
      <c r="K5607" s="1348"/>
    </row>
    <row r="5608" spans="2:11" hidden="1">
      <c r="B5608" s="1348"/>
      <c r="C5608" s="1348"/>
      <c r="D5608" s="1348"/>
      <c r="E5608" s="1348"/>
      <c r="F5608" s="1348"/>
      <c r="G5608" s="1348"/>
      <c r="H5608" s="1348"/>
      <c r="I5608" s="1348"/>
      <c r="J5608" s="1348"/>
      <c r="K5608" s="1348"/>
    </row>
    <row r="5609" spans="2:11" hidden="1">
      <c r="B5609" s="1348"/>
      <c r="C5609" s="1348"/>
      <c r="D5609" s="1348"/>
      <c r="E5609" s="1348"/>
      <c r="F5609" s="1348"/>
      <c r="G5609" s="1348"/>
      <c r="H5609" s="1348"/>
      <c r="I5609" s="1348"/>
      <c r="J5609" s="1348"/>
      <c r="K5609" s="1348"/>
    </row>
    <row r="5610" spans="2:11" hidden="1">
      <c r="B5610" s="1348"/>
      <c r="C5610" s="1348"/>
      <c r="D5610" s="1348"/>
      <c r="E5610" s="1348"/>
      <c r="F5610" s="1348"/>
      <c r="G5610" s="1348"/>
      <c r="H5610" s="1348"/>
      <c r="I5610" s="1348"/>
      <c r="J5610" s="1348"/>
      <c r="K5610" s="1348"/>
    </row>
    <row r="5611" spans="2:11" hidden="1">
      <c r="B5611" s="1348"/>
      <c r="C5611" s="1348"/>
      <c r="D5611" s="1348"/>
      <c r="E5611" s="1348"/>
      <c r="F5611" s="1348"/>
      <c r="G5611" s="1348"/>
      <c r="H5611" s="1348"/>
      <c r="I5611" s="1348"/>
      <c r="J5611" s="1348"/>
      <c r="K5611" s="1348"/>
    </row>
    <row r="5612" spans="2:11" hidden="1">
      <c r="B5612" s="1348"/>
      <c r="C5612" s="1348"/>
      <c r="D5612" s="1348"/>
      <c r="E5612" s="1348"/>
      <c r="F5612" s="1348"/>
      <c r="G5612" s="1348"/>
      <c r="H5612" s="1348"/>
      <c r="I5612" s="1348"/>
      <c r="J5612" s="1348"/>
      <c r="K5612" s="1348"/>
    </row>
    <row r="5613" spans="2:11" hidden="1">
      <c r="B5613" s="1348"/>
      <c r="C5613" s="1348"/>
      <c r="D5613" s="1348"/>
      <c r="E5613" s="1348"/>
      <c r="F5613" s="1348"/>
      <c r="G5613" s="1348"/>
      <c r="H5613" s="1348"/>
      <c r="I5613" s="1348"/>
      <c r="J5613" s="1348"/>
      <c r="K5613" s="1348"/>
    </row>
    <row r="5614" spans="2:11" hidden="1">
      <c r="B5614" s="1348"/>
      <c r="C5614" s="1348"/>
      <c r="D5614" s="1348"/>
      <c r="E5614" s="1348"/>
      <c r="F5614" s="1348"/>
      <c r="G5614" s="1348"/>
      <c r="H5614" s="1348"/>
      <c r="I5614" s="1348"/>
      <c r="J5614" s="1348"/>
      <c r="K5614" s="1348"/>
    </row>
    <row r="5615" spans="2:11" hidden="1">
      <c r="B5615" s="1348"/>
      <c r="C5615" s="1348"/>
      <c r="D5615" s="1348"/>
      <c r="E5615" s="1348"/>
      <c r="F5615" s="1348"/>
      <c r="G5615" s="1348"/>
      <c r="H5615" s="1348"/>
      <c r="I5615" s="1348"/>
      <c r="J5615" s="1348"/>
      <c r="K5615" s="1348"/>
    </row>
    <row r="5616" spans="2:11" hidden="1">
      <c r="B5616" s="1348"/>
      <c r="C5616" s="1348"/>
      <c r="D5616" s="1348"/>
      <c r="E5616" s="1348"/>
      <c r="F5616" s="1348"/>
      <c r="G5616" s="1348"/>
      <c r="H5616" s="1348"/>
      <c r="I5616" s="1348"/>
      <c r="J5616" s="1348"/>
      <c r="K5616" s="1348"/>
    </row>
    <row r="5617" spans="2:11" hidden="1">
      <c r="B5617" s="1348"/>
      <c r="C5617" s="1348"/>
      <c r="D5617" s="1348"/>
      <c r="E5617" s="1348"/>
      <c r="F5617" s="1348"/>
      <c r="G5617" s="1348"/>
      <c r="H5617" s="1348"/>
      <c r="I5617" s="1348"/>
      <c r="J5617" s="1348"/>
      <c r="K5617" s="1348"/>
    </row>
    <row r="5618" spans="2:11" hidden="1">
      <c r="B5618" s="1348"/>
      <c r="C5618" s="1348"/>
      <c r="D5618" s="1348"/>
      <c r="E5618" s="1348"/>
      <c r="F5618" s="1348"/>
      <c r="G5618" s="1348"/>
      <c r="H5618" s="1348"/>
      <c r="I5618" s="1348"/>
      <c r="J5618" s="1348"/>
      <c r="K5618" s="1348"/>
    </row>
    <row r="5619" spans="2:11" hidden="1">
      <c r="B5619" s="1348"/>
      <c r="C5619" s="1348"/>
      <c r="D5619" s="1348"/>
      <c r="E5619" s="1348"/>
      <c r="F5619" s="1348"/>
      <c r="G5619" s="1348"/>
      <c r="H5619" s="1348"/>
      <c r="I5619" s="1348"/>
      <c r="J5619" s="1348"/>
      <c r="K5619" s="1348"/>
    </row>
    <row r="5620" spans="2:11" hidden="1">
      <c r="B5620" s="1348"/>
      <c r="C5620" s="1348"/>
      <c r="D5620" s="1348"/>
      <c r="E5620" s="1348"/>
      <c r="F5620" s="1348"/>
      <c r="G5620" s="1348"/>
      <c r="H5620" s="1348"/>
      <c r="I5620" s="1348"/>
      <c r="J5620" s="1348"/>
      <c r="K5620" s="1348"/>
    </row>
    <row r="5621" spans="2:11" hidden="1">
      <c r="B5621" s="1348"/>
      <c r="C5621" s="1348"/>
      <c r="D5621" s="1348"/>
      <c r="E5621" s="1348"/>
      <c r="F5621" s="1348"/>
      <c r="G5621" s="1348"/>
      <c r="H5621" s="1348"/>
      <c r="I5621" s="1348"/>
      <c r="J5621" s="1348"/>
      <c r="K5621" s="1348"/>
    </row>
    <row r="5622" spans="2:11" hidden="1">
      <c r="B5622" s="1348"/>
      <c r="C5622" s="1348"/>
      <c r="D5622" s="1348"/>
      <c r="E5622" s="1348"/>
      <c r="F5622" s="1348"/>
      <c r="G5622" s="1348"/>
      <c r="H5622" s="1348"/>
      <c r="I5622" s="1348"/>
      <c r="J5622" s="1348"/>
      <c r="K5622" s="1348"/>
    </row>
    <row r="5623" spans="2:11" hidden="1">
      <c r="B5623" s="1348"/>
      <c r="C5623" s="1348"/>
      <c r="D5623" s="1348"/>
      <c r="E5623" s="1348"/>
      <c r="F5623" s="1348"/>
      <c r="G5623" s="1348"/>
      <c r="H5623" s="1348"/>
      <c r="I5623" s="1348"/>
      <c r="J5623" s="1348"/>
      <c r="K5623" s="1348"/>
    </row>
    <row r="5624" spans="2:11" hidden="1">
      <c r="B5624" s="1348"/>
      <c r="C5624" s="1348"/>
      <c r="D5624" s="1348"/>
      <c r="E5624" s="1348"/>
      <c r="F5624" s="1348"/>
      <c r="G5624" s="1348"/>
      <c r="H5624" s="1348"/>
      <c r="I5624" s="1348"/>
      <c r="J5624" s="1348"/>
      <c r="K5624" s="1348"/>
    </row>
    <row r="5625" spans="2:11" hidden="1">
      <c r="B5625" s="1348"/>
      <c r="C5625" s="1348"/>
      <c r="D5625" s="1348"/>
      <c r="E5625" s="1348"/>
      <c r="F5625" s="1348"/>
      <c r="G5625" s="1348"/>
      <c r="H5625" s="1348"/>
      <c r="I5625" s="1348"/>
      <c r="J5625" s="1348"/>
      <c r="K5625" s="1348"/>
    </row>
    <row r="5626" spans="2:11" hidden="1">
      <c r="B5626" s="1348"/>
      <c r="C5626" s="1348"/>
      <c r="D5626" s="1348"/>
      <c r="E5626" s="1348"/>
      <c r="F5626" s="1348"/>
      <c r="G5626" s="1348"/>
      <c r="H5626" s="1348"/>
      <c r="I5626" s="1348"/>
      <c r="J5626" s="1348"/>
      <c r="K5626" s="1348"/>
    </row>
    <row r="5627" spans="2:11" hidden="1">
      <c r="B5627" s="1348"/>
      <c r="C5627" s="1348"/>
      <c r="D5627" s="1348"/>
      <c r="E5627" s="1348"/>
      <c r="F5627" s="1348"/>
      <c r="G5627" s="1348"/>
      <c r="H5627" s="1348"/>
      <c r="I5627" s="1348"/>
      <c r="J5627" s="1348"/>
      <c r="K5627" s="1348"/>
    </row>
    <row r="5628" spans="2:11" hidden="1">
      <c r="B5628" s="1348"/>
      <c r="C5628" s="1348"/>
      <c r="D5628" s="1348"/>
      <c r="E5628" s="1348"/>
      <c r="F5628" s="1348"/>
      <c r="G5628" s="1348"/>
      <c r="H5628" s="1348"/>
      <c r="I5628" s="1348"/>
      <c r="J5628" s="1348"/>
      <c r="K5628" s="1348"/>
    </row>
    <row r="5629" spans="2:11" hidden="1">
      <c r="B5629" s="1348"/>
      <c r="C5629" s="1348"/>
      <c r="D5629" s="1348"/>
      <c r="E5629" s="1348"/>
      <c r="F5629" s="1348"/>
      <c r="G5629" s="1348"/>
      <c r="H5629" s="1348"/>
      <c r="I5629" s="1348"/>
      <c r="J5629" s="1348"/>
      <c r="K5629" s="1348"/>
    </row>
    <row r="5630" spans="2:11" hidden="1">
      <c r="B5630" s="1348"/>
      <c r="C5630" s="1348"/>
      <c r="D5630" s="1348"/>
      <c r="E5630" s="1348"/>
      <c r="F5630" s="1348"/>
      <c r="G5630" s="1348"/>
      <c r="H5630" s="1348"/>
      <c r="I5630" s="1348"/>
      <c r="J5630" s="1348"/>
      <c r="K5630" s="1348"/>
    </row>
    <row r="5631" spans="2:11" hidden="1">
      <c r="B5631" s="1348"/>
      <c r="C5631" s="1348"/>
      <c r="D5631" s="1348"/>
      <c r="E5631" s="1348"/>
      <c r="F5631" s="1348"/>
      <c r="G5631" s="1348"/>
      <c r="H5631" s="1348"/>
      <c r="I5631" s="1348"/>
      <c r="J5631" s="1348"/>
      <c r="K5631" s="1348"/>
    </row>
    <row r="5632" spans="2:11" hidden="1">
      <c r="B5632" s="1348"/>
      <c r="C5632" s="1348"/>
      <c r="D5632" s="1348"/>
      <c r="E5632" s="1348"/>
      <c r="F5632" s="1348"/>
      <c r="G5632" s="1348"/>
      <c r="H5632" s="1348"/>
      <c r="I5632" s="1348"/>
      <c r="J5632" s="1348"/>
      <c r="K5632" s="1348"/>
    </row>
    <row r="5633" spans="2:11" hidden="1">
      <c r="B5633" s="1348"/>
      <c r="C5633" s="1348"/>
      <c r="D5633" s="1348"/>
      <c r="E5633" s="1348"/>
      <c r="F5633" s="1348"/>
      <c r="G5633" s="1348"/>
      <c r="H5633" s="1348"/>
      <c r="I5633" s="1348"/>
      <c r="J5633" s="1348"/>
      <c r="K5633" s="1348"/>
    </row>
    <row r="5634" spans="2:11" hidden="1">
      <c r="B5634" s="1348"/>
      <c r="C5634" s="1348"/>
      <c r="D5634" s="1348"/>
      <c r="E5634" s="1348"/>
      <c r="F5634" s="1348"/>
      <c r="G5634" s="1348"/>
      <c r="H5634" s="1348"/>
      <c r="I5634" s="1348"/>
      <c r="J5634" s="1348"/>
      <c r="K5634" s="1348"/>
    </row>
    <row r="5635" spans="2:11" hidden="1">
      <c r="B5635" s="1348"/>
      <c r="C5635" s="1348"/>
      <c r="D5635" s="1348"/>
      <c r="E5635" s="1348"/>
      <c r="F5635" s="1348"/>
      <c r="G5635" s="1348"/>
      <c r="H5635" s="1348"/>
      <c r="I5635" s="1348"/>
      <c r="J5635" s="1348"/>
      <c r="K5635" s="1348"/>
    </row>
    <row r="5636" spans="2:11" hidden="1">
      <c r="B5636" s="1348"/>
      <c r="C5636" s="1348"/>
      <c r="D5636" s="1348"/>
      <c r="E5636" s="1348"/>
      <c r="F5636" s="1348"/>
      <c r="G5636" s="1348"/>
      <c r="H5636" s="1348"/>
      <c r="I5636" s="1348"/>
      <c r="J5636" s="1348"/>
      <c r="K5636" s="1348"/>
    </row>
    <row r="5637" spans="2:11" hidden="1">
      <c r="B5637" s="1348"/>
      <c r="C5637" s="1348"/>
      <c r="D5637" s="1348"/>
      <c r="E5637" s="1348"/>
      <c r="F5637" s="1348"/>
      <c r="G5637" s="1348"/>
      <c r="H5637" s="1348"/>
      <c r="I5637" s="1348"/>
      <c r="J5637" s="1348"/>
      <c r="K5637" s="1348"/>
    </row>
    <row r="5638" spans="2:11" hidden="1">
      <c r="B5638" s="1348"/>
      <c r="C5638" s="1348"/>
      <c r="D5638" s="1348"/>
      <c r="E5638" s="1348"/>
      <c r="F5638" s="1348"/>
      <c r="G5638" s="1348"/>
      <c r="H5638" s="1348"/>
      <c r="I5638" s="1348"/>
      <c r="J5638" s="1348"/>
      <c r="K5638" s="1348"/>
    </row>
    <row r="5639" spans="2:11" hidden="1">
      <c r="B5639" s="1348"/>
      <c r="C5639" s="1348"/>
      <c r="D5639" s="1348"/>
      <c r="E5639" s="1348"/>
      <c r="F5639" s="1348"/>
      <c r="G5639" s="1348"/>
      <c r="H5639" s="1348"/>
      <c r="I5639" s="1348"/>
      <c r="J5639" s="1348"/>
      <c r="K5639" s="1348"/>
    </row>
    <row r="5640" spans="2:11" hidden="1">
      <c r="B5640" s="1348"/>
      <c r="C5640" s="1348"/>
      <c r="D5640" s="1348"/>
      <c r="E5640" s="1348"/>
      <c r="F5640" s="1348"/>
      <c r="G5640" s="1348"/>
      <c r="H5640" s="1348"/>
      <c r="I5640" s="1348"/>
      <c r="J5640" s="1348"/>
      <c r="K5640" s="1348"/>
    </row>
    <row r="5641" spans="2:11" hidden="1">
      <c r="B5641" s="1348"/>
      <c r="C5641" s="1348"/>
      <c r="D5641" s="1348"/>
      <c r="E5641" s="1348"/>
      <c r="F5641" s="1348"/>
      <c r="G5641" s="1348"/>
      <c r="H5641" s="1348"/>
      <c r="I5641" s="1348"/>
      <c r="J5641" s="1348"/>
      <c r="K5641" s="1348"/>
    </row>
    <row r="5642" spans="2:11" hidden="1">
      <c r="B5642" s="1348"/>
      <c r="C5642" s="1348"/>
      <c r="D5642" s="1348"/>
      <c r="E5642" s="1348"/>
      <c r="F5642" s="1348"/>
      <c r="G5642" s="1348"/>
      <c r="H5642" s="1348"/>
      <c r="I5642" s="1348"/>
      <c r="J5642" s="1348"/>
      <c r="K5642" s="1348"/>
    </row>
    <row r="5643" spans="2:11" hidden="1">
      <c r="B5643" s="1348"/>
      <c r="C5643" s="1348"/>
      <c r="D5643" s="1348"/>
      <c r="E5643" s="1348"/>
      <c r="F5643" s="1348"/>
      <c r="G5643" s="1348"/>
      <c r="H5643" s="1348"/>
      <c r="I5643" s="1348"/>
      <c r="J5643" s="1348"/>
      <c r="K5643" s="1348"/>
    </row>
    <row r="5644" spans="2:11" hidden="1">
      <c r="B5644" s="1348"/>
      <c r="C5644" s="1348"/>
      <c r="D5644" s="1348"/>
      <c r="E5644" s="1348"/>
      <c r="F5644" s="1348"/>
      <c r="G5644" s="1348"/>
      <c r="H5644" s="1348"/>
      <c r="I5644" s="1348"/>
      <c r="J5644" s="1348"/>
      <c r="K5644" s="1348"/>
    </row>
    <row r="5645" spans="2:11" hidden="1">
      <c r="B5645" s="1348"/>
      <c r="C5645" s="1348"/>
      <c r="D5645" s="1348"/>
      <c r="E5645" s="1348"/>
      <c r="F5645" s="1348"/>
      <c r="G5645" s="1348"/>
      <c r="H5645" s="1348"/>
      <c r="I5645" s="1348"/>
      <c r="J5645" s="1348"/>
      <c r="K5645" s="1348"/>
    </row>
    <row r="5646" spans="2:11" hidden="1">
      <c r="B5646" s="1348"/>
      <c r="C5646" s="1348"/>
      <c r="D5646" s="1348"/>
      <c r="E5646" s="1348"/>
      <c r="F5646" s="1348"/>
      <c r="G5646" s="1348"/>
      <c r="H5646" s="1348"/>
      <c r="I5646" s="1348"/>
      <c r="J5646" s="1348"/>
      <c r="K5646" s="1348"/>
    </row>
    <row r="5647" spans="2:11" hidden="1">
      <c r="B5647" s="1348"/>
      <c r="C5647" s="1348"/>
      <c r="D5647" s="1348"/>
      <c r="E5647" s="1348"/>
      <c r="F5647" s="1348"/>
      <c r="G5647" s="1348"/>
      <c r="H5647" s="1348"/>
      <c r="I5647" s="1348"/>
      <c r="J5647" s="1348"/>
      <c r="K5647" s="1348"/>
    </row>
    <row r="5648" spans="2:11" hidden="1">
      <c r="B5648" s="1348"/>
      <c r="C5648" s="1348"/>
      <c r="D5648" s="1348"/>
      <c r="E5648" s="1348"/>
      <c r="F5648" s="1348"/>
      <c r="G5648" s="1348"/>
      <c r="H5648" s="1348"/>
      <c r="I5648" s="1348"/>
      <c r="J5648" s="1348"/>
      <c r="K5648" s="1348"/>
    </row>
    <row r="5649" spans="2:11" hidden="1">
      <c r="B5649" s="1348"/>
      <c r="C5649" s="1348"/>
      <c r="D5649" s="1348"/>
      <c r="E5649" s="1348"/>
      <c r="F5649" s="1348"/>
      <c r="G5649" s="1348"/>
      <c r="H5649" s="1348"/>
      <c r="I5649" s="1348"/>
      <c r="J5649" s="1348"/>
      <c r="K5649" s="1348"/>
    </row>
    <row r="5650" spans="2:11" hidden="1">
      <c r="B5650" s="1348"/>
      <c r="C5650" s="1348"/>
      <c r="D5650" s="1348"/>
      <c r="E5650" s="1348"/>
      <c r="F5650" s="1348"/>
      <c r="G5650" s="1348"/>
      <c r="H5650" s="1348"/>
      <c r="I5650" s="1348"/>
      <c r="J5650" s="1348"/>
      <c r="K5650" s="1348"/>
    </row>
    <row r="5651" spans="2:11" hidden="1">
      <c r="B5651" s="1348"/>
      <c r="C5651" s="1348"/>
      <c r="D5651" s="1348"/>
      <c r="E5651" s="1348"/>
      <c r="F5651" s="1348"/>
      <c r="G5651" s="1348"/>
      <c r="H5651" s="1348"/>
      <c r="I5651" s="1348"/>
      <c r="J5651" s="1348"/>
      <c r="K5651" s="1348"/>
    </row>
    <row r="5652" spans="2:11" hidden="1">
      <c r="B5652" s="1348"/>
      <c r="C5652" s="1348"/>
      <c r="D5652" s="1348"/>
      <c r="E5652" s="1348"/>
      <c r="F5652" s="1348"/>
      <c r="G5652" s="1348"/>
      <c r="H5652" s="1348"/>
      <c r="I5652" s="1348"/>
      <c r="J5652" s="1348"/>
      <c r="K5652" s="1348"/>
    </row>
    <row r="5653" spans="2:11" hidden="1">
      <c r="B5653" s="1348"/>
      <c r="C5653" s="1348"/>
      <c r="D5653" s="1348"/>
      <c r="E5653" s="1348"/>
      <c r="F5653" s="1348"/>
      <c r="G5653" s="1348"/>
      <c r="H5653" s="1348"/>
      <c r="I5653" s="1348"/>
      <c r="J5653" s="1348"/>
      <c r="K5653" s="1348"/>
    </row>
    <row r="5654" spans="2:11" hidden="1">
      <c r="B5654" s="1348"/>
      <c r="C5654" s="1348"/>
      <c r="D5654" s="1348"/>
      <c r="E5654" s="1348"/>
      <c r="F5654" s="1348"/>
      <c r="G5654" s="1348"/>
      <c r="H5654" s="1348"/>
      <c r="I5654" s="1348"/>
      <c r="J5654" s="1348"/>
      <c r="K5654" s="1348"/>
    </row>
    <row r="5655" spans="2:11" hidden="1">
      <c r="B5655" s="1348"/>
      <c r="C5655" s="1348"/>
      <c r="D5655" s="1348"/>
      <c r="E5655" s="1348"/>
      <c r="F5655" s="1348"/>
      <c r="G5655" s="1348"/>
      <c r="H5655" s="1348"/>
      <c r="I5655" s="1348"/>
      <c r="J5655" s="1348"/>
      <c r="K5655" s="1348"/>
    </row>
    <row r="5656" spans="2:11" hidden="1">
      <c r="B5656" s="1348"/>
      <c r="C5656" s="1348"/>
      <c r="D5656" s="1348"/>
      <c r="E5656" s="1348"/>
      <c r="F5656" s="1348"/>
      <c r="G5656" s="1348"/>
      <c r="H5656" s="1348"/>
      <c r="I5656" s="1348"/>
      <c r="J5656" s="1348"/>
      <c r="K5656" s="1348"/>
    </row>
    <row r="5657" spans="2:11" hidden="1">
      <c r="B5657" s="1348"/>
      <c r="C5657" s="1348"/>
      <c r="D5657" s="1348"/>
      <c r="E5657" s="1348"/>
      <c r="F5657" s="1348"/>
      <c r="G5657" s="1348"/>
      <c r="H5657" s="1348"/>
      <c r="I5657" s="1348"/>
      <c r="J5657" s="1348"/>
      <c r="K5657" s="1348"/>
    </row>
    <row r="5658" spans="2:11" hidden="1">
      <c r="B5658" s="1348"/>
      <c r="C5658" s="1348"/>
      <c r="D5658" s="1348"/>
      <c r="E5658" s="1348"/>
      <c r="F5658" s="1348"/>
      <c r="G5658" s="1348"/>
      <c r="H5658" s="1348"/>
      <c r="I5658" s="1348"/>
      <c r="J5658" s="1348"/>
      <c r="K5658" s="1348"/>
    </row>
    <row r="5659" spans="2:11" hidden="1">
      <c r="B5659" s="1348"/>
      <c r="C5659" s="1348"/>
      <c r="D5659" s="1348"/>
      <c r="E5659" s="1348"/>
      <c r="F5659" s="1348"/>
      <c r="G5659" s="1348"/>
      <c r="H5659" s="1348"/>
      <c r="I5659" s="1348"/>
      <c r="J5659" s="1348"/>
      <c r="K5659" s="1348"/>
    </row>
    <row r="5660" spans="2:11" hidden="1">
      <c r="B5660" s="1348"/>
      <c r="C5660" s="1348"/>
      <c r="D5660" s="1348"/>
      <c r="E5660" s="1348"/>
      <c r="F5660" s="1348"/>
      <c r="G5660" s="1348"/>
      <c r="H5660" s="1348"/>
      <c r="I5660" s="1348"/>
      <c r="J5660" s="1348"/>
      <c r="K5660" s="1348"/>
    </row>
    <row r="5661" spans="2:11" hidden="1">
      <c r="B5661" s="1348"/>
      <c r="C5661" s="1348"/>
      <c r="D5661" s="1348"/>
      <c r="E5661" s="1348"/>
      <c r="F5661" s="1348"/>
      <c r="G5661" s="1348"/>
      <c r="H5661" s="1348"/>
      <c r="I5661" s="1348"/>
      <c r="J5661" s="1348"/>
      <c r="K5661" s="1348"/>
    </row>
    <row r="5662" spans="2:11" hidden="1">
      <c r="B5662" s="1348"/>
      <c r="C5662" s="1348"/>
      <c r="D5662" s="1348"/>
      <c r="E5662" s="1348"/>
      <c r="F5662" s="1348"/>
      <c r="G5662" s="1348"/>
      <c r="H5662" s="1348"/>
      <c r="I5662" s="1348"/>
      <c r="J5662" s="1348"/>
      <c r="K5662" s="1348"/>
    </row>
    <row r="5663" spans="2:11" hidden="1">
      <c r="B5663" s="1348"/>
      <c r="C5663" s="1348"/>
      <c r="D5663" s="1348"/>
      <c r="E5663" s="1348"/>
      <c r="F5663" s="1348"/>
      <c r="G5663" s="1348"/>
      <c r="H5663" s="1348"/>
      <c r="I5663" s="1348"/>
      <c r="J5663" s="1348"/>
      <c r="K5663" s="1348"/>
    </row>
    <row r="5664" spans="2:11" hidden="1">
      <c r="B5664" s="1348"/>
      <c r="C5664" s="1348"/>
      <c r="D5664" s="1348"/>
      <c r="E5664" s="1348"/>
      <c r="F5664" s="1348"/>
      <c r="G5664" s="1348"/>
      <c r="H5664" s="1348"/>
      <c r="I5664" s="1348"/>
      <c r="J5664" s="1348"/>
      <c r="K5664" s="1348"/>
    </row>
    <row r="5665" spans="2:11" hidden="1">
      <c r="B5665" s="1348"/>
      <c r="C5665" s="1348"/>
      <c r="D5665" s="1348"/>
      <c r="E5665" s="1348"/>
      <c r="F5665" s="1348"/>
      <c r="G5665" s="1348"/>
      <c r="H5665" s="1348"/>
      <c r="I5665" s="1348"/>
      <c r="J5665" s="1348"/>
      <c r="K5665" s="1348"/>
    </row>
    <row r="5666" spans="2:11" hidden="1">
      <c r="B5666" s="1348"/>
      <c r="C5666" s="1348"/>
      <c r="D5666" s="1348"/>
      <c r="E5666" s="1348"/>
      <c r="F5666" s="1348"/>
      <c r="G5666" s="1348"/>
      <c r="H5666" s="1348"/>
      <c r="I5666" s="1348"/>
      <c r="J5666" s="1348"/>
      <c r="K5666" s="1348"/>
    </row>
    <row r="5667" spans="2:11" hidden="1">
      <c r="B5667" s="1348"/>
      <c r="C5667" s="1348"/>
      <c r="D5667" s="1348"/>
      <c r="E5667" s="1348"/>
      <c r="F5667" s="1348"/>
      <c r="G5667" s="1348"/>
      <c r="H5667" s="1348"/>
      <c r="I5667" s="1348"/>
      <c r="J5667" s="1348"/>
      <c r="K5667" s="1348"/>
    </row>
    <row r="5668" spans="2:11" hidden="1">
      <c r="B5668" s="1348"/>
      <c r="C5668" s="1348"/>
      <c r="D5668" s="1348"/>
      <c r="E5668" s="1348"/>
      <c r="F5668" s="1348"/>
      <c r="G5668" s="1348"/>
      <c r="H5668" s="1348"/>
      <c r="I5668" s="1348"/>
      <c r="J5668" s="1348"/>
      <c r="K5668" s="1348"/>
    </row>
    <row r="5669" spans="2:11" hidden="1">
      <c r="B5669" s="1348"/>
      <c r="C5669" s="1348"/>
      <c r="D5669" s="1348"/>
      <c r="E5669" s="1348"/>
      <c r="F5669" s="1348"/>
      <c r="G5669" s="1348"/>
      <c r="H5669" s="1348"/>
      <c r="I5669" s="1348"/>
      <c r="J5669" s="1348"/>
      <c r="K5669" s="1348"/>
    </row>
    <row r="5670" spans="2:11" hidden="1">
      <c r="B5670" s="1348"/>
      <c r="C5670" s="1348"/>
      <c r="D5670" s="1348"/>
      <c r="E5670" s="1348"/>
      <c r="F5670" s="1348"/>
      <c r="G5670" s="1348"/>
      <c r="H5670" s="1348"/>
      <c r="I5670" s="1348"/>
      <c r="J5670" s="1348"/>
      <c r="K5670" s="1348"/>
    </row>
    <row r="5671" spans="2:11" hidden="1">
      <c r="B5671" s="1348"/>
      <c r="C5671" s="1348"/>
      <c r="D5671" s="1348"/>
      <c r="E5671" s="1348"/>
      <c r="F5671" s="1348"/>
      <c r="G5671" s="1348"/>
      <c r="H5671" s="1348"/>
      <c r="I5671" s="1348"/>
      <c r="J5671" s="1348"/>
      <c r="K5671" s="1348"/>
    </row>
    <row r="5672" spans="2:11" hidden="1">
      <c r="B5672" s="1348"/>
      <c r="C5672" s="1348"/>
      <c r="D5672" s="1348"/>
      <c r="E5672" s="1348"/>
      <c r="F5672" s="1348"/>
      <c r="G5672" s="1348"/>
      <c r="H5672" s="1348"/>
      <c r="I5672" s="1348"/>
      <c r="J5672" s="1348"/>
      <c r="K5672" s="1348"/>
    </row>
    <row r="5673" spans="2:11" hidden="1">
      <c r="B5673" s="1348"/>
      <c r="C5673" s="1348"/>
      <c r="D5673" s="1348"/>
      <c r="E5673" s="1348"/>
      <c r="F5673" s="1348"/>
      <c r="G5673" s="1348"/>
      <c r="H5673" s="1348"/>
      <c r="I5673" s="1348"/>
      <c r="J5673" s="1348"/>
      <c r="K5673" s="1348"/>
    </row>
    <row r="5674" spans="2:11" hidden="1">
      <c r="B5674" s="1348"/>
      <c r="C5674" s="1348"/>
      <c r="D5674" s="1348"/>
      <c r="E5674" s="1348"/>
      <c r="F5674" s="1348"/>
      <c r="G5674" s="1348"/>
      <c r="H5674" s="1348"/>
      <c r="I5674" s="1348"/>
      <c r="J5674" s="1348"/>
      <c r="K5674" s="1348"/>
    </row>
    <row r="5675" spans="2:11" hidden="1">
      <c r="B5675" s="1348"/>
      <c r="C5675" s="1348"/>
      <c r="D5675" s="1348"/>
      <c r="E5675" s="1348"/>
      <c r="F5675" s="1348"/>
      <c r="G5675" s="1348"/>
      <c r="H5675" s="1348"/>
      <c r="I5675" s="1348"/>
      <c r="J5675" s="1348"/>
      <c r="K5675" s="1348"/>
    </row>
    <row r="5676" spans="2:11" hidden="1">
      <c r="B5676" s="1348"/>
      <c r="C5676" s="1348"/>
      <c r="D5676" s="1348"/>
      <c r="E5676" s="1348"/>
      <c r="F5676" s="1348"/>
      <c r="G5676" s="1348"/>
      <c r="H5676" s="1348"/>
      <c r="I5676" s="1348"/>
      <c r="J5676" s="1348"/>
      <c r="K5676" s="1348"/>
    </row>
    <row r="5677" spans="2:11" hidden="1">
      <c r="B5677" s="1348"/>
      <c r="C5677" s="1348"/>
      <c r="D5677" s="1348"/>
      <c r="E5677" s="1348"/>
      <c r="F5677" s="1348"/>
      <c r="G5677" s="1348"/>
      <c r="H5677" s="1348"/>
      <c r="I5677" s="1348"/>
      <c r="J5677" s="1348"/>
      <c r="K5677" s="1348"/>
    </row>
    <row r="5678" spans="2:11" hidden="1">
      <c r="B5678" s="1348"/>
      <c r="C5678" s="1348"/>
      <c r="D5678" s="1348"/>
      <c r="E5678" s="1348"/>
      <c r="F5678" s="1348"/>
      <c r="G5678" s="1348"/>
      <c r="H5678" s="1348"/>
      <c r="I5678" s="1348"/>
      <c r="J5678" s="1348"/>
      <c r="K5678" s="1348"/>
    </row>
    <row r="5679" spans="2:11" hidden="1">
      <c r="B5679" s="1348"/>
      <c r="C5679" s="1348"/>
      <c r="D5679" s="1348"/>
      <c r="E5679" s="1348"/>
      <c r="F5679" s="1348"/>
      <c r="G5679" s="1348"/>
      <c r="H5679" s="1348"/>
      <c r="I5679" s="1348"/>
      <c r="J5679" s="1348"/>
      <c r="K5679" s="1348"/>
    </row>
    <row r="5680" spans="2:11" hidden="1">
      <c r="B5680" s="1348"/>
      <c r="C5680" s="1348"/>
      <c r="D5680" s="1348"/>
      <c r="E5680" s="1348"/>
      <c r="F5680" s="1348"/>
      <c r="G5680" s="1348"/>
      <c r="H5680" s="1348"/>
      <c r="I5680" s="1348"/>
      <c r="J5680" s="1348"/>
      <c r="K5680" s="1348"/>
    </row>
    <row r="5681" spans="2:11" hidden="1">
      <c r="B5681" s="1348"/>
      <c r="C5681" s="1348"/>
      <c r="D5681" s="1348"/>
      <c r="E5681" s="1348"/>
      <c r="F5681" s="1348"/>
      <c r="G5681" s="1348"/>
      <c r="H5681" s="1348"/>
      <c r="I5681" s="1348"/>
      <c r="J5681" s="1348"/>
      <c r="K5681" s="1348"/>
    </row>
    <row r="5682" spans="2:11" hidden="1">
      <c r="B5682" s="1348"/>
      <c r="C5682" s="1348"/>
      <c r="D5682" s="1348"/>
      <c r="E5682" s="1348"/>
      <c r="F5682" s="1348"/>
      <c r="G5682" s="1348"/>
      <c r="H5682" s="1348"/>
      <c r="I5682" s="1348"/>
      <c r="J5682" s="1348"/>
      <c r="K5682" s="1348"/>
    </row>
    <row r="5683" spans="2:11" hidden="1">
      <c r="B5683" s="1348"/>
      <c r="C5683" s="1348"/>
      <c r="D5683" s="1348"/>
      <c r="E5683" s="1348"/>
      <c r="F5683" s="1348"/>
      <c r="G5683" s="1348"/>
      <c r="H5683" s="1348"/>
      <c r="I5683" s="1348"/>
      <c r="J5683" s="1348"/>
      <c r="K5683" s="1348"/>
    </row>
    <row r="5684" spans="2:11" hidden="1">
      <c r="B5684" s="1348"/>
      <c r="C5684" s="1348"/>
      <c r="D5684" s="1348"/>
      <c r="E5684" s="1348"/>
      <c r="F5684" s="1348"/>
      <c r="G5684" s="1348"/>
      <c r="H5684" s="1348"/>
      <c r="I5684" s="1348"/>
      <c r="J5684" s="1348"/>
      <c r="K5684" s="1348"/>
    </row>
    <row r="5685" spans="2:11" hidden="1">
      <c r="B5685" s="1348"/>
      <c r="C5685" s="1348"/>
      <c r="D5685" s="1348"/>
      <c r="E5685" s="1348"/>
      <c r="F5685" s="1348"/>
      <c r="G5685" s="1348"/>
      <c r="H5685" s="1348"/>
      <c r="I5685" s="1348"/>
      <c r="J5685" s="1348"/>
      <c r="K5685" s="1348"/>
    </row>
    <row r="5686" spans="2:11" hidden="1">
      <c r="B5686" s="1348"/>
      <c r="C5686" s="1348"/>
      <c r="D5686" s="1348"/>
      <c r="E5686" s="1348"/>
      <c r="F5686" s="1348"/>
      <c r="G5686" s="1348"/>
      <c r="H5686" s="1348"/>
      <c r="I5686" s="1348"/>
      <c r="J5686" s="1348"/>
      <c r="K5686" s="1348"/>
    </row>
    <row r="5687" spans="2:11" hidden="1">
      <c r="B5687" s="1348"/>
      <c r="C5687" s="1348"/>
      <c r="D5687" s="1348"/>
      <c r="E5687" s="1348"/>
      <c r="F5687" s="1348"/>
      <c r="G5687" s="1348"/>
      <c r="H5687" s="1348"/>
      <c r="I5687" s="1348"/>
      <c r="J5687" s="1348"/>
      <c r="K5687" s="1348"/>
    </row>
    <row r="5688" spans="2:11" hidden="1">
      <c r="B5688" s="1348"/>
      <c r="C5688" s="1348"/>
      <c r="D5688" s="1348"/>
      <c r="E5688" s="1348"/>
      <c r="F5688" s="1348"/>
      <c r="G5688" s="1348"/>
      <c r="H5688" s="1348"/>
      <c r="I5688" s="1348"/>
      <c r="J5688" s="1348"/>
      <c r="K5688" s="1348"/>
    </row>
    <row r="5689" spans="2:11" hidden="1">
      <c r="B5689" s="1348"/>
      <c r="C5689" s="1348"/>
      <c r="D5689" s="1348"/>
      <c r="E5689" s="1348"/>
      <c r="F5689" s="1348"/>
      <c r="G5689" s="1348"/>
      <c r="H5689" s="1348"/>
      <c r="I5689" s="1348"/>
      <c r="J5689" s="1348"/>
      <c r="K5689" s="1348"/>
    </row>
    <row r="5690" spans="2:11" hidden="1">
      <c r="B5690" s="1348"/>
      <c r="C5690" s="1348"/>
      <c r="D5690" s="1348"/>
      <c r="E5690" s="1348"/>
      <c r="F5690" s="1348"/>
      <c r="G5690" s="1348"/>
      <c r="H5690" s="1348"/>
      <c r="I5690" s="1348"/>
      <c r="J5690" s="1348"/>
      <c r="K5690" s="1348"/>
    </row>
    <row r="5691" spans="2:11" hidden="1">
      <c r="B5691" s="1348"/>
      <c r="C5691" s="1348"/>
      <c r="D5691" s="1348"/>
      <c r="E5691" s="1348"/>
      <c r="F5691" s="1348"/>
      <c r="G5691" s="1348"/>
      <c r="H5691" s="1348"/>
      <c r="I5691" s="1348"/>
      <c r="J5691" s="1348"/>
      <c r="K5691" s="1348"/>
    </row>
    <row r="5692" spans="2:11" hidden="1">
      <c r="B5692" s="1348"/>
      <c r="C5692" s="1348"/>
      <c r="D5692" s="1348"/>
      <c r="E5692" s="1348"/>
      <c r="F5692" s="1348"/>
      <c r="G5692" s="1348"/>
      <c r="H5692" s="1348"/>
      <c r="I5692" s="1348"/>
      <c r="J5692" s="1348"/>
      <c r="K5692" s="1348"/>
    </row>
    <row r="5693" spans="2:11" hidden="1">
      <c r="B5693" s="1348"/>
      <c r="C5693" s="1348"/>
      <c r="D5693" s="1348"/>
      <c r="E5693" s="1348"/>
      <c r="F5693" s="1348"/>
      <c r="G5693" s="1348"/>
      <c r="H5693" s="1348"/>
      <c r="I5693" s="1348"/>
      <c r="J5693" s="1348"/>
      <c r="K5693" s="1348"/>
    </row>
    <row r="5694" spans="2:11" hidden="1">
      <c r="B5694" s="1348"/>
      <c r="C5694" s="1348"/>
      <c r="D5694" s="1348"/>
      <c r="E5694" s="1348"/>
      <c r="F5694" s="1348"/>
      <c r="G5694" s="1348"/>
      <c r="H5694" s="1348"/>
      <c r="I5694" s="1348"/>
      <c r="J5694" s="1348"/>
      <c r="K5694" s="1348"/>
    </row>
    <row r="5695" spans="2:11" hidden="1">
      <c r="B5695" s="1348"/>
      <c r="C5695" s="1348"/>
      <c r="D5695" s="1348"/>
      <c r="E5695" s="1348"/>
      <c r="F5695" s="1348"/>
      <c r="G5695" s="1348"/>
      <c r="H5695" s="1348"/>
      <c r="I5695" s="1348"/>
      <c r="J5695" s="1348"/>
      <c r="K5695" s="1348"/>
    </row>
    <row r="5696" spans="2:11" hidden="1">
      <c r="B5696" s="1348"/>
      <c r="C5696" s="1348"/>
      <c r="D5696" s="1348"/>
      <c r="E5696" s="1348"/>
      <c r="F5696" s="1348"/>
      <c r="G5696" s="1348"/>
      <c r="H5696" s="1348"/>
      <c r="I5696" s="1348"/>
      <c r="J5696" s="1348"/>
      <c r="K5696" s="1348"/>
    </row>
    <row r="5697" spans="2:11" hidden="1">
      <c r="B5697" s="1348"/>
      <c r="C5697" s="1348"/>
      <c r="D5697" s="1348"/>
      <c r="E5697" s="1348"/>
      <c r="F5697" s="1348"/>
      <c r="G5697" s="1348"/>
      <c r="H5697" s="1348"/>
      <c r="I5697" s="1348"/>
      <c r="J5697" s="1348"/>
      <c r="K5697" s="1348"/>
    </row>
    <row r="5698" spans="2:11" hidden="1">
      <c r="B5698" s="1348"/>
      <c r="C5698" s="1348"/>
      <c r="D5698" s="1348"/>
      <c r="E5698" s="1348"/>
      <c r="F5698" s="1348"/>
      <c r="G5698" s="1348"/>
      <c r="H5698" s="1348"/>
      <c r="I5698" s="1348"/>
      <c r="J5698" s="1348"/>
      <c r="K5698" s="1348"/>
    </row>
    <row r="5699" spans="2:11" hidden="1">
      <c r="B5699" s="1348"/>
      <c r="C5699" s="1348"/>
      <c r="D5699" s="1348"/>
      <c r="E5699" s="1348"/>
      <c r="F5699" s="1348"/>
      <c r="G5699" s="1348"/>
      <c r="H5699" s="1348"/>
      <c r="I5699" s="1348"/>
      <c r="J5699" s="1348"/>
      <c r="K5699" s="1348"/>
    </row>
    <row r="5700" spans="2:11" hidden="1">
      <c r="B5700" s="1348"/>
      <c r="C5700" s="1348"/>
      <c r="D5700" s="1348"/>
      <c r="E5700" s="1348"/>
      <c r="F5700" s="1348"/>
      <c r="G5700" s="1348"/>
      <c r="H5700" s="1348"/>
      <c r="I5700" s="1348"/>
      <c r="J5700" s="1348"/>
      <c r="K5700" s="1348"/>
    </row>
    <row r="5701" spans="2:11" hidden="1">
      <c r="B5701" s="1348"/>
      <c r="C5701" s="1348"/>
      <c r="D5701" s="1348"/>
      <c r="E5701" s="1348"/>
      <c r="F5701" s="1348"/>
      <c r="G5701" s="1348"/>
      <c r="H5701" s="1348"/>
      <c r="I5701" s="1348"/>
      <c r="J5701" s="1348"/>
      <c r="K5701" s="1348"/>
    </row>
    <row r="5702" spans="2:11" hidden="1">
      <c r="B5702" s="1348"/>
      <c r="C5702" s="1348"/>
      <c r="D5702" s="1348"/>
      <c r="E5702" s="1348"/>
      <c r="F5702" s="1348"/>
      <c r="G5702" s="1348"/>
      <c r="H5702" s="1348"/>
      <c r="I5702" s="1348"/>
      <c r="J5702" s="1348"/>
      <c r="K5702" s="1348"/>
    </row>
    <row r="5703" spans="2:11" hidden="1">
      <c r="B5703" s="1348"/>
      <c r="C5703" s="1348"/>
      <c r="D5703" s="1348"/>
      <c r="E5703" s="1348"/>
      <c r="F5703" s="1348"/>
      <c r="G5703" s="1348"/>
      <c r="H5703" s="1348"/>
      <c r="I5703" s="1348"/>
      <c r="J5703" s="1348"/>
      <c r="K5703" s="1348"/>
    </row>
    <row r="5704" spans="2:11" hidden="1">
      <c r="B5704" s="1348"/>
      <c r="C5704" s="1348"/>
      <c r="D5704" s="1348"/>
      <c r="E5704" s="1348"/>
      <c r="F5704" s="1348"/>
      <c r="G5704" s="1348"/>
      <c r="H5704" s="1348"/>
      <c r="I5704" s="1348"/>
      <c r="J5704" s="1348"/>
      <c r="K5704" s="1348"/>
    </row>
    <row r="5705" spans="2:11" hidden="1">
      <c r="B5705" s="1348"/>
      <c r="C5705" s="1348"/>
      <c r="D5705" s="1348"/>
      <c r="E5705" s="1348"/>
      <c r="F5705" s="1348"/>
      <c r="G5705" s="1348"/>
      <c r="H5705" s="1348"/>
      <c r="I5705" s="1348"/>
      <c r="J5705" s="1348"/>
      <c r="K5705" s="1348"/>
    </row>
    <row r="5706" spans="2:11" hidden="1">
      <c r="B5706" s="1348"/>
      <c r="C5706" s="1348"/>
      <c r="D5706" s="1348"/>
      <c r="E5706" s="1348"/>
      <c r="F5706" s="1348"/>
      <c r="G5706" s="1348"/>
      <c r="H5706" s="1348"/>
      <c r="I5706" s="1348"/>
      <c r="J5706" s="1348"/>
      <c r="K5706" s="1348"/>
    </row>
    <row r="5707" spans="2:11" hidden="1">
      <c r="B5707" s="1348"/>
      <c r="C5707" s="1348"/>
      <c r="D5707" s="1348"/>
      <c r="E5707" s="1348"/>
      <c r="F5707" s="1348"/>
      <c r="G5707" s="1348"/>
      <c r="H5707" s="1348"/>
      <c r="I5707" s="1348"/>
      <c r="J5707" s="1348"/>
      <c r="K5707" s="1348"/>
    </row>
    <row r="5708" spans="2:11" hidden="1">
      <c r="B5708" s="1348"/>
      <c r="C5708" s="1348"/>
      <c r="D5708" s="1348"/>
      <c r="E5708" s="1348"/>
      <c r="F5708" s="1348"/>
      <c r="G5708" s="1348"/>
      <c r="H5708" s="1348"/>
      <c r="I5708" s="1348"/>
      <c r="J5708" s="1348"/>
      <c r="K5708" s="1348"/>
    </row>
    <row r="5709" spans="2:11" hidden="1">
      <c r="B5709" s="1348"/>
      <c r="C5709" s="1348"/>
      <c r="D5709" s="1348"/>
      <c r="E5709" s="1348"/>
      <c r="F5709" s="1348"/>
      <c r="G5709" s="1348"/>
      <c r="H5709" s="1348"/>
      <c r="I5709" s="1348"/>
      <c r="J5709" s="1348"/>
      <c r="K5709" s="1348"/>
    </row>
    <row r="5710" spans="2:11" hidden="1">
      <c r="B5710" s="1348"/>
      <c r="C5710" s="1348"/>
      <c r="D5710" s="1348"/>
      <c r="E5710" s="1348"/>
      <c r="F5710" s="1348"/>
      <c r="G5710" s="1348"/>
      <c r="H5710" s="1348"/>
      <c r="I5710" s="1348"/>
      <c r="J5710" s="1348"/>
      <c r="K5710" s="1348"/>
    </row>
    <row r="5711" spans="2:11" hidden="1">
      <c r="B5711" s="1348"/>
      <c r="C5711" s="1348"/>
      <c r="D5711" s="1348"/>
      <c r="E5711" s="1348"/>
      <c r="F5711" s="1348"/>
      <c r="G5711" s="1348"/>
      <c r="H5711" s="1348"/>
      <c r="I5711" s="1348"/>
      <c r="J5711" s="1348"/>
      <c r="K5711" s="1348"/>
    </row>
    <row r="5712" spans="2:11" hidden="1">
      <c r="B5712" s="1348"/>
      <c r="C5712" s="1348"/>
      <c r="D5712" s="1348"/>
      <c r="E5712" s="1348"/>
      <c r="F5712" s="1348"/>
      <c r="G5712" s="1348"/>
      <c r="H5712" s="1348"/>
      <c r="I5712" s="1348"/>
      <c r="J5712" s="1348"/>
      <c r="K5712" s="1348"/>
    </row>
    <row r="5713" spans="2:11" hidden="1">
      <c r="B5713" s="1348"/>
      <c r="C5713" s="1348"/>
      <c r="D5713" s="1348"/>
      <c r="E5713" s="1348"/>
      <c r="F5713" s="1348"/>
      <c r="G5713" s="1348"/>
      <c r="H5713" s="1348"/>
      <c r="I5713" s="1348"/>
      <c r="J5713" s="1348"/>
      <c r="K5713" s="1348"/>
    </row>
    <row r="5714" spans="2:11" hidden="1">
      <c r="B5714" s="1348"/>
      <c r="C5714" s="1348"/>
      <c r="D5714" s="1348"/>
      <c r="E5714" s="1348"/>
      <c r="F5714" s="1348"/>
      <c r="G5714" s="1348"/>
      <c r="H5714" s="1348"/>
      <c r="I5714" s="1348"/>
      <c r="J5714" s="1348"/>
      <c r="K5714" s="1348"/>
    </row>
    <row r="5715" spans="2:11" hidden="1">
      <c r="B5715" s="1348"/>
      <c r="C5715" s="1348"/>
      <c r="D5715" s="1348"/>
      <c r="E5715" s="1348"/>
      <c r="F5715" s="1348"/>
      <c r="G5715" s="1348"/>
      <c r="H5715" s="1348"/>
      <c r="I5715" s="1348"/>
      <c r="J5715" s="1348"/>
      <c r="K5715" s="1348"/>
    </row>
    <row r="5716" spans="2:11" hidden="1">
      <c r="B5716" s="1348"/>
      <c r="C5716" s="1348"/>
      <c r="D5716" s="1348"/>
      <c r="E5716" s="1348"/>
      <c r="F5716" s="1348"/>
      <c r="G5716" s="1348"/>
      <c r="H5716" s="1348"/>
      <c r="I5716" s="1348"/>
      <c r="J5716" s="1348"/>
      <c r="K5716" s="1348"/>
    </row>
    <row r="5717" spans="2:11" hidden="1">
      <c r="B5717" s="1348"/>
      <c r="C5717" s="1348"/>
      <c r="D5717" s="1348"/>
      <c r="E5717" s="1348"/>
      <c r="F5717" s="1348"/>
      <c r="G5717" s="1348"/>
      <c r="H5717" s="1348"/>
      <c r="I5717" s="1348"/>
      <c r="J5717" s="1348"/>
      <c r="K5717" s="1348"/>
    </row>
    <row r="5718" spans="2:11" hidden="1">
      <c r="B5718" s="1348"/>
      <c r="C5718" s="1348"/>
      <c r="D5718" s="1348"/>
      <c r="E5718" s="1348"/>
      <c r="F5718" s="1348"/>
      <c r="G5718" s="1348"/>
      <c r="H5718" s="1348"/>
      <c r="I5718" s="1348"/>
      <c r="J5718" s="1348"/>
      <c r="K5718" s="1348"/>
    </row>
    <row r="5719" spans="2:11" hidden="1">
      <c r="B5719" s="1348"/>
      <c r="C5719" s="1348"/>
      <c r="D5719" s="1348"/>
      <c r="E5719" s="1348"/>
      <c r="F5719" s="1348"/>
      <c r="G5719" s="1348"/>
      <c r="H5719" s="1348"/>
      <c r="I5719" s="1348"/>
      <c r="J5719" s="1348"/>
      <c r="K5719" s="1348"/>
    </row>
    <row r="5720" spans="2:11" hidden="1">
      <c r="B5720" s="1348"/>
      <c r="C5720" s="1348"/>
      <c r="D5720" s="1348"/>
      <c r="E5720" s="1348"/>
      <c r="F5720" s="1348"/>
      <c r="G5720" s="1348"/>
      <c r="H5720" s="1348"/>
      <c r="I5720" s="1348"/>
      <c r="J5720" s="1348"/>
      <c r="K5720" s="1348"/>
    </row>
    <row r="5721" spans="2:11" hidden="1">
      <c r="B5721" s="1348"/>
      <c r="C5721" s="1348"/>
      <c r="D5721" s="1348"/>
      <c r="E5721" s="1348"/>
      <c r="F5721" s="1348"/>
      <c r="G5721" s="1348"/>
      <c r="H5721" s="1348"/>
      <c r="I5721" s="1348"/>
      <c r="J5721" s="1348"/>
      <c r="K5721" s="1348"/>
    </row>
    <row r="5722" spans="2:11" hidden="1">
      <c r="B5722" s="1348"/>
      <c r="C5722" s="1348"/>
      <c r="D5722" s="1348"/>
      <c r="E5722" s="1348"/>
      <c r="F5722" s="1348"/>
      <c r="G5722" s="1348"/>
      <c r="H5722" s="1348"/>
      <c r="I5722" s="1348"/>
      <c r="J5722" s="1348"/>
      <c r="K5722" s="1348"/>
    </row>
    <row r="5723" spans="2:11" hidden="1">
      <c r="B5723" s="1348"/>
      <c r="C5723" s="1348"/>
      <c r="D5723" s="1348"/>
      <c r="E5723" s="1348"/>
      <c r="F5723" s="1348"/>
      <c r="G5723" s="1348"/>
      <c r="H5723" s="1348"/>
      <c r="I5723" s="1348"/>
      <c r="J5723" s="1348"/>
      <c r="K5723" s="1348"/>
    </row>
    <row r="5724" spans="2:11" hidden="1">
      <c r="B5724" s="1348"/>
      <c r="C5724" s="1348"/>
      <c r="D5724" s="1348"/>
      <c r="E5724" s="1348"/>
      <c r="F5724" s="1348"/>
      <c r="G5724" s="1348"/>
      <c r="H5724" s="1348"/>
      <c r="I5724" s="1348"/>
      <c r="J5724" s="1348"/>
      <c r="K5724" s="1348"/>
    </row>
    <row r="5725" spans="2:11" hidden="1">
      <c r="B5725" s="1348"/>
      <c r="C5725" s="1348"/>
      <c r="D5725" s="1348"/>
      <c r="E5725" s="1348"/>
      <c r="F5725" s="1348"/>
      <c r="G5725" s="1348"/>
      <c r="H5725" s="1348"/>
      <c r="I5725" s="1348"/>
      <c r="J5725" s="1348"/>
      <c r="K5725" s="1348"/>
    </row>
    <row r="5726" spans="2:11" hidden="1">
      <c r="B5726" s="1348"/>
      <c r="C5726" s="1348"/>
      <c r="D5726" s="1348"/>
      <c r="E5726" s="1348"/>
      <c r="F5726" s="1348"/>
      <c r="G5726" s="1348"/>
      <c r="H5726" s="1348"/>
      <c r="I5726" s="1348"/>
      <c r="J5726" s="1348"/>
      <c r="K5726" s="1348"/>
    </row>
    <row r="5727" spans="2:11" hidden="1">
      <c r="B5727" s="1348"/>
      <c r="C5727" s="1348"/>
      <c r="D5727" s="1348"/>
      <c r="E5727" s="1348"/>
      <c r="F5727" s="1348"/>
      <c r="G5727" s="1348"/>
      <c r="H5727" s="1348"/>
      <c r="I5727" s="1348"/>
      <c r="J5727" s="1348"/>
      <c r="K5727" s="1348"/>
    </row>
    <row r="5728" spans="2:11" hidden="1">
      <c r="B5728" s="1348"/>
      <c r="C5728" s="1348"/>
      <c r="D5728" s="1348"/>
      <c r="E5728" s="1348"/>
      <c r="F5728" s="1348"/>
      <c r="G5728" s="1348"/>
      <c r="H5728" s="1348"/>
      <c r="I5728" s="1348"/>
      <c r="J5728" s="1348"/>
      <c r="K5728" s="1348"/>
    </row>
    <row r="5729" spans="2:11" hidden="1">
      <c r="B5729" s="1348"/>
      <c r="C5729" s="1348"/>
      <c r="D5729" s="1348"/>
      <c r="E5729" s="1348"/>
      <c r="F5729" s="1348"/>
      <c r="G5729" s="1348"/>
      <c r="H5729" s="1348"/>
      <c r="I5729" s="1348"/>
      <c r="J5729" s="1348"/>
      <c r="K5729" s="1348"/>
    </row>
    <row r="5730" spans="2:11" hidden="1">
      <c r="B5730" s="1348"/>
      <c r="C5730" s="1348"/>
      <c r="D5730" s="1348"/>
      <c r="E5730" s="1348"/>
      <c r="F5730" s="1348"/>
      <c r="G5730" s="1348"/>
      <c r="H5730" s="1348"/>
      <c r="I5730" s="1348"/>
      <c r="J5730" s="1348"/>
      <c r="K5730" s="1348"/>
    </row>
    <row r="5731" spans="2:11" hidden="1">
      <c r="B5731" s="1348"/>
      <c r="C5731" s="1348"/>
      <c r="D5731" s="1348"/>
      <c r="E5731" s="1348"/>
      <c r="F5731" s="1348"/>
      <c r="G5731" s="1348"/>
      <c r="H5731" s="1348"/>
      <c r="I5731" s="1348"/>
      <c r="J5731" s="1348"/>
      <c r="K5731" s="1348"/>
    </row>
    <row r="5732" spans="2:11" hidden="1">
      <c r="B5732" s="1348"/>
      <c r="C5732" s="1348"/>
      <c r="D5732" s="1348"/>
      <c r="E5732" s="1348"/>
      <c r="F5732" s="1348"/>
      <c r="G5732" s="1348"/>
      <c r="H5732" s="1348"/>
      <c r="I5732" s="1348"/>
      <c r="J5732" s="1348"/>
      <c r="K5732" s="1348"/>
    </row>
    <row r="5733" spans="2:11" hidden="1">
      <c r="B5733" s="1348"/>
      <c r="C5733" s="1348"/>
      <c r="D5733" s="1348"/>
      <c r="E5733" s="1348"/>
      <c r="F5733" s="1348"/>
      <c r="G5733" s="1348"/>
      <c r="H5733" s="1348"/>
      <c r="I5733" s="1348"/>
      <c r="J5733" s="1348"/>
      <c r="K5733" s="1348"/>
    </row>
    <row r="5734" spans="2:11" hidden="1">
      <c r="B5734" s="1348"/>
      <c r="C5734" s="1348"/>
      <c r="D5734" s="1348"/>
      <c r="E5734" s="1348"/>
      <c r="F5734" s="1348"/>
      <c r="G5734" s="1348"/>
      <c r="H5734" s="1348"/>
      <c r="I5734" s="1348"/>
      <c r="J5734" s="1348"/>
      <c r="K5734" s="1348"/>
    </row>
    <row r="5735" spans="2:11" hidden="1">
      <c r="B5735" s="1348"/>
      <c r="C5735" s="1348"/>
      <c r="D5735" s="1348"/>
      <c r="E5735" s="1348"/>
      <c r="F5735" s="1348"/>
      <c r="G5735" s="1348"/>
      <c r="H5735" s="1348"/>
      <c r="I5735" s="1348"/>
      <c r="J5735" s="1348"/>
      <c r="K5735" s="1348"/>
    </row>
    <row r="5736" spans="2:11" hidden="1">
      <c r="B5736" s="1348"/>
      <c r="C5736" s="1348"/>
      <c r="D5736" s="1348"/>
      <c r="E5736" s="1348"/>
      <c r="F5736" s="1348"/>
      <c r="G5736" s="1348"/>
      <c r="H5736" s="1348"/>
      <c r="I5736" s="1348"/>
      <c r="J5736" s="1348"/>
      <c r="K5736" s="1348"/>
    </row>
    <row r="5737" spans="2:11" hidden="1">
      <c r="B5737" s="1348"/>
      <c r="C5737" s="1348"/>
      <c r="D5737" s="1348"/>
      <c r="E5737" s="1348"/>
      <c r="F5737" s="1348"/>
      <c r="G5737" s="1348"/>
      <c r="H5737" s="1348"/>
      <c r="I5737" s="1348"/>
      <c r="J5737" s="1348"/>
      <c r="K5737" s="1348"/>
    </row>
    <row r="5738" spans="2:11" hidden="1">
      <c r="B5738" s="1348"/>
      <c r="C5738" s="1348"/>
      <c r="D5738" s="1348"/>
      <c r="E5738" s="1348"/>
      <c r="F5738" s="1348"/>
      <c r="G5738" s="1348"/>
      <c r="H5738" s="1348"/>
      <c r="I5738" s="1348"/>
      <c r="J5738" s="1348"/>
      <c r="K5738" s="1348"/>
    </row>
    <row r="5739" spans="2:11" hidden="1">
      <c r="B5739" s="1348"/>
      <c r="C5739" s="1348"/>
      <c r="D5739" s="1348"/>
      <c r="E5739" s="1348"/>
      <c r="F5739" s="1348"/>
      <c r="G5739" s="1348"/>
      <c r="H5739" s="1348"/>
      <c r="I5739" s="1348"/>
      <c r="J5739" s="1348"/>
      <c r="K5739" s="1348"/>
    </row>
    <row r="5740" spans="2:11" hidden="1">
      <c r="B5740" s="1348"/>
      <c r="C5740" s="1348"/>
      <c r="D5740" s="1348"/>
      <c r="E5740" s="1348"/>
      <c r="F5740" s="1348"/>
      <c r="G5740" s="1348"/>
      <c r="H5740" s="1348"/>
      <c r="I5740" s="1348"/>
      <c r="J5740" s="1348"/>
      <c r="K5740" s="1348"/>
    </row>
    <row r="5741" spans="2:11" hidden="1">
      <c r="B5741" s="1348"/>
      <c r="C5741" s="1348"/>
      <c r="D5741" s="1348"/>
      <c r="E5741" s="1348"/>
      <c r="F5741" s="1348"/>
      <c r="G5741" s="1348"/>
      <c r="H5741" s="1348"/>
      <c r="I5741" s="1348"/>
      <c r="J5741" s="1348"/>
      <c r="K5741" s="1348"/>
    </row>
    <row r="5742" spans="2:11" hidden="1">
      <c r="B5742" s="1348"/>
      <c r="C5742" s="1348"/>
      <c r="D5742" s="1348"/>
      <c r="E5742" s="1348"/>
      <c r="F5742" s="1348"/>
      <c r="G5742" s="1348"/>
      <c r="H5742" s="1348"/>
      <c r="I5742" s="1348"/>
      <c r="J5742" s="1348"/>
      <c r="K5742" s="1348"/>
    </row>
    <row r="5743" spans="2:11" hidden="1">
      <c r="B5743" s="1348"/>
      <c r="C5743" s="1348"/>
      <c r="D5743" s="1348"/>
      <c r="E5743" s="1348"/>
      <c r="F5743" s="1348"/>
      <c r="G5743" s="1348"/>
      <c r="H5743" s="1348"/>
      <c r="I5743" s="1348"/>
      <c r="J5743" s="1348"/>
      <c r="K5743" s="1348"/>
    </row>
    <row r="5744" spans="2:11" hidden="1">
      <c r="B5744" s="1348"/>
      <c r="C5744" s="1348"/>
      <c r="D5744" s="1348"/>
      <c r="E5744" s="1348"/>
      <c r="F5744" s="1348"/>
      <c r="G5744" s="1348"/>
      <c r="H5744" s="1348"/>
      <c r="I5744" s="1348"/>
      <c r="J5744" s="1348"/>
      <c r="K5744" s="1348"/>
    </row>
    <row r="5745" spans="2:11" hidden="1">
      <c r="B5745" s="1348"/>
      <c r="C5745" s="1348"/>
      <c r="D5745" s="1348"/>
      <c r="E5745" s="1348"/>
      <c r="F5745" s="1348"/>
      <c r="G5745" s="1348"/>
      <c r="H5745" s="1348"/>
      <c r="I5745" s="1348"/>
      <c r="J5745" s="1348"/>
      <c r="K5745" s="1348"/>
    </row>
    <row r="5746" spans="2:11" hidden="1">
      <c r="B5746" s="1348"/>
      <c r="C5746" s="1348"/>
      <c r="D5746" s="1348"/>
      <c r="E5746" s="1348"/>
      <c r="F5746" s="1348"/>
      <c r="G5746" s="1348"/>
      <c r="H5746" s="1348"/>
      <c r="I5746" s="1348"/>
      <c r="J5746" s="1348"/>
      <c r="K5746" s="1348"/>
    </row>
    <row r="5747" spans="2:11" hidden="1">
      <c r="B5747" s="1348"/>
      <c r="C5747" s="1348"/>
      <c r="D5747" s="1348"/>
      <c r="E5747" s="1348"/>
      <c r="F5747" s="1348"/>
      <c r="G5747" s="1348"/>
      <c r="H5747" s="1348"/>
      <c r="I5747" s="1348"/>
      <c r="J5747" s="1348"/>
      <c r="K5747" s="1348"/>
    </row>
    <row r="5748" spans="2:11" hidden="1">
      <c r="B5748" s="1348"/>
      <c r="C5748" s="1348"/>
      <c r="D5748" s="1348"/>
      <c r="E5748" s="1348"/>
      <c r="F5748" s="1348"/>
      <c r="G5748" s="1348"/>
      <c r="H5748" s="1348"/>
      <c r="I5748" s="1348"/>
      <c r="J5748" s="1348"/>
      <c r="K5748" s="1348"/>
    </row>
    <row r="5749" spans="2:11" hidden="1">
      <c r="B5749" s="1348"/>
      <c r="C5749" s="1348"/>
      <c r="D5749" s="1348"/>
      <c r="E5749" s="1348"/>
      <c r="F5749" s="1348"/>
      <c r="G5749" s="1348"/>
      <c r="H5749" s="1348"/>
      <c r="I5749" s="1348"/>
      <c r="J5749" s="1348"/>
      <c r="K5749" s="1348"/>
    </row>
    <row r="5750" spans="2:11" hidden="1">
      <c r="B5750" s="1348"/>
      <c r="C5750" s="1348"/>
      <c r="D5750" s="1348"/>
      <c r="E5750" s="1348"/>
      <c r="F5750" s="1348"/>
      <c r="G5750" s="1348"/>
      <c r="H5750" s="1348"/>
      <c r="I5750" s="1348"/>
      <c r="J5750" s="1348"/>
      <c r="K5750" s="1348"/>
    </row>
    <row r="5751" spans="2:11" hidden="1">
      <c r="B5751" s="1348"/>
      <c r="C5751" s="1348"/>
      <c r="D5751" s="1348"/>
      <c r="E5751" s="1348"/>
      <c r="F5751" s="1348"/>
      <c r="G5751" s="1348"/>
      <c r="H5751" s="1348"/>
      <c r="I5751" s="1348"/>
      <c r="J5751" s="1348"/>
      <c r="K5751" s="1348"/>
    </row>
    <row r="5752" spans="2:11" hidden="1">
      <c r="B5752" s="1348"/>
      <c r="C5752" s="1348"/>
      <c r="D5752" s="1348"/>
      <c r="E5752" s="1348"/>
      <c r="F5752" s="1348"/>
      <c r="G5752" s="1348"/>
      <c r="H5752" s="1348"/>
      <c r="I5752" s="1348"/>
      <c r="J5752" s="1348"/>
      <c r="K5752" s="1348"/>
    </row>
    <row r="5753" spans="2:11" hidden="1">
      <c r="B5753" s="1348"/>
      <c r="C5753" s="1348"/>
      <c r="D5753" s="1348"/>
      <c r="E5753" s="1348"/>
      <c r="F5753" s="1348"/>
      <c r="G5753" s="1348"/>
      <c r="H5753" s="1348"/>
      <c r="I5753" s="1348"/>
      <c r="J5753" s="1348"/>
      <c r="K5753" s="1348"/>
    </row>
    <row r="5754" spans="2:11" hidden="1">
      <c r="B5754" s="1348"/>
      <c r="C5754" s="1348"/>
      <c r="D5754" s="1348"/>
      <c r="E5754" s="1348"/>
      <c r="F5754" s="1348"/>
      <c r="G5754" s="1348"/>
      <c r="H5754" s="1348"/>
      <c r="I5754" s="1348"/>
      <c r="J5754" s="1348"/>
      <c r="K5754" s="1348"/>
    </row>
    <row r="5755" spans="2:11" hidden="1">
      <c r="B5755" s="1348"/>
      <c r="C5755" s="1348"/>
      <c r="D5755" s="1348"/>
      <c r="E5755" s="1348"/>
      <c r="F5755" s="1348"/>
      <c r="G5755" s="1348"/>
      <c r="H5755" s="1348"/>
      <c r="I5755" s="1348"/>
      <c r="J5755" s="1348"/>
      <c r="K5755" s="1348"/>
    </row>
    <row r="5756" spans="2:11" hidden="1">
      <c r="B5756" s="1348"/>
      <c r="C5756" s="1348"/>
      <c r="D5756" s="1348"/>
      <c r="E5756" s="1348"/>
      <c r="F5756" s="1348"/>
      <c r="G5756" s="1348"/>
      <c r="H5756" s="1348"/>
      <c r="I5756" s="1348"/>
      <c r="J5756" s="1348"/>
      <c r="K5756" s="1348"/>
    </row>
    <row r="5757" spans="2:11" hidden="1">
      <c r="B5757" s="1348"/>
      <c r="C5757" s="1348"/>
      <c r="D5757" s="1348"/>
      <c r="E5757" s="1348"/>
      <c r="F5757" s="1348"/>
      <c r="G5757" s="1348"/>
      <c r="H5757" s="1348"/>
      <c r="I5757" s="1348"/>
      <c r="J5757" s="1348"/>
      <c r="K5757" s="1348"/>
    </row>
    <row r="5758" spans="2:11" hidden="1">
      <c r="B5758" s="1348"/>
      <c r="C5758" s="1348"/>
      <c r="D5758" s="1348"/>
      <c r="E5758" s="1348"/>
      <c r="F5758" s="1348"/>
      <c r="G5758" s="1348"/>
      <c r="H5758" s="1348"/>
      <c r="I5758" s="1348"/>
      <c r="J5758" s="1348"/>
      <c r="K5758" s="1348"/>
    </row>
    <row r="5759" spans="2:11" hidden="1">
      <c r="B5759" s="1348"/>
      <c r="C5759" s="1348"/>
      <c r="D5759" s="1348"/>
      <c r="E5759" s="1348"/>
      <c r="F5759" s="1348"/>
      <c r="G5759" s="1348"/>
      <c r="H5759" s="1348"/>
      <c r="I5759" s="1348"/>
      <c r="J5759" s="1348"/>
      <c r="K5759" s="1348"/>
    </row>
    <row r="5760" spans="2:11" hidden="1">
      <c r="B5760" s="1348"/>
      <c r="C5760" s="1348"/>
      <c r="D5760" s="1348"/>
      <c r="E5760" s="1348"/>
      <c r="F5760" s="1348"/>
      <c r="G5760" s="1348"/>
      <c r="H5760" s="1348"/>
      <c r="I5760" s="1348"/>
      <c r="J5760" s="1348"/>
      <c r="K5760" s="1348"/>
    </row>
    <row r="5761" spans="2:11" hidden="1">
      <c r="B5761" s="1348"/>
      <c r="C5761" s="1348"/>
      <c r="D5761" s="1348"/>
      <c r="E5761" s="1348"/>
      <c r="F5761" s="1348"/>
      <c r="G5761" s="1348"/>
      <c r="H5761" s="1348"/>
      <c r="I5761" s="1348"/>
      <c r="J5761" s="1348"/>
      <c r="K5761" s="1348"/>
    </row>
    <row r="5762" spans="2:11" hidden="1">
      <c r="B5762" s="1348"/>
      <c r="C5762" s="1348"/>
      <c r="D5762" s="1348"/>
      <c r="E5762" s="1348"/>
      <c r="F5762" s="1348"/>
      <c r="G5762" s="1348"/>
      <c r="H5762" s="1348"/>
      <c r="I5762" s="1348"/>
      <c r="J5762" s="1348"/>
      <c r="K5762" s="1348"/>
    </row>
    <row r="5763" spans="2:11" hidden="1">
      <c r="B5763" s="1348"/>
      <c r="C5763" s="1348"/>
      <c r="D5763" s="1348"/>
      <c r="E5763" s="1348"/>
      <c r="F5763" s="1348"/>
      <c r="G5763" s="1348"/>
      <c r="H5763" s="1348"/>
      <c r="I5763" s="1348"/>
      <c r="J5763" s="1348"/>
      <c r="K5763" s="1348"/>
    </row>
    <row r="5764" spans="2:11" hidden="1">
      <c r="B5764" s="1348"/>
      <c r="C5764" s="1348"/>
      <c r="D5764" s="1348"/>
      <c r="E5764" s="1348"/>
      <c r="F5764" s="1348"/>
      <c r="G5764" s="1348"/>
      <c r="H5764" s="1348"/>
      <c r="I5764" s="1348"/>
      <c r="J5764" s="1348"/>
      <c r="K5764" s="1348"/>
    </row>
    <row r="5765" spans="2:11" hidden="1">
      <c r="B5765" s="1348"/>
      <c r="C5765" s="1348"/>
      <c r="D5765" s="1348"/>
      <c r="E5765" s="1348"/>
      <c r="F5765" s="1348"/>
      <c r="G5765" s="1348"/>
      <c r="H5765" s="1348"/>
      <c r="I5765" s="1348"/>
      <c r="J5765" s="1348"/>
      <c r="K5765" s="1348"/>
    </row>
    <row r="5766" spans="2:11" hidden="1">
      <c r="B5766" s="1348"/>
      <c r="C5766" s="1348"/>
      <c r="D5766" s="1348"/>
      <c r="E5766" s="1348"/>
      <c r="F5766" s="1348"/>
      <c r="G5766" s="1348"/>
      <c r="H5766" s="1348"/>
      <c r="I5766" s="1348"/>
      <c r="J5766" s="1348"/>
      <c r="K5766" s="1348"/>
    </row>
    <row r="5767" spans="2:11" hidden="1">
      <c r="B5767" s="1348"/>
      <c r="C5767" s="1348"/>
      <c r="D5767" s="1348"/>
      <c r="E5767" s="1348"/>
      <c r="F5767" s="1348"/>
      <c r="G5767" s="1348"/>
      <c r="H5767" s="1348"/>
      <c r="I5767" s="1348"/>
      <c r="J5767" s="1348"/>
      <c r="K5767" s="1348"/>
    </row>
    <row r="5768" spans="2:11" hidden="1">
      <c r="B5768" s="1348"/>
      <c r="C5768" s="1348"/>
      <c r="D5768" s="1348"/>
      <c r="E5768" s="1348"/>
      <c r="F5768" s="1348"/>
      <c r="G5768" s="1348"/>
      <c r="H5768" s="1348"/>
      <c r="I5768" s="1348"/>
      <c r="J5768" s="1348"/>
      <c r="K5768" s="1348"/>
    </row>
    <row r="5769" spans="2:11" hidden="1">
      <c r="B5769" s="1348"/>
      <c r="C5769" s="1348"/>
      <c r="D5769" s="1348"/>
      <c r="E5769" s="1348"/>
      <c r="F5769" s="1348"/>
      <c r="G5769" s="1348"/>
      <c r="H5769" s="1348"/>
      <c r="I5769" s="1348"/>
      <c r="J5769" s="1348"/>
      <c r="K5769" s="1348"/>
    </row>
    <row r="5770" spans="2:11" hidden="1">
      <c r="B5770" s="1348"/>
      <c r="C5770" s="1348"/>
      <c r="D5770" s="1348"/>
      <c r="E5770" s="1348"/>
      <c r="F5770" s="1348"/>
      <c r="G5770" s="1348"/>
      <c r="H5770" s="1348"/>
      <c r="I5770" s="1348"/>
      <c r="J5770" s="1348"/>
      <c r="K5770" s="1348"/>
    </row>
    <row r="5771" spans="2:11" hidden="1">
      <c r="B5771" s="1348"/>
      <c r="C5771" s="1348"/>
      <c r="D5771" s="1348"/>
      <c r="E5771" s="1348"/>
      <c r="F5771" s="1348"/>
      <c r="G5771" s="1348"/>
      <c r="H5771" s="1348"/>
      <c r="I5771" s="1348"/>
      <c r="J5771" s="1348"/>
      <c r="K5771" s="1348"/>
    </row>
    <row r="5772" spans="2:11" hidden="1">
      <c r="B5772" s="1348"/>
      <c r="C5772" s="1348"/>
      <c r="D5772" s="1348"/>
      <c r="E5772" s="1348"/>
      <c r="F5772" s="1348"/>
      <c r="G5772" s="1348"/>
      <c r="H5772" s="1348"/>
      <c r="I5772" s="1348"/>
      <c r="J5772" s="1348"/>
      <c r="K5772" s="1348"/>
    </row>
    <row r="5773" spans="2:11" hidden="1">
      <c r="B5773" s="1348"/>
      <c r="C5773" s="1348"/>
      <c r="D5773" s="1348"/>
      <c r="E5773" s="1348"/>
      <c r="F5773" s="1348"/>
      <c r="G5773" s="1348"/>
      <c r="H5773" s="1348"/>
      <c r="I5773" s="1348"/>
      <c r="J5773" s="1348"/>
      <c r="K5773" s="1348"/>
    </row>
    <row r="5774" spans="2:11" hidden="1">
      <c r="B5774" s="1348"/>
      <c r="C5774" s="1348"/>
      <c r="D5774" s="1348"/>
      <c r="E5774" s="1348"/>
      <c r="F5774" s="1348"/>
      <c r="G5774" s="1348"/>
      <c r="H5774" s="1348"/>
      <c r="I5774" s="1348"/>
      <c r="J5774" s="1348"/>
      <c r="K5774" s="1348"/>
    </row>
    <row r="5775" spans="2:11" hidden="1">
      <c r="B5775" s="1348"/>
      <c r="C5775" s="1348"/>
      <c r="D5775" s="1348"/>
      <c r="E5775" s="1348"/>
      <c r="F5775" s="1348"/>
      <c r="G5775" s="1348"/>
      <c r="H5775" s="1348"/>
      <c r="I5775" s="1348"/>
      <c r="J5775" s="1348"/>
      <c r="K5775" s="1348"/>
    </row>
    <row r="5776" spans="2:11" hidden="1">
      <c r="B5776" s="1348"/>
      <c r="C5776" s="1348"/>
      <c r="D5776" s="1348"/>
      <c r="E5776" s="1348"/>
      <c r="F5776" s="1348"/>
      <c r="G5776" s="1348"/>
      <c r="H5776" s="1348"/>
      <c r="I5776" s="1348"/>
      <c r="J5776" s="1348"/>
      <c r="K5776" s="1348"/>
    </row>
    <row r="5777" spans="2:11" hidden="1">
      <c r="B5777" s="1348"/>
      <c r="C5777" s="1348"/>
      <c r="D5777" s="1348"/>
      <c r="E5777" s="1348"/>
      <c r="F5777" s="1348"/>
      <c r="G5777" s="1348"/>
      <c r="H5777" s="1348"/>
      <c r="I5777" s="1348"/>
      <c r="J5777" s="1348"/>
      <c r="K5777" s="1348"/>
    </row>
    <row r="5778" spans="2:11" hidden="1">
      <c r="B5778" s="1348"/>
      <c r="C5778" s="1348"/>
      <c r="D5778" s="1348"/>
      <c r="E5778" s="1348"/>
      <c r="F5778" s="1348"/>
      <c r="G5778" s="1348"/>
      <c r="H5778" s="1348"/>
      <c r="I5778" s="1348"/>
      <c r="J5778" s="1348"/>
      <c r="K5778" s="1348"/>
    </row>
    <row r="5779" spans="2:11" hidden="1">
      <c r="B5779" s="1348"/>
      <c r="C5779" s="1348"/>
      <c r="D5779" s="1348"/>
      <c r="E5779" s="1348"/>
      <c r="F5779" s="1348"/>
      <c r="G5779" s="1348"/>
      <c r="H5779" s="1348"/>
      <c r="I5779" s="1348"/>
      <c r="J5779" s="1348"/>
      <c r="K5779" s="1348"/>
    </row>
    <row r="5780" spans="2:11" hidden="1">
      <c r="B5780" s="1348"/>
      <c r="C5780" s="1348"/>
      <c r="D5780" s="1348"/>
      <c r="E5780" s="1348"/>
      <c r="F5780" s="1348"/>
      <c r="G5780" s="1348"/>
      <c r="H5780" s="1348"/>
      <c r="I5780" s="1348"/>
      <c r="J5780" s="1348"/>
      <c r="K5780" s="1348"/>
    </row>
    <row r="5781" spans="2:11" hidden="1">
      <c r="B5781" s="1348"/>
      <c r="C5781" s="1348"/>
      <c r="D5781" s="1348"/>
      <c r="E5781" s="1348"/>
      <c r="F5781" s="1348"/>
      <c r="G5781" s="1348"/>
      <c r="H5781" s="1348"/>
      <c r="I5781" s="1348"/>
      <c r="J5781" s="1348"/>
      <c r="K5781" s="1348"/>
    </row>
    <row r="5782" spans="2:11" hidden="1">
      <c r="B5782" s="1348"/>
      <c r="C5782" s="1348"/>
      <c r="D5782" s="1348"/>
      <c r="E5782" s="1348"/>
      <c r="F5782" s="1348"/>
      <c r="G5782" s="1348"/>
      <c r="H5782" s="1348"/>
      <c r="I5782" s="1348"/>
      <c r="J5782" s="1348"/>
      <c r="K5782" s="1348"/>
    </row>
    <row r="5783" spans="2:11" hidden="1">
      <c r="B5783" s="1348"/>
      <c r="C5783" s="1348"/>
      <c r="D5783" s="1348"/>
      <c r="E5783" s="1348"/>
      <c r="F5783" s="1348"/>
      <c r="G5783" s="1348"/>
      <c r="H5783" s="1348"/>
      <c r="I5783" s="1348"/>
      <c r="J5783" s="1348"/>
      <c r="K5783" s="1348"/>
    </row>
    <row r="5784" spans="2:11" hidden="1">
      <c r="B5784" s="1348"/>
      <c r="C5784" s="1348"/>
      <c r="D5784" s="1348"/>
      <c r="E5784" s="1348"/>
      <c r="F5784" s="1348"/>
      <c r="G5784" s="1348"/>
      <c r="H5784" s="1348"/>
      <c r="I5784" s="1348"/>
      <c r="J5784" s="1348"/>
      <c r="K5784" s="1348"/>
    </row>
    <row r="5785" spans="2:11" hidden="1">
      <c r="B5785" s="1348"/>
      <c r="C5785" s="1348"/>
      <c r="D5785" s="1348"/>
      <c r="E5785" s="1348"/>
      <c r="F5785" s="1348"/>
      <c r="G5785" s="1348"/>
      <c r="H5785" s="1348"/>
      <c r="I5785" s="1348"/>
      <c r="J5785" s="1348"/>
      <c r="K5785" s="1348"/>
    </row>
    <row r="5786" spans="2:11" hidden="1">
      <c r="B5786" s="1348"/>
      <c r="C5786" s="1348"/>
      <c r="D5786" s="1348"/>
      <c r="E5786" s="1348"/>
      <c r="F5786" s="1348"/>
      <c r="G5786" s="1348"/>
      <c r="H5786" s="1348"/>
      <c r="I5786" s="1348"/>
      <c r="J5786" s="1348"/>
      <c r="K5786" s="1348"/>
    </row>
    <row r="5787" spans="2:11" hidden="1">
      <c r="B5787" s="1348"/>
      <c r="C5787" s="1348"/>
      <c r="D5787" s="1348"/>
      <c r="E5787" s="1348"/>
      <c r="F5787" s="1348"/>
      <c r="G5787" s="1348"/>
      <c r="H5787" s="1348"/>
      <c r="I5787" s="1348"/>
      <c r="J5787" s="1348"/>
      <c r="K5787" s="1348"/>
    </row>
    <row r="5788" spans="2:11" hidden="1">
      <c r="B5788" s="1348"/>
      <c r="C5788" s="1348"/>
      <c r="D5788" s="1348"/>
      <c r="E5788" s="1348"/>
      <c r="F5788" s="1348"/>
      <c r="G5788" s="1348"/>
      <c r="H5788" s="1348"/>
      <c r="I5788" s="1348"/>
      <c r="J5788" s="1348"/>
      <c r="K5788" s="1348"/>
    </row>
    <row r="5789" spans="2:11" hidden="1">
      <c r="B5789" s="1348"/>
      <c r="C5789" s="1348"/>
      <c r="D5789" s="1348"/>
      <c r="E5789" s="1348"/>
      <c r="F5789" s="1348"/>
      <c r="G5789" s="1348"/>
      <c r="H5789" s="1348"/>
      <c r="I5789" s="1348"/>
      <c r="J5789" s="1348"/>
      <c r="K5789" s="1348"/>
    </row>
    <row r="5790" spans="2:11" hidden="1">
      <c r="B5790" s="1348"/>
      <c r="C5790" s="1348"/>
      <c r="D5790" s="1348"/>
      <c r="E5790" s="1348"/>
      <c r="F5790" s="1348"/>
      <c r="G5790" s="1348"/>
      <c r="H5790" s="1348"/>
      <c r="I5790" s="1348"/>
      <c r="J5790" s="1348"/>
      <c r="K5790" s="1348"/>
    </row>
    <row r="5791" spans="2:11" hidden="1">
      <c r="B5791" s="1348"/>
      <c r="C5791" s="1348"/>
      <c r="D5791" s="1348"/>
      <c r="E5791" s="1348"/>
      <c r="F5791" s="1348"/>
      <c r="G5791" s="1348"/>
      <c r="H5791" s="1348"/>
      <c r="I5791" s="1348"/>
      <c r="J5791" s="1348"/>
      <c r="K5791" s="1348"/>
    </row>
    <row r="5792" spans="2:11" hidden="1">
      <c r="B5792" s="1348"/>
      <c r="C5792" s="1348"/>
      <c r="D5792" s="1348"/>
      <c r="E5792" s="1348"/>
      <c r="F5792" s="1348"/>
      <c r="G5792" s="1348"/>
      <c r="H5792" s="1348"/>
      <c r="I5792" s="1348"/>
      <c r="J5792" s="1348"/>
      <c r="K5792" s="1348"/>
    </row>
    <row r="5793" spans="2:11" hidden="1">
      <c r="B5793" s="1348"/>
      <c r="C5793" s="1348"/>
      <c r="D5793" s="1348"/>
      <c r="E5793" s="1348"/>
      <c r="F5793" s="1348"/>
      <c r="G5793" s="1348"/>
      <c r="H5793" s="1348"/>
      <c r="I5793" s="1348"/>
      <c r="J5793" s="1348"/>
      <c r="K5793" s="1348"/>
    </row>
    <row r="5794" spans="2:11" hidden="1">
      <c r="B5794" s="1348"/>
      <c r="C5794" s="1348"/>
      <c r="D5794" s="1348"/>
      <c r="E5794" s="1348"/>
      <c r="F5794" s="1348"/>
      <c r="G5794" s="1348"/>
      <c r="H5794" s="1348"/>
      <c r="I5794" s="1348"/>
      <c r="J5794" s="1348"/>
      <c r="K5794" s="1348"/>
    </row>
    <row r="5795" spans="2:11" hidden="1">
      <c r="B5795" s="1348"/>
      <c r="C5795" s="1348"/>
      <c r="D5795" s="1348"/>
      <c r="E5795" s="1348"/>
      <c r="F5795" s="1348"/>
      <c r="G5795" s="1348"/>
      <c r="H5795" s="1348"/>
      <c r="I5795" s="1348"/>
      <c r="J5795" s="1348"/>
      <c r="K5795" s="1348"/>
    </row>
    <row r="5796" spans="2:11" hidden="1">
      <c r="B5796" s="1348"/>
      <c r="C5796" s="1348"/>
      <c r="D5796" s="1348"/>
      <c r="E5796" s="1348"/>
      <c r="F5796" s="1348"/>
      <c r="G5796" s="1348"/>
      <c r="H5796" s="1348"/>
      <c r="I5796" s="1348"/>
      <c r="J5796" s="1348"/>
      <c r="K5796" s="1348"/>
    </row>
    <row r="5797" spans="2:11" hidden="1">
      <c r="B5797" s="1348"/>
      <c r="C5797" s="1348"/>
      <c r="D5797" s="1348"/>
      <c r="E5797" s="1348"/>
      <c r="F5797" s="1348"/>
      <c r="G5797" s="1348"/>
      <c r="H5797" s="1348"/>
      <c r="I5797" s="1348"/>
      <c r="J5797" s="1348"/>
      <c r="K5797" s="1348"/>
    </row>
    <row r="5798" spans="2:11" hidden="1">
      <c r="B5798" s="1348"/>
      <c r="C5798" s="1348"/>
      <c r="D5798" s="1348"/>
      <c r="E5798" s="1348"/>
      <c r="F5798" s="1348"/>
      <c r="G5798" s="1348"/>
      <c r="H5798" s="1348"/>
      <c r="I5798" s="1348"/>
      <c r="J5798" s="1348"/>
      <c r="K5798" s="1348"/>
    </row>
    <row r="5799" spans="2:11" hidden="1">
      <c r="B5799" s="1348"/>
      <c r="C5799" s="1348"/>
      <c r="D5799" s="1348"/>
      <c r="E5799" s="1348"/>
      <c r="F5799" s="1348"/>
      <c r="G5799" s="1348"/>
      <c r="H5799" s="1348"/>
      <c r="I5799" s="1348"/>
      <c r="J5799" s="1348"/>
      <c r="K5799" s="1348"/>
    </row>
    <row r="5800" spans="2:11" hidden="1">
      <c r="B5800" s="1348"/>
      <c r="C5800" s="1348"/>
      <c r="D5800" s="1348"/>
      <c r="E5800" s="1348"/>
      <c r="F5800" s="1348"/>
      <c r="G5800" s="1348"/>
      <c r="H5800" s="1348"/>
      <c r="I5800" s="1348"/>
      <c r="J5800" s="1348"/>
      <c r="K5800" s="1348"/>
    </row>
    <row r="5801" spans="2:11" hidden="1">
      <c r="B5801" s="1348"/>
      <c r="C5801" s="1348"/>
      <c r="D5801" s="1348"/>
      <c r="E5801" s="1348"/>
      <c r="F5801" s="1348"/>
      <c r="G5801" s="1348"/>
      <c r="H5801" s="1348"/>
      <c r="I5801" s="1348"/>
      <c r="J5801" s="1348"/>
      <c r="K5801" s="1348"/>
    </row>
    <row r="5802" spans="2:11" hidden="1">
      <c r="B5802" s="1348"/>
      <c r="C5802" s="1348"/>
      <c r="D5802" s="1348"/>
      <c r="E5802" s="1348"/>
      <c r="F5802" s="1348"/>
      <c r="G5802" s="1348"/>
      <c r="H5802" s="1348"/>
      <c r="I5802" s="1348"/>
      <c r="J5802" s="1348"/>
      <c r="K5802" s="1348"/>
    </row>
    <row r="5803" spans="2:11" hidden="1">
      <c r="B5803" s="1348"/>
      <c r="C5803" s="1348"/>
      <c r="D5803" s="1348"/>
      <c r="E5803" s="1348"/>
      <c r="F5803" s="1348"/>
      <c r="G5803" s="1348"/>
      <c r="H5803" s="1348"/>
      <c r="I5803" s="1348"/>
      <c r="J5803" s="1348"/>
      <c r="K5803" s="1348"/>
    </row>
    <row r="5804" spans="2:11" hidden="1">
      <c r="B5804" s="1348"/>
      <c r="C5804" s="1348"/>
      <c r="D5804" s="1348"/>
      <c r="E5804" s="1348"/>
      <c r="F5804" s="1348"/>
      <c r="G5804" s="1348"/>
      <c r="H5804" s="1348"/>
      <c r="I5804" s="1348"/>
      <c r="J5804" s="1348"/>
      <c r="K5804" s="1348"/>
    </row>
    <row r="5805" spans="2:11" hidden="1">
      <c r="B5805" s="1348"/>
      <c r="C5805" s="1348"/>
      <c r="D5805" s="1348"/>
      <c r="E5805" s="1348"/>
      <c r="F5805" s="1348"/>
      <c r="G5805" s="1348"/>
      <c r="H5805" s="1348"/>
      <c r="I5805" s="1348"/>
      <c r="J5805" s="1348"/>
      <c r="K5805" s="1348"/>
    </row>
    <row r="5806" spans="2:11" hidden="1">
      <c r="B5806" s="1348"/>
      <c r="C5806" s="1348"/>
      <c r="D5806" s="1348"/>
      <c r="E5806" s="1348"/>
      <c r="F5806" s="1348"/>
      <c r="G5806" s="1348"/>
      <c r="H5806" s="1348"/>
      <c r="I5806" s="1348"/>
      <c r="J5806" s="1348"/>
      <c r="K5806" s="1348"/>
    </row>
    <row r="5807" spans="2:11" hidden="1">
      <c r="B5807" s="1348"/>
      <c r="C5807" s="1348"/>
      <c r="D5807" s="1348"/>
      <c r="E5807" s="1348"/>
      <c r="F5807" s="1348"/>
      <c r="G5807" s="1348"/>
      <c r="H5807" s="1348"/>
      <c r="I5807" s="1348"/>
      <c r="J5807" s="1348"/>
      <c r="K5807" s="1348"/>
    </row>
    <row r="5808" spans="2:11" hidden="1">
      <c r="B5808" s="1348"/>
      <c r="C5808" s="1348"/>
      <c r="D5808" s="1348"/>
      <c r="E5808" s="1348"/>
      <c r="F5808" s="1348"/>
      <c r="G5808" s="1348"/>
      <c r="H5808" s="1348"/>
      <c r="I5808" s="1348"/>
      <c r="J5808" s="1348"/>
      <c r="K5808" s="1348"/>
    </row>
    <row r="5809" spans="2:11" hidden="1">
      <c r="B5809" s="1348"/>
      <c r="C5809" s="1348"/>
      <c r="D5809" s="1348"/>
      <c r="E5809" s="1348"/>
      <c r="F5809" s="1348"/>
      <c r="G5809" s="1348"/>
      <c r="H5809" s="1348"/>
      <c r="I5809" s="1348"/>
      <c r="J5809" s="1348"/>
      <c r="K5809" s="1348"/>
    </row>
    <row r="5810" spans="2:11" hidden="1">
      <c r="B5810" s="1348"/>
      <c r="C5810" s="1348"/>
      <c r="D5810" s="1348"/>
      <c r="E5810" s="1348"/>
      <c r="F5810" s="1348"/>
      <c r="G5810" s="1348"/>
      <c r="H5810" s="1348"/>
      <c r="I5810" s="1348"/>
      <c r="J5810" s="1348"/>
      <c r="K5810" s="1348"/>
    </row>
    <row r="5811" spans="2:11" hidden="1">
      <c r="B5811" s="1348"/>
      <c r="C5811" s="1348"/>
      <c r="D5811" s="1348"/>
      <c r="E5811" s="1348"/>
      <c r="F5811" s="1348"/>
      <c r="G5811" s="1348"/>
      <c r="H5811" s="1348"/>
      <c r="I5811" s="1348"/>
      <c r="J5811" s="1348"/>
      <c r="K5811" s="1348"/>
    </row>
    <row r="5812" spans="2:11" hidden="1">
      <c r="B5812" s="1348"/>
      <c r="C5812" s="1348"/>
      <c r="D5812" s="1348"/>
      <c r="E5812" s="1348"/>
      <c r="F5812" s="1348"/>
      <c r="G5812" s="1348"/>
      <c r="H5812" s="1348"/>
      <c r="I5812" s="1348"/>
      <c r="J5812" s="1348"/>
      <c r="K5812" s="1348"/>
    </row>
    <row r="5813" spans="2:11" hidden="1">
      <c r="B5813" s="1348"/>
      <c r="C5813" s="1348"/>
      <c r="D5813" s="1348"/>
      <c r="E5813" s="1348"/>
      <c r="F5813" s="1348"/>
      <c r="G5813" s="1348"/>
      <c r="H5813" s="1348"/>
      <c r="I5813" s="1348"/>
      <c r="J5813" s="1348"/>
      <c r="K5813" s="1348"/>
    </row>
    <row r="5814" spans="2:11" hidden="1">
      <c r="B5814" s="1348"/>
      <c r="C5814" s="1348"/>
      <c r="D5814" s="1348"/>
      <c r="E5814" s="1348"/>
      <c r="F5814" s="1348"/>
      <c r="G5814" s="1348"/>
      <c r="H5814" s="1348"/>
      <c r="I5814" s="1348"/>
      <c r="J5814" s="1348"/>
      <c r="K5814" s="1348"/>
    </row>
    <row r="5815" spans="2:11" hidden="1">
      <c r="B5815" s="1348"/>
      <c r="C5815" s="1348"/>
      <c r="D5815" s="1348"/>
      <c r="E5815" s="1348"/>
      <c r="F5815" s="1348"/>
      <c r="G5815" s="1348"/>
      <c r="H5815" s="1348"/>
      <c r="I5815" s="1348"/>
      <c r="J5815" s="1348"/>
      <c r="K5815" s="1348"/>
    </row>
    <row r="5816" spans="2:11" hidden="1">
      <c r="B5816" s="1348"/>
      <c r="C5816" s="1348"/>
      <c r="D5816" s="1348"/>
      <c r="E5816" s="1348"/>
      <c r="F5816" s="1348"/>
      <c r="G5816" s="1348"/>
      <c r="H5816" s="1348"/>
      <c r="I5816" s="1348"/>
      <c r="J5816" s="1348"/>
      <c r="K5816" s="1348"/>
    </row>
    <row r="5817" spans="2:11" hidden="1">
      <c r="B5817" s="1348"/>
      <c r="C5817" s="1348"/>
      <c r="D5817" s="1348"/>
      <c r="E5817" s="1348"/>
      <c r="F5817" s="1348"/>
      <c r="G5817" s="1348"/>
      <c r="H5817" s="1348"/>
      <c r="I5817" s="1348"/>
      <c r="J5817" s="1348"/>
      <c r="K5817" s="1348"/>
    </row>
    <row r="5818" spans="2:11" hidden="1">
      <c r="B5818" s="1348"/>
      <c r="C5818" s="1348"/>
      <c r="D5818" s="1348"/>
      <c r="E5818" s="1348"/>
      <c r="F5818" s="1348"/>
      <c r="G5818" s="1348"/>
      <c r="H5818" s="1348"/>
      <c r="I5818" s="1348"/>
      <c r="J5818" s="1348"/>
      <c r="K5818" s="1348"/>
    </row>
    <row r="5819" spans="2:11" hidden="1">
      <c r="B5819" s="1348"/>
      <c r="C5819" s="1348"/>
      <c r="D5819" s="1348"/>
      <c r="E5819" s="1348"/>
      <c r="F5819" s="1348"/>
      <c r="G5819" s="1348"/>
      <c r="H5819" s="1348"/>
      <c r="I5819" s="1348"/>
      <c r="J5819" s="1348"/>
      <c r="K5819" s="1348"/>
    </row>
    <row r="5820" spans="2:11" hidden="1">
      <c r="B5820" s="1348"/>
      <c r="C5820" s="1348"/>
      <c r="D5820" s="1348"/>
      <c r="E5820" s="1348"/>
      <c r="F5820" s="1348"/>
      <c r="G5820" s="1348"/>
      <c r="H5820" s="1348"/>
      <c r="I5820" s="1348"/>
      <c r="J5820" s="1348"/>
      <c r="K5820" s="1348"/>
    </row>
    <row r="5821" spans="2:11" hidden="1">
      <c r="B5821" s="1348"/>
      <c r="C5821" s="1348"/>
      <c r="D5821" s="1348"/>
      <c r="E5821" s="1348"/>
      <c r="F5821" s="1348"/>
      <c r="G5821" s="1348"/>
      <c r="H5821" s="1348"/>
      <c r="I5821" s="1348"/>
      <c r="J5821" s="1348"/>
      <c r="K5821" s="1348"/>
    </row>
    <row r="5822" spans="2:11" hidden="1">
      <c r="B5822" s="1348"/>
      <c r="C5822" s="1348"/>
      <c r="D5822" s="1348"/>
      <c r="E5822" s="1348"/>
      <c r="F5822" s="1348"/>
      <c r="G5822" s="1348"/>
      <c r="H5822" s="1348"/>
      <c r="I5822" s="1348"/>
      <c r="J5822" s="1348"/>
      <c r="K5822" s="1348"/>
    </row>
    <row r="5823" spans="2:11" hidden="1">
      <c r="B5823" s="1348"/>
      <c r="C5823" s="1348"/>
      <c r="D5823" s="1348"/>
      <c r="E5823" s="1348"/>
      <c r="F5823" s="1348"/>
      <c r="G5823" s="1348"/>
      <c r="H5823" s="1348"/>
      <c r="I5823" s="1348"/>
      <c r="J5823" s="1348"/>
      <c r="K5823" s="1348"/>
    </row>
    <row r="5824" spans="2:11" hidden="1">
      <c r="B5824" s="1348"/>
      <c r="C5824" s="1348"/>
      <c r="D5824" s="1348"/>
      <c r="E5824" s="1348"/>
      <c r="F5824" s="1348"/>
      <c r="G5824" s="1348"/>
      <c r="H5824" s="1348"/>
      <c r="I5824" s="1348"/>
      <c r="J5824" s="1348"/>
      <c r="K5824" s="1348"/>
    </row>
    <row r="5825" spans="2:11" hidden="1">
      <c r="B5825" s="1348"/>
      <c r="C5825" s="1348"/>
      <c r="D5825" s="1348"/>
      <c r="E5825" s="1348"/>
      <c r="F5825" s="1348"/>
      <c r="G5825" s="1348"/>
      <c r="H5825" s="1348"/>
      <c r="I5825" s="1348"/>
      <c r="J5825" s="1348"/>
      <c r="K5825" s="1348"/>
    </row>
    <row r="5826" spans="2:11" hidden="1">
      <c r="B5826" s="1348"/>
      <c r="C5826" s="1348"/>
      <c r="D5826" s="1348"/>
      <c r="E5826" s="1348"/>
      <c r="F5826" s="1348"/>
      <c r="G5826" s="1348"/>
      <c r="H5826" s="1348"/>
      <c r="I5826" s="1348"/>
      <c r="J5826" s="1348"/>
      <c r="K5826" s="1348"/>
    </row>
    <row r="5827" spans="2:11" hidden="1">
      <c r="B5827" s="1348"/>
      <c r="C5827" s="1348"/>
      <c r="D5827" s="1348"/>
      <c r="E5827" s="1348"/>
      <c r="F5827" s="1348"/>
      <c r="G5827" s="1348"/>
      <c r="H5827" s="1348"/>
      <c r="I5827" s="1348"/>
      <c r="J5827" s="1348"/>
      <c r="K5827" s="1348"/>
    </row>
    <row r="5828" spans="2:11" hidden="1">
      <c r="B5828" s="1348"/>
      <c r="C5828" s="1348"/>
      <c r="D5828" s="1348"/>
      <c r="E5828" s="1348"/>
      <c r="F5828" s="1348"/>
      <c r="G5828" s="1348"/>
      <c r="H5828" s="1348"/>
      <c r="I5828" s="1348"/>
      <c r="J5828" s="1348"/>
      <c r="K5828" s="1348"/>
    </row>
    <row r="5829" spans="2:11" hidden="1">
      <c r="B5829" s="1348"/>
      <c r="C5829" s="1348"/>
      <c r="D5829" s="1348"/>
      <c r="E5829" s="1348"/>
      <c r="F5829" s="1348"/>
      <c r="G5829" s="1348"/>
      <c r="H5829" s="1348"/>
      <c r="I5829" s="1348"/>
      <c r="J5829" s="1348"/>
      <c r="K5829" s="1348"/>
    </row>
    <row r="5830" spans="2:11" hidden="1">
      <c r="B5830" s="1348"/>
      <c r="C5830" s="1348"/>
      <c r="D5830" s="1348"/>
      <c r="E5830" s="1348"/>
      <c r="F5830" s="1348"/>
      <c r="G5830" s="1348"/>
      <c r="H5830" s="1348"/>
      <c r="I5830" s="1348"/>
      <c r="J5830" s="1348"/>
      <c r="K5830" s="1348"/>
    </row>
    <row r="5831" spans="2:11" hidden="1">
      <c r="B5831" s="1348"/>
      <c r="C5831" s="1348"/>
      <c r="D5831" s="1348"/>
      <c r="E5831" s="1348"/>
      <c r="F5831" s="1348"/>
      <c r="G5831" s="1348"/>
      <c r="H5831" s="1348"/>
      <c r="I5831" s="1348"/>
      <c r="J5831" s="1348"/>
      <c r="K5831" s="1348"/>
    </row>
    <row r="5832" spans="2:11" hidden="1">
      <c r="B5832" s="1348"/>
      <c r="C5832" s="1348"/>
      <c r="D5832" s="1348"/>
      <c r="E5832" s="1348"/>
      <c r="F5832" s="1348"/>
      <c r="G5832" s="1348"/>
      <c r="H5832" s="1348"/>
      <c r="I5832" s="1348"/>
      <c r="J5832" s="1348"/>
      <c r="K5832" s="1348"/>
    </row>
    <row r="5833" spans="2:11" hidden="1">
      <c r="B5833" s="1348"/>
      <c r="C5833" s="1348"/>
      <c r="D5833" s="1348"/>
      <c r="E5833" s="1348"/>
      <c r="F5833" s="1348"/>
      <c r="G5833" s="1348"/>
      <c r="H5833" s="1348"/>
      <c r="I5833" s="1348"/>
      <c r="J5833" s="1348"/>
      <c r="K5833" s="1348"/>
    </row>
    <row r="5834" spans="2:11" hidden="1">
      <c r="B5834" s="1348"/>
      <c r="C5834" s="1348"/>
      <c r="D5834" s="1348"/>
      <c r="E5834" s="1348"/>
      <c r="F5834" s="1348"/>
      <c r="G5834" s="1348"/>
      <c r="H5834" s="1348"/>
      <c r="I5834" s="1348"/>
      <c r="J5834" s="1348"/>
      <c r="K5834" s="1348"/>
    </row>
    <row r="5835" spans="2:11" hidden="1">
      <c r="B5835" s="1348"/>
      <c r="C5835" s="1348"/>
      <c r="D5835" s="1348"/>
      <c r="E5835" s="1348"/>
      <c r="F5835" s="1348"/>
      <c r="G5835" s="1348"/>
      <c r="H5835" s="1348"/>
      <c r="I5835" s="1348"/>
      <c r="J5835" s="1348"/>
      <c r="K5835" s="1348"/>
    </row>
    <row r="5836" spans="2:11" hidden="1">
      <c r="B5836" s="1348"/>
      <c r="C5836" s="1348"/>
      <c r="D5836" s="1348"/>
      <c r="E5836" s="1348"/>
      <c r="F5836" s="1348"/>
      <c r="G5836" s="1348"/>
      <c r="H5836" s="1348"/>
      <c r="I5836" s="1348"/>
      <c r="J5836" s="1348"/>
      <c r="K5836" s="1348"/>
    </row>
    <row r="5837" spans="2:11" hidden="1">
      <c r="B5837" s="1348"/>
      <c r="C5837" s="1348"/>
      <c r="D5837" s="1348"/>
      <c r="E5837" s="1348"/>
      <c r="F5837" s="1348"/>
      <c r="G5837" s="1348"/>
      <c r="H5837" s="1348"/>
      <c r="I5837" s="1348"/>
      <c r="J5837" s="1348"/>
      <c r="K5837" s="1348"/>
    </row>
    <row r="5838" spans="2:11" hidden="1">
      <c r="B5838" s="1348"/>
      <c r="C5838" s="1348"/>
      <c r="D5838" s="1348"/>
      <c r="E5838" s="1348"/>
      <c r="F5838" s="1348"/>
      <c r="G5838" s="1348"/>
      <c r="H5838" s="1348"/>
      <c r="I5838" s="1348"/>
      <c r="J5838" s="1348"/>
      <c r="K5838" s="1348"/>
    </row>
    <row r="5839" spans="2:11" hidden="1">
      <c r="B5839" s="1348"/>
      <c r="C5839" s="1348"/>
      <c r="D5839" s="1348"/>
      <c r="E5839" s="1348"/>
      <c r="F5839" s="1348"/>
      <c r="G5839" s="1348"/>
      <c r="H5839" s="1348"/>
      <c r="I5839" s="1348"/>
      <c r="J5839" s="1348"/>
      <c r="K5839" s="1348"/>
    </row>
    <row r="5840" spans="2:11" hidden="1">
      <c r="B5840" s="1348"/>
      <c r="C5840" s="1348"/>
      <c r="D5840" s="1348"/>
      <c r="E5840" s="1348"/>
      <c r="F5840" s="1348"/>
      <c r="G5840" s="1348"/>
      <c r="H5840" s="1348"/>
      <c r="I5840" s="1348"/>
      <c r="J5840" s="1348"/>
      <c r="K5840" s="1348"/>
    </row>
    <row r="5841" spans="2:11" hidden="1">
      <c r="B5841" s="1348"/>
      <c r="C5841" s="1348"/>
      <c r="D5841" s="1348"/>
      <c r="E5841" s="1348"/>
      <c r="F5841" s="1348"/>
      <c r="G5841" s="1348"/>
      <c r="H5841" s="1348"/>
      <c r="I5841" s="1348"/>
      <c r="J5841" s="1348"/>
      <c r="K5841" s="1348"/>
    </row>
    <row r="5842" spans="2:11" hidden="1">
      <c r="B5842" s="1348"/>
      <c r="C5842" s="1348"/>
      <c r="D5842" s="1348"/>
      <c r="E5842" s="1348"/>
      <c r="F5842" s="1348"/>
      <c r="G5842" s="1348"/>
      <c r="H5842" s="1348"/>
      <c r="I5842" s="1348"/>
      <c r="J5842" s="1348"/>
      <c r="K5842" s="1348"/>
    </row>
    <row r="5843" spans="2:11" hidden="1">
      <c r="B5843" s="1348"/>
      <c r="C5843" s="1348"/>
      <c r="D5843" s="1348"/>
      <c r="E5843" s="1348"/>
      <c r="F5843" s="1348"/>
      <c r="G5843" s="1348"/>
      <c r="H5843" s="1348"/>
      <c r="I5843" s="1348"/>
      <c r="J5843" s="1348"/>
      <c r="K5843" s="1348"/>
    </row>
    <row r="5844" spans="2:11" hidden="1">
      <c r="B5844" s="1348"/>
      <c r="C5844" s="1348"/>
      <c r="D5844" s="1348"/>
      <c r="E5844" s="1348"/>
      <c r="F5844" s="1348"/>
      <c r="G5844" s="1348"/>
      <c r="H5844" s="1348"/>
      <c r="I5844" s="1348"/>
      <c r="J5844" s="1348"/>
      <c r="K5844" s="1348"/>
    </row>
    <row r="5845" spans="2:11" hidden="1">
      <c r="B5845" s="1348"/>
      <c r="C5845" s="1348"/>
      <c r="D5845" s="1348"/>
      <c r="E5845" s="1348"/>
      <c r="F5845" s="1348"/>
      <c r="G5845" s="1348"/>
      <c r="H5845" s="1348"/>
      <c r="I5845" s="1348"/>
      <c r="J5845" s="1348"/>
      <c r="K5845" s="1348"/>
    </row>
    <row r="5846" spans="2:11" hidden="1">
      <c r="B5846" s="1348"/>
      <c r="C5846" s="1348"/>
      <c r="D5846" s="1348"/>
      <c r="E5846" s="1348"/>
      <c r="F5846" s="1348"/>
      <c r="G5846" s="1348"/>
      <c r="H5846" s="1348"/>
      <c r="I5846" s="1348"/>
      <c r="J5846" s="1348"/>
      <c r="K5846" s="1348"/>
    </row>
    <row r="5847" spans="2:11" hidden="1">
      <c r="B5847" s="1348"/>
      <c r="C5847" s="1348"/>
      <c r="D5847" s="1348"/>
      <c r="E5847" s="1348"/>
      <c r="F5847" s="1348"/>
      <c r="G5847" s="1348"/>
      <c r="H5847" s="1348"/>
      <c r="I5847" s="1348"/>
      <c r="J5847" s="1348"/>
      <c r="K5847" s="1348"/>
    </row>
    <row r="5848" spans="2:11" hidden="1">
      <c r="B5848" s="1348"/>
      <c r="C5848" s="1348"/>
      <c r="D5848" s="1348"/>
      <c r="E5848" s="1348"/>
      <c r="F5848" s="1348"/>
      <c r="G5848" s="1348"/>
      <c r="H5848" s="1348"/>
      <c r="I5848" s="1348"/>
      <c r="J5848" s="1348"/>
      <c r="K5848" s="1348"/>
    </row>
    <row r="5849" spans="2:11" hidden="1">
      <c r="B5849" s="1348"/>
      <c r="C5849" s="1348"/>
      <c r="D5849" s="1348"/>
      <c r="E5849" s="1348"/>
      <c r="F5849" s="1348"/>
      <c r="G5849" s="1348"/>
      <c r="H5849" s="1348"/>
      <c r="I5849" s="1348"/>
      <c r="J5849" s="1348"/>
      <c r="K5849" s="1348"/>
    </row>
    <row r="5850" spans="2:11" hidden="1">
      <c r="B5850" s="1348"/>
      <c r="C5850" s="1348"/>
      <c r="D5850" s="1348"/>
      <c r="E5850" s="1348"/>
      <c r="F5850" s="1348"/>
      <c r="G5850" s="1348"/>
      <c r="H5850" s="1348"/>
      <c r="I5850" s="1348"/>
      <c r="J5850" s="1348"/>
      <c r="K5850" s="1348"/>
    </row>
    <row r="5851" spans="2:11" hidden="1">
      <c r="B5851" s="1348"/>
      <c r="C5851" s="1348"/>
      <c r="D5851" s="1348"/>
      <c r="E5851" s="1348"/>
      <c r="F5851" s="1348"/>
      <c r="G5851" s="1348"/>
      <c r="H5851" s="1348"/>
      <c r="I5851" s="1348"/>
      <c r="J5851" s="1348"/>
      <c r="K5851" s="1348"/>
    </row>
    <row r="5852" spans="2:11" hidden="1">
      <c r="B5852" s="1348"/>
      <c r="C5852" s="1348"/>
      <c r="D5852" s="1348"/>
      <c r="E5852" s="1348"/>
      <c r="F5852" s="1348"/>
      <c r="G5852" s="1348"/>
      <c r="H5852" s="1348"/>
      <c r="I5852" s="1348"/>
      <c r="J5852" s="1348"/>
      <c r="K5852" s="1348"/>
    </row>
    <row r="5853" spans="2:11" hidden="1">
      <c r="B5853" s="1348"/>
      <c r="C5853" s="1348"/>
      <c r="D5853" s="1348"/>
      <c r="E5853" s="1348"/>
      <c r="F5853" s="1348"/>
      <c r="G5853" s="1348"/>
      <c r="H5853" s="1348"/>
      <c r="I5853" s="1348"/>
      <c r="J5853" s="1348"/>
      <c r="K5853" s="1348"/>
    </row>
    <row r="5854" spans="2:11" hidden="1">
      <c r="B5854" s="1348"/>
      <c r="C5854" s="1348"/>
      <c r="D5854" s="1348"/>
      <c r="E5854" s="1348"/>
      <c r="F5854" s="1348"/>
      <c r="G5854" s="1348"/>
      <c r="H5854" s="1348"/>
      <c r="I5854" s="1348"/>
      <c r="J5854" s="1348"/>
      <c r="K5854" s="1348"/>
    </row>
    <row r="5855" spans="2:11" hidden="1">
      <c r="B5855" s="1348"/>
      <c r="C5855" s="1348"/>
      <c r="D5855" s="1348"/>
      <c r="E5855" s="1348"/>
      <c r="F5855" s="1348"/>
      <c r="G5855" s="1348"/>
      <c r="H5855" s="1348"/>
      <c r="I5855" s="1348"/>
      <c r="J5855" s="1348"/>
      <c r="K5855" s="1348"/>
    </row>
    <row r="5856" spans="2:11" hidden="1">
      <c r="B5856" s="1348"/>
      <c r="C5856" s="1348"/>
      <c r="D5856" s="1348"/>
      <c r="E5856" s="1348"/>
      <c r="F5856" s="1348"/>
      <c r="G5856" s="1348"/>
      <c r="H5856" s="1348"/>
      <c r="I5856" s="1348"/>
      <c r="J5856" s="1348"/>
      <c r="K5856" s="1348"/>
    </row>
    <row r="5857" spans="2:11" hidden="1">
      <c r="B5857" s="1348"/>
      <c r="C5857" s="1348"/>
      <c r="D5857" s="1348"/>
      <c r="E5857" s="1348"/>
      <c r="F5857" s="1348"/>
      <c r="G5857" s="1348"/>
      <c r="H5857" s="1348"/>
      <c r="I5857" s="1348"/>
      <c r="J5857" s="1348"/>
      <c r="K5857" s="1348"/>
    </row>
    <row r="5858" spans="2:11" hidden="1">
      <c r="B5858" s="1348"/>
      <c r="C5858" s="1348"/>
      <c r="D5858" s="1348"/>
      <c r="E5858" s="1348"/>
      <c r="F5858" s="1348"/>
      <c r="G5858" s="1348"/>
      <c r="H5858" s="1348"/>
      <c r="I5858" s="1348"/>
      <c r="J5858" s="1348"/>
      <c r="K5858" s="1348"/>
    </row>
    <row r="5859" spans="2:11" hidden="1">
      <c r="B5859" s="1348"/>
      <c r="C5859" s="1348"/>
      <c r="D5859" s="1348"/>
      <c r="E5859" s="1348"/>
      <c r="F5859" s="1348"/>
      <c r="G5859" s="1348"/>
      <c r="H5859" s="1348"/>
      <c r="I5859" s="1348"/>
      <c r="J5859" s="1348"/>
      <c r="K5859" s="1348"/>
    </row>
    <row r="5860" spans="2:11" hidden="1">
      <c r="B5860" s="1348"/>
      <c r="C5860" s="1348"/>
      <c r="D5860" s="1348"/>
      <c r="E5860" s="1348"/>
      <c r="F5860" s="1348"/>
      <c r="G5860" s="1348"/>
      <c r="H5860" s="1348"/>
      <c r="I5860" s="1348"/>
      <c r="J5860" s="1348"/>
      <c r="K5860" s="1348"/>
    </row>
    <row r="5861" spans="2:11" hidden="1">
      <c r="B5861" s="1348"/>
      <c r="C5861" s="1348"/>
      <c r="D5861" s="1348"/>
      <c r="E5861" s="1348"/>
      <c r="F5861" s="1348"/>
      <c r="G5861" s="1348"/>
      <c r="H5861" s="1348"/>
      <c r="I5861" s="1348"/>
      <c r="J5861" s="1348"/>
      <c r="K5861" s="1348"/>
    </row>
    <row r="5862" spans="2:11" hidden="1">
      <c r="B5862" s="1348"/>
      <c r="C5862" s="1348"/>
      <c r="D5862" s="1348"/>
      <c r="E5862" s="1348"/>
      <c r="F5862" s="1348"/>
      <c r="G5862" s="1348"/>
      <c r="H5862" s="1348"/>
      <c r="I5862" s="1348"/>
      <c r="J5862" s="1348"/>
      <c r="K5862" s="1348"/>
    </row>
    <row r="5863" spans="2:11" hidden="1">
      <c r="B5863" s="1348"/>
      <c r="C5863" s="1348"/>
      <c r="D5863" s="1348"/>
      <c r="E5863" s="1348"/>
      <c r="F5863" s="1348"/>
      <c r="G5863" s="1348"/>
      <c r="H5863" s="1348"/>
      <c r="I5863" s="1348"/>
      <c r="J5863" s="1348"/>
      <c r="K5863" s="1348"/>
    </row>
    <row r="5864" spans="2:11" hidden="1">
      <c r="B5864" s="1348"/>
      <c r="C5864" s="1348"/>
      <c r="D5864" s="1348"/>
      <c r="E5864" s="1348"/>
      <c r="F5864" s="1348"/>
      <c r="G5864" s="1348"/>
      <c r="H5864" s="1348"/>
      <c r="I5864" s="1348"/>
      <c r="J5864" s="1348"/>
      <c r="K5864" s="1348"/>
    </row>
    <row r="5865" spans="2:11" hidden="1">
      <c r="B5865" s="1348"/>
      <c r="C5865" s="1348"/>
      <c r="D5865" s="1348"/>
      <c r="E5865" s="1348"/>
      <c r="F5865" s="1348"/>
      <c r="G5865" s="1348"/>
      <c r="H5865" s="1348"/>
      <c r="I5865" s="1348"/>
      <c r="J5865" s="1348"/>
      <c r="K5865" s="1348"/>
    </row>
    <row r="5866" spans="2:11" hidden="1">
      <c r="B5866" s="1348"/>
      <c r="C5866" s="1348"/>
      <c r="D5866" s="1348"/>
      <c r="E5866" s="1348"/>
      <c r="F5866" s="1348"/>
      <c r="G5866" s="1348"/>
      <c r="H5866" s="1348"/>
      <c r="I5866" s="1348"/>
      <c r="J5866" s="1348"/>
      <c r="K5866" s="1348"/>
    </row>
    <row r="5867" spans="2:11" hidden="1">
      <c r="B5867" s="1348"/>
      <c r="C5867" s="1348"/>
      <c r="D5867" s="1348"/>
      <c r="E5867" s="1348"/>
      <c r="F5867" s="1348"/>
      <c r="G5867" s="1348"/>
      <c r="H5867" s="1348"/>
      <c r="I5867" s="1348"/>
      <c r="J5867" s="1348"/>
      <c r="K5867" s="1348"/>
    </row>
    <row r="5868" spans="2:11" hidden="1">
      <c r="B5868" s="1348"/>
      <c r="C5868" s="1348"/>
      <c r="D5868" s="1348"/>
      <c r="E5868" s="1348"/>
      <c r="F5868" s="1348"/>
      <c r="G5868" s="1348"/>
      <c r="H5868" s="1348"/>
      <c r="I5868" s="1348"/>
      <c r="J5868" s="1348"/>
      <c r="K5868" s="1348"/>
    </row>
    <row r="5869" spans="2:11" hidden="1">
      <c r="B5869" s="1348"/>
      <c r="C5869" s="1348"/>
      <c r="D5869" s="1348"/>
      <c r="E5869" s="1348"/>
      <c r="F5869" s="1348"/>
      <c r="G5869" s="1348"/>
      <c r="H5869" s="1348"/>
      <c r="I5869" s="1348"/>
      <c r="J5869" s="1348"/>
      <c r="K5869" s="1348"/>
    </row>
    <row r="5870" spans="2:11" hidden="1">
      <c r="B5870" s="1348"/>
      <c r="C5870" s="1348"/>
      <c r="D5870" s="1348"/>
      <c r="E5870" s="1348"/>
      <c r="F5870" s="1348"/>
      <c r="G5870" s="1348"/>
      <c r="H5870" s="1348"/>
      <c r="I5870" s="1348"/>
      <c r="J5870" s="1348"/>
      <c r="K5870" s="1348"/>
    </row>
    <row r="5871" spans="2:11" hidden="1">
      <c r="B5871" s="1348"/>
      <c r="C5871" s="1348"/>
      <c r="D5871" s="1348"/>
      <c r="E5871" s="1348"/>
      <c r="F5871" s="1348"/>
      <c r="G5871" s="1348"/>
      <c r="H5871" s="1348"/>
      <c r="I5871" s="1348"/>
      <c r="J5871" s="1348"/>
      <c r="K5871" s="1348"/>
    </row>
    <row r="5872" spans="2:11" hidden="1">
      <c r="B5872" s="1348"/>
      <c r="C5872" s="1348"/>
      <c r="D5872" s="1348"/>
      <c r="E5872" s="1348"/>
      <c r="F5872" s="1348"/>
      <c r="G5872" s="1348"/>
      <c r="H5872" s="1348"/>
      <c r="I5872" s="1348"/>
      <c r="J5872" s="1348"/>
      <c r="K5872" s="1348"/>
    </row>
    <row r="5873" spans="2:11" hidden="1">
      <c r="B5873" s="1348"/>
      <c r="C5873" s="1348"/>
      <c r="D5873" s="1348"/>
      <c r="E5873" s="1348"/>
      <c r="F5873" s="1348"/>
      <c r="G5873" s="1348"/>
      <c r="H5873" s="1348"/>
      <c r="I5873" s="1348"/>
      <c r="J5873" s="1348"/>
      <c r="K5873" s="1348"/>
    </row>
    <row r="5874" spans="2:11" hidden="1">
      <c r="B5874" s="1348"/>
      <c r="C5874" s="1348"/>
      <c r="D5874" s="1348"/>
      <c r="E5874" s="1348"/>
      <c r="F5874" s="1348"/>
      <c r="G5874" s="1348"/>
      <c r="H5874" s="1348"/>
      <c r="I5874" s="1348"/>
      <c r="J5874" s="1348"/>
      <c r="K5874" s="1348"/>
    </row>
    <row r="5875" spans="2:11" hidden="1">
      <c r="B5875" s="1348"/>
      <c r="C5875" s="1348"/>
      <c r="D5875" s="1348"/>
      <c r="E5875" s="1348"/>
      <c r="F5875" s="1348"/>
      <c r="G5875" s="1348"/>
      <c r="H5875" s="1348"/>
      <c r="I5875" s="1348"/>
      <c r="J5875" s="1348"/>
      <c r="K5875" s="1348"/>
    </row>
    <row r="5876" spans="2:11" hidden="1">
      <c r="B5876" s="1348"/>
      <c r="C5876" s="1348"/>
      <c r="D5876" s="1348"/>
      <c r="E5876" s="1348"/>
      <c r="F5876" s="1348"/>
      <c r="G5876" s="1348"/>
      <c r="H5876" s="1348"/>
      <c r="I5876" s="1348"/>
      <c r="J5876" s="1348"/>
      <c r="K5876" s="1348"/>
    </row>
    <row r="5877" spans="2:11" hidden="1">
      <c r="B5877" s="1348"/>
      <c r="C5877" s="1348"/>
      <c r="D5877" s="1348"/>
      <c r="E5877" s="1348"/>
      <c r="F5877" s="1348"/>
      <c r="G5877" s="1348"/>
      <c r="H5877" s="1348"/>
      <c r="I5877" s="1348"/>
      <c r="J5877" s="1348"/>
      <c r="K5877" s="1348"/>
    </row>
    <row r="5878" spans="2:11" hidden="1">
      <c r="B5878" s="1348"/>
      <c r="C5878" s="1348"/>
      <c r="D5878" s="1348"/>
      <c r="E5878" s="1348"/>
      <c r="F5878" s="1348"/>
      <c r="G5878" s="1348"/>
      <c r="H5878" s="1348"/>
      <c r="I5878" s="1348"/>
      <c r="J5878" s="1348"/>
      <c r="K5878" s="1348"/>
    </row>
    <row r="5879" spans="2:11" hidden="1">
      <c r="B5879" s="1348"/>
      <c r="C5879" s="1348"/>
      <c r="D5879" s="1348"/>
      <c r="E5879" s="1348"/>
      <c r="F5879" s="1348"/>
      <c r="G5879" s="1348"/>
      <c r="H5879" s="1348"/>
      <c r="I5879" s="1348"/>
      <c r="J5879" s="1348"/>
      <c r="K5879" s="1348"/>
    </row>
    <row r="5880" spans="2:11" hidden="1">
      <c r="B5880" s="1348"/>
      <c r="C5880" s="1348"/>
      <c r="D5880" s="1348"/>
      <c r="E5880" s="1348"/>
      <c r="F5880" s="1348"/>
      <c r="G5880" s="1348"/>
      <c r="H5880" s="1348"/>
      <c r="I5880" s="1348"/>
      <c r="J5880" s="1348"/>
      <c r="K5880" s="1348"/>
    </row>
    <row r="5881" spans="2:11" hidden="1">
      <c r="B5881" s="1348"/>
      <c r="C5881" s="1348"/>
      <c r="D5881" s="1348"/>
      <c r="E5881" s="1348"/>
      <c r="F5881" s="1348"/>
      <c r="G5881" s="1348"/>
      <c r="H5881" s="1348"/>
      <c r="I5881" s="1348"/>
      <c r="J5881" s="1348"/>
      <c r="K5881" s="1348"/>
    </row>
    <row r="5882" spans="2:11" hidden="1">
      <c r="B5882" s="1348"/>
      <c r="C5882" s="1348"/>
      <c r="D5882" s="1348"/>
      <c r="E5882" s="1348"/>
      <c r="F5882" s="1348"/>
      <c r="G5882" s="1348"/>
      <c r="H5882" s="1348"/>
      <c r="I5882" s="1348"/>
      <c r="J5882" s="1348"/>
      <c r="K5882" s="1348"/>
    </row>
    <row r="5883" spans="2:11" hidden="1">
      <c r="B5883" s="1348"/>
      <c r="C5883" s="1348"/>
      <c r="D5883" s="1348"/>
      <c r="E5883" s="1348"/>
      <c r="F5883" s="1348"/>
      <c r="G5883" s="1348"/>
      <c r="H5883" s="1348"/>
      <c r="I5883" s="1348"/>
      <c r="J5883" s="1348"/>
      <c r="K5883" s="1348"/>
    </row>
    <row r="5884" spans="2:11" hidden="1">
      <c r="B5884" s="1348"/>
      <c r="C5884" s="1348"/>
      <c r="D5884" s="1348"/>
      <c r="E5884" s="1348"/>
      <c r="F5884" s="1348"/>
      <c r="G5884" s="1348"/>
      <c r="H5884" s="1348"/>
      <c r="I5884" s="1348"/>
      <c r="J5884" s="1348"/>
      <c r="K5884" s="1348"/>
    </row>
    <row r="5885" spans="2:11" hidden="1">
      <c r="B5885" s="1348"/>
      <c r="C5885" s="1348"/>
      <c r="D5885" s="1348"/>
      <c r="E5885" s="1348"/>
      <c r="F5885" s="1348"/>
      <c r="G5885" s="1348"/>
      <c r="H5885" s="1348"/>
      <c r="I5885" s="1348"/>
      <c r="J5885" s="1348"/>
      <c r="K5885" s="1348"/>
    </row>
    <row r="5886" spans="2:11" hidden="1">
      <c r="B5886" s="1348"/>
      <c r="C5886" s="1348"/>
      <c r="D5886" s="1348"/>
      <c r="E5886" s="1348"/>
      <c r="F5886" s="1348"/>
      <c r="G5886" s="1348"/>
      <c r="H5886" s="1348"/>
      <c r="I5886" s="1348"/>
      <c r="J5886" s="1348"/>
      <c r="K5886" s="1348"/>
    </row>
    <row r="5887" spans="2:11" hidden="1">
      <c r="B5887" s="1348"/>
      <c r="C5887" s="1348"/>
      <c r="D5887" s="1348"/>
      <c r="E5887" s="1348"/>
      <c r="F5887" s="1348"/>
      <c r="G5887" s="1348"/>
      <c r="H5887" s="1348"/>
      <c r="I5887" s="1348"/>
      <c r="J5887" s="1348"/>
      <c r="K5887" s="1348"/>
    </row>
    <row r="5888" spans="2:11" hidden="1">
      <c r="B5888" s="1348"/>
      <c r="C5888" s="1348"/>
      <c r="D5888" s="1348"/>
      <c r="E5888" s="1348"/>
      <c r="F5888" s="1348"/>
      <c r="G5888" s="1348"/>
      <c r="H5888" s="1348"/>
      <c r="I5888" s="1348"/>
      <c r="J5888" s="1348"/>
      <c r="K5888" s="1348"/>
    </row>
    <row r="5889" spans="2:11" hidden="1">
      <c r="B5889" s="1348"/>
      <c r="C5889" s="1348"/>
      <c r="D5889" s="1348"/>
      <c r="E5889" s="1348"/>
      <c r="F5889" s="1348"/>
      <c r="G5889" s="1348"/>
      <c r="H5889" s="1348"/>
      <c r="I5889" s="1348"/>
      <c r="J5889" s="1348"/>
      <c r="K5889" s="1348"/>
    </row>
    <row r="5890" spans="2:11" hidden="1">
      <c r="B5890" s="1348"/>
      <c r="C5890" s="1348"/>
      <c r="D5890" s="1348"/>
      <c r="E5890" s="1348"/>
      <c r="F5890" s="1348"/>
      <c r="G5890" s="1348"/>
      <c r="H5890" s="1348"/>
      <c r="I5890" s="1348"/>
      <c r="J5890" s="1348"/>
      <c r="K5890" s="1348"/>
    </row>
    <row r="5891" spans="2:11" hidden="1">
      <c r="B5891" s="1348"/>
      <c r="C5891" s="1348"/>
      <c r="D5891" s="1348"/>
      <c r="E5891" s="1348"/>
      <c r="F5891" s="1348"/>
      <c r="G5891" s="1348"/>
      <c r="H5891" s="1348"/>
      <c r="I5891" s="1348"/>
      <c r="J5891" s="1348"/>
      <c r="K5891" s="1348"/>
    </row>
    <row r="5892" spans="2:11" hidden="1">
      <c r="B5892" s="1348"/>
      <c r="C5892" s="1348"/>
      <c r="D5892" s="1348"/>
      <c r="E5892" s="1348"/>
      <c r="F5892" s="1348"/>
      <c r="G5892" s="1348"/>
      <c r="H5892" s="1348"/>
      <c r="I5892" s="1348"/>
      <c r="J5892" s="1348"/>
      <c r="K5892" s="1348"/>
    </row>
    <row r="5893" spans="2:11" hidden="1">
      <c r="B5893" s="1348"/>
      <c r="C5893" s="1348"/>
      <c r="D5893" s="1348"/>
      <c r="E5893" s="1348"/>
      <c r="F5893" s="1348"/>
      <c r="G5893" s="1348"/>
      <c r="H5893" s="1348"/>
      <c r="I5893" s="1348"/>
      <c r="J5893" s="1348"/>
      <c r="K5893" s="1348"/>
    </row>
    <row r="5894" spans="2:11" hidden="1">
      <c r="B5894" s="1348"/>
      <c r="C5894" s="1348"/>
      <c r="D5894" s="1348"/>
      <c r="E5894" s="1348"/>
      <c r="F5894" s="1348"/>
      <c r="G5894" s="1348"/>
      <c r="H5894" s="1348"/>
      <c r="I5894" s="1348"/>
      <c r="J5894" s="1348"/>
      <c r="K5894" s="1348"/>
    </row>
    <row r="5895" spans="2:11" hidden="1">
      <c r="B5895" s="1348"/>
      <c r="C5895" s="1348"/>
      <c r="D5895" s="1348"/>
      <c r="E5895" s="1348"/>
      <c r="F5895" s="1348"/>
      <c r="G5895" s="1348"/>
      <c r="H5895" s="1348"/>
      <c r="I5895" s="1348"/>
      <c r="J5895" s="1348"/>
      <c r="K5895" s="1348"/>
    </row>
    <row r="5896" spans="2:11" hidden="1">
      <c r="B5896" s="1348"/>
      <c r="C5896" s="1348"/>
      <c r="D5896" s="1348"/>
      <c r="E5896" s="1348"/>
      <c r="F5896" s="1348"/>
      <c r="G5896" s="1348"/>
      <c r="H5896" s="1348"/>
      <c r="I5896" s="1348"/>
      <c r="J5896" s="1348"/>
      <c r="K5896" s="1348"/>
    </row>
    <row r="5897" spans="2:11" hidden="1">
      <c r="B5897" s="1348"/>
      <c r="C5897" s="1348"/>
      <c r="D5897" s="1348"/>
      <c r="E5897" s="1348"/>
      <c r="F5897" s="1348"/>
      <c r="G5897" s="1348"/>
      <c r="H5897" s="1348"/>
      <c r="I5897" s="1348"/>
      <c r="J5897" s="1348"/>
      <c r="K5897" s="1348"/>
    </row>
    <row r="5898" spans="2:11" hidden="1">
      <c r="B5898" s="1348"/>
      <c r="C5898" s="1348"/>
      <c r="D5898" s="1348"/>
      <c r="E5898" s="1348"/>
      <c r="F5898" s="1348"/>
      <c r="G5898" s="1348"/>
      <c r="H5898" s="1348"/>
      <c r="I5898" s="1348"/>
      <c r="J5898" s="1348"/>
      <c r="K5898" s="1348"/>
    </row>
    <row r="5899" spans="2:11" hidden="1">
      <c r="B5899" s="1348"/>
      <c r="C5899" s="1348"/>
      <c r="D5899" s="1348"/>
      <c r="E5899" s="1348"/>
      <c r="F5899" s="1348"/>
      <c r="G5899" s="1348"/>
      <c r="H5899" s="1348"/>
      <c r="I5899" s="1348"/>
      <c r="J5899" s="1348"/>
      <c r="K5899" s="1348"/>
    </row>
    <row r="5900" spans="2:11" hidden="1">
      <c r="B5900" s="1348"/>
      <c r="C5900" s="1348"/>
      <c r="D5900" s="1348"/>
      <c r="E5900" s="1348"/>
      <c r="F5900" s="1348"/>
      <c r="G5900" s="1348"/>
      <c r="H5900" s="1348"/>
      <c r="I5900" s="1348"/>
      <c r="J5900" s="1348"/>
      <c r="K5900" s="1348"/>
    </row>
    <row r="5901" spans="2:11" hidden="1">
      <c r="B5901" s="1348"/>
      <c r="C5901" s="1348"/>
      <c r="D5901" s="1348"/>
      <c r="E5901" s="1348"/>
      <c r="F5901" s="1348"/>
      <c r="G5901" s="1348"/>
      <c r="H5901" s="1348"/>
      <c r="I5901" s="1348"/>
      <c r="J5901" s="1348"/>
      <c r="K5901" s="1348"/>
    </row>
    <row r="5902" spans="2:11" hidden="1">
      <c r="B5902" s="1348"/>
      <c r="C5902" s="1348"/>
      <c r="D5902" s="1348"/>
      <c r="E5902" s="1348"/>
      <c r="F5902" s="1348"/>
      <c r="G5902" s="1348"/>
      <c r="H5902" s="1348"/>
      <c r="I5902" s="1348"/>
      <c r="J5902" s="1348"/>
      <c r="K5902" s="1348"/>
    </row>
    <row r="5903" spans="2:11" hidden="1">
      <c r="B5903" s="1348"/>
      <c r="C5903" s="1348"/>
      <c r="D5903" s="1348"/>
      <c r="E5903" s="1348"/>
      <c r="F5903" s="1348"/>
      <c r="G5903" s="1348"/>
      <c r="H5903" s="1348"/>
      <c r="I5903" s="1348"/>
      <c r="J5903" s="1348"/>
      <c r="K5903" s="1348"/>
    </row>
    <row r="5904" spans="2:11" hidden="1">
      <c r="B5904" s="1348"/>
      <c r="C5904" s="1348"/>
      <c r="D5904" s="1348"/>
      <c r="E5904" s="1348"/>
      <c r="F5904" s="1348"/>
      <c r="G5904" s="1348"/>
      <c r="H5904" s="1348"/>
      <c r="I5904" s="1348"/>
      <c r="J5904" s="1348"/>
      <c r="K5904" s="1348"/>
    </row>
    <row r="5905" spans="2:11" hidden="1">
      <c r="B5905" s="1348"/>
      <c r="C5905" s="1348"/>
      <c r="D5905" s="1348"/>
      <c r="E5905" s="1348"/>
      <c r="F5905" s="1348"/>
      <c r="G5905" s="1348"/>
      <c r="H5905" s="1348"/>
      <c r="I5905" s="1348"/>
      <c r="J5905" s="1348"/>
      <c r="K5905" s="1348"/>
    </row>
    <row r="5906" spans="2:11" hidden="1">
      <c r="B5906" s="1348"/>
      <c r="C5906" s="1348"/>
      <c r="D5906" s="1348"/>
      <c r="E5906" s="1348"/>
      <c r="F5906" s="1348"/>
      <c r="G5906" s="1348"/>
      <c r="H5906" s="1348"/>
      <c r="I5906" s="1348"/>
      <c r="J5906" s="1348"/>
      <c r="K5906" s="1348"/>
    </row>
    <row r="5907" spans="2:11" hidden="1">
      <c r="B5907" s="1348"/>
      <c r="C5907" s="1348"/>
      <c r="D5907" s="1348"/>
      <c r="E5907" s="1348"/>
      <c r="F5907" s="1348"/>
      <c r="G5907" s="1348"/>
      <c r="H5907" s="1348"/>
      <c r="I5907" s="1348"/>
      <c r="J5907" s="1348"/>
      <c r="K5907" s="1348"/>
    </row>
    <row r="5908" spans="2:11" hidden="1">
      <c r="B5908" s="1348"/>
      <c r="C5908" s="1348"/>
      <c r="D5908" s="1348"/>
      <c r="E5908" s="1348"/>
      <c r="F5908" s="1348"/>
      <c r="G5908" s="1348"/>
      <c r="H5908" s="1348"/>
      <c r="I5908" s="1348"/>
      <c r="J5908" s="1348"/>
      <c r="K5908" s="1348"/>
    </row>
    <row r="5909" spans="2:11" hidden="1">
      <c r="B5909" s="1348"/>
      <c r="C5909" s="1348"/>
      <c r="D5909" s="1348"/>
      <c r="E5909" s="1348"/>
      <c r="F5909" s="1348"/>
      <c r="G5909" s="1348"/>
      <c r="H5909" s="1348"/>
      <c r="I5909" s="1348"/>
      <c r="J5909" s="1348"/>
      <c r="K5909" s="1348"/>
    </row>
    <row r="5910" spans="2:11" hidden="1">
      <c r="B5910" s="1348"/>
      <c r="C5910" s="1348"/>
      <c r="D5910" s="1348"/>
      <c r="E5910" s="1348"/>
      <c r="F5910" s="1348"/>
      <c r="G5910" s="1348"/>
      <c r="H5910" s="1348"/>
      <c r="I5910" s="1348"/>
      <c r="J5910" s="1348"/>
      <c r="K5910" s="1348"/>
    </row>
    <row r="5911" spans="2:11" hidden="1">
      <c r="B5911" s="1348"/>
      <c r="C5911" s="1348"/>
      <c r="D5911" s="1348"/>
      <c r="E5911" s="1348"/>
      <c r="F5911" s="1348"/>
      <c r="G5911" s="1348"/>
      <c r="H5911" s="1348"/>
      <c r="I5911" s="1348"/>
      <c r="J5911" s="1348"/>
      <c r="K5911" s="1348"/>
    </row>
    <row r="5912" spans="2:11" hidden="1">
      <c r="B5912" s="1348"/>
      <c r="C5912" s="1348"/>
      <c r="D5912" s="1348"/>
      <c r="E5912" s="1348"/>
      <c r="F5912" s="1348"/>
      <c r="G5912" s="1348"/>
      <c r="H5912" s="1348"/>
      <c r="I5912" s="1348"/>
      <c r="J5912" s="1348"/>
      <c r="K5912" s="1348"/>
    </row>
    <row r="5913" spans="2:11" hidden="1">
      <c r="B5913" s="1348"/>
      <c r="C5913" s="1348"/>
      <c r="D5913" s="1348"/>
      <c r="E5913" s="1348"/>
      <c r="F5913" s="1348"/>
      <c r="G5913" s="1348"/>
      <c r="H5913" s="1348"/>
      <c r="I5913" s="1348"/>
      <c r="J5913" s="1348"/>
      <c r="K5913" s="1348"/>
    </row>
    <row r="5914" spans="2:11" hidden="1">
      <c r="B5914" s="1348"/>
      <c r="C5914" s="1348"/>
      <c r="D5914" s="1348"/>
      <c r="E5914" s="1348"/>
      <c r="F5914" s="1348"/>
      <c r="G5914" s="1348"/>
      <c r="H5914" s="1348"/>
      <c r="I5914" s="1348"/>
      <c r="J5914" s="1348"/>
      <c r="K5914" s="1348"/>
    </row>
    <row r="5915" spans="2:11" hidden="1">
      <c r="B5915" s="1348"/>
      <c r="C5915" s="1348"/>
      <c r="D5915" s="1348"/>
      <c r="E5915" s="1348"/>
      <c r="F5915" s="1348"/>
      <c r="G5915" s="1348"/>
      <c r="H5915" s="1348"/>
      <c r="I5915" s="1348"/>
      <c r="J5915" s="1348"/>
      <c r="K5915" s="1348"/>
    </row>
    <row r="5916" spans="2:11" hidden="1">
      <c r="B5916" s="1348"/>
      <c r="C5916" s="1348"/>
      <c r="D5916" s="1348"/>
      <c r="E5916" s="1348"/>
      <c r="F5916" s="1348"/>
      <c r="G5916" s="1348"/>
      <c r="H5916" s="1348"/>
      <c r="I5916" s="1348"/>
      <c r="J5916" s="1348"/>
      <c r="K5916" s="1348"/>
    </row>
    <row r="5917" spans="2:11" hidden="1">
      <c r="B5917" s="1348"/>
      <c r="C5917" s="1348"/>
      <c r="D5917" s="1348"/>
      <c r="E5917" s="1348"/>
      <c r="F5917" s="1348"/>
      <c r="G5917" s="1348"/>
      <c r="H5917" s="1348"/>
      <c r="I5917" s="1348"/>
      <c r="J5917" s="1348"/>
      <c r="K5917" s="1348"/>
    </row>
    <row r="5918" spans="2:11" hidden="1">
      <c r="B5918" s="1348"/>
      <c r="C5918" s="1348"/>
      <c r="D5918" s="1348"/>
      <c r="E5918" s="1348"/>
      <c r="F5918" s="1348"/>
      <c r="G5918" s="1348"/>
      <c r="H5918" s="1348"/>
      <c r="I5918" s="1348"/>
      <c r="J5918" s="1348"/>
      <c r="K5918" s="1348"/>
    </row>
    <row r="5919" spans="2:11" hidden="1">
      <c r="B5919" s="1348"/>
      <c r="C5919" s="1348"/>
      <c r="D5919" s="1348"/>
      <c r="E5919" s="1348"/>
      <c r="F5919" s="1348"/>
      <c r="G5919" s="1348"/>
      <c r="H5919" s="1348"/>
      <c r="I5919" s="1348"/>
      <c r="J5919" s="1348"/>
      <c r="K5919" s="1348"/>
    </row>
    <row r="5920" spans="2:11" hidden="1">
      <c r="B5920" s="1348"/>
      <c r="C5920" s="1348"/>
      <c r="D5920" s="1348"/>
      <c r="E5920" s="1348"/>
      <c r="F5920" s="1348"/>
      <c r="G5920" s="1348"/>
      <c r="H5920" s="1348"/>
      <c r="I5920" s="1348"/>
      <c r="J5920" s="1348"/>
      <c r="K5920" s="1348"/>
    </row>
    <row r="5921" spans="2:11" hidden="1">
      <c r="B5921" s="1348"/>
      <c r="C5921" s="1348"/>
      <c r="D5921" s="1348"/>
      <c r="E5921" s="1348"/>
      <c r="F5921" s="1348"/>
      <c r="G5921" s="1348"/>
      <c r="H5921" s="1348"/>
      <c r="I5921" s="1348"/>
      <c r="J5921" s="1348"/>
      <c r="K5921" s="1348"/>
    </row>
    <row r="5922" spans="2:11" hidden="1">
      <c r="B5922" s="1348"/>
      <c r="C5922" s="1348"/>
      <c r="D5922" s="1348"/>
      <c r="E5922" s="1348"/>
      <c r="F5922" s="1348"/>
      <c r="G5922" s="1348"/>
      <c r="H5922" s="1348"/>
      <c r="I5922" s="1348"/>
      <c r="J5922" s="1348"/>
      <c r="K5922" s="1348"/>
    </row>
    <row r="5923" spans="2:11" hidden="1">
      <c r="B5923" s="1348"/>
      <c r="C5923" s="1348"/>
      <c r="D5923" s="1348"/>
      <c r="E5923" s="1348"/>
      <c r="F5923" s="1348"/>
      <c r="G5923" s="1348"/>
      <c r="H5923" s="1348"/>
      <c r="I5923" s="1348"/>
      <c r="J5923" s="1348"/>
      <c r="K5923" s="1348"/>
    </row>
    <row r="5924" spans="2:11" hidden="1">
      <c r="B5924" s="1348"/>
      <c r="C5924" s="1348"/>
      <c r="D5924" s="1348"/>
      <c r="E5924" s="1348"/>
      <c r="F5924" s="1348"/>
      <c r="G5924" s="1348"/>
      <c r="H5924" s="1348"/>
      <c r="I5924" s="1348"/>
      <c r="J5924" s="1348"/>
      <c r="K5924" s="1348"/>
    </row>
    <row r="5925" spans="2:11" hidden="1">
      <c r="B5925" s="1348"/>
      <c r="C5925" s="1348"/>
      <c r="D5925" s="1348"/>
      <c r="E5925" s="1348"/>
      <c r="F5925" s="1348"/>
      <c r="G5925" s="1348"/>
      <c r="H5925" s="1348"/>
      <c r="I5925" s="1348"/>
      <c r="J5925" s="1348"/>
      <c r="K5925" s="1348"/>
    </row>
    <row r="5926" spans="2:11" hidden="1">
      <c r="B5926" s="1348"/>
      <c r="C5926" s="1348"/>
      <c r="D5926" s="1348"/>
      <c r="E5926" s="1348"/>
      <c r="F5926" s="1348"/>
      <c r="G5926" s="1348"/>
      <c r="H5926" s="1348"/>
      <c r="I5926" s="1348"/>
      <c r="J5926" s="1348"/>
      <c r="K5926" s="1348"/>
    </row>
    <row r="5927" spans="2:11" hidden="1">
      <c r="B5927" s="1348"/>
      <c r="C5927" s="1348"/>
      <c r="D5927" s="1348"/>
      <c r="E5927" s="1348"/>
      <c r="F5927" s="1348"/>
      <c r="G5927" s="1348"/>
      <c r="H5927" s="1348"/>
      <c r="I5927" s="1348"/>
      <c r="J5927" s="1348"/>
      <c r="K5927" s="1348"/>
    </row>
    <row r="5928" spans="2:11" hidden="1">
      <c r="B5928" s="1348"/>
      <c r="C5928" s="1348"/>
      <c r="D5928" s="1348"/>
      <c r="E5928" s="1348"/>
      <c r="F5928" s="1348"/>
      <c r="G5928" s="1348"/>
      <c r="H5928" s="1348"/>
      <c r="I5928" s="1348"/>
      <c r="J5928" s="1348"/>
      <c r="K5928" s="1348"/>
    </row>
    <row r="5929" spans="2:11" hidden="1">
      <c r="B5929" s="1348"/>
      <c r="C5929" s="1348"/>
      <c r="D5929" s="1348"/>
      <c r="E5929" s="1348"/>
      <c r="F5929" s="1348"/>
      <c r="G5929" s="1348"/>
      <c r="H5929" s="1348"/>
      <c r="I5929" s="1348"/>
      <c r="J5929" s="1348"/>
      <c r="K5929" s="1348"/>
    </row>
    <row r="5930" spans="2:11" hidden="1">
      <c r="B5930" s="1348"/>
      <c r="C5930" s="1348"/>
      <c r="D5930" s="1348"/>
      <c r="E5930" s="1348"/>
      <c r="F5930" s="1348"/>
      <c r="G5930" s="1348"/>
      <c r="H5930" s="1348"/>
      <c r="I5930" s="1348"/>
      <c r="J5930" s="1348"/>
      <c r="K5930" s="1348"/>
    </row>
    <row r="5931" spans="2:11" hidden="1">
      <c r="B5931" s="1348"/>
      <c r="C5931" s="1348"/>
      <c r="D5931" s="1348"/>
      <c r="E5931" s="1348"/>
      <c r="F5931" s="1348"/>
      <c r="G5931" s="1348"/>
      <c r="H5931" s="1348"/>
      <c r="I5931" s="1348"/>
      <c r="J5931" s="1348"/>
      <c r="K5931" s="1348"/>
    </row>
    <row r="5932" spans="2:11" hidden="1">
      <c r="B5932" s="1348"/>
      <c r="C5932" s="1348"/>
      <c r="D5932" s="1348"/>
      <c r="E5932" s="1348"/>
      <c r="F5932" s="1348"/>
      <c r="G5932" s="1348"/>
      <c r="H5932" s="1348"/>
      <c r="I5932" s="1348"/>
      <c r="J5932" s="1348"/>
      <c r="K5932" s="1348"/>
    </row>
    <row r="5933" spans="2:11" hidden="1">
      <c r="B5933" s="1348"/>
      <c r="C5933" s="1348"/>
      <c r="D5933" s="1348"/>
      <c r="E5933" s="1348"/>
      <c r="F5933" s="1348"/>
      <c r="G5933" s="1348"/>
      <c r="H5933" s="1348"/>
      <c r="I5933" s="1348"/>
      <c r="J5933" s="1348"/>
      <c r="K5933" s="1348"/>
    </row>
    <row r="5934" spans="2:11" hidden="1">
      <c r="B5934" s="1348"/>
      <c r="C5934" s="1348"/>
      <c r="D5934" s="1348"/>
      <c r="E5934" s="1348"/>
      <c r="F5934" s="1348"/>
      <c r="G5934" s="1348"/>
      <c r="H5934" s="1348"/>
      <c r="I5934" s="1348"/>
      <c r="J5934" s="1348"/>
      <c r="K5934" s="1348"/>
    </row>
    <row r="5935" spans="2:11" hidden="1">
      <c r="B5935" s="1348"/>
      <c r="C5935" s="1348"/>
      <c r="D5935" s="1348"/>
      <c r="E5935" s="1348"/>
      <c r="F5935" s="1348"/>
      <c r="G5935" s="1348"/>
      <c r="H5935" s="1348"/>
      <c r="I5935" s="1348"/>
      <c r="J5935" s="1348"/>
      <c r="K5935" s="1348"/>
    </row>
    <row r="5936" spans="2:11" hidden="1">
      <c r="B5936" s="1348"/>
      <c r="C5936" s="1348"/>
      <c r="D5936" s="1348"/>
      <c r="E5936" s="1348"/>
      <c r="F5936" s="1348"/>
      <c r="G5936" s="1348"/>
      <c r="H5936" s="1348"/>
      <c r="I5936" s="1348"/>
      <c r="J5936" s="1348"/>
      <c r="K5936" s="1348"/>
    </row>
    <row r="5937" spans="2:11" hidden="1">
      <c r="B5937" s="1348"/>
      <c r="C5937" s="1348"/>
      <c r="D5937" s="1348"/>
      <c r="E5937" s="1348"/>
      <c r="F5937" s="1348"/>
      <c r="G5937" s="1348"/>
      <c r="H5937" s="1348"/>
      <c r="I5937" s="1348"/>
      <c r="J5937" s="1348"/>
      <c r="K5937" s="1348"/>
    </row>
    <row r="5938" spans="2:11" hidden="1">
      <c r="B5938" s="1348"/>
      <c r="C5938" s="1348"/>
      <c r="D5938" s="1348"/>
      <c r="E5938" s="1348"/>
      <c r="F5938" s="1348"/>
      <c r="G5938" s="1348"/>
      <c r="H5938" s="1348"/>
      <c r="I5938" s="1348"/>
      <c r="J5938" s="1348"/>
      <c r="K5938" s="1348"/>
    </row>
    <row r="5939" spans="2:11" hidden="1">
      <c r="B5939" s="1348"/>
      <c r="C5939" s="1348"/>
      <c r="D5939" s="1348"/>
      <c r="E5939" s="1348"/>
      <c r="F5939" s="1348"/>
      <c r="G5939" s="1348"/>
      <c r="H5939" s="1348"/>
      <c r="I5939" s="1348"/>
      <c r="J5939" s="1348"/>
      <c r="K5939" s="1348"/>
    </row>
    <row r="5940" spans="2:11" hidden="1">
      <c r="B5940" s="1348"/>
      <c r="C5940" s="1348"/>
      <c r="D5940" s="1348"/>
      <c r="E5940" s="1348"/>
      <c r="F5940" s="1348"/>
      <c r="G5940" s="1348"/>
      <c r="H5940" s="1348"/>
      <c r="I5940" s="1348"/>
      <c r="J5940" s="1348"/>
      <c r="K5940" s="1348"/>
    </row>
    <row r="5941" spans="2:11" hidden="1">
      <c r="B5941" s="1348"/>
      <c r="C5941" s="1348"/>
      <c r="D5941" s="1348"/>
      <c r="E5941" s="1348"/>
      <c r="F5941" s="1348"/>
      <c r="G5941" s="1348"/>
      <c r="H5941" s="1348"/>
      <c r="I5941" s="1348"/>
      <c r="J5941" s="1348"/>
      <c r="K5941" s="1348"/>
    </row>
    <row r="5942" spans="2:11" hidden="1">
      <c r="B5942" s="1348"/>
      <c r="C5942" s="1348"/>
      <c r="D5942" s="1348"/>
      <c r="E5942" s="1348"/>
      <c r="F5942" s="1348"/>
      <c r="G5942" s="1348"/>
      <c r="H5942" s="1348"/>
      <c r="I5942" s="1348"/>
      <c r="J5942" s="1348"/>
      <c r="K5942" s="1348"/>
    </row>
    <row r="5943" spans="2:11" hidden="1">
      <c r="B5943" s="1348"/>
      <c r="C5943" s="1348"/>
      <c r="D5943" s="1348"/>
      <c r="E5943" s="1348"/>
      <c r="F5943" s="1348"/>
      <c r="G5943" s="1348"/>
      <c r="H5943" s="1348"/>
      <c r="I5943" s="1348"/>
      <c r="J5943" s="1348"/>
      <c r="K5943" s="1348"/>
    </row>
    <row r="5944" spans="2:11" hidden="1">
      <c r="B5944" s="1348"/>
      <c r="C5944" s="1348"/>
      <c r="D5944" s="1348"/>
      <c r="E5944" s="1348"/>
      <c r="F5944" s="1348"/>
      <c r="G5944" s="1348"/>
      <c r="H5944" s="1348"/>
      <c r="I5944" s="1348"/>
      <c r="J5944" s="1348"/>
      <c r="K5944" s="1348"/>
    </row>
    <row r="5945" spans="2:11" hidden="1">
      <c r="B5945" s="1348"/>
      <c r="C5945" s="1348"/>
      <c r="D5945" s="1348"/>
      <c r="E5945" s="1348"/>
      <c r="F5945" s="1348"/>
      <c r="G5945" s="1348"/>
      <c r="H5945" s="1348"/>
      <c r="I5945" s="1348"/>
      <c r="J5945" s="1348"/>
      <c r="K5945" s="1348"/>
    </row>
    <row r="5946" spans="2:11" hidden="1">
      <c r="B5946" s="1348"/>
      <c r="C5946" s="1348"/>
      <c r="D5946" s="1348"/>
      <c r="E5946" s="1348"/>
      <c r="F5946" s="1348"/>
      <c r="G5946" s="1348"/>
      <c r="H5946" s="1348"/>
      <c r="I5946" s="1348"/>
      <c r="J5946" s="1348"/>
      <c r="K5946" s="1348"/>
    </row>
    <row r="5947" spans="2:11" hidden="1">
      <c r="B5947" s="1348"/>
      <c r="C5947" s="1348"/>
      <c r="D5947" s="1348"/>
      <c r="E5947" s="1348"/>
      <c r="F5947" s="1348"/>
      <c r="G5947" s="1348"/>
      <c r="H5947" s="1348"/>
      <c r="I5947" s="1348"/>
      <c r="J5947" s="1348"/>
      <c r="K5947" s="1348"/>
    </row>
    <row r="5948" spans="2:11" hidden="1">
      <c r="B5948" s="1348"/>
      <c r="C5948" s="1348"/>
      <c r="D5948" s="1348"/>
      <c r="E5948" s="1348"/>
      <c r="F5948" s="1348"/>
      <c r="G5948" s="1348"/>
      <c r="H5948" s="1348"/>
      <c r="I5948" s="1348"/>
      <c r="J5948" s="1348"/>
      <c r="K5948" s="1348"/>
    </row>
    <row r="5949" spans="2:11" hidden="1">
      <c r="B5949" s="1348"/>
      <c r="C5949" s="1348"/>
      <c r="D5949" s="1348"/>
      <c r="E5949" s="1348"/>
      <c r="F5949" s="1348"/>
      <c r="G5949" s="1348"/>
      <c r="H5949" s="1348"/>
      <c r="I5949" s="1348"/>
      <c r="J5949" s="1348"/>
      <c r="K5949" s="1348"/>
    </row>
    <row r="5950" spans="2:11" hidden="1">
      <c r="B5950" s="1348"/>
      <c r="C5950" s="1348"/>
      <c r="D5950" s="1348"/>
      <c r="E5950" s="1348"/>
      <c r="F5950" s="1348"/>
      <c r="G5950" s="1348"/>
      <c r="H5950" s="1348"/>
      <c r="I5950" s="1348"/>
      <c r="J5950" s="1348"/>
      <c r="K5950" s="1348"/>
    </row>
    <row r="5951" spans="2:11" hidden="1">
      <c r="B5951" s="1348"/>
      <c r="C5951" s="1348"/>
      <c r="D5951" s="1348"/>
      <c r="E5951" s="1348"/>
      <c r="F5951" s="1348"/>
      <c r="G5951" s="1348"/>
      <c r="H5951" s="1348"/>
      <c r="I5951" s="1348"/>
      <c r="J5951" s="1348"/>
      <c r="K5951" s="1348"/>
    </row>
    <row r="5952" spans="2:11" hidden="1">
      <c r="B5952" s="1348"/>
      <c r="C5952" s="1348"/>
      <c r="D5952" s="1348"/>
      <c r="E5952" s="1348"/>
      <c r="F5952" s="1348"/>
      <c r="G5952" s="1348"/>
      <c r="H5952" s="1348"/>
      <c r="I5952" s="1348"/>
      <c r="J5952" s="1348"/>
      <c r="K5952" s="1348"/>
    </row>
    <row r="5953" spans="2:11" hidden="1">
      <c r="B5953" s="1348"/>
      <c r="C5953" s="1348"/>
      <c r="D5953" s="1348"/>
      <c r="E5953" s="1348"/>
      <c r="F5953" s="1348"/>
      <c r="G5953" s="1348"/>
      <c r="H5953" s="1348"/>
      <c r="I5953" s="1348"/>
      <c r="J5953" s="1348"/>
      <c r="K5953" s="1348"/>
    </row>
    <row r="5954" spans="2:11" hidden="1">
      <c r="B5954" s="1348"/>
      <c r="C5954" s="1348"/>
      <c r="D5954" s="1348"/>
      <c r="E5954" s="1348"/>
      <c r="F5954" s="1348"/>
      <c r="G5954" s="1348"/>
      <c r="H5954" s="1348"/>
      <c r="I5954" s="1348"/>
      <c r="J5954" s="1348"/>
      <c r="K5954" s="1348"/>
    </row>
    <row r="5955" spans="2:11" hidden="1">
      <c r="B5955" s="1348"/>
      <c r="C5955" s="1348"/>
      <c r="D5955" s="1348"/>
      <c r="E5955" s="1348"/>
      <c r="F5955" s="1348"/>
      <c r="G5955" s="1348"/>
      <c r="H5955" s="1348"/>
      <c r="I5955" s="1348"/>
      <c r="J5955" s="1348"/>
      <c r="K5955" s="1348"/>
    </row>
    <row r="5956" spans="2:11" hidden="1">
      <c r="B5956" s="1348"/>
      <c r="C5956" s="1348"/>
      <c r="D5956" s="1348"/>
      <c r="E5956" s="1348"/>
      <c r="F5956" s="1348"/>
      <c r="G5956" s="1348"/>
      <c r="H5956" s="1348"/>
      <c r="I5956" s="1348"/>
      <c r="J5956" s="1348"/>
      <c r="K5956" s="1348"/>
    </row>
    <row r="5957" spans="2:11" hidden="1">
      <c r="B5957" s="1348"/>
      <c r="C5957" s="1348"/>
      <c r="D5957" s="1348"/>
      <c r="E5957" s="1348"/>
      <c r="F5957" s="1348"/>
      <c r="G5957" s="1348"/>
      <c r="H5957" s="1348"/>
      <c r="I5957" s="1348"/>
      <c r="J5957" s="1348"/>
      <c r="K5957" s="1348"/>
    </row>
    <row r="5958" spans="2:11" hidden="1">
      <c r="B5958" s="1348"/>
      <c r="C5958" s="1348"/>
      <c r="D5958" s="1348"/>
      <c r="E5958" s="1348"/>
      <c r="F5958" s="1348"/>
      <c r="G5958" s="1348"/>
      <c r="H5958" s="1348"/>
      <c r="I5958" s="1348"/>
      <c r="J5958" s="1348"/>
      <c r="K5958" s="1348"/>
    </row>
    <row r="5959" spans="2:11" hidden="1">
      <c r="B5959" s="1348"/>
      <c r="C5959" s="1348"/>
      <c r="D5959" s="1348"/>
      <c r="E5959" s="1348"/>
      <c r="F5959" s="1348"/>
      <c r="G5959" s="1348"/>
      <c r="H5959" s="1348"/>
      <c r="I5959" s="1348"/>
      <c r="J5959" s="1348"/>
      <c r="K5959" s="1348"/>
    </row>
    <row r="5960" spans="2:11" hidden="1">
      <c r="B5960" s="1348"/>
      <c r="C5960" s="1348"/>
      <c r="D5960" s="1348"/>
      <c r="E5960" s="1348"/>
      <c r="F5960" s="1348"/>
      <c r="G5960" s="1348"/>
      <c r="H5960" s="1348"/>
      <c r="I5960" s="1348"/>
      <c r="J5960" s="1348"/>
      <c r="K5960" s="1348"/>
    </row>
    <row r="5961" spans="2:11" hidden="1">
      <c r="B5961" s="1348"/>
      <c r="C5961" s="1348"/>
      <c r="D5961" s="1348"/>
      <c r="E5961" s="1348"/>
      <c r="F5961" s="1348"/>
      <c r="G5961" s="1348"/>
      <c r="H5961" s="1348"/>
      <c r="I5961" s="1348"/>
      <c r="J5961" s="1348"/>
      <c r="K5961" s="1348"/>
    </row>
    <row r="5962" spans="2:11" hidden="1">
      <c r="B5962" s="1348"/>
      <c r="C5962" s="1348"/>
      <c r="D5962" s="1348"/>
      <c r="E5962" s="1348"/>
      <c r="F5962" s="1348"/>
      <c r="G5962" s="1348"/>
      <c r="H5962" s="1348"/>
      <c r="I5962" s="1348"/>
      <c r="J5962" s="1348"/>
      <c r="K5962" s="1348"/>
    </row>
    <row r="5963" spans="2:11" hidden="1">
      <c r="B5963" s="1348"/>
      <c r="C5963" s="1348"/>
      <c r="D5963" s="1348"/>
      <c r="E5963" s="1348"/>
      <c r="F5963" s="1348"/>
      <c r="G5963" s="1348"/>
      <c r="H5963" s="1348"/>
      <c r="I5963" s="1348"/>
      <c r="J5963" s="1348"/>
      <c r="K5963" s="1348"/>
    </row>
    <row r="5964" spans="2:11" hidden="1">
      <c r="B5964" s="1348"/>
      <c r="C5964" s="1348"/>
      <c r="D5964" s="1348"/>
      <c r="E5964" s="1348"/>
      <c r="F5964" s="1348"/>
      <c r="G5964" s="1348"/>
      <c r="H5964" s="1348"/>
      <c r="I5964" s="1348"/>
      <c r="J5964" s="1348"/>
      <c r="K5964" s="1348"/>
    </row>
    <row r="5965" spans="2:11" hidden="1">
      <c r="B5965" s="1348"/>
      <c r="C5965" s="1348"/>
      <c r="D5965" s="1348"/>
      <c r="E5965" s="1348"/>
      <c r="F5965" s="1348"/>
      <c r="G5965" s="1348"/>
      <c r="H5965" s="1348"/>
      <c r="I5965" s="1348"/>
      <c r="J5965" s="1348"/>
      <c r="K5965" s="1348"/>
    </row>
    <row r="5966" spans="2:11" hidden="1">
      <c r="B5966" s="1348"/>
      <c r="C5966" s="1348"/>
      <c r="D5966" s="1348"/>
      <c r="E5966" s="1348"/>
      <c r="F5966" s="1348"/>
      <c r="G5966" s="1348"/>
      <c r="H5966" s="1348"/>
      <c r="I5966" s="1348"/>
      <c r="J5966" s="1348"/>
      <c r="K5966" s="1348"/>
    </row>
    <row r="5967" spans="2:11" hidden="1">
      <c r="B5967" s="1348"/>
      <c r="C5967" s="1348"/>
      <c r="D5967" s="1348"/>
      <c r="E5967" s="1348"/>
      <c r="F5967" s="1348"/>
      <c r="G5967" s="1348"/>
      <c r="H5967" s="1348"/>
      <c r="I5967" s="1348"/>
      <c r="J5967" s="1348"/>
      <c r="K5967" s="1348"/>
    </row>
    <row r="5968" spans="2:11" hidden="1">
      <c r="B5968" s="1348"/>
      <c r="C5968" s="1348"/>
      <c r="D5968" s="1348"/>
      <c r="E5968" s="1348"/>
      <c r="F5968" s="1348"/>
      <c r="G5968" s="1348"/>
      <c r="H5968" s="1348"/>
      <c r="I5968" s="1348"/>
      <c r="J5968" s="1348"/>
      <c r="K5968" s="1348"/>
    </row>
    <row r="5969" spans="2:11" hidden="1">
      <c r="B5969" s="1348"/>
      <c r="C5969" s="1348"/>
      <c r="D5969" s="1348"/>
      <c r="E5969" s="1348"/>
      <c r="F5969" s="1348"/>
      <c r="G5969" s="1348"/>
      <c r="H5969" s="1348"/>
      <c r="I5969" s="1348"/>
      <c r="J5969" s="1348"/>
      <c r="K5969" s="1348"/>
    </row>
    <row r="5970" spans="2:11" hidden="1">
      <c r="B5970" s="1348"/>
      <c r="C5970" s="1348"/>
      <c r="D5970" s="1348"/>
      <c r="E5970" s="1348"/>
      <c r="F5970" s="1348"/>
      <c r="G5970" s="1348"/>
      <c r="H5970" s="1348"/>
      <c r="I5970" s="1348"/>
      <c r="J5970" s="1348"/>
      <c r="K5970" s="1348"/>
    </row>
    <row r="5971" spans="2:11" hidden="1">
      <c r="B5971" s="1348"/>
      <c r="C5971" s="1348"/>
      <c r="D5971" s="1348"/>
      <c r="E5971" s="1348"/>
      <c r="F5971" s="1348"/>
      <c r="G5971" s="1348"/>
      <c r="H5971" s="1348"/>
      <c r="I5971" s="1348"/>
      <c r="J5971" s="1348"/>
      <c r="K5971" s="1348"/>
    </row>
    <row r="5972" spans="2:11" hidden="1">
      <c r="B5972" s="1348"/>
      <c r="C5972" s="1348"/>
      <c r="D5972" s="1348"/>
      <c r="E5972" s="1348"/>
      <c r="F5972" s="1348"/>
      <c r="G5972" s="1348"/>
      <c r="H5972" s="1348"/>
      <c r="I5972" s="1348"/>
      <c r="J5972" s="1348"/>
      <c r="K5972" s="1348"/>
    </row>
    <row r="5973" spans="2:11" hidden="1">
      <c r="B5973" s="1348"/>
      <c r="C5973" s="1348"/>
      <c r="D5973" s="1348"/>
      <c r="E5973" s="1348"/>
      <c r="F5973" s="1348"/>
      <c r="G5973" s="1348"/>
      <c r="H5973" s="1348"/>
      <c r="I5973" s="1348"/>
      <c r="J5973" s="1348"/>
      <c r="K5973" s="1348"/>
    </row>
    <row r="5974" spans="2:11" hidden="1">
      <c r="B5974" s="1348"/>
      <c r="C5974" s="1348"/>
      <c r="D5974" s="1348"/>
      <c r="E5974" s="1348"/>
      <c r="F5974" s="1348"/>
      <c r="G5974" s="1348"/>
      <c r="H5974" s="1348"/>
      <c r="I5974" s="1348"/>
      <c r="J5974" s="1348"/>
      <c r="K5974" s="1348"/>
    </row>
    <row r="5975" spans="2:11" hidden="1">
      <c r="B5975" s="1348"/>
      <c r="C5975" s="1348"/>
      <c r="D5975" s="1348"/>
      <c r="E5975" s="1348"/>
      <c r="F5975" s="1348"/>
      <c r="G5975" s="1348"/>
      <c r="H5975" s="1348"/>
      <c r="I5975" s="1348"/>
      <c r="J5975" s="1348"/>
      <c r="K5975" s="1348"/>
    </row>
    <row r="5976" spans="2:11" hidden="1">
      <c r="B5976" s="1348"/>
      <c r="C5976" s="1348"/>
      <c r="D5976" s="1348"/>
      <c r="E5976" s="1348"/>
      <c r="F5976" s="1348"/>
      <c r="G5976" s="1348"/>
      <c r="H5976" s="1348"/>
      <c r="I5976" s="1348"/>
      <c r="J5976" s="1348"/>
      <c r="K5976" s="1348"/>
    </row>
    <row r="5977" spans="2:11" hidden="1">
      <c r="B5977" s="1348"/>
      <c r="C5977" s="1348"/>
      <c r="D5977" s="1348"/>
      <c r="E5977" s="1348"/>
      <c r="F5977" s="1348"/>
      <c r="G5977" s="1348"/>
      <c r="H5977" s="1348"/>
      <c r="I5977" s="1348"/>
      <c r="J5977" s="1348"/>
      <c r="K5977" s="1348"/>
    </row>
    <row r="5978" spans="2:11" hidden="1">
      <c r="B5978" s="1348"/>
      <c r="C5978" s="1348"/>
      <c r="D5978" s="1348"/>
      <c r="E5978" s="1348"/>
      <c r="F5978" s="1348"/>
      <c r="G5978" s="1348"/>
      <c r="H5978" s="1348"/>
      <c r="I5978" s="1348"/>
      <c r="J5978" s="1348"/>
      <c r="K5978" s="1348"/>
    </row>
    <row r="5979" spans="2:11" hidden="1">
      <c r="B5979" s="1348"/>
      <c r="C5979" s="1348"/>
      <c r="D5979" s="1348"/>
      <c r="E5979" s="1348"/>
      <c r="F5979" s="1348"/>
      <c r="G5979" s="1348"/>
      <c r="H5979" s="1348"/>
      <c r="I5979" s="1348"/>
      <c r="J5979" s="1348"/>
      <c r="K5979" s="1348"/>
    </row>
    <row r="5980" spans="2:11" hidden="1">
      <c r="B5980" s="1348"/>
      <c r="C5980" s="1348"/>
      <c r="D5980" s="1348"/>
      <c r="E5980" s="1348"/>
      <c r="F5980" s="1348"/>
      <c r="G5980" s="1348"/>
      <c r="H5980" s="1348"/>
      <c r="I5980" s="1348"/>
      <c r="J5980" s="1348"/>
      <c r="K5980" s="1348"/>
    </row>
    <row r="5981" spans="2:11" hidden="1">
      <c r="B5981" s="1348"/>
      <c r="C5981" s="1348"/>
      <c r="D5981" s="1348"/>
      <c r="E5981" s="1348"/>
      <c r="F5981" s="1348"/>
      <c r="G5981" s="1348"/>
      <c r="H5981" s="1348"/>
      <c r="I5981" s="1348"/>
      <c r="J5981" s="1348"/>
      <c r="K5981" s="1348"/>
    </row>
    <row r="5982" spans="2:11" hidden="1">
      <c r="B5982" s="1348"/>
      <c r="C5982" s="1348"/>
      <c r="D5982" s="1348"/>
      <c r="E5982" s="1348"/>
      <c r="F5982" s="1348"/>
      <c r="G5982" s="1348"/>
      <c r="H5982" s="1348"/>
      <c r="I5982" s="1348"/>
      <c r="J5982" s="1348"/>
      <c r="K5982" s="1348"/>
    </row>
    <row r="5983" spans="2:11" hidden="1">
      <c r="B5983" s="1348"/>
      <c r="C5983" s="1348"/>
      <c r="D5983" s="1348"/>
      <c r="E5983" s="1348"/>
      <c r="F5983" s="1348"/>
      <c r="G5983" s="1348"/>
      <c r="H5983" s="1348"/>
      <c r="I5983" s="1348"/>
      <c r="J5983" s="1348"/>
      <c r="K5983" s="1348"/>
    </row>
    <row r="5984" spans="2:11" hidden="1">
      <c r="B5984" s="1348"/>
      <c r="C5984" s="1348"/>
      <c r="D5984" s="1348"/>
      <c r="E5984" s="1348"/>
      <c r="F5984" s="1348"/>
      <c r="G5984" s="1348"/>
      <c r="H5984" s="1348"/>
      <c r="I5984" s="1348"/>
      <c r="J5984" s="1348"/>
      <c r="K5984" s="1348"/>
    </row>
    <row r="5985" spans="2:11" hidden="1">
      <c r="B5985" s="1348"/>
      <c r="C5985" s="1348"/>
      <c r="D5985" s="1348"/>
      <c r="E5985" s="1348"/>
      <c r="F5985" s="1348"/>
      <c r="G5985" s="1348"/>
      <c r="H5985" s="1348"/>
      <c r="I5985" s="1348"/>
      <c r="J5985" s="1348"/>
      <c r="K5985" s="1348"/>
    </row>
    <row r="5986" spans="2:11" hidden="1">
      <c r="B5986" s="1348"/>
      <c r="C5986" s="1348"/>
      <c r="D5986" s="1348"/>
      <c r="E5986" s="1348"/>
      <c r="F5986" s="1348"/>
      <c r="G5986" s="1348"/>
      <c r="H5986" s="1348"/>
      <c r="I5986" s="1348"/>
      <c r="J5986" s="1348"/>
      <c r="K5986" s="1348"/>
    </row>
    <row r="5987" spans="2:11" hidden="1">
      <c r="B5987" s="1348"/>
      <c r="C5987" s="1348"/>
      <c r="D5987" s="1348"/>
      <c r="E5987" s="1348"/>
      <c r="F5987" s="1348"/>
      <c r="G5987" s="1348"/>
      <c r="H5987" s="1348"/>
      <c r="I5987" s="1348"/>
      <c r="J5987" s="1348"/>
      <c r="K5987" s="1348"/>
    </row>
    <row r="5988" spans="2:11" hidden="1">
      <c r="B5988" s="1348"/>
      <c r="C5988" s="1348"/>
      <c r="D5988" s="1348"/>
      <c r="E5988" s="1348"/>
      <c r="F5988" s="1348"/>
      <c r="G5988" s="1348"/>
      <c r="H5988" s="1348"/>
      <c r="I5988" s="1348"/>
      <c r="J5988" s="1348"/>
      <c r="K5988" s="1348"/>
    </row>
    <row r="5989" spans="2:11" hidden="1">
      <c r="B5989" s="1348"/>
      <c r="C5989" s="1348"/>
      <c r="D5989" s="1348"/>
      <c r="E5989" s="1348"/>
      <c r="F5989" s="1348"/>
      <c r="G5989" s="1348"/>
      <c r="H5989" s="1348"/>
      <c r="I5989" s="1348"/>
      <c r="J5989" s="1348"/>
      <c r="K5989" s="1348"/>
    </row>
    <row r="5990" spans="2:11" hidden="1">
      <c r="B5990" s="1348"/>
      <c r="C5990" s="1348"/>
      <c r="D5990" s="1348"/>
      <c r="E5990" s="1348"/>
      <c r="F5990" s="1348"/>
      <c r="G5990" s="1348"/>
      <c r="H5990" s="1348"/>
      <c r="I5990" s="1348"/>
      <c r="J5990" s="1348"/>
      <c r="K5990" s="1348"/>
    </row>
    <row r="5991" spans="2:11" hidden="1">
      <c r="B5991" s="1348"/>
      <c r="C5991" s="1348"/>
      <c r="D5991" s="1348"/>
      <c r="E5991" s="1348"/>
      <c r="F5991" s="1348"/>
      <c r="G5991" s="1348"/>
      <c r="H5991" s="1348"/>
      <c r="I5991" s="1348"/>
      <c r="J5991" s="1348"/>
      <c r="K5991" s="1348"/>
    </row>
    <row r="5992" spans="2:11" hidden="1">
      <c r="B5992" s="1348"/>
      <c r="C5992" s="1348"/>
      <c r="D5992" s="1348"/>
      <c r="E5992" s="1348"/>
      <c r="F5992" s="1348"/>
      <c r="G5992" s="1348"/>
      <c r="H5992" s="1348"/>
      <c r="I5992" s="1348"/>
      <c r="J5992" s="1348"/>
      <c r="K5992" s="1348"/>
    </row>
    <row r="5993" spans="2:11" hidden="1">
      <c r="B5993" s="1348"/>
      <c r="C5993" s="1348"/>
      <c r="D5993" s="1348"/>
      <c r="E5993" s="1348"/>
      <c r="F5993" s="1348"/>
      <c r="G5993" s="1348"/>
      <c r="H5993" s="1348"/>
      <c r="I5993" s="1348"/>
      <c r="J5993" s="1348"/>
      <c r="K5993" s="1348"/>
    </row>
    <row r="5994" spans="2:11" hidden="1">
      <c r="B5994" s="1348"/>
      <c r="C5994" s="1348"/>
      <c r="D5994" s="1348"/>
      <c r="E5994" s="1348"/>
      <c r="F5994" s="1348"/>
      <c r="G5994" s="1348"/>
      <c r="H5994" s="1348"/>
      <c r="I5994" s="1348"/>
      <c r="J5994" s="1348"/>
      <c r="K5994" s="1348"/>
    </row>
    <row r="5995" spans="2:11" hidden="1">
      <c r="B5995" s="1348"/>
      <c r="C5995" s="1348"/>
      <c r="D5995" s="1348"/>
      <c r="E5995" s="1348"/>
      <c r="F5995" s="1348"/>
      <c r="G5995" s="1348"/>
      <c r="H5995" s="1348"/>
      <c r="I5995" s="1348"/>
      <c r="J5995" s="1348"/>
      <c r="K5995" s="1348"/>
    </row>
    <row r="5996" spans="2:11" hidden="1">
      <c r="B5996" s="1348"/>
      <c r="C5996" s="1348"/>
      <c r="D5996" s="1348"/>
      <c r="E5996" s="1348"/>
      <c r="F5996" s="1348"/>
      <c r="G5996" s="1348"/>
      <c r="H5996" s="1348"/>
      <c r="I5996" s="1348"/>
      <c r="J5996" s="1348"/>
      <c r="K5996" s="1348"/>
    </row>
    <row r="5997" spans="2:11" hidden="1">
      <c r="B5997" s="1348"/>
      <c r="C5997" s="1348"/>
      <c r="D5997" s="1348"/>
      <c r="E5997" s="1348"/>
      <c r="F5997" s="1348"/>
      <c r="G5997" s="1348"/>
      <c r="H5997" s="1348"/>
      <c r="I5997" s="1348"/>
      <c r="J5997" s="1348"/>
      <c r="K5997" s="1348"/>
    </row>
    <row r="5998" spans="2:11" hidden="1">
      <c r="B5998" s="1348"/>
      <c r="C5998" s="1348"/>
      <c r="D5998" s="1348"/>
      <c r="E5998" s="1348"/>
      <c r="F5998" s="1348"/>
      <c r="G5998" s="1348"/>
      <c r="H5998" s="1348"/>
      <c r="I5998" s="1348"/>
      <c r="J5998" s="1348"/>
      <c r="K5998" s="1348"/>
    </row>
    <row r="5999" spans="2:11" hidden="1">
      <c r="B5999" s="1348"/>
      <c r="C5999" s="1348"/>
      <c r="D5999" s="1348"/>
      <c r="E5999" s="1348"/>
      <c r="F5999" s="1348"/>
      <c r="G5999" s="1348"/>
      <c r="H5999" s="1348"/>
      <c r="I5999" s="1348"/>
      <c r="J5999" s="1348"/>
      <c r="K5999" s="1348"/>
    </row>
    <row r="6000" spans="2:11" hidden="1">
      <c r="B6000" s="1348"/>
      <c r="C6000" s="1348"/>
      <c r="D6000" s="1348"/>
      <c r="E6000" s="1348"/>
      <c r="F6000" s="1348"/>
      <c r="G6000" s="1348"/>
      <c r="H6000" s="1348"/>
      <c r="I6000" s="1348"/>
      <c r="J6000" s="1348"/>
      <c r="K6000" s="1348"/>
    </row>
    <row r="6001" spans="2:11" hidden="1">
      <c r="B6001" s="1348"/>
      <c r="C6001" s="1348"/>
      <c r="D6001" s="1348"/>
      <c r="E6001" s="1348"/>
      <c r="F6001" s="1348"/>
      <c r="G6001" s="1348"/>
      <c r="H6001" s="1348"/>
      <c r="I6001" s="1348"/>
      <c r="J6001" s="1348"/>
      <c r="K6001" s="1348"/>
    </row>
    <row r="6002" spans="2:11" hidden="1">
      <c r="B6002" s="1348"/>
      <c r="C6002" s="1348"/>
      <c r="D6002" s="1348"/>
      <c r="E6002" s="1348"/>
      <c r="F6002" s="1348"/>
      <c r="G6002" s="1348"/>
      <c r="H6002" s="1348"/>
      <c r="I6002" s="1348"/>
      <c r="J6002" s="1348"/>
      <c r="K6002" s="1348"/>
    </row>
    <row r="6003" spans="2:11" hidden="1">
      <c r="B6003" s="1348"/>
      <c r="C6003" s="1348"/>
      <c r="D6003" s="1348"/>
      <c r="E6003" s="1348"/>
      <c r="F6003" s="1348"/>
      <c r="G6003" s="1348"/>
      <c r="H6003" s="1348"/>
      <c r="I6003" s="1348"/>
      <c r="J6003" s="1348"/>
      <c r="K6003" s="1348"/>
    </row>
    <row r="6004" spans="2:11" hidden="1">
      <c r="B6004" s="1348"/>
      <c r="C6004" s="1348"/>
      <c r="D6004" s="1348"/>
      <c r="E6004" s="1348"/>
      <c r="F6004" s="1348"/>
      <c r="G6004" s="1348"/>
      <c r="H6004" s="1348"/>
      <c r="I6004" s="1348"/>
      <c r="J6004" s="1348"/>
      <c r="K6004" s="1348"/>
    </row>
    <row r="6005" spans="2:11" hidden="1">
      <c r="B6005" s="1348"/>
      <c r="C6005" s="1348"/>
      <c r="D6005" s="1348"/>
      <c r="E6005" s="1348"/>
      <c r="F6005" s="1348"/>
      <c r="G6005" s="1348"/>
      <c r="H6005" s="1348"/>
      <c r="I6005" s="1348"/>
      <c r="J6005" s="1348"/>
      <c r="K6005" s="1348"/>
    </row>
    <row r="6006" spans="2:11" hidden="1">
      <c r="B6006" s="1348"/>
      <c r="C6006" s="1348"/>
      <c r="D6006" s="1348"/>
      <c r="E6006" s="1348"/>
      <c r="F6006" s="1348"/>
      <c r="G6006" s="1348"/>
      <c r="H6006" s="1348"/>
      <c r="I6006" s="1348"/>
      <c r="J6006" s="1348"/>
      <c r="K6006" s="1348"/>
    </row>
    <row r="6007" spans="2:11" hidden="1">
      <c r="B6007" s="1348"/>
      <c r="C6007" s="1348"/>
      <c r="D6007" s="1348"/>
      <c r="E6007" s="1348"/>
      <c r="F6007" s="1348"/>
      <c r="G6007" s="1348"/>
      <c r="H6007" s="1348"/>
      <c r="I6007" s="1348"/>
      <c r="J6007" s="1348"/>
      <c r="K6007" s="1348"/>
    </row>
    <row r="6008" spans="2:11" hidden="1">
      <c r="B6008" s="1348"/>
      <c r="C6008" s="1348"/>
      <c r="D6008" s="1348"/>
      <c r="E6008" s="1348"/>
      <c r="F6008" s="1348"/>
      <c r="G6008" s="1348"/>
      <c r="H6008" s="1348"/>
      <c r="I6008" s="1348"/>
      <c r="J6008" s="1348"/>
      <c r="K6008" s="1348"/>
    </row>
    <row r="6009" spans="2:11" hidden="1">
      <c r="B6009" s="1348"/>
      <c r="C6009" s="1348"/>
      <c r="D6009" s="1348"/>
      <c r="E6009" s="1348"/>
      <c r="F6009" s="1348"/>
      <c r="G6009" s="1348"/>
      <c r="H6009" s="1348"/>
      <c r="I6009" s="1348"/>
      <c r="J6009" s="1348"/>
      <c r="K6009" s="1348"/>
    </row>
    <row r="6010" spans="2:11" hidden="1">
      <c r="B6010" s="1348"/>
      <c r="C6010" s="1348"/>
      <c r="D6010" s="1348"/>
      <c r="E6010" s="1348"/>
      <c r="F6010" s="1348"/>
      <c r="G6010" s="1348"/>
      <c r="H6010" s="1348"/>
      <c r="I6010" s="1348"/>
      <c r="J6010" s="1348"/>
      <c r="K6010" s="1348"/>
    </row>
    <row r="6011" spans="2:11" hidden="1">
      <c r="B6011" s="1348"/>
      <c r="C6011" s="1348"/>
      <c r="D6011" s="1348"/>
      <c r="E6011" s="1348"/>
      <c r="F6011" s="1348"/>
      <c r="G6011" s="1348"/>
      <c r="H6011" s="1348"/>
      <c r="I6011" s="1348"/>
      <c r="J6011" s="1348"/>
      <c r="K6011" s="1348"/>
    </row>
    <row r="6012" spans="2:11" hidden="1">
      <c r="B6012" s="1348"/>
      <c r="C6012" s="1348"/>
      <c r="D6012" s="1348"/>
      <c r="E6012" s="1348"/>
      <c r="F6012" s="1348"/>
      <c r="G6012" s="1348"/>
      <c r="H6012" s="1348"/>
      <c r="I6012" s="1348"/>
      <c r="J6012" s="1348"/>
      <c r="K6012" s="1348"/>
    </row>
    <row r="6013" spans="2:11" hidden="1">
      <c r="B6013" s="1348"/>
      <c r="C6013" s="1348"/>
      <c r="D6013" s="1348"/>
      <c r="E6013" s="1348"/>
      <c r="F6013" s="1348"/>
      <c r="G6013" s="1348"/>
      <c r="H6013" s="1348"/>
      <c r="I6013" s="1348"/>
      <c r="J6013" s="1348"/>
      <c r="K6013" s="1348"/>
    </row>
    <row r="6014" spans="2:11" hidden="1">
      <c r="B6014" s="1348"/>
      <c r="C6014" s="1348"/>
      <c r="D6014" s="1348"/>
      <c r="E6014" s="1348"/>
      <c r="F6014" s="1348"/>
      <c r="G6014" s="1348"/>
      <c r="H6014" s="1348"/>
      <c r="I6014" s="1348"/>
      <c r="J6014" s="1348"/>
      <c r="K6014" s="1348"/>
    </row>
    <row r="6015" spans="2:11" hidden="1">
      <c r="B6015" s="1348"/>
      <c r="C6015" s="1348"/>
      <c r="D6015" s="1348"/>
      <c r="E6015" s="1348"/>
      <c r="F6015" s="1348"/>
      <c r="G6015" s="1348"/>
      <c r="H6015" s="1348"/>
      <c r="I6015" s="1348"/>
      <c r="J6015" s="1348"/>
      <c r="K6015" s="1348"/>
    </row>
    <row r="6016" spans="2:11" hidden="1">
      <c r="B6016" s="1348"/>
      <c r="C6016" s="1348"/>
      <c r="D6016" s="1348"/>
      <c r="E6016" s="1348"/>
      <c r="F6016" s="1348"/>
      <c r="G6016" s="1348"/>
      <c r="H6016" s="1348"/>
      <c r="I6016" s="1348"/>
      <c r="J6016" s="1348"/>
      <c r="K6016" s="1348"/>
    </row>
    <row r="6017" spans="2:11" hidden="1">
      <c r="B6017" s="1348"/>
      <c r="C6017" s="1348"/>
      <c r="D6017" s="1348"/>
      <c r="E6017" s="1348"/>
      <c r="F6017" s="1348"/>
      <c r="G6017" s="1348"/>
      <c r="H6017" s="1348"/>
      <c r="I6017" s="1348"/>
      <c r="J6017" s="1348"/>
      <c r="K6017" s="1348"/>
    </row>
    <row r="6018" spans="2:11" hidden="1">
      <c r="B6018" s="1348"/>
      <c r="C6018" s="1348"/>
      <c r="D6018" s="1348"/>
      <c r="E6018" s="1348"/>
      <c r="F6018" s="1348"/>
      <c r="G6018" s="1348"/>
      <c r="H6018" s="1348"/>
      <c r="I6018" s="1348"/>
      <c r="J6018" s="1348"/>
      <c r="K6018" s="1348"/>
    </row>
    <row r="6019" spans="2:11" hidden="1">
      <c r="B6019" s="1348"/>
      <c r="C6019" s="1348"/>
      <c r="D6019" s="1348"/>
      <c r="E6019" s="1348"/>
      <c r="F6019" s="1348"/>
      <c r="G6019" s="1348"/>
      <c r="H6019" s="1348"/>
      <c r="I6019" s="1348"/>
      <c r="J6019" s="1348"/>
      <c r="K6019" s="1348"/>
    </row>
    <row r="6020" spans="2:11" hidden="1">
      <c r="B6020" s="1348"/>
      <c r="C6020" s="1348"/>
      <c r="D6020" s="1348"/>
      <c r="E6020" s="1348"/>
      <c r="F6020" s="1348"/>
      <c r="G6020" s="1348"/>
      <c r="H6020" s="1348"/>
      <c r="I6020" s="1348"/>
      <c r="J6020" s="1348"/>
      <c r="K6020" s="1348"/>
    </row>
    <row r="6021" spans="2:11" hidden="1">
      <c r="B6021" s="1348"/>
      <c r="C6021" s="1348"/>
      <c r="D6021" s="1348"/>
      <c r="E6021" s="1348"/>
      <c r="F6021" s="1348"/>
      <c r="G6021" s="1348"/>
      <c r="H6021" s="1348"/>
      <c r="I6021" s="1348"/>
      <c r="J6021" s="1348"/>
      <c r="K6021" s="1348"/>
    </row>
    <row r="6022" spans="2:11" hidden="1">
      <c r="B6022" s="1348"/>
      <c r="C6022" s="1348"/>
      <c r="D6022" s="1348"/>
      <c r="E6022" s="1348"/>
      <c r="F6022" s="1348"/>
      <c r="G6022" s="1348"/>
      <c r="H6022" s="1348"/>
      <c r="I6022" s="1348"/>
      <c r="J6022" s="1348"/>
      <c r="K6022" s="1348"/>
    </row>
    <row r="6023" spans="2:11" hidden="1">
      <c r="B6023" s="1348"/>
      <c r="C6023" s="1348"/>
      <c r="D6023" s="1348"/>
      <c r="E6023" s="1348"/>
      <c r="F6023" s="1348"/>
      <c r="G6023" s="1348"/>
      <c r="H6023" s="1348"/>
      <c r="I6023" s="1348"/>
      <c r="J6023" s="1348"/>
      <c r="K6023" s="1348"/>
    </row>
    <row r="6024" spans="2:11" hidden="1">
      <c r="B6024" s="1348"/>
      <c r="C6024" s="1348"/>
      <c r="D6024" s="1348"/>
      <c r="E6024" s="1348"/>
      <c r="F6024" s="1348"/>
      <c r="G6024" s="1348"/>
      <c r="H6024" s="1348"/>
      <c r="I6024" s="1348"/>
      <c r="J6024" s="1348"/>
      <c r="K6024" s="1348"/>
    </row>
    <row r="6025" spans="2:11" hidden="1">
      <c r="B6025" s="1348"/>
      <c r="C6025" s="1348"/>
      <c r="D6025" s="1348"/>
      <c r="E6025" s="1348"/>
      <c r="F6025" s="1348"/>
      <c r="G6025" s="1348"/>
      <c r="H6025" s="1348"/>
      <c r="I6025" s="1348"/>
      <c r="J6025" s="1348"/>
      <c r="K6025" s="1348"/>
    </row>
    <row r="6026" spans="2:11" hidden="1">
      <c r="B6026" s="1348"/>
      <c r="C6026" s="1348"/>
      <c r="D6026" s="1348"/>
      <c r="E6026" s="1348"/>
      <c r="F6026" s="1348"/>
      <c r="G6026" s="1348"/>
      <c r="H6026" s="1348"/>
      <c r="I6026" s="1348"/>
      <c r="J6026" s="1348"/>
      <c r="K6026" s="1348"/>
    </row>
    <row r="6027" spans="2:11" hidden="1">
      <c r="B6027" s="1348"/>
      <c r="C6027" s="1348"/>
      <c r="D6027" s="1348"/>
      <c r="E6027" s="1348"/>
      <c r="F6027" s="1348"/>
      <c r="G6027" s="1348"/>
      <c r="H6027" s="1348"/>
      <c r="I6027" s="1348"/>
      <c r="J6027" s="1348"/>
      <c r="K6027" s="1348"/>
    </row>
    <row r="6028" spans="2:11" hidden="1">
      <c r="B6028" s="1348"/>
      <c r="C6028" s="1348"/>
      <c r="D6028" s="1348"/>
      <c r="E6028" s="1348"/>
      <c r="F6028" s="1348"/>
      <c r="G6028" s="1348"/>
      <c r="H6028" s="1348"/>
      <c r="I6028" s="1348"/>
      <c r="J6028" s="1348"/>
      <c r="K6028" s="1348"/>
    </row>
    <row r="6029" spans="2:11" hidden="1">
      <c r="B6029" s="1348"/>
      <c r="C6029" s="1348"/>
      <c r="D6029" s="1348"/>
      <c r="E6029" s="1348"/>
      <c r="F6029" s="1348"/>
      <c r="G6029" s="1348"/>
      <c r="H6029" s="1348"/>
      <c r="I6029" s="1348"/>
      <c r="J6029" s="1348"/>
      <c r="K6029" s="1348"/>
    </row>
    <row r="6030" spans="2:11" hidden="1">
      <c r="B6030" s="1348"/>
      <c r="C6030" s="1348"/>
      <c r="D6030" s="1348"/>
      <c r="E6030" s="1348"/>
      <c r="F6030" s="1348"/>
      <c r="G6030" s="1348"/>
      <c r="H6030" s="1348"/>
      <c r="I6030" s="1348"/>
      <c r="J6030" s="1348"/>
      <c r="K6030" s="1348"/>
    </row>
    <row r="6031" spans="2:11" hidden="1">
      <c r="B6031" s="1348"/>
      <c r="C6031" s="1348"/>
      <c r="D6031" s="1348"/>
      <c r="E6031" s="1348"/>
      <c r="F6031" s="1348"/>
      <c r="G6031" s="1348"/>
      <c r="H6031" s="1348"/>
      <c r="I6031" s="1348"/>
      <c r="J6031" s="1348"/>
      <c r="K6031" s="1348"/>
    </row>
    <row r="6032" spans="2:11" hidden="1">
      <c r="B6032" s="1348"/>
      <c r="C6032" s="1348"/>
      <c r="D6032" s="1348"/>
      <c r="E6032" s="1348"/>
      <c r="F6032" s="1348"/>
      <c r="G6032" s="1348"/>
      <c r="H6032" s="1348"/>
      <c r="I6032" s="1348"/>
      <c r="J6032" s="1348"/>
      <c r="K6032" s="1348"/>
    </row>
    <row r="6033" spans="2:11" hidden="1">
      <c r="B6033" s="1348"/>
      <c r="C6033" s="1348"/>
      <c r="D6033" s="1348"/>
      <c r="E6033" s="1348"/>
      <c r="F6033" s="1348"/>
      <c r="G6033" s="1348"/>
      <c r="H6033" s="1348"/>
      <c r="I6033" s="1348"/>
      <c r="J6033" s="1348"/>
      <c r="K6033" s="1348"/>
    </row>
    <row r="6034" spans="2:11" hidden="1">
      <c r="B6034" s="1348"/>
      <c r="C6034" s="1348"/>
      <c r="D6034" s="1348"/>
      <c r="E6034" s="1348"/>
      <c r="F6034" s="1348"/>
      <c r="G6034" s="1348"/>
      <c r="H6034" s="1348"/>
      <c r="I6034" s="1348"/>
      <c r="J6034" s="1348"/>
      <c r="K6034" s="1348"/>
    </row>
    <row r="6035" spans="2:11" hidden="1">
      <c r="B6035" s="1348"/>
      <c r="C6035" s="1348"/>
      <c r="D6035" s="1348"/>
      <c r="E6035" s="1348"/>
      <c r="F6035" s="1348"/>
      <c r="G6035" s="1348"/>
      <c r="H6035" s="1348"/>
      <c r="I6035" s="1348"/>
      <c r="J6035" s="1348"/>
      <c r="K6035" s="1348"/>
    </row>
    <row r="6036" spans="2:11" hidden="1">
      <c r="B6036" s="1348"/>
      <c r="C6036" s="1348"/>
      <c r="D6036" s="1348"/>
      <c r="E6036" s="1348"/>
      <c r="F6036" s="1348"/>
      <c r="G6036" s="1348"/>
      <c r="H6036" s="1348"/>
      <c r="I6036" s="1348"/>
      <c r="J6036" s="1348"/>
      <c r="K6036" s="1348"/>
    </row>
    <row r="6037" spans="2:11" hidden="1">
      <c r="B6037" s="1348"/>
      <c r="C6037" s="1348"/>
      <c r="D6037" s="1348"/>
      <c r="E6037" s="1348"/>
      <c r="F6037" s="1348"/>
      <c r="G6037" s="1348"/>
      <c r="H6037" s="1348"/>
      <c r="I6037" s="1348"/>
      <c r="J6037" s="1348"/>
      <c r="K6037" s="1348"/>
    </row>
    <row r="6038" spans="2:11" hidden="1">
      <c r="B6038" s="1348"/>
      <c r="C6038" s="1348"/>
      <c r="D6038" s="1348"/>
      <c r="E6038" s="1348"/>
      <c r="F6038" s="1348"/>
      <c r="G6038" s="1348"/>
      <c r="H6038" s="1348"/>
      <c r="I6038" s="1348"/>
      <c r="J6038" s="1348"/>
      <c r="K6038" s="1348"/>
    </row>
    <row r="6039" spans="2:11" hidden="1">
      <c r="B6039" s="1348"/>
      <c r="C6039" s="1348"/>
      <c r="D6039" s="1348"/>
      <c r="E6039" s="1348"/>
      <c r="F6039" s="1348"/>
      <c r="G6039" s="1348"/>
      <c r="H6039" s="1348"/>
      <c r="I6039" s="1348"/>
      <c r="J6039" s="1348"/>
      <c r="K6039" s="1348"/>
    </row>
    <row r="6040" spans="2:11" hidden="1">
      <c r="B6040" s="1348"/>
      <c r="C6040" s="1348"/>
      <c r="D6040" s="1348"/>
      <c r="E6040" s="1348"/>
      <c r="F6040" s="1348"/>
      <c r="G6040" s="1348"/>
      <c r="H6040" s="1348"/>
      <c r="I6040" s="1348"/>
      <c r="J6040" s="1348"/>
      <c r="K6040" s="1348"/>
    </row>
    <row r="6041" spans="2:11" hidden="1">
      <c r="B6041" s="1348"/>
      <c r="C6041" s="1348"/>
      <c r="D6041" s="1348"/>
      <c r="E6041" s="1348"/>
      <c r="F6041" s="1348"/>
      <c r="G6041" s="1348"/>
      <c r="H6041" s="1348"/>
      <c r="I6041" s="1348"/>
      <c r="J6041" s="1348"/>
      <c r="K6041" s="1348"/>
    </row>
    <row r="6042" spans="2:11" hidden="1">
      <c r="B6042" s="1348"/>
      <c r="C6042" s="1348"/>
      <c r="D6042" s="1348"/>
      <c r="E6042" s="1348"/>
      <c r="F6042" s="1348"/>
      <c r="G6042" s="1348"/>
      <c r="H6042" s="1348"/>
      <c r="I6042" s="1348"/>
      <c r="J6042" s="1348"/>
      <c r="K6042" s="1348"/>
    </row>
    <row r="6043" spans="2:11" hidden="1">
      <c r="B6043" s="1348"/>
      <c r="C6043" s="1348"/>
      <c r="D6043" s="1348"/>
      <c r="E6043" s="1348"/>
      <c r="F6043" s="1348"/>
      <c r="G6043" s="1348"/>
      <c r="H6043" s="1348"/>
      <c r="I6043" s="1348"/>
      <c r="J6043" s="1348"/>
      <c r="K6043" s="1348"/>
    </row>
    <row r="6044" spans="2:11" hidden="1">
      <c r="B6044" s="1348"/>
      <c r="C6044" s="1348"/>
      <c r="D6044" s="1348"/>
      <c r="E6044" s="1348"/>
      <c r="F6044" s="1348"/>
      <c r="G6044" s="1348"/>
      <c r="H6044" s="1348"/>
      <c r="I6044" s="1348"/>
      <c r="J6044" s="1348"/>
      <c r="K6044" s="1348"/>
    </row>
    <row r="6045" spans="2:11" hidden="1">
      <c r="B6045" s="1348"/>
      <c r="C6045" s="1348"/>
      <c r="D6045" s="1348"/>
      <c r="E6045" s="1348"/>
      <c r="F6045" s="1348"/>
      <c r="G6045" s="1348"/>
      <c r="H6045" s="1348"/>
      <c r="I6045" s="1348"/>
      <c r="J6045" s="1348"/>
      <c r="K6045" s="1348"/>
    </row>
    <row r="6046" spans="2:11" hidden="1">
      <c r="B6046" s="1348"/>
      <c r="C6046" s="1348"/>
      <c r="D6046" s="1348"/>
      <c r="E6046" s="1348"/>
      <c r="F6046" s="1348"/>
      <c r="G6046" s="1348"/>
      <c r="H6046" s="1348"/>
      <c r="I6046" s="1348"/>
      <c r="J6046" s="1348"/>
      <c r="K6046" s="1348"/>
    </row>
    <row r="6047" spans="2:11" hidden="1">
      <c r="B6047" s="1348"/>
      <c r="C6047" s="1348"/>
      <c r="D6047" s="1348"/>
      <c r="E6047" s="1348"/>
      <c r="F6047" s="1348"/>
      <c r="G6047" s="1348"/>
      <c r="H6047" s="1348"/>
      <c r="I6047" s="1348"/>
      <c r="J6047" s="1348"/>
      <c r="K6047" s="1348"/>
    </row>
    <row r="6048" spans="2:11" hidden="1">
      <c r="B6048" s="1348"/>
      <c r="C6048" s="1348"/>
      <c r="D6048" s="1348"/>
      <c r="E6048" s="1348"/>
      <c r="F6048" s="1348"/>
      <c r="G6048" s="1348"/>
      <c r="H6048" s="1348"/>
      <c r="I6048" s="1348"/>
      <c r="J6048" s="1348"/>
      <c r="K6048" s="1348"/>
    </row>
    <row r="6049" spans="2:11" hidden="1">
      <c r="B6049" s="1348"/>
      <c r="C6049" s="1348"/>
      <c r="D6049" s="1348"/>
      <c r="E6049" s="1348"/>
      <c r="F6049" s="1348"/>
      <c r="G6049" s="1348"/>
      <c r="H6049" s="1348"/>
      <c r="I6049" s="1348"/>
      <c r="J6049" s="1348"/>
      <c r="K6049" s="1348"/>
    </row>
    <row r="6050" spans="2:11" hidden="1">
      <c r="B6050" s="1348"/>
      <c r="C6050" s="1348"/>
      <c r="D6050" s="1348"/>
      <c r="E6050" s="1348"/>
      <c r="F6050" s="1348"/>
      <c r="G6050" s="1348"/>
      <c r="H6050" s="1348"/>
      <c r="I6050" s="1348"/>
      <c r="J6050" s="1348"/>
      <c r="K6050" s="1348"/>
    </row>
    <row r="6051" spans="2:11" hidden="1">
      <c r="B6051" s="1348"/>
      <c r="C6051" s="1348"/>
      <c r="D6051" s="1348"/>
      <c r="E6051" s="1348"/>
      <c r="F6051" s="1348"/>
      <c r="G6051" s="1348"/>
      <c r="H6051" s="1348"/>
      <c r="I6051" s="1348"/>
      <c r="J6051" s="1348"/>
      <c r="K6051" s="1348"/>
    </row>
    <row r="6052" spans="2:11" hidden="1">
      <c r="B6052" s="1348"/>
      <c r="C6052" s="1348"/>
      <c r="D6052" s="1348"/>
      <c r="E6052" s="1348"/>
      <c r="F6052" s="1348"/>
      <c r="G6052" s="1348"/>
      <c r="H6052" s="1348"/>
      <c r="I6052" s="1348"/>
      <c r="J6052" s="1348"/>
      <c r="K6052" s="1348"/>
    </row>
    <row r="6053" spans="2:11" hidden="1">
      <c r="B6053" s="1348"/>
      <c r="C6053" s="1348"/>
      <c r="D6053" s="1348"/>
      <c r="E6053" s="1348"/>
      <c r="F6053" s="1348"/>
      <c r="G6053" s="1348"/>
      <c r="H6053" s="1348"/>
      <c r="I6053" s="1348"/>
      <c r="J6053" s="1348"/>
      <c r="K6053" s="1348"/>
    </row>
    <row r="6054" spans="2:11" hidden="1">
      <c r="B6054" s="1348"/>
      <c r="C6054" s="1348"/>
      <c r="D6054" s="1348"/>
      <c r="E6054" s="1348"/>
      <c r="F6054" s="1348"/>
      <c r="G6054" s="1348"/>
      <c r="H6054" s="1348"/>
      <c r="I6054" s="1348"/>
      <c r="J6054" s="1348"/>
      <c r="K6054" s="1348"/>
    </row>
    <row r="6055" spans="2:11" hidden="1">
      <c r="B6055" s="1348"/>
      <c r="C6055" s="1348"/>
      <c r="D6055" s="1348"/>
      <c r="E6055" s="1348"/>
      <c r="F6055" s="1348"/>
      <c r="G6055" s="1348"/>
      <c r="H6055" s="1348"/>
      <c r="I6055" s="1348"/>
      <c r="J6055" s="1348"/>
      <c r="K6055" s="1348"/>
    </row>
    <row r="6056" spans="2:11" hidden="1">
      <c r="B6056" s="1348"/>
      <c r="C6056" s="1348"/>
      <c r="D6056" s="1348"/>
      <c r="E6056" s="1348"/>
      <c r="F6056" s="1348"/>
      <c r="G6056" s="1348"/>
      <c r="H6056" s="1348"/>
      <c r="I6056" s="1348"/>
      <c r="J6056" s="1348"/>
      <c r="K6056" s="1348"/>
    </row>
    <row r="6057" spans="2:11" hidden="1">
      <c r="B6057" s="1348"/>
      <c r="C6057" s="1348"/>
      <c r="D6057" s="1348"/>
      <c r="E6057" s="1348"/>
      <c r="F6057" s="1348"/>
      <c r="G6057" s="1348"/>
      <c r="H6057" s="1348"/>
      <c r="I6057" s="1348"/>
      <c r="J6057" s="1348"/>
      <c r="K6057" s="1348"/>
    </row>
    <row r="6058" spans="2:11" hidden="1">
      <c r="B6058" s="1348"/>
      <c r="C6058" s="1348"/>
      <c r="D6058" s="1348"/>
      <c r="E6058" s="1348"/>
      <c r="F6058" s="1348"/>
      <c r="G6058" s="1348"/>
      <c r="H6058" s="1348"/>
      <c r="I6058" s="1348"/>
      <c r="J6058" s="1348"/>
      <c r="K6058" s="1348"/>
    </row>
    <row r="6059" spans="2:11" hidden="1">
      <c r="B6059" s="1348"/>
      <c r="C6059" s="1348"/>
      <c r="D6059" s="1348"/>
      <c r="E6059" s="1348"/>
      <c r="F6059" s="1348"/>
      <c r="G6059" s="1348"/>
      <c r="H6059" s="1348"/>
      <c r="I6059" s="1348"/>
      <c r="J6059" s="1348"/>
      <c r="K6059" s="1348"/>
    </row>
    <row r="6060" spans="2:11" hidden="1">
      <c r="B6060" s="1348"/>
      <c r="C6060" s="1348"/>
      <c r="D6060" s="1348"/>
      <c r="E6060" s="1348"/>
      <c r="F6060" s="1348"/>
      <c r="G6060" s="1348"/>
      <c r="H6060" s="1348"/>
      <c r="I6060" s="1348"/>
      <c r="J6060" s="1348"/>
      <c r="K6060" s="1348"/>
    </row>
    <row r="6061" spans="2:11" hidden="1">
      <c r="B6061" s="1348"/>
      <c r="C6061" s="1348"/>
      <c r="D6061" s="1348"/>
      <c r="E6061" s="1348"/>
      <c r="F6061" s="1348"/>
      <c r="G6061" s="1348"/>
      <c r="H6061" s="1348"/>
      <c r="I6061" s="1348"/>
      <c r="J6061" s="1348"/>
      <c r="K6061" s="1348"/>
    </row>
    <row r="6062" spans="2:11" hidden="1">
      <c r="B6062" s="1348"/>
      <c r="C6062" s="1348"/>
      <c r="D6062" s="1348"/>
      <c r="E6062" s="1348"/>
      <c r="F6062" s="1348"/>
      <c r="G6062" s="1348"/>
      <c r="H6062" s="1348"/>
      <c r="I6062" s="1348"/>
      <c r="J6062" s="1348"/>
      <c r="K6062" s="1348"/>
    </row>
    <row r="6063" spans="2:11" hidden="1">
      <c r="B6063" s="1348"/>
      <c r="C6063" s="1348"/>
      <c r="D6063" s="1348"/>
      <c r="E6063" s="1348"/>
      <c r="F6063" s="1348"/>
      <c r="G6063" s="1348"/>
      <c r="H6063" s="1348"/>
      <c r="I6063" s="1348"/>
      <c r="J6063" s="1348"/>
      <c r="K6063" s="1348"/>
    </row>
    <row r="6064" spans="2:11" hidden="1">
      <c r="B6064" s="1348"/>
      <c r="C6064" s="1348"/>
      <c r="D6064" s="1348"/>
      <c r="E6064" s="1348"/>
      <c r="F6064" s="1348"/>
      <c r="G6064" s="1348"/>
      <c r="H6064" s="1348"/>
      <c r="I6064" s="1348"/>
      <c r="J6064" s="1348"/>
      <c r="K6064" s="1348"/>
    </row>
    <row r="6065" spans="2:11" hidden="1">
      <c r="B6065" s="1348"/>
      <c r="C6065" s="1348"/>
      <c r="D6065" s="1348"/>
      <c r="E6065" s="1348"/>
      <c r="F6065" s="1348"/>
      <c r="G6065" s="1348"/>
      <c r="H6065" s="1348"/>
      <c r="I6065" s="1348"/>
      <c r="J6065" s="1348"/>
      <c r="K6065" s="1348"/>
    </row>
    <row r="6066" spans="2:11" hidden="1">
      <c r="B6066" s="1348"/>
      <c r="C6066" s="1348"/>
      <c r="D6066" s="1348"/>
      <c r="E6066" s="1348"/>
      <c r="F6066" s="1348"/>
      <c r="G6066" s="1348"/>
      <c r="H6066" s="1348"/>
      <c r="I6066" s="1348"/>
      <c r="J6066" s="1348"/>
      <c r="K6066" s="1348"/>
    </row>
    <row r="6067" spans="2:11" hidden="1">
      <c r="B6067" s="1348"/>
      <c r="C6067" s="1348"/>
      <c r="D6067" s="1348"/>
      <c r="E6067" s="1348"/>
      <c r="F6067" s="1348"/>
      <c r="G6067" s="1348"/>
      <c r="H6067" s="1348"/>
      <c r="I6067" s="1348"/>
      <c r="J6067" s="1348"/>
      <c r="K6067" s="1348"/>
    </row>
    <row r="6068" spans="2:11" hidden="1">
      <c r="B6068" s="1348"/>
      <c r="C6068" s="1348"/>
      <c r="D6068" s="1348"/>
      <c r="E6068" s="1348"/>
      <c r="F6068" s="1348"/>
      <c r="G6068" s="1348"/>
      <c r="H6068" s="1348"/>
      <c r="I6068" s="1348"/>
      <c r="J6068" s="1348"/>
      <c r="K6068" s="1348"/>
    </row>
    <row r="6069" spans="2:11" hidden="1">
      <c r="B6069" s="1348"/>
      <c r="C6069" s="1348"/>
      <c r="D6069" s="1348"/>
      <c r="E6069" s="1348"/>
      <c r="F6069" s="1348"/>
      <c r="G6069" s="1348"/>
      <c r="H6069" s="1348"/>
      <c r="I6069" s="1348"/>
      <c r="J6069" s="1348"/>
      <c r="K6069" s="1348"/>
    </row>
    <row r="6070" spans="2:11" hidden="1">
      <c r="B6070" s="1348"/>
      <c r="C6070" s="1348"/>
      <c r="D6070" s="1348"/>
      <c r="E6070" s="1348"/>
      <c r="F6070" s="1348"/>
      <c r="G6070" s="1348"/>
      <c r="H6070" s="1348"/>
      <c r="I6070" s="1348"/>
      <c r="J6070" s="1348"/>
      <c r="K6070" s="1348"/>
    </row>
    <row r="6071" spans="2:11" hidden="1">
      <c r="B6071" s="1348"/>
      <c r="C6071" s="1348"/>
      <c r="D6071" s="1348"/>
      <c r="E6071" s="1348"/>
      <c r="F6071" s="1348"/>
      <c r="G6071" s="1348"/>
      <c r="H6071" s="1348"/>
      <c r="I6071" s="1348"/>
      <c r="J6071" s="1348"/>
      <c r="K6071" s="1348"/>
    </row>
    <row r="6072" spans="2:11" hidden="1">
      <c r="B6072" s="1348"/>
      <c r="C6072" s="1348"/>
      <c r="D6072" s="1348"/>
      <c r="E6072" s="1348"/>
      <c r="F6072" s="1348"/>
      <c r="G6072" s="1348"/>
      <c r="H6072" s="1348"/>
      <c r="I6072" s="1348"/>
      <c r="J6072" s="1348"/>
      <c r="K6072" s="1348"/>
    </row>
    <row r="6073" spans="2:11" hidden="1">
      <c r="B6073" s="1348"/>
      <c r="C6073" s="1348"/>
      <c r="D6073" s="1348"/>
      <c r="E6073" s="1348"/>
      <c r="F6073" s="1348"/>
      <c r="G6073" s="1348"/>
      <c r="H6073" s="1348"/>
      <c r="I6073" s="1348"/>
      <c r="J6073" s="1348"/>
      <c r="K6073" s="1348"/>
    </row>
    <row r="6074" spans="2:11" hidden="1">
      <c r="B6074" s="1348"/>
      <c r="C6074" s="1348"/>
      <c r="D6074" s="1348"/>
      <c r="E6074" s="1348"/>
      <c r="F6074" s="1348"/>
      <c r="G6074" s="1348"/>
      <c r="H6074" s="1348"/>
      <c r="I6074" s="1348"/>
      <c r="J6074" s="1348"/>
      <c r="K6074" s="1348"/>
    </row>
    <row r="6075" spans="2:11" hidden="1">
      <c r="B6075" s="1348"/>
      <c r="C6075" s="1348"/>
      <c r="D6075" s="1348"/>
      <c r="E6075" s="1348"/>
      <c r="F6075" s="1348"/>
      <c r="G6075" s="1348"/>
      <c r="H6075" s="1348"/>
      <c r="I6075" s="1348"/>
      <c r="J6075" s="1348"/>
      <c r="K6075" s="1348"/>
    </row>
    <row r="6076" spans="2:11" hidden="1">
      <c r="B6076" s="1348"/>
      <c r="C6076" s="1348"/>
      <c r="D6076" s="1348"/>
      <c r="E6076" s="1348"/>
      <c r="F6076" s="1348"/>
      <c r="G6076" s="1348"/>
      <c r="H6076" s="1348"/>
      <c r="I6076" s="1348"/>
      <c r="J6076" s="1348"/>
      <c r="K6076" s="1348"/>
    </row>
    <row r="6077" spans="2:11" hidden="1">
      <c r="B6077" s="1348"/>
      <c r="C6077" s="1348"/>
      <c r="D6077" s="1348"/>
      <c r="E6077" s="1348"/>
      <c r="F6077" s="1348"/>
      <c r="G6077" s="1348"/>
      <c r="H6077" s="1348"/>
      <c r="I6077" s="1348"/>
      <c r="J6077" s="1348"/>
      <c r="K6077" s="1348"/>
    </row>
    <row r="6078" spans="2:11" hidden="1">
      <c r="B6078" s="1348"/>
      <c r="C6078" s="1348"/>
      <c r="D6078" s="1348"/>
      <c r="E6078" s="1348"/>
      <c r="F6078" s="1348"/>
      <c r="G6078" s="1348"/>
      <c r="H6078" s="1348"/>
      <c r="I6078" s="1348"/>
      <c r="J6078" s="1348"/>
      <c r="K6078" s="1348"/>
    </row>
    <row r="6079" spans="2:11" hidden="1">
      <c r="B6079" s="1348"/>
      <c r="C6079" s="1348"/>
      <c r="D6079" s="1348"/>
      <c r="E6079" s="1348"/>
      <c r="F6079" s="1348"/>
      <c r="G6079" s="1348"/>
      <c r="H6079" s="1348"/>
      <c r="I6079" s="1348"/>
      <c r="J6079" s="1348"/>
      <c r="K6079" s="1348"/>
    </row>
    <row r="6080" spans="2:11" hidden="1">
      <c r="B6080" s="1348"/>
      <c r="C6080" s="1348"/>
      <c r="D6080" s="1348"/>
      <c r="E6080" s="1348"/>
      <c r="F6080" s="1348"/>
      <c r="G6080" s="1348"/>
      <c r="H6080" s="1348"/>
      <c r="I6080" s="1348"/>
      <c r="J6080" s="1348"/>
      <c r="K6080" s="1348"/>
    </row>
    <row r="6081" spans="2:11" hidden="1">
      <c r="B6081" s="1348"/>
      <c r="C6081" s="1348"/>
      <c r="D6081" s="1348"/>
      <c r="E6081" s="1348"/>
      <c r="F6081" s="1348"/>
      <c r="G6081" s="1348"/>
      <c r="H6081" s="1348"/>
      <c r="I6081" s="1348"/>
      <c r="J6081" s="1348"/>
      <c r="K6081" s="1348"/>
    </row>
    <row r="6082" spans="2:11" hidden="1">
      <c r="B6082" s="1348"/>
      <c r="C6082" s="1348"/>
      <c r="D6082" s="1348"/>
      <c r="E6082" s="1348"/>
      <c r="F6082" s="1348"/>
      <c r="G6082" s="1348"/>
      <c r="H6082" s="1348"/>
      <c r="I6082" s="1348"/>
      <c r="J6082" s="1348"/>
      <c r="K6082" s="1348"/>
    </row>
    <row r="6083" spans="2:11" hidden="1">
      <c r="B6083" s="1348"/>
      <c r="C6083" s="1348"/>
      <c r="D6083" s="1348"/>
      <c r="E6083" s="1348"/>
      <c r="F6083" s="1348"/>
      <c r="G6083" s="1348"/>
      <c r="H6083" s="1348"/>
      <c r="I6083" s="1348"/>
      <c r="J6083" s="1348"/>
      <c r="K6083" s="1348"/>
    </row>
    <row r="6084" spans="2:11" hidden="1">
      <c r="B6084" s="1348"/>
      <c r="C6084" s="1348"/>
      <c r="D6084" s="1348"/>
      <c r="E6084" s="1348"/>
      <c r="F6084" s="1348"/>
      <c r="G6084" s="1348"/>
      <c r="H6084" s="1348"/>
      <c r="I6084" s="1348"/>
      <c r="J6084" s="1348"/>
      <c r="K6084" s="1348"/>
    </row>
    <row r="6085" spans="2:11" hidden="1">
      <c r="B6085" s="1348"/>
      <c r="C6085" s="1348"/>
      <c r="D6085" s="1348"/>
      <c r="E6085" s="1348"/>
      <c r="F6085" s="1348"/>
      <c r="G6085" s="1348"/>
      <c r="H6085" s="1348"/>
      <c r="I6085" s="1348"/>
      <c r="J6085" s="1348"/>
      <c r="K6085" s="1348"/>
    </row>
    <row r="6086" spans="2:11" hidden="1">
      <c r="B6086" s="1348"/>
      <c r="C6086" s="1348"/>
      <c r="D6086" s="1348"/>
      <c r="E6086" s="1348"/>
      <c r="F6086" s="1348"/>
      <c r="G6086" s="1348"/>
      <c r="H6086" s="1348"/>
      <c r="I6086" s="1348"/>
      <c r="J6086" s="1348"/>
      <c r="K6086" s="1348"/>
    </row>
    <row r="6087" spans="2:11" hidden="1">
      <c r="B6087" s="1348"/>
      <c r="C6087" s="1348"/>
      <c r="D6087" s="1348"/>
      <c r="E6087" s="1348"/>
      <c r="F6087" s="1348"/>
      <c r="G6087" s="1348"/>
      <c r="H6087" s="1348"/>
      <c r="I6087" s="1348"/>
      <c r="J6087" s="1348"/>
      <c r="K6087" s="1348"/>
    </row>
    <row r="6088" spans="2:11" hidden="1">
      <c r="B6088" s="1348"/>
      <c r="C6088" s="1348"/>
      <c r="D6088" s="1348"/>
      <c r="E6088" s="1348"/>
      <c r="F6088" s="1348"/>
      <c r="G6088" s="1348"/>
      <c r="H6088" s="1348"/>
      <c r="I6088" s="1348"/>
      <c r="J6088" s="1348"/>
      <c r="K6088" s="1348"/>
    </row>
    <row r="6089" spans="2:11" hidden="1">
      <c r="B6089" s="1348"/>
      <c r="C6089" s="1348"/>
      <c r="D6089" s="1348"/>
      <c r="E6089" s="1348"/>
      <c r="F6089" s="1348"/>
      <c r="G6089" s="1348"/>
      <c r="H6089" s="1348"/>
      <c r="I6089" s="1348"/>
      <c r="J6089" s="1348"/>
      <c r="K6089" s="1348"/>
    </row>
    <row r="6090" spans="2:11" hidden="1">
      <c r="B6090" s="1348"/>
      <c r="C6090" s="1348"/>
      <c r="D6090" s="1348"/>
      <c r="E6090" s="1348"/>
      <c r="F6090" s="1348"/>
      <c r="G6090" s="1348"/>
      <c r="H6090" s="1348"/>
      <c r="I6090" s="1348"/>
      <c r="J6090" s="1348"/>
      <c r="K6090" s="1348"/>
    </row>
    <row r="6091" spans="2:11" hidden="1">
      <c r="B6091" s="1348"/>
      <c r="C6091" s="1348"/>
      <c r="D6091" s="1348"/>
      <c r="E6091" s="1348"/>
      <c r="F6091" s="1348"/>
      <c r="G6091" s="1348"/>
      <c r="H6091" s="1348"/>
      <c r="I6091" s="1348"/>
      <c r="J6091" s="1348"/>
      <c r="K6091" s="1348"/>
    </row>
    <row r="6092" spans="2:11" hidden="1">
      <c r="B6092" s="1348"/>
      <c r="C6092" s="1348"/>
      <c r="D6092" s="1348"/>
      <c r="E6092" s="1348"/>
      <c r="F6092" s="1348"/>
      <c r="G6092" s="1348"/>
      <c r="H6092" s="1348"/>
      <c r="I6092" s="1348"/>
      <c r="J6092" s="1348"/>
      <c r="K6092" s="1348"/>
    </row>
    <row r="6093" spans="2:11" hidden="1">
      <c r="B6093" s="1348"/>
      <c r="C6093" s="1348"/>
      <c r="D6093" s="1348"/>
      <c r="E6093" s="1348"/>
      <c r="F6093" s="1348"/>
      <c r="G6093" s="1348"/>
      <c r="H6093" s="1348"/>
      <c r="I6093" s="1348"/>
      <c r="J6093" s="1348"/>
      <c r="K6093" s="1348"/>
    </row>
    <row r="6094" spans="2:11" hidden="1">
      <c r="B6094" s="1348"/>
      <c r="C6094" s="1348"/>
      <c r="D6094" s="1348"/>
      <c r="E6094" s="1348"/>
      <c r="F6094" s="1348"/>
      <c r="G6094" s="1348"/>
      <c r="H6094" s="1348"/>
      <c r="I6094" s="1348"/>
      <c r="J6094" s="1348"/>
      <c r="K6094" s="1348"/>
    </row>
    <row r="6095" spans="2:11" hidden="1">
      <c r="B6095" s="1348"/>
      <c r="C6095" s="1348"/>
      <c r="D6095" s="1348"/>
      <c r="E6095" s="1348"/>
      <c r="F6095" s="1348"/>
      <c r="G6095" s="1348"/>
      <c r="H6095" s="1348"/>
      <c r="I6095" s="1348"/>
      <c r="J6095" s="1348"/>
      <c r="K6095" s="1348"/>
    </row>
    <row r="6096" spans="2:11" hidden="1">
      <c r="B6096" s="1348"/>
      <c r="C6096" s="1348"/>
      <c r="D6096" s="1348"/>
      <c r="E6096" s="1348"/>
      <c r="F6096" s="1348"/>
      <c r="G6096" s="1348"/>
      <c r="H6096" s="1348"/>
      <c r="I6096" s="1348"/>
      <c r="J6096" s="1348"/>
      <c r="K6096" s="1348"/>
    </row>
    <row r="6097" spans="2:11" hidden="1">
      <c r="B6097" s="1348"/>
      <c r="C6097" s="1348"/>
      <c r="D6097" s="1348"/>
      <c r="E6097" s="1348"/>
      <c r="F6097" s="1348"/>
      <c r="G6097" s="1348"/>
      <c r="H6097" s="1348"/>
      <c r="I6097" s="1348"/>
      <c r="J6097" s="1348"/>
      <c r="K6097" s="1348"/>
    </row>
    <row r="6098" spans="2:11" hidden="1">
      <c r="B6098" s="1348"/>
      <c r="C6098" s="1348"/>
      <c r="D6098" s="1348"/>
      <c r="E6098" s="1348"/>
      <c r="F6098" s="1348"/>
      <c r="G6098" s="1348"/>
      <c r="H6098" s="1348"/>
      <c r="I6098" s="1348"/>
      <c r="J6098" s="1348"/>
      <c r="K6098" s="1348"/>
    </row>
    <row r="6099" spans="2:11" hidden="1">
      <c r="B6099" s="1348"/>
      <c r="C6099" s="1348"/>
      <c r="D6099" s="1348"/>
      <c r="E6099" s="1348"/>
      <c r="F6099" s="1348"/>
      <c r="G6099" s="1348"/>
      <c r="H6099" s="1348"/>
      <c r="I6099" s="1348"/>
      <c r="J6099" s="1348"/>
      <c r="K6099" s="1348"/>
    </row>
    <row r="6100" spans="2:11" hidden="1">
      <c r="B6100" s="1348"/>
      <c r="C6100" s="1348"/>
      <c r="D6100" s="1348"/>
      <c r="E6100" s="1348"/>
      <c r="F6100" s="1348"/>
      <c r="G6100" s="1348"/>
      <c r="H6100" s="1348"/>
      <c r="I6100" s="1348"/>
      <c r="J6100" s="1348"/>
      <c r="K6100" s="1348"/>
    </row>
    <row r="6101" spans="2:11" hidden="1">
      <c r="B6101" s="1348"/>
      <c r="C6101" s="1348"/>
      <c r="D6101" s="1348"/>
      <c r="E6101" s="1348"/>
      <c r="F6101" s="1348"/>
      <c r="G6101" s="1348"/>
      <c r="H6101" s="1348"/>
      <c r="I6101" s="1348"/>
      <c r="J6101" s="1348"/>
      <c r="K6101" s="1348"/>
    </row>
    <row r="6102" spans="2:11" hidden="1">
      <c r="B6102" s="1348"/>
      <c r="C6102" s="1348"/>
      <c r="D6102" s="1348"/>
      <c r="E6102" s="1348"/>
      <c r="F6102" s="1348"/>
      <c r="G6102" s="1348"/>
      <c r="H6102" s="1348"/>
      <c r="I6102" s="1348"/>
      <c r="J6102" s="1348"/>
      <c r="K6102" s="1348"/>
    </row>
    <row r="6103" spans="2:11" hidden="1">
      <c r="B6103" s="1348"/>
      <c r="C6103" s="1348"/>
      <c r="D6103" s="1348"/>
      <c r="E6103" s="1348"/>
      <c r="F6103" s="1348"/>
      <c r="G6103" s="1348"/>
      <c r="H6103" s="1348"/>
      <c r="I6103" s="1348"/>
      <c r="J6103" s="1348"/>
      <c r="K6103" s="1348"/>
    </row>
    <row r="6104" spans="2:11" hidden="1">
      <c r="B6104" s="1348"/>
      <c r="C6104" s="1348"/>
      <c r="D6104" s="1348"/>
      <c r="E6104" s="1348"/>
      <c r="F6104" s="1348"/>
      <c r="G6104" s="1348"/>
      <c r="H6104" s="1348"/>
      <c r="I6104" s="1348"/>
      <c r="J6104" s="1348"/>
      <c r="K6104" s="1348"/>
    </row>
    <row r="6105" spans="2:11" hidden="1">
      <c r="B6105" s="1348"/>
      <c r="C6105" s="1348"/>
      <c r="D6105" s="1348"/>
      <c r="E6105" s="1348"/>
      <c r="F6105" s="1348"/>
      <c r="G6105" s="1348"/>
      <c r="H6105" s="1348"/>
      <c r="I6105" s="1348"/>
      <c r="J6105" s="1348"/>
      <c r="K6105" s="1348"/>
    </row>
    <row r="6106" spans="2:11" hidden="1">
      <c r="B6106" s="1348"/>
      <c r="C6106" s="1348"/>
      <c r="D6106" s="1348"/>
      <c r="E6106" s="1348"/>
      <c r="F6106" s="1348"/>
      <c r="G6106" s="1348"/>
      <c r="H6106" s="1348"/>
      <c r="I6106" s="1348"/>
      <c r="J6106" s="1348"/>
      <c r="K6106" s="1348"/>
    </row>
    <row r="6107" spans="2:11" hidden="1">
      <c r="B6107" s="1348"/>
      <c r="C6107" s="1348"/>
      <c r="D6107" s="1348"/>
      <c r="E6107" s="1348"/>
      <c r="F6107" s="1348"/>
      <c r="G6107" s="1348"/>
      <c r="H6107" s="1348"/>
      <c r="I6107" s="1348"/>
      <c r="J6107" s="1348"/>
      <c r="K6107" s="1348"/>
    </row>
    <row r="6108" spans="2:11" hidden="1">
      <c r="B6108" s="1348"/>
      <c r="C6108" s="1348"/>
      <c r="D6108" s="1348"/>
      <c r="E6108" s="1348"/>
      <c r="F6108" s="1348"/>
      <c r="G6108" s="1348"/>
      <c r="H6108" s="1348"/>
      <c r="I6108" s="1348"/>
      <c r="J6108" s="1348"/>
      <c r="K6108" s="1348"/>
    </row>
    <row r="6109" spans="2:11" hidden="1">
      <c r="B6109" s="1348"/>
      <c r="C6109" s="1348"/>
      <c r="D6109" s="1348"/>
      <c r="E6109" s="1348"/>
      <c r="F6109" s="1348"/>
      <c r="G6109" s="1348"/>
      <c r="H6109" s="1348"/>
      <c r="I6109" s="1348"/>
      <c r="J6109" s="1348"/>
      <c r="K6109" s="1348"/>
    </row>
    <row r="6110" spans="2:11" hidden="1">
      <c r="B6110" s="1348"/>
      <c r="C6110" s="1348"/>
      <c r="D6110" s="1348"/>
      <c r="E6110" s="1348"/>
      <c r="F6110" s="1348"/>
      <c r="G6110" s="1348"/>
      <c r="H6110" s="1348"/>
      <c r="I6110" s="1348"/>
      <c r="J6110" s="1348"/>
      <c r="K6110" s="1348"/>
    </row>
    <row r="6111" spans="2:11" hidden="1">
      <c r="B6111" s="1348"/>
      <c r="C6111" s="1348"/>
      <c r="D6111" s="1348"/>
      <c r="E6111" s="1348"/>
      <c r="F6111" s="1348"/>
      <c r="G6111" s="1348"/>
      <c r="H6111" s="1348"/>
      <c r="I6111" s="1348"/>
      <c r="J6111" s="1348"/>
      <c r="K6111" s="1348"/>
    </row>
    <row r="6112" spans="2:11" hidden="1">
      <c r="B6112" s="1348"/>
      <c r="C6112" s="1348"/>
      <c r="D6112" s="1348"/>
      <c r="E6112" s="1348"/>
      <c r="F6112" s="1348"/>
      <c r="G6112" s="1348"/>
      <c r="H6112" s="1348"/>
      <c r="I6112" s="1348"/>
      <c r="J6112" s="1348"/>
      <c r="K6112" s="1348"/>
    </row>
    <row r="6113" spans="2:11" hidden="1">
      <c r="B6113" s="1348"/>
      <c r="C6113" s="1348"/>
      <c r="D6113" s="1348"/>
      <c r="E6113" s="1348"/>
      <c r="F6113" s="1348"/>
      <c r="G6113" s="1348"/>
      <c r="H6113" s="1348"/>
      <c r="I6113" s="1348"/>
      <c r="J6113" s="1348"/>
      <c r="K6113" s="1348"/>
    </row>
    <row r="6114" spans="2:11" hidden="1">
      <c r="B6114" s="1348"/>
      <c r="C6114" s="1348"/>
      <c r="D6114" s="1348"/>
      <c r="E6114" s="1348"/>
      <c r="F6114" s="1348"/>
      <c r="G6114" s="1348"/>
      <c r="H6114" s="1348"/>
      <c r="I6114" s="1348"/>
      <c r="J6114" s="1348"/>
      <c r="K6114" s="1348"/>
    </row>
    <row r="6115" spans="2:11" hidden="1">
      <c r="B6115" s="1348"/>
      <c r="C6115" s="1348"/>
      <c r="D6115" s="1348"/>
      <c r="E6115" s="1348"/>
      <c r="F6115" s="1348"/>
      <c r="G6115" s="1348"/>
      <c r="H6115" s="1348"/>
      <c r="I6115" s="1348"/>
      <c r="J6115" s="1348"/>
      <c r="K6115" s="1348"/>
    </row>
    <row r="6116" spans="2:11" hidden="1">
      <c r="B6116" s="1348"/>
      <c r="C6116" s="1348"/>
      <c r="D6116" s="1348"/>
      <c r="E6116" s="1348"/>
      <c r="F6116" s="1348"/>
      <c r="G6116" s="1348"/>
      <c r="H6116" s="1348"/>
      <c r="I6116" s="1348"/>
      <c r="J6116" s="1348"/>
      <c r="K6116" s="1348"/>
    </row>
    <row r="6117" spans="2:11" hidden="1">
      <c r="B6117" s="1348"/>
      <c r="C6117" s="1348"/>
      <c r="D6117" s="1348"/>
      <c r="E6117" s="1348"/>
      <c r="F6117" s="1348"/>
      <c r="G6117" s="1348"/>
      <c r="H6117" s="1348"/>
      <c r="I6117" s="1348"/>
      <c r="J6117" s="1348"/>
      <c r="K6117" s="1348"/>
    </row>
    <row r="6118" spans="2:11" hidden="1">
      <c r="B6118" s="1348"/>
      <c r="C6118" s="1348"/>
      <c r="D6118" s="1348"/>
      <c r="E6118" s="1348"/>
      <c r="F6118" s="1348"/>
      <c r="G6118" s="1348"/>
      <c r="H6118" s="1348"/>
      <c r="I6118" s="1348"/>
      <c r="J6118" s="1348"/>
      <c r="K6118" s="1348"/>
    </row>
    <row r="6119" spans="2:11" hidden="1">
      <c r="B6119" s="1348"/>
      <c r="C6119" s="1348"/>
      <c r="D6119" s="1348"/>
      <c r="E6119" s="1348"/>
      <c r="F6119" s="1348"/>
      <c r="G6119" s="1348"/>
      <c r="H6119" s="1348"/>
      <c r="I6119" s="1348"/>
      <c r="J6119" s="1348"/>
      <c r="K6119" s="1348"/>
    </row>
    <row r="6120" spans="2:11" hidden="1">
      <c r="B6120" s="1348"/>
      <c r="C6120" s="1348"/>
      <c r="D6120" s="1348"/>
      <c r="E6120" s="1348"/>
      <c r="F6120" s="1348"/>
      <c r="G6120" s="1348"/>
      <c r="H6120" s="1348"/>
      <c r="I6120" s="1348"/>
      <c r="J6120" s="1348"/>
      <c r="K6120" s="1348"/>
    </row>
    <row r="6121" spans="2:11" hidden="1">
      <c r="B6121" s="1348"/>
      <c r="C6121" s="1348"/>
      <c r="D6121" s="1348"/>
      <c r="E6121" s="1348"/>
      <c r="F6121" s="1348"/>
      <c r="G6121" s="1348"/>
      <c r="H6121" s="1348"/>
      <c r="I6121" s="1348"/>
      <c r="J6121" s="1348"/>
      <c r="K6121" s="1348"/>
    </row>
    <row r="6122" spans="2:11" hidden="1">
      <c r="B6122" s="1348"/>
      <c r="C6122" s="1348"/>
      <c r="D6122" s="1348"/>
      <c r="E6122" s="1348"/>
      <c r="F6122" s="1348"/>
      <c r="G6122" s="1348"/>
      <c r="H6122" s="1348"/>
      <c r="I6122" s="1348"/>
      <c r="J6122" s="1348"/>
      <c r="K6122" s="1348"/>
    </row>
    <row r="6123" spans="2:11" hidden="1">
      <c r="B6123" s="1348"/>
      <c r="C6123" s="1348"/>
      <c r="D6123" s="1348"/>
      <c r="E6123" s="1348"/>
      <c r="F6123" s="1348"/>
      <c r="G6123" s="1348"/>
      <c r="H6123" s="1348"/>
      <c r="I6123" s="1348"/>
      <c r="J6123" s="1348"/>
      <c r="K6123" s="1348"/>
    </row>
    <row r="6124" spans="2:11" hidden="1">
      <c r="B6124" s="1348"/>
      <c r="C6124" s="1348"/>
      <c r="D6124" s="1348"/>
      <c r="E6124" s="1348"/>
      <c r="F6124" s="1348"/>
      <c r="G6124" s="1348"/>
      <c r="H6124" s="1348"/>
      <c r="I6124" s="1348"/>
      <c r="J6124" s="1348"/>
      <c r="K6124" s="1348"/>
    </row>
    <row r="6125" spans="2:11" hidden="1">
      <c r="B6125" s="1348"/>
      <c r="C6125" s="1348"/>
      <c r="D6125" s="1348"/>
      <c r="E6125" s="1348"/>
      <c r="F6125" s="1348"/>
      <c r="G6125" s="1348"/>
      <c r="H6125" s="1348"/>
      <c r="I6125" s="1348"/>
      <c r="J6125" s="1348"/>
      <c r="K6125" s="1348"/>
    </row>
    <row r="6126" spans="2:11" hidden="1">
      <c r="B6126" s="1348"/>
      <c r="C6126" s="1348"/>
      <c r="D6126" s="1348"/>
      <c r="E6126" s="1348"/>
      <c r="F6126" s="1348"/>
      <c r="G6126" s="1348"/>
      <c r="H6126" s="1348"/>
      <c r="I6126" s="1348"/>
      <c r="J6126" s="1348"/>
      <c r="K6126" s="1348"/>
    </row>
    <row r="6127" spans="2:11" hidden="1">
      <c r="B6127" s="1348"/>
      <c r="C6127" s="1348"/>
      <c r="D6127" s="1348"/>
      <c r="E6127" s="1348"/>
      <c r="F6127" s="1348"/>
      <c r="G6127" s="1348"/>
      <c r="H6127" s="1348"/>
      <c r="I6127" s="1348"/>
      <c r="J6127" s="1348"/>
      <c r="K6127" s="1348"/>
    </row>
    <row r="6128" spans="2:11" hidden="1">
      <c r="B6128" s="1348"/>
      <c r="C6128" s="1348"/>
      <c r="D6128" s="1348"/>
      <c r="E6128" s="1348"/>
      <c r="F6128" s="1348"/>
      <c r="G6128" s="1348"/>
      <c r="H6128" s="1348"/>
      <c r="I6128" s="1348"/>
      <c r="J6128" s="1348"/>
      <c r="K6128" s="1348"/>
    </row>
    <row r="6129" spans="2:11" hidden="1">
      <c r="B6129" s="1348"/>
      <c r="C6129" s="1348"/>
      <c r="D6129" s="1348"/>
      <c r="E6129" s="1348"/>
      <c r="F6129" s="1348"/>
      <c r="G6129" s="1348"/>
      <c r="H6129" s="1348"/>
      <c r="I6129" s="1348"/>
      <c r="J6129" s="1348"/>
      <c r="K6129" s="1348"/>
    </row>
    <row r="6130" spans="2:11" hidden="1">
      <c r="B6130" s="1348"/>
      <c r="C6130" s="1348"/>
      <c r="D6130" s="1348"/>
      <c r="E6130" s="1348"/>
      <c r="F6130" s="1348"/>
      <c r="G6130" s="1348"/>
      <c r="H6130" s="1348"/>
      <c r="I6130" s="1348"/>
      <c r="J6130" s="1348"/>
      <c r="K6130" s="1348"/>
    </row>
    <row r="6131" spans="2:11" hidden="1">
      <c r="B6131" s="1348"/>
      <c r="C6131" s="1348"/>
      <c r="D6131" s="1348"/>
      <c r="E6131" s="1348"/>
      <c r="F6131" s="1348"/>
      <c r="G6131" s="1348"/>
      <c r="H6131" s="1348"/>
      <c r="I6131" s="1348"/>
      <c r="J6131" s="1348"/>
      <c r="K6131" s="1348"/>
    </row>
    <row r="6132" spans="2:11" hidden="1">
      <c r="B6132" s="1348"/>
      <c r="C6132" s="1348"/>
      <c r="D6132" s="1348"/>
      <c r="E6132" s="1348"/>
      <c r="F6132" s="1348"/>
      <c r="G6132" s="1348"/>
      <c r="H6132" s="1348"/>
      <c r="I6132" s="1348"/>
      <c r="J6132" s="1348"/>
      <c r="K6132" s="1348"/>
    </row>
    <row r="6133" spans="2:11" hidden="1">
      <c r="B6133" s="1348"/>
      <c r="C6133" s="1348"/>
      <c r="D6133" s="1348"/>
      <c r="E6133" s="1348"/>
      <c r="F6133" s="1348"/>
      <c r="G6133" s="1348"/>
      <c r="H6133" s="1348"/>
      <c r="I6133" s="1348"/>
      <c r="J6133" s="1348"/>
      <c r="K6133" s="1348"/>
    </row>
    <row r="6134" spans="2:11" hidden="1">
      <c r="B6134" s="1348"/>
      <c r="C6134" s="1348"/>
      <c r="D6134" s="1348"/>
      <c r="E6134" s="1348"/>
      <c r="F6134" s="1348"/>
      <c r="G6134" s="1348"/>
      <c r="H6134" s="1348"/>
      <c r="I6134" s="1348"/>
      <c r="J6134" s="1348"/>
      <c r="K6134" s="1348"/>
    </row>
    <row r="6135" spans="2:11" hidden="1">
      <c r="B6135" s="1348"/>
      <c r="C6135" s="1348"/>
      <c r="D6135" s="1348"/>
      <c r="E6135" s="1348"/>
      <c r="F6135" s="1348"/>
      <c r="G6135" s="1348"/>
      <c r="H6135" s="1348"/>
      <c r="I6135" s="1348"/>
      <c r="J6135" s="1348"/>
      <c r="K6135" s="1348"/>
    </row>
    <row r="6136" spans="2:11" hidden="1">
      <c r="B6136" s="1348"/>
      <c r="C6136" s="1348"/>
      <c r="D6136" s="1348"/>
      <c r="E6136" s="1348"/>
      <c r="F6136" s="1348"/>
      <c r="G6136" s="1348"/>
      <c r="H6136" s="1348"/>
      <c r="I6136" s="1348"/>
      <c r="J6136" s="1348"/>
      <c r="K6136" s="1348"/>
    </row>
    <row r="6137" spans="2:11" hidden="1">
      <c r="B6137" s="1348"/>
      <c r="C6137" s="1348"/>
      <c r="D6137" s="1348"/>
      <c r="E6137" s="1348"/>
      <c r="F6137" s="1348"/>
      <c r="G6137" s="1348"/>
      <c r="H6137" s="1348"/>
      <c r="I6137" s="1348"/>
      <c r="J6137" s="1348"/>
      <c r="K6137" s="1348"/>
    </row>
    <row r="6138" spans="2:11" hidden="1">
      <c r="B6138" s="1348"/>
      <c r="C6138" s="1348"/>
      <c r="D6138" s="1348"/>
      <c r="E6138" s="1348"/>
      <c r="F6138" s="1348"/>
      <c r="G6138" s="1348"/>
      <c r="H6138" s="1348"/>
      <c r="I6138" s="1348"/>
      <c r="J6138" s="1348"/>
      <c r="K6138" s="1348"/>
    </row>
    <row r="6139" spans="2:11" hidden="1">
      <c r="B6139" s="1348"/>
      <c r="C6139" s="1348"/>
      <c r="D6139" s="1348"/>
      <c r="E6139" s="1348"/>
      <c r="F6139" s="1348"/>
      <c r="G6139" s="1348"/>
      <c r="H6139" s="1348"/>
      <c r="I6139" s="1348"/>
      <c r="J6139" s="1348"/>
      <c r="K6139" s="1348"/>
    </row>
    <row r="6140" spans="2:11" hidden="1">
      <c r="B6140" s="1348"/>
      <c r="C6140" s="1348"/>
      <c r="D6140" s="1348"/>
      <c r="E6140" s="1348"/>
      <c r="F6140" s="1348"/>
      <c r="G6140" s="1348"/>
      <c r="H6140" s="1348"/>
      <c r="I6140" s="1348"/>
      <c r="J6140" s="1348"/>
      <c r="K6140" s="1348"/>
    </row>
    <row r="6141" spans="2:11" hidden="1">
      <c r="B6141" s="1348"/>
      <c r="C6141" s="1348"/>
      <c r="D6141" s="1348"/>
      <c r="E6141" s="1348"/>
      <c r="F6141" s="1348"/>
      <c r="G6141" s="1348"/>
      <c r="H6141" s="1348"/>
      <c r="I6141" s="1348"/>
      <c r="J6141" s="1348"/>
      <c r="K6141" s="1348"/>
    </row>
    <row r="6142" spans="2:11" hidden="1">
      <c r="B6142" s="1348"/>
      <c r="C6142" s="1348"/>
      <c r="D6142" s="1348"/>
      <c r="E6142" s="1348"/>
      <c r="F6142" s="1348"/>
      <c r="G6142" s="1348"/>
      <c r="H6142" s="1348"/>
      <c r="I6142" s="1348"/>
      <c r="J6142" s="1348"/>
      <c r="K6142" s="1348"/>
    </row>
    <row r="6143" spans="2:11" hidden="1">
      <c r="B6143" s="1348"/>
      <c r="C6143" s="1348"/>
      <c r="D6143" s="1348"/>
      <c r="E6143" s="1348"/>
      <c r="F6143" s="1348"/>
      <c r="G6143" s="1348"/>
      <c r="H6143" s="1348"/>
      <c r="I6143" s="1348"/>
      <c r="J6143" s="1348"/>
      <c r="K6143" s="1348"/>
    </row>
    <row r="6144" spans="2:11" hidden="1">
      <c r="B6144" s="1348"/>
      <c r="C6144" s="1348"/>
      <c r="D6144" s="1348"/>
      <c r="E6144" s="1348"/>
      <c r="F6144" s="1348"/>
      <c r="G6144" s="1348"/>
      <c r="H6144" s="1348"/>
      <c r="I6144" s="1348"/>
      <c r="J6144" s="1348"/>
      <c r="K6144" s="1348"/>
    </row>
    <row r="6145" spans="2:11" hidden="1">
      <c r="B6145" s="1348"/>
      <c r="C6145" s="1348"/>
      <c r="D6145" s="1348"/>
      <c r="E6145" s="1348"/>
      <c r="F6145" s="1348"/>
      <c r="G6145" s="1348"/>
      <c r="H6145" s="1348"/>
      <c r="I6145" s="1348"/>
      <c r="J6145" s="1348"/>
      <c r="K6145" s="1348"/>
    </row>
    <row r="6146" spans="2:11" hidden="1">
      <c r="B6146" s="1348"/>
      <c r="C6146" s="1348"/>
      <c r="D6146" s="1348"/>
      <c r="E6146" s="1348"/>
      <c r="F6146" s="1348"/>
      <c r="G6146" s="1348"/>
      <c r="H6146" s="1348"/>
      <c r="I6146" s="1348"/>
      <c r="J6146" s="1348"/>
      <c r="K6146" s="1348"/>
    </row>
    <row r="6147" spans="2:11" hidden="1">
      <c r="B6147" s="1348"/>
      <c r="C6147" s="1348"/>
      <c r="D6147" s="1348"/>
      <c r="E6147" s="1348"/>
      <c r="F6147" s="1348"/>
      <c r="G6147" s="1348"/>
      <c r="H6147" s="1348"/>
      <c r="I6147" s="1348"/>
      <c r="J6147" s="1348"/>
      <c r="K6147" s="1348"/>
    </row>
    <row r="6148" spans="2:11" hidden="1">
      <c r="B6148" s="1348"/>
      <c r="C6148" s="1348"/>
      <c r="D6148" s="1348"/>
      <c r="E6148" s="1348"/>
      <c r="F6148" s="1348"/>
      <c r="G6148" s="1348"/>
      <c r="H6148" s="1348"/>
      <c r="I6148" s="1348"/>
      <c r="J6148" s="1348"/>
      <c r="K6148" s="1348"/>
    </row>
    <row r="6149" spans="2:11" hidden="1">
      <c r="B6149" s="1348"/>
      <c r="C6149" s="1348"/>
      <c r="D6149" s="1348"/>
      <c r="E6149" s="1348"/>
      <c r="F6149" s="1348"/>
      <c r="G6149" s="1348"/>
      <c r="H6149" s="1348"/>
      <c r="I6149" s="1348"/>
      <c r="J6149" s="1348"/>
      <c r="K6149" s="1348"/>
    </row>
    <row r="6150" spans="2:11" hidden="1">
      <c r="B6150" s="1348"/>
      <c r="C6150" s="1348"/>
      <c r="D6150" s="1348"/>
      <c r="E6150" s="1348"/>
      <c r="F6150" s="1348"/>
      <c r="G6150" s="1348"/>
      <c r="H6150" s="1348"/>
      <c r="I6150" s="1348"/>
      <c r="J6150" s="1348"/>
      <c r="K6150" s="1348"/>
    </row>
    <row r="6151" spans="2:11" hidden="1">
      <c r="B6151" s="1348"/>
      <c r="C6151" s="1348"/>
      <c r="D6151" s="1348"/>
      <c r="E6151" s="1348"/>
      <c r="F6151" s="1348"/>
      <c r="G6151" s="1348"/>
      <c r="H6151" s="1348"/>
      <c r="I6151" s="1348"/>
      <c r="J6151" s="1348"/>
      <c r="K6151" s="1348"/>
    </row>
    <row r="6152" spans="2:11" hidden="1">
      <c r="B6152" s="1348"/>
      <c r="C6152" s="1348"/>
      <c r="D6152" s="1348"/>
      <c r="E6152" s="1348"/>
      <c r="F6152" s="1348"/>
      <c r="G6152" s="1348"/>
      <c r="H6152" s="1348"/>
      <c r="I6152" s="1348"/>
      <c r="J6152" s="1348"/>
      <c r="K6152" s="1348"/>
    </row>
    <row r="6153" spans="2:11" hidden="1">
      <c r="B6153" s="1348"/>
      <c r="C6153" s="1348"/>
      <c r="D6153" s="1348"/>
      <c r="E6153" s="1348"/>
      <c r="F6153" s="1348"/>
      <c r="G6153" s="1348"/>
      <c r="H6153" s="1348"/>
      <c r="I6153" s="1348"/>
      <c r="J6153" s="1348"/>
      <c r="K6153" s="1348"/>
    </row>
    <row r="6154" spans="2:11" hidden="1">
      <c r="B6154" s="1348"/>
      <c r="C6154" s="1348"/>
      <c r="D6154" s="1348"/>
      <c r="E6154" s="1348"/>
      <c r="F6154" s="1348"/>
      <c r="G6154" s="1348"/>
      <c r="H6154" s="1348"/>
      <c r="I6154" s="1348"/>
      <c r="J6154" s="1348"/>
      <c r="K6154" s="1348"/>
    </row>
    <row r="6155" spans="2:11" hidden="1">
      <c r="B6155" s="1348"/>
      <c r="C6155" s="1348"/>
      <c r="D6155" s="1348"/>
      <c r="E6155" s="1348"/>
      <c r="F6155" s="1348"/>
      <c r="G6155" s="1348"/>
      <c r="H6155" s="1348"/>
      <c r="I6155" s="1348"/>
      <c r="J6155" s="1348"/>
      <c r="K6155" s="1348"/>
    </row>
    <row r="6156" spans="2:11" hidden="1">
      <c r="B6156" s="1348"/>
      <c r="C6156" s="1348"/>
      <c r="D6156" s="1348"/>
      <c r="E6156" s="1348"/>
      <c r="F6156" s="1348"/>
      <c r="G6156" s="1348"/>
      <c r="H6156" s="1348"/>
      <c r="I6156" s="1348"/>
      <c r="J6156" s="1348"/>
      <c r="K6156" s="1348"/>
    </row>
    <row r="6157" spans="2:11" hidden="1">
      <c r="B6157" s="1348"/>
      <c r="C6157" s="1348"/>
      <c r="D6157" s="1348"/>
      <c r="E6157" s="1348"/>
      <c r="F6157" s="1348"/>
      <c r="G6157" s="1348"/>
      <c r="H6157" s="1348"/>
      <c r="I6157" s="1348"/>
      <c r="J6157" s="1348"/>
      <c r="K6157" s="1348"/>
    </row>
    <row r="6158" spans="2:11" hidden="1">
      <c r="B6158" s="1348"/>
      <c r="C6158" s="1348"/>
      <c r="D6158" s="1348"/>
      <c r="E6158" s="1348"/>
      <c r="F6158" s="1348"/>
      <c r="G6158" s="1348"/>
      <c r="H6158" s="1348"/>
      <c r="I6158" s="1348"/>
      <c r="J6158" s="1348"/>
      <c r="K6158" s="1348"/>
    </row>
    <row r="6159" spans="2:11" hidden="1">
      <c r="B6159" s="1348"/>
      <c r="C6159" s="1348"/>
      <c r="D6159" s="1348"/>
      <c r="E6159" s="1348"/>
      <c r="F6159" s="1348"/>
      <c r="G6159" s="1348"/>
      <c r="H6159" s="1348"/>
      <c r="I6159" s="1348"/>
      <c r="J6159" s="1348"/>
      <c r="K6159" s="1348"/>
    </row>
    <row r="6160" spans="2:11" hidden="1">
      <c r="B6160" s="1348"/>
      <c r="C6160" s="1348"/>
      <c r="D6160" s="1348"/>
      <c r="E6160" s="1348"/>
      <c r="F6160" s="1348"/>
      <c r="G6160" s="1348"/>
      <c r="H6160" s="1348"/>
      <c r="I6160" s="1348"/>
      <c r="J6160" s="1348"/>
      <c r="K6160" s="1348"/>
    </row>
    <row r="6161" spans="2:11" hidden="1">
      <c r="B6161" s="1348"/>
      <c r="C6161" s="1348"/>
      <c r="D6161" s="1348"/>
      <c r="E6161" s="1348"/>
      <c r="F6161" s="1348"/>
      <c r="G6161" s="1348"/>
      <c r="H6161" s="1348"/>
      <c r="I6161" s="1348"/>
      <c r="J6161" s="1348"/>
      <c r="K6161" s="1348"/>
    </row>
    <row r="6162" spans="2:11" hidden="1">
      <c r="B6162" s="1348"/>
      <c r="C6162" s="1348"/>
      <c r="D6162" s="1348"/>
      <c r="E6162" s="1348"/>
      <c r="F6162" s="1348"/>
      <c r="G6162" s="1348"/>
      <c r="H6162" s="1348"/>
      <c r="I6162" s="1348"/>
      <c r="J6162" s="1348"/>
      <c r="K6162" s="1348"/>
    </row>
    <row r="6163" spans="2:11" hidden="1">
      <c r="B6163" s="1348"/>
      <c r="C6163" s="1348"/>
      <c r="D6163" s="1348"/>
      <c r="E6163" s="1348"/>
      <c r="F6163" s="1348"/>
      <c r="G6163" s="1348"/>
      <c r="H6163" s="1348"/>
      <c r="I6163" s="1348"/>
      <c r="J6163" s="1348"/>
      <c r="K6163" s="1348"/>
    </row>
    <row r="6164" spans="2:11" hidden="1">
      <c r="B6164" s="1348"/>
      <c r="C6164" s="1348"/>
      <c r="D6164" s="1348"/>
      <c r="E6164" s="1348"/>
      <c r="F6164" s="1348"/>
      <c r="G6164" s="1348"/>
      <c r="H6164" s="1348"/>
      <c r="I6164" s="1348"/>
      <c r="J6164" s="1348"/>
      <c r="K6164" s="1348"/>
    </row>
    <row r="6165" spans="2:11" hidden="1">
      <c r="B6165" s="1348"/>
      <c r="C6165" s="1348"/>
      <c r="D6165" s="1348"/>
      <c r="E6165" s="1348"/>
      <c r="F6165" s="1348"/>
      <c r="G6165" s="1348"/>
      <c r="H6165" s="1348"/>
      <c r="I6165" s="1348"/>
      <c r="J6165" s="1348"/>
      <c r="K6165" s="1348"/>
    </row>
    <row r="6166" spans="2:11" hidden="1">
      <c r="B6166" s="1348"/>
      <c r="C6166" s="1348"/>
      <c r="D6166" s="1348"/>
      <c r="E6166" s="1348"/>
      <c r="F6166" s="1348"/>
      <c r="G6166" s="1348"/>
      <c r="H6166" s="1348"/>
      <c r="I6166" s="1348"/>
      <c r="J6166" s="1348"/>
      <c r="K6166" s="1348"/>
    </row>
    <row r="6167" spans="2:11" hidden="1">
      <c r="B6167" s="1348"/>
      <c r="C6167" s="1348"/>
      <c r="D6167" s="1348"/>
      <c r="E6167" s="1348"/>
      <c r="F6167" s="1348"/>
      <c r="G6167" s="1348"/>
      <c r="H6167" s="1348"/>
      <c r="I6167" s="1348"/>
      <c r="J6167" s="1348"/>
      <c r="K6167" s="1348"/>
    </row>
    <row r="6168" spans="2:11" hidden="1">
      <c r="B6168" s="1348"/>
      <c r="C6168" s="1348"/>
      <c r="D6168" s="1348"/>
      <c r="E6168" s="1348"/>
      <c r="F6168" s="1348"/>
      <c r="G6168" s="1348"/>
      <c r="H6168" s="1348"/>
      <c r="I6168" s="1348"/>
      <c r="J6168" s="1348"/>
      <c r="K6168" s="1348"/>
    </row>
    <row r="6169" spans="2:11" hidden="1">
      <c r="B6169" s="1348"/>
      <c r="C6169" s="1348"/>
      <c r="D6169" s="1348"/>
      <c r="E6169" s="1348"/>
      <c r="F6169" s="1348"/>
      <c r="G6169" s="1348"/>
      <c r="H6169" s="1348"/>
      <c r="I6169" s="1348"/>
      <c r="J6169" s="1348"/>
      <c r="K6169" s="1348"/>
    </row>
    <row r="6170" spans="2:11" hidden="1">
      <c r="B6170" s="1348"/>
      <c r="C6170" s="1348"/>
      <c r="D6170" s="1348"/>
      <c r="E6170" s="1348"/>
      <c r="F6170" s="1348"/>
      <c r="G6170" s="1348"/>
      <c r="H6170" s="1348"/>
      <c r="I6170" s="1348"/>
      <c r="J6170" s="1348"/>
      <c r="K6170" s="1348"/>
    </row>
    <row r="6171" spans="2:11" hidden="1">
      <c r="B6171" s="1348"/>
      <c r="C6171" s="1348"/>
      <c r="D6171" s="1348"/>
      <c r="E6171" s="1348"/>
      <c r="F6171" s="1348"/>
      <c r="G6171" s="1348"/>
      <c r="H6171" s="1348"/>
      <c r="I6171" s="1348"/>
      <c r="J6171" s="1348"/>
      <c r="K6171" s="1348"/>
    </row>
    <row r="6172" spans="2:11" hidden="1">
      <c r="B6172" s="1348"/>
      <c r="C6172" s="1348"/>
      <c r="D6172" s="1348"/>
      <c r="E6172" s="1348"/>
      <c r="F6172" s="1348"/>
      <c r="G6172" s="1348"/>
      <c r="H6172" s="1348"/>
      <c r="I6172" s="1348"/>
      <c r="J6172" s="1348"/>
      <c r="K6172" s="1348"/>
    </row>
    <row r="6173" spans="2:11" hidden="1">
      <c r="B6173" s="1348"/>
      <c r="C6173" s="1348"/>
      <c r="D6173" s="1348"/>
      <c r="E6173" s="1348"/>
      <c r="F6173" s="1348"/>
      <c r="G6173" s="1348"/>
      <c r="H6173" s="1348"/>
      <c r="I6173" s="1348"/>
      <c r="J6173" s="1348"/>
      <c r="K6173" s="1348"/>
    </row>
    <row r="6174" spans="2:11" hidden="1">
      <c r="B6174" s="1348"/>
      <c r="C6174" s="1348"/>
      <c r="D6174" s="1348"/>
      <c r="E6174" s="1348"/>
      <c r="F6174" s="1348"/>
      <c r="G6174" s="1348"/>
      <c r="H6174" s="1348"/>
      <c r="I6174" s="1348"/>
      <c r="J6174" s="1348"/>
      <c r="K6174" s="1348"/>
    </row>
    <row r="6175" spans="2:11" hidden="1">
      <c r="B6175" s="1348"/>
      <c r="C6175" s="1348"/>
      <c r="D6175" s="1348"/>
      <c r="E6175" s="1348"/>
      <c r="F6175" s="1348"/>
      <c r="G6175" s="1348"/>
      <c r="H6175" s="1348"/>
      <c r="I6175" s="1348"/>
      <c r="J6175" s="1348"/>
      <c r="K6175" s="1348"/>
    </row>
    <row r="6176" spans="2:11" hidden="1">
      <c r="B6176" s="1348"/>
      <c r="C6176" s="1348"/>
      <c r="D6176" s="1348"/>
      <c r="E6176" s="1348"/>
      <c r="F6176" s="1348"/>
      <c r="G6176" s="1348"/>
      <c r="H6176" s="1348"/>
      <c r="I6176" s="1348"/>
      <c r="J6176" s="1348"/>
      <c r="K6176" s="1348"/>
    </row>
    <row r="6177" spans="2:11" hidden="1">
      <c r="B6177" s="1348"/>
      <c r="C6177" s="1348"/>
      <c r="D6177" s="1348"/>
      <c r="E6177" s="1348"/>
      <c r="F6177" s="1348"/>
      <c r="G6177" s="1348"/>
      <c r="H6177" s="1348"/>
      <c r="I6177" s="1348"/>
      <c r="J6177" s="1348"/>
      <c r="K6177" s="1348"/>
    </row>
    <row r="6178" spans="2:11" hidden="1">
      <c r="B6178" s="1348"/>
      <c r="C6178" s="1348"/>
      <c r="D6178" s="1348"/>
      <c r="E6178" s="1348"/>
      <c r="F6178" s="1348"/>
      <c r="G6178" s="1348"/>
      <c r="H6178" s="1348"/>
      <c r="I6178" s="1348"/>
      <c r="J6178" s="1348"/>
      <c r="K6178" s="1348"/>
    </row>
    <row r="6179" spans="2:11" hidden="1">
      <c r="B6179" s="1348"/>
      <c r="C6179" s="1348"/>
      <c r="D6179" s="1348"/>
      <c r="E6179" s="1348"/>
      <c r="F6179" s="1348"/>
      <c r="G6179" s="1348"/>
      <c r="H6179" s="1348"/>
      <c r="I6179" s="1348"/>
      <c r="J6179" s="1348"/>
      <c r="K6179" s="1348"/>
    </row>
    <row r="6180" spans="2:11" hidden="1">
      <c r="B6180" s="1348"/>
      <c r="C6180" s="1348"/>
      <c r="D6180" s="1348"/>
      <c r="E6180" s="1348"/>
      <c r="F6180" s="1348"/>
      <c r="G6180" s="1348"/>
      <c r="H6180" s="1348"/>
      <c r="I6180" s="1348"/>
      <c r="J6180" s="1348"/>
      <c r="K6180" s="1348"/>
    </row>
    <row r="6181" spans="2:11" hidden="1">
      <c r="B6181" s="1348"/>
      <c r="C6181" s="1348"/>
      <c r="D6181" s="1348"/>
      <c r="E6181" s="1348"/>
      <c r="F6181" s="1348"/>
      <c r="G6181" s="1348"/>
      <c r="H6181" s="1348"/>
      <c r="I6181" s="1348"/>
      <c r="J6181" s="1348"/>
      <c r="K6181" s="1348"/>
    </row>
    <row r="6182" spans="2:11" hidden="1">
      <c r="B6182" s="1348"/>
      <c r="C6182" s="1348"/>
      <c r="D6182" s="1348"/>
      <c r="E6182" s="1348"/>
      <c r="F6182" s="1348"/>
      <c r="G6182" s="1348"/>
      <c r="H6182" s="1348"/>
      <c r="I6182" s="1348"/>
      <c r="J6182" s="1348"/>
      <c r="K6182" s="1348"/>
    </row>
    <row r="6183" spans="2:11" hidden="1">
      <c r="B6183" s="1348"/>
      <c r="C6183" s="1348"/>
      <c r="D6183" s="1348"/>
      <c r="E6183" s="1348"/>
      <c r="F6183" s="1348"/>
      <c r="G6183" s="1348"/>
      <c r="H6183" s="1348"/>
      <c r="I6183" s="1348"/>
      <c r="J6183" s="1348"/>
      <c r="K6183" s="1348"/>
    </row>
    <row r="6184" spans="2:11" hidden="1">
      <c r="B6184" s="1348"/>
      <c r="C6184" s="1348"/>
      <c r="D6184" s="1348"/>
      <c r="E6184" s="1348"/>
      <c r="F6184" s="1348"/>
      <c r="G6184" s="1348"/>
      <c r="H6184" s="1348"/>
      <c r="I6184" s="1348"/>
      <c r="J6184" s="1348"/>
      <c r="K6184" s="1348"/>
    </row>
    <row r="6185" spans="2:11" hidden="1">
      <c r="B6185" s="1348"/>
      <c r="C6185" s="1348"/>
      <c r="D6185" s="1348"/>
      <c r="E6185" s="1348"/>
      <c r="F6185" s="1348"/>
      <c r="G6185" s="1348"/>
      <c r="H6185" s="1348"/>
      <c r="I6185" s="1348"/>
      <c r="J6185" s="1348"/>
      <c r="K6185" s="1348"/>
    </row>
    <row r="6186" spans="2:11" hidden="1">
      <c r="B6186" s="1348"/>
      <c r="C6186" s="1348"/>
      <c r="D6186" s="1348"/>
      <c r="E6186" s="1348"/>
      <c r="F6186" s="1348"/>
      <c r="G6186" s="1348"/>
      <c r="H6186" s="1348"/>
      <c r="I6186" s="1348"/>
      <c r="J6186" s="1348"/>
      <c r="K6186" s="1348"/>
    </row>
    <row r="6187" spans="2:11" hidden="1">
      <c r="B6187" s="1348"/>
      <c r="C6187" s="1348"/>
      <c r="D6187" s="1348"/>
      <c r="E6187" s="1348"/>
      <c r="F6187" s="1348"/>
      <c r="G6187" s="1348"/>
      <c r="H6187" s="1348"/>
      <c r="I6187" s="1348"/>
      <c r="J6187" s="1348"/>
      <c r="K6187" s="1348"/>
    </row>
    <row r="6188" spans="2:11" hidden="1">
      <c r="B6188" s="1348"/>
      <c r="C6188" s="1348"/>
      <c r="D6188" s="1348"/>
      <c r="E6188" s="1348"/>
      <c r="F6188" s="1348"/>
      <c r="G6188" s="1348"/>
      <c r="H6188" s="1348"/>
      <c r="I6188" s="1348"/>
      <c r="J6188" s="1348"/>
      <c r="K6188" s="1348"/>
    </row>
    <row r="6189" spans="2:11" hidden="1">
      <c r="B6189" s="1348"/>
      <c r="C6189" s="1348"/>
      <c r="D6189" s="1348"/>
      <c r="E6189" s="1348"/>
      <c r="F6189" s="1348"/>
      <c r="G6189" s="1348"/>
      <c r="H6189" s="1348"/>
      <c r="I6189" s="1348"/>
      <c r="J6189" s="1348"/>
      <c r="K6189" s="1348"/>
    </row>
    <row r="6190" spans="2:11" hidden="1">
      <c r="B6190" s="1348"/>
      <c r="C6190" s="1348"/>
      <c r="D6190" s="1348"/>
      <c r="E6190" s="1348"/>
      <c r="F6190" s="1348"/>
      <c r="G6190" s="1348"/>
      <c r="H6190" s="1348"/>
      <c r="I6190" s="1348"/>
      <c r="J6190" s="1348"/>
      <c r="K6190" s="1348"/>
    </row>
    <row r="6191" spans="2:11" hidden="1">
      <c r="B6191" s="1348"/>
      <c r="C6191" s="1348"/>
      <c r="D6191" s="1348"/>
      <c r="E6191" s="1348"/>
      <c r="F6191" s="1348"/>
      <c r="G6191" s="1348"/>
      <c r="H6191" s="1348"/>
      <c r="I6191" s="1348"/>
      <c r="J6191" s="1348"/>
      <c r="K6191" s="1348"/>
    </row>
    <row r="6192" spans="2:11" hidden="1">
      <c r="B6192" s="1348"/>
      <c r="C6192" s="1348"/>
      <c r="D6192" s="1348"/>
      <c r="E6192" s="1348"/>
      <c r="F6192" s="1348"/>
      <c r="G6192" s="1348"/>
      <c r="H6192" s="1348"/>
      <c r="I6192" s="1348"/>
      <c r="J6192" s="1348"/>
      <c r="K6192" s="1348"/>
    </row>
    <row r="6193" spans="2:11" hidden="1">
      <c r="B6193" s="1348"/>
      <c r="C6193" s="1348"/>
      <c r="D6193" s="1348"/>
      <c r="E6193" s="1348"/>
      <c r="F6193" s="1348"/>
      <c r="G6193" s="1348"/>
      <c r="H6193" s="1348"/>
      <c r="I6193" s="1348"/>
      <c r="J6193" s="1348"/>
      <c r="K6193" s="1348"/>
    </row>
    <row r="6194" spans="2:11" hidden="1">
      <c r="B6194" s="1348"/>
      <c r="C6194" s="1348"/>
      <c r="D6194" s="1348"/>
      <c r="E6194" s="1348"/>
      <c r="F6194" s="1348"/>
      <c r="G6194" s="1348"/>
      <c r="H6194" s="1348"/>
      <c r="I6194" s="1348"/>
      <c r="J6194" s="1348"/>
      <c r="K6194" s="1348"/>
    </row>
    <row r="6195" spans="2:11" hidden="1">
      <c r="B6195" s="1348"/>
      <c r="C6195" s="1348"/>
      <c r="D6195" s="1348"/>
      <c r="E6195" s="1348"/>
      <c r="F6195" s="1348"/>
      <c r="G6195" s="1348"/>
      <c r="H6195" s="1348"/>
      <c r="I6195" s="1348"/>
      <c r="J6195" s="1348"/>
      <c r="K6195" s="1348"/>
    </row>
    <row r="6196" spans="2:11" hidden="1">
      <c r="B6196" s="1348"/>
      <c r="C6196" s="1348"/>
      <c r="D6196" s="1348"/>
      <c r="E6196" s="1348"/>
      <c r="F6196" s="1348"/>
      <c r="G6196" s="1348"/>
      <c r="H6196" s="1348"/>
      <c r="I6196" s="1348"/>
      <c r="J6196" s="1348"/>
      <c r="K6196" s="1348"/>
    </row>
    <row r="6197" spans="2:11" hidden="1">
      <c r="B6197" s="1348"/>
      <c r="C6197" s="1348"/>
      <c r="D6197" s="1348"/>
      <c r="E6197" s="1348"/>
      <c r="F6197" s="1348"/>
      <c r="G6197" s="1348"/>
      <c r="H6197" s="1348"/>
      <c r="I6197" s="1348"/>
      <c r="J6197" s="1348"/>
      <c r="K6197" s="1348"/>
    </row>
    <row r="6198" spans="2:11" hidden="1">
      <c r="B6198" s="1348"/>
      <c r="C6198" s="1348"/>
      <c r="D6198" s="1348"/>
      <c r="E6198" s="1348"/>
      <c r="F6198" s="1348"/>
      <c r="G6198" s="1348"/>
      <c r="H6198" s="1348"/>
      <c r="I6198" s="1348"/>
      <c r="J6198" s="1348"/>
      <c r="K6198" s="1348"/>
    </row>
    <row r="6199" spans="2:11" hidden="1">
      <c r="B6199" s="1348"/>
      <c r="C6199" s="1348"/>
      <c r="D6199" s="1348"/>
      <c r="E6199" s="1348"/>
      <c r="F6199" s="1348"/>
      <c r="G6199" s="1348"/>
      <c r="H6199" s="1348"/>
      <c r="I6199" s="1348"/>
      <c r="J6199" s="1348"/>
      <c r="K6199" s="1348"/>
    </row>
    <row r="6200" spans="2:11" hidden="1">
      <c r="B6200" s="1348"/>
      <c r="C6200" s="1348"/>
      <c r="D6200" s="1348"/>
      <c r="E6200" s="1348"/>
      <c r="F6200" s="1348"/>
      <c r="G6200" s="1348"/>
      <c r="H6200" s="1348"/>
      <c r="I6200" s="1348"/>
      <c r="J6200" s="1348"/>
      <c r="K6200" s="1348"/>
    </row>
    <row r="6201" spans="2:11" hidden="1">
      <c r="B6201" s="1348"/>
      <c r="C6201" s="1348"/>
      <c r="D6201" s="1348"/>
      <c r="E6201" s="1348"/>
      <c r="F6201" s="1348"/>
      <c r="G6201" s="1348"/>
      <c r="H6201" s="1348"/>
      <c r="I6201" s="1348"/>
      <c r="J6201" s="1348"/>
      <c r="K6201" s="1348"/>
    </row>
    <row r="6202" spans="2:11" hidden="1">
      <c r="B6202" s="1348"/>
      <c r="C6202" s="1348"/>
      <c r="D6202" s="1348"/>
      <c r="E6202" s="1348"/>
      <c r="F6202" s="1348"/>
      <c r="G6202" s="1348"/>
      <c r="H6202" s="1348"/>
      <c r="I6202" s="1348"/>
      <c r="J6202" s="1348"/>
      <c r="K6202" s="1348"/>
    </row>
    <row r="6203" spans="2:11" hidden="1">
      <c r="B6203" s="1348"/>
      <c r="C6203" s="1348"/>
      <c r="D6203" s="1348"/>
      <c r="E6203" s="1348"/>
      <c r="F6203" s="1348"/>
      <c r="G6203" s="1348"/>
      <c r="H6203" s="1348"/>
      <c r="I6203" s="1348"/>
      <c r="J6203" s="1348"/>
      <c r="K6203" s="1348"/>
    </row>
    <row r="6204" spans="2:11" hidden="1">
      <c r="B6204" s="1348"/>
      <c r="C6204" s="1348"/>
      <c r="D6204" s="1348"/>
      <c r="E6204" s="1348"/>
      <c r="F6204" s="1348"/>
      <c r="G6204" s="1348"/>
      <c r="H6204" s="1348"/>
      <c r="I6204" s="1348"/>
      <c r="J6204" s="1348"/>
      <c r="K6204" s="1348"/>
    </row>
    <row r="6205" spans="2:11" hidden="1">
      <c r="B6205" s="1348"/>
      <c r="C6205" s="1348"/>
      <c r="D6205" s="1348"/>
      <c r="E6205" s="1348"/>
      <c r="F6205" s="1348"/>
      <c r="G6205" s="1348"/>
      <c r="H6205" s="1348"/>
      <c r="I6205" s="1348"/>
      <c r="J6205" s="1348"/>
      <c r="K6205" s="1348"/>
    </row>
    <row r="6206" spans="2:11" hidden="1">
      <c r="B6206" s="1348"/>
      <c r="C6206" s="1348"/>
      <c r="D6206" s="1348"/>
      <c r="E6206" s="1348"/>
      <c r="F6206" s="1348"/>
      <c r="G6206" s="1348"/>
      <c r="H6206" s="1348"/>
      <c r="I6206" s="1348"/>
      <c r="J6206" s="1348"/>
      <c r="K6206" s="1348"/>
    </row>
    <row r="6207" spans="2:11" hidden="1">
      <c r="B6207" s="1348"/>
      <c r="C6207" s="1348"/>
      <c r="D6207" s="1348"/>
      <c r="E6207" s="1348"/>
      <c r="F6207" s="1348"/>
      <c r="G6207" s="1348"/>
      <c r="H6207" s="1348"/>
      <c r="I6207" s="1348"/>
      <c r="J6207" s="1348"/>
      <c r="K6207" s="1348"/>
    </row>
    <row r="6208" spans="2:11" hidden="1">
      <c r="B6208" s="1348"/>
      <c r="C6208" s="1348"/>
      <c r="D6208" s="1348"/>
      <c r="E6208" s="1348"/>
      <c r="F6208" s="1348"/>
      <c r="G6208" s="1348"/>
      <c r="H6208" s="1348"/>
      <c r="I6208" s="1348"/>
      <c r="J6208" s="1348"/>
      <c r="K6208" s="1348"/>
    </row>
    <row r="6209" spans="2:11" hidden="1">
      <c r="B6209" s="1348"/>
      <c r="C6209" s="1348"/>
      <c r="D6209" s="1348"/>
      <c r="E6209" s="1348"/>
      <c r="F6209" s="1348"/>
      <c r="G6209" s="1348"/>
      <c r="H6209" s="1348"/>
      <c r="I6209" s="1348"/>
      <c r="J6209" s="1348"/>
      <c r="K6209" s="1348"/>
    </row>
    <row r="6210" spans="2:11" hidden="1">
      <c r="B6210" s="1348"/>
      <c r="C6210" s="1348"/>
      <c r="D6210" s="1348"/>
      <c r="E6210" s="1348"/>
      <c r="F6210" s="1348"/>
      <c r="G6210" s="1348"/>
      <c r="H6210" s="1348"/>
      <c r="I6210" s="1348"/>
      <c r="J6210" s="1348"/>
      <c r="K6210" s="1348"/>
    </row>
    <row r="6211" spans="2:11" hidden="1">
      <c r="B6211" s="1348"/>
      <c r="C6211" s="1348"/>
      <c r="D6211" s="1348"/>
      <c r="E6211" s="1348"/>
      <c r="F6211" s="1348"/>
      <c r="G6211" s="1348"/>
      <c r="H6211" s="1348"/>
      <c r="I6211" s="1348"/>
      <c r="J6211" s="1348"/>
      <c r="K6211" s="1348"/>
    </row>
    <row r="6212" spans="2:11" hidden="1">
      <c r="B6212" s="1348"/>
      <c r="C6212" s="1348"/>
      <c r="D6212" s="1348"/>
      <c r="E6212" s="1348"/>
      <c r="F6212" s="1348"/>
      <c r="G6212" s="1348"/>
      <c r="H6212" s="1348"/>
      <c r="I6212" s="1348"/>
      <c r="J6212" s="1348"/>
      <c r="K6212" s="1348"/>
    </row>
    <row r="6213" spans="2:11" hidden="1">
      <c r="B6213" s="1348"/>
      <c r="C6213" s="1348"/>
      <c r="D6213" s="1348"/>
      <c r="E6213" s="1348"/>
      <c r="F6213" s="1348"/>
      <c r="G6213" s="1348"/>
      <c r="H6213" s="1348"/>
      <c r="I6213" s="1348"/>
      <c r="J6213" s="1348"/>
      <c r="K6213" s="1348"/>
    </row>
    <row r="6214" spans="2:11" hidden="1">
      <c r="B6214" s="1348"/>
      <c r="C6214" s="1348"/>
      <c r="D6214" s="1348"/>
      <c r="E6214" s="1348"/>
      <c r="F6214" s="1348"/>
      <c r="G6214" s="1348"/>
      <c r="H6214" s="1348"/>
      <c r="I6214" s="1348"/>
      <c r="J6214" s="1348"/>
      <c r="K6214" s="1348"/>
    </row>
    <row r="6215" spans="2:11" hidden="1">
      <c r="B6215" s="1348"/>
      <c r="C6215" s="1348"/>
      <c r="D6215" s="1348"/>
      <c r="E6215" s="1348"/>
      <c r="F6215" s="1348"/>
      <c r="G6215" s="1348"/>
      <c r="H6215" s="1348"/>
      <c r="I6215" s="1348"/>
      <c r="J6215" s="1348"/>
      <c r="K6215" s="1348"/>
    </row>
    <row r="6216" spans="2:11" hidden="1">
      <c r="B6216" s="1348"/>
      <c r="C6216" s="1348"/>
      <c r="D6216" s="1348"/>
      <c r="E6216" s="1348"/>
      <c r="F6216" s="1348"/>
      <c r="G6216" s="1348"/>
      <c r="H6216" s="1348"/>
      <c r="I6216" s="1348"/>
      <c r="J6216" s="1348"/>
      <c r="K6216" s="1348"/>
    </row>
    <row r="6217" spans="2:11" hidden="1">
      <c r="B6217" s="1348"/>
      <c r="C6217" s="1348"/>
      <c r="D6217" s="1348"/>
      <c r="E6217" s="1348"/>
      <c r="F6217" s="1348"/>
      <c r="G6217" s="1348"/>
      <c r="H6217" s="1348"/>
      <c r="I6217" s="1348"/>
      <c r="J6217" s="1348"/>
      <c r="K6217" s="1348"/>
    </row>
    <row r="6218" spans="2:11" hidden="1">
      <c r="B6218" s="1348"/>
      <c r="C6218" s="1348"/>
      <c r="D6218" s="1348"/>
      <c r="E6218" s="1348"/>
      <c r="F6218" s="1348"/>
      <c r="G6218" s="1348"/>
      <c r="H6218" s="1348"/>
      <c r="I6218" s="1348"/>
      <c r="J6218" s="1348"/>
      <c r="K6218" s="1348"/>
    </row>
    <row r="6219" spans="2:11" hidden="1">
      <c r="B6219" s="1348"/>
      <c r="C6219" s="1348"/>
      <c r="D6219" s="1348"/>
      <c r="E6219" s="1348"/>
      <c r="F6219" s="1348"/>
      <c r="G6219" s="1348"/>
      <c r="H6219" s="1348"/>
      <c r="I6219" s="1348"/>
      <c r="J6219" s="1348"/>
      <c r="K6219" s="1348"/>
    </row>
    <row r="6220" spans="2:11" hidden="1">
      <c r="B6220" s="1348"/>
      <c r="C6220" s="1348"/>
      <c r="D6220" s="1348"/>
      <c r="E6220" s="1348"/>
      <c r="F6220" s="1348"/>
      <c r="G6220" s="1348"/>
      <c r="H6220" s="1348"/>
      <c r="I6220" s="1348"/>
      <c r="J6220" s="1348"/>
      <c r="K6220" s="1348"/>
    </row>
    <row r="6221" spans="2:11" hidden="1">
      <c r="B6221" s="1348"/>
      <c r="C6221" s="1348"/>
      <c r="D6221" s="1348"/>
      <c r="E6221" s="1348"/>
      <c r="F6221" s="1348"/>
      <c r="G6221" s="1348"/>
      <c r="H6221" s="1348"/>
      <c r="I6221" s="1348"/>
      <c r="J6221" s="1348"/>
      <c r="K6221" s="1348"/>
    </row>
    <row r="6222" spans="2:11" hidden="1">
      <c r="B6222" s="1348"/>
      <c r="C6222" s="1348"/>
      <c r="D6222" s="1348"/>
      <c r="E6222" s="1348"/>
      <c r="F6222" s="1348"/>
      <c r="G6222" s="1348"/>
      <c r="H6222" s="1348"/>
      <c r="I6222" s="1348"/>
      <c r="J6222" s="1348"/>
      <c r="K6222" s="1348"/>
    </row>
    <row r="6223" spans="2:11" hidden="1">
      <c r="B6223" s="1348"/>
      <c r="C6223" s="1348"/>
      <c r="D6223" s="1348"/>
      <c r="E6223" s="1348"/>
      <c r="F6223" s="1348"/>
      <c r="G6223" s="1348"/>
      <c r="H6223" s="1348"/>
      <c r="I6223" s="1348"/>
      <c r="J6223" s="1348"/>
      <c r="K6223" s="1348"/>
    </row>
    <row r="6224" spans="2:11" hidden="1">
      <c r="B6224" s="1348"/>
      <c r="C6224" s="1348"/>
      <c r="D6224" s="1348"/>
      <c r="E6224" s="1348"/>
      <c r="F6224" s="1348"/>
      <c r="G6224" s="1348"/>
      <c r="H6224" s="1348"/>
      <c r="I6224" s="1348"/>
      <c r="J6224" s="1348"/>
      <c r="K6224" s="1348"/>
    </row>
    <row r="6225" spans="2:11" hidden="1">
      <c r="B6225" s="1348"/>
      <c r="C6225" s="1348"/>
      <c r="D6225" s="1348"/>
      <c r="E6225" s="1348"/>
      <c r="F6225" s="1348"/>
      <c r="G6225" s="1348"/>
      <c r="H6225" s="1348"/>
      <c r="I6225" s="1348"/>
      <c r="J6225" s="1348"/>
      <c r="K6225" s="1348"/>
    </row>
    <row r="6226" spans="2:11" hidden="1">
      <c r="B6226" s="1348"/>
      <c r="C6226" s="1348"/>
      <c r="D6226" s="1348"/>
      <c r="E6226" s="1348"/>
      <c r="F6226" s="1348"/>
      <c r="G6226" s="1348"/>
      <c r="H6226" s="1348"/>
      <c r="I6226" s="1348"/>
      <c r="J6226" s="1348"/>
      <c r="K6226" s="1348"/>
    </row>
    <row r="6227" spans="2:11" hidden="1">
      <c r="B6227" s="1348"/>
      <c r="C6227" s="1348"/>
      <c r="D6227" s="1348"/>
      <c r="E6227" s="1348"/>
      <c r="F6227" s="1348"/>
      <c r="G6227" s="1348"/>
      <c r="H6227" s="1348"/>
      <c r="I6227" s="1348"/>
      <c r="J6227" s="1348"/>
      <c r="K6227" s="1348"/>
    </row>
    <row r="6228" spans="2:11" hidden="1">
      <c r="B6228" s="1348"/>
      <c r="C6228" s="1348"/>
      <c r="D6228" s="1348"/>
      <c r="E6228" s="1348"/>
      <c r="F6228" s="1348"/>
      <c r="G6228" s="1348"/>
      <c r="H6228" s="1348"/>
      <c r="I6228" s="1348"/>
      <c r="J6228" s="1348"/>
      <c r="K6228" s="1348"/>
    </row>
    <row r="6229" spans="2:11" hidden="1">
      <c r="B6229" s="1348"/>
      <c r="C6229" s="1348"/>
      <c r="D6229" s="1348"/>
      <c r="E6229" s="1348"/>
      <c r="F6229" s="1348"/>
      <c r="G6229" s="1348"/>
      <c r="H6229" s="1348"/>
      <c r="I6229" s="1348"/>
      <c r="J6229" s="1348"/>
      <c r="K6229" s="1348"/>
    </row>
    <row r="6230" spans="2:11" hidden="1">
      <c r="B6230" s="1348"/>
      <c r="C6230" s="1348"/>
      <c r="D6230" s="1348"/>
      <c r="E6230" s="1348"/>
      <c r="F6230" s="1348"/>
      <c r="G6230" s="1348"/>
      <c r="H6230" s="1348"/>
      <c r="I6230" s="1348"/>
      <c r="J6230" s="1348"/>
      <c r="K6230" s="1348"/>
    </row>
    <row r="6231" spans="2:11" hidden="1">
      <c r="B6231" s="1348"/>
      <c r="C6231" s="1348"/>
      <c r="D6231" s="1348"/>
      <c r="E6231" s="1348"/>
      <c r="F6231" s="1348"/>
      <c r="G6231" s="1348"/>
      <c r="H6231" s="1348"/>
      <c r="I6231" s="1348"/>
      <c r="J6231" s="1348"/>
      <c r="K6231" s="1348"/>
    </row>
    <row r="6232" spans="2:11" hidden="1">
      <c r="B6232" s="1348"/>
      <c r="C6232" s="1348"/>
      <c r="D6232" s="1348"/>
      <c r="E6232" s="1348"/>
      <c r="F6232" s="1348"/>
      <c r="G6232" s="1348"/>
      <c r="H6232" s="1348"/>
      <c r="I6232" s="1348"/>
      <c r="J6232" s="1348"/>
      <c r="K6232" s="1348"/>
    </row>
    <row r="6233" spans="2:11" hidden="1">
      <c r="B6233" s="1348"/>
      <c r="C6233" s="1348"/>
      <c r="D6233" s="1348"/>
      <c r="E6233" s="1348"/>
      <c r="F6233" s="1348"/>
      <c r="G6233" s="1348"/>
      <c r="H6233" s="1348"/>
      <c r="I6233" s="1348"/>
      <c r="J6233" s="1348"/>
      <c r="K6233" s="1348"/>
    </row>
    <row r="6234" spans="2:11" hidden="1">
      <c r="B6234" s="1348"/>
      <c r="C6234" s="1348"/>
      <c r="D6234" s="1348"/>
      <c r="E6234" s="1348"/>
      <c r="F6234" s="1348"/>
      <c r="G6234" s="1348"/>
      <c r="H6234" s="1348"/>
      <c r="I6234" s="1348"/>
      <c r="J6234" s="1348"/>
      <c r="K6234" s="1348"/>
    </row>
    <row r="6235" spans="2:11" hidden="1">
      <c r="B6235" s="1348"/>
      <c r="C6235" s="1348"/>
      <c r="D6235" s="1348"/>
      <c r="E6235" s="1348"/>
      <c r="F6235" s="1348"/>
      <c r="G6235" s="1348"/>
      <c r="H6235" s="1348"/>
      <c r="I6235" s="1348"/>
      <c r="J6235" s="1348"/>
      <c r="K6235" s="1348"/>
    </row>
    <row r="6236" spans="2:11" hidden="1">
      <c r="B6236" s="1348"/>
      <c r="C6236" s="1348"/>
      <c r="D6236" s="1348"/>
      <c r="E6236" s="1348"/>
      <c r="F6236" s="1348"/>
      <c r="G6236" s="1348"/>
      <c r="H6236" s="1348"/>
      <c r="I6236" s="1348"/>
      <c r="J6236" s="1348"/>
      <c r="K6236" s="1348"/>
    </row>
    <row r="6237" spans="2:11" hidden="1">
      <c r="B6237" s="1348"/>
      <c r="C6237" s="1348"/>
      <c r="D6237" s="1348"/>
      <c r="E6237" s="1348"/>
      <c r="F6237" s="1348"/>
      <c r="G6237" s="1348"/>
      <c r="H6237" s="1348"/>
      <c r="I6237" s="1348"/>
      <c r="J6237" s="1348"/>
      <c r="K6237" s="1348"/>
    </row>
    <row r="6238" spans="2:11" hidden="1">
      <c r="B6238" s="1348"/>
      <c r="C6238" s="1348"/>
      <c r="D6238" s="1348"/>
      <c r="E6238" s="1348"/>
      <c r="F6238" s="1348"/>
      <c r="G6238" s="1348"/>
      <c r="H6238" s="1348"/>
      <c r="I6238" s="1348"/>
      <c r="J6238" s="1348"/>
      <c r="K6238" s="1348"/>
    </row>
    <row r="6239" spans="2:11" hidden="1">
      <c r="B6239" s="1348"/>
      <c r="C6239" s="1348"/>
      <c r="D6239" s="1348"/>
      <c r="E6239" s="1348"/>
      <c r="F6239" s="1348"/>
      <c r="G6239" s="1348"/>
      <c r="H6239" s="1348"/>
      <c r="I6239" s="1348"/>
      <c r="J6239" s="1348"/>
      <c r="K6239" s="1348"/>
    </row>
    <row r="6240" spans="2:11" hidden="1">
      <c r="B6240" s="1348"/>
      <c r="C6240" s="1348"/>
      <c r="D6240" s="1348"/>
      <c r="E6240" s="1348"/>
      <c r="F6240" s="1348"/>
      <c r="G6240" s="1348"/>
      <c r="H6240" s="1348"/>
      <c r="I6240" s="1348"/>
      <c r="J6240" s="1348"/>
      <c r="K6240" s="1348"/>
    </row>
    <row r="6241" spans="2:11" hidden="1">
      <c r="B6241" s="1348"/>
      <c r="C6241" s="1348"/>
      <c r="D6241" s="1348"/>
      <c r="E6241" s="1348"/>
      <c r="F6241" s="1348"/>
      <c r="G6241" s="1348"/>
      <c r="H6241" s="1348"/>
      <c r="I6241" s="1348"/>
      <c r="J6241" s="1348"/>
      <c r="K6241" s="1348"/>
    </row>
    <row r="6242" spans="2:11" hidden="1">
      <c r="B6242" s="1348"/>
      <c r="C6242" s="1348"/>
      <c r="D6242" s="1348"/>
      <c r="E6242" s="1348"/>
      <c r="F6242" s="1348"/>
      <c r="G6242" s="1348"/>
      <c r="H6242" s="1348"/>
      <c r="I6242" s="1348"/>
      <c r="J6242" s="1348"/>
      <c r="K6242" s="1348"/>
    </row>
    <row r="6243" spans="2:11" hidden="1">
      <c r="B6243" s="1348"/>
      <c r="C6243" s="1348"/>
      <c r="D6243" s="1348"/>
      <c r="E6243" s="1348"/>
      <c r="F6243" s="1348"/>
      <c r="G6243" s="1348"/>
      <c r="H6243" s="1348"/>
      <c r="I6243" s="1348"/>
      <c r="J6243" s="1348"/>
      <c r="K6243" s="1348"/>
    </row>
    <row r="6244" spans="2:11" hidden="1">
      <c r="B6244" s="1348"/>
      <c r="C6244" s="1348"/>
      <c r="D6244" s="1348"/>
      <c r="E6244" s="1348"/>
      <c r="F6244" s="1348"/>
      <c r="G6244" s="1348"/>
      <c r="H6244" s="1348"/>
      <c r="I6244" s="1348"/>
      <c r="J6244" s="1348"/>
      <c r="K6244" s="1348"/>
    </row>
    <row r="6245" spans="2:11" hidden="1">
      <c r="B6245" s="1348"/>
      <c r="C6245" s="1348"/>
      <c r="D6245" s="1348"/>
      <c r="E6245" s="1348"/>
      <c r="F6245" s="1348"/>
      <c r="G6245" s="1348"/>
      <c r="H6245" s="1348"/>
      <c r="I6245" s="1348"/>
      <c r="J6245" s="1348"/>
      <c r="K6245" s="1348"/>
    </row>
    <row r="6246" spans="2:11" hidden="1">
      <c r="B6246" s="1348"/>
      <c r="C6246" s="1348"/>
      <c r="D6246" s="1348"/>
      <c r="E6246" s="1348"/>
      <c r="F6246" s="1348"/>
      <c r="G6246" s="1348"/>
      <c r="H6246" s="1348"/>
      <c r="I6246" s="1348"/>
      <c r="J6246" s="1348"/>
      <c r="K6246" s="1348"/>
    </row>
    <row r="6247" spans="2:11" hidden="1">
      <c r="B6247" s="1348"/>
      <c r="C6247" s="1348"/>
      <c r="D6247" s="1348"/>
      <c r="E6247" s="1348"/>
      <c r="F6247" s="1348"/>
      <c r="G6247" s="1348"/>
      <c r="H6247" s="1348"/>
      <c r="I6247" s="1348"/>
      <c r="J6247" s="1348"/>
      <c r="K6247" s="1348"/>
    </row>
    <row r="6248" spans="2:11" hidden="1">
      <c r="B6248" s="1348"/>
      <c r="C6248" s="1348"/>
      <c r="D6248" s="1348"/>
      <c r="E6248" s="1348"/>
      <c r="F6248" s="1348"/>
      <c r="G6248" s="1348"/>
      <c r="H6248" s="1348"/>
      <c r="I6248" s="1348"/>
      <c r="J6248" s="1348"/>
      <c r="K6248" s="1348"/>
    </row>
    <row r="6249" spans="2:11" hidden="1">
      <c r="B6249" s="1348"/>
      <c r="C6249" s="1348"/>
      <c r="D6249" s="1348"/>
      <c r="E6249" s="1348"/>
      <c r="F6249" s="1348"/>
      <c r="G6249" s="1348"/>
      <c r="H6249" s="1348"/>
      <c r="I6249" s="1348"/>
      <c r="J6249" s="1348"/>
      <c r="K6249" s="1348"/>
    </row>
    <row r="6250" spans="2:11" hidden="1">
      <c r="B6250" s="1348"/>
      <c r="C6250" s="1348"/>
      <c r="D6250" s="1348"/>
      <c r="E6250" s="1348"/>
      <c r="F6250" s="1348"/>
      <c r="G6250" s="1348"/>
      <c r="H6250" s="1348"/>
      <c r="I6250" s="1348"/>
      <c r="J6250" s="1348"/>
      <c r="K6250" s="1348"/>
    </row>
    <row r="6251" spans="2:11" hidden="1">
      <c r="B6251" s="1348"/>
      <c r="C6251" s="1348"/>
      <c r="D6251" s="1348"/>
      <c r="E6251" s="1348"/>
      <c r="F6251" s="1348"/>
      <c r="G6251" s="1348"/>
      <c r="H6251" s="1348"/>
      <c r="I6251" s="1348"/>
      <c r="J6251" s="1348"/>
      <c r="K6251" s="1348"/>
    </row>
    <row r="6252" spans="2:11" hidden="1">
      <c r="B6252" s="1348"/>
      <c r="C6252" s="1348"/>
      <c r="D6252" s="1348"/>
      <c r="E6252" s="1348"/>
      <c r="F6252" s="1348"/>
      <c r="G6252" s="1348"/>
      <c r="H6252" s="1348"/>
      <c r="I6252" s="1348"/>
      <c r="J6252" s="1348"/>
      <c r="K6252" s="1348"/>
    </row>
    <row r="6253" spans="2:11" hidden="1">
      <c r="B6253" s="1348"/>
      <c r="C6253" s="1348"/>
      <c r="D6253" s="1348"/>
      <c r="E6253" s="1348"/>
      <c r="F6253" s="1348"/>
      <c r="G6253" s="1348"/>
      <c r="H6253" s="1348"/>
      <c r="I6253" s="1348"/>
      <c r="J6253" s="1348"/>
      <c r="K6253" s="1348"/>
    </row>
    <row r="6254" spans="2:11" hidden="1">
      <c r="B6254" s="1348"/>
      <c r="C6254" s="1348"/>
      <c r="D6254" s="1348"/>
      <c r="E6254" s="1348"/>
      <c r="F6254" s="1348"/>
      <c r="G6254" s="1348"/>
      <c r="H6254" s="1348"/>
      <c r="I6254" s="1348"/>
      <c r="J6254" s="1348"/>
      <c r="K6254" s="1348"/>
    </row>
    <row r="6255" spans="2:11" hidden="1">
      <c r="B6255" s="1348"/>
      <c r="C6255" s="1348"/>
      <c r="D6255" s="1348"/>
      <c r="E6255" s="1348"/>
      <c r="F6255" s="1348"/>
      <c r="G6255" s="1348"/>
      <c r="H6255" s="1348"/>
      <c r="I6255" s="1348"/>
      <c r="J6255" s="1348"/>
      <c r="K6255" s="1348"/>
    </row>
    <row r="6256" spans="2:11" hidden="1">
      <c r="B6256" s="1348"/>
      <c r="C6256" s="1348"/>
      <c r="D6256" s="1348"/>
      <c r="E6256" s="1348"/>
      <c r="F6256" s="1348"/>
      <c r="G6256" s="1348"/>
      <c r="H6256" s="1348"/>
      <c r="I6256" s="1348"/>
      <c r="J6256" s="1348"/>
      <c r="K6256" s="1348"/>
    </row>
    <row r="6257" spans="2:11" hidden="1">
      <c r="B6257" s="1348"/>
      <c r="C6257" s="1348"/>
      <c r="D6257" s="1348"/>
      <c r="E6257" s="1348"/>
      <c r="F6257" s="1348"/>
      <c r="G6257" s="1348"/>
      <c r="H6257" s="1348"/>
      <c r="I6257" s="1348"/>
      <c r="J6257" s="1348"/>
      <c r="K6257" s="1348"/>
    </row>
    <row r="6258" spans="2:11" hidden="1">
      <c r="B6258" s="1348"/>
      <c r="C6258" s="1348"/>
      <c r="D6258" s="1348"/>
      <c r="E6258" s="1348"/>
      <c r="F6258" s="1348"/>
      <c r="G6258" s="1348"/>
      <c r="H6258" s="1348"/>
      <c r="I6258" s="1348"/>
      <c r="J6258" s="1348"/>
      <c r="K6258" s="1348"/>
    </row>
    <row r="6259" spans="2:11" hidden="1">
      <c r="B6259" s="1348"/>
      <c r="C6259" s="1348"/>
      <c r="D6259" s="1348"/>
      <c r="E6259" s="1348"/>
      <c r="F6259" s="1348"/>
      <c r="G6259" s="1348"/>
      <c r="H6259" s="1348"/>
      <c r="I6259" s="1348"/>
      <c r="J6259" s="1348"/>
      <c r="K6259" s="1348"/>
    </row>
    <row r="6260" spans="2:11" hidden="1">
      <c r="B6260" s="1348"/>
      <c r="C6260" s="1348"/>
      <c r="D6260" s="1348"/>
      <c r="E6260" s="1348"/>
      <c r="F6260" s="1348"/>
      <c r="G6260" s="1348"/>
      <c r="H6260" s="1348"/>
      <c r="I6260" s="1348"/>
      <c r="J6260" s="1348"/>
      <c r="K6260" s="1348"/>
    </row>
    <row r="6261" spans="2:11" hidden="1">
      <c r="B6261" s="1348"/>
      <c r="C6261" s="1348"/>
      <c r="D6261" s="1348"/>
      <c r="E6261" s="1348"/>
      <c r="F6261" s="1348"/>
      <c r="G6261" s="1348"/>
      <c r="H6261" s="1348"/>
      <c r="I6261" s="1348"/>
      <c r="J6261" s="1348"/>
      <c r="K6261" s="1348"/>
    </row>
    <row r="6262" spans="2:11" hidden="1">
      <c r="B6262" s="1348"/>
      <c r="C6262" s="1348"/>
      <c r="D6262" s="1348"/>
      <c r="E6262" s="1348"/>
      <c r="F6262" s="1348"/>
      <c r="G6262" s="1348"/>
      <c r="H6262" s="1348"/>
      <c r="I6262" s="1348"/>
      <c r="J6262" s="1348"/>
      <c r="K6262" s="1348"/>
    </row>
    <row r="6263" spans="2:11" hidden="1">
      <c r="B6263" s="1348"/>
      <c r="C6263" s="1348"/>
      <c r="D6263" s="1348"/>
      <c r="E6263" s="1348"/>
      <c r="F6263" s="1348"/>
      <c r="G6263" s="1348"/>
      <c r="H6263" s="1348"/>
      <c r="I6263" s="1348"/>
      <c r="J6263" s="1348"/>
      <c r="K6263" s="1348"/>
    </row>
    <row r="6264" spans="2:11" hidden="1">
      <c r="B6264" s="1348"/>
      <c r="C6264" s="1348"/>
      <c r="D6264" s="1348"/>
      <c r="E6264" s="1348"/>
      <c r="F6264" s="1348"/>
      <c r="G6264" s="1348"/>
      <c r="H6264" s="1348"/>
      <c r="I6264" s="1348"/>
      <c r="J6264" s="1348"/>
      <c r="K6264" s="1348"/>
    </row>
    <row r="6265" spans="2:11" hidden="1">
      <c r="B6265" s="1348"/>
      <c r="C6265" s="1348"/>
      <c r="D6265" s="1348"/>
      <c r="E6265" s="1348"/>
      <c r="F6265" s="1348"/>
      <c r="G6265" s="1348"/>
      <c r="H6265" s="1348"/>
      <c r="I6265" s="1348"/>
      <c r="J6265" s="1348"/>
      <c r="K6265" s="1348"/>
    </row>
    <row r="6266" spans="2:11" hidden="1">
      <c r="B6266" s="1348"/>
      <c r="C6266" s="1348"/>
      <c r="D6266" s="1348"/>
      <c r="E6266" s="1348"/>
      <c r="F6266" s="1348"/>
      <c r="G6266" s="1348"/>
      <c r="H6266" s="1348"/>
      <c r="I6266" s="1348"/>
      <c r="J6266" s="1348"/>
      <c r="K6266" s="1348"/>
    </row>
    <row r="6267" spans="2:11" hidden="1">
      <c r="B6267" s="1348"/>
      <c r="C6267" s="1348"/>
      <c r="D6267" s="1348"/>
      <c r="E6267" s="1348"/>
      <c r="F6267" s="1348"/>
      <c r="G6267" s="1348"/>
      <c r="H6267" s="1348"/>
      <c r="I6267" s="1348"/>
      <c r="J6267" s="1348"/>
      <c r="K6267" s="1348"/>
    </row>
    <row r="6268" spans="2:11" hidden="1">
      <c r="B6268" s="1348"/>
      <c r="C6268" s="1348"/>
      <c r="D6268" s="1348"/>
      <c r="E6268" s="1348"/>
      <c r="F6268" s="1348"/>
      <c r="G6268" s="1348"/>
      <c r="H6268" s="1348"/>
      <c r="I6268" s="1348"/>
      <c r="J6268" s="1348"/>
      <c r="K6268" s="1348"/>
    </row>
    <row r="6269" spans="2:11" hidden="1">
      <c r="B6269" s="1348"/>
      <c r="C6269" s="1348"/>
      <c r="D6269" s="1348"/>
      <c r="E6269" s="1348"/>
      <c r="F6269" s="1348"/>
      <c r="G6269" s="1348"/>
      <c r="H6269" s="1348"/>
      <c r="I6269" s="1348"/>
      <c r="J6269" s="1348"/>
      <c r="K6269" s="1348"/>
    </row>
    <row r="6270" spans="2:11" hidden="1">
      <c r="B6270" s="1348"/>
      <c r="C6270" s="1348"/>
      <c r="D6270" s="1348"/>
      <c r="E6270" s="1348"/>
      <c r="F6270" s="1348"/>
      <c r="G6270" s="1348"/>
      <c r="H6270" s="1348"/>
      <c r="I6270" s="1348"/>
      <c r="J6270" s="1348"/>
      <c r="K6270" s="1348"/>
    </row>
    <row r="6271" spans="2:11" hidden="1">
      <c r="B6271" s="1348"/>
      <c r="C6271" s="1348"/>
      <c r="D6271" s="1348"/>
      <c r="E6271" s="1348"/>
      <c r="F6271" s="1348"/>
      <c r="G6271" s="1348"/>
      <c r="H6271" s="1348"/>
      <c r="I6271" s="1348"/>
      <c r="J6271" s="1348"/>
      <c r="K6271" s="1348"/>
    </row>
    <row r="6272" spans="2:11" hidden="1">
      <c r="B6272" s="1348"/>
      <c r="C6272" s="1348"/>
      <c r="D6272" s="1348"/>
      <c r="E6272" s="1348"/>
      <c r="F6272" s="1348"/>
      <c r="G6272" s="1348"/>
      <c r="H6272" s="1348"/>
      <c r="I6272" s="1348"/>
      <c r="J6272" s="1348"/>
      <c r="K6272" s="1348"/>
    </row>
    <row r="6273" spans="2:11" hidden="1">
      <c r="B6273" s="1348"/>
      <c r="C6273" s="1348"/>
      <c r="D6273" s="1348"/>
      <c r="E6273" s="1348"/>
      <c r="F6273" s="1348"/>
      <c r="G6273" s="1348"/>
      <c r="H6273" s="1348"/>
      <c r="I6273" s="1348"/>
      <c r="J6273" s="1348"/>
      <c r="K6273" s="1348"/>
    </row>
    <row r="6274" spans="2:11" hidden="1">
      <c r="B6274" s="1348"/>
      <c r="C6274" s="1348"/>
      <c r="D6274" s="1348"/>
      <c r="E6274" s="1348"/>
      <c r="F6274" s="1348"/>
      <c r="G6274" s="1348"/>
      <c r="H6274" s="1348"/>
      <c r="I6274" s="1348"/>
      <c r="J6274" s="1348"/>
      <c r="K6274" s="1348"/>
    </row>
    <row r="6275" spans="2:11" hidden="1">
      <c r="B6275" s="1348"/>
      <c r="C6275" s="1348"/>
      <c r="D6275" s="1348"/>
      <c r="E6275" s="1348"/>
      <c r="F6275" s="1348"/>
      <c r="G6275" s="1348"/>
      <c r="H6275" s="1348"/>
      <c r="I6275" s="1348"/>
      <c r="J6275" s="1348"/>
      <c r="K6275" s="1348"/>
    </row>
    <row r="6276" spans="2:11" hidden="1">
      <c r="B6276" s="1348"/>
      <c r="C6276" s="1348"/>
      <c r="D6276" s="1348"/>
      <c r="E6276" s="1348"/>
      <c r="F6276" s="1348"/>
      <c r="G6276" s="1348"/>
      <c r="H6276" s="1348"/>
      <c r="I6276" s="1348"/>
      <c r="J6276" s="1348"/>
      <c r="K6276" s="1348"/>
    </row>
    <row r="6277" spans="2:11" hidden="1">
      <c r="B6277" s="1348"/>
      <c r="C6277" s="1348"/>
      <c r="D6277" s="1348"/>
      <c r="E6277" s="1348"/>
      <c r="F6277" s="1348"/>
      <c r="G6277" s="1348"/>
      <c r="H6277" s="1348"/>
      <c r="I6277" s="1348"/>
      <c r="J6277" s="1348"/>
      <c r="K6277" s="1348"/>
    </row>
    <row r="6278" spans="2:11" hidden="1">
      <c r="B6278" s="1348"/>
      <c r="C6278" s="1348"/>
      <c r="D6278" s="1348"/>
      <c r="E6278" s="1348"/>
      <c r="F6278" s="1348"/>
      <c r="G6278" s="1348"/>
      <c r="H6278" s="1348"/>
      <c r="I6278" s="1348"/>
      <c r="J6278" s="1348"/>
      <c r="K6278" s="1348"/>
    </row>
    <row r="6279" spans="2:11" hidden="1">
      <c r="B6279" s="1348"/>
      <c r="C6279" s="1348"/>
      <c r="D6279" s="1348"/>
      <c r="E6279" s="1348"/>
      <c r="F6279" s="1348"/>
      <c r="G6279" s="1348"/>
      <c r="H6279" s="1348"/>
      <c r="I6279" s="1348"/>
      <c r="J6279" s="1348"/>
      <c r="K6279" s="1348"/>
    </row>
    <row r="6280" spans="2:11" hidden="1">
      <c r="B6280" s="1348"/>
      <c r="C6280" s="1348"/>
      <c r="D6280" s="1348"/>
      <c r="E6280" s="1348"/>
      <c r="F6280" s="1348"/>
      <c r="G6280" s="1348"/>
      <c r="H6280" s="1348"/>
      <c r="I6280" s="1348"/>
      <c r="J6280" s="1348"/>
      <c r="K6280" s="1348"/>
    </row>
    <row r="6281" spans="2:11" hidden="1">
      <c r="B6281" s="1348"/>
      <c r="C6281" s="1348"/>
      <c r="D6281" s="1348"/>
      <c r="E6281" s="1348"/>
      <c r="F6281" s="1348"/>
      <c r="G6281" s="1348"/>
      <c r="H6281" s="1348"/>
      <c r="I6281" s="1348"/>
      <c r="J6281" s="1348"/>
      <c r="K6281" s="1348"/>
    </row>
    <row r="6282" spans="2:11" hidden="1">
      <c r="B6282" s="1348"/>
      <c r="C6282" s="1348"/>
      <c r="D6282" s="1348"/>
      <c r="E6282" s="1348"/>
      <c r="F6282" s="1348"/>
      <c r="G6282" s="1348"/>
      <c r="H6282" s="1348"/>
      <c r="I6282" s="1348"/>
      <c r="J6282" s="1348"/>
      <c r="K6282" s="1348"/>
    </row>
    <row r="6283" spans="2:11" hidden="1">
      <c r="B6283" s="1348"/>
      <c r="C6283" s="1348"/>
      <c r="D6283" s="1348"/>
      <c r="E6283" s="1348"/>
      <c r="F6283" s="1348"/>
      <c r="G6283" s="1348"/>
      <c r="H6283" s="1348"/>
      <c r="I6283" s="1348"/>
      <c r="J6283" s="1348"/>
      <c r="K6283" s="1348"/>
    </row>
    <row r="6284" spans="2:11" hidden="1">
      <c r="B6284" s="1348"/>
      <c r="C6284" s="1348"/>
      <c r="D6284" s="1348"/>
      <c r="E6284" s="1348"/>
      <c r="F6284" s="1348"/>
      <c r="G6284" s="1348"/>
      <c r="H6284" s="1348"/>
      <c r="I6284" s="1348"/>
      <c r="J6284" s="1348"/>
      <c r="K6284" s="1348"/>
    </row>
    <row r="6285" spans="2:11" hidden="1">
      <c r="B6285" s="1348"/>
      <c r="C6285" s="1348"/>
      <c r="D6285" s="1348"/>
      <c r="E6285" s="1348"/>
      <c r="F6285" s="1348"/>
      <c r="G6285" s="1348"/>
      <c r="H6285" s="1348"/>
      <c r="I6285" s="1348"/>
      <c r="J6285" s="1348"/>
      <c r="K6285" s="1348"/>
    </row>
    <row r="6286" spans="2:11" hidden="1">
      <c r="B6286" s="1348"/>
      <c r="C6286" s="1348"/>
      <c r="D6286" s="1348"/>
      <c r="E6286" s="1348"/>
      <c r="F6286" s="1348"/>
      <c r="G6286" s="1348"/>
      <c r="H6286" s="1348"/>
      <c r="I6286" s="1348"/>
      <c r="J6286" s="1348"/>
      <c r="K6286" s="1348"/>
    </row>
    <row r="6287" spans="2:11" hidden="1">
      <c r="B6287" s="1348"/>
      <c r="C6287" s="1348"/>
      <c r="D6287" s="1348"/>
      <c r="E6287" s="1348"/>
      <c r="F6287" s="1348"/>
      <c r="G6287" s="1348"/>
      <c r="H6287" s="1348"/>
      <c r="I6287" s="1348"/>
      <c r="J6287" s="1348"/>
      <c r="K6287" s="1348"/>
    </row>
    <row r="6288" spans="2:11" hidden="1">
      <c r="B6288" s="1348"/>
      <c r="C6288" s="1348"/>
      <c r="D6288" s="1348"/>
      <c r="E6288" s="1348"/>
      <c r="F6288" s="1348"/>
      <c r="G6288" s="1348"/>
      <c r="H6288" s="1348"/>
      <c r="I6288" s="1348"/>
      <c r="J6288" s="1348"/>
      <c r="K6288" s="1348"/>
    </row>
    <row r="6289" spans="2:11" hidden="1">
      <c r="B6289" s="1348"/>
      <c r="C6289" s="1348"/>
      <c r="D6289" s="1348"/>
      <c r="E6289" s="1348"/>
      <c r="F6289" s="1348"/>
      <c r="G6289" s="1348"/>
      <c r="H6289" s="1348"/>
      <c r="I6289" s="1348"/>
      <c r="J6289" s="1348"/>
      <c r="K6289" s="1348"/>
    </row>
    <row r="6290" spans="2:11" hidden="1">
      <c r="B6290" s="1348"/>
      <c r="C6290" s="1348"/>
      <c r="D6290" s="1348"/>
      <c r="E6290" s="1348"/>
      <c r="F6290" s="1348"/>
      <c r="G6290" s="1348"/>
      <c r="H6290" s="1348"/>
      <c r="I6290" s="1348"/>
      <c r="J6290" s="1348"/>
      <c r="K6290" s="1348"/>
    </row>
    <row r="6291" spans="2:11" hidden="1">
      <c r="B6291" s="1348"/>
      <c r="C6291" s="1348"/>
      <c r="D6291" s="1348"/>
      <c r="E6291" s="1348"/>
      <c r="F6291" s="1348"/>
      <c r="G6291" s="1348"/>
      <c r="H6291" s="1348"/>
      <c r="I6291" s="1348"/>
      <c r="J6291" s="1348"/>
      <c r="K6291" s="1348"/>
    </row>
    <row r="6292" spans="2:11" hidden="1">
      <c r="B6292" s="1348"/>
      <c r="C6292" s="1348"/>
      <c r="D6292" s="1348"/>
      <c r="E6292" s="1348"/>
      <c r="F6292" s="1348"/>
      <c r="G6292" s="1348"/>
      <c r="H6292" s="1348"/>
      <c r="I6292" s="1348"/>
      <c r="J6292" s="1348"/>
      <c r="K6292" s="1348"/>
    </row>
    <row r="6293" spans="2:11" hidden="1">
      <c r="B6293" s="1348"/>
      <c r="C6293" s="1348"/>
      <c r="D6293" s="1348"/>
      <c r="E6293" s="1348"/>
      <c r="F6293" s="1348"/>
      <c r="G6293" s="1348"/>
      <c r="H6293" s="1348"/>
      <c r="I6293" s="1348"/>
      <c r="J6293" s="1348"/>
      <c r="K6293" s="1348"/>
    </row>
    <row r="6294" spans="2:11" hidden="1">
      <c r="B6294" s="1348"/>
      <c r="C6294" s="1348"/>
      <c r="D6294" s="1348"/>
      <c r="E6294" s="1348"/>
      <c r="F6294" s="1348"/>
      <c r="G6294" s="1348"/>
      <c r="H6294" s="1348"/>
      <c r="I6294" s="1348"/>
      <c r="J6294" s="1348"/>
      <c r="K6294" s="1348"/>
    </row>
    <row r="6295" spans="2:11" hidden="1">
      <c r="B6295" s="1348"/>
      <c r="C6295" s="1348"/>
      <c r="D6295" s="1348"/>
      <c r="E6295" s="1348"/>
      <c r="F6295" s="1348"/>
      <c r="G6295" s="1348"/>
      <c r="H6295" s="1348"/>
      <c r="I6295" s="1348"/>
      <c r="J6295" s="1348"/>
      <c r="K6295" s="1348"/>
    </row>
    <row r="6296" spans="2:11" hidden="1">
      <c r="B6296" s="1348"/>
      <c r="C6296" s="1348"/>
      <c r="D6296" s="1348"/>
      <c r="E6296" s="1348"/>
      <c r="F6296" s="1348"/>
      <c r="G6296" s="1348"/>
      <c r="H6296" s="1348"/>
      <c r="I6296" s="1348"/>
      <c r="J6296" s="1348"/>
      <c r="K6296" s="1348"/>
    </row>
    <row r="6297" spans="2:11" hidden="1">
      <c r="B6297" s="1348"/>
      <c r="C6297" s="1348"/>
      <c r="D6297" s="1348"/>
      <c r="E6297" s="1348"/>
      <c r="F6297" s="1348"/>
      <c r="G6297" s="1348"/>
      <c r="H6297" s="1348"/>
      <c r="I6297" s="1348"/>
      <c r="J6297" s="1348"/>
      <c r="K6297" s="1348"/>
    </row>
    <row r="6298" spans="2:11" hidden="1">
      <c r="B6298" s="1348"/>
      <c r="C6298" s="1348"/>
      <c r="D6298" s="1348"/>
      <c r="E6298" s="1348"/>
      <c r="F6298" s="1348"/>
      <c r="G6298" s="1348"/>
      <c r="H6298" s="1348"/>
      <c r="I6298" s="1348"/>
      <c r="J6298" s="1348"/>
      <c r="K6298" s="1348"/>
    </row>
    <row r="6299" spans="2:11" hidden="1">
      <c r="B6299" s="1348"/>
      <c r="C6299" s="1348"/>
      <c r="D6299" s="1348"/>
      <c r="E6299" s="1348"/>
      <c r="F6299" s="1348"/>
      <c r="G6299" s="1348"/>
      <c r="H6299" s="1348"/>
      <c r="I6299" s="1348"/>
      <c r="J6299" s="1348"/>
      <c r="K6299" s="1348"/>
    </row>
    <row r="6300" spans="2:11" hidden="1">
      <c r="B6300" s="1348"/>
      <c r="C6300" s="1348"/>
      <c r="D6300" s="1348"/>
      <c r="E6300" s="1348"/>
      <c r="F6300" s="1348"/>
      <c r="G6300" s="1348"/>
      <c r="H6300" s="1348"/>
      <c r="I6300" s="1348"/>
      <c r="J6300" s="1348"/>
      <c r="K6300" s="1348"/>
    </row>
    <row r="6301" spans="2:11" hidden="1">
      <c r="B6301" s="1348"/>
      <c r="C6301" s="1348"/>
      <c r="D6301" s="1348"/>
      <c r="E6301" s="1348"/>
      <c r="F6301" s="1348"/>
      <c r="G6301" s="1348"/>
      <c r="H6301" s="1348"/>
      <c r="I6301" s="1348"/>
      <c r="J6301" s="1348"/>
      <c r="K6301" s="1348"/>
    </row>
    <row r="6302" spans="2:11" hidden="1">
      <c r="B6302" s="1348"/>
      <c r="C6302" s="1348"/>
      <c r="D6302" s="1348"/>
      <c r="E6302" s="1348"/>
      <c r="F6302" s="1348"/>
      <c r="G6302" s="1348"/>
      <c r="H6302" s="1348"/>
      <c r="I6302" s="1348"/>
      <c r="J6302" s="1348"/>
      <c r="K6302" s="1348"/>
    </row>
    <row r="6303" spans="2:11" hidden="1">
      <c r="B6303" s="1348"/>
      <c r="C6303" s="1348"/>
      <c r="D6303" s="1348"/>
      <c r="E6303" s="1348"/>
      <c r="F6303" s="1348"/>
      <c r="G6303" s="1348"/>
      <c r="H6303" s="1348"/>
      <c r="I6303" s="1348"/>
      <c r="J6303" s="1348"/>
      <c r="K6303" s="1348"/>
    </row>
    <row r="6304" spans="2:11" hidden="1">
      <c r="B6304" s="1348"/>
      <c r="C6304" s="1348"/>
      <c r="D6304" s="1348"/>
      <c r="E6304" s="1348"/>
      <c r="F6304" s="1348"/>
      <c r="G6304" s="1348"/>
      <c r="H6304" s="1348"/>
      <c r="I6304" s="1348"/>
      <c r="J6304" s="1348"/>
      <c r="K6304" s="1348"/>
    </row>
    <row r="6305" spans="2:11" hidden="1">
      <c r="B6305" s="1348"/>
      <c r="C6305" s="1348"/>
      <c r="D6305" s="1348"/>
      <c r="E6305" s="1348"/>
      <c r="F6305" s="1348"/>
      <c r="G6305" s="1348"/>
      <c r="H6305" s="1348"/>
      <c r="I6305" s="1348"/>
      <c r="J6305" s="1348"/>
      <c r="K6305" s="1348"/>
    </row>
    <row r="6306" spans="2:11" hidden="1">
      <c r="B6306" s="1348"/>
      <c r="C6306" s="1348"/>
      <c r="D6306" s="1348"/>
      <c r="E6306" s="1348"/>
      <c r="F6306" s="1348"/>
      <c r="G6306" s="1348"/>
      <c r="H6306" s="1348"/>
      <c r="I6306" s="1348"/>
      <c r="J6306" s="1348"/>
      <c r="K6306" s="1348"/>
    </row>
    <row r="6307" spans="2:11" hidden="1">
      <c r="B6307" s="1348"/>
      <c r="C6307" s="1348"/>
      <c r="D6307" s="1348"/>
      <c r="E6307" s="1348"/>
      <c r="F6307" s="1348"/>
      <c r="G6307" s="1348"/>
      <c r="H6307" s="1348"/>
      <c r="I6307" s="1348"/>
      <c r="J6307" s="1348"/>
      <c r="K6307" s="1348"/>
    </row>
    <row r="6308" spans="2:11" hidden="1">
      <c r="B6308" s="1348"/>
      <c r="C6308" s="1348"/>
      <c r="D6308" s="1348"/>
      <c r="E6308" s="1348"/>
      <c r="F6308" s="1348"/>
      <c r="G6308" s="1348"/>
      <c r="H6308" s="1348"/>
      <c r="I6308" s="1348"/>
      <c r="J6308" s="1348"/>
      <c r="K6308" s="1348"/>
    </row>
    <row r="6309" spans="2:11" hidden="1">
      <c r="B6309" s="1348"/>
      <c r="C6309" s="1348"/>
      <c r="D6309" s="1348"/>
      <c r="E6309" s="1348"/>
      <c r="F6309" s="1348"/>
      <c r="G6309" s="1348"/>
      <c r="H6309" s="1348"/>
      <c r="I6309" s="1348"/>
      <c r="J6309" s="1348"/>
      <c r="K6309" s="1348"/>
    </row>
    <row r="6310" spans="2:11" hidden="1">
      <c r="B6310" s="1348"/>
      <c r="C6310" s="1348"/>
      <c r="D6310" s="1348"/>
      <c r="E6310" s="1348"/>
      <c r="F6310" s="1348"/>
      <c r="G6310" s="1348"/>
      <c r="H6310" s="1348"/>
      <c r="I6310" s="1348"/>
      <c r="J6310" s="1348"/>
      <c r="K6310" s="1348"/>
    </row>
    <row r="6311" spans="2:11" hidden="1">
      <c r="B6311" s="1348"/>
      <c r="C6311" s="1348"/>
      <c r="D6311" s="1348"/>
      <c r="E6311" s="1348"/>
      <c r="F6311" s="1348"/>
      <c r="G6311" s="1348"/>
      <c r="H6311" s="1348"/>
      <c r="I6311" s="1348"/>
      <c r="J6311" s="1348"/>
      <c r="K6311" s="1348"/>
    </row>
    <row r="6312" spans="2:11" hidden="1">
      <c r="B6312" s="1348"/>
      <c r="C6312" s="1348"/>
      <c r="D6312" s="1348"/>
      <c r="E6312" s="1348"/>
      <c r="F6312" s="1348"/>
      <c r="G6312" s="1348"/>
      <c r="H6312" s="1348"/>
      <c r="I6312" s="1348"/>
      <c r="J6312" s="1348"/>
      <c r="K6312" s="1348"/>
    </row>
    <row r="6313" spans="2:11" hidden="1">
      <c r="B6313" s="1348"/>
      <c r="C6313" s="1348"/>
      <c r="D6313" s="1348"/>
      <c r="E6313" s="1348"/>
      <c r="F6313" s="1348"/>
      <c r="G6313" s="1348"/>
      <c r="H6313" s="1348"/>
      <c r="I6313" s="1348"/>
      <c r="J6313" s="1348"/>
      <c r="K6313" s="1348"/>
    </row>
    <row r="6314" spans="2:11" hidden="1">
      <c r="B6314" s="1348"/>
      <c r="C6314" s="1348"/>
      <c r="D6314" s="1348"/>
      <c r="E6314" s="1348"/>
      <c r="F6314" s="1348"/>
      <c r="G6314" s="1348"/>
      <c r="H6314" s="1348"/>
      <c r="I6314" s="1348"/>
      <c r="J6314" s="1348"/>
      <c r="K6314" s="1348"/>
    </row>
    <row r="6315" spans="2:11" hidden="1">
      <c r="B6315" s="1348"/>
      <c r="C6315" s="1348"/>
      <c r="D6315" s="1348"/>
      <c r="E6315" s="1348"/>
      <c r="F6315" s="1348"/>
      <c r="G6315" s="1348"/>
      <c r="H6315" s="1348"/>
      <c r="I6315" s="1348"/>
      <c r="J6315" s="1348"/>
      <c r="K6315" s="1348"/>
    </row>
    <row r="6316" spans="2:11" hidden="1">
      <c r="B6316" s="1348"/>
      <c r="C6316" s="1348"/>
      <c r="D6316" s="1348"/>
      <c r="E6316" s="1348"/>
      <c r="F6316" s="1348"/>
      <c r="G6316" s="1348"/>
      <c r="H6316" s="1348"/>
      <c r="I6316" s="1348"/>
      <c r="J6316" s="1348"/>
      <c r="K6316" s="1348"/>
    </row>
    <row r="6317" spans="2:11" hidden="1">
      <c r="B6317" s="1348"/>
      <c r="C6317" s="1348"/>
      <c r="D6317" s="1348"/>
      <c r="E6317" s="1348"/>
      <c r="F6317" s="1348"/>
      <c r="G6317" s="1348"/>
      <c r="H6317" s="1348"/>
      <c r="I6317" s="1348"/>
      <c r="J6317" s="1348"/>
      <c r="K6317" s="1348"/>
    </row>
    <row r="6318" spans="2:11" hidden="1">
      <c r="B6318" s="1348"/>
      <c r="C6318" s="1348"/>
      <c r="D6318" s="1348"/>
      <c r="E6318" s="1348"/>
      <c r="F6318" s="1348"/>
      <c r="G6318" s="1348"/>
      <c r="H6318" s="1348"/>
      <c r="I6318" s="1348"/>
      <c r="J6318" s="1348"/>
      <c r="K6318" s="1348"/>
    </row>
    <row r="6319" spans="2:11" hidden="1">
      <c r="B6319" s="1348"/>
      <c r="C6319" s="1348"/>
      <c r="D6319" s="1348"/>
      <c r="E6319" s="1348"/>
      <c r="F6319" s="1348"/>
      <c r="G6319" s="1348"/>
      <c r="H6319" s="1348"/>
      <c r="I6319" s="1348"/>
      <c r="J6319" s="1348"/>
      <c r="K6319" s="1348"/>
    </row>
    <row r="6320" spans="2:11" hidden="1">
      <c r="B6320" s="1348"/>
      <c r="C6320" s="1348"/>
      <c r="D6320" s="1348"/>
      <c r="E6320" s="1348"/>
      <c r="F6320" s="1348"/>
      <c r="G6320" s="1348"/>
      <c r="H6320" s="1348"/>
      <c r="I6320" s="1348"/>
      <c r="J6320" s="1348"/>
      <c r="K6320" s="1348"/>
    </row>
    <row r="6321" spans="2:11" hidden="1">
      <c r="B6321" s="1348"/>
      <c r="C6321" s="1348"/>
      <c r="D6321" s="1348"/>
      <c r="E6321" s="1348"/>
      <c r="F6321" s="1348"/>
      <c r="G6321" s="1348"/>
      <c r="H6321" s="1348"/>
      <c r="I6321" s="1348"/>
      <c r="J6321" s="1348"/>
      <c r="K6321" s="1348"/>
    </row>
    <row r="6322" spans="2:11" hidden="1">
      <c r="B6322" s="1348"/>
      <c r="C6322" s="1348"/>
      <c r="D6322" s="1348"/>
      <c r="E6322" s="1348"/>
      <c r="F6322" s="1348"/>
      <c r="G6322" s="1348"/>
      <c r="H6322" s="1348"/>
      <c r="I6322" s="1348"/>
      <c r="J6322" s="1348"/>
      <c r="K6322" s="1348"/>
    </row>
    <row r="6323" spans="2:11" hidden="1">
      <c r="B6323" s="1348"/>
      <c r="C6323" s="1348"/>
      <c r="D6323" s="1348"/>
      <c r="E6323" s="1348"/>
      <c r="F6323" s="1348"/>
      <c r="G6323" s="1348"/>
      <c r="H6323" s="1348"/>
      <c r="I6323" s="1348"/>
      <c r="J6323" s="1348"/>
      <c r="K6323" s="1348"/>
    </row>
    <row r="6324" spans="2:11" hidden="1">
      <c r="B6324" s="1348"/>
      <c r="C6324" s="1348"/>
      <c r="D6324" s="1348"/>
      <c r="E6324" s="1348"/>
      <c r="F6324" s="1348"/>
      <c r="G6324" s="1348"/>
      <c r="H6324" s="1348"/>
      <c r="I6324" s="1348"/>
      <c r="J6324" s="1348"/>
      <c r="K6324" s="1348"/>
    </row>
    <row r="6325" spans="2:11" hidden="1">
      <c r="B6325" s="1348"/>
      <c r="C6325" s="1348"/>
      <c r="D6325" s="1348"/>
      <c r="E6325" s="1348"/>
      <c r="F6325" s="1348"/>
      <c r="G6325" s="1348"/>
      <c r="H6325" s="1348"/>
      <c r="I6325" s="1348"/>
      <c r="J6325" s="1348"/>
      <c r="K6325" s="1348"/>
    </row>
    <row r="6326" spans="2:11" hidden="1">
      <c r="B6326" s="1348"/>
      <c r="C6326" s="1348"/>
      <c r="D6326" s="1348"/>
      <c r="E6326" s="1348"/>
      <c r="F6326" s="1348"/>
      <c r="G6326" s="1348"/>
      <c r="H6326" s="1348"/>
      <c r="I6326" s="1348"/>
      <c r="J6326" s="1348"/>
      <c r="K6326" s="1348"/>
    </row>
    <row r="6327" spans="2:11" hidden="1">
      <c r="B6327" s="1348"/>
      <c r="C6327" s="1348"/>
      <c r="D6327" s="1348"/>
      <c r="E6327" s="1348"/>
      <c r="F6327" s="1348"/>
      <c r="G6327" s="1348"/>
      <c r="H6327" s="1348"/>
      <c r="I6327" s="1348"/>
      <c r="J6327" s="1348"/>
      <c r="K6327" s="1348"/>
    </row>
    <row r="6328" spans="2:11" hidden="1">
      <c r="B6328" s="1348"/>
      <c r="C6328" s="1348"/>
      <c r="D6328" s="1348"/>
      <c r="E6328" s="1348"/>
      <c r="F6328" s="1348"/>
      <c r="G6328" s="1348"/>
      <c r="H6328" s="1348"/>
      <c r="I6328" s="1348"/>
      <c r="J6328" s="1348"/>
      <c r="K6328" s="1348"/>
    </row>
    <row r="6329" spans="2:11" hidden="1">
      <c r="B6329" s="1348"/>
      <c r="C6329" s="1348"/>
      <c r="D6329" s="1348"/>
      <c r="E6329" s="1348"/>
      <c r="F6329" s="1348"/>
      <c r="G6329" s="1348"/>
      <c r="H6329" s="1348"/>
      <c r="I6329" s="1348"/>
      <c r="J6329" s="1348"/>
      <c r="K6329" s="1348"/>
    </row>
    <row r="6330" spans="2:11" hidden="1">
      <c r="B6330" s="1348"/>
      <c r="C6330" s="1348"/>
      <c r="D6330" s="1348"/>
      <c r="E6330" s="1348"/>
      <c r="F6330" s="1348"/>
      <c r="G6330" s="1348"/>
      <c r="H6330" s="1348"/>
      <c r="I6330" s="1348"/>
      <c r="J6330" s="1348"/>
      <c r="K6330" s="1348"/>
    </row>
    <row r="6331" spans="2:11" hidden="1">
      <c r="B6331" s="1348"/>
      <c r="C6331" s="1348"/>
      <c r="D6331" s="1348"/>
      <c r="E6331" s="1348"/>
      <c r="F6331" s="1348"/>
      <c r="G6331" s="1348"/>
      <c r="H6331" s="1348"/>
      <c r="I6331" s="1348"/>
      <c r="J6331" s="1348"/>
      <c r="K6331" s="1348"/>
    </row>
    <row r="6332" spans="2:11" hidden="1">
      <c r="B6332" s="1348"/>
      <c r="C6332" s="1348"/>
      <c r="D6332" s="1348"/>
      <c r="E6332" s="1348"/>
      <c r="F6332" s="1348"/>
      <c r="G6332" s="1348"/>
      <c r="H6332" s="1348"/>
      <c r="I6332" s="1348"/>
      <c r="J6332" s="1348"/>
      <c r="K6332" s="1348"/>
    </row>
    <row r="6333" spans="2:11" hidden="1">
      <c r="B6333" s="1348"/>
      <c r="C6333" s="1348"/>
      <c r="D6333" s="1348"/>
      <c r="E6333" s="1348"/>
      <c r="F6333" s="1348"/>
      <c r="G6333" s="1348"/>
      <c r="H6333" s="1348"/>
      <c r="I6333" s="1348"/>
      <c r="J6333" s="1348"/>
      <c r="K6333" s="1348"/>
    </row>
    <row r="6334" spans="2:11" hidden="1">
      <c r="B6334" s="1348"/>
      <c r="C6334" s="1348"/>
      <c r="D6334" s="1348"/>
      <c r="E6334" s="1348"/>
      <c r="F6334" s="1348"/>
      <c r="G6334" s="1348"/>
      <c r="H6334" s="1348"/>
      <c r="I6334" s="1348"/>
      <c r="J6334" s="1348"/>
      <c r="K6334" s="1348"/>
    </row>
    <row r="6335" spans="2:11" hidden="1">
      <c r="B6335" s="1348"/>
      <c r="C6335" s="1348"/>
      <c r="D6335" s="1348"/>
      <c r="E6335" s="1348"/>
      <c r="F6335" s="1348"/>
      <c r="G6335" s="1348"/>
      <c r="H6335" s="1348"/>
      <c r="I6335" s="1348"/>
      <c r="J6335" s="1348"/>
      <c r="K6335" s="1348"/>
    </row>
    <row r="6336" spans="2:11" hidden="1">
      <c r="B6336" s="1348"/>
      <c r="C6336" s="1348"/>
      <c r="D6336" s="1348"/>
      <c r="E6336" s="1348"/>
      <c r="F6336" s="1348"/>
      <c r="G6336" s="1348"/>
      <c r="H6336" s="1348"/>
      <c r="I6336" s="1348"/>
      <c r="J6336" s="1348"/>
      <c r="K6336" s="1348"/>
    </row>
    <row r="6337" spans="2:11" hidden="1">
      <c r="B6337" s="1348"/>
      <c r="C6337" s="1348"/>
      <c r="D6337" s="1348"/>
      <c r="E6337" s="1348"/>
      <c r="F6337" s="1348"/>
      <c r="G6337" s="1348"/>
      <c r="H6337" s="1348"/>
      <c r="I6337" s="1348"/>
      <c r="J6337" s="1348"/>
      <c r="K6337" s="1348"/>
    </row>
    <row r="6338" spans="2:11" hidden="1">
      <c r="B6338" s="1348"/>
      <c r="C6338" s="1348"/>
      <c r="D6338" s="1348"/>
      <c r="E6338" s="1348"/>
      <c r="F6338" s="1348"/>
      <c r="G6338" s="1348"/>
      <c r="H6338" s="1348"/>
      <c r="I6338" s="1348"/>
      <c r="J6338" s="1348"/>
      <c r="K6338" s="1348"/>
    </row>
    <row r="6339" spans="2:11" hidden="1">
      <c r="B6339" s="1348"/>
      <c r="C6339" s="1348"/>
      <c r="D6339" s="1348"/>
      <c r="E6339" s="1348"/>
      <c r="F6339" s="1348"/>
      <c r="G6339" s="1348"/>
      <c r="H6339" s="1348"/>
      <c r="I6339" s="1348"/>
      <c r="J6339" s="1348"/>
      <c r="K6339" s="1348"/>
    </row>
    <row r="6340" spans="2:11" hidden="1">
      <c r="B6340" s="1348"/>
      <c r="C6340" s="1348"/>
      <c r="D6340" s="1348"/>
      <c r="E6340" s="1348"/>
      <c r="F6340" s="1348"/>
      <c r="G6340" s="1348"/>
      <c r="H6340" s="1348"/>
      <c r="I6340" s="1348"/>
      <c r="J6340" s="1348"/>
      <c r="K6340" s="1348"/>
    </row>
    <row r="6341" spans="2:11" hidden="1">
      <c r="B6341" s="1348"/>
      <c r="C6341" s="1348"/>
      <c r="D6341" s="1348"/>
      <c r="E6341" s="1348"/>
      <c r="F6341" s="1348"/>
      <c r="G6341" s="1348"/>
      <c r="H6341" s="1348"/>
      <c r="I6341" s="1348"/>
      <c r="J6341" s="1348"/>
      <c r="K6341" s="1348"/>
    </row>
    <row r="6342" spans="2:11" hidden="1">
      <c r="B6342" s="1348"/>
      <c r="C6342" s="1348"/>
      <c r="D6342" s="1348"/>
      <c r="E6342" s="1348"/>
      <c r="F6342" s="1348"/>
      <c r="G6342" s="1348"/>
      <c r="H6342" s="1348"/>
      <c r="I6342" s="1348"/>
      <c r="J6342" s="1348"/>
      <c r="K6342" s="1348"/>
    </row>
    <row r="6343" spans="2:11" hidden="1">
      <c r="B6343" s="1348"/>
      <c r="C6343" s="1348"/>
      <c r="D6343" s="1348"/>
      <c r="E6343" s="1348"/>
      <c r="F6343" s="1348"/>
      <c r="G6343" s="1348"/>
      <c r="H6343" s="1348"/>
      <c r="I6343" s="1348"/>
      <c r="J6343" s="1348"/>
      <c r="K6343" s="1348"/>
    </row>
    <row r="6344" spans="2:11" hidden="1">
      <c r="B6344" s="1348"/>
      <c r="C6344" s="1348"/>
      <c r="D6344" s="1348"/>
      <c r="E6344" s="1348"/>
      <c r="F6344" s="1348"/>
      <c r="G6344" s="1348"/>
      <c r="H6344" s="1348"/>
      <c r="I6344" s="1348"/>
      <c r="J6344" s="1348"/>
      <c r="K6344" s="1348"/>
    </row>
    <row r="6345" spans="2:11" hidden="1">
      <c r="B6345" s="1348"/>
      <c r="C6345" s="1348"/>
      <c r="D6345" s="1348"/>
      <c r="E6345" s="1348"/>
      <c r="F6345" s="1348"/>
      <c r="G6345" s="1348"/>
      <c r="H6345" s="1348"/>
      <c r="I6345" s="1348"/>
      <c r="J6345" s="1348"/>
      <c r="K6345" s="1348"/>
    </row>
    <row r="6346" spans="2:11" hidden="1">
      <c r="B6346" s="1348"/>
      <c r="C6346" s="1348"/>
      <c r="D6346" s="1348"/>
      <c r="E6346" s="1348"/>
      <c r="F6346" s="1348"/>
      <c r="G6346" s="1348"/>
      <c r="H6346" s="1348"/>
      <c r="I6346" s="1348"/>
      <c r="J6346" s="1348"/>
      <c r="K6346" s="1348"/>
    </row>
    <row r="6347" spans="2:11" hidden="1">
      <c r="B6347" s="1348"/>
      <c r="C6347" s="1348"/>
      <c r="D6347" s="1348"/>
      <c r="E6347" s="1348"/>
      <c r="F6347" s="1348"/>
      <c r="G6347" s="1348"/>
      <c r="H6347" s="1348"/>
      <c r="I6347" s="1348"/>
      <c r="J6347" s="1348"/>
      <c r="K6347" s="1348"/>
    </row>
    <row r="6348" spans="2:11" hidden="1">
      <c r="B6348" s="1348"/>
      <c r="C6348" s="1348"/>
      <c r="D6348" s="1348"/>
      <c r="E6348" s="1348"/>
      <c r="F6348" s="1348"/>
      <c r="G6348" s="1348"/>
      <c r="H6348" s="1348"/>
      <c r="I6348" s="1348"/>
      <c r="J6348" s="1348"/>
      <c r="K6348" s="1348"/>
    </row>
    <row r="6349" spans="2:11" hidden="1">
      <c r="B6349" s="1348"/>
      <c r="C6349" s="1348"/>
      <c r="D6349" s="1348"/>
      <c r="E6349" s="1348"/>
      <c r="F6349" s="1348"/>
      <c r="G6349" s="1348"/>
      <c r="H6349" s="1348"/>
      <c r="I6349" s="1348"/>
      <c r="J6349" s="1348"/>
      <c r="K6349" s="1348"/>
    </row>
    <row r="6350" spans="2:11" hidden="1">
      <c r="B6350" s="1348"/>
      <c r="C6350" s="1348"/>
      <c r="D6350" s="1348"/>
      <c r="E6350" s="1348"/>
      <c r="F6350" s="1348"/>
      <c r="G6350" s="1348"/>
      <c r="H6350" s="1348"/>
      <c r="I6350" s="1348"/>
      <c r="J6350" s="1348"/>
      <c r="K6350" s="1348"/>
    </row>
    <row r="6351" spans="2:11" hidden="1">
      <c r="B6351" s="1348"/>
      <c r="C6351" s="1348"/>
      <c r="D6351" s="1348"/>
      <c r="E6351" s="1348"/>
      <c r="F6351" s="1348"/>
      <c r="G6351" s="1348"/>
      <c r="H6351" s="1348"/>
      <c r="I6351" s="1348"/>
      <c r="J6351" s="1348"/>
      <c r="K6351" s="1348"/>
    </row>
    <row r="6352" spans="2:11" hidden="1">
      <c r="B6352" s="1348"/>
      <c r="C6352" s="1348"/>
      <c r="D6352" s="1348"/>
      <c r="E6352" s="1348"/>
      <c r="F6352" s="1348"/>
      <c r="G6352" s="1348"/>
      <c r="H6352" s="1348"/>
      <c r="I6352" s="1348"/>
      <c r="J6352" s="1348"/>
      <c r="K6352" s="1348"/>
    </row>
    <row r="6353" spans="2:11" hidden="1">
      <c r="B6353" s="1348"/>
      <c r="C6353" s="1348"/>
      <c r="D6353" s="1348"/>
      <c r="E6353" s="1348"/>
      <c r="F6353" s="1348"/>
      <c r="G6353" s="1348"/>
      <c r="H6353" s="1348"/>
      <c r="I6353" s="1348"/>
      <c r="J6353" s="1348"/>
      <c r="K6353" s="1348"/>
    </row>
    <row r="6354" spans="2:11" hidden="1">
      <c r="B6354" s="1348"/>
      <c r="C6354" s="1348"/>
      <c r="D6354" s="1348"/>
      <c r="E6354" s="1348"/>
      <c r="F6354" s="1348"/>
      <c r="G6354" s="1348"/>
      <c r="H6354" s="1348"/>
      <c r="I6354" s="1348"/>
      <c r="J6354" s="1348"/>
      <c r="K6354" s="1348"/>
    </row>
    <row r="6355" spans="2:11" hidden="1">
      <c r="B6355" s="1348"/>
      <c r="C6355" s="1348"/>
      <c r="D6355" s="1348"/>
      <c r="E6355" s="1348"/>
      <c r="F6355" s="1348"/>
      <c r="G6355" s="1348"/>
      <c r="H6355" s="1348"/>
      <c r="I6355" s="1348"/>
      <c r="J6355" s="1348"/>
      <c r="K6355" s="1348"/>
    </row>
    <row r="6356" spans="2:11" hidden="1">
      <c r="B6356" s="1348"/>
      <c r="C6356" s="1348"/>
      <c r="D6356" s="1348"/>
      <c r="E6356" s="1348"/>
      <c r="F6356" s="1348"/>
      <c r="G6356" s="1348"/>
      <c r="H6356" s="1348"/>
      <c r="I6356" s="1348"/>
      <c r="J6356" s="1348"/>
      <c r="K6356" s="1348"/>
    </row>
    <row r="6357" spans="2:11" hidden="1">
      <c r="B6357" s="1348"/>
      <c r="C6357" s="1348"/>
      <c r="D6357" s="1348"/>
      <c r="E6357" s="1348"/>
      <c r="F6357" s="1348"/>
      <c r="G6357" s="1348"/>
      <c r="H6357" s="1348"/>
      <c r="I6357" s="1348"/>
      <c r="J6357" s="1348"/>
      <c r="K6357" s="1348"/>
    </row>
    <row r="6358" spans="2:11" hidden="1">
      <c r="B6358" s="1348"/>
      <c r="C6358" s="1348"/>
      <c r="D6358" s="1348"/>
      <c r="E6358" s="1348"/>
      <c r="F6358" s="1348"/>
      <c r="G6358" s="1348"/>
      <c r="H6358" s="1348"/>
      <c r="I6358" s="1348"/>
      <c r="J6358" s="1348"/>
      <c r="K6358" s="1348"/>
    </row>
    <row r="6359" spans="2:11" hidden="1">
      <c r="B6359" s="1348"/>
      <c r="C6359" s="1348"/>
      <c r="D6359" s="1348"/>
      <c r="E6359" s="1348"/>
      <c r="F6359" s="1348"/>
      <c r="G6359" s="1348"/>
      <c r="H6359" s="1348"/>
      <c r="I6359" s="1348"/>
      <c r="J6359" s="1348"/>
      <c r="K6359" s="1348"/>
    </row>
    <row r="6360" spans="2:11" hidden="1">
      <c r="B6360" s="1348"/>
      <c r="C6360" s="1348"/>
      <c r="D6360" s="1348"/>
      <c r="E6360" s="1348"/>
      <c r="F6360" s="1348"/>
      <c r="G6360" s="1348"/>
      <c r="H6360" s="1348"/>
      <c r="I6360" s="1348"/>
      <c r="J6360" s="1348"/>
      <c r="K6360" s="1348"/>
    </row>
    <row r="6361" spans="2:11" hidden="1">
      <c r="B6361" s="1348"/>
      <c r="C6361" s="1348"/>
      <c r="D6361" s="1348"/>
      <c r="E6361" s="1348"/>
      <c r="F6361" s="1348"/>
      <c r="G6361" s="1348"/>
      <c r="H6361" s="1348"/>
      <c r="I6361" s="1348"/>
      <c r="J6361" s="1348"/>
      <c r="K6361" s="1348"/>
    </row>
    <row r="6362" spans="2:11" hidden="1">
      <c r="B6362" s="1348"/>
      <c r="C6362" s="1348"/>
      <c r="D6362" s="1348"/>
      <c r="E6362" s="1348"/>
      <c r="F6362" s="1348"/>
      <c r="G6362" s="1348"/>
      <c r="H6362" s="1348"/>
      <c r="I6362" s="1348"/>
      <c r="J6362" s="1348"/>
      <c r="K6362" s="1348"/>
    </row>
    <row r="6363" spans="2:11" hidden="1">
      <c r="B6363" s="1348"/>
      <c r="C6363" s="1348"/>
      <c r="D6363" s="1348"/>
      <c r="E6363" s="1348"/>
      <c r="F6363" s="1348"/>
      <c r="G6363" s="1348"/>
      <c r="H6363" s="1348"/>
      <c r="I6363" s="1348"/>
      <c r="J6363" s="1348"/>
      <c r="K6363" s="1348"/>
    </row>
    <row r="6364" spans="2:11" hidden="1">
      <c r="B6364" s="1348"/>
      <c r="C6364" s="1348"/>
      <c r="D6364" s="1348"/>
      <c r="E6364" s="1348"/>
      <c r="F6364" s="1348"/>
      <c r="G6364" s="1348"/>
      <c r="H6364" s="1348"/>
      <c r="I6364" s="1348"/>
      <c r="J6364" s="1348"/>
      <c r="K6364" s="1348"/>
    </row>
    <row r="6365" spans="2:11" hidden="1">
      <c r="B6365" s="1348"/>
      <c r="C6365" s="1348"/>
      <c r="D6365" s="1348"/>
      <c r="E6365" s="1348"/>
      <c r="F6365" s="1348"/>
      <c r="G6365" s="1348"/>
      <c r="H6365" s="1348"/>
      <c r="I6365" s="1348"/>
      <c r="J6365" s="1348"/>
      <c r="K6365" s="1348"/>
    </row>
    <row r="6366" spans="2:11" hidden="1">
      <c r="B6366" s="1348"/>
      <c r="C6366" s="1348"/>
      <c r="D6366" s="1348"/>
      <c r="E6366" s="1348"/>
      <c r="F6366" s="1348"/>
      <c r="G6366" s="1348"/>
      <c r="H6366" s="1348"/>
      <c r="I6366" s="1348"/>
      <c r="J6366" s="1348"/>
      <c r="K6366" s="1348"/>
    </row>
    <row r="6367" spans="2:11" hidden="1">
      <c r="B6367" s="1348"/>
      <c r="C6367" s="1348"/>
      <c r="D6367" s="1348"/>
      <c r="E6367" s="1348"/>
      <c r="F6367" s="1348"/>
      <c r="G6367" s="1348"/>
      <c r="H6367" s="1348"/>
      <c r="I6367" s="1348"/>
      <c r="J6367" s="1348"/>
      <c r="K6367" s="1348"/>
    </row>
    <row r="6368" spans="2:11" hidden="1">
      <c r="B6368" s="1348"/>
      <c r="C6368" s="1348"/>
      <c r="D6368" s="1348"/>
      <c r="E6368" s="1348"/>
      <c r="F6368" s="1348"/>
      <c r="G6368" s="1348"/>
      <c r="H6368" s="1348"/>
      <c r="I6368" s="1348"/>
      <c r="J6368" s="1348"/>
      <c r="K6368" s="1348"/>
    </row>
    <row r="6369" spans="2:11" hidden="1">
      <c r="B6369" s="1348"/>
      <c r="C6369" s="1348"/>
      <c r="D6369" s="1348"/>
      <c r="E6369" s="1348"/>
      <c r="F6369" s="1348"/>
      <c r="G6369" s="1348"/>
      <c r="H6369" s="1348"/>
      <c r="I6369" s="1348"/>
      <c r="J6369" s="1348"/>
      <c r="K6369" s="1348"/>
    </row>
    <row r="6370" spans="2:11" hidden="1">
      <c r="B6370" s="1348"/>
      <c r="C6370" s="1348"/>
      <c r="D6370" s="1348"/>
      <c r="E6370" s="1348"/>
      <c r="F6370" s="1348"/>
      <c r="G6370" s="1348"/>
      <c r="H6370" s="1348"/>
      <c r="I6370" s="1348"/>
      <c r="J6370" s="1348"/>
      <c r="K6370" s="1348"/>
    </row>
    <row r="6371" spans="2:11" hidden="1">
      <c r="B6371" s="1348"/>
      <c r="C6371" s="1348"/>
      <c r="D6371" s="1348"/>
      <c r="E6371" s="1348"/>
      <c r="F6371" s="1348"/>
      <c r="G6371" s="1348"/>
      <c r="H6371" s="1348"/>
      <c r="I6371" s="1348"/>
      <c r="J6371" s="1348"/>
      <c r="K6371" s="1348"/>
    </row>
    <row r="6372" spans="2:11" hidden="1">
      <c r="B6372" s="1348"/>
      <c r="C6372" s="1348"/>
      <c r="D6372" s="1348"/>
      <c r="E6372" s="1348"/>
      <c r="F6372" s="1348"/>
      <c r="G6372" s="1348"/>
      <c r="H6372" s="1348"/>
      <c r="I6372" s="1348"/>
      <c r="J6372" s="1348"/>
      <c r="K6372" s="1348"/>
    </row>
    <row r="6373" spans="2:11" hidden="1">
      <c r="B6373" s="1348"/>
      <c r="C6373" s="1348"/>
      <c r="D6373" s="1348"/>
      <c r="E6373" s="1348"/>
      <c r="F6373" s="1348"/>
      <c r="G6373" s="1348"/>
      <c r="H6373" s="1348"/>
      <c r="I6373" s="1348"/>
      <c r="J6373" s="1348"/>
      <c r="K6373" s="1348"/>
    </row>
    <row r="6374" spans="2:11" hidden="1">
      <c r="B6374" s="1348"/>
      <c r="C6374" s="1348"/>
      <c r="D6374" s="1348"/>
      <c r="E6374" s="1348"/>
      <c r="F6374" s="1348"/>
      <c r="G6374" s="1348"/>
      <c r="H6374" s="1348"/>
      <c r="I6374" s="1348"/>
      <c r="J6374" s="1348"/>
      <c r="K6374" s="1348"/>
    </row>
    <row r="6375" spans="2:11" hidden="1">
      <c r="B6375" s="1348"/>
      <c r="C6375" s="1348"/>
      <c r="D6375" s="1348"/>
      <c r="E6375" s="1348"/>
      <c r="F6375" s="1348"/>
      <c r="G6375" s="1348"/>
      <c r="H6375" s="1348"/>
      <c r="I6375" s="1348"/>
      <c r="J6375" s="1348"/>
      <c r="K6375" s="1348"/>
    </row>
    <row r="6376" spans="2:11" hidden="1">
      <c r="B6376" s="1348"/>
      <c r="C6376" s="1348"/>
      <c r="D6376" s="1348"/>
      <c r="E6376" s="1348"/>
      <c r="F6376" s="1348"/>
      <c r="G6376" s="1348"/>
      <c r="H6376" s="1348"/>
      <c r="I6376" s="1348"/>
      <c r="J6376" s="1348"/>
      <c r="K6376" s="1348"/>
    </row>
    <row r="6377" spans="2:11" hidden="1">
      <c r="B6377" s="1348"/>
      <c r="C6377" s="1348"/>
      <c r="D6377" s="1348"/>
      <c r="E6377" s="1348"/>
      <c r="F6377" s="1348"/>
      <c r="G6377" s="1348"/>
      <c r="H6377" s="1348"/>
      <c r="I6377" s="1348"/>
      <c r="J6377" s="1348"/>
      <c r="K6377" s="1348"/>
    </row>
    <row r="6378" spans="2:11" hidden="1">
      <c r="B6378" s="1348"/>
      <c r="C6378" s="1348"/>
      <c r="D6378" s="1348"/>
      <c r="E6378" s="1348"/>
      <c r="F6378" s="1348"/>
      <c r="G6378" s="1348"/>
      <c r="H6378" s="1348"/>
      <c r="I6378" s="1348"/>
      <c r="J6378" s="1348"/>
      <c r="K6378" s="1348"/>
    </row>
    <row r="6379" spans="2:11" hidden="1">
      <c r="B6379" s="1348"/>
      <c r="C6379" s="1348"/>
      <c r="D6379" s="1348"/>
      <c r="E6379" s="1348"/>
      <c r="F6379" s="1348"/>
      <c r="G6379" s="1348"/>
      <c r="H6379" s="1348"/>
      <c r="I6379" s="1348"/>
      <c r="J6379" s="1348"/>
      <c r="K6379" s="1348"/>
    </row>
    <row r="6380" spans="2:11" hidden="1">
      <c r="B6380" s="1348"/>
      <c r="C6380" s="1348"/>
      <c r="D6380" s="1348"/>
      <c r="E6380" s="1348"/>
      <c r="F6380" s="1348"/>
      <c r="G6380" s="1348"/>
      <c r="H6380" s="1348"/>
      <c r="I6380" s="1348"/>
      <c r="J6380" s="1348"/>
      <c r="K6380" s="1348"/>
    </row>
    <row r="6381" spans="2:11" hidden="1">
      <c r="B6381" s="1348"/>
      <c r="C6381" s="1348"/>
      <c r="D6381" s="1348"/>
      <c r="E6381" s="1348"/>
      <c r="F6381" s="1348"/>
      <c r="G6381" s="1348"/>
      <c r="H6381" s="1348"/>
      <c r="I6381" s="1348"/>
      <c r="J6381" s="1348"/>
      <c r="K6381" s="1348"/>
    </row>
    <row r="6382" spans="2:11" hidden="1">
      <c r="B6382" s="1348"/>
      <c r="C6382" s="1348"/>
      <c r="D6382" s="1348"/>
      <c r="E6382" s="1348"/>
      <c r="F6382" s="1348"/>
      <c r="G6382" s="1348"/>
      <c r="H6382" s="1348"/>
      <c r="I6382" s="1348"/>
      <c r="J6382" s="1348"/>
      <c r="K6382" s="1348"/>
    </row>
    <row r="6383" spans="2:11" hidden="1">
      <c r="B6383" s="1348"/>
      <c r="C6383" s="1348"/>
      <c r="D6383" s="1348"/>
      <c r="E6383" s="1348"/>
      <c r="F6383" s="1348"/>
      <c r="G6383" s="1348"/>
      <c r="H6383" s="1348"/>
      <c r="I6383" s="1348"/>
      <c r="J6383" s="1348"/>
      <c r="K6383" s="1348"/>
    </row>
    <row r="6384" spans="2:11" hidden="1">
      <c r="B6384" s="1348"/>
      <c r="C6384" s="1348"/>
      <c r="D6384" s="1348"/>
      <c r="E6384" s="1348"/>
      <c r="F6384" s="1348"/>
      <c r="G6384" s="1348"/>
      <c r="H6384" s="1348"/>
      <c r="I6384" s="1348"/>
      <c r="J6384" s="1348"/>
      <c r="K6384" s="1348"/>
    </row>
    <row r="6385" spans="2:11" hidden="1">
      <c r="B6385" s="1348"/>
      <c r="C6385" s="1348"/>
      <c r="D6385" s="1348"/>
      <c r="E6385" s="1348"/>
      <c r="F6385" s="1348"/>
      <c r="G6385" s="1348"/>
      <c r="H6385" s="1348"/>
      <c r="I6385" s="1348"/>
      <c r="J6385" s="1348"/>
      <c r="K6385" s="1348"/>
    </row>
    <row r="6386" spans="2:11" hidden="1">
      <c r="B6386" s="1348"/>
      <c r="C6386" s="1348"/>
      <c r="D6386" s="1348"/>
      <c r="E6386" s="1348"/>
      <c r="F6386" s="1348"/>
      <c r="G6386" s="1348"/>
      <c r="H6386" s="1348"/>
      <c r="I6386" s="1348"/>
      <c r="J6386" s="1348"/>
      <c r="K6386" s="1348"/>
    </row>
    <row r="6387" spans="2:11" hidden="1">
      <c r="B6387" s="1348"/>
      <c r="C6387" s="1348"/>
      <c r="D6387" s="1348"/>
      <c r="E6387" s="1348"/>
      <c r="F6387" s="1348"/>
      <c r="G6387" s="1348"/>
      <c r="H6387" s="1348"/>
      <c r="I6387" s="1348"/>
      <c r="J6387" s="1348"/>
      <c r="K6387" s="1348"/>
    </row>
    <row r="6388" spans="2:11" hidden="1">
      <c r="B6388" s="1348"/>
      <c r="C6388" s="1348"/>
      <c r="D6388" s="1348"/>
      <c r="E6388" s="1348"/>
      <c r="F6388" s="1348"/>
      <c r="G6388" s="1348"/>
      <c r="H6388" s="1348"/>
      <c r="I6388" s="1348"/>
      <c r="J6388" s="1348"/>
      <c r="K6388" s="1348"/>
    </row>
    <row r="6389" spans="2:11" hidden="1">
      <c r="B6389" s="1348"/>
      <c r="C6389" s="1348"/>
      <c r="D6389" s="1348"/>
      <c r="E6389" s="1348"/>
      <c r="F6389" s="1348"/>
      <c r="G6389" s="1348"/>
      <c r="H6389" s="1348"/>
      <c r="I6389" s="1348"/>
      <c r="J6389" s="1348"/>
      <c r="K6389" s="1348"/>
    </row>
    <row r="6390" spans="2:11" hidden="1">
      <c r="B6390" s="1348"/>
      <c r="C6390" s="1348"/>
      <c r="D6390" s="1348"/>
      <c r="E6390" s="1348"/>
      <c r="F6390" s="1348"/>
      <c r="G6390" s="1348"/>
      <c r="H6390" s="1348"/>
      <c r="I6390" s="1348"/>
      <c r="J6390" s="1348"/>
      <c r="K6390" s="1348"/>
    </row>
    <row r="6391" spans="2:11" hidden="1">
      <c r="B6391" s="1348"/>
      <c r="C6391" s="1348"/>
      <c r="D6391" s="1348"/>
      <c r="E6391" s="1348"/>
      <c r="F6391" s="1348"/>
      <c r="G6391" s="1348"/>
      <c r="H6391" s="1348"/>
      <c r="I6391" s="1348"/>
      <c r="J6391" s="1348"/>
      <c r="K6391" s="1348"/>
    </row>
    <row r="6392" spans="2:11" hidden="1">
      <c r="B6392" s="1348"/>
      <c r="C6392" s="1348"/>
      <c r="D6392" s="1348"/>
      <c r="E6392" s="1348"/>
      <c r="F6392" s="1348"/>
      <c r="G6392" s="1348"/>
      <c r="H6392" s="1348"/>
      <c r="I6392" s="1348"/>
      <c r="J6392" s="1348"/>
      <c r="K6392" s="1348"/>
    </row>
    <row r="6393" spans="2:11" hidden="1">
      <c r="B6393" s="1348"/>
      <c r="C6393" s="1348"/>
      <c r="D6393" s="1348"/>
      <c r="E6393" s="1348"/>
      <c r="F6393" s="1348"/>
      <c r="G6393" s="1348"/>
      <c r="H6393" s="1348"/>
      <c r="I6393" s="1348"/>
      <c r="J6393" s="1348"/>
      <c r="K6393" s="1348"/>
    </row>
    <row r="6394" spans="2:11" hidden="1">
      <c r="B6394" s="1348"/>
      <c r="C6394" s="1348"/>
      <c r="D6394" s="1348"/>
      <c r="E6394" s="1348"/>
      <c r="F6394" s="1348"/>
      <c r="G6394" s="1348"/>
      <c r="H6394" s="1348"/>
      <c r="I6394" s="1348"/>
      <c r="J6394" s="1348"/>
      <c r="K6394" s="1348"/>
    </row>
    <row r="6395" spans="2:11" hidden="1">
      <c r="B6395" s="1348"/>
      <c r="C6395" s="1348"/>
      <c r="D6395" s="1348"/>
      <c r="E6395" s="1348"/>
      <c r="F6395" s="1348"/>
      <c r="G6395" s="1348"/>
      <c r="H6395" s="1348"/>
      <c r="I6395" s="1348"/>
      <c r="J6395" s="1348"/>
      <c r="K6395" s="1348"/>
    </row>
    <row r="6396" spans="2:11" hidden="1">
      <c r="B6396" s="1348"/>
      <c r="C6396" s="1348"/>
      <c r="D6396" s="1348"/>
      <c r="E6396" s="1348"/>
      <c r="F6396" s="1348"/>
      <c r="G6396" s="1348"/>
      <c r="H6396" s="1348"/>
      <c r="I6396" s="1348"/>
      <c r="J6396" s="1348"/>
      <c r="K6396" s="1348"/>
    </row>
    <row r="6397" spans="2:11" hidden="1">
      <c r="B6397" s="1348"/>
      <c r="C6397" s="1348"/>
      <c r="D6397" s="1348"/>
      <c r="E6397" s="1348"/>
      <c r="F6397" s="1348"/>
      <c r="G6397" s="1348"/>
      <c r="H6397" s="1348"/>
      <c r="I6397" s="1348"/>
      <c r="J6397" s="1348"/>
      <c r="K6397" s="1348"/>
    </row>
    <row r="6398" spans="2:11" hidden="1">
      <c r="B6398" s="1348"/>
      <c r="C6398" s="1348"/>
      <c r="D6398" s="1348"/>
      <c r="E6398" s="1348"/>
      <c r="F6398" s="1348"/>
      <c r="G6398" s="1348"/>
      <c r="H6398" s="1348"/>
      <c r="I6398" s="1348"/>
      <c r="J6398" s="1348"/>
      <c r="K6398" s="1348"/>
    </row>
    <row r="6399" spans="2:11" hidden="1">
      <c r="B6399" s="1348"/>
      <c r="C6399" s="1348"/>
      <c r="D6399" s="1348"/>
      <c r="E6399" s="1348"/>
      <c r="F6399" s="1348"/>
      <c r="G6399" s="1348"/>
      <c r="H6399" s="1348"/>
      <c r="I6399" s="1348"/>
      <c r="J6399" s="1348"/>
      <c r="K6399" s="1348"/>
    </row>
    <row r="6400" spans="2:11" hidden="1">
      <c r="B6400" s="1348"/>
      <c r="C6400" s="1348"/>
      <c r="D6400" s="1348"/>
      <c r="E6400" s="1348"/>
      <c r="F6400" s="1348"/>
      <c r="G6400" s="1348"/>
      <c r="H6400" s="1348"/>
      <c r="I6400" s="1348"/>
      <c r="J6400" s="1348"/>
      <c r="K6400" s="1348"/>
    </row>
    <row r="6401" spans="2:11" hidden="1">
      <c r="B6401" s="1348"/>
      <c r="C6401" s="1348"/>
      <c r="D6401" s="1348"/>
      <c r="E6401" s="1348"/>
      <c r="F6401" s="1348"/>
      <c r="G6401" s="1348"/>
      <c r="H6401" s="1348"/>
      <c r="I6401" s="1348"/>
      <c r="J6401" s="1348"/>
      <c r="K6401" s="1348"/>
    </row>
    <row r="6402" spans="2:11" hidden="1">
      <c r="B6402" s="1348"/>
      <c r="C6402" s="1348"/>
      <c r="D6402" s="1348"/>
      <c r="E6402" s="1348"/>
      <c r="F6402" s="1348"/>
      <c r="G6402" s="1348"/>
      <c r="H6402" s="1348"/>
      <c r="I6402" s="1348"/>
      <c r="J6402" s="1348"/>
      <c r="K6402" s="1348"/>
    </row>
    <row r="6403" spans="2:11" hidden="1">
      <c r="B6403" s="1348"/>
      <c r="C6403" s="1348"/>
      <c r="D6403" s="1348"/>
      <c r="E6403" s="1348"/>
      <c r="F6403" s="1348"/>
      <c r="G6403" s="1348"/>
      <c r="H6403" s="1348"/>
      <c r="I6403" s="1348"/>
      <c r="J6403" s="1348"/>
      <c r="K6403" s="1348"/>
    </row>
    <row r="6404" spans="2:11" hidden="1">
      <c r="B6404" s="1348"/>
      <c r="C6404" s="1348"/>
      <c r="D6404" s="1348"/>
      <c r="E6404" s="1348"/>
      <c r="F6404" s="1348"/>
      <c r="G6404" s="1348"/>
      <c r="H6404" s="1348"/>
      <c r="I6404" s="1348"/>
      <c r="J6404" s="1348"/>
      <c r="K6404" s="1348"/>
    </row>
    <row r="6405" spans="2:11" hidden="1">
      <c r="B6405" s="1348"/>
      <c r="C6405" s="1348"/>
      <c r="D6405" s="1348"/>
      <c r="E6405" s="1348"/>
      <c r="F6405" s="1348"/>
      <c r="G6405" s="1348"/>
      <c r="H6405" s="1348"/>
      <c r="I6405" s="1348"/>
      <c r="J6405" s="1348"/>
      <c r="K6405" s="1348"/>
    </row>
    <row r="6406" spans="2:11" hidden="1">
      <c r="B6406" s="1348"/>
      <c r="C6406" s="1348"/>
      <c r="D6406" s="1348"/>
      <c r="E6406" s="1348"/>
      <c r="F6406" s="1348"/>
      <c r="G6406" s="1348"/>
      <c r="H6406" s="1348"/>
      <c r="I6406" s="1348"/>
      <c r="J6406" s="1348"/>
      <c r="K6406" s="1348"/>
    </row>
    <row r="6407" spans="2:11" hidden="1">
      <c r="B6407" s="1348"/>
      <c r="C6407" s="1348"/>
      <c r="D6407" s="1348"/>
      <c r="E6407" s="1348"/>
      <c r="F6407" s="1348"/>
      <c r="G6407" s="1348"/>
      <c r="H6407" s="1348"/>
      <c r="I6407" s="1348"/>
      <c r="J6407" s="1348"/>
      <c r="K6407" s="1348"/>
    </row>
    <row r="6408" spans="2:11" hidden="1">
      <c r="B6408" s="1348"/>
      <c r="C6408" s="1348"/>
      <c r="D6408" s="1348"/>
      <c r="E6408" s="1348"/>
      <c r="F6408" s="1348"/>
      <c r="G6408" s="1348"/>
      <c r="H6408" s="1348"/>
      <c r="I6408" s="1348"/>
      <c r="J6408" s="1348"/>
      <c r="K6408" s="1348"/>
    </row>
    <row r="6409" spans="2:11" hidden="1">
      <c r="B6409" s="1348"/>
      <c r="C6409" s="1348"/>
      <c r="D6409" s="1348"/>
      <c r="E6409" s="1348"/>
      <c r="F6409" s="1348"/>
      <c r="G6409" s="1348"/>
      <c r="H6409" s="1348"/>
      <c r="I6409" s="1348"/>
      <c r="J6409" s="1348"/>
      <c r="K6409" s="1348"/>
    </row>
    <row r="6410" spans="2:11" hidden="1">
      <c r="B6410" s="1348"/>
      <c r="C6410" s="1348"/>
      <c r="D6410" s="1348"/>
      <c r="E6410" s="1348"/>
      <c r="F6410" s="1348"/>
      <c r="G6410" s="1348"/>
      <c r="H6410" s="1348"/>
      <c r="I6410" s="1348"/>
      <c r="J6410" s="1348"/>
      <c r="K6410" s="1348"/>
    </row>
    <row r="6411" spans="2:11" hidden="1">
      <c r="B6411" s="1348"/>
      <c r="C6411" s="1348"/>
      <c r="D6411" s="1348"/>
      <c r="E6411" s="1348"/>
      <c r="F6411" s="1348"/>
      <c r="G6411" s="1348"/>
      <c r="H6411" s="1348"/>
      <c r="I6411" s="1348"/>
      <c r="J6411" s="1348"/>
      <c r="K6411" s="1348"/>
    </row>
    <row r="6412" spans="2:11" hidden="1">
      <c r="B6412" s="1348"/>
      <c r="C6412" s="1348"/>
      <c r="D6412" s="1348"/>
      <c r="E6412" s="1348"/>
      <c r="F6412" s="1348"/>
      <c r="G6412" s="1348"/>
      <c r="H6412" s="1348"/>
      <c r="I6412" s="1348"/>
      <c r="J6412" s="1348"/>
      <c r="K6412" s="1348"/>
    </row>
    <row r="6413" spans="2:11" hidden="1">
      <c r="B6413" s="1348"/>
      <c r="C6413" s="1348"/>
      <c r="D6413" s="1348"/>
      <c r="E6413" s="1348"/>
      <c r="F6413" s="1348"/>
      <c r="G6413" s="1348"/>
      <c r="H6413" s="1348"/>
      <c r="I6413" s="1348"/>
      <c r="J6413" s="1348"/>
      <c r="K6413" s="1348"/>
    </row>
    <row r="6414" spans="2:11" hidden="1">
      <c r="B6414" s="1348"/>
      <c r="C6414" s="1348"/>
      <c r="D6414" s="1348"/>
      <c r="E6414" s="1348"/>
      <c r="F6414" s="1348"/>
      <c r="G6414" s="1348"/>
      <c r="H6414" s="1348"/>
      <c r="I6414" s="1348"/>
      <c r="J6414" s="1348"/>
      <c r="K6414" s="1348"/>
    </row>
    <row r="6415" spans="2:11" hidden="1">
      <c r="B6415" s="1348"/>
      <c r="C6415" s="1348"/>
      <c r="D6415" s="1348"/>
      <c r="E6415" s="1348"/>
      <c r="F6415" s="1348"/>
      <c r="G6415" s="1348"/>
      <c r="H6415" s="1348"/>
      <c r="I6415" s="1348"/>
      <c r="J6415" s="1348"/>
      <c r="K6415" s="1348"/>
    </row>
    <row r="6416" spans="2:11" hidden="1">
      <c r="B6416" s="1348"/>
      <c r="C6416" s="1348"/>
      <c r="D6416" s="1348"/>
      <c r="E6416" s="1348"/>
      <c r="F6416" s="1348"/>
      <c r="G6416" s="1348"/>
      <c r="H6416" s="1348"/>
      <c r="I6416" s="1348"/>
      <c r="J6416" s="1348"/>
      <c r="K6416" s="1348"/>
    </row>
    <row r="6417" spans="2:11" hidden="1">
      <c r="B6417" s="1348"/>
      <c r="C6417" s="1348"/>
      <c r="D6417" s="1348"/>
      <c r="E6417" s="1348"/>
      <c r="F6417" s="1348"/>
      <c r="G6417" s="1348"/>
      <c r="H6417" s="1348"/>
      <c r="I6417" s="1348"/>
      <c r="J6417" s="1348"/>
      <c r="K6417" s="1348"/>
    </row>
    <row r="6418" spans="2:11" hidden="1">
      <c r="B6418" s="1348"/>
      <c r="C6418" s="1348"/>
      <c r="D6418" s="1348"/>
      <c r="E6418" s="1348"/>
      <c r="F6418" s="1348"/>
      <c r="G6418" s="1348"/>
      <c r="H6418" s="1348"/>
      <c r="I6418" s="1348"/>
      <c r="J6418" s="1348"/>
      <c r="K6418" s="1348"/>
    </row>
    <row r="6419" spans="2:11" hidden="1">
      <c r="B6419" s="1348"/>
      <c r="C6419" s="1348"/>
      <c r="D6419" s="1348"/>
      <c r="E6419" s="1348"/>
      <c r="F6419" s="1348"/>
      <c r="G6419" s="1348"/>
      <c r="H6419" s="1348"/>
      <c r="I6419" s="1348"/>
      <c r="J6419" s="1348"/>
      <c r="K6419" s="1348"/>
    </row>
    <row r="6420" spans="2:11" hidden="1">
      <c r="B6420" s="1348"/>
      <c r="C6420" s="1348"/>
      <c r="D6420" s="1348"/>
      <c r="E6420" s="1348"/>
      <c r="F6420" s="1348"/>
      <c r="G6420" s="1348"/>
      <c r="H6420" s="1348"/>
      <c r="I6420" s="1348"/>
      <c r="J6420" s="1348"/>
      <c r="K6420" s="1348"/>
    </row>
    <row r="6421" spans="2:11" hidden="1">
      <c r="B6421" s="1348"/>
      <c r="C6421" s="1348"/>
      <c r="D6421" s="1348"/>
      <c r="E6421" s="1348"/>
      <c r="F6421" s="1348"/>
      <c r="G6421" s="1348"/>
      <c r="H6421" s="1348"/>
      <c r="I6421" s="1348"/>
      <c r="J6421" s="1348"/>
      <c r="K6421" s="1348"/>
    </row>
    <row r="6422" spans="2:11" hidden="1">
      <c r="B6422" s="1348"/>
      <c r="C6422" s="1348"/>
      <c r="D6422" s="1348"/>
      <c r="E6422" s="1348"/>
      <c r="F6422" s="1348"/>
      <c r="G6422" s="1348"/>
      <c r="H6422" s="1348"/>
      <c r="I6422" s="1348"/>
      <c r="J6422" s="1348"/>
      <c r="K6422" s="1348"/>
    </row>
    <row r="6423" spans="2:11" hidden="1">
      <c r="B6423" s="1348"/>
      <c r="C6423" s="1348"/>
      <c r="D6423" s="1348"/>
      <c r="E6423" s="1348"/>
      <c r="F6423" s="1348"/>
      <c r="G6423" s="1348"/>
      <c r="H6423" s="1348"/>
      <c r="I6423" s="1348"/>
      <c r="J6423" s="1348"/>
      <c r="K6423" s="1348"/>
    </row>
    <row r="6424" spans="2:11" hidden="1">
      <c r="B6424" s="1348"/>
      <c r="C6424" s="1348"/>
      <c r="D6424" s="1348"/>
      <c r="E6424" s="1348"/>
      <c r="F6424" s="1348"/>
      <c r="G6424" s="1348"/>
      <c r="H6424" s="1348"/>
      <c r="I6424" s="1348"/>
      <c r="J6424" s="1348"/>
      <c r="K6424" s="1348"/>
    </row>
    <row r="6425" spans="2:11" hidden="1">
      <c r="B6425" s="1348"/>
      <c r="C6425" s="1348"/>
      <c r="D6425" s="1348"/>
      <c r="E6425" s="1348"/>
      <c r="F6425" s="1348"/>
      <c r="G6425" s="1348"/>
      <c r="H6425" s="1348"/>
      <c r="I6425" s="1348"/>
      <c r="J6425" s="1348"/>
      <c r="K6425" s="1348"/>
    </row>
    <row r="6426" spans="2:11" hidden="1">
      <c r="B6426" s="1348"/>
      <c r="C6426" s="1348"/>
      <c r="D6426" s="1348"/>
      <c r="E6426" s="1348"/>
      <c r="F6426" s="1348"/>
      <c r="G6426" s="1348"/>
      <c r="H6426" s="1348"/>
      <c r="I6426" s="1348"/>
      <c r="J6426" s="1348"/>
      <c r="K6426" s="1348"/>
    </row>
    <row r="6427" spans="2:11" hidden="1">
      <c r="B6427" s="1348"/>
      <c r="C6427" s="1348"/>
      <c r="D6427" s="1348"/>
      <c r="E6427" s="1348"/>
      <c r="F6427" s="1348"/>
      <c r="G6427" s="1348"/>
      <c r="H6427" s="1348"/>
      <c r="I6427" s="1348"/>
      <c r="J6427" s="1348"/>
      <c r="K6427" s="1348"/>
    </row>
    <row r="6428" spans="2:11" hidden="1">
      <c r="B6428" s="1348"/>
      <c r="C6428" s="1348"/>
      <c r="D6428" s="1348"/>
      <c r="E6428" s="1348"/>
      <c r="F6428" s="1348"/>
      <c r="G6428" s="1348"/>
      <c r="H6428" s="1348"/>
      <c r="I6428" s="1348"/>
      <c r="J6428" s="1348"/>
      <c r="K6428" s="1348"/>
    </row>
    <row r="6429" spans="2:11" hidden="1">
      <c r="B6429" s="1348"/>
      <c r="C6429" s="1348"/>
      <c r="D6429" s="1348"/>
      <c r="E6429" s="1348"/>
      <c r="F6429" s="1348"/>
      <c r="G6429" s="1348"/>
      <c r="H6429" s="1348"/>
      <c r="I6429" s="1348"/>
      <c r="J6429" s="1348"/>
      <c r="K6429" s="1348"/>
    </row>
    <row r="6430" spans="2:11" hidden="1">
      <c r="B6430" s="1348"/>
      <c r="C6430" s="1348"/>
      <c r="D6430" s="1348"/>
      <c r="E6430" s="1348"/>
      <c r="F6430" s="1348"/>
      <c r="G6430" s="1348"/>
      <c r="H6430" s="1348"/>
      <c r="I6430" s="1348"/>
      <c r="J6430" s="1348"/>
      <c r="K6430" s="1348"/>
    </row>
    <row r="6431" spans="2:11" hidden="1">
      <c r="B6431" s="1348"/>
      <c r="C6431" s="1348"/>
      <c r="D6431" s="1348"/>
      <c r="E6431" s="1348"/>
      <c r="F6431" s="1348"/>
      <c r="G6431" s="1348"/>
      <c r="H6431" s="1348"/>
      <c r="I6431" s="1348"/>
      <c r="J6431" s="1348"/>
      <c r="K6431" s="1348"/>
    </row>
    <row r="6432" spans="2:11" hidden="1">
      <c r="B6432" s="1348"/>
      <c r="C6432" s="1348"/>
      <c r="D6432" s="1348"/>
      <c r="E6432" s="1348"/>
      <c r="F6432" s="1348"/>
      <c r="G6432" s="1348"/>
      <c r="H6432" s="1348"/>
      <c r="I6432" s="1348"/>
      <c r="J6432" s="1348"/>
      <c r="K6432" s="1348"/>
    </row>
    <row r="6433" spans="2:11" hidden="1">
      <c r="B6433" s="1348"/>
      <c r="C6433" s="1348"/>
      <c r="D6433" s="1348"/>
      <c r="E6433" s="1348"/>
      <c r="F6433" s="1348"/>
      <c r="G6433" s="1348"/>
      <c r="H6433" s="1348"/>
      <c r="I6433" s="1348"/>
      <c r="J6433" s="1348"/>
      <c r="K6433" s="1348"/>
    </row>
    <row r="6434" spans="2:11" hidden="1">
      <c r="B6434" s="1348"/>
      <c r="C6434" s="1348"/>
      <c r="D6434" s="1348"/>
      <c r="E6434" s="1348"/>
      <c r="F6434" s="1348"/>
      <c r="G6434" s="1348"/>
      <c r="H6434" s="1348"/>
      <c r="I6434" s="1348"/>
      <c r="J6434" s="1348"/>
      <c r="K6434" s="1348"/>
    </row>
    <row r="6435" spans="2:11" hidden="1">
      <c r="B6435" s="1348"/>
      <c r="C6435" s="1348"/>
      <c r="D6435" s="1348"/>
      <c r="E6435" s="1348"/>
      <c r="F6435" s="1348"/>
      <c r="G6435" s="1348"/>
      <c r="H6435" s="1348"/>
      <c r="I6435" s="1348"/>
      <c r="J6435" s="1348"/>
      <c r="K6435" s="1348"/>
    </row>
    <row r="6436" spans="2:11" hidden="1">
      <c r="B6436" s="1348"/>
      <c r="C6436" s="1348"/>
      <c r="D6436" s="1348"/>
      <c r="E6436" s="1348"/>
      <c r="F6436" s="1348"/>
      <c r="G6436" s="1348"/>
      <c r="H6436" s="1348"/>
      <c r="I6436" s="1348"/>
      <c r="J6436" s="1348"/>
      <c r="K6436" s="1348"/>
    </row>
    <row r="6437" spans="2:11" hidden="1">
      <c r="B6437" s="1348"/>
      <c r="C6437" s="1348"/>
      <c r="D6437" s="1348"/>
      <c r="E6437" s="1348"/>
      <c r="F6437" s="1348"/>
      <c r="G6437" s="1348"/>
      <c r="H6437" s="1348"/>
      <c r="I6437" s="1348"/>
      <c r="J6437" s="1348"/>
      <c r="K6437" s="1348"/>
    </row>
    <row r="6438" spans="2:11" hidden="1">
      <c r="B6438" s="1348"/>
      <c r="C6438" s="1348"/>
      <c r="D6438" s="1348"/>
      <c r="E6438" s="1348"/>
      <c r="F6438" s="1348"/>
      <c r="G6438" s="1348"/>
      <c r="H6438" s="1348"/>
      <c r="I6438" s="1348"/>
      <c r="J6438" s="1348"/>
      <c r="K6438" s="1348"/>
    </row>
    <row r="6439" spans="2:11" hidden="1">
      <c r="B6439" s="1348"/>
      <c r="C6439" s="1348"/>
      <c r="D6439" s="1348"/>
      <c r="E6439" s="1348"/>
      <c r="F6439" s="1348"/>
      <c r="G6439" s="1348"/>
      <c r="H6439" s="1348"/>
      <c r="I6439" s="1348"/>
      <c r="J6439" s="1348"/>
      <c r="K6439" s="1348"/>
    </row>
    <row r="6440" spans="2:11" hidden="1">
      <c r="B6440" s="1348"/>
      <c r="C6440" s="1348"/>
      <c r="D6440" s="1348"/>
      <c r="E6440" s="1348"/>
      <c r="F6440" s="1348"/>
      <c r="G6440" s="1348"/>
      <c r="H6440" s="1348"/>
      <c r="I6440" s="1348"/>
      <c r="J6440" s="1348"/>
      <c r="K6440" s="1348"/>
    </row>
    <row r="6441" spans="2:11" hidden="1">
      <c r="B6441" s="1348"/>
      <c r="C6441" s="1348"/>
      <c r="D6441" s="1348"/>
      <c r="E6441" s="1348"/>
      <c r="F6441" s="1348"/>
      <c r="G6441" s="1348"/>
      <c r="H6441" s="1348"/>
      <c r="I6441" s="1348"/>
      <c r="J6441" s="1348"/>
      <c r="K6441" s="1348"/>
    </row>
    <row r="6442" spans="2:11" hidden="1">
      <c r="B6442" s="1348"/>
      <c r="C6442" s="1348"/>
      <c r="D6442" s="1348"/>
      <c r="E6442" s="1348"/>
      <c r="F6442" s="1348"/>
      <c r="G6442" s="1348"/>
      <c r="H6442" s="1348"/>
      <c r="I6442" s="1348"/>
      <c r="J6442" s="1348"/>
      <c r="K6442" s="1348"/>
    </row>
    <row r="6443" spans="2:11" hidden="1">
      <c r="B6443" s="1348"/>
      <c r="C6443" s="1348"/>
      <c r="D6443" s="1348"/>
      <c r="E6443" s="1348"/>
      <c r="F6443" s="1348"/>
      <c r="G6443" s="1348"/>
      <c r="H6443" s="1348"/>
      <c r="I6443" s="1348"/>
      <c r="J6443" s="1348"/>
      <c r="K6443" s="1348"/>
    </row>
    <row r="6444" spans="2:11" hidden="1">
      <c r="B6444" s="1348"/>
      <c r="C6444" s="1348"/>
      <c r="D6444" s="1348"/>
      <c r="E6444" s="1348"/>
      <c r="F6444" s="1348"/>
      <c r="G6444" s="1348"/>
      <c r="H6444" s="1348"/>
      <c r="I6444" s="1348"/>
      <c r="J6444" s="1348"/>
      <c r="K6444" s="1348"/>
    </row>
    <row r="6445" spans="2:11" hidden="1">
      <c r="B6445" s="1348"/>
      <c r="C6445" s="1348"/>
      <c r="D6445" s="1348"/>
      <c r="E6445" s="1348"/>
      <c r="F6445" s="1348"/>
      <c r="G6445" s="1348"/>
      <c r="H6445" s="1348"/>
      <c r="I6445" s="1348"/>
      <c r="J6445" s="1348"/>
      <c r="K6445" s="1348"/>
    </row>
    <row r="6446" spans="2:11" hidden="1">
      <c r="B6446" s="1348"/>
      <c r="C6446" s="1348"/>
      <c r="D6446" s="1348"/>
      <c r="E6446" s="1348"/>
      <c r="F6446" s="1348"/>
      <c r="G6446" s="1348"/>
      <c r="H6446" s="1348"/>
      <c r="I6446" s="1348"/>
      <c r="J6446" s="1348"/>
      <c r="K6446" s="1348"/>
    </row>
    <row r="6447" spans="2:11" hidden="1">
      <c r="B6447" s="1348"/>
      <c r="C6447" s="1348"/>
      <c r="D6447" s="1348"/>
      <c r="E6447" s="1348"/>
      <c r="F6447" s="1348"/>
      <c r="G6447" s="1348"/>
      <c r="H6447" s="1348"/>
      <c r="I6447" s="1348"/>
      <c r="J6447" s="1348"/>
      <c r="K6447" s="1348"/>
    </row>
    <row r="6448" spans="2:11" hidden="1">
      <c r="B6448" s="1348"/>
      <c r="C6448" s="1348"/>
      <c r="D6448" s="1348"/>
      <c r="E6448" s="1348"/>
      <c r="F6448" s="1348"/>
      <c r="G6448" s="1348"/>
      <c r="H6448" s="1348"/>
      <c r="I6448" s="1348"/>
      <c r="J6448" s="1348"/>
      <c r="K6448" s="1348"/>
    </row>
    <row r="6449" spans="2:11" hidden="1">
      <c r="B6449" s="1348"/>
      <c r="C6449" s="1348"/>
      <c r="D6449" s="1348"/>
      <c r="E6449" s="1348"/>
      <c r="F6449" s="1348"/>
      <c r="G6449" s="1348"/>
      <c r="H6449" s="1348"/>
      <c r="I6449" s="1348"/>
      <c r="J6449" s="1348"/>
      <c r="K6449" s="1348"/>
    </row>
    <row r="6450" spans="2:11" hidden="1">
      <c r="B6450" s="1348"/>
      <c r="C6450" s="1348"/>
      <c r="D6450" s="1348"/>
      <c r="E6450" s="1348"/>
      <c r="F6450" s="1348"/>
      <c r="G6450" s="1348"/>
      <c r="H6450" s="1348"/>
      <c r="I6450" s="1348"/>
      <c r="J6450" s="1348"/>
      <c r="K6450" s="1348"/>
    </row>
    <row r="6451" spans="2:11" hidden="1">
      <c r="B6451" s="1348"/>
      <c r="C6451" s="1348"/>
      <c r="D6451" s="1348"/>
      <c r="E6451" s="1348"/>
      <c r="F6451" s="1348"/>
      <c r="G6451" s="1348"/>
      <c r="H6451" s="1348"/>
      <c r="I6451" s="1348"/>
      <c r="J6451" s="1348"/>
      <c r="K6451" s="1348"/>
    </row>
    <row r="6452" spans="2:11" hidden="1">
      <c r="B6452" s="1348"/>
      <c r="C6452" s="1348"/>
      <c r="D6452" s="1348"/>
      <c r="E6452" s="1348"/>
      <c r="F6452" s="1348"/>
      <c r="G6452" s="1348"/>
      <c r="H6452" s="1348"/>
      <c r="I6452" s="1348"/>
      <c r="J6452" s="1348"/>
      <c r="K6452" s="1348"/>
    </row>
    <row r="6453" spans="2:11" hidden="1">
      <c r="B6453" s="1348"/>
      <c r="C6453" s="1348"/>
      <c r="D6453" s="1348"/>
      <c r="E6453" s="1348"/>
      <c r="F6453" s="1348"/>
      <c r="G6453" s="1348"/>
      <c r="H6453" s="1348"/>
      <c r="I6453" s="1348"/>
      <c r="J6453" s="1348"/>
      <c r="K6453" s="1348"/>
    </row>
    <row r="6454" spans="2:11" hidden="1">
      <c r="B6454" s="1348"/>
      <c r="C6454" s="1348"/>
      <c r="D6454" s="1348"/>
      <c r="E6454" s="1348"/>
      <c r="F6454" s="1348"/>
      <c r="G6454" s="1348"/>
      <c r="H6454" s="1348"/>
      <c r="I6454" s="1348"/>
      <c r="J6454" s="1348"/>
      <c r="K6454" s="1348"/>
    </row>
    <row r="6455" spans="2:11" hidden="1">
      <c r="B6455" s="1348"/>
      <c r="C6455" s="1348"/>
      <c r="D6455" s="1348"/>
      <c r="E6455" s="1348"/>
      <c r="F6455" s="1348"/>
      <c r="G6455" s="1348"/>
      <c r="H6455" s="1348"/>
      <c r="I6455" s="1348"/>
      <c r="J6455" s="1348"/>
      <c r="K6455" s="1348"/>
    </row>
    <row r="6456" spans="2:11" hidden="1">
      <c r="B6456" s="1348"/>
      <c r="C6456" s="1348"/>
      <c r="D6456" s="1348"/>
      <c r="E6456" s="1348"/>
      <c r="F6456" s="1348"/>
      <c r="G6456" s="1348"/>
      <c r="H6456" s="1348"/>
      <c r="I6456" s="1348"/>
      <c r="J6456" s="1348"/>
      <c r="K6456" s="1348"/>
    </row>
    <row r="6457" spans="2:11" hidden="1">
      <c r="B6457" s="1348"/>
      <c r="C6457" s="1348"/>
      <c r="D6457" s="1348"/>
      <c r="E6457" s="1348"/>
      <c r="F6457" s="1348"/>
      <c r="G6457" s="1348"/>
      <c r="H6457" s="1348"/>
      <c r="I6457" s="1348"/>
      <c r="J6457" s="1348"/>
      <c r="K6457" s="1348"/>
    </row>
    <row r="6458" spans="2:11" hidden="1">
      <c r="B6458" s="1348"/>
      <c r="C6458" s="1348"/>
      <c r="D6458" s="1348"/>
      <c r="E6458" s="1348"/>
      <c r="F6458" s="1348"/>
      <c r="G6458" s="1348"/>
      <c r="H6458" s="1348"/>
      <c r="I6458" s="1348"/>
      <c r="J6458" s="1348"/>
      <c r="K6458" s="1348"/>
    </row>
    <row r="6459" spans="2:11" hidden="1">
      <c r="B6459" s="1348"/>
      <c r="C6459" s="1348"/>
      <c r="D6459" s="1348"/>
      <c r="E6459" s="1348"/>
      <c r="F6459" s="1348"/>
      <c r="G6459" s="1348"/>
      <c r="H6459" s="1348"/>
      <c r="I6459" s="1348"/>
      <c r="J6459" s="1348"/>
      <c r="K6459" s="1348"/>
    </row>
    <row r="6460" spans="2:11" hidden="1">
      <c r="B6460" s="1348"/>
      <c r="C6460" s="1348"/>
      <c r="D6460" s="1348"/>
      <c r="E6460" s="1348"/>
      <c r="F6460" s="1348"/>
      <c r="G6460" s="1348"/>
      <c r="H6460" s="1348"/>
      <c r="I6460" s="1348"/>
      <c r="J6460" s="1348"/>
      <c r="K6460" s="1348"/>
    </row>
    <row r="6461" spans="2:11" hidden="1">
      <c r="B6461" s="1348"/>
      <c r="C6461" s="1348"/>
      <c r="D6461" s="1348"/>
      <c r="E6461" s="1348"/>
      <c r="F6461" s="1348"/>
      <c r="G6461" s="1348"/>
      <c r="H6461" s="1348"/>
      <c r="I6461" s="1348"/>
      <c r="J6461" s="1348"/>
      <c r="K6461" s="1348"/>
    </row>
    <row r="6462" spans="2:11" hidden="1">
      <c r="B6462" s="1348"/>
      <c r="C6462" s="1348"/>
      <c r="D6462" s="1348"/>
      <c r="E6462" s="1348"/>
      <c r="F6462" s="1348"/>
      <c r="G6462" s="1348"/>
      <c r="H6462" s="1348"/>
      <c r="I6462" s="1348"/>
      <c r="J6462" s="1348"/>
      <c r="K6462" s="1348"/>
    </row>
    <row r="6463" spans="2:11" hidden="1">
      <c r="B6463" s="1348"/>
      <c r="C6463" s="1348"/>
      <c r="D6463" s="1348"/>
      <c r="E6463" s="1348"/>
      <c r="F6463" s="1348"/>
      <c r="G6463" s="1348"/>
      <c r="H6463" s="1348"/>
      <c r="I6463" s="1348"/>
      <c r="J6463" s="1348"/>
      <c r="K6463" s="1348"/>
    </row>
    <row r="6464" spans="2:11" hidden="1">
      <c r="B6464" s="1348"/>
      <c r="C6464" s="1348"/>
      <c r="D6464" s="1348"/>
      <c r="E6464" s="1348"/>
      <c r="F6464" s="1348"/>
      <c r="G6464" s="1348"/>
      <c r="H6464" s="1348"/>
      <c r="I6464" s="1348"/>
      <c r="J6464" s="1348"/>
      <c r="K6464" s="1348"/>
    </row>
    <row r="6465" spans="2:11" hidden="1">
      <c r="B6465" s="1348"/>
      <c r="C6465" s="1348"/>
      <c r="D6465" s="1348"/>
      <c r="E6465" s="1348"/>
      <c r="F6465" s="1348"/>
      <c r="G6465" s="1348"/>
      <c r="H6465" s="1348"/>
      <c r="I6465" s="1348"/>
      <c r="J6465" s="1348"/>
      <c r="K6465" s="1348"/>
    </row>
    <row r="6466" spans="2:11" hidden="1">
      <c r="B6466" s="1348"/>
      <c r="C6466" s="1348"/>
      <c r="D6466" s="1348"/>
      <c r="E6466" s="1348"/>
      <c r="F6466" s="1348"/>
      <c r="G6466" s="1348"/>
      <c r="H6466" s="1348"/>
      <c r="I6466" s="1348"/>
      <c r="J6466" s="1348"/>
      <c r="K6466" s="1348"/>
    </row>
    <row r="6467" spans="2:11" hidden="1">
      <c r="B6467" s="1348"/>
      <c r="C6467" s="1348"/>
      <c r="D6467" s="1348"/>
      <c r="E6467" s="1348"/>
      <c r="F6467" s="1348"/>
      <c r="G6467" s="1348"/>
      <c r="H6467" s="1348"/>
      <c r="I6467" s="1348"/>
      <c r="J6467" s="1348"/>
      <c r="K6467" s="1348"/>
    </row>
    <row r="6468" spans="2:11" hidden="1">
      <c r="B6468" s="1348"/>
      <c r="C6468" s="1348"/>
      <c r="D6468" s="1348"/>
      <c r="E6468" s="1348"/>
      <c r="F6468" s="1348"/>
      <c r="G6468" s="1348"/>
      <c r="H6468" s="1348"/>
      <c r="I6468" s="1348"/>
      <c r="J6468" s="1348"/>
      <c r="K6468" s="1348"/>
    </row>
    <row r="6469" spans="2:11" hidden="1">
      <c r="B6469" s="1348"/>
      <c r="C6469" s="1348"/>
      <c r="D6469" s="1348"/>
      <c r="E6469" s="1348"/>
      <c r="F6469" s="1348"/>
      <c r="G6469" s="1348"/>
      <c r="H6469" s="1348"/>
      <c r="I6469" s="1348"/>
      <c r="J6469" s="1348"/>
      <c r="K6469" s="1348"/>
    </row>
    <row r="6470" spans="2:11" hidden="1">
      <c r="B6470" s="1348"/>
      <c r="C6470" s="1348"/>
      <c r="D6470" s="1348"/>
      <c r="E6470" s="1348"/>
      <c r="F6470" s="1348"/>
      <c r="G6470" s="1348"/>
      <c r="H6470" s="1348"/>
      <c r="I6470" s="1348"/>
      <c r="J6470" s="1348"/>
      <c r="K6470" s="1348"/>
    </row>
    <row r="6471" spans="2:11" hidden="1">
      <c r="B6471" s="1348"/>
      <c r="C6471" s="1348"/>
      <c r="D6471" s="1348"/>
      <c r="E6471" s="1348"/>
      <c r="F6471" s="1348"/>
      <c r="G6471" s="1348"/>
      <c r="H6471" s="1348"/>
      <c r="I6471" s="1348"/>
      <c r="J6471" s="1348"/>
      <c r="K6471" s="1348"/>
    </row>
    <row r="6472" spans="2:11" hidden="1">
      <c r="B6472" s="1348"/>
      <c r="C6472" s="1348"/>
      <c r="D6472" s="1348"/>
      <c r="E6472" s="1348"/>
      <c r="F6472" s="1348"/>
      <c r="G6472" s="1348"/>
      <c r="H6472" s="1348"/>
      <c r="I6472" s="1348"/>
      <c r="J6472" s="1348"/>
      <c r="K6472" s="1348"/>
    </row>
    <row r="6473" spans="2:11" hidden="1">
      <c r="B6473" s="1348"/>
      <c r="C6473" s="1348"/>
      <c r="D6473" s="1348"/>
      <c r="E6473" s="1348"/>
      <c r="F6473" s="1348"/>
      <c r="G6473" s="1348"/>
      <c r="H6473" s="1348"/>
      <c r="I6473" s="1348"/>
      <c r="J6473" s="1348"/>
      <c r="K6473" s="1348"/>
    </row>
    <row r="6474" spans="2:11" hidden="1">
      <c r="B6474" s="1348"/>
      <c r="C6474" s="1348"/>
      <c r="D6474" s="1348"/>
      <c r="E6474" s="1348"/>
      <c r="F6474" s="1348"/>
      <c r="G6474" s="1348"/>
      <c r="H6474" s="1348"/>
      <c r="I6474" s="1348"/>
      <c r="J6474" s="1348"/>
      <c r="K6474" s="1348"/>
    </row>
    <row r="6475" spans="2:11" hidden="1">
      <c r="B6475" s="1348"/>
      <c r="C6475" s="1348"/>
      <c r="D6475" s="1348"/>
      <c r="E6475" s="1348"/>
      <c r="F6475" s="1348"/>
      <c r="G6475" s="1348"/>
      <c r="H6475" s="1348"/>
      <c r="I6475" s="1348"/>
      <c r="J6475" s="1348"/>
      <c r="K6475" s="1348"/>
    </row>
    <row r="6476" spans="2:11" hidden="1">
      <c r="B6476" s="1348"/>
      <c r="C6476" s="1348"/>
      <c r="D6476" s="1348"/>
      <c r="E6476" s="1348"/>
      <c r="F6476" s="1348"/>
      <c r="G6476" s="1348"/>
      <c r="H6476" s="1348"/>
      <c r="I6476" s="1348"/>
      <c r="J6476" s="1348"/>
      <c r="K6476" s="1348"/>
    </row>
    <row r="6477" spans="2:11" hidden="1">
      <c r="B6477" s="1348"/>
      <c r="C6477" s="1348"/>
      <c r="D6477" s="1348"/>
      <c r="E6477" s="1348"/>
      <c r="F6477" s="1348"/>
      <c r="G6477" s="1348"/>
      <c r="H6477" s="1348"/>
      <c r="I6477" s="1348"/>
      <c r="J6477" s="1348"/>
      <c r="K6477" s="1348"/>
    </row>
    <row r="6478" spans="2:11" hidden="1">
      <c r="B6478" s="1348"/>
      <c r="C6478" s="1348"/>
      <c r="D6478" s="1348"/>
      <c r="E6478" s="1348"/>
      <c r="F6478" s="1348"/>
      <c r="G6478" s="1348"/>
      <c r="H6478" s="1348"/>
      <c r="I6478" s="1348"/>
      <c r="J6478" s="1348"/>
      <c r="K6478" s="1348"/>
    </row>
    <row r="6479" spans="2:11" hidden="1">
      <c r="B6479" s="1348"/>
      <c r="C6479" s="1348"/>
      <c r="D6479" s="1348"/>
      <c r="E6479" s="1348"/>
      <c r="F6479" s="1348"/>
      <c r="G6479" s="1348"/>
      <c r="H6479" s="1348"/>
      <c r="I6479" s="1348"/>
      <c r="J6479" s="1348"/>
      <c r="K6479" s="1348"/>
    </row>
    <row r="6480" spans="2:11" hidden="1">
      <c r="B6480" s="1348"/>
      <c r="C6480" s="1348"/>
      <c r="D6480" s="1348"/>
      <c r="E6480" s="1348"/>
      <c r="F6480" s="1348"/>
      <c r="G6480" s="1348"/>
      <c r="H6480" s="1348"/>
      <c r="I6480" s="1348"/>
      <c r="J6480" s="1348"/>
      <c r="K6480" s="1348"/>
    </row>
    <row r="6481" spans="2:11" hidden="1">
      <c r="B6481" s="1348"/>
      <c r="C6481" s="1348"/>
      <c r="D6481" s="1348"/>
      <c r="E6481" s="1348"/>
      <c r="F6481" s="1348"/>
      <c r="G6481" s="1348"/>
      <c r="H6481" s="1348"/>
      <c r="I6481" s="1348"/>
      <c r="J6481" s="1348"/>
      <c r="K6481" s="1348"/>
    </row>
    <row r="6482" spans="2:11" hidden="1">
      <c r="B6482" s="1348"/>
      <c r="C6482" s="1348"/>
      <c r="D6482" s="1348"/>
      <c r="E6482" s="1348"/>
      <c r="F6482" s="1348"/>
      <c r="G6482" s="1348"/>
      <c r="H6482" s="1348"/>
      <c r="I6482" s="1348"/>
      <c r="J6482" s="1348"/>
      <c r="K6482" s="1348"/>
    </row>
    <row r="6483" spans="2:11" hidden="1">
      <c r="B6483" s="1348"/>
      <c r="C6483" s="1348"/>
      <c r="D6483" s="1348"/>
      <c r="E6483" s="1348"/>
      <c r="F6483" s="1348"/>
      <c r="G6483" s="1348"/>
      <c r="H6483" s="1348"/>
      <c r="I6483" s="1348"/>
      <c r="J6483" s="1348"/>
      <c r="K6483" s="1348"/>
    </row>
    <row r="6484" spans="2:11" hidden="1">
      <c r="B6484" s="1348"/>
      <c r="C6484" s="1348"/>
      <c r="D6484" s="1348"/>
      <c r="E6484" s="1348"/>
      <c r="F6484" s="1348"/>
      <c r="G6484" s="1348"/>
      <c r="H6484" s="1348"/>
      <c r="I6484" s="1348"/>
      <c r="J6484" s="1348"/>
      <c r="K6484" s="1348"/>
    </row>
    <row r="6485" spans="2:11" hidden="1">
      <c r="B6485" s="1348"/>
      <c r="C6485" s="1348"/>
      <c r="D6485" s="1348"/>
      <c r="E6485" s="1348"/>
      <c r="F6485" s="1348"/>
      <c r="G6485" s="1348"/>
      <c r="H6485" s="1348"/>
      <c r="I6485" s="1348"/>
      <c r="J6485" s="1348"/>
      <c r="K6485" s="1348"/>
    </row>
    <row r="6486" spans="2:11" hidden="1">
      <c r="B6486" s="1348"/>
      <c r="C6486" s="1348"/>
      <c r="D6486" s="1348"/>
      <c r="E6486" s="1348"/>
      <c r="F6486" s="1348"/>
      <c r="G6486" s="1348"/>
      <c r="H6486" s="1348"/>
      <c r="I6486" s="1348"/>
      <c r="J6486" s="1348"/>
      <c r="K6486" s="1348"/>
    </row>
    <row r="6487" spans="2:11" hidden="1">
      <c r="B6487" s="1348"/>
      <c r="C6487" s="1348"/>
      <c r="D6487" s="1348"/>
      <c r="E6487" s="1348"/>
      <c r="F6487" s="1348"/>
      <c r="G6487" s="1348"/>
      <c r="H6487" s="1348"/>
      <c r="I6487" s="1348"/>
      <c r="J6487" s="1348"/>
      <c r="K6487" s="1348"/>
    </row>
    <row r="6488" spans="2:11" hidden="1">
      <c r="B6488" s="1348"/>
      <c r="C6488" s="1348"/>
      <c r="D6488" s="1348"/>
      <c r="E6488" s="1348"/>
      <c r="F6488" s="1348"/>
      <c r="G6488" s="1348"/>
      <c r="H6488" s="1348"/>
      <c r="I6488" s="1348"/>
      <c r="J6488" s="1348"/>
      <c r="K6488" s="1348"/>
    </row>
    <row r="6489" spans="2:11" hidden="1">
      <c r="B6489" s="1348"/>
      <c r="C6489" s="1348"/>
      <c r="D6489" s="1348"/>
      <c r="E6489" s="1348"/>
      <c r="F6489" s="1348"/>
      <c r="G6489" s="1348"/>
      <c r="H6489" s="1348"/>
      <c r="I6489" s="1348"/>
      <c r="J6489" s="1348"/>
      <c r="K6489" s="1348"/>
    </row>
    <row r="6490" spans="2:11" hidden="1">
      <c r="B6490" s="1348"/>
      <c r="C6490" s="1348"/>
      <c r="D6490" s="1348"/>
      <c r="E6490" s="1348"/>
      <c r="F6490" s="1348"/>
      <c r="G6490" s="1348"/>
      <c r="H6490" s="1348"/>
      <c r="I6490" s="1348"/>
      <c r="J6490" s="1348"/>
      <c r="K6490" s="1348"/>
    </row>
    <row r="6491" spans="2:11" hidden="1">
      <c r="B6491" s="1348"/>
      <c r="C6491" s="1348"/>
      <c r="D6491" s="1348"/>
      <c r="E6491" s="1348"/>
      <c r="F6491" s="1348"/>
      <c r="G6491" s="1348"/>
      <c r="H6491" s="1348"/>
      <c r="I6491" s="1348"/>
      <c r="J6491" s="1348"/>
      <c r="K6491" s="1348"/>
    </row>
    <row r="6492" spans="2:11" hidden="1">
      <c r="B6492" s="1348"/>
      <c r="C6492" s="1348"/>
      <c r="D6492" s="1348"/>
      <c r="E6492" s="1348"/>
      <c r="F6492" s="1348"/>
      <c r="G6492" s="1348"/>
      <c r="H6492" s="1348"/>
      <c r="I6492" s="1348"/>
      <c r="J6492" s="1348"/>
      <c r="K6492" s="1348"/>
    </row>
    <row r="6493" spans="2:11" hidden="1">
      <c r="B6493" s="1348"/>
      <c r="C6493" s="1348"/>
      <c r="D6493" s="1348"/>
      <c r="E6493" s="1348"/>
      <c r="F6493" s="1348"/>
      <c r="G6493" s="1348"/>
      <c r="H6493" s="1348"/>
      <c r="I6493" s="1348"/>
      <c r="J6493" s="1348"/>
      <c r="K6493" s="1348"/>
    </row>
    <row r="6494" spans="2:11" hidden="1">
      <c r="B6494" s="1348"/>
      <c r="C6494" s="1348"/>
      <c r="D6494" s="1348"/>
      <c r="E6494" s="1348"/>
      <c r="F6494" s="1348"/>
      <c r="G6494" s="1348"/>
      <c r="H6494" s="1348"/>
      <c r="I6494" s="1348"/>
      <c r="J6494" s="1348"/>
      <c r="K6494" s="1348"/>
    </row>
    <row r="6495" spans="2:11" hidden="1">
      <c r="B6495" s="1348"/>
      <c r="C6495" s="1348"/>
      <c r="D6495" s="1348"/>
      <c r="E6495" s="1348"/>
      <c r="F6495" s="1348"/>
      <c r="G6495" s="1348"/>
      <c r="H6495" s="1348"/>
      <c r="I6495" s="1348"/>
      <c r="J6495" s="1348"/>
      <c r="K6495" s="1348"/>
    </row>
    <row r="6496" spans="2:11" hidden="1">
      <c r="B6496" s="1348"/>
      <c r="C6496" s="1348"/>
      <c r="D6496" s="1348"/>
      <c r="E6496" s="1348"/>
      <c r="F6496" s="1348"/>
      <c r="G6496" s="1348"/>
      <c r="H6496" s="1348"/>
      <c r="I6496" s="1348"/>
      <c r="J6496" s="1348"/>
      <c r="K6496" s="1348"/>
    </row>
    <row r="6497" spans="2:11" hidden="1">
      <c r="B6497" s="1348"/>
      <c r="C6497" s="1348"/>
      <c r="D6497" s="1348"/>
      <c r="E6497" s="1348"/>
      <c r="F6497" s="1348"/>
      <c r="G6497" s="1348"/>
      <c r="H6497" s="1348"/>
      <c r="I6497" s="1348"/>
      <c r="J6497" s="1348"/>
      <c r="K6497" s="1348"/>
    </row>
    <row r="6498" spans="2:11" hidden="1">
      <c r="B6498" s="1348"/>
      <c r="C6498" s="1348"/>
      <c r="D6498" s="1348"/>
      <c r="E6498" s="1348"/>
      <c r="F6498" s="1348"/>
      <c r="G6498" s="1348"/>
      <c r="H6498" s="1348"/>
      <c r="I6498" s="1348"/>
      <c r="J6498" s="1348"/>
      <c r="K6498" s="1348"/>
    </row>
    <row r="6499" spans="2:11" hidden="1">
      <c r="B6499" s="1348"/>
      <c r="C6499" s="1348"/>
      <c r="D6499" s="1348"/>
      <c r="E6499" s="1348"/>
      <c r="F6499" s="1348"/>
      <c r="G6499" s="1348"/>
      <c r="H6499" s="1348"/>
      <c r="I6499" s="1348"/>
      <c r="J6499" s="1348"/>
      <c r="K6499" s="1348"/>
    </row>
    <row r="6500" spans="2:11" hidden="1">
      <c r="B6500" s="1348"/>
      <c r="C6500" s="1348"/>
      <c r="D6500" s="1348"/>
      <c r="E6500" s="1348"/>
      <c r="F6500" s="1348"/>
      <c r="G6500" s="1348"/>
      <c r="H6500" s="1348"/>
      <c r="I6500" s="1348"/>
      <c r="J6500" s="1348"/>
      <c r="K6500" s="1348"/>
    </row>
    <row r="6501" spans="2:11" hidden="1">
      <c r="B6501" s="1348"/>
      <c r="C6501" s="1348"/>
      <c r="D6501" s="1348"/>
      <c r="E6501" s="1348"/>
      <c r="F6501" s="1348"/>
      <c r="G6501" s="1348"/>
      <c r="H6501" s="1348"/>
      <c r="I6501" s="1348"/>
      <c r="J6501" s="1348"/>
      <c r="K6501" s="1348"/>
    </row>
    <row r="6502" spans="2:11" hidden="1">
      <c r="B6502" s="1348"/>
      <c r="C6502" s="1348"/>
      <c r="D6502" s="1348"/>
      <c r="E6502" s="1348"/>
      <c r="F6502" s="1348"/>
      <c r="G6502" s="1348"/>
      <c r="H6502" s="1348"/>
      <c r="I6502" s="1348"/>
      <c r="J6502" s="1348"/>
      <c r="K6502" s="1348"/>
    </row>
    <row r="6503" spans="2:11" hidden="1">
      <c r="B6503" s="1348"/>
      <c r="C6503" s="1348"/>
      <c r="D6503" s="1348"/>
      <c r="E6503" s="1348"/>
      <c r="F6503" s="1348"/>
      <c r="G6503" s="1348"/>
      <c r="H6503" s="1348"/>
      <c r="I6503" s="1348"/>
      <c r="J6503" s="1348"/>
      <c r="K6503" s="1348"/>
    </row>
    <row r="6504" spans="2:11" hidden="1">
      <c r="B6504" s="1348"/>
      <c r="C6504" s="1348"/>
      <c r="D6504" s="1348"/>
      <c r="E6504" s="1348"/>
      <c r="F6504" s="1348"/>
      <c r="G6504" s="1348"/>
      <c r="H6504" s="1348"/>
      <c r="I6504" s="1348"/>
      <c r="J6504" s="1348"/>
      <c r="K6504" s="1348"/>
    </row>
    <row r="6505" spans="2:11" hidden="1">
      <c r="B6505" s="1348"/>
      <c r="C6505" s="1348"/>
      <c r="D6505" s="1348"/>
      <c r="E6505" s="1348"/>
      <c r="F6505" s="1348"/>
      <c r="G6505" s="1348"/>
      <c r="H6505" s="1348"/>
      <c r="I6505" s="1348"/>
      <c r="J6505" s="1348"/>
      <c r="K6505" s="1348"/>
    </row>
    <row r="6506" spans="2:11" hidden="1">
      <c r="B6506" s="1348"/>
      <c r="C6506" s="1348"/>
      <c r="D6506" s="1348"/>
      <c r="E6506" s="1348"/>
      <c r="F6506" s="1348"/>
      <c r="G6506" s="1348"/>
      <c r="H6506" s="1348"/>
      <c r="I6506" s="1348"/>
      <c r="J6506" s="1348"/>
      <c r="K6506" s="1348"/>
    </row>
    <row r="6507" spans="2:11" hidden="1">
      <c r="B6507" s="1348"/>
      <c r="C6507" s="1348"/>
      <c r="D6507" s="1348"/>
      <c r="E6507" s="1348"/>
      <c r="F6507" s="1348"/>
      <c r="G6507" s="1348"/>
      <c r="H6507" s="1348"/>
      <c r="I6507" s="1348"/>
      <c r="J6507" s="1348"/>
      <c r="K6507" s="1348"/>
    </row>
    <row r="6508" spans="2:11" hidden="1">
      <c r="B6508" s="1348"/>
      <c r="C6508" s="1348"/>
      <c r="D6508" s="1348"/>
      <c r="E6508" s="1348"/>
      <c r="F6508" s="1348"/>
      <c r="G6508" s="1348"/>
      <c r="H6508" s="1348"/>
      <c r="I6508" s="1348"/>
      <c r="J6508" s="1348"/>
      <c r="K6508" s="1348"/>
    </row>
    <row r="6509" spans="2:11" hidden="1">
      <c r="B6509" s="1348"/>
      <c r="C6509" s="1348"/>
      <c r="D6509" s="1348"/>
      <c r="E6509" s="1348"/>
      <c r="F6509" s="1348"/>
      <c r="G6509" s="1348"/>
      <c r="H6509" s="1348"/>
      <c r="I6509" s="1348"/>
      <c r="J6509" s="1348"/>
      <c r="K6509" s="1348"/>
    </row>
    <row r="6510" spans="2:11" hidden="1">
      <c r="B6510" s="1348"/>
      <c r="C6510" s="1348"/>
      <c r="D6510" s="1348"/>
      <c r="E6510" s="1348"/>
      <c r="F6510" s="1348"/>
      <c r="G6510" s="1348"/>
      <c r="H6510" s="1348"/>
      <c r="I6510" s="1348"/>
      <c r="J6510" s="1348"/>
      <c r="K6510" s="1348"/>
    </row>
    <row r="6511" spans="2:11" hidden="1">
      <c r="B6511" s="1348"/>
      <c r="C6511" s="1348"/>
      <c r="D6511" s="1348"/>
      <c r="E6511" s="1348"/>
      <c r="F6511" s="1348"/>
      <c r="G6511" s="1348"/>
      <c r="H6511" s="1348"/>
      <c r="I6511" s="1348"/>
      <c r="J6511" s="1348"/>
      <c r="K6511" s="1348"/>
    </row>
    <row r="6512" spans="2:11" hidden="1">
      <c r="B6512" s="1348"/>
      <c r="C6512" s="1348"/>
      <c r="D6512" s="1348"/>
      <c r="E6512" s="1348"/>
      <c r="F6512" s="1348"/>
      <c r="G6512" s="1348"/>
      <c r="H6512" s="1348"/>
      <c r="I6512" s="1348"/>
      <c r="J6512" s="1348"/>
      <c r="K6512" s="1348"/>
    </row>
    <row r="6513" spans="2:11" hidden="1">
      <c r="B6513" s="1348"/>
      <c r="C6513" s="1348"/>
      <c r="D6513" s="1348"/>
      <c r="E6513" s="1348"/>
      <c r="F6513" s="1348"/>
      <c r="G6513" s="1348"/>
      <c r="H6513" s="1348"/>
      <c r="I6513" s="1348"/>
      <c r="J6513" s="1348"/>
      <c r="K6513" s="1348"/>
    </row>
    <row r="6514" spans="2:11" hidden="1">
      <c r="B6514" s="1348"/>
      <c r="C6514" s="1348"/>
      <c r="D6514" s="1348"/>
      <c r="E6514" s="1348"/>
      <c r="F6514" s="1348"/>
      <c r="G6514" s="1348"/>
      <c r="H6514" s="1348"/>
      <c r="I6514" s="1348"/>
      <c r="J6514" s="1348"/>
      <c r="K6514" s="1348"/>
    </row>
    <row r="6515" spans="2:11" hidden="1">
      <c r="B6515" s="1348"/>
      <c r="C6515" s="1348"/>
      <c r="D6515" s="1348"/>
      <c r="E6515" s="1348"/>
      <c r="F6515" s="1348"/>
      <c r="G6515" s="1348"/>
      <c r="H6515" s="1348"/>
      <c r="I6515" s="1348"/>
      <c r="J6515" s="1348"/>
      <c r="K6515" s="1348"/>
    </row>
    <row r="6516" spans="2:11" hidden="1">
      <c r="B6516" s="1348"/>
      <c r="C6516" s="1348"/>
      <c r="D6516" s="1348"/>
      <c r="E6516" s="1348"/>
      <c r="F6516" s="1348"/>
      <c r="G6516" s="1348"/>
      <c r="H6516" s="1348"/>
      <c r="I6516" s="1348"/>
      <c r="J6516" s="1348"/>
      <c r="K6516" s="1348"/>
    </row>
    <row r="6517" spans="2:11" hidden="1">
      <c r="B6517" s="1348"/>
      <c r="C6517" s="1348"/>
      <c r="D6517" s="1348"/>
      <c r="E6517" s="1348"/>
      <c r="F6517" s="1348"/>
      <c r="G6517" s="1348"/>
      <c r="H6517" s="1348"/>
      <c r="I6517" s="1348"/>
      <c r="J6517" s="1348"/>
      <c r="K6517" s="1348"/>
    </row>
    <row r="6518" spans="2:11" hidden="1">
      <c r="B6518" s="1348"/>
      <c r="C6518" s="1348"/>
      <c r="D6518" s="1348"/>
      <c r="E6518" s="1348"/>
      <c r="F6518" s="1348"/>
      <c r="G6518" s="1348"/>
      <c r="H6518" s="1348"/>
      <c r="I6518" s="1348"/>
      <c r="J6518" s="1348"/>
      <c r="K6518" s="1348"/>
    </row>
    <row r="6519" spans="2:11" hidden="1">
      <c r="B6519" s="1348"/>
      <c r="C6519" s="1348"/>
      <c r="D6519" s="1348"/>
      <c r="E6519" s="1348"/>
      <c r="F6519" s="1348"/>
      <c r="G6519" s="1348"/>
      <c r="H6519" s="1348"/>
      <c r="I6519" s="1348"/>
      <c r="J6519" s="1348"/>
      <c r="K6519" s="1348"/>
    </row>
    <row r="6520" spans="2:11" hidden="1">
      <c r="B6520" s="1348"/>
      <c r="C6520" s="1348"/>
      <c r="D6520" s="1348"/>
      <c r="E6520" s="1348"/>
      <c r="F6520" s="1348"/>
      <c r="G6520" s="1348"/>
      <c r="H6520" s="1348"/>
      <c r="I6520" s="1348"/>
      <c r="J6520" s="1348"/>
      <c r="K6520" s="1348"/>
    </row>
    <row r="6521" spans="2:11" hidden="1">
      <c r="B6521" s="1348"/>
      <c r="C6521" s="1348"/>
      <c r="D6521" s="1348"/>
      <c r="E6521" s="1348"/>
      <c r="F6521" s="1348"/>
      <c r="G6521" s="1348"/>
      <c r="H6521" s="1348"/>
      <c r="I6521" s="1348"/>
      <c r="J6521" s="1348"/>
      <c r="K6521" s="1348"/>
    </row>
    <row r="6522" spans="2:11" hidden="1">
      <c r="B6522" s="1348"/>
      <c r="C6522" s="1348"/>
      <c r="D6522" s="1348"/>
      <c r="E6522" s="1348"/>
      <c r="F6522" s="1348"/>
      <c r="G6522" s="1348"/>
      <c r="H6522" s="1348"/>
      <c r="I6522" s="1348"/>
      <c r="J6522" s="1348"/>
      <c r="K6522" s="1348"/>
    </row>
    <row r="6523" spans="2:11" hidden="1">
      <c r="B6523" s="1348"/>
      <c r="C6523" s="1348"/>
      <c r="D6523" s="1348"/>
      <c r="E6523" s="1348"/>
      <c r="F6523" s="1348"/>
      <c r="G6523" s="1348"/>
      <c r="H6523" s="1348"/>
      <c r="I6523" s="1348"/>
      <c r="J6523" s="1348"/>
      <c r="K6523" s="1348"/>
    </row>
    <row r="6524" spans="2:11" hidden="1">
      <c r="B6524" s="1348"/>
      <c r="C6524" s="1348"/>
      <c r="D6524" s="1348"/>
      <c r="E6524" s="1348"/>
      <c r="F6524" s="1348"/>
      <c r="G6524" s="1348"/>
      <c r="H6524" s="1348"/>
      <c r="I6524" s="1348"/>
      <c r="J6524" s="1348"/>
      <c r="K6524" s="1348"/>
    </row>
    <row r="6525" spans="2:11" hidden="1">
      <c r="B6525" s="1348"/>
      <c r="C6525" s="1348"/>
      <c r="D6525" s="1348"/>
      <c r="E6525" s="1348"/>
      <c r="F6525" s="1348"/>
      <c r="G6525" s="1348"/>
      <c r="H6525" s="1348"/>
      <c r="I6525" s="1348"/>
      <c r="J6525" s="1348"/>
      <c r="K6525" s="1348"/>
    </row>
    <row r="6526" spans="2:11" hidden="1">
      <c r="B6526" s="1348"/>
      <c r="C6526" s="1348"/>
      <c r="D6526" s="1348"/>
      <c r="E6526" s="1348"/>
      <c r="F6526" s="1348"/>
      <c r="G6526" s="1348"/>
      <c r="H6526" s="1348"/>
      <c r="I6526" s="1348"/>
      <c r="J6526" s="1348"/>
      <c r="K6526" s="1348"/>
    </row>
    <row r="6527" spans="2:11" hidden="1">
      <c r="B6527" s="1348"/>
      <c r="C6527" s="1348"/>
      <c r="D6527" s="1348"/>
      <c r="E6527" s="1348"/>
      <c r="F6527" s="1348"/>
      <c r="G6527" s="1348"/>
      <c r="H6527" s="1348"/>
      <c r="I6527" s="1348"/>
      <c r="J6527" s="1348"/>
      <c r="K6527" s="1348"/>
    </row>
    <row r="6528" spans="2:11" hidden="1">
      <c r="B6528" s="1348"/>
      <c r="C6528" s="1348"/>
      <c r="D6528" s="1348"/>
      <c r="E6528" s="1348"/>
      <c r="F6528" s="1348"/>
      <c r="G6528" s="1348"/>
      <c r="H6528" s="1348"/>
      <c r="I6528" s="1348"/>
      <c r="J6528" s="1348"/>
      <c r="K6528" s="1348"/>
    </row>
    <row r="6529" spans="2:11" hidden="1">
      <c r="B6529" s="1348"/>
      <c r="C6529" s="1348"/>
      <c r="D6529" s="1348"/>
      <c r="E6529" s="1348"/>
      <c r="F6529" s="1348"/>
      <c r="G6529" s="1348"/>
      <c r="H6529" s="1348"/>
      <c r="I6529" s="1348"/>
      <c r="J6529" s="1348"/>
      <c r="K6529" s="1348"/>
    </row>
    <row r="6530" spans="2:11" hidden="1">
      <c r="B6530" s="1348"/>
      <c r="C6530" s="1348"/>
      <c r="D6530" s="1348"/>
      <c r="E6530" s="1348"/>
      <c r="F6530" s="1348"/>
      <c r="G6530" s="1348"/>
      <c r="H6530" s="1348"/>
      <c r="I6530" s="1348"/>
      <c r="J6530" s="1348"/>
      <c r="K6530" s="1348"/>
    </row>
    <row r="6531" spans="2:11" hidden="1">
      <c r="B6531" s="1348"/>
      <c r="C6531" s="1348"/>
      <c r="D6531" s="1348"/>
      <c r="E6531" s="1348"/>
      <c r="F6531" s="1348"/>
      <c r="G6531" s="1348"/>
      <c r="H6531" s="1348"/>
      <c r="I6531" s="1348"/>
      <c r="J6531" s="1348"/>
      <c r="K6531" s="1348"/>
    </row>
    <row r="6532" spans="2:11" hidden="1">
      <c r="B6532" s="1348"/>
      <c r="C6532" s="1348"/>
      <c r="D6532" s="1348"/>
      <c r="E6532" s="1348"/>
      <c r="F6532" s="1348"/>
      <c r="G6532" s="1348"/>
      <c r="H6532" s="1348"/>
      <c r="I6532" s="1348"/>
      <c r="J6532" s="1348"/>
      <c r="K6532" s="1348"/>
    </row>
    <row r="6533" spans="2:11" hidden="1">
      <c r="B6533" s="1348"/>
      <c r="C6533" s="1348"/>
      <c r="D6533" s="1348"/>
      <c r="E6533" s="1348"/>
      <c r="F6533" s="1348"/>
      <c r="G6533" s="1348"/>
      <c r="H6533" s="1348"/>
      <c r="I6533" s="1348"/>
      <c r="J6533" s="1348"/>
      <c r="K6533" s="1348"/>
    </row>
    <row r="6534" spans="2:11" hidden="1">
      <c r="B6534" s="1348"/>
      <c r="C6534" s="1348"/>
      <c r="D6534" s="1348"/>
      <c r="E6534" s="1348"/>
      <c r="F6534" s="1348"/>
      <c r="G6534" s="1348"/>
      <c r="H6534" s="1348"/>
      <c r="I6534" s="1348"/>
      <c r="J6534" s="1348"/>
      <c r="K6534" s="1348"/>
    </row>
    <row r="6535" spans="2:11" hidden="1">
      <c r="B6535" s="1348"/>
      <c r="C6535" s="1348"/>
      <c r="D6535" s="1348"/>
      <c r="E6535" s="1348"/>
      <c r="F6535" s="1348"/>
      <c r="G6535" s="1348"/>
      <c r="H6535" s="1348"/>
      <c r="I6535" s="1348"/>
      <c r="J6535" s="1348"/>
      <c r="K6535" s="1348"/>
    </row>
    <row r="6536" spans="2:11" hidden="1">
      <c r="B6536" s="1348"/>
      <c r="C6536" s="1348"/>
      <c r="D6536" s="1348"/>
      <c r="E6536" s="1348"/>
      <c r="F6536" s="1348"/>
      <c r="G6536" s="1348"/>
      <c r="H6536" s="1348"/>
      <c r="I6536" s="1348"/>
      <c r="J6536" s="1348"/>
      <c r="K6536" s="1348"/>
    </row>
    <row r="6537" spans="2:11" hidden="1">
      <c r="B6537" s="1348"/>
      <c r="C6537" s="1348"/>
      <c r="D6537" s="1348"/>
      <c r="E6537" s="1348"/>
      <c r="F6537" s="1348"/>
      <c r="G6537" s="1348"/>
      <c r="H6537" s="1348"/>
      <c r="I6537" s="1348"/>
      <c r="J6537" s="1348"/>
      <c r="K6537" s="1348"/>
    </row>
    <row r="6538" spans="2:11" hidden="1">
      <c r="B6538" s="1348"/>
      <c r="C6538" s="1348"/>
      <c r="D6538" s="1348"/>
      <c r="E6538" s="1348"/>
      <c r="F6538" s="1348"/>
      <c r="G6538" s="1348"/>
      <c r="H6538" s="1348"/>
      <c r="I6538" s="1348"/>
      <c r="J6538" s="1348"/>
      <c r="K6538" s="1348"/>
    </row>
    <row r="6539" spans="2:11" hidden="1">
      <c r="B6539" s="1348"/>
      <c r="C6539" s="1348"/>
      <c r="D6539" s="1348"/>
      <c r="E6539" s="1348"/>
      <c r="F6539" s="1348"/>
      <c r="G6539" s="1348"/>
      <c r="H6539" s="1348"/>
      <c r="I6539" s="1348"/>
      <c r="J6539" s="1348"/>
      <c r="K6539" s="1348"/>
    </row>
    <row r="6540" spans="2:11" hidden="1">
      <c r="B6540" s="1348"/>
      <c r="C6540" s="1348"/>
      <c r="D6540" s="1348"/>
      <c r="E6540" s="1348"/>
      <c r="F6540" s="1348"/>
      <c r="G6540" s="1348"/>
      <c r="H6540" s="1348"/>
      <c r="I6540" s="1348"/>
      <c r="J6540" s="1348"/>
      <c r="K6540" s="1348"/>
    </row>
    <row r="6541" spans="2:11" hidden="1">
      <c r="B6541" s="1348"/>
      <c r="C6541" s="1348"/>
      <c r="D6541" s="1348"/>
      <c r="E6541" s="1348"/>
      <c r="F6541" s="1348"/>
      <c r="G6541" s="1348"/>
      <c r="H6541" s="1348"/>
      <c r="I6541" s="1348"/>
      <c r="J6541" s="1348"/>
      <c r="K6541" s="1348"/>
    </row>
    <row r="6542" spans="2:11" hidden="1">
      <c r="B6542" s="1348"/>
      <c r="C6542" s="1348"/>
      <c r="D6542" s="1348"/>
      <c r="E6542" s="1348"/>
      <c r="F6542" s="1348"/>
      <c r="G6542" s="1348"/>
      <c r="H6542" s="1348"/>
      <c r="I6542" s="1348"/>
      <c r="J6542" s="1348"/>
      <c r="K6542" s="1348"/>
    </row>
    <row r="6543" spans="2:11" hidden="1">
      <c r="B6543" s="1348"/>
      <c r="C6543" s="1348"/>
      <c r="D6543" s="1348"/>
      <c r="E6543" s="1348"/>
      <c r="F6543" s="1348"/>
      <c r="G6543" s="1348"/>
      <c r="H6543" s="1348"/>
      <c r="I6543" s="1348"/>
      <c r="J6543" s="1348"/>
      <c r="K6543" s="1348"/>
    </row>
    <row r="6544" spans="2:11" hidden="1">
      <c r="B6544" s="1348"/>
      <c r="C6544" s="1348"/>
      <c r="D6544" s="1348"/>
      <c r="E6544" s="1348"/>
      <c r="F6544" s="1348"/>
      <c r="G6544" s="1348"/>
      <c r="H6544" s="1348"/>
      <c r="I6544" s="1348"/>
      <c r="J6544" s="1348"/>
      <c r="K6544" s="1348"/>
    </row>
    <row r="6545" spans="2:11" hidden="1">
      <c r="B6545" s="1348"/>
      <c r="C6545" s="1348"/>
      <c r="D6545" s="1348"/>
      <c r="E6545" s="1348"/>
      <c r="F6545" s="1348"/>
      <c r="G6545" s="1348"/>
      <c r="H6545" s="1348"/>
      <c r="I6545" s="1348"/>
      <c r="J6545" s="1348"/>
      <c r="K6545" s="1348"/>
    </row>
    <row r="6546" spans="2:11" hidden="1">
      <c r="B6546" s="1348"/>
      <c r="C6546" s="1348"/>
      <c r="D6546" s="1348"/>
      <c r="E6546" s="1348"/>
      <c r="F6546" s="1348"/>
      <c r="G6546" s="1348"/>
      <c r="H6546" s="1348"/>
      <c r="I6546" s="1348"/>
      <c r="J6546" s="1348"/>
      <c r="K6546" s="1348"/>
    </row>
    <row r="6547" spans="2:11" hidden="1">
      <c r="B6547" s="1348"/>
      <c r="C6547" s="1348"/>
      <c r="D6547" s="1348"/>
      <c r="E6547" s="1348"/>
      <c r="F6547" s="1348"/>
      <c r="G6547" s="1348"/>
      <c r="H6547" s="1348"/>
      <c r="I6547" s="1348"/>
      <c r="J6547" s="1348"/>
      <c r="K6547" s="1348"/>
    </row>
    <row r="6548" spans="2:11" hidden="1">
      <c r="B6548" s="1348"/>
      <c r="C6548" s="1348"/>
      <c r="D6548" s="1348"/>
      <c r="E6548" s="1348"/>
      <c r="F6548" s="1348"/>
      <c r="G6548" s="1348"/>
      <c r="H6548" s="1348"/>
      <c r="I6548" s="1348"/>
      <c r="J6548" s="1348"/>
      <c r="K6548" s="1348"/>
    </row>
    <row r="6549" spans="2:11" hidden="1">
      <c r="B6549" s="1348"/>
      <c r="C6549" s="1348"/>
      <c r="D6549" s="1348"/>
      <c r="E6549" s="1348"/>
      <c r="F6549" s="1348"/>
      <c r="G6549" s="1348"/>
      <c r="H6549" s="1348"/>
      <c r="I6549" s="1348"/>
      <c r="J6549" s="1348"/>
      <c r="K6549" s="1348"/>
    </row>
    <row r="6550" spans="2:11" hidden="1">
      <c r="B6550" s="1348"/>
      <c r="C6550" s="1348"/>
      <c r="D6550" s="1348"/>
      <c r="E6550" s="1348"/>
      <c r="F6550" s="1348"/>
      <c r="G6550" s="1348"/>
      <c r="H6550" s="1348"/>
      <c r="I6550" s="1348"/>
      <c r="J6550" s="1348"/>
      <c r="K6550" s="1348"/>
    </row>
    <row r="6551" spans="2:11" hidden="1">
      <c r="B6551" s="1348"/>
      <c r="C6551" s="1348"/>
      <c r="D6551" s="1348"/>
      <c r="E6551" s="1348"/>
      <c r="F6551" s="1348"/>
      <c r="G6551" s="1348"/>
      <c r="H6551" s="1348"/>
      <c r="I6551" s="1348"/>
      <c r="J6551" s="1348"/>
      <c r="K6551" s="1348"/>
    </row>
    <row r="6552" spans="2:11" hidden="1">
      <c r="B6552" s="1348"/>
      <c r="C6552" s="1348"/>
      <c r="D6552" s="1348"/>
      <c r="E6552" s="1348"/>
      <c r="F6552" s="1348"/>
      <c r="G6552" s="1348"/>
      <c r="H6552" s="1348"/>
      <c r="I6552" s="1348"/>
      <c r="J6552" s="1348"/>
      <c r="K6552" s="1348"/>
    </row>
    <row r="6553" spans="2:11" hidden="1">
      <c r="B6553" s="1348"/>
      <c r="C6553" s="1348"/>
      <c r="D6553" s="1348"/>
      <c r="E6553" s="1348"/>
      <c r="F6553" s="1348"/>
      <c r="G6553" s="1348"/>
      <c r="H6553" s="1348"/>
      <c r="I6553" s="1348"/>
      <c r="J6553" s="1348"/>
      <c r="K6553" s="1348"/>
    </row>
    <row r="6554" spans="2:11" hidden="1">
      <c r="B6554" s="1348"/>
      <c r="C6554" s="1348"/>
      <c r="D6554" s="1348"/>
      <c r="E6554" s="1348"/>
      <c r="F6554" s="1348"/>
      <c r="G6554" s="1348"/>
      <c r="H6554" s="1348"/>
      <c r="I6554" s="1348"/>
      <c r="J6554" s="1348"/>
      <c r="K6554" s="1348"/>
    </row>
    <row r="6555" spans="2:11" hidden="1">
      <c r="B6555" s="1348"/>
      <c r="C6555" s="1348"/>
      <c r="D6555" s="1348"/>
      <c r="E6555" s="1348"/>
      <c r="F6555" s="1348"/>
      <c r="G6555" s="1348"/>
      <c r="H6555" s="1348"/>
      <c r="I6555" s="1348"/>
      <c r="J6555" s="1348"/>
      <c r="K6555" s="1348"/>
    </row>
    <row r="6556" spans="2:11" hidden="1">
      <c r="B6556" s="1348"/>
      <c r="C6556" s="1348"/>
      <c r="D6556" s="1348"/>
      <c r="E6556" s="1348"/>
      <c r="F6556" s="1348"/>
      <c r="G6556" s="1348"/>
      <c r="H6556" s="1348"/>
      <c r="I6556" s="1348"/>
      <c r="J6556" s="1348"/>
      <c r="K6556" s="1348"/>
    </row>
    <row r="6557" spans="2:11" hidden="1">
      <c r="B6557" s="1348"/>
      <c r="C6557" s="1348"/>
      <c r="D6557" s="1348"/>
      <c r="E6557" s="1348"/>
      <c r="F6557" s="1348"/>
      <c r="G6557" s="1348"/>
      <c r="H6557" s="1348"/>
      <c r="I6557" s="1348"/>
      <c r="J6557" s="1348"/>
      <c r="K6557" s="1348"/>
    </row>
    <row r="6558" spans="2:11" hidden="1">
      <c r="B6558" s="1348"/>
      <c r="C6558" s="1348"/>
      <c r="D6558" s="1348"/>
      <c r="E6558" s="1348"/>
      <c r="F6558" s="1348"/>
      <c r="G6558" s="1348"/>
      <c r="H6558" s="1348"/>
      <c r="I6558" s="1348"/>
      <c r="J6558" s="1348"/>
      <c r="K6558" s="1348"/>
    </row>
    <row r="6559" spans="2:11" hidden="1">
      <c r="B6559" s="1348"/>
      <c r="C6559" s="1348"/>
      <c r="D6559" s="1348"/>
      <c r="E6559" s="1348"/>
      <c r="F6559" s="1348"/>
      <c r="G6559" s="1348"/>
      <c r="H6559" s="1348"/>
      <c r="I6559" s="1348"/>
      <c r="J6559" s="1348"/>
      <c r="K6559" s="1348"/>
    </row>
    <row r="6560" spans="2:11" hidden="1">
      <c r="B6560" s="1348"/>
      <c r="C6560" s="1348"/>
      <c r="D6560" s="1348"/>
      <c r="E6560" s="1348"/>
      <c r="F6560" s="1348"/>
      <c r="G6560" s="1348"/>
      <c r="H6560" s="1348"/>
      <c r="I6560" s="1348"/>
      <c r="J6560" s="1348"/>
      <c r="K6560" s="1348"/>
    </row>
    <row r="6561" spans="2:11" hidden="1">
      <c r="B6561" s="1348"/>
      <c r="C6561" s="1348"/>
      <c r="D6561" s="1348"/>
      <c r="E6561" s="1348"/>
      <c r="F6561" s="1348"/>
      <c r="G6561" s="1348"/>
      <c r="H6561" s="1348"/>
      <c r="I6561" s="1348"/>
      <c r="J6561" s="1348"/>
      <c r="K6561" s="1348"/>
    </row>
    <row r="6562" spans="2:11" hidden="1">
      <c r="B6562" s="1348"/>
      <c r="C6562" s="1348"/>
      <c r="D6562" s="1348"/>
      <c r="E6562" s="1348"/>
      <c r="F6562" s="1348"/>
      <c r="G6562" s="1348"/>
      <c r="H6562" s="1348"/>
      <c r="I6562" s="1348"/>
      <c r="J6562" s="1348"/>
      <c r="K6562" s="1348"/>
    </row>
    <row r="6563" spans="2:11" hidden="1">
      <c r="B6563" s="1348"/>
      <c r="C6563" s="1348"/>
      <c r="D6563" s="1348"/>
      <c r="E6563" s="1348"/>
      <c r="F6563" s="1348"/>
      <c r="G6563" s="1348"/>
      <c r="H6563" s="1348"/>
      <c r="I6563" s="1348"/>
      <c r="J6563" s="1348"/>
      <c r="K6563" s="1348"/>
    </row>
    <row r="6564" spans="2:11" hidden="1">
      <c r="B6564" s="1348"/>
      <c r="C6564" s="1348"/>
      <c r="D6564" s="1348"/>
      <c r="E6564" s="1348"/>
      <c r="F6564" s="1348"/>
      <c r="G6564" s="1348"/>
      <c r="H6564" s="1348"/>
      <c r="I6564" s="1348"/>
      <c r="J6564" s="1348"/>
      <c r="K6564" s="1348"/>
    </row>
    <row r="6565" spans="2:11" hidden="1">
      <c r="B6565" s="1348"/>
      <c r="C6565" s="1348"/>
      <c r="D6565" s="1348"/>
      <c r="E6565" s="1348"/>
      <c r="F6565" s="1348"/>
      <c r="G6565" s="1348"/>
      <c r="H6565" s="1348"/>
      <c r="I6565" s="1348"/>
      <c r="J6565" s="1348"/>
      <c r="K6565" s="1348"/>
    </row>
    <row r="6566" spans="2:11" hidden="1">
      <c r="B6566" s="1348"/>
      <c r="C6566" s="1348"/>
      <c r="D6566" s="1348"/>
      <c r="E6566" s="1348"/>
      <c r="F6566" s="1348"/>
      <c r="G6566" s="1348"/>
      <c r="H6566" s="1348"/>
      <c r="I6566" s="1348"/>
      <c r="J6566" s="1348"/>
      <c r="K6566" s="1348"/>
    </row>
    <row r="6567" spans="2:11" hidden="1">
      <c r="B6567" s="1348"/>
      <c r="C6567" s="1348"/>
      <c r="D6567" s="1348"/>
      <c r="E6567" s="1348"/>
      <c r="F6567" s="1348"/>
      <c r="G6567" s="1348"/>
      <c r="H6567" s="1348"/>
      <c r="I6567" s="1348"/>
      <c r="J6567" s="1348"/>
      <c r="K6567" s="1348"/>
    </row>
    <row r="6568" spans="2:11" hidden="1">
      <c r="B6568" s="1348"/>
      <c r="C6568" s="1348"/>
      <c r="D6568" s="1348"/>
      <c r="E6568" s="1348"/>
      <c r="F6568" s="1348"/>
      <c r="G6568" s="1348"/>
      <c r="H6568" s="1348"/>
      <c r="I6568" s="1348"/>
      <c r="J6568" s="1348"/>
      <c r="K6568" s="1348"/>
    </row>
    <row r="6569" spans="2:11" hidden="1">
      <c r="B6569" s="1348"/>
      <c r="C6569" s="1348"/>
      <c r="D6569" s="1348"/>
      <c r="E6569" s="1348"/>
      <c r="F6569" s="1348"/>
      <c r="G6569" s="1348"/>
      <c r="H6569" s="1348"/>
      <c r="I6569" s="1348"/>
      <c r="J6569" s="1348"/>
      <c r="K6569" s="1348"/>
    </row>
    <row r="6570" spans="2:11" hidden="1">
      <c r="B6570" s="1348"/>
      <c r="C6570" s="1348"/>
      <c r="D6570" s="1348"/>
      <c r="E6570" s="1348"/>
      <c r="F6570" s="1348"/>
      <c r="G6570" s="1348"/>
      <c r="H6570" s="1348"/>
      <c r="I6570" s="1348"/>
      <c r="J6570" s="1348"/>
      <c r="K6570" s="1348"/>
    </row>
    <row r="6571" spans="2:11" hidden="1">
      <c r="B6571" s="1348"/>
      <c r="C6571" s="1348"/>
      <c r="D6571" s="1348"/>
      <c r="E6571" s="1348"/>
      <c r="F6571" s="1348"/>
      <c r="G6571" s="1348"/>
      <c r="H6571" s="1348"/>
      <c r="I6571" s="1348"/>
      <c r="J6571" s="1348"/>
      <c r="K6571" s="1348"/>
    </row>
    <row r="6572" spans="2:11" hidden="1">
      <c r="B6572" s="1348"/>
      <c r="C6572" s="1348"/>
      <c r="D6572" s="1348"/>
      <c r="E6572" s="1348"/>
      <c r="F6572" s="1348"/>
      <c r="G6572" s="1348"/>
      <c r="H6572" s="1348"/>
      <c r="I6572" s="1348"/>
      <c r="J6572" s="1348"/>
      <c r="K6572" s="1348"/>
    </row>
    <row r="6573" spans="2:11" hidden="1">
      <c r="B6573" s="1348"/>
      <c r="C6573" s="1348"/>
      <c r="D6573" s="1348"/>
      <c r="E6573" s="1348"/>
      <c r="F6573" s="1348"/>
      <c r="G6573" s="1348"/>
      <c r="H6573" s="1348"/>
      <c r="I6573" s="1348"/>
      <c r="J6573" s="1348"/>
      <c r="K6573" s="1348"/>
    </row>
    <row r="6574" spans="2:11" hidden="1">
      <c r="B6574" s="1348"/>
      <c r="C6574" s="1348"/>
      <c r="D6574" s="1348"/>
      <c r="E6574" s="1348"/>
      <c r="F6574" s="1348"/>
      <c r="G6574" s="1348"/>
      <c r="H6574" s="1348"/>
      <c r="I6574" s="1348"/>
      <c r="J6574" s="1348"/>
      <c r="K6574" s="1348"/>
    </row>
    <row r="6575" spans="2:11" hidden="1">
      <c r="B6575" s="1348"/>
      <c r="C6575" s="1348"/>
      <c r="D6575" s="1348"/>
      <c r="E6575" s="1348"/>
      <c r="F6575" s="1348"/>
      <c r="G6575" s="1348"/>
      <c r="H6575" s="1348"/>
      <c r="I6575" s="1348"/>
      <c r="J6575" s="1348"/>
      <c r="K6575" s="1348"/>
    </row>
    <row r="6576" spans="2:11" hidden="1">
      <c r="B6576" s="1348"/>
      <c r="C6576" s="1348"/>
      <c r="D6576" s="1348"/>
      <c r="E6576" s="1348"/>
      <c r="F6576" s="1348"/>
      <c r="G6576" s="1348"/>
      <c r="H6576" s="1348"/>
      <c r="I6576" s="1348"/>
      <c r="J6576" s="1348"/>
      <c r="K6576" s="1348"/>
    </row>
    <row r="6577" spans="2:11" hidden="1">
      <c r="B6577" s="1348"/>
      <c r="C6577" s="1348"/>
      <c r="D6577" s="1348"/>
      <c r="E6577" s="1348"/>
      <c r="F6577" s="1348"/>
      <c r="G6577" s="1348"/>
      <c r="H6577" s="1348"/>
      <c r="I6577" s="1348"/>
      <c r="J6577" s="1348"/>
      <c r="K6577" s="1348"/>
    </row>
    <row r="6578" spans="2:11" hidden="1">
      <c r="B6578" s="1348"/>
      <c r="C6578" s="1348"/>
      <c r="D6578" s="1348"/>
      <c r="E6578" s="1348"/>
      <c r="F6578" s="1348"/>
      <c r="G6578" s="1348"/>
      <c r="H6578" s="1348"/>
      <c r="I6578" s="1348"/>
      <c r="J6578" s="1348"/>
      <c r="K6578" s="1348"/>
    </row>
    <row r="6579" spans="2:11" hidden="1">
      <c r="B6579" s="1348"/>
      <c r="C6579" s="1348"/>
      <c r="D6579" s="1348"/>
      <c r="E6579" s="1348"/>
      <c r="F6579" s="1348"/>
      <c r="G6579" s="1348"/>
      <c r="H6579" s="1348"/>
      <c r="I6579" s="1348"/>
      <c r="J6579" s="1348"/>
      <c r="K6579" s="1348"/>
    </row>
    <row r="6580" spans="2:11" hidden="1">
      <c r="B6580" s="1348"/>
      <c r="C6580" s="1348"/>
      <c r="D6580" s="1348"/>
      <c r="E6580" s="1348"/>
      <c r="F6580" s="1348"/>
      <c r="G6580" s="1348"/>
      <c r="H6580" s="1348"/>
      <c r="I6580" s="1348"/>
      <c r="J6580" s="1348"/>
      <c r="K6580" s="1348"/>
    </row>
    <row r="6581" spans="2:11" hidden="1">
      <c r="B6581" s="1348"/>
      <c r="C6581" s="1348"/>
      <c r="D6581" s="1348"/>
      <c r="E6581" s="1348"/>
      <c r="F6581" s="1348"/>
      <c r="G6581" s="1348"/>
      <c r="H6581" s="1348"/>
      <c r="I6581" s="1348"/>
      <c r="J6581" s="1348"/>
      <c r="K6581" s="1348"/>
    </row>
    <row r="6582" spans="2:11" hidden="1">
      <c r="B6582" s="1348"/>
      <c r="C6582" s="1348"/>
      <c r="D6582" s="1348"/>
      <c r="E6582" s="1348"/>
      <c r="F6582" s="1348"/>
      <c r="G6582" s="1348"/>
      <c r="H6582" s="1348"/>
      <c r="I6582" s="1348"/>
      <c r="J6582" s="1348"/>
      <c r="K6582" s="1348"/>
    </row>
    <row r="6583" spans="2:11" hidden="1">
      <c r="B6583" s="1348"/>
      <c r="C6583" s="1348"/>
      <c r="D6583" s="1348"/>
      <c r="E6583" s="1348"/>
      <c r="F6583" s="1348"/>
      <c r="G6583" s="1348"/>
      <c r="H6583" s="1348"/>
      <c r="I6583" s="1348"/>
      <c r="J6583" s="1348"/>
      <c r="K6583" s="1348"/>
    </row>
    <row r="6584" spans="2:11" hidden="1">
      <c r="B6584" s="1348"/>
      <c r="C6584" s="1348"/>
      <c r="D6584" s="1348"/>
      <c r="E6584" s="1348"/>
      <c r="F6584" s="1348"/>
      <c r="G6584" s="1348"/>
      <c r="H6584" s="1348"/>
      <c r="I6584" s="1348"/>
      <c r="J6584" s="1348"/>
      <c r="K6584" s="1348"/>
    </row>
    <row r="6585" spans="2:11" hidden="1">
      <c r="B6585" s="1348"/>
      <c r="C6585" s="1348"/>
      <c r="D6585" s="1348"/>
      <c r="E6585" s="1348"/>
      <c r="F6585" s="1348"/>
      <c r="G6585" s="1348"/>
      <c r="H6585" s="1348"/>
      <c r="I6585" s="1348"/>
      <c r="J6585" s="1348"/>
      <c r="K6585" s="1348"/>
    </row>
    <row r="6586" spans="2:11" hidden="1">
      <c r="B6586" s="1348"/>
      <c r="C6586" s="1348"/>
      <c r="D6586" s="1348"/>
      <c r="E6586" s="1348"/>
      <c r="F6586" s="1348"/>
      <c r="G6586" s="1348"/>
      <c r="H6586" s="1348"/>
      <c r="I6586" s="1348"/>
      <c r="J6586" s="1348"/>
      <c r="K6586" s="1348"/>
    </row>
    <row r="6587" spans="2:11" hidden="1">
      <c r="B6587" s="1348"/>
      <c r="C6587" s="1348"/>
      <c r="D6587" s="1348"/>
      <c r="E6587" s="1348"/>
      <c r="F6587" s="1348"/>
      <c r="G6587" s="1348"/>
      <c r="H6587" s="1348"/>
      <c r="I6587" s="1348"/>
      <c r="J6587" s="1348"/>
      <c r="K6587" s="1348"/>
    </row>
    <row r="6588" spans="2:11" hidden="1">
      <c r="B6588" s="1348"/>
      <c r="C6588" s="1348"/>
      <c r="D6588" s="1348"/>
      <c r="E6588" s="1348"/>
      <c r="F6588" s="1348"/>
      <c r="G6588" s="1348"/>
      <c r="H6588" s="1348"/>
      <c r="I6588" s="1348"/>
      <c r="J6588" s="1348"/>
      <c r="K6588" s="1348"/>
    </row>
    <row r="6589" spans="2:11" hidden="1">
      <c r="B6589" s="1348"/>
      <c r="C6589" s="1348"/>
      <c r="D6589" s="1348"/>
      <c r="E6589" s="1348"/>
      <c r="F6589" s="1348"/>
      <c r="G6589" s="1348"/>
      <c r="H6589" s="1348"/>
      <c r="I6589" s="1348"/>
      <c r="J6589" s="1348"/>
      <c r="K6589" s="1348"/>
    </row>
    <row r="6590" spans="2:11" hidden="1">
      <c r="B6590" s="1348"/>
      <c r="C6590" s="1348"/>
      <c r="D6590" s="1348"/>
      <c r="E6590" s="1348"/>
      <c r="F6590" s="1348"/>
      <c r="G6590" s="1348"/>
      <c r="H6590" s="1348"/>
      <c r="I6590" s="1348"/>
      <c r="J6590" s="1348"/>
      <c r="K6590" s="1348"/>
    </row>
    <row r="6591" spans="2:11" hidden="1">
      <c r="B6591" s="1348"/>
      <c r="C6591" s="1348"/>
      <c r="D6591" s="1348"/>
      <c r="E6591" s="1348"/>
      <c r="F6591" s="1348"/>
      <c r="G6591" s="1348"/>
      <c r="H6591" s="1348"/>
      <c r="I6591" s="1348"/>
      <c r="J6591" s="1348"/>
      <c r="K6591" s="1348"/>
    </row>
    <row r="6592" spans="2:11" hidden="1">
      <c r="B6592" s="1348"/>
      <c r="C6592" s="1348"/>
      <c r="D6592" s="1348"/>
      <c r="E6592" s="1348"/>
      <c r="F6592" s="1348"/>
      <c r="G6592" s="1348"/>
      <c r="H6592" s="1348"/>
      <c r="I6592" s="1348"/>
      <c r="J6592" s="1348"/>
      <c r="K6592" s="1348"/>
    </row>
    <row r="6593" spans="2:11" hidden="1">
      <c r="B6593" s="1348"/>
      <c r="C6593" s="1348"/>
      <c r="D6593" s="1348"/>
      <c r="E6593" s="1348"/>
      <c r="F6593" s="1348"/>
      <c r="G6593" s="1348"/>
      <c r="H6593" s="1348"/>
      <c r="I6593" s="1348"/>
      <c r="J6593" s="1348"/>
      <c r="K6593" s="1348"/>
    </row>
    <row r="6594" spans="2:11" hidden="1">
      <c r="B6594" s="1348"/>
      <c r="C6594" s="1348"/>
      <c r="D6594" s="1348"/>
      <c r="E6594" s="1348"/>
      <c r="F6594" s="1348"/>
      <c r="G6594" s="1348"/>
      <c r="H6594" s="1348"/>
      <c r="I6594" s="1348"/>
      <c r="J6594" s="1348"/>
      <c r="K6594" s="1348"/>
    </row>
    <row r="6595" spans="2:11" hidden="1">
      <c r="B6595" s="1348"/>
      <c r="C6595" s="1348"/>
      <c r="D6595" s="1348"/>
      <c r="E6595" s="1348"/>
      <c r="F6595" s="1348"/>
      <c r="G6595" s="1348"/>
      <c r="H6595" s="1348"/>
      <c r="I6595" s="1348"/>
      <c r="J6595" s="1348"/>
      <c r="K6595" s="1348"/>
    </row>
    <row r="6596" spans="2:11" hidden="1">
      <c r="B6596" s="1348"/>
      <c r="C6596" s="1348"/>
      <c r="D6596" s="1348"/>
      <c r="E6596" s="1348"/>
      <c r="F6596" s="1348"/>
      <c r="G6596" s="1348"/>
      <c r="H6596" s="1348"/>
      <c r="I6596" s="1348"/>
      <c r="J6596" s="1348"/>
      <c r="K6596" s="1348"/>
    </row>
    <row r="6597" spans="2:11" hidden="1">
      <c r="B6597" s="1348"/>
      <c r="C6597" s="1348"/>
      <c r="D6597" s="1348"/>
      <c r="E6597" s="1348"/>
      <c r="F6597" s="1348"/>
      <c r="G6597" s="1348"/>
      <c r="H6597" s="1348"/>
      <c r="I6597" s="1348"/>
      <c r="J6597" s="1348"/>
      <c r="K6597" s="1348"/>
    </row>
    <row r="6598" spans="2:11" hidden="1">
      <c r="B6598" s="1348"/>
      <c r="C6598" s="1348"/>
      <c r="D6598" s="1348"/>
      <c r="E6598" s="1348"/>
      <c r="F6598" s="1348"/>
      <c r="G6598" s="1348"/>
      <c r="H6598" s="1348"/>
      <c r="I6598" s="1348"/>
      <c r="J6598" s="1348"/>
      <c r="K6598" s="1348"/>
    </row>
    <row r="6599" spans="2:11" hidden="1">
      <c r="B6599" s="1348"/>
      <c r="C6599" s="1348"/>
      <c r="D6599" s="1348"/>
      <c r="E6599" s="1348"/>
      <c r="F6599" s="1348"/>
      <c r="G6599" s="1348"/>
      <c r="H6599" s="1348"/>
      <c r="I6599" s="1348"/>
      <c r="J6599" s="1348"/>
      <c r="K6599" s="1348"/>
    </row>
    <row r="6600" spans="2:11" hidden="1">
      <c r="B6600" s="1348"/>
      <c r="C6600" s="1348"/>
      <c r="D6600" s="1348"/>
      <c r="E6600" s="1348"/>
      <c r="F6600" s="1348"/>
      <c r="G6600" s="1348"/>
      <c r="H6600" s="1348"/>
      <c r="I6600" s="1348"/>
      <c r="J6600" s="1348"/>
      <c r="K6600" s="1348"/>
    </row>
    <row r="6601" spans="2:11" hidden="1">
      <c r="B6601" s="1348"/>
      <c r="C6601" s="1348"/>
      <c r="D6601" s="1348"/>
      <c r="E6601" s="1348"/>
      <c r="F6601" s="1348"/>
      <c r="G6601" s="1348"/>
      <c r="H6601" s="1348"/>
      <c r="I6601" s="1348"/>
      <c r="J6601" s="1348"/>
      <c r="K6601" s="1348"/>
    </row>
    <row r="6602" spans="2:11" hidden="1">
      <c r="B6602" s="1348"/>
      <c r="C6602" s="1348"/>
      <c r="D6602" s="1348"/>
      <c r="E6602" s="1348"/>
      <c r="F6602" s="1348"/>
      <c r="G6602" s="1348"/>
      <c r="H6602" s="1348"/>
      <c r="I6602" s="1348"/>
      <c r="J6602" s="1348"/>
      <c r="K6602" s="1348"/>
    </row>
    <row r="6603" spans="2:11" hidden="1">
      <c r="B6603" s="1348"/>
      <c r="C6603" s="1348"/>
      <c r="D6603" s="1348"/>
      <c r="E6603" s="1348"/>
      <c r="F6603" s="1348"/>
      <c r="G6603" s="1348"/>
      <c r="H6603" s="1348"/>
      <c r="I6603" s="1348"/>
      <c r="J6603" s="1348"/>
      <c r="K6603" s="1348"/>
    </row>
    <row r="6604" spans="2:11" hidden="1">
      <c r="B6604" s="1348"/>
      <c r="C6604" s="1348"/>
      <c r="D6604" s="1348"/>
      <c r="E6604" s="1348"/>
      <c r="F6604" s="1348"/>
      <c r="G6604" s="1348"/>
      <c r="H6604" s="1348"/>
      <c r="I6604" s="1348"/>
      <c r="J6604" s="1348"/>
      <c r="K6604" s="1348"/>
    </row>
    <row r="6605" spans="2:11" hidden="1">
      <c r="B6605" s="1348"/>
      <c r="C6605" s="1348"/>
      <c r="D6605" s="1348"/>
      <c r="E6605" s="1348"/>
      <c r="F6605" s="1348"/>
      <c r="G6605" s="1348"/>
      <c r="H6605" s="1348"/>
      <c r="I6605" s="1348"/>
      <c r="J6605" s="1348"/>
      <c r="K6605" s="1348"/>
    </row>
    <row r="6606" spans="2:11" hidden="1">
      <c r="B6606" s="1348"/>
      <c r="C6606" s="1348"/>
      <c r="D6606" s="1348"/>
      <c r="E6606" s="1348"/>
      <c r="F6606" s="1348"/>
      <c r="G6606" s="1348"/>
      <c r="H6606" s="1348"/>
      <c r="I6606" s="1348"/>
      <c r="J6606" s="1348"/>
      <c r="K6606" s="1348"/>
    </row>
    <row r="6607" spans="2:11" hidden="1">
      <c r="B6607" s="1348"/>
      <c r="C6607" s="1348"/>
      <c r="D6607" s="1348"/>
      <c r="E6607" s="1348"/>
      <c r="F6607" s="1348"/>
      <c r="G6607" s="1348"/>
      <c r="H6607" s="1348"/>
      <c r="I6607" s="1348"/>
      <c r="J6607" s="1348"/>
      <c r="K6607" s="1348"/>
    </row>
    <row r="6608" spans="2:11" hidden="1">
      <c r="B6608" s="1348"/>
      <c r="C6608" s="1348"/>
      <c r="D6608" s="1348"/>
      <c r="E6608" s="1348"/>
      <c r="F6608" s="1348"/>
      <c r="G6608" s="1348"/>
      <c r="H6608" s="1348"/>
      <c r="I6608" s="1348"/>
      <c r="J6608" s="1348"/>
      <c r="K6608" s="1348"/>
    </row>
    <row r="6609" spans="2:11" hidden="1">
      <c r="B6609" s="1348"/>
      <c r="C6609" s="1348"/>
      <c r="D6609" s="1348"/>
      <c r="E6609" s="1348"/>
      <c r="F6609" s="1348"/>
      <c r="G6609" s="1348"/>
      <c r="H6609" s="1348"/>
      <c r="I6609" s="1348"/>
      <c r="J6609" s="1348"/>
      <c r="K6609" s="1348"/>
    </row>
    <row r="6610" spans="2:11" hidden="1">
      <c r="B6610" s="1348"/>
      <c r="C6610" s="1348"/>
      <c r="D6610" s="1348"/>
      <c r="E6610" s="1348"/>
      <c r="F6610" s="1348"/>
      <c r="G6610" s="1348"/>
      <c r="H6610" s="1348"/>
      <c r="I6610" s="1348"/>
      <c r="J6610" s="1348"/>
      <c r="K6610" s="1348"/>
    </row>
    <row r="6611" spans="2:11" hidden="1">
      <c r="B6611" s="1348"/>
      <c r="C6611" s="1348"/>
      <c r="D6611" s="1348"/>
      <c r="E6611" s="1348"/>
      <c r="F6611" s="1348"/>
      <c r="G6611" s="1348"/>
      <c r="H6611" s="1348"/>
      <c r="I6611" s="1348"/>
      <c r="J6611" s="1348"/>
      <c r="K6611" s="1348"/>
    </row>
    <row r="6612" spans="2:11" hidden="1">
      <c r="B6612" s="1348"/>
      <c r="C6612" s="1348"/>
      <c r="D6612" s="1348"/>
      <c r="E6612" s="1348"/>
      <c r="F6612" s="1348"/>
      <c r="G6612" s="1348"/>
      <c r="H6612" s="1348"/>
      <c r="I6612" s="1348"/>
      <c r="J6612" s="1348"/>
      <c r="K6612" s="1348"/>
    </row>
    <row r="6613" spans="2:11" hidden="1">
      <c r="B6613" s="1348"/>
      <c r="C6613" s="1348"/>
      <c r="D6613" s="1348"/>
      <c r="E6613" s="1348"/>
      <c r="F6613" s="1348"/>
      <c r="G6613" s="1348"/>
      <c r="H6613" s="1348"/>
      <c r="I6613" s="1348"/>
      <c r="J6613" s="1348"/>
      <c r="K6613" s="1348"/>
    </row>
    <row r="6614" spans="2:11" hidden="1">
      <c r="B6614" s="1348"/>
      <c r="C6614" s="1348"/>
      <c r="D6614" s="1348"/>
      <c r="E6614" s="1348"/>
      <c r="F6614" s="1348"/>
      <c r="G6614" s="1348"/>
      <c r="H6614" s="1348"/>
      <c r="I6614" s="1348"/>
      <c r="J6614" s="1348"/>
      <c r="K6614" s="1348"/>
    </row>
    <row r="6615" spans="2:11" hidden="1">
      <c r="B6615" s="1348"/>
      <c r="C6615" s="1348"/>
      <c r="D6615" s="1348"/>
      <c r="E6615" s="1348"/>
      <c r="F6615" s="1348"/>
      <c r="G6615" s="1348"/>
      <c r="H6615" s="1348"/>
      <c r="I6615" s="1348"/>
      <c r="J6615" s="1348"/>
      <c r="K6615" s="1348"/>
    </row>
    <row r="6616" spans="2:11" hidden="1">
      <c r="B6616" s="1348"/>
      <c r="C6616" s="1348"/>
      <c r="D6616" s="1348"/>
      <c r="E6616" s="1348"/>
      <c r="F6616" s="1348"/>
      <c r="G6616" s="1348"/>
      <c r="H6616" s="1348"/>
      <c r="I6616" s="1348"/>
      <c r="J6616" s="1348"/>
      <c r="K6616" s="1348"/>
    </row>
    <row r="6617" spans="2:11" hidden="1">
      <c r="B6617" s="1348"/>
      <c r="C6617" s="1348"/>
      <c r="D6617" s="1348"/>
      <c r="E6617" s="1348"/>
      <c r="F6617" s="1348"/>
      <c r="G6617" s="1348"/>
      <c r="H6617" s="1348"/>
      <c r="I6617" s="1348"/>
      <c r="J6617" s="1348"/>
      <c r="K6617" s="1348"/>
    </row>
    <row r="6618" spans="2:11" hidden="1">
      <c r="B6618" s="1348"/>
      <c r="C6618" s="1348"/>
      <c r="D6618" s="1348"/>
      <c r="E6618" s="1348"/>
      <c r="F6618" s="1348"/>
      <c r="G6618" s="1348"/>
      <c r="H6618" s="1348"/>
      <c r="I6618" s="1348"/>
      <c r="J6618" s="1348"/>
      <c r="K6618" s="1348"/>
    </row>
    <row r="6619" spans="2:11" hidden="1">
      <c r="B6619" s="1348"/>
      <c r="C6619" s="1348"/>
      <c r="D6619" s="1348"/>
      <c r="E6619" s="1348"/>
      <c r="F6619" s="1348"/>
      <c r="G6619" s="1348"/>
      <c r="H6619" s="1348"/>
      <c r="I6619" s="1348"/>
      <c r="J6619" s="1348"/>
      <c r="K6619" s="1348"/>
    </row>
    <row r="6620" spans="2:11" hidden="1">
      <c r="B6620" s="1348"/>
      <c r="C6620" s="1348"/>
      <c r="D6620" s="1348"/>
      <c r="E6620" s="1348"/>
      <c r="F6620" s="1348"/>
      <c r="G6620" s="1348"/>
      <c r="H6620" s="1348"/>
      <c r="I6620" s="1348"/>
      <c r="J6620" s="1348"/>
      <c r="K6620" s="1348"/>
    </row>
    <row r="6621" spans="2:11" hidden="1">
      <c r="B6621" s="1348"/>
      <c r="C6621" s="1348"/>
      <c r="D6621" s="1348"/>
      <c r="E6621" s="1348"/>
      <c r="F6621" s="1348"/>
      <c r="G6621" s="1348"/>
      <c r="H6621" s="1348"/>
      <c r="I6621" s="1348"/>
      <c r="J6621" s="1348"/>
      <c r="K6621" s="1348"/>
    </row>
    <row r="6622" spans="2:11" hidden="1">
      <c r="B6622" s="1348"/>
      <c r="C6622" s="1348"/>
      <c r="D6622" s="1348"/>
      <c r="E6622" s="1348"/>
      <c r="F6622" s="1348"/>
      <c r="G6622" s="1348"/>
      <c r="H6622" s="1348"/>
      <c r="I6622" s="1348"/>
      <c r="J6622" s="1348"/>
      <c r="K6622" s="1348"/>
    </row>
    <row r="6623" spans="2:11" hidden="1">
      <c r="B6623" s="1348"/>
      <c r="C6623" s="1348"/>
      <c r="D6623" s="1348"/>
      <c r="E6623" s="1348"/>
      <c r="F6623" s="1348"/>
      <c r="G6623" s="1348"/>
      <c r="H6623" s="1348"/>
      <c r="I6623" s="1348"/>
      <c r="J6623" s="1348"/>
      <c r="K6623" s="1348"/>
    </row>
    <row r="6624" spans="2:11" hidden="1">
      <c r="B6624" s="1348"/>
      <c r="C6624" s="1348"/>
      <c r="D6624" s="1348"/>
      <c r="E6624" s="1348"/>
      <c r="F6624" s="1348"/>
      <c r="G6624" s="1348"/>
      <c r="H6624" s="1348"/>
      <c r="I6624" s="1348"/>
      <c r="J6624" s="1348"/>
      <c r="K6624" s="1348"/>
    </row>
    <row r="6625" spans="2:11" hidden="1">
      <c r="B6625" s="1348"/>
      <c r="C6625" s="1348"/>
      <c r="D6625" s="1348"/>
      <c r="E6625" s="1348"/>
      <c r="F6625" s="1348"/>
      <c r="G6625" s="1348"/>
      <c r="H6625" s="1348"/>
      <c r="I6625" s="1348"/>
      <c r="J6625" s="1348"/>
      <c r="K6625" s="1348"/>
    </row>
    <row r="6626" spans="2:11" hidden="1">
      <c r="B6626" s="1348"/>
      <c r="C6626" s="1348"/>
      <c r="D6626" s="1348"/>
      <c r="E6626" s="1348"/>
      <c r="F6626" s="1348"/>
      <c r="G6626" s="1348"/>
      <c r="H6626" s="1348"/>
      <c r="I6626" s="1348"/>
      <c r="J6626" s="1348"/>
      <c r="K6626" s="1348"/>
    </row>
    <row r="6627" spans="2:11" hidden="1">
      <c r="B6627" s="1348"/>
      <c r="C6627" s="1348"/>
      <c r="D6627" s="1348"/>
      <c r="E6627" s="1348"/>
      <c r="F6627" s="1348"/>
      <c r="G6627" s="1348"/>
      <c r="H6627" s="1348"/>
      <c r="I6627" s="1348"/>
      <c r="J6627" s="1348"/>
      <c r="K6627" s="1348"/>
    </row>
    <row r="6628" spans="2:11" hidden="1">
      <c r="B6628" s="1348"/>
      <c r="C6628" s="1348"/>
      <c r="D6628" s="1348"/>
      <c r="E6628" s="1348"/>
      <c r="F6628" s="1348"/>
      <c r="G6628" s="1348"/>
      <c r="H6628" s="1348"/>
      <c r="I6628" s="1348"/>
      <c r="J6628" s="1348"/>
      <c r="K6628" s="1348"/>
    </row>
    <row r="6629" spans="2:11" hidden="1">
      <c r="B6629" s="1348"/>
      <c r="C6629" s="1348"/>
      <c r="D6629" s="1348"/>
      <c r="E6629" s="1348"/>
      <c r="F6629" s="1348"/>
      <c r="G6629" s="1348"/>
      <c r="H6629" s="1348"/>
      <c r="I6629" s="1348"/>
      <c r="J6629" s="1348"/>
      <c r="K6629" s="1348"/>
    </row>
    <row r="6630" spans="2:11" hidden="1">
      <c r="B6630" s="1348"/>
      <c r="C6630" s="1348"/>
      <c r="D6630" s="1348"/>
      <c r="E6630" s="1348"/>
      <c r="F6630" s="1348"/>
      <c r="G6630" s="1348"/>
      <c r="H6630" s="1348"/>
      <c r="I6630" s="1348"/>
      <c r="J6630" s="1348"/>
      <c r="K6630" s="1348"/>
    </row>
    <row r="6631" spans="2:11" hidden="1">
      <c r="B6631" s="1348"/>
      <c r="C6631" s="1348"/>
      <c r="D6631" s="1348"/>
      <c r="E6631" s="1348"/>
      <c r="F6631" s="1348"/>
      <c r="G6631" s="1348"/>
      <c r="H6631" s="1348"/>
      <c r="I6631" s="1348"/>
      <c r="J6631" s="1348"/>
      <c r="K6631" s="1348"/>
    </row>
    <row r="6632" spans="2:11" hidden="1">
      <c r="B6632" s="1348"/>
      <c r="C6632" s="1348"/>
      <c r="D6632" s="1348"/>
      <c r="E6632" s="1348"/>
      <c r="F6632" s="1348"/>
      <c r="G6632" s="1348"/>
      <c r="H6632" s="1348"/>
      <c r="I6632" s="1348"/>
      <c r="J6632" s="1348"/>
      <c r="K6632" s="1348"/>
    </row>
    <row r="6633" spans="2:11" hidden="1">
      <c r="B6633" s="1348"/>
      <c r="C6633" s="1348"/>
      <c r="D6633" s="1348"/>
      <c r="E6633" s="1348"/>
      <c r="F6633" s="1348"/>
      <c r="G6633" s="1348"/>
      <c r="H6633" s="1348"/>
      <c r="I6633" s="1348"/>
      <c r="J6633" s="1348"/>
      <c r="K6633" s="1348"/>
    </row>
    <row r="6634" spans="2:11" hidden="1">
      <c r="B6634" s="1348"/>
      <c r="C6634" s="1348"/>
      <c r="D6634" s="1348"/>
      <c r="E6634" s="1348"/>
      <c r="F6634" s="1348"/>
      <c r="G6634" s="1348"/>
      <c r="H6634" s="1348"/>
      <c r="I6634" s="1348"/>
      <c r="J6634" s="1348"/>
      <c r="K6634" s="1348"/>
    </row>
    <row r="6635" spans="2:11" hidden="1">
      <c r="B6635" s="1348"/>
      <c r="C6635" s="1348"/>
      <c r="D6635" s="1348"/>
      <c r="E6635" s="1348"/>
      <c r="F6635" s="1348"/>
      <c r="G6635" s="1348"/>
      <c r="H6635" s="1348"/>
      <c r="I6635" s="1348"/>
      <c r="J6635" s="1348"/>
      <c r="K6635" s="1348"/>
    </row>
    <row r="6636" spans="2:11" hidden="1">
      <c r="B6636" s="1348"/>
      <c r="C6636" s="1348"/>
      <c r="D6636" s="1348"/>
      <c r="E6636" s="1348"/>
      <c r="F6636" s="1348"/>
      <c r="G6636" s="1348"/>
      <c r="H6636" s="1348"/>
      <c r="I6636" s="1348"/>
      <c r="J6636" s="1348"/>
      <c r="K6636" s="1348"/>
    </row>
    <row r="6637" spans="2:11" hidden="1">
      <c r="B6637" s="1348"/>
      <c r="C6637" s="1348"/>
      <c r="D6637" s="1348"/>
      <c r="E6637" s="1348"/>
      <c r="F6637" s="1348"/>
      <c r="G6637" s="1348"/>
      <c r="H6637" s="1348"/>
      <c r="I6637" s="1348"/>
      <c r="J6637" s="1348"/>
      <c r="K6637" s="1348"/>
    </row>
    <row r="6638" spans="2:11" hidden="1">
      <c r="B6638" s="1348"/>
      <c r="C6638" s="1348"/>
      <c r="D6638" s="1348"/>
      <c r="E6638" s="1348"/>
      <c r="F6638" s="1348"/>
      <c r="G6638" s="1348"/>
      <c r="H6638" s="1348"/>
      <c r="I6638" s="1348"/>
      <c r="J6638" s="1348"/>
      <c r="K6638" s="1348"/>
    </row>
    <row r="6639" spans="2:11" hidden="1">
      <c r="B6639" s="1348"/>
      <c r="C6639" s="1348"/>
      <c r="D6639" s="1348"/>
      <c r="E6639" s="1348"/>
      <c r="F6639" s="1348"/>
      <c r="G6639" s="1348"/>
      <c r="H6639" s="1348"/>
      <c r="I6639" s="1348"/>
      <c r="J6639" s="1348"/>
      <c r="K6639" s="1348"/>
    </row>
    <row r="6640" spans="2:11" hidden="1">
      <c r="B6640" s="1348"/>
      <c r="C6640" s="1348"/>
      <c r="D6640" s="1348"/>
      <c r="E6640" s="1348"/>
      <c r="F6640" s="1348"/>
      <c r="G6640" s="1348"/>
      <c r="H6640" s="1348"/>
      <c r="I6640" s="1348"/>
      <c r="J6640" s="1348"/>
      <c r="K6640" s="1348"/>
    </row>
    <row r="6641" spans="2:11" hidden="1">
      <c r="B6641" s="1348"/>
      <c r="C6641" s="1348"/>
      <c r="D6641" s="1348"/>
      <c r="E6641" s="1348"/>
      <c r="F6641" s="1348"/>
      <c r="G6641" s="1348"/>
      <c r="H6641" s="1348"/>
      <c r="I6641" s="1348"/>
      <c r="J6641" s="1348"/>
      <c r="K6641" s="1348"/>
    </row>
    <row r="6642" spans="2:11" hidden="1">
      <c r="B6642" s="1348"/>
      <c r="C6642" s="1348"/>
      <c r="D6642" s="1348"/>
      <c r="E6642" s="1348"/>
      <c r="F6642" s="1348"/>
      <c r="G6642" s="1348"/>
      <c r="H6642" s="1348"/>
      <c r="I6642" s="1348"/>
      <c r="J6642" s="1348"/>
      <c r="K6642" s="1348"/>
    </row>
    <row r="6643" spans="2:11" hidden="1">
      <c r="B6643" s="1348"/>
      <c r="C6643" s="1348"/>
      <c r="D6643" s="1348"/>
      <c r="E6643" s="1348"/>
      <c r="F6643" s="1348"/>
      <c r="G6643" s="1348"/>
      <c r="H6643" s="1348"/>
      <c r="I6643" s="1348"/>
      <c r="J6643" s="1348"/>
      <c r="K6643" s="1348"/>
    </row>
    <row r="6644" spans="2:11" hidden="1">
      <c r="B6644" s="1348"/>
      <c r="C6644" s="1348"/>
      <c r="D6644" s="1348"/>
      <c r="E6644" s="1348"/>
      <c r="F6644" s="1348"/>
      <c r="G6644" s="1348"/>
      <c r="H6644" s="1348"/>
      <c r="I6644" s="1348"/>
      <c r="J6644" s="1348"/>
      <c r="K6644" s="1348"/>
    </row>
    <row r="6645" spans="2:11" hidden="1">
      <c r="B6645" s="1348"/>
      <c r="C6645" s="1348"/>
      <c r="D6645" s="1348"/>
      <c r="E6645" s="1348"/>
      <c r="F6645" s="1348"/>
      <c r="G6645" s="1348"/>
      <c r="H6645" s="1348"/>
      <c r="I6645" s="1348"/>
      <c r="J6645" s="1348"/>
      <c r="K6645" s="1348"/>
    </row>
    <row r="6646" spans="2:11" hidden="1">
      <c r="B6646" s="1348"/>
      <c r="C6646" s="1348"/>
      <c r="D6646" s="1348"/>
      <c r="E6646" s="1348"/>
      <c r="F6646" s="1348"/>
      <c r="G6646" s="1348"/>
      <c r="H6646" s="1348"/>
      <c r="I6646" s="1348"/>
      <c r="J6646" s="1348"/>
      <c r="K6646" s="1348"/>
    </row>
    <row r="6647" spans="2:11" hidden="1">
      <c r="B6647" s="1348"/>
      <c r="C6647" s="1348"/>
      <c r="D6647" s="1348"/>
      <c r="E6647" s="1348"/>
      <c r="F6647" s="1348"/>
      <c r="G6647" s="1348"/>
      <c r="H6647" s="1348"/>
      <c r="I6647" s="1348"/>
      <c r="J6647" s="1348"/>
      <c r="K6647" s="1348"/>
    </row>
    <row r="6648" spans="2:11" hidden="1">
      <c r="B6648" s="1348"/>
      <c r="C6648" s="1348"/>
      <c r="D6648" s="1348"/>
      <c r="E6648" s="1348"/>
      <c r="F6648" s="1348"/>
      <c r="G6648" s="1348"/>
      <c r="H6648" s="1348"/>
      <c r="I6648" s="1348"/>
      <c r="J6648" s="1348"/>
      <c r="K6648" s="1348"/>
    </row>
    <row r="6649" spans="2:11" hidden="1">
      <c r="B6649" s="1348"/>
      <c r="C6649" s="1348"/>
      <c r="D6649" s="1348"/>
      <c r="E6649" s="1348"/>
      <c r="F6649" s="1348"/>
      <c r="G6649" s="1348"/>
      <c r="H6649" s="1348"/>
      <c r="I6649" s="1348"/>
      <c r="J6649" s="1348"/>
      <c r="K6649" s="1348"/>
    </row>
    <row r="6650" spans="2:11" hidden="1">
      <c r="B6650" s="1348"/>
      <c r="C6650" s="1348"/>
      <c r="D6650" s="1348"/>
      <c r="E6650" s="1348"/>
      <c r="F6650" s="1348"/>
      <c r="G6650" s="1348"/>
      <c r="H6650" s="1348"/>
      <c r="I6650" s="1348"/>
      <c r="J6650" s="1348"/>
      <c r="K6650" s="1348"/>
    </row>
    <row r="6651" spans="2:11" hidden="1">
      <c r="B6651" s="1348"/>
      <c r="C6651" s="1348"/>
      <c r="D6651" s="1348"/>
      <c r="E6651" s="1348"/>
      <c r="F6651" s="1348"/>
      <c r="G6651" s="1348"/>
      <c r="H6651" s="1348"/>
      <c r="I6651" s="1348"/>
      <c r="J6651" s="1348"/>
      <c r="K6651" s="1348"/>
    </row>
    <row r="6652" spans="2:11" hidden="1">
      <c r="B6652" s="1348"/>
      <c r="C6652" s="1348"/>
      <c r="D6652" s="1348"/>
      <c r="E6652" s="1348"/>
      <c r="F6652" s="1348"/>
      <c r="G6652" s="1348"/>
      <c r="H6652" s="1348"/>
      <c r="I6652" s="1348"/>
      <c r="J6652" s="1348"/>
      <c r="K6652" s="1348"/>
    </row>
    <row r="6653" spans="2:11" hidden="1">
      <c r="B6653" s="1348"/>
      <c r="C6653" s="1348"/>
      <c r="D6653" s="1348"/>
      <c r="E6653" s="1348"/>
      <c r="F6653" s="1348"/>
      <c r="G6653" s="1348"/>
      <c r="H6653" s="1348"/>
      <c r="I6653" s="1348"/>
      <c r="J6653" s="1348"/>
      <c r="K6653" s="1348"/>
    </row>
    <row r="6654" spans="2:11" hidden="1">
      <c r="B6654" s="1348"/>
      <c r="C6654" s="1348"/>
      <c r="D6654" s="1348"/>
      <c r="E6654" s="1348"/>
      <c r="F6654" s="1348"/>
      <c r="G6654" s="1348"/>
      <c r="H6654" s="1348"/>
      <c r="I6654" s="1348"/>
      <c r="J6654" s="1348"/>
      <c r="K6654" s="1348"/>
    </row>
    <row r="6655" spans="2:11" hidden="1">
      <c r="B6655" s="1348"/>
      <c r="C6655" s="1348"/>
      <c r="D6655" s="1348"/>
      <c r="E6655" s="1348"/>
      <c r="F6655" s="1348"/>
      <c r="G6655" s="1348"/>
      <c r="H6655" s="1348"/>
      <c r="I6655" s="1348"/>
      <c r="J6655" s="1348"/>
      <c r="K6655" s="1348"/>
    </row>
    <row r="6656" spans="2:11" hidden="1">
      <c r="B6656" s="1348"/>
      <c r="C6656" s="1348"/>
      <c r="D6656" s="1348"/>
      <c r="E6656" s="1348"/>
      <c r="F6656" s="1348"/>
      <c r="G6656" s="1348"/>
      <c r="H6656" s="1348"/>
      <c r="I6656" s="1348"/>
      <c r="J6656" s="1348"/>
      <c r="K6656" s="1348"/>
    </row>
    <row r="6657" spans="2:11" hidden="1">
      <c r="B6657" s="1348"/>
      <c r="C6657" s="1348"/>
      <c r="D6657" s="1348"/>
      <c r="E6657" s="1348"/>
      <c r="F6657" s="1348"/>
      <c r="G6657" s="1348"/>
      <c r="H6657" s="1348"/>
      <c r="I6657" s="1348"/>
      <c r="J6657" s="1348"/>
      <c r="K6657" s="1348"/>
    </row>
    <row r="6658" spans="2:11" hidden="1">
      <c r="B6658" s="1348"/>
      <c r="C6658" s="1348"/>
      <c r="D6658" s="1348"/>
      <c r="E6658" s="1348"/>
      <c r="F6658" s="1348"/>
      <c r="G6658" s="1348"/>
      <c r="H6658" s="1348"/>
      <c r="I6658" s="1348"/>
      <c r="J6658" s="1348"/>
      <c r="K6658" s="1348"/>
    </row>
    <row r="6659" spans="2:11" hidden="1">
      <c r="B6659" s="1348"/>
      <c r="C6659" s="1348"/>
      <c r="D6659" s="1348"/>
      <c r="E6659" s="1348"/>
      <c r="F6659" s="1348"/>
      <c r="G6659" s="1348"/>
      <c r="H6659" s="1348"/>
      <c r="I6659" s="1348"/>
      <c r="J6659" s="1348"/>
      <c r="K6659" s="1348"/>
    </row>
    <row r="6660" spans="2:11" hidden="1">
      <c r="B6660" s="1348"/>
      <c r="C6660" s="1348"/>
      <c r="D6660" s="1348"/>
      <c r="E6660" s="1348"/>
      <c r="F6660" s="1348"/>
      <c r="G6660" s="1348"/>
      <c r="H6660" s="1348"/>
      <c r="I6660" s="1348"/>
      <c r="J6660" s="1348"/>
      <c r="K6660" s="1348"/>
    </row>
    <row r="6661" spans="2:11" hidden="1">
      <c r="B6661" s="1348"/>
      <c r="C6661" s="1348"/>
      <c r="D6661" s="1348"/>
      <c r="E6661" s="1348"/>
      <c r="F6661" s="1348"/>
      <c r="G6661" s="1348"/>
      <c r="H6661" s="1348"/>
      <c r="I6661" s="1348"/>
      <c r="J6661" s="1348"/>
      <c r="K6661" s="1348"/>
    </row>
    <row r="6662" spans="2:11" hidden="1">
      <c r="B6662" s="1348"/>
      <c r="C6662" s="1348"/>
      <c r="D6662" s="1348"/>
      <c r="E6662" s="1348"/>
      <c r="F6662" s="1348"/>
      <c r="G6662" s="1348"/>
      <c r="H6662" s="1348"/>
      <c r="I6662" s="1348"/>
      <c r="J6662" s="1348"/>
      <c r="K6662" s="1348"/>
    </row>
    <row r="6663" spans="2:11" hidden="1">
      <c r="B6663" s="1348"/>
      <c r="C6663" s="1348"/>
      <c r="D6663" s="1348"/>
      <c r="E6663" s="1348"/>
      <c r="F6663" s="1348"/>
      <c r="G6663" s="1348"/>
      <c r="H6663" s="1348"/>
      <c r="I6663" s="1348"/>
      <c r="J6663" s="1348"/>
      <c r="K6663" s="1348"/>
    </row>
    <row r="6664" spans="2:11" hidden="1">
      <c r="B6664" s="1348"/>
      <c r="C6664" s="1348"/>
      <c r="D6664" s="1348"/>
      <c r="E6664" s="1348"/>
      <c r="F6664" s="1348"/>
      <c r="G6664" s="1348"/>
      <c r="H6664" s="1348"/>
      <c r="I6664" s="1348"/>
      <c r="J6664" s="1348"/>
      <c r="K6664" s="1348"/>
    </row>
    <row r="6665" spans="2:11" hidden="1">
      <c r="B6665" s="1348"/>
      <c r="C6665" s="1348"/>
      <c r="D6665" s="1348"/>
      <c r="E6665" s="1348"/>
      <c r="F6665" s="1348"/>
      <c r="G6665" s="1348"/>
      <c r="H6665" s="1348"/>
      <c r="I6665" s="1348"/>
      <c r="J6665" s="1348"/>
      <c r="K6665" s="1348"/>
    </row>
    <row r="6666" spans="2:11" hidden="1">
      <c r="B6666" s="1348"/>
      <c r="C6666" s="1348"/>
      <c r="D6666" s="1348"/>
      <c r="E6666" s="1348"/>
      <c r="F6666" s="1348"/>
      <c r="G6666" s="1348"/>
      <c r="H6666" s="1348"/>
      <c r="I6666" s="1348"/>
      <c r="J6666" s="1348"/>
      <c r="K6666" s="1348"/>
    </row>
    <row r="6667" spans="2:11" hidden="1">
      <c r="B6667" s="1348"/>
      <c r="C6667" s="1348"/>
      <c r="D6667" s="1348"/>
      <c r="E6667" s="1348"/>
      <c r="F6667" s="1348"/>
      <c r="G6667" s="1348"/>
      <c r="H6667" s="1348"/>
      <c r="I6667" s="1348"/>
      <c r="J6667" s="1348"/>
      <c r="K6667" s="1348"/>
    </row>
    <row r="6668" spans="2:11" hidden="1">
      <c r="B6668" s="1348"/>
      <c r="C6668" s="1348"/>
      <c r="D6668" s="1348"/>
      <c r="E6668" s="1348"/>
      <c r="F6668" s="1348"/>
      <c r="G6668" s="1348"/>
      <c r="H6668" s="1348"/>
      <c r="I6668" s="1348"/>
      <c r="J6668" s="1348"/>
      <c r="K6668" s="1348"/>
    </row>
    <row r="6669" spans="2:11" hidden="1">
      <c r="B6669" s="1348"/>
      <c r="C6669" s="1348"/>
      <c r="D6669" s="1348"/>
      <c r="E6669" s="1348"/>
      <c r="F6669" s="1348"/>
      <c r="G6669" s="1348"/>
      <c r="H6669" s="1348"/>
      <c r="I6669" s="1348"/>
      <c r="J6669" s="1348"/>
      <c r="K6669" s="1348"/>
    </row>
    <row r="6670" spans="2:11" hidden="1">
      <c r="B6670" s="1348"/>
      <c r="C6670" s="1348"/>
      <c r="D6670" s="1348"/>
      <c r="E6670" s="1348"/>
      <c r="F6670" s="1348"/>
      <c r="G6670" s="1348"/>
      <c r="H6670" s="1348"/>
      <c r="I6670" s="1348"/>
      <c r="J6670" s="1348"/>
      <c r="K6670" s="1348"/>
    </row>
    <row r="6671" spans="2:11" hidden="1">
      <c r="B6671" s="1348"/>
      <c r="C6671" s="1348"/>
      <c r="D6671" s="1348"/>
      <c r="E6671" s="1348"/>
      <c r="F6671" s="1348"/>
      <c r="G6671" s="1348"/>
      <c r="H6671" s="1348"/>
      <c r="I6671" s="1348"/>
      <c r="J6671" s="1348"/>
      <c r="K6671" s="1348"/>
    </row>
    <row r="6672" spans="2:11" hidden="1">
      <c r="B6672" s="1348"/>
      <c r="C6672" s="1348"/>
      <c r="D6672" s="1348"/>
      <c r="E6672" s="1348"/>
      <c r="F6672" s="1348"/>
      <c r="G6672" s="1348"/>
      <c r="H6672" s="1348"/>
      <c r="I6672" s="1348"/>
      <c r="J6672" s="1348"/>
      <c r="K6672" s="1348"/>
    </row>
    <row r="6673" spans="2:11" hidden="1">
      <c r="B6673" s="1348"/>
      <c r="C6673" s="1348"/>
      <c r="D6673" s="1348"/>
      <c r="E6673" s="1348"/>
      <c r="F6673" s="1348"/>
      <c r="G6673" s="1348"/>
      <c r="H6673" s="1348"/>
      <c r="I6673" s="1348"/>
      <c r="J6673" s="1348"/>
      <c r="K6673" s="1348"/>
    </row>
    <row r="6674" spans="2:11" hidden="1">
      <c r="B6674" s="1348"/>
      <c r="C6674" s="1348"/>
      <c r="D6674" s="1348"/>
      <c r="E6674" s="1348"/>
      <c r="F6674" s="1348"/>
      <c r="G6674" s="1348"/>
      <c r="H6674" s="1348"/>
      <c r="I6674" s="1348"/>
      <c r="J6674" s="1348"/>
      <c r="K6674" s="1348"/>
    </row>
    <row r="6675" spans="2:11" hidden="1">
      <c r="B6675" s="1348"/>
      <c r="C6675" s="1348"/>
      <c r="D6675" s="1348"/>
      <c r="E6675" s="1348"/>
      <c r="F6675" s="1348"/>
      <c r="G6675" s="1348"/>
      <c r="H6675" s="1348"/>
      <c r="I6675" s="1348"/>
      <c r="J6675" s="1348"/>
      <c r="K6675" s="1348"/>
    </row>
    <row r="6676" spans="2:11" hidden="1">
      <c r="B6676" s="1348"/>
      <c r="C6676" s="1348"/>
      <c r="D6676" s="1348"/>
      <c r="E6676" s="1348"/>
      <c r="F6676" s="1348"/>
      <c r="G6676" s="1348"/>
      <c r="H6676" s="1348"/>
      <c r="I6676" s="1348"/>
      <c r="J6676" s="1348"/>
      <c r="K6676" s="1348"/>
    </row>
    <row r="6677" spans="2:11" hidden="1">
      <c r="B6677" s="1348"/>
      <c r="C6677" s="1348"/>
      <c r="D6677" s="1348"/>
      <c r="E6677" s="1348"/>
      <c r="F6677" s="1348"/>
      <c r="G6677" s="1348"/>
      <c r="H6677" s="1348"/>
      <c r="I6677" s="1348"/>
      <c r="J6677" s="1348"/>
      <c r="K6677" s="1348"/>
    </row>
    <row r="6678" spans="2:11" hidden="1">
      <c r="B6678" s="1348"/>
      <c r="C6678" s="1348"/>
      <c r="D6678" s="1348"/>
      <c r="E6678" s="1348"/>
      <c r="F6678" s="1348"/>
      <c r="G6678" s="1348"/>
      <c r="H6678" s="1348"/>
      <c r="I6678" s="1348"/>
      <c r="J6678" s="1348"/>
      <c r="K6678" s="1348"/>
    </row>
    <row r="6679" spans="2:11" hidden="1">
      <c r="B6679" s="1348"/>
      <c r="C6679" s="1348"/>
      <c r="D6679" s="1348"/>
      <c r="E6679" s="1348"/>
      <c r="F6679" s="1348"/>
      <c r="G6679" s="1348"/>
      <c r="H6679" s="1348"/>
      <c r="I6679" s="1348"/>
      <c r="J6679" s="1348"/>
      <c r="K6679" s="1348"/>
    </row>
    <row r="6680" spans="2:11" hidden="1">
      <c r="B6680" s="1348"/>
      <c r="C6680" s="1348"/>
      <c r="D6680" s="1348"/>
      <c r="E6680" s="1348"/>
      <c r="F6680" s="1348"/>
      <c r="G6680" s="1348"/>
      <c r="H6680" s="1348"/>
      <c r="I6680" s="1348"/>
      <c r="J6680" s="1348"/>
      <c r="K6680" s="1348"/>
    </row>
    <row r="6681" spans="2:11" hidden="1">
      <c r="B6681" s="1348"/>
      <c r="C6681" s="1348"/>
      <c r="D6681" s="1348"/>
      <c r="E6681" s="1348"/>
      <c r="F6681" s="1348"/>
      <c r="G6681" s="1348"/>
      <c r="H6681" s="1348"/>
      <c r="I6681" s="1348"/>
      <c r="J6681" s="1348"/>
      <c r="K6681" s="1348"/>
    </row>
    <row r="6682" spans="2:11" hidden="1">
      <c r="B6682" s="1348"/>
      <c r="C6682" s="1348"/>
      <c r="D6682" s="1348"/>
      <c r="E6682" s="1348"/>
      <c r="F6682" s="1348"/>
      <c r="G6682" s="1348"/>
      <c r="H6682" s="1348"/>
      <c r="I6682" s="1348"/>
      <c r="J6682" s="1348"/>
      <c r="K6682" s="1348"/>
    </row>
    <row r="6683" spans="2:11" hidden="1">
      <c r="B6683" s="1348"/>
      <c r="C6683" s="1348"/>
      <c r="D6683" s="1348"/>
      <c r="E6683" s="1348"/>
      <c r="F6683" s="1348"/>
      <c r="G6683" s="1348"/>
      <c r="H6683" s="1348"/>
      <c r="I6683" s="1348"/>
      <c r="J6683" s="1348"/>
      <c r="K6683" s="1348"/>
    </row>
    <row r="6684" spans="2:11" hidden="1">
      <c r="B6684" s="1348"/>
      <c r="C6684" s="1348"/>
      <c r="D6684" s="1348"/>
      <c r="E6684" s="1348"/>
      <c r="F6684" s="1348"/>
      <c r="G6684" s="1348"/>
      <c r="H6684" s="1348"/>
      <c r="I6684" s="1348"/>
      <c r="J6684" s="1348"/>
      <c r="K6684" s="1348"/>
    </row>
    <row r="6685" spans="2:11" hidden="1">
      <c r="B6685" s="1348"/>
      <c r="C6685" s="1348"/>
      <c r="D6685" s="1348"/>
      <c r="E6685" s="1348"/>
      <c r="F6685" s="1348"/>
      <c r="G6685" s="1348"/>
      <c r="H6685" s="1348"/>
      <c r="I6685" s="1348"/>
      <c r="J6685" s="1348"/>
      <c r="K6685" s="1348"/>
    </row>
    <row r="6686" spans="2:11" hidden="1">
      <c r="B6686" s="1348"/>
      <c r="C6686" s="1348"/>
      <c r="D6686" s="1348"/>
      <c r="E6686" s="1348"/>
      <c r="F6686" s="1348"/>
      <c r="G6686" s="1348"/>
      <c r="H6686" s="1348"/>
      <c r="I6686" s="1348"/>
      <c r="J6686" s="1348"/>
      <c r="K6686" s="1348"/>
    </row>
    <row r="6687" spans="2:11" hidden="1">
      <c r="B6687" s="1348"/>
      <c r="C6687" s="1348"/>
      <c r="D6687" s="1348"/>
      <c r="E6687" s="1348"/>
      <c r="F6687" s="1348"/>
      <c r="G6687" s="1348"/>
      <c r="H6687" s="1348"/>
      <c r="I6687" s="1348"/>
      <c r="J6687" s="1348"/>
      <c r="K6687" s="1348"/>
    </row>
    <row r="6688" spans="2:11" hidden="1">
      <c r="B6688" s="1348"/>
      <c r="C6688" s="1348"/>
      <c r="D6688" s="1348"/>
      <c r="E6688" s="1348"/>
      <c r="F6688" s="1348"/>
      <c r="G6688" s="1348"/>
      <c r="H6688" s="1348"/>
      <c r="I6688" s="1348"/>
      <c r="J6688" s="1348"/>
      <c r="K6688" s="1348"/>
    </row>
    <row r="6689" spans="2:11" hidden="1">
      <c r="B6689" s="1348"/>
      <c r="C6689" s="1348"/>
      <c r="D6689" s="1348"/>
      <c r="E6689" s="1348"/>
      <c r="F6689" s="1348"/>
      <c r="G6689" s="1348"/>
      <c r="H6689" s="1348"/>
      <c r="I6689" s="1348"/>
      <c r="J6689" s="1348"/>
      <c r="K6689" s="1348"/>
    </row>
    <row r="6690" spans="2:11" hidden="1">
      <c r="B6690" s="1348"/>
      <c r="C6690" s="1348"/>
      <c r="D6690" s="1348"/>
      <c r="E6690" s="1348"/>
      <c r="F6690" s="1348"/>
      <c r="G6690" s="1348"/>
      <c r="H6690" s="1348"/>
      <c r="I6690" s="1348"/>
      <c r="J6690" s="1348"/>
      <c r="K6690" s="1348"/>
    </row>
    <row r="6691" spans="2:11" hidden="1">
      <c r="B6691" s="1348"/>
      <c r="C6691" s="1348"/>
      <c r="D6691" s="1348"/>
      <c r="E6691" s="1348"/>
      <c r="F6691" s="1348"/>
      <c r="G6691" s="1348"/>
      <c r="H6691" s="1348"/>
      <c r="I6691" s="1348"/>
      <c r="J6691" s="1348"/>
      <c r="K6691" s="1348"/>
    </row>
    <row r="6692" spans="2:11" hidden="1">
      <c r="B6692" s="1348"/>
      <c r="C6692" s="1348"/>
      <c r="D6692" s="1348"/>
      <c r="E6692" s="1348"/>
      <c r="F6692" s="1348"/>
      <c r="G6692" s="1348"/>
      <c r="H6692" s="1348"/>
      <c r="I6692" s="1348"/>
      <c r="J6692" s="1348"/>
      <c r="K6692" s="1348"/>
    </row>
    <row r="6693" spans="2:11" hidden="1">
      <c r="B6693" s="1348"/>
      <c r="C6693" s="1348"/>
      <c r="D6693" s="1348"/>
      <c r="E6693" s="1348"/>
      <c r="F6693" s="1348"/>
      <c r="G6693" s="1348"/>
      <c r="H6693" s="1348"/>
      <c r="I6693" s="1348"/>
      <c r="J6693" s="1348"/>
      <c r="K6693" s="1348"/>
    </row>
    <row r="6694" spans="2:11" hidden="1">
      <c r="B6694" s="1348"/>
      <c r="C6694" s="1348"/>
      <c r="D6694" s="1348"/>
      <c r="E6694" s="1348"/>
      <c r="F6694" s="1348"/>
      <c r="G6694" s="1348"/>
      <c r="H6694" s="1348"/>
      <c r="I6694" s="1348"/>
      <c r="J6694" s="1348"/>
      <c r="K6694" s="1348"/>
    </row>
    <row r="6695" spans="2:11" hidden="1">
      <c r="B6695" s="1348"/>
      <c r="C6695" s="1348"/>
      <c r="D6695" s="1348"/>
      <c r="E6695" s="1348"/>
      <c r="F6695" s="1348"/>
      <c r="G6695" s="1348"/>
      <c r="H6695" s="1348"/>
      <c r="I6695" s="1348"/>
      <c r="J6695" s="1348"/>
      <c r="K6695" s="1348"/>
    </row>
    <row r="6696" spans="2:11" hidden="1">
      <c r="B6696" s="1348"/>
      <c r="C6696" s="1348"/>
      <c r="D6696" s="1348"/>
      <c r="E6696" s="1348"/>
      <c r="F6696" s="1348"/>
      <c r="G6696" s="1348"/>
      <c r="H6696" s="1348"/>
      <c r="I6696" s="1348"/>
      <c r="J6696" s="1348"/>
      <c r="K6696" s="1348"/>
    </row>
    <row r="6697" spans="2:11" hidden="1">
      <c r="B6697" s="1348"/>
      <c r="C6697" s="1348"/>
      <c r="D6697" s="1348"/>
      <c r="E6697" s="1348"/>
      <c r="F6697" s="1348"/>
      <c r="G6697" s="1348"/>
      <c r="H6697" s="1348"/>
      <c r="I6697" s="1348"/>
      <c r="J6697" s="1348"/>
      <c r="K6697" s="1348"/>
    </row>
    <row r="6698" spans="2:11" hidden="1">
      <c r="B6698" s="1348"/>
      <c r="C6698" s="1348"/>
      <c r="D6698" s="1348"/>
      <c r="E6698" s="1348"/>
      <c r="F6698" s="1348"/>
      <c r="G6698" s="1348"/>
      <c r="H6698" s="1348"/>
      <c r="I6698" s="1348"/>
      <c r="J6698" s="1348"/>
      <c r="K6698" s="1348"/>
    </row>
    <row r="6699" spans="2:11" hidden="1">
      <c r="B6699" s="1348"/>
      <c r="C6699" s="1348"/>
      <c r="D6699" s="1348"/>
      <c r="E6699" s="1348"/>
      <c r="F6699" s="1348"/>
      <c r="G6699" s="1348"/>
      <c r="H6699" s="1348"/>
      <c r="I6699" s="1348"/>
      <c r="J6699" s="1348"/>
      <c r="K6699" s="1348"/>
    </row>
    <row r="6700" spans="2:11" hidden="1">
      <c r="B6700" s="1348"/>
      <c r="C6700" s="1348"/>
      <c r="D6700" s="1348"/>
      <c r="E6700" s="1348"/>
      <c r="F6700" s="1348"/>
      <c r="G6700" s="1348"/>
      <c r="H6700" s="1348"/>
      <c r="I6700" s="1348"/>
      <c r="J6700" s="1348"/>
      <c r="K6700" s="1348"/>
    </row>
    <row r="6701" spans="2:11" hidden="1">
      <c r="B6701" s="1348"/>
      <c r="C6701" s="1348"/>
      <c r="D6701" s="1348"/>
      <c r="E6701" s="1348"/>
      <c r="F6701" s="1348"/>
      <c r="G6701" s="1348"/>
      <c r="H6701" s="1348"/>
      <c r="I6701" s="1348"/>
      <c r="J6701" s="1348"/>
      <c r="K6701" s="1348"/>
    </row>
    <row r="6702" spans="2:11" hidden="1">
      <c r="B6702" s="1348"/>
      <c r="C6702" s="1348"/>
      <c r="D6702" s="1348"/>
      <c r="E6702" s="1348"/>
      <c r="F6702" s="1348"/>
      <c r="G6702" s="1348"/>
      <c r="H6702" s="1348"/>
      <c r="I6702" s="1348"/>
      <c r="J6702" s="1348"/>
      <c r="K6702" s="1348"/>
    </row>
    <row r="6703" spans="2:11" hidden="1">
      <c r="B6703" s="1348"/>
      <c r="C6703" s="1348"/>
      <c r="D6703" s="1348"/>
      <c r="E6703" s="1348"/>
      <c r="F6703" s="1348"/>
      <c r="G6703" s="1348"/>
      <c r="H6703" s="1348"/>
      <c r="I6703" s="1348"/>
      <c r="J6703" s="1348"/>
      <c r="K6703" s="1348"/>
    </row>
    <row r="6704" spans="2:11" hidden="1">
      <c r="B6704" s="1348"/>
      <c r="C6704" s="1348"/>
      <c r="D6704" s="1348"/>
      <c r="E6704" s="1348"/>
      <c r="F6704" s="1348"/>
      <c r="G6704" s="1348"/>
      <c r="H6704" s="1348"/>
      <c r="I6704" s="1348"/>
      <c r="J6704" s="1348"/>
      <c r="K6704" s="1348"/>
    </row>
    <row r="6705" spans="2:11" hidden="1">
      <c r="B6705" s="1348"/>
      <c r="C6705" s="1348"/>
      <c r="D6705" s="1348"/>
      <c r="E6705" s="1348"/>
      <c r="F6705" s="1348"/>
      <c r="G6705" s="1348"/>
      <c r="H6705" s="1348"/>
      <c r="I6705" s="1348"/>
      <c r="J6705" s="1348"/>
      <c r="K6705" s="1348"/>
    </row>
    <row r="6706" spans="2:11" hidden="1">
      <c r="B6706" s="1348"/>
      <c r="C6706" s="1348"/>
      <c r="D6706" s="1348"/>
      <c r="E6706" s="1348"/>
      <c r="F6706" s="1348"/>
      <c r="G6706" s="1348"/>
      <c r="H6706" s="1348"/>
      <c r="I6706" s="1348"/>
      <c r="J6706" s="1348"/>
      <c r="K6706" s="1348"/>
    </row>
    <row r="6707" spans="2:11" hidden="1">
      <c r="B6707" s="1348"/>
      <c r="C6707" s="1348"/>
      <c r="D6707" s="1348"/>
      <c r="E6707" s="1348"/>
      <c r="F6707" s="1348"/>
      <c r="G6707" s="1348"/>
      <c r="H6707" s="1348"/>
      <c r="I6707" s="1348"/>
      <c r="J6707" s="1348"/>
      <c r="K6707" s="1348"/>
    </row>
    <row r="6708" spans="2:11" hidden="1">
      <c r="B6708" s="1348"/>
      <c r="C6708" s="1348"/>
      <c r="D6708" s="1348"/>
      <c r="E6708" s="1348"/>
      <c r="F6708" s="1348"/>
      <c r="G6708" s="1348"/>
      <c r="H6708" s="1348"/>
      <c r="I6708" s="1348"/>
      <c r="J6708" s="1348"/>
      <c r="K6708" s="1348"/>
    </row>
    <row r="6709" spans="2:11" hidden="1">
      <c r="B6709" s="1348"/>
      <c r="C6709" s="1348"/>
      <c r="D6709" s="1348"/>
      <c r="E6709" s="1348"/>
      <c r="F6709" s="1348"/>
      <c r="G6709" s="1348"/>
      <c r="H6709" s="1348"/>
      <c r="I6709" s="1348"/>
      <c r="J6709" s="1348"/>
      <c r="K6709" s="1348"/>
    </row>
    <row r="6710" spans="2:11" hidden="1">
      <c r="B6710" s="1348"/>
      <c r="C6710" s="1348"/>
      <c r="D6710" s="1348"/>
      <c r="E6710" s="1348"/>
      <c r="F6710" s="1348"/>
      <c r="G6710" s="1348"/>
      <c r="H6710" s="1348"/>
      <c r="I6710" s="1348"/>
      <c r="J6710" s="1348"/>
      <c r="K6710" s="1348"/>
    </row>
    <row r="6711" spans="2:11" hidden="1">
      <c r="B6711" s="1348"/>
      <c r="C6711" s="1348"/>
      <c r="D6711" s="1348"/>
      <c r="E6711" s="1348"/>
      <c r="F6711" s="1348"/>
      <c r="G6711" s="1348"/>
      <c r="H6711" s="1348"/>
      <c r="I6711" s="1348"/>
      <c r="J6711" s="1348"/>
      <c r="K6711" s="1348"/>
    </row>
    <row r="6712" spans="2:11" hidden="1">
      <c r="B6712" s="1348"/>
      <c r="C6712" s="1348"/>
      <c r="D6712" s="1348"/>
      <c r="E6712" s="1348"/>
      <c r="F6712" s="1348"/>
      <c r="G6712" s="1348"/>
      <c r="H6712" s="1348"/>
      <c r="I6712" s="1348"/>
      <c r="J6712" s="1348"/>
      <c r="K6712" s="1348"/>
    </row>
    <row r="6713" spans="2:11" hidden="1">
      <c r="B6713" s="1348"/>
      <c r="C6713" s="1348"/>
      <c r="D6713" s="1348"/>
      <c r="E6713" s="1348"/>
      <c r="F6713" s="1348"/>
      <c r="G6713" s="1348"/>
      <c r="H6713" s="1348"/>
      <c r="I6713" s="1348"/>
      <c r="J6713" s="1348"/>
      <c r="K6713" s="1348"/>
    </row>
    <row r="6714" spans="2:11" hidden="1">
      <c r="B6714" s="1348"/>
      <c r="C6714" s="1348"/>
      <c r="D6714" s="1348"/>
      <c r="E6714" s="1348"/>
      <c r="F6714" s="1348"/>
      <c r="G6714" s="1348"/>
      <c r="H6714" s="1348"/>
      <c r="I6714" s="1348"/>
      <c r="J6714" s="1348"/>
      <c r="K6714" s="1348"/>
    </row>
    <row r="6715" spans="2:11" hidden="1">
      <c r="B6715" s="1348"/>
      <c r="C6715" s="1348"/>
      <c r="D6715" s="1348"/>
      <c r="E6715" s="1348"/>
      <c r="F6715" s="1348"/>
      <c r="G6715" s="1348"/>
      <c r="H6715" s="1348"/>
      <c r="I6715" s="1348"/>
      <c r="J6715" s="1348"/>
      <c r="K6715" s="1348"/>
    </row>
    <row r="6716" spans="2:11" hidden="1">
      <c r="B6716" s="1348"/>
      <c r="C6716" s="1348"/>
      <c r="D6716" s="1348"/>
      <c r="E6716" s="1348"/>
      <c r="F6716" s="1348"/>
      <c r="G6716" s="1348"/>
      <c r="H6716" s="1348"/>
      <c r="I6716" s="1348"/>
      <c r="J6716" s="1348"/>
      <c r="K6716" s="1348"/>
    </row>
    <row r="6717" spans="2:11" hidden="1">
      <c r="B6717" s="1348"/>
      <c r="C6717" s="1348"/>
      <c r="D6717" s="1348"/>
      <c r="E6717" s="1348"/>
      <c r="F6717" s="1348"/>
      <c r="G6717" s="1348"/>
      <c r="H6717" s="1348"/>
      <c r="I6717" s="1348"/>
      <c r="J6717" s="1348"/>
      <c r="K6717" s="1348"/>
    </row>
    <row r="6718" spans="2:11" hidden="1">
      <c r="B6718" s="1348"/>
      <c r="C6718" s="1348"/>
      <c r="D6718" s="1348"/>
      <c r="E6718" s="1348"/>
      <c r="F6718" s="1348"/>
      <c r="G6718" s="1348"/>
      <c r="H6718" s="1348"/>
      <c r="I6718" s="1348"/>
      <c r="J6718" s="1348"/>
      <c r="K6718" s="1348"/>
    </row>
    <row r="6719" spans="2:11" hidden="1">
      <c r="B6719" s="1348"/>
      <c r="C6719" s="1348"/>
      <c r="D6719" s="1348"/>
      <c r="E6719" s="1348"/>
      <c r="F6719" s="1348"/>
      <c r="G6719" s="1348"/>
      <c r="H6719" s="1348"/>
      <c r="I6719" s="1348"/>
      <c r="J6719" s="1348"/>
      <c r="K6719" s="1348"/>
    </row>
    <row r="6720" spans="2:11" hidden="1">
      <c r="B6720" s="1348"/>
      <c r="C6720" s="1348"/>
      <c r="D6720" s="1348"/>
      <c r="E6720" s="1348"/>
      <c r="F6720" s="1348"/>
      <c r="G6720" s="1348"/>
      <c r="H6720" s="1348"/>
      <c r="I6720" s="1348"/>
      <c r="J6720" s="1348"/>
      <c r="K6720" s="1348"/>
    </row>
    <row r="6721" spans="2:11" hidden="1">
      <c r="B6721" s="1348"/>
      <c r="C6721" s="1348"/>
      <c r="D6721" s="1348"/>
      <c r="E6721" s="1348"/>
      <c r="F6721" s="1348"/>
      <c r="G6721" s="1348"/>
      <c r="H6721" s="1348"/>
      <c r="I6721" s="1348"/>
      <c r="J6721" s="1348"/>
      <c r="K6721" s="1348"/>
    </row>
    <row r="6722" spans="2:11" hidden="1">
      <c r="B6722" s="1348"/>
      <c r="C6722" s="1348"/>
      <c r="D6722" s="1348"/>
      <c r="E6722" s="1348"/>
      <c r="F6722" s="1348"/>
      <c r="G6722" s="1348"/>
      <c r="H6722" s="1348"/>
      <c r="I6722" s="1348"/>
      <c r="J6722" s="1348"/>
      <c r="K6722" s="1348"/>
    </row>
    <row r="6723" spans="2:11" hidden="1">
      <c r="B6723" s="1348"/>
      <c r="C6723" s="1348"/>
      <c r="D6723" s="1348"/>
      <c r="E6723" s="1348"/>
      <c r="F6723" s="1348"/>
      <c r="G6723" s="1348"/>
      <c r="H6723" s="1348"/>
      <c r="I6723" s="1348"/>
      <c r="J6723" s="1348"/>
      <c r="K6723" s="1348"/>
    </row>
    <row r="6724" spans="2:11" hidden="1">
      <c r="B6724" s="1348"/>
      <c r="C6724" s="1348"/>
      <c r="D6724" s="1348"/>
      <c r="E6724" s="1348"/>
      <c r="F6724" s="1348"/>
      <c r="G6724" s="1348"/>
      <c r="H6724" s="1348"/>
      <c r="I6724" s="1348"/>
      <c r="J6724" s="1348"/>
      <c r="K6724" s="1348"/>
    </row>
    <row r="6725" spans="2:11" hidden="1">
      <c r="B6725" s="1348"/>
      <c r="C6725" s="1348"/>
      <c r="D6725" s="1348"/>
      <c r="E6725" s="1348"/>
      <c r="F6725" s="1348"/>
      <c r="G6725" s="1348"/>
      <c r="H6725" s="1348"/>
      <c r="I6725" s="1348"/>
      <c r="J6725" s="1348"/>
      <c r="K6725" s="1348"/>
    </row>
    <row r="6726" spans="2:11" hidden="1">
      <c r="B6726" s="1348"/>
      <c r="C6726" s="1348"/>
      <c r="D6726" s="1348"/>
      <c r="E6726" s="1348"/>
      <c r="F6726" s="1348"/>
      <c r="G6726" s="1348"/>
      <c r="H6726" s="1348"/>
      <c r="I6726" s="1348"/>
      <c r="J6726" s="1348"/>
      <c r="K6726" s="1348"/>
    </row>
    <row r="6727" spans="2:11" hidden="1">
      <c r="B6727" s="1348"/>
      <c r="C6727" s="1348"/>
      <c r="D6727" s="1348"/>
      <c r="E6727" s="1348"/>
      <c r="F6727" s="1348"/>
      <c r="G6727" s="1348"/>
      <c r="H6727" s="1348"/>
      <c r="I6727" s="1348"/>
      <c r="J6727" s="1348"/>
      <c r="K6727" s="1348"/>
    </row>
    <row r="6728" spans="2:11" hidden="1">
      <c r="B6728" s="1348"/>
      <c r="C6728" s="1348"/>
      <c r="D6728" s="1348"/>
      <c r="E6728" s="1348"/>
      <c r="F6728" s="1348"/>
      <c r="G6728" s="1348"/>
      <c r="H6728" s="1348"/>
      <c r="I6728" s="1348"/>
      <c r="J6728" s="1348"/>
      <c r="K6728" s="1348"/>
    </row>
    <row r="6729" spans="2:11" hidden="1">
      <c r="B6729" s="1348"/>
      <c r="C6729" s="1348"/>
      <c r="D6729" s="1348"/>
      <c r="E6729" s="1348"/>
      <c r="F6729" s="1348"/>
      <c r="G6729" s="1348"/>
      <c r="H6729" s="1348"/>
      <c r="I6729" s="1348"/>
      <c r="J6729" s="1348"/>
      <c r="K6729" s="1348"/>
    </row>
    <row r="6730" spans="2:11" hidden="1">
      <c r="B6730" s="1348"/>
      <c r="C6730" s="1348"/>
      <c r="D6730" s="1348"/>
      <c r="E6730" s="1348"/>
      <c r="F6730" s="1348"/>
      <c r="G6730" s="1348"/>
      <c r="H6730" s="1348"/>
      <c r="I6730" s="1348"/>
      <c r="J6730" s="1348"/>
      <c r="K6730" s="1348"/>
    </row>
    <row r="6731" spans="2:11" hidden="1">
      <c r="B6731" s="1348"/>
      <c r="C6731" s="1348"/>
      <c r="D6731" s="1348"/>
      <c r="E6731" s="1348"/>
      <c r="F6731" s="1348"/>
      <c r="G6731" s="1348"/>
      <c r="H6731" s="1348"/>
      <c r="I6731" s="1348"/>
      <c r="J6731" s="1348"/>
      <c r="K6731" s="1348"/>
    </row>
    <row r="6732" spans="2:11" hidden="1">
      <c r="B6732" s="1348"/>
      <c r="C6732" s="1348"/>
      <c r="D6732" s="1348"/>
      <c r="E6732" s="1348"/>
      <c r="F6732" s="1348"/>
      <c r="G6732" s="1348"/>
      <c r="H6732" s="1348"/>
      <c r="I6732" s="1348"/>
      <c r="J6732" s="1348"/>
      <c r="K6732" s="1348"/>
    </row>
    <row r="6733" spans="2:11" hidden="1">
      <c r="B6733" s="1348"/>
      <c r="C6733" s="1348"/>
      <c r="D6733" s="1348"/>
      <c r="E6733" s="1348"/>
      <c r="F6733" s="1348"/>
      <c r="G6733" s="1348"/>
      <c r="H6733" s="1348"/>
      <c r="I6733" s="1348"/>
      <c r="J6733" s="1348"/>
      <c r="K6733" s="1348"/>
    </row>
    <row r="6734" spans="2:11" hidden="1">
      <c r="B6734" s="1348"/>
      <c r="C6734" s="1348"/>
      <c r="D6734" s="1348"/>
      <c r="E6734" s="1348"/>
      <c r="F6734" s="1348"/>
      <c r="G6734" s="1348"/>
      <c r="H6734" s="1348"/>
      <c r="I6734" s="1348"/>
      <c r="J6734" s="1348"/>
      <c r="K6734" s="1348"/>
    </row>
    <row r="6735" spans="2:11" hidden="1">
      <c r="B6735" s="1348"/>
      <c r="C6735" s="1348"/>
      <c r="D6735" s="1348"/>
      <c r="E6735" s="1348"/>
      <c r="F6735" s="1348"/>
      <c r="G6735" s="1348"/>
      <c r="H6735" s="1348"/>
      <c r="I6735" s="1348"/>
      <c r="J6735" s="1348"/>
      <c r="K6735" s="1348"/>
    </row>
    <row r="6736" spans="2:11" hidden="1">
      <c r="B6736" s="1348"/>
      <c r="C6736" s="1348"/>
      <c r="D6736" s="1348"/>
      <c r="E6736" s="1348"/>
      <c r="F6736" s="1348"/>
      <c r="G6736" s="1348"/>
      <c r="H6736" s="1348"/>
      <c r="I6736" s="1348"/>
      <c r="J6736" s="1348"/>
      <c r="K6736" s="1348"/>
    </row>
    <row r="6737" spans="2:11" hidden="1">
      <c r="B6737" s="1348"/>
      <c r="C6737" s="1348"/>
      <c r="D6737" s="1348"/>
      <c r="E6737" s="1348"/>
      <c r="F6737" s="1348"/>
      <c r="G6737" s="1348"/>
      <c r="H6737" s="1348"/>
      <c r="I6737" s="1348"/>
      <c r="J6737" s="1348"/>
      <c r="K6737" s="1348"/>
    </row>
    <row r="6738" spans="2:11" hidden="1">
      <c r="B6738" s="1348"/>
      <c r="C6738" s="1348"/>
      <c r="D6738" s="1348"/>
      <c r="E6738" s="1348"/>
      <c r="F6738" s="1348"/>
      <c r="G6738" s="1348"/>
      <c r="H6738" s="1348"/>
      <c r="I6738" s="1348"/>
      <c r="J6738" s="1348"/>
      <c r="K6738" s="1348"/>
    </row>
    <row r="6739" spans="2:11" hidden="1">
      <c r="B6739" s="1348"/>
      <c r="C6739" s="1348"/>
      <c r="D6739" s="1348"/>
      <c r="E6739" s="1348"/>
      <c r="F6739" s="1348"/>
      <c r="G6739" s="1348"/>
      <c r="H6739" s="1348"/>
      <c r="I6739" s="1348"/>
      <c r="J6739" s="1348"/>
      <c r="K6739" s="1348"/>
    </row>
    <row r="6740" spans="2:11" hidden="1">
      <c r="B6740" s="1348"/>
      <c r="C6740" s="1348"/>
      <c r="D6740" s="1348"/>
      <c r="E6740" s="1348"/>
      <c r="F6740" s="1348"/>
      <c r="G6740" s="1348"/>
      <c r="H6740" s="1348"/>
      <c r="I6740" s="1348"/>
      <c r="J6740" s="1348"/>
      <c r="K6740" s="1348"/>
    </row>
    <row r="6741" spans="2:11" hidden="1">
      <c r="B6741" s="1348"/>
      <c r="C6741" s="1348"/>
      <c r="D6741" s="1348"/>
      <c r="E6741" s="1348"/>
      <c r="F6741" s="1348"/>
      <c r="G6741" s="1348"/>
      <c r="H6741" s="1348"/>
      <c r="I6741" s="1348"/>
      <c r="J6741" s="1348"/>
      <c r="K6741" s="1348"/>
    </row>
    <row r="6742" spans="2:11" hidden="1">
      <c r="B6742" s="1348"/>
      <c r="C6742" s="1348"/>
      <c r="D6742" s="1348"/>
      <c r="E6742" s="1348"/>
      <c r="F6742" s="1348"/>
      <c r="G6742" s="1348"/>
      <c r="H6742" s="1348"/>
      <c r="I6742" s="1348"/>
      <c r="J6742" s="1348"/>
      <c r="K6742" s="1348"/>
    </row>
    <row r="6743" spans="2:11" hidden="1">
      <c r="B6743" s="1348"/>
      <c r="C6743" s="1348"/>
      <c r="D6743" s="1348"/>
      <c r="E6743" s="1348"/>
      <c r="F6743" s="1348"/>
      <c r="G6743" s="1348"/>
      <c r="H6743" s="1348"/>
      <c r="I6743" s="1348"/>
      <c r="J6743" s="1348"/>
      <c r="K6743" s="1348"/>
    </row>
    <row r="6744" spans="2:11" hidden="1">
      <c r="B6744" s="1348"/>
      <c r="C6744" s="1348"/>
      <c r="D6744" s="1348"/>
      <c r="E6744" s="1348"/>
      <c r="F6744" s="1348"/>
      <c r="G6744" s="1348"/>
      <c r="H6744" s="1348"/>
      <c r="I6744" s="1348"/>
      <c r="J6744" s="1348"/>
      <c r="K6744" s="1348"/>
    </row>
    <row r="6745" spans="2:11" hidden="1">
      <c r="B6745" s="1348"/>
      <c r="C6745" s="1348"/>
      <c r="D6745" s="1348"/>
      <c r="E6745" s="1348"/>
      <c r="F6745" s="1348"/>
      <c r="G6745" s="1348"/>
      <c r="H6745" s="1348"/>
      <c r="I6745" s="1348"/>
      <c r="J6745" s="1348"/>
      <c r="K6745" s="1348"/>
    </row>
    <row r="6746" spans="2:11" hidden="1">
      <c r="B6746" s="1348"/>
      <c r="C6746" s="1348"/>
      <c r="D6746" s="1348"/>
      <c r="E6746" s="1348"/>
      <c r="F6746" s="1348"/>
      <c r="G6746" s="1348"/>
      <c r="H6746" s="1348"/>
      <c r="I6746" s="1348"/>
      <c r="J6746" s="1348"/>
      <c r="K6746" s="1348"/>
    </row>
    <row r="6747" spans="2:11" hidden="1">
      <c r="B6747" s="1348"/>
      <c r="C6747" s="1348"/>
      <c r="D6747" s="1348"/>
      <c r="E6747" s="1348"/>
      <c r="F6747" s="1348"/>
      <c r="G6747" s="1348"/>
      <c r="H6747" s="1348"/>
      <c r="I6747" s="1348"/>
      <c r="J6747" s="1348"/>
      <c r="K6747" s="1348"/>
    </row>
    <row r="6748" spans="2:11" hidden="1">
      <c r="B6748" s="1348"/>
      <c r="C6748" s="1348"/>
      <c r="D6748" s="1348"/>
      <c r="E6748" s="1348"/>
      <c r="F6748" s="1348"/>
      <c r="G6748" s="1348"/>
      <c r="H6748" s="1348"/>
      <c r="I6748" s="1348"/>
      <c r="J6748" s="1348"/>
      <c r="K6748" s="1348"/>
    </row>
    <row r="6749" spans="2:11" hidden="1">
      <c r="B6749" s="1348"/>
      <c r="C6749" s="1348"/>
      <c r="D6749" s="1348"/>
      <c r="E6749" s="1348"/>
      <c r="F6749" s="1348"/>
      <c r="G6749" s="1348"/>
      <c r="H6749" s="1348"/>
      <c r="I6749" s="1348"/>
      <c r="J6749" s="1348"/>
      <c r="K6749" s="1348"/>
    </row>
    <row r="6750" spans="2:11" hidden="1">
      <c r="B6750" s="1348"/>
      <c r="C6750" s="1348"/>
      <c r="D6750" s="1348"/>
      <c r="E6750" s="1348"/>
      <c r="F6750" s="1348"/>
      <c r="G6750" s="1348"/>
      <c r="H6750" s="1348"/>
      <c r="I6750" s="1348"/>
      <c r="J6750" s="1348"/>
      <c r="K6750" s="1348"/>
    </row>
    <row r="6751" spans="2:11" hidden="1">
      <c r="B6751" s="1348"/>
      <c r="C6751" s="1348"/>
      <c r="D6751" s="1348"/>
      <c r="E6751" s="1348"/>
      <c r="F6751" s="1348"/>
      <c r="G6751" s="1348"/>
      <c r="H6751" s="1348"/>
      <c r="I6751" s="1348"/>
      <c r="J6751" s="1348"/>
      <c r="K6751" s="1348"/>
    </row>
    <row r="6752" spans="2:11" hidden="1">
      <c r="B6752" s="1348"/>
      <c r="C6752" s="1348"/>
      <c r="D6752" s="1348"/>
      <c r="E6752" s="1348"/>
      <c r="F6752" s="1348"/>
      <c r="G6752" s="1348"/>
      <c r="H6752" s="1348"/>
      <c r="I6752" s="1348"/>
      <c r="J6752" s="1348"/>
      <c r="K6752" s="1348"/>
    </row>
    <row r="6753" spans="2:11" hidden="1">
      <c r="B6753" s="1348"/>
      <c r="C6753" s="1348"/>
      <c r="D6753" s="1348"/>
      <c r="E6753" s="1348"/>
      <c r="F6753" s="1348"/>
      <c r="G6753" s="1348"/>
      <c r="H6753" s="1348"/>
      <c r="I6753" s="1348"/>
      <c r="J6753" s="1348"/>
      <c r="K6753" s="1348"/>
    </row>
    <row r="6754" spans="2:11" hidden="1">
      <c r="B6754" s="1348"/>
      <c r="C6754" s="1348"/>
      <c r="D6754" s="1348"/>
      <c r="E6754" s="1348"/>
      <c r="F6754" s="1348"/>
      <c r="G6754" s="1348"/>
      <c r="H6754" s="1348"/>
      <c r="I6754" s="1348"/>
      <c r="J6754" s="1348"/>
      <c r="K6754" s="1348"/>
    </row>
    <row r="6755" spans="2:11" hidden="1">
      <c r="B6755" s="1348"/>
      <c r="C6755" s="1348"/>
      <c r="D6755" s="1348"/>
      <c r="E6755" s="1348"/>
      <c r="F6755" s="1348"/>
      <c r="G6755" s="1348"/>
      <c r="H6755" s="1348"/>
      <c r="I6755" s="1348"/>
      <c r="J6755" s="1348"/>
      <c r="K6755" s="1348"/>
    </row>
    <row r="6756" spans="2:11" hidden="1">
      <c r="B6756" s="1348"/>
      <c r="C6756" s="1348"/>
      <c r="D6756" s="1348"/>
      <c r="E6756" s="1348"/>
      <c r="F6756" s="1348"/>
      <c r="G6756" s="1348"/>
      <c r="H6756" s="1348"/>
      <c r="I6756" s="1348"/>
      <c r="J6756" s="1348"/>
      <c r="K6756" s="1348"/>
    </row>
    <row r="6757" spans="2:11" hidden="1">
      <c r="B6757" s="1348"/>
      <c r="C6757" s="1348"/>
      <c r="D6757" s="1348"/>
      <c r="E6757" s="1348"/>
      <c r="F6757" s="1348"/>
      <c r="G6757" s="1348"/>
      <c r="H6757" s="1348"/>
      <c r="I6757" s="1348"/>
      <c r="J6757" s="1348"/>
      <c r="K6757" s="1348"/>
    </row>
    <row r="6758" spans="2:11" hidden="1">
      <c r="B6758" s="1348"/>
      <c r="C6758" s="1348"/>
      <c r="D6758" s="1348"/>
      <c r="E6758" s="1348"/>
      <c r="F6758" s="1348"/>
      <c r="G6758" s="1348"/>
      <c r="H6758" s="1348"/>
      <c r="I6758" s="1348"/>
      <c r="J6758" s="1348"/>
      <c r="K6758" s="1348"/>
    </row>
    <row r="6759" spans="2:11" hidden="1">
      <c r="B6759" s="1348"/>
      <c r="C6759" s="1348"/>
      <c r="D6759" s="1348"/>
      <c r="E6759" s="1348"/>
      <c r="F6759" s="1348"/>
      <c r="G6759" s="1348"/>
      <c r="H6759" s="1348"/>
      <c r="I6759" s="1348"/>
      <c r="J6759" s="1348"/>
      <c r="K6759" s="1348"/>
    </row>
    <row r="6760" spans="2:11" hidden="1">
      <c r="B6760" s="1348"/>
      <c r="C6760" s="1348"/>
      <c r="D6760" s="1348"/>
      <c r="E6760" s="1348"/>
      <c r="F6760" s="1348"/>
      <c r="G6760" s="1348"/>
      <c r="H6760" s="1348"/>
      <c r="I6760" s="1348"/>
      <c r="J6760" s="1348"/>
      <c r="K6760" s="1348"/>
    </row>
    <row r="6761" spans="2:11" hidden="1">
      <c r="B6761" s="1348"/>
      <c r="C6761" s="1348"/>
      <c r="D6761" s="1348"/>
      <c r="E6761" s="1348"/>
      <c r="F6761" s="1348"/>
      <c r="G6761" s="1348"/>
      <c r="H6761" s="1348"/>
      <c r="I6761" s="1348"/>
      <c r="J6761" s="1348"/>
      <c r="K6761" s="1348"/>
    </row>
    <row r="6762" spans="2:11" hidden="1">
      <c r="B6762" s="1348"/>
      <c r="C6762" s="1348"/>
      <c r="D6762" s="1348"/>
      <c r="E6762" s="1348"/>
      <c r="F6762" s="1348"/>
      <c r="G6762" s="1348"/>
      <c r="H6762" s="1348"/>
      <c r="I6762" s="1348"/>
      <c r="J6762" s="1348"/>
      <c r="K6762" s="1348"/>
    </row>
    <row r="6763" spans="2:11" hidden="1">
      <c r="B6763" s="1348"/>
      <c r="C6763" s="1348"/>
      <c r="D6763" s="1348"/>
      <c r="E6763" s="1348"/>
      <c r="F6763" s="1348"/>
      <c r="G6763" s="1348"/>
      <c r="H6763" s="1348"/>
      <c r="I6763" s="1348"/>
      <c r="J6763" s="1348"/>
      <c r="K6763" s="1348"/>
    </row>
    <row r="6764" spans="2:11" hidden="1">
      <c r="B6764" s="1348"/>
      <c r="C6764" s="1348"/>
      <c r="D6764" s="1348"/>
      <c r="E6764" s="1348"/>
      <c r="F6764" s="1348"/>
      <c r="G6764" s="1348"/>
      <c r="H6764" s="1348"/>
      <c r="I6764" s="1348"/>
      <c r="J6764" s="1348"/>
      <c r="K6764" s="1348"/>
    </row>
    <row r="6765" spans="2:11" hidden="1">
      <c r="B6765" s="1348"/>
      <c r="C6765" s="1348"/>
      <c r="D6765" s="1348"/>
      <c r="E6765" s="1348"/>
      <c r="F6765" s="1348"/>
      <c r="G6765" s="1348"/>
      <c r="H6765" s="1348"/>
      <c r="I6765" s="1348"/>
      <c r="J6765" s="1348"/>
      <c r="K6765" s="1348"/>
    </row>
    <row r="6766" spans="2:11" hidden="1">
      <c r="B6766" s="1348"/>
      <c r="C6766" s="1348"/>
      <c r="D6766" s="1348"/>
      <c r="E6766" s="1348"/>
      <c r="F6766" s="1348"/>
      <c r="G6766" s="1348"/>
      <c r="H6766" s="1348"/>
      <c r="I6766" s="1348"/>
      <c r="J6766" s="1348"/>
      <c r="K6766" s="1348"/>
    </row>
    <row r="6767" spans="2:11" hidden="1">
      <c r="B6767" s="1348"/>
      <c r="C6767" s="1348"/>
      <c r="D6767" s="1348"/>
      <c r="E6767" s="1348"/>
      <c r="F6767" s="1348"/>
      <c r="G6767" s="1348"/>
      <c r="H6767" s="1348"/>
      <c r="I6767" s="1348"/>
      <c r="J6767" s="1348"/>
      <c r="K6767" s="1348"/>
    </row>
    <row r="6768" spans="2:11" hidden="1">
      <c r="B6768" s="1348"/>
      <c r="C6768" s="1348"/>
      <c r="D6768" s="1348"/>
      <c r="E6768" s="1348"/>
      <c r="F6768" s="1348"/>
      <c r="G6768" s="1348"/>
      <c r="H6768" s="1348"/>
      <c r="I6768" s="1348"/>
      <c r="J6768" s="1348"/>
      <c r="K6768" s="1348"/>
    </row>
    <row r="6769" spans="2:11" hidden="1">
      <c r="B6769" s="1348"/>
      <c r="C6769" s="1348"/>
      <c r="D6769" s="1348"/>
      <c r="E6769" s="1348"/>
      <c r="F6769" s="1348"/>
      <c r="G6769" s="1348"/>
      <c r="H6769" s="1348"/>
      <c r="I6769" s="1348"/>
      <c r="J6769" s="1348"/>
      <c r="K6769" s="1348"/>
    </row>
    <row r="6770" spans="2:11" hidden="1">
      <c r="B6770" s="1348"/>
      <c r="C6770" s="1348"/>
      <c r="D6770" s="1348"/>
      <c r="E6770" s="1348"/>
      <c r="F6770" s="1348"/>
      <c r="G6770" s="1348"/>
      <c r="H6770" s="1348"/>
      <c r="I6770" s="1348"/>
      <c r="J6770" s="1348"/>
      <c r="K6770" s="1348"/>
    </row>
    <row r="6771" spans="2:11" hidden="1">
      <c r="B6771" s="1348"/>
      <c r="C6771" s="1348"/>
      <c r="D6771" s="1348"/>
      <c r="E6771" s="1348"/>
      <c r="F6771" s="1348"/>
      <c r="G6771" s="1348"/>
      <c r="H6771" s="1348"/>
      <c r="I6771" s="1348"/>
      <c r="J6771" s="1348"/>
      <c r="K6771" s="1348"/>
    </row>
    <row r="6772" spans="2:11" hidden="1">
      <c r="B6772" s="1348"/>
      <c r="C6772" s="1348"/>
      <c r="D6772" s="1348"/>
      <c r="E6772" s="1348"/>
      <c r="F6772" s="1348"/>
      <c r="G6772" s="1348"/>
      <c r="H6772" s="1348"/>
      <c r="I6772" s="1348"/>
      <c r="J6772" s="1348"/>
      <c r="K6772" s="1348"/>
    </row>
    <row r="6773" spans="2:11" hidden="1">
      <c r="B6773" s="1348"/>
      <c r="C6773" s="1348"/>
      <c r="D6773" s="1348"/>
      <c r="E6773" s="1348"/>
      <c r="F6773" s="1348"/>
      <c r="G6773" s="1348"/>
      <c r="H6773" s="1348"/>
      <c r="I6773" s="1348"/>
      <c r="J6773" s="1348"/>
      <c r="K6773" s="1348"/>
    </row>
    <row r="6774" spans="2:11" hidden="1">
      <c r="B6774" s="1348"/>
      <c r="C6774" s="1348"/>
      <c r="D6774" s="1348"/>
      <c r="E6774" s="1348"/>
      <c r="F6774" s="1348"/>
      <c r="G6774" s="1348"/>
      <c r="H6774" s="1348"/>
      <c r="I6774" s="1348"/>
      <c r="J6774" s="1348"/>
      <c r="K6774" s="1348"/>
    </row>
    <row r="6775" spans="2:11" hidden="1">
      <c r="B6775" s="1348"/>
      <c r="C6775" s="1348"/>
      <c r="D6775" s="1348"/>
      <c r="E6775" s="1348"/>
      <c r="F6775" s="1348"/>
      <c r="G6775" s="1348"/>
      <c r="H6775" s="1348"/>
      <c r="I6775" s="1348"/>
      <c r="J6775" s="1348"/>
      <c r="K6775" s="1348"/>
    </row>
    <row r="6776" spans="2:11" hidden="1">
      <c r="B6776" s="1348"/>
      <c r="C6776" s="1348"/>
      <c r="D6776" s="1348"/>
      <c r="E6776" s="1348"/>
      <c r="F6776" s="1348"/>
      <c r="G6776" s="1348"/>
      <c r="H6776" s="1348"/>
      <c r="I6776" s="1348"/>
      <c r="J6776" s="1348"/>
      <c r="K6776" s="1348"/>
    </row>
    <row r="6777" spans="2:11" hidden="1">
      <c r="B6777" s="1348"/>
      <c r="C6777" s="1348"/>
      <c r="D6777" s="1348"/>
      <c r="E6777" s="1348"/>
      <c r="F6777" s="1348"/>
      <c r="G6777" s="1348"/>
      <c r="H6777" s="1348"/>
      <c r="I6777" s="1348"/>
      <c r="J6777" s="1348"/>
      <c r="K6777" s="1348"/>
    </row>
    <row r="6778" spans="2:11" hidden="1">
      <c r="B6778" s="1348"/>
      <c r="C6778" s="1348"/>
      <c r="D6778" s="1348"/>
      <c r="E6778" s="1348"/>
      <c r="F6778" s="1348"/>
      <c r="G6778" s="1348"/>
      <c r="H6778" s="1348"/>
      <c r="I6778" s="1348"/>
      <c r="J6778" s="1348"/>
      <c r="K6778" s="1348"/>
    </row>
    <row r="6779" spans="2:11" hidden="1">
      <c r="B6779" s="1348"/>
      <c r="C6779" s="1348"/>
      <c r="D6779" s="1348"/>
      <c r="E6779" s="1348"/>
      <c r="F6779" s="1348"/>
      <c r="G6779" s="1348"/>
      <c r="H6779" s="1348"/>
      <c r="I6779" s="1348"/>
      <c r="J6779" s="1348"/>
      <c r="K6779" s="1348"/>
    </row>
    <row r="6780" spans="2:11" hidden="1">
      <c r="B6780" s="1348"/>
      <c r="C6780" s="1348"/>
      <c r="D6780" s="1348"/>
      <c r="E6780" s="1348"/>
      <c r="F6780" s="1348"/>
      <c r="G6780" s="1348"/>
      <c r="H6780" s="1348"/>
      <c r="I6780" s="1348"/>
      <c r="J6780" s="1348"/>
      <c r="K6780" s="1348"/>
    </row>
    <row r="6781" spans="2:11" hidden="1">
      <c r="B6781" s="1348"/>
      <c r="C6781" s="1348"/>
      <c r="D6781" s="1348"/>
      <c r="E6781" s="1348"/>
      <c r="F6781" s="1348"/>
      <c r="G6781" s="1348"/>
      <c r="H6781" s="1348"/>
      <c r="I6781" s="1348"/>
      <c r="J6781" s="1348"/>
      <c r="K6781" s="1348"/>
    </row>
    <row r="6782" spans="2:11" hidden="1">
      <c r="B6782" s="1348"/>
      <c r="C6782" s="1348"/>
      <c r="D6782" s="1348"/>
      <c r="E6782" s="1348"/>
      <c r="F6782" s="1348"/>
      <c r="G6782" s="1348"/>
      <c r="H6782" s="1348"/>
      <c r="I6782" s="1348"/>
      <c r="J6782" s="1348"/>
      <c r="K6782" s="1348"/>
    </row>
    <row r="6783" spans="2:11" hidden="1">
      <c r="B6783" s="1348"/>
      <c r="C6783" s="1348"/>
      <c r="D6783" s="1348"/>
      <c r="E6783" s="1348"/>
      <c r="F6783" s="1348"/>
      <c r="G6783" s="1348"/>
      <c r="H6783" s="1348"/>
      <c r="I6783" s="1348"/>
      <c r="J6783" s="1348"/>
      <c r="K6783" s="1348"/>
    </row>
    <row r="6784" spans="2:11" hidden="1">
      <c r="B6784" s="1348"/>
      <c r="C6784" s="1348"/>
      <c r="D6784" s="1348"/>
      <c r="E6784" s="1348"/>
      <c r="F6784" s="1348"/>
      <c r="G6784" s="1348"/>
      <c r="H6784" s="1348"/>
      <c r="I6784" s="1348"/>
      <c r="J6784" s="1348"/>
      <c r="K6784" s="1348"/>
    </row>
    <row r="6785" spans="2:11" hidden="1">
      <c r="B6785" s="1348"/>
      <c r="C6785" s="1348"/>
      <c r="D6785" s="1348"/>
      <c r="E6785" s="1348"/>
      <c r="F6785" s="1348"/>
      <c r="G6785" s="1348"/>
      <c r="H6785" s="1348"/>
      <c r="I6785" s="1348"/>
      <c r="J6785" s="1348"/>
      <c r="K6785" s="1348"/>
    </row>
    <row r="6786" spans="2:11" hidden="1">
      <c r="B6786" s="1348"/>
      <c r="C6786" s="1348"/>
      <c r="D6786" s="1348"/>
      <c r="E6786" s="1348"/>
      <c r="F6786" s="1348"/>
      <c r="G6786" s="1348"/>
      <c r="H6786" s="1348"/>
      <c r="I6786" s="1348"/>
      <c r="J6786" s="1348"/>
      <c r="K6786" s="1348"/>
    </row>
    <row r="6787" spans="2:11" hidden="1">
      <c r="B6787" s="1348"/>
      <c r="C6787" s="1348"/>
      <c r="D6787" s="1348"/>
      <c r="E6787" s="1348"/>
      <c r="F6787" s="1348"/>
      <c r="G6787" s="1348"/>
      <c r="H6787" s="1348"/>
      <c r="I6787" s="1348"/>
      <c r="J6787" s="1348"/>
      <c r="K6787" s="1348"/>
    </row>
    <row r="6788" spans="2:11" hidden="1">
      <c r="B6788" s="1348"/>
      <c r="C6788" s="1348"/>
      <c r="D6788" s="1348"/>
      <c r="E6788" s="1348"/>
      <c r="F6788" s="1348"/>
      <c r="G6788" s="1348"/>
      <c r="H6788" s="1348"/>
      <c r="I6788" s="1348"/>
      <c r="J6788" s="1348"/>
      <c r="K6788" s="1348"/>
    </row>
    <row r="6789" spans="2:11" hidden="1">
      <c r="B6789" s="1348"/>
      <c r="C6789" s="1348"/>
      <c r="D6789" s="1348"/>
      <c r="E6789" s="1348"/>
      <c r="F6789" s="1348"/>
      <c r="G6789" s="1348"/>
      <c r="H6789" s="1348"/>
      <c r="I6789" s="1348"/>
      <c r="J6789" s="1348"/>
      <c r="K6789" s="1348"/>
    </row>
    <row r="6790" spans="2:11" hidden="1">
      <c r="B6790" s="1348"/>
      <c r="C6790" s="1348"/>
      <c r="D6790" s="1348"/>
      <c r="E6790" s="1348"/>
      <c r="F6790" s="1348"/>
      <c r="G6790" s="1348"/>
      <c r="H6790" s="1348"/>
      <c r="I6790" s="1348"/>
      <c r="J6790" s="1348"/>
      <c r="K6790" s="1348"/>
    </row>
    <row r="6791" spans="2:11" hidden="1">
      <c r="B6791" s="1348"/>
      <c r="C6791" s="1348"/>
      <c r="D6791" s="1348"/>
      <c r="E6791" s="1348"/>
      <c r="F6791" s="1348"/>
      <c r="G6791" s="1348"/>
      <c r="H6791" s="1348"/>
      <c r="I6791" s="1348"/>
      <c r="J6791" s="1348"/>
      <c r="K6791" s="1348"/>
    </row>
    <row r="6792" spans="2:11" hidden="1">
      <c r="B6792" s="1348"/>
      <c r="C6792" s="1348"/>
      <c r="D6792" s="1348"/>
      <c r="E6792" s="1348"/>
      <c r="F6792" s="1348"/>
      <c r="G6792" s="1348"/>
      <c r="H6792" s="1348"/>
      <c r="I6792" s="1348"/>
      <c r="J6792" s="1348"/>
      <c r="K6792" s="1348"/>
    </row>
    <row r="6793" spans="2:11" hidden="1">
      <c r="B6793" s="1348"/>
      <c r="C6793" s="1348"/>
      <c r="D6793" s="1348"/>
      <c r="E6793" s="1348"/>
      <c r="F6793" s="1348"/>
      <c r="G6793" s="1348"/>
      <c r="H6793" s="1348"/>
      <c r="I6793" s="1348"/>
      <c r="J6793" s="1348"/>
      <c r="K6793" s="1348"/>
    </row>
    <row r="6794" spans="2:11" hidden="1">
      <c r="B6794" s="1348"/>
      <c r="C6794" s="1348"/>
      <c r="D6794" s="1348"/>
      <c r="E6794" s="1348"/>
      <c r="F6794" s="1348"/>
      <c r="G6794" s="1348"/>
      <c r="H6794" s="1348"/>
      <c r="I6794" s="1348"/>
      <c r="J6794" s="1348"/>
      <c r="K6794" s="1348"/>
    </row>
    <row r="6795" spans="2:11" hidden="1">
      <c r="B6795" s="1348"/>
      <c r="C6795" s="1348"/>
      <c r="D6795" s="1348"/>
      <c r="E6795" s="1348"/>
      <c r="F6795" s="1348"/>
      <c r="G6795" s="1348"/>
      <c r="H6795" s="1348"/>
      <c r="I6795" s="1348"/>
      <c r="J6795" s="1348"/>
      <c r="K6795" s="1348"/>
    </row>
    <row r="6796" spans="2:11" hidden="1">
      <c r="B6796" s="1348"/>
      <c r="C6796" s="1348"/>
      <c r="D6796" s="1348"/>
      <c r="E6796" s="1348"/>
      <c r="F6796" s="1348"/>
      <c r="G6796" s="1348"/>
      <c r="H6796" s="1348"/>
      <c r="I6796" s="1348"/>
      <c r="J6796" s="1348"/>
      <c r="K6796" s="1348"/>
    </row>
    <row r="6797" spans="2:11" hidden="1">
      <c r="B6797" s="1348"/>
      <c r="C6797" s="1348"/>
      <c r="D6797" s="1348"/>
      <c r="E6797" s="1348"/>
      <c r="F6797" s="1348"/>
      <c r="G6797" s="1348"/>
      <c r="H6797" s="1348"/>
      <c r="I6797" s="1348"/>
      <c r="J6797" s="1348"/>
      <c r="K6797" s="1348"/>
    </row>
    <row r="6798" spans="2:11" hidden="1">
      <c r="B6798" s="1348"/>
      <c r="C6798" s="1348"/>
      <c r="D6798" s="1348"/>
      <c r="E6798" s="1348"/>
      <c r="F6798" s="1348"/>
      <c r="G6798" s="1348"/>
      <c r="H6798" s="1348"/>
      <c r="I6798" s="1348"/>
      <c r="J6798" s="1348"/>
      <c r="K6798" s="1348"/>
    </row>
    <row r="6799" spans="2:11" hidden="1">
      <c r="B6799" s="1348"/>
      <c r="C6799" s="1348"/>
      <c r="D6799" s="1348"/>
      <c r="E6799" s="1348"/>
      <c r="F6799" s="1348"/>
      <c r="G6799" s="1348"/>
      <c r="H6799" s="1348"/>
      <c r="I6799" s="1348"/>
      <c r="J6799" s="1348"/>
      <c r="K6799" s="1348"/>
    </row>
    <row r="6800" spans="2:11" hidden="1">
      <c r="B6800" s="1348"/>
      <c r="C6800" s="1348"/>
      <c r="D6800" s="1348"/>
      <c r="E6800" s="1348"/>
      <c r="F6800" s="1348"/>
      <c r="G6800" s="1348"/>
      <c r="H6800" s="1348"/>
      <c r="I6800" s="1348"/>
      <c r="J6800" s="1348"/>
      <c r="K6800" s="1348"/>
    </row>
    <row r="6801" spans="2:11" hidden="1">
      <c r="B6801" s="1348"/>
      <c r="C6801" s="1348"/>
      <c r="D6801" s="1348"/>
      <c r="E6801" s="1348"/>
      <c r="F6801" s="1348"/>
      <c r="G6801" s="1348"/>
      <c r="H6801" s="1348"/>
      <c r="I6801" s="1348"/>
      <c r="J6801" s="1348"/>
      <c r="K6801" s="1348"/>
    </row>
    <row r="6802" spans="2:11" hidden="1">
      <c r="B6802" s="1348"/>
      <c r="C6802" s="1348"/>
      <c r="D6802" s="1348"/>
      <c r="E6802" s="1348"/>
      <c r="F6802" s="1348"/>
      <c r="G6802" s="1348"/>
      <c r="H6802" s="1348"/>
      <c r="I6802" s="1348"/>
      <c r="J6802" s="1348"/>
      <c r="K6802" s="1348"/>
    </row>
    <row r="6803" spans="2:11" hidden="1">
      <c r="B6803" s="1348"/>
      <c r="C6803" s="1348"/>
      <c r="D6803" s="1348"/>
      <c r="E6803" s="1348"/>
      <c r="F6803" s="1348"/>
      <c r="G6803" s="1348"/>
      <c r="H6803" s="1348"/>
      <c r="I6803" s="1348"/>
      <c r="J6803" s="1348"/>
      <c r="K6803" s="1348"/>
    </row>
    <row r="6804" spans="2:11" hidden="1">
      <c r="B6804" s="1348"/>
      <c r="C6804" s="1348"/>
      <c r="D6804" s="1348"/>
      <c r="E6804" s="1348"/>
      <c r="F6804" s="1348"/>
      <c r="G6804" s="1348"/>
      <c r="H6804" s="1348"/>
      <c r="I6804" s="1348"/>
      <c r="J6804" s="1348"/>
      <c r="K6804" s="1348"/>
    </row>
    <row r="6805" spans="2:11" hidden="1">
      <c r="B6805" s="1348"/>
      <c r="C6805" s="1348"/>
      <c r="D6805" s="1348"/>
      <c r="E6805" s="1348"/>
      <c r="F6805" s="1348"/>
      <c r="G6805" s="1348"/>
      <c r="H6805" s="1348"/>
      <c r="I6805" s="1348"/>
      <c r="J6805" s="1348"/>
      <c r="K6805" s="1348"/>
    </row>
    <row r="6806" spans="2:11" hidden="1">
      <c r="B6806" s="1348"/>
      <c r="C6806" s="1348"/>
      <c r="D6806" s="1348"/>
      <c r="E6806" s="1348"/>
      <c r="F6806" s="1348"/>
      <c r="G6806" s="1348"/>
      <c r="H6806" s="1348"/>
      <c r="I6806" s="1348"/>
      <c r="J6806" s="1348"/>
      <c r="K6806" s="1348"/>
    </row>
    <row r="6807" spans="2:11" hidden="1">
      <c r="B6807" s="1348"/>
      <c r="C6807" s="1348"/>
      <c r="D6807" s="1348"/>
      <c r="E6807" s="1348"/>
      <c r="F6807" s="1348"/>
      <c r="G6807" s="1348"/>
      <c r="H6807" s="1348"/>
      <c r="I6807" s="1348"/>
      <c r="J6807" s="1348"/>
      <c r="K6807" s="1348"/>
    </row>
    <row r="6808" spans="2:11" hidden="1">
      <c r="B6808" s="1348"/>
      <c r="C6808" s="1348"/>
      <c r="D6808" s="1348"/>
      <c r="E6808" s="1348"/>
      <c r="F6808" s="1348"/>
      <c r="G6808" s="1348"/>
      <c r="H6808" s="1348"/>
      <c r="I6808" s="1348"/>
      <c r="J6808" s="1348"/>
      <c r="K6808" s="1348"/>
    </row>
    <row r="6809" spans="2:11" hidden="1">
      <c r="B6809" s="1348"/>
      <c r="C6809" s="1348"/>
      <c r="D6809" s="1348"/>
      <c r="E6809" s="1348"/>
      <c r="F6809" s="1348"/>
      <c r="G6809" s="1348"/>
      <c r="H6809" s="1348"/>
      <c r="I6809" s="1348"/>
      <c r="J6809" s="1348"/>
      <c r="K6809" s="1348"/>
    </row>
    <row r="6810" spans="2:11" hidden="1">
      <c r="B6810" s="1348"/>
      <c r="C6810" s="1348"/>
      <c r="D6810" s="1348"/>
      <c r="E6810" s="1348"/>
      <c r="F6810" s="1348"/>
      <c r="G6810" s="1348"/>
      <c r="H6810" s="1348"/>
      <c r="I6810" s="1348"/>
      <c r="J6810" s="1348"/>
      <c r="K6810" s="1348"/>
    </row>
    <row r="6811" spans="2:11" hidden="1">
      <c r="B6811" s="1348"/>
      <c r="C6811" s="1348"/>
      <c r="D6811" s="1348"/>
      <c r="E6811" s="1348"/>
      <c r="F6811" s="1348"/>
      <c r="G6811" s="1348"/>
      <c r="H6811" s="1348"/>
      <c r="I6811" s="1348"/>
      <c r="J6811" s="1348"/>
      <c r="K6811" s="1348"/>
    </row>
    <row r="6812" spans="2:11" hidden="1">
      <c r="B6812" s="1348"/>
      <c r="C6812" s="1348"/>
      <c r="D6812" s="1348"/>
      <c r="E6812" s="1348"/>
      <c r="F6812" s="1348"/>
      <c r="G6812" s="1348"/>
      <c r="H6812" s="1348"/>
      <c r="I6812" s="1348"/>
      <c r="J6812" s="1348"/>
      <c r="K6812" s="1348"/>
    </row>
    <row r="6813" spans="2:11" hidden="1">
      <c r="B6813" s="1348"/>
      <c r="C6813" s="1348"/>
      <c r="D6813" s="1348"/>
      <c r="E6813" s="1348"/>
      <c r="F6813" s="1348"/>
      <c r="G6813" s="1348"/>
      <c r="H6813" s="1348"/>
      <c r="I6813" s="1348"/>
      <c r="J6813" s="1348"/>
      <c r="K6813" s="1348"/>
    </row>
    <row r="6814" spans="2:11" hidden="1">
      <c r="B6814" s="1348"/>
      <c r="C6814" s="1348"/>
      <c r="D6814" s="1348"/>
      <c r="E6814" s="1348"/>
      <c r="F6814" s="1348"/>
      <c r="G6814" s="1348"/>
      <c r="H6814" s="1348"/>
      <c r="I6814" s="1348"/>
      <c r="J6814" s="1348"/>
      <c r="K6814" s="1348"/>
    </row>
    <row r="6815" spans="2:11" hidden="1">
      <c r="B6815" s="1348"/>
      <c r="C6815" s="1348"/>
      <c r="D6815" s="1348"/>
      <c r="E6815" s="1348"/>
      <c r="F6815" s="1348"/>
      <c r="G6815" s="1348"/>
      <c r="H6815" s="1348"/>
      <c r="I6815" s="1348"/>
      <c r="J6815" s="1348"/>
      <c r="K6815" s="1348"/>
    </row>
    <row r="6816" spans="2:11" hidden="1">
      <c r="B6816" s="1348"/>
      <c r="C6816" s="1348"/>
      <c r="D6816" s="1348"/>
      <c r="E6816" s="1348"/>
      <c r="F6816" s="1348"/>
      <c r="G6816" s="1348"/>
      <c r="H6816" s="1348"/>
      <c r="I6816" s="1348"/>
      <c r="J6816" s="1348"/>
      <c r="K6816" s="1348"/>
    </row>
    <row r="6817" spans="2:11" hidden="1">
      <c r="B6817" s="1348"/>
      <c r="C6817" s="1348"/>
      <c r="D6817" s="1348"/>
      <c r="E6817" s="1348"/>
      <c r="F6817" s="1348"/>
      <c r="G6817" s="1348"/>
      <c r="H6817" s="1348"/>
      <c r="I6817" s="1348"/>
      <c r="J6817" s="1348"/>
      <c r="K6817" s="1348"/>
    </row>
    <row r="6818" spans="2:11" hidden="1">
      <c r="B6818" s="1348"/>
      <c r="C6818" s="1348"/>
      <c r="D6818" s="1348"/>
      <c r="E6818" s="1348"/>
      <c r="F6818" s="1348"/>
      <c r="G6818" s="1348"/>
      <c r="H6818" s="1348"/>
      <c r="I6818" s="1348"/>
      <c r="J6818" s="1348"/>
      <c r="K6818" s="1348"/>
    </row>
    <row r="6819" spans="2:11" hidden="1">
      <c r="B6819" s="1348"/>
      <c r="C6819" s="1348"/>
      <c r="D6819" s="1348"/>
      <c r="E6819" s="1348"/>
      <c r="F6819" s="1348"/>
      <c r="G6819" s="1348"/>
      <c r="H6819" s="1348"/>
      <c r="I6819" s="1348"/>
      <c r="J6819" s="1348"/>
      <c r="K6819" s="1348"/>
    </row>
    <row r="6820" spans="2:11" hidden="1">
      <c r="B6820" s="1348"/>
      <c r="C6820" s="1348"/>
      <c r="D6820" s="1348"/>
      <c r="E6820" s="1348"/>
      <c r="F6820" s="1348"/>
      <c r="G6820" s="1348"/>
      <c r="H6820" s="1348"/>
      <c r="I6820" s="1348"/>
      <c r="J6820" s="1348"/>
      <c r="K6820" s="1348"/>
    </row>
    <row r="6821" spans="2:11" hidden="1">
      <c r="B6821" s="1348"/>
      <c r="C6821" s="1348"/>
      <c r="D6821" s="1348"/>
      <c r="E6821" s="1348"/>
      <c r="F6821" s="1348"/>
      <c r="G6821" s="1348"/>
      <c r="H6821" s="1348"/>
      <c r="I6821" s="1348"/>
      <c r="J6821" s="1348"/>
      <c r="K6821" s="1348"/>
    </row>
    <row r="6822" spans="2:11" hidden="1">
      <c r="B6822" s="1348"/>
      <c r="C6822" s="1348"/>
      <c r="D6822" s="1348"/>
      <c r="E6822" s="1348"/>
      <c r="F6822" s="1348"/>
      <c r="G6822" s="1348"/>
      <c r="H6822" s="1348"/>
      <c r="I6822" s="1348"/>
      <c r="J6822" s="1348"/>
      <c r="K6822" s="1348"/>
    </row>
    <row r="6823" spans="2:11" hidden="1">
      <c r="B6823" s="1348"/>
      <c r="C6823" s="1348"/>
      <c r="D6823" s="1348"/>
      <c r="E6823" s="1348"/>
      <c r="F6823" s="1348"/>
      <c r="G6823" s="1348"/>
      <c r="H6823" s="1348"/>
      <c r="I6823" s="1348"/>
      <c r="J6823" s="1348"/>
      <c r="K6823" s="1348"/>
    </row>
    <row r="6824" spans="2:11" hidden="1">
      <c r="B6824" s="1348"/>
      <c r="C6824" s="1348"/>
      <c r="D6824" s="1348"/>
      <c r="E6824" s="1348"/>
      <c r="F6824" s="1348"/>
      <c r="G6824" s="1348"/>
      <c r="H6824" s="1348"/>
      <c r="I6824" s="1348"/>
      <c r="J6824" s="1348"/>
      <c r="K6824" s="1348"/>
    </row>
    <row r="6825" spans="2:11" hidden="1">
      <c r="B6825" s="1348"/>
      <c r="C6825" s="1348"/>
      <c r="D6825" s="1348"/>
      <c r="E6825" s="1348"/>
      <c r="F6825" s="1348"/>
      <c r="G6825" s="1348"/>
      <c r="H6825" s="1348"/>
      <c r="I6825" s="1348"/>
      <c r="J6825" s="1348"/>
      <c r="K6825" s="1348"/>
    </row>
    <row r="6826" spans="2:11" hidden="1">
      <c r="B6826" s="1348"/>
      <c r="C6826" s="1348"/>
      <c r="D6826" s="1348"/>
      <c r="E6826" s="1348"/>
      <c r="F6826" s="1348"/>
      <c r="G6826" s="1348"/>
      <c r="H6826" s="1348"/>
      <c r="I6826" s="1348"/>
      <c r="J6826" s="1348"/>
      <c r="K6826" s="1348"/>
    </row>
    <row r="6827" spans="2:11" hidden="1">
      <c r="B6827" s="1348"/>
      <c r="C6827" s="1348"/>
      <c r="D6827" s="1348"/>
      <c r="E6827" s="1348"/>
      <c r="F6827" s="1348"/>
      <c r="G6827" s="1348"/>
      <c r="H6827" s="1348"/>
      <c r="I6827" s="1348"/>
      <c r="J6827" s="1348"/>
      <c r="K6827" s="1348"/>
    </row>
    <row r="6828" spans="2:11" hidden="1">
      <c r="B6828" s="1348"/>
      <c r="C6828" s="1348"/>
      <c r="D6828" s="1348"/>
      <c r="E6828" s="1348"/>
      <c r="F6828" s="1348"/>
      <c r="G6828" s="1348"/>
      <c r="H6828" s="1348"/>
      <c r="I6828" s="1348"/>
      <c r="J6828" s="1348"/>
      <c r="K6828" s="1348"/>
    </row>
    <row r="6829" spans="2:11" hidden="1">
      <c r="B6829" s="1348"/>
      <c r="C6829" s="1348"/>
      <c r="D6829" s="1348"/>
      <c r="E6829" s="1348"/>
      <c r="F6829" s="1348"/>
      <c r="G6829" s="1348"/>
      <c r="H6829" s="1348"/>
      <c r="I6829" s="1348"/>
      <c r="J6829" s="1348"/>
      <c r="K6829" s="1348"/>
    </row>
    <row r="6830" spans="2:11" hidden="1">
      <c r="B6830" s="1348"/>
      <c r="C6830" s="1348"/>
      <c r="D6830" s="1348"/>
      <c r="E6830" s="1348"/>
      <c r="F6830" s="1348"/>
      <c r="G6830" s="1348"/>
      <c r="H6830" s="1348"/>
      <c r="I6830" s="1348"/>
      <c r="J6830" s="1348"/>
      <c r="K6830" s="1348"/>
    </row>
    <row r="6831" spans="2:11" hidden="1">
      <c r="B6831" s="1348"/>
      <c r="C6831" s="1348"/>
      <c r="D6831" s="1348"/>
      <c r="E6831" s="1348"/>
      <c r="F6831" s="1348"/>
      <c r="G6831" s="1348"/>
      <c r="H6831" s="1348"/>
      <c r="I6831" s="1348"/>
      <c r="J6831" s="1348"/>
      <c r="K6831" s="1348"/>
    </row>
    <row r="6832" spans="2:11" hidden="1">
      <c r="B6832" s="1348"/>
      <c r="C6832" s="1348"/>
      <c r="D6832" s="1348"/>
      <c r="E6832" s="1348"/>
      <c r="F6832" s="1348"/>
      <c r="G6832" s="1348"/>
      <c r="H6832" s="1348"/>
      <c r="I6832" s="1348"/>
      <c r="J6832" s="1348"/>
      <c r="K6832" s="1348"/>
    </row>
    <row r="6833" spans="2:11" hidden="1">
      <c r="B6833" s="1348"/>
      <c r="C6833" s="1348"/>
      <c r="D6833" s="1348"/>
      <c r="E6833" s="1348"/>
      <c r="F6833" s="1348"/>
      <c r="G6833" s="1348"/>
      <c r="H6833" s="1348"/>
      <c r="I6833" s="1348"/>
      <c r="J6833" s="1348"/>
      <c r="K6833" s="1348"/>
    </row>
    <row r="6834" spans="2:11" hidden="1">
      <c r="B6834" s="1348"/>
      <c r="C6834" s="1348"/>
      <c r="D6834" s="1348"/>
      <c r="E6834" s="1348"/>
      <c r="F6834" s="1348"/>
      <c r="G6834" s="1348"/>
      <c r="H6834" s="1348"/>
      <c r="I6834" s="1348"/>
      <c r="J6834" s="1348"/>
      <c r="K6834" s="1348"/>
    </row>
    <row r="6835" spans="2:11" hidden="1">
      <c r="B6835" s="1348"/>
      <c r="C6835" s="1348"/>
      <c r="D6835" s="1348"/>
      <c r="E6835" s="1348"/>
      <c r="F6835" s="1348"/>
      <c r="G6835" s="1348"/>
      <c r="H6835" s="1348"/>
      <c r="I6835" s="1348"/>
      <c r="J6835" s="1348"/>
      <c r="K6835" s="1348"/>
    </row>
    <row r="6836" spans="2:11" hidden="1">
      <c r="B6836" s="1348"/>
      <c r="C6836" s="1348"/>
      <c r="D6836" s="1348"/>
      <c r="E6836" s="1348"/>
      <c r="F6836" s="1348"/>
      <c r="G6836" s="1348"/>
      <c r="H6836" s="1348"/>
      <c r="I6836" s="1348"/>
      <c r="J6836" s="1348"/>
      <c r="K6836" s="1348"/>
    </row>
    <row r="6837" spans="2:11" hidden="1">
      <c r="B6837" s="1348"/>
      <c r="C6837" s="1348"/>
      <c r="D6837" s="1348"/>
      <c r="E6837" s="1348"/>
      <c r="F6837" s="1348"/>
      <c r="G6837" s="1348"/>
      <c r="H6837" s="1348"/>
      <c r="I6837" s="1348"/>
      <c r="J6837" s="1348"/>
      <c r="K6837" s="1348"/>
    </row>
    <row r="6838" spans="2:11" hidden="1">
      <c r="B6838" s="1348"/>
      <c r="C6838" s="1348"/>
      <c r="D6838" s="1348"/>
      <c r="E6838" s="1348"/>
      <c r="F6838" s="1348"/>
      <c r="G6838" s="1348"/>
      <c r="H6838" s="1348"/>
      <c r="I6838" s="1348"/>
      <c r="J6838" s="1348"/>
      <c r="K6838" s="1348"/>
    </row>
    <row r="6839" spans="2:11" hidden="1">
      <c r="B6839" s="1348"/>
      <c r="C6839" s="1348"/>
      <c r="D6839" s="1348"/>
      <c r="E6839" s="1348"/>
      <c r="F6839" s="1348"/>
      <c r="G6839" s="1348"/>
      <c r="H6839" s="1348"/>
      <c r="I6839" s="1348"/>
      <c r="J6839" s="1348"/>
      <c r="K6839" s="1348"/>
    </row>
    <row r="6840" spans="2:11" hidden="1">
      <c r="B6840" s="1348"/>
      <c r="C6840" s="1348"/>
      <c r="D6840" s="1348"/>
      <c r="E6840" s="1348"/>
      <c r="F6840" s="1348"/>
      <c r="G6840" s="1348"/>
      <c r="H6840" s="1348"/>
      <c r="I6840" s="1348"/>
      <c r="J6840" s="1348"/>
      <c r="K6840" s="1348"/>
    </row>
    <row r="6841" spans="2:11" hidden="1">
      <c r="B6841" s="1348"/>
      <c r="C6841" s="1348"/>
      <c r="D6841" s="1348"/>
      <c r="E6841" s="1348"/>
      <c r="F6841" s="1348"/>
      <c r="G6841" s="1348"/>
      <c r="H6841" s="1348"/>
      <c r="I6841" s="1348"/>
      <c r="J6841" s="1348"/>
      <c r="K6841" s="1348"/>
    </row>
    <row r="6842" spans="2:11" hidden="1">
      <c r="B6842" s="1348"/>
      <c r="C6842" s="1348"/>
      <c r="D6842" s="1348"/>
      <c r="E6842" s="1348"/>
      <c r="F6842" s="1348"/>
      <c r="G6842" s="1348"/>
      <c r="H6842" s="1348"/>
      <c r="I6842" s="1348"/>
      <c r="J6842" s="1348"/>
      <c r="K6842" s="1348"/>
    </row>
    <row r="6843" spans="2:11" hidden="1">
      <c r="B6843" s="1348"/>
      <c r="C6843" s="1348"/>
      <c r="D6843" s="1348"/>
      <c r="E6843" s="1348"/>
      <c r="F6843" s="1348"/>
      <c r="G6843" s="1348"/>
      <c r="H6843" s="1348"/>
      <c r="I6843" s="1348"/>
      <c r="J6843" s="1348"/>
      <c r="K6843" s="1348"/>
    </row>
    <row r="6844" spans="2:11" hidden="1">
      <c r="B6844" s="1348"/>
      <c r="C6844" s="1348"/>
      <c r="D6844" s="1348"/>
      <c r="E6844" s="1348"/>
      <c r="F6844" s="1348"/>
      <c r="G6844" s="1348"/>
      <c r="H6844" s="1348"/>
      <c r="I6844" s="1348"/>
      <c r="J6844" s="1348"/>
      <c r="K6844" s="1348"/>
    </row>
    <row r="6845" spans="2:11" hidden="1">
      <c r="B6845" s="1348"/>
      <c r="C6845" s="1348"/>
      <c r="D6845" s="1348"/>
      <c r="E6845" s="1348"/>
      <c r="F6845" s="1348"/>
      <c r="G6845" s="1348"/>
      <c r="H6845" s="1348"/>
      <c r="I6845" s="1348"/>
      <c r="J6845" s="1348"/>
      <c r="K6845" s="1348"/>
    </row>
    <row r="6846" spans="2:11" hidden="1">
      <c r="B6846" s="1348"/>
      <c r="C6846" s="1348"/>
      <c r="D6846" s="1348"/>
      <c r="E6846" s="1348"/>
      <c r="F6846" s="1348"/>
      <c r="G6846" s="1348"/>
      <c r="H6846" s="1348"/>
      <c r="I6846" s="1348"/>
      <c r="J6846" s="1348"/>
      <c r="K6846" s="1348"/>
    </row>
    <row r="6847" spans="2:11" hidden="1">
      <c r="B6847" s="1348"/>
      <c r="C6847" s="1348"/>
      <c r="D6847" s="1348"/>
      <c r="E6847" s="1348"/>
      <c r="F6847" s="1348"/>
      <c r="G6847" s="1348"/>
      <c r="H6847" s="1348"/>
      <c r="I6847" s="1348"/>
      <c r="J6847" s="1348"/>
      <c r="K6847" s="1348"/>
    </row>
    <row r="6848" spans="2:11" hidden="1">
      <c r="B6848" s="1348"/>
      <c r="C6848" s="1348"/>
      <c r="D6848" s="1348"/>
      <c r="E6848" s="1348"/>
      <c r="F6848" s="1348"/>
      <c r="G6848" s="1348"/>
      <c r="H6848" s="1348"/>
      <c r="I6848" s="1348"/>
      <c r="J6848" s="1348"/>
      <c r="K6848" s="1348"/>
    </row>
    <row r="6849" spans="2:11" hidden="1">
      <c r="B6849" s="1348"/>
      <c r="C6849" s="1348"/>
      <c r="D6849" s="1348"/>
      <c r="E6849" s="1348"/>
      <c r="F6849" s="1348"/>
      <c r="G6849" s="1348"/>
      <c r="H6849" s="1348"/>
      <c r="I6849" s="1348"/>
      <c r="J6849" s="1348"/>
      <c r="K6849" s="1348"/>
    </row>
    <row r="6850" spans="2:11" hidden="1">
      <c r="B6850" s="1348"/>
      <c r="C6850" s="1348"/>
      <c r="D6850" s="1348"/>
      <c r="E6850" s="1348"/>
      <c r="F6850" s="1348"/>
      <c r="G6850" s="1348"/>
      <c r="H6850" s="1348"/>
      <c r="I6850" s="1348"/>
      <c r="J6850" s="1348"/>
      <c r="K6850" s="1348"/>
    </row>
    <row r="6851" spans="2:11" hidden="1">
      <c r="B6851" s="1348"/>
      <c r="C6851" s="1348"/>
      <c r="D6851" s="1348"/>
      <c r="E6851" s="1348"/>
      <c r="F6851" s="1348"/>
      <c r="G6851" s="1348"/>
      <c r="H6851" s="1348"/>
      <c r="I6851" s="1348"/>
      <c r="J6851" s="1348"/>
      <c r="K6851" s="1348"/>
    </row>
    <row r="6852" spans="2:11" hidden="1">
      <c r="B6852" s="1348"/>
      <c r="C6852" s="1348"/>
      <c r="D6852" s="1348"/>
      <c r="E6852" s="1348"/>
      <c r="F6852" s="1348"/>
      <c r="G6852" s="1348"/>
      <c r="H6852" s="1348"/>
      <c r="I6852" s="1348"/>
      <c r="J6852" s="1348"/>
      <c r="K6852" s="1348"/>
    </row>
    <row r="6853" spans="2:11" hidden="1">
      <c r="B6853" s="1348"/>
      <c r="C6853" s="1348"/>
      <c r="D6853" s="1348"/>
      <c r="E6853" s="1348"/>
      <c r="F6853" s="1348"/>
      <c r="G6853" s="1348"/>
      <c r="H6853" s="1348"/>
      <c r="I6853" s="1348"/>
      <c r="J6853" s="1348"/>
      <c r="K6853" s="1348"/>
    </row>
    <row r="6854" spans="2:11" hidden="1">
      <c r="B6854" s="1348"/>
      <c r="C6854" s="1348"/>
      <c r="D6854" s="1348"/>
      <c r="E6854" s="1348"/>
      <c r="F6854" s="1348"/>
      <c r="G6854" s="1348"/>
      <c r="H6854" s="1348"/>
      <c r="I6854" s="1348"/>
      <c r="J6854" s="1348"/>
      <c r="K6854" s="1348"/>
    </row>
    <row r="6855" spans="2:11" hidden="1">
      <c r="B6855" s="1348"/>
      <c r="C6855" s="1348"/>
      <c r="D6855" s="1348"/>
      <c r="E6855" s="1348"/>
      <c r="F6855" s="1348"/>
      <c r="G6855" s="1348"/>
      <c r="H6855" s="1348"/>
      <c r="I6855" s="1348"/>
      <c r="J6855" s="1348"/>
      <c r="K6855" s="1348"/>
    </row>
    <row r="6856" spans="2:11" hidden="1">
      <c r="B6856" s="1348"/>
      <c r="C6856" s="1348"/>
      <c r="D6856" s="1348"/>
      <c r="E6856" s="1348"/>
      <c r="F6856" s="1348"/>
      <c r="G6856" s="1348"/>
      <c r="H6856" s="1348"/>
      <c r="I6856" s="1348"/>
      <c r="J6856" s="1348"/>
      <c r="K6856" s="1348"/>
    </row>
    <row r="6857" spans="2:11" hidden="1">
      <c r="B6857" s="1348"/>
      <c r="C6857" s="1348"/>
      <c r="D6857" s="1348"/>
      <c r="E6857" s="1348"/>
      <c r="F6857" s="1348"/>
      <c r="G6857" s="1348"/>
      <c r="H6857" s="1348"/>
      <c r="I6857" s="1348"/>
      <c r="J6857" s="1348"/>
      <c r="K6857" s="1348"/>
    </row>
    <row r="6858" spans="2:11" hidden="1">
      <c r="B6858" s="1348"/>
      <c r="C6858" s="1348"/>
      <c r="D6858" s="1348"/>
      <c r="E6858" s="1348"/>
      <c r="F6858" s="1348"/>
      <c r="G6858" s="1348"/>
      <c r="H6858" s="1348"/>
      <c r="I6858" s="1348"/>
      <c r="J6858" s="1348"/>
      <c r="K6858" s="1348"/>
    </row>
    <row r="6859" spans="2:11" hidden="1">
      <c r="B6859" s="1348"/>
      <c r="C6859" s="1348"/>
      <c r="D6859" s="1348"/>
      <c r="E6859" s="1348"/>
      <c r="F6859" s="1348"/>
      <c r="G6859" s="1348"/>
      <c r="H6859" s="1348"/>
      <c r="I6859" s="1348"/>
      <c r="J6859" s="1348"/>
      <c r="K6859" s="1348"/>
    </row>
    <row r="6860" spans="2:11" hidden="1">
      <c r="B6860" s="1348"/>
      <c r="C6860" s="1348"/>
      <c r="D6860" s="1348"/>
      <c r="E6860" s="1348"/>
      <c r="F6860" s="1348"/>
      <c r="G6860" s="1348"/>
      <c r="H6860" s="1348"/>
      <c r="I6860" s="1348"/>
      <c r="J6860" s="1348"/>
      <c r="K6860" s="1348"/>
    </row>
    <row r="6861" spans="2:11" hidden="1">
      <c r="B6861" s="1348"/>
      <c r="C6861" s="1348"/>
      <c r="D6861" s="1348"/>
      <c r="E6861" s="1348"/>
      <c r="F6861" s="1348"/>
      <c r="G6861" s="1348"/>
      <c r="H6861" s="1348"/>
      <c r="I6861" s="1348"/>
      <c r="J6861" s="1348"/>
      <c r="K6861" s="1348"/>
    </row>
    <row r="6862" spans="2:11" hidden="1">
      <c r="B6862" s="1348"/>
      <c r="C6862" s="1348"/>
      <c r="D6862" s="1348"/>
      <c r="E6862" s="1348"/>
      <c r="F6862" s="1348"/>
      <c r="G6862" s="1348"/>
      <c r="H6862" s="1348"/>
      <c r="I6862" s="1348"/>
      <c r="J6862" s="1348"/>
      <c r="K6862" s="1348"/>
    </row>
    <row r="6863" spans="2:11" hidden="1">
      <c r="B6863" s="1348"/>
      <c r="C6863" s="1348"/>
      <c r="D6863" s="1348"/>
      <c r="E6863" s="1348"/>
      <c r="F6863" s="1348"/>
      <c r="G6863" s="1348"/>
      <c r="H6863" s="1348"/>
      <c r="I6863" s="1348"/>
      <c r="J6863" s="1348"/>
      <c r="K6863" s="1348"/>
    </row>
    <row r="6864" spans="2:11" hidden="1">
      <c r="B6864" s="1348"/>
      <c r="C6864" s="1348"/>
      <c r="D6864" s="1348"/>
      <c r="E6864" s="1348"/>
      <c r="F6864" s="1348"/>
      <c r="G6864" s="1348"/>
      <c r="H6864" s="1348"/>
      <c r="I6864" s="1348"/>
      <c r="J6864" s="1348"/>
      <c r="K6864" s="1348"/>
    </row>
    <row r="6865" spans="2:11" hidden="1">
      <c r="B6865" s="1348"/>
      <c r="C6865" s="1348"/>
      <c r="D6865" s="1348"/>
      <c r="E6865" s="1348"/>
      <c r="F6865" s="1348"/>
      <c r="G6865" s="1348"/>
      <c r="H6865" s="1348"/>
      <c r="I6865" s="1348"/>
      <c r="J6865" s="1348"/>
      <c r="K6865" s="1348"/>
    </row>
    <row r="6866" spans="2:11" hidden="1">
      <c r="B6866" s="1348"/>
      <c r="C6866" s="1348"/>
      <c r="D6866" s="1348"/>
      <c r="E6866" s="1348"/>
      <c r="F6866" s="1348"/>
      <c r="G6866" s="1348"/>
      <c r="H6866" s="1348"/>
      <c r="I6866" s="1348"/>
      <c r="J6866" s="1348"/>
      <c r="K6866" s="1348"/>
    </row>
    <row r="6867" spans="2:11" hidden="1">
      <c r="B6867" s="1348"/>
      <c r="C6867" s="1348"/>
      <c r="D6867" s="1348"/>
      <c r="E6867" s="1348"/>
      <c r="F6867" s="1348"/>
      <c r="G6867" s="1348"/>
      <c r="H6867" s="1348"/>
      <c r="I6867" s="1348"/>
      <c r="J6867" s="1348"/>
      <c r="K6867" s="1348"/>
    </row>
    <row r="6868" spans="2:11" hidden="1">
      <c r="B6868" s="1348"/>
      <c r="C6868" s="1348"/>
      <c r="D6868" s="1348"/>
      <c r="E6868" s="1348"/>
      <c r="F6868" s="1348"/>
      <c r="G6868" s="1348"/>
      <c r="H6868" s="1348"/>
      <c r="I6868" s="1348"/>
      <c r="J6868" s="1348"/>
      <c r="K6868" s="1348"/>
    </row>
    <row r="6869" spans="2:11" hidden="1">
      <c r="B6869" s="1348"/>
      <c r="C6869" s="1348"/>
      <c r="D6869" s="1348"/>
      <c r="E6869" s="1348"/>
      <c r="F6869" s="1348"/>
      <c r="G6869" s="1348"/>
      <c r="H6869" s="1348"/>
      <c r="I6869" s="1348"/>
      <c r="J6869" s="1348"/>
      <c r="K6869" s="1348"/>
    </row>
    <row r="6870" spans="2:11" hidden="1">
      <c r="B6870" s="1348"/>
      <c r="C6870" s="1348"/>
      <c r="D6870" s="1348"/>
      <c r="E6870" s="1348"/>
      <c r="F6870" s="1348"/>
      <c r="G6870" s="1348"/>
      <c r="H6870" s="1348"/>
      <c r="I6870" s="1348"/>
      <c r="J6870" s="1348"/>
      <c r="K6870" s="1348"/>
    </row>
    <row r="6871" spans="2:11" hidden="1">
      <c r="B6871" s="1348"/>
      <c r="C6871" s="1348"/>
      <c r="D6871" s="1348"/>
      <c r="E6871" s="1348"/>
      <c r="F6871" s="1348"/>
      <c r="G6871" s="1348"/>
      <c r="H6871" s="1348"/>
      <c r="I6871" s="1348"/>
      <c r="J6871" s="1348"/>
      <c r="K6871" s="1348"/>
    </row>
    <row r="6872" spans="2:11" hidden="1">
      <c r="B6872" s="1348"/>
      <c r="C6872" s="1348"/>
      <c r="D6872" s="1348"/>
      <c r="E6872" s="1348"/>
      <c r="F6872" s="1348"/>
      <c r="G6872" s="1348"/>
      <c r="H6872" s="1348"/>
      <c r="I6872" s="1348"/>
      <c r="J6872" s="1348"/>
      <c r="K6872" s="1348"/>
    </row>
    <row r="6873" spans="2:11" hidden="1">
      <c r="B6873" s="1348"/>
      <c r="C6873" s="1348"/>
      <c r="D6873" s="1348"/>
      <c r="E6873" s="1348"/>
      <c r="F6873" s="1348"/>
      <c r="G6873" s="1348"/>
      <c r="H6873" s="1348"/>
      <c r="I6873" s="1348"/>
      <c r="J6873" s="1348"/>
      <c r="K6873" s="1348"/>
    </row>
    <row r="6874" spans="2:11" hidden="1">
      <c r="B6874" s="1348"/>
      <c r="C6874" s="1348"/>
      <c r="D6874" s="1348"/>
      <c r="E6874" s="1348"/>
      <c r="F6874" s="1348"/>
      <c r="G6874" s="1348"/>
      <c r="H6874" s="1348"/>
      <c r="I6874" s="1348"/>
      <c r="J6874" s="1348"/>
      <c r="K6874" s="1348"/>
    </row>
    <row r="6875" spans="2:11" hidden="1">
      <c r="B6875" s="1348"/>
      <c r="C6875" s="1348"/>
      <c r="D6875" s="1348"/>
      <c r="E6875" s="1348"/>
      <c r="F6875" s="1348"/>
      <c r="G6875" s="1348"/>
      <c r="H6875" s="1348"/>
      <c r="I6875" s="1348"/>
      <c r="J6875" s="1348"/>
      <c r="K6875" s="1348"/>
    </row>
    <row r="6876" spans="2:11" hidden="1">
      <c r="B6876" s="1348"/>
      <c r="C6876" s="1348"/>
      <c r="D6876" s="1348"/>
      <c r="E6876" s="1348"/>
      <c r="F6876" s="1348"/>
      <c r="G6876" s="1348"/>
      <c r="H6876" s="1348"/>
      <c r="I6876" s="1348"/>
      <c r="J6876" s="1348"/>
      <c r="K6876" s="1348"/>
    </row>
    <row r="6877" spans="2:11" hidden="1">
      <c r="B6877" s="1348"/>
      <c r="C6877" s="1348"/>
      <c r="D6877" s="1348"/>
      <c r="E6877" s="1348"/>
      <c r="F6877" s="1348"/>
      <c r="G6877" s="1348"/>
      <c r="H6877" s="1348"/>
      <c r="I6877" s="1348"/>
      <c r="J6877" s="1348"/>
      <c r="K6877" s="1348"/>
    </row>
    <row r="6878" spans="2:11" hidden="1">
      <c r="B6878" s="1348"/>
      <c r="C6878" s="1348"/>
      <c r="D6878" s="1348"/>
      <c r="E6878" s="1348"/>
      <c r="F6878" s="1348"/>
      <c r="G6878" s="1348"/>
      <c r="H6878" s="1348"/>
      <c r="I6878" s="1348"/>
      <c r="J6878" s="1348"/>
      <c r="K6878" s="1348"/>
    </row>
    <row r="6879" spans="2:11" hidden="1">
      <c r="B6879" s="1348"/>
      <c r="C6879" s="1348"/>
      <c r="D6879" s="1348"/>
      <c r="E6879" s="1348"/>
      <c r="F6879" s="1348"/>
      <c r="G6879" s="1348"/>
      <c r="H6879" s="1348"/>
      <c r="I6879" s="1348"/>
      <c r="J6879" s="1348"/>
      <c r="K6879" s="1348"/>
    </row>
    <row r="6880" spans="2:11" hidden="1">
      <c r="B6880" s="1348"/>
      <c r="C6880" s="1348"/>
      <c r="D6880" s="1348"/>
      <c r="E6880" s="1348"/>
      <c r="F6880" s="1348"/>
      <c r="G6880" s="1348"/>
      <c r="H6880" s="1348"/>
      <c r="I6880" s="1348"/>
      <c r="J6880" s="1348"/>
      <c r="K6880" s="1348"/>
    </row>
    <row r="6881" spans="2:11" hidden="1">
      <c r="B6881" s="1348"/>
      <c r="C6881" s="1348"/>
      <c r="D6881" s="1348"/>
      <c r="E6881" s="1348"/>
      <c r="F6881" s="1348"/>
      <c r="G6881" s="1348"/>
      <c r="H6881" s="1348"/>
      <c r="I6881" s="1348"/>
      <c r="J6881" s="1348"/>
      <c r="K6881" s="1348"/>
    </row>
    <row r="6882" spans="2:11" hidden="1">
      <c r="B6882" s="1348"/>
      <c r="C6882" s="1348"/>
      <c r="D6882" s="1348"/>
      <c r="E6882" s="1348"/>
      <c r="F6882" s="1348"/>
      <c r="G6882" s="1348"/>
      <c r="H6882" s="1348"/>
      <c r="I6882" s="1348"/>
      <c r="J6882" s="1348"/>
      <c r="K6882" s="1348"/>
    </row>
    <row r="6883" spans="2:11" hidden="1">
      <c r="B6883" s="1348"/>
      <c r="C6883" s="1348"/>
      <c r="D6883" s="1348"/>
      <c r="E6883" s="1348"/>
      <c r="F6883" s="1348"/>
      <c r="G6883" s="1348"/>
      <c r="H6883" s="1348"/>
      <c r="I6883" s="1348"/>
      <c r="J6883" s="1348"/>
      <c r="K6883" s="1348"/>
    </row>
    <row r="6884" spans="2:11" hidden="1">
      <c r="B6884" s="1348"/>
      <c r="C6884" s="1348"/>
      <c r="D6884" s="1348"/>
      <c r="E6884" s="1348"/>
      <c r="F6884" s="1348"/>
      <c r="G6884" s="1348"/>
      <c r="H6884" s="1348"/>
      <c r="I6884" s="1348"/>
      <c r="J6884" s="1348"/>
      <c r="K6884" s="1348"/>
    </row>
    <row r="6885" spans="2:11" hidden="1">
      <c r="B6885" s="1348"/>
      <c r="C6885" s="1348"/>
      <c r="D6885" s="1348"/>
      <c r="E6885" s="1348"/>
      <c r="F6885" s="1348"/>
      <c r="G6885" s="1348"/>
      <c r="H6885" s="1348"/>
      <c r="I6885" s="1348"/>
      <c r="J6885" s="1348"/>
      <c r="K6885" s="1348"/>
    </row>
    <row r="6886" spans="2:11" hidden="1">
      <c r="B6886" s="1348"/>
      <c r="C6886" s="1348"/>
      <c r="D6886" s="1348"/>
      <c r="E6886" s="1348"/>
      <c r="F6886" s="1348"/>
      <c r="G6886" s="1348"/>
      <c r="H6886" s="1348"/>
      <c r="I6886" s="1348"/>
      <c r="J6886" s="1348"/>
      <c r="K6886" s="1348"/>
    </row>
    <row r="6887" spans="2:11" hidden="1">
      <c r="B6887" s="1348"/>
      <c r="C6887" s="1348"/>
      <c r="D6887" s="1348"/>
      <c r="E6887" s="1348"/>
      <c r="F6887" s="1348"/>
      <c r="G6887" s="1348"/>
      <c r="H6887" s="1348"/>
      <c r="I6887" s="1348"/>
      <c r="J6887" s="1348"/>
      <c r="K6887" s="1348"/>
    </row>
    <row r="6888" spans="2:11" hidden="1">
      <c r="B6888" s="1348"/>
      <c r="C6888" s="1348"/>
      <c r="D6888" s="1348"/>
      <c r="E6888" s="1348"/>
      <c r="F6888" s="1348"/>
      <c r="G6888" s="1348"/>
      <c r="H6888" s="1348"/>
      <c r="I6888" s="1348"/>
      <c r="J6888" s="1348"/>
      <c r="K6888" s="1348"/>
    </row>
    <row r="6889" spans="2:11" hidden="1">
      <c r="B6889" s="1348"/>
      <c r="C6889" s="1348"/>
      <c r="D6889" s="1348"/>
      <c r="E6889" s="1348"/>
      <c r="F6889" s="1348"/>
      <c r="G6889" s="1348"/>
      <c r="H6889" s="1348"/>
      <c r="I6889" s="1348"/>
      <c r="J6889" s="1348"/>
      <c r="K6889" s="1348"/>
    </row>
    <row r="6890" spans="2:11" hidden="1">
      <c r="B6890" s="1348"/>
      <c r="C6890" s="1348"/>
      <c r="D6890" s="1348"/>
      <c r="E6890" s="1348"/>
      <c r="F6890" s="1348"/>
      <c r="G6890" s="1348"/>
      <c r="H6890" s="1348"/>
      <c r="I6890" s="1348"/>
      <c r="J6890" s="1348"/>
      <c r="K6890" s="1348"/>
    </row>
    <row r="6891" spans="2:11" hidden="1">
      <c r="B6891" s="1348"/>
      <c r="C6891" s="1348"/>
      <c r="D6891" s="1348"/>
      <c r="E6891" s="1348"/>
      <c r="F6891" s="1348"/>
      <c r="G6891" s="1348"/>
      <c r="H6891" s="1348"/>
      <c r="I6891" s="1348"/>
      <c r="J6891" s="1348"/>
      <c r="K6891" s="1348"/>
    </row>
    <row r="6892" spans="2:11" hidden="1">
      <c r="B6892" s="1348"/>
      <c r="C6892" s="1348"/>
      <c r="D6892" s="1348"/>
      <c r="E6892" s="1348"/>
      <c r="F6892" s="1348"/>
      <c r="G6892" s="1348"/>
      <c r="H6892" s="1348"/>
      <c r="I6892" s="1348"/>
      <c r="J6892" s="1348"/>
      <c r="K6892" s="1348"/>
    </row>
    <row r="6893" spans="2:11" hidden="1">
      <c r="B6893" s="1348"/>
      <c r="C6893" s="1348"/>
      <c r="D6893" s="1348"/>
      <c r="E6893" s="1348"/>
      <c r="F6893" s="1348"/>
      <c r="G6893" s="1348"/>
      <c r="H6893" s="1348"/>
      <c r="I6893" s="1348"/>
      <c r="J6893" s="1348"/>
      <c r="K6893" s="1348"/>
    </row>
    <row r="6894" spans="2:11" hidden="1">
      <c r="B6894" s="1348"/>
      <c r="C6894" s="1348"/>
      <c r="D6894" s="1348"/>
      <c r="E6894" s="1348"/>
      <c r="F6894" s="1348"/>
      <c r="G6894" s="1348"/>
      <c r="H6894" s="1348"/>
      <c r="I6894" s="1348"/>
      <c r="J6894" s="1348"/>
      <c r="K6894" s="1348"/>
    </row>
    <row r="6895" spans="2:11" hidden="1">
      <c r="B6895" s="1348"/>
      <c r="C6895" s="1348"/>
      <c r="D6895" s="1348"/>
      <c r="E6895" s="1348"/>
      <c r="F6895" s="1348"/>
      <c r="G6895" s="1348"/>
      <c r="H6895" s="1348"/>
      <c r="I6895" s="1348"/>
      <c r="J6895" s="1348"/>
      <c r="K6895" s="1348"/>
    </row>
    <row r="6896" spans="2:11" hidden="1">
      <c r="B6896" s="1348"/>
      <c r="C6896" s="1348"/>
      <c r="D6896" s="1348"/>
      <c r="E6896" s="1348"/>
      <c r="F6896" s="1348"/>
      <c r="G6896" s="1348"/>
      <c r="H6896" s="1348"/>
      <c r="I6896" s="1348"/>
      <c r="J6896" s="1348"/>
      <c r="K6896" s="1348"/>
    </row>
    <row r="6897" spans="2:11" hidden="1">
      <c r="B6897" s="1348"/>
      <c r="C6897" s="1348"/>
      <c r="D6897" s="1348"/>
      <c r="E6897" s="1348"/>
      <c r="F6897" s="1348"/>
      <c r="G6897" s="1348"/>
      <c r="H6897" s="1348"/>
      <c r="I6897" s="1348"/>
      <c r="J6897" s="1348"/>
      <c r="K6897" s="1348"/>
    </row>
    <row r="6898" spans="2:11" hidden="1">
      <c r="B6898" s="1348"/>
      <c r="C6898" s="1348"/>
      <c r="D6898" s="1348"/>
      <c r="E6898" s="1348"/>
      <c r="F6898" s="1348"/>
      <c r="G6898" s="1348"/>
      <c r="H6898" s="1348"/>
      <c r="I6898" s="1348"/>
      <c r="J6898" s="1348"/>
      <c r="K6898" s="1348"/>
    </row>
    <row r="6899" spans="2:11" hidden="1">
      <c r="B6899" s="1348"/>
      <c r="C6899" s="1348"/>
      <c r="D6899" s="1348"/>
      <c r="E6899" s="1348"/>
      <c r="F6899" s="1348"/>
      <c r="G6899" s="1348"/>
      <c r="H6899" s="1348"/>
      <c r="I6899" s="1348"/>
      <c r="J6899" s="1348"/>
      <c r="K6899" s="1348"/>
    </row>
    <row r="6900" spans="2:11" hidden="1">
      <c r="B6900" s="1348"/>
      <c r="C6900" s="1348"/>
      <c r="D6900" s="1348"/>
      <c r="E6900" s="1348"/>
      <c r="F6900" s="1348"/>
      <c r="G6900" s="1348"/>
      <c r="H6900" s="1348"/>
      <c r="I6900" s="1348"/>
      <c r="J6900" s="1348"/>
      <c r="K6900" s="1348"/>
    </row>
    <row r="6901" spans="2:11" hidden="1">
      <c r="B6901" s="1348"/>
      <c r="C6901" s="1348"/>
      <c r="D6901" s="1348"/>
      <c r="E6901" s="1348"/>
      <c r="F6901" s="1348"/>
      <c r="G6901" s="1348"/>
      <c r="H6901" s="1348"/>
      <c r="I6901" s="1348"/>
      <c r="J6901" s="1348"/>
      <c r="K6901" s="1348"/>
    </row>
    <row r="6902" spans="2:11" hidden="1">
      <c r="B6902" s="1348"/>
      <c r="C6902" s="1348"/>
      <c r="D6902" s="1348"/>
      <c r="E6902" s="1348"/>
      <c r="F6902" s="1348"/>
      <c r="G6902" s="1348"/>
      <c r="H6902" s="1348"/>
      <c r="I6902" s="1348"/>
      <c r="J6902" s="1348"/>
      <c r="K6902" s="1348"/>
    </row>
    <row r="6903" spans="2:11" hidden="1">
      <c r="B6903" s="1348"/>
      <c r="C6903" s="1348"/>
      <c r="D6903" s="1348"/>
      <c r="E6903" s="1348"/>
      <c r="F6903" s="1348"/>
      <c r="G6903" s="1348"/>
      <c r="H6903" s="1348"/>
      <c r="I6903" s="1348"/>
      <c r="J6903" s="1348"/>
      <c r="K6903" s="1348"/>
    </row>
    <row r="6904" spans="2:11" hidden="1">
      <c r="B6904" s="1348"/>
      <c r="C6904" s="1348"/>
      <c r="D6904" s="1348"/>
      <c r="E6904" s="1348"/>
      <c r="F6904" s="1348"/>
      <c r="G6904" s="1348"/>
      <c r="H6904" s="1348"/>
      <c r="I6904" s="1348"/>
      <c r="J6904" s="1348"/>
      <c r="K6904" s="1348"/>
    </row>
    <row r="6905" spans="2:11" hidden="1">
      <c r="B6905" s="1348"/>
      <c r="C6905" s="1348"/>
      <c r="D6905" s="1348"/>
      <c r="E6905" s="1348"/>
      <c r="F6905" s="1348"/>
      <c r="G6905" s="1348"/>
      <c r="H6905" s="1348"/>
      <c r="I6905" s="1348"/>
      <c r="J6905" s="1348"/>
      <c r="K6905" s="1348"/>
    </row>
    <row r="6906" spans="2:11" hidden="1">
      <c r="B6906" s="1348"/>
      <c r="C6906" s="1348"/>
      <c r="D6906" s="1348"/>
      <c r="E6906" s="1348"/>
      <c r="F6906" s="1348"/>
      <c r="G6906" s="1348"/>
      <c r="H6906" s="1348"/>
      <c r="I6906" s="1348"/>
      <c r="J6906" s="1348"/>
      <c r="K6906" s="1348"/>
    </row>
    <row r="6907" spans="2:11" hidden="1">
      <c r="B6907" s="1348"/>
      <c r="C6907" s="1348"/>
      <c r="D6907" s="1348"/>
      <c r="E6907" s="1348"/>
      <c r="F6907" s="1348"/>
      <c r="G6907" s="1348"/>
      <c r="H6907" s="1348"/>
      <c r="I6907" s="1348"/>
      <c r="J6907" s="1348"/>
      <c r="K6907" s="1348"/>
    </row>
    <row r="6908" spans="2:11" hidden="1">
      <c r="B6908" s="1348"/>
      <c r="C6908" s="1348"/>
      <c r="D6908" s="1348"/>
      <c r="E6908" s="1348"/>
      <c r="F6908" s="1348"/>
      <c r="G6908" s="1348"/>
      <c r="H6908" s="1348"/>
      <c r="I6908" s="1348"/>
      <c r="J6908" s="1348"/>
      <c r="K6908" s="1348"/>
    </row>
    <row r="6909" spans="2:11" hidden="1">
      <c r="B6909" s="1348"/>
      <c r="C6909" s="1348"/>
      <c r="D6909" s="1348"/>
      <c r="E6909" s="1348"/>
      <c r="F6909" s="1348"/>
      <c r="G6909" s="1348"/>
      <c r="H6909" s="1348"/>
      <c r="I6909" s="1348"/>
      <c r="J6909" s="1348"/>
      <c r="K6909" s="1348"/>
    </row>
    <row r="6910" spans="2:11" hidden="1">
      <c r="B6910" s="1348"/>
      <c r="C6910" s="1348"/>
      <c r="D6910" s="1348"/>
      <c r="E6910" s="1348"/>
      <c r="F6910" s="1348"/>
      <c r="G6910" s="1348"/>
      <c r="H6910" s="1348"/>
      <c r="I6910" s="1348"/>
      <c r="J6910" s="1348"/>
      <c r="K6910" s="1348"/>
    </row>
    <row r="6911" spans="2:11" hidden="1">
      <c r="B6911" s="1348"/>
      <c r="C6911" s="1348"/>
      <c r="D6911" s="1348"/>
      <c r="E6911" s="1348"/>
      <c r="F6911" s="1348"/>
      <c r="G6911" s="1348"/>
      <c r="H6911" s="1348"/>
      <c r="I6911" s="1348"/>
      <c r="J6911" s="1348"/>
      <c r="K6911" s="1348"/>
    </row>
    <row r="6912" spans="2:11" hidden="1">
      <c r="B6912" s="1348"/>
      <c r="C6912" s="1348"/>
      <c r="D6912" s="1348"/>
      <c r="E6912" s="1348"/>
      <c r="F6912" s="1348"/>
      <c r="G6912" s="1348"/>
      <c r="H6912" s="1348"/>
      <c r="I6912" s="1348"/>
      <c r="J6912" s="1348"/>
      <c r="K6912" s="1348"/>
    </row>
    <row r="6913" spans="2:11" hidden="1">
      <c r="B6913" s="1348"/>
      <c r="C6913" s="1348"/>
      <c r="D6913" s="1348"/>
      <c r="E6913" s="1348"/>
      <c r="F6913" s="1348"/>
      <c r="G6913" s="1348"/>
      <c r="H6913" s="1348"/>
      <c r="I6913" s="1348"/>
      <c r="J6913" s="1348"/>
      <c r="K6913" s="1348"/>
    </row>
    <row r="6914" spans="2:11" hidden="1">
      <c r="B6914" s="1348"/>
      <c r="C6914" s="1348"/>
      <c r="D6914" s="1348"/>
      <c r="E6914" s="1348"/>
      <c r="F6914" s="1348"/>
      <c r="G6914" s="1348"/>
      <c r="H6914" s="1348"/>
      <c r="I6914" s="1348"/>
      <c r="J6914" s="1348"/>
      <c r="K6914" s="1348"/>
    </row>
    <row r="6915" spans="2:11" hidden="1">
      <c r="B6915" s="1348"/>
      <c r="C6915" s="1348"/>
      <c r="D6915" s="1348"/>
      <c r="E6915" s="1348"/>
      <c r="F6915" s="1348"/>
      <c r="G6915" s="1348"/>
      <c r="H6915" s="1348"/>
      <c r="I6915" s="1348"/>
      <c r="J6915" s="1348"/>
      <c r="K6915" s="1348"/>
    </row>
    <row r="6916" spans="2:11" hidden="1">
      <c r="B6916" s="1348"/>
      <c r="C6916" s="1348"/>
      <c r="D6916" s="1348"/>
      <c r="E6916" s="1348"/>
      <c r="F6916" s="1348"/>
      <c r="G6916" s="1348"/>
      <c r="H6916" s="1348"/>
      <c r="I6916" s="1348"/>
      <c r="J6916" s="1348"/>
      <c r="K6916" s="1348"/>
    </row>
    <row r="6917" spans="2:11" hidden="1">
      <c r="B6917" s="1348"/>
      <c r="C6917" s="1348"/>
      <c r="D6917" s="1348"/>
      <c r="E6917" s="1348"/>
      <c r="F6917" s="1348"/>
      <c r="G6917" s="1348"/>
      <c r="H6917" s="1348"/>
      <c r="I6917" s="1348"/>
      <c r="J6917" s="1348"/>
      <c r="K6917" s="1348"/>
    </row>
    <row r="6918" spans="2:11" hidden="1">
      <c r="B6918" s="1348"/>
      <c r="C6918" s="1348"/>
      <c r="D6918" s="1348"/>
      <c r="E6918" s="1348"/>
      <c r="F6918" s="1348"/>
      <c r="G6918" s="1348"/>
      <c r="H6918" s="1348"/>
      <c r="I6918" s="1348"/>
      <c r="J6918" s="1348"/>
      <c r="K6918" s="1348"/>
    </row>
    <row r="6919" spans="2:11" hidden="1">
      <c r="B6919" s="1348"/>
      <c r="C6919" s="1348"/>
      <c r="D6919" s="1348"/>
      <c r="E6919" s="1348"/>
      <c r="F6919" s="1348"/>
      <c r="G6919" s="1348"/>
      <c r="H6919" s="1348"/>
      <c r="I6919" s="1348"/>
      <c r="J6919" s="1348"/>
      <c r="K6919" s="1348"/>
    </row>
    <row r="6920" spans="2:11" hidden="1">
      <c r="B6920" s="1348"/>
      <c r="C6920" s="1348"/>
      <c r="D6920" s="1348"/>
      <c r="E6920" s="1348"/>
      <c r="F6920" s="1348"/>
      <c r="G6920" s="1348"/>
      <c r="H6920" s="1348"/>
      <c r="I6920" s="1348"/>
      <c r="J6920" s="1348"/>
      <c r="K6920" s="1348"/>
    </row>
    <row r="6921" spans="2:11" hidden="1">
      <c r="B6921" s="1348"/>
      <c r="C6921" s="1348"/>
      <c r="D6921" s="1348"/>
      <c r="E6921" s="1348"/>
      <c r="F6921" s="1348"/>
      <c r="G6921" s="1348"/>
      <c r="H6921" s="1348"/>
      <c r="I6921" s="1348"/>
      <c r="J6921" s="1348"/>
      <c r="K6921" s="1348"/>
    </row>
    <row r="6922" spans="2:11" hidden="1">
      <c r="B6922" s="1348"/>
      <c r="C6922" s="1348"/>
      <c r="D6922" s="1348"/>
      <c r="E6922" s="1348"/>
      <c r="F6922" s="1348"/>
      <c r="G6922" s="1348"/>
      <c r="H6922" s="1348"/>
      <c r="I6922" s="1348"/>
      <c r="J6922" s="1348"/>
      <c r="K6922" s="1348"/>
    </row>
    <row r="6923" spans="2:11" hidden="1">
      <c r="B6923" s="1348"/>
      <c r="C6923" s="1348"/>
      <c r="D6923" s="1348"/>
      <c r="E6923" s="1348"/>
      <c r="F6923" s="1348"/>
      <c r="G6923" s="1348"/>
      <c r="H6923" s="1348"/>
      <c r="I6923" s="1348"/>
      <c r="J6923" s="1348"/>
      <c r="K6923" s="1348"/>
    </row>
    <row r="6924" spans="2:11" hidden="1">
      <c r="B6924" s="1348"/>
      <c r="C6924" s="1348"/>
      <c r="D6924" s="1348"/>
      <c r="E6924" s="1348"/>
      <c r="F6924" s="1348"/>
      <c r="G6924" s="1348"/>
      <c r="H6924" s="1348"/>
      <c r="I6924" s="1348"/>
      <c r="J6924" s="1348"/>
      <c r="K6924" s="1348"/>
    </row>
    <row r="6925" spans="2:11" hidden="1">
      <c r="B6925" s="1348"/>
      <c r="C6925" s="1348"/>
      <c r="D6925" s="1348"/>
      <c r="E6925" s="1348"/>
      <c r="F6925" s="1348"/>
      <c r="G6925" s="1348"/>
      <c r="H6925" s="1348"/>
      <c r="I6925" s="1348"/>
      <c r="J6925" s="1348"/>
      <c r="K6925" s="1348"/>
    </row>
    <row r="6926" spans="2:11" hidden="1">
      <c r="B6926" s="1348"/>
      <c r="C6926" s="1348"/>
      <c r="D6926" s="1348"/>
      <c r="E6926" s="1348"/>
      <c r="F6926" s="1348"/>
      <c r="G6926" s="1348"/>
      <c r="H6926" s="1348"/>
      <c r="I6926" s="1348"/>
      <c r="J6926" s="1348"/>
      <c r="K6926" s="1348"/>
    </row>
    <row r="6927" spans="2:11" hidden="1">
      <c r="B6927" s="1348"/>
      <c r="C6927" s="1348"/>
      <c r="D6927" s="1348"/>
      <c r="E6927" s="1348"/>
      <c r="F6927" s="1348"/>
      <c r="G6927" s="1348"/>
      <c r="H6927" s="1348"/>
      <c r="I6927" s="1348"/>
      <c r="J6927" s="1348"/>
      <c r="K6927" s="1348"/>
    </row>
    <row r="6928" spans="2:11" hidden="1">
      <c r="B6928" s="1348"/>
      <c r="C6928" s="1348"/>
      <c r="D6928" s="1348"/>
      <c r="E6928" s="1348"/>
      <c r="F6928" s="1348"/>
      <c r="G6928" s="1348"/>
      <c r="H6928" s="1348"/>
      <c r="I6928" s="1348"/>
      <c r="J6928" s="1348"/>
      <c r="K6928" s="1348"/>
    </row>
    <row r="6929" spans="2:11" hidden="1">
      <c r="B6929" s="1348"/>
      <c r="C6929" s="1348"/>
      <c r="D6929" s="1348"/>
      <c r="E6929" s="1348"/>
      <c r="F6929" s="1348"/>
      <c r="G6929" s="1348"/>
      <c r="H6929" s="1348"/>
      <c r="I6929" s="1348"/>
      <c r="J6929" s="1348"/>
      <c r="K6929" s="1348"/>
    </row>
    <row r="6930" spans="2:11" hidden="1">
      <c r="B6930" s="1348"/>
      <c r="C6930" s="1348"/>
      <c r="D6930" s="1348"/>
      <c r="E6930" s="1348"/>
      <c r="F6930" s="1348"/>
      <c r="G6930" s="1348"/>
      <c r="H6930" s="1348"/>
      <c r="I6930" s="1348"/>
      <c r="J6930" s="1348"/>
      <c r="K6930" s="1348"/>
    </row>
    <row r="6931" spans="2:11" hidden="1">
      <c r="B6931" s="1348"/>
      <c r="C6931" s="1348"/>
      <c r="D6931" s="1348"/>
      <c r="E6931" s="1348"/>
      <c r="F6931" s="1348"/>
      <c r="G6931" s="1348"/>
      <c r="H6931" s="1348"/>
      <c r="I6931" s="1348"/>
      <c r="J6931" s="1348"/>
      <c r="K6931" s="1348"/>
    </row>
    <row r="6932" spans="2:11" hidden="1">
      <c r="B6932" s="1348"/>
      <c r="C6932" s="1348"/>
      <c r="D6932" s="1348"/>
      <c r="E6932" s="1348"/>
      <c r="F6932" s="1348"/>
      <c r="G6932" s="1348"/>
      <c r="H6932" s="1348"/>
      <c r="I6932" s="1348"/>
      <c r="J6932" s="1348"/>
      <c r="K6932" s="1348"/>
    </row>
    <row r="6933" spans="2:11" hidden="1">
      <c r="B6933" s="1348"/>
      <c r="C6933" s="1348"/>
      <c r="D6933" s="1348"/>
      <c r="E6933" s="1348"/>
      <c r="F6933" s="1348"/>
      <c r="G6933" s="1348"/>
      <c r="H6933" s="1348"/>
      <c r="I6933" s="1348"/>
      <c r="J6933" s="1348"/>
      <c r="K6933" s="1348"/>
    </row>
    <row r="6934" spans="2:11" hidden="1">
      <c r="B6934" s="1348"/>
      <c r="C6934" s="1348"/>
      <c r="D6934" s="1348"/>
      <c r="E6934" s="1348"/>
      <c r="F6934" s="1348"/>
      <c r="G6934" s="1348"/>
      <c r="H6934" s="1348"/>
      <c r="I6934" s="1348"/>
      <c r="J6934" s="1348"/>
      <c r="K6934" s="1348"/>
    </row>
    <row r="6935" spans="2:11" hidden="1">
      <c r="B6935" s="1348"/>
      <c r="C6935" s="1348"/>
      <c r="D6935" s="1348"/>
      <c r="E6935" s="1348"/>
      <c r="F6935" s="1348"/>
      <c r="G6935" s="1348"/>
      <c r="H6935" s="1348"/>
      <c r="I6935" s="1348"/>
      <c r="J6935" s="1348"/>
      <c r="K6935" s="1348"/>
    </row>
    <row r="6936" spans="2:11" hidden="1">
      <c r="B6936" s="1348"/>
      <c r="C6936" s="1348"/>
      <c r="D6936" s="1348"/>
      <c r="E6936" s="1348"/>
      <c r="F6936" s="1348"/>
      <c r="G6936" s="1348"/>
      <c r="H6936" s="1348"/>
      <c r="I6936" s="1348"/>
      <c r="J6936" s="1348"/>
      <c r="K6936" s="1348"/>
    </row>
    <row r="6937" spans="2:11" hidden="1">
      <c r="B6937" s="1348"/>
      <c r="C6937" s="1348"/>
      <c r="D6937" s="1348"/>
      <c r="E6937" s="1348"/>
      <c r="F6937" s="1348"/>
      <c r="G6937" s="1348"/>
      <c r="H6937" s="1348"/>
      <c r="I6937" s="1348"/>
      <c r="J6937" s="1348"/>
      <c r="K6937" s="1348"/>
    </row>
    <row r="6938" spans="2:11" hidden="1">
      <c r="B6938" s="1348"/>
      <c r="C6938" s="1348"/>
      <c r="D6938" s="1348"/>
      <c r="E6938" s="1348"/>
      <c r="F6938" s="1348"/>
      <c r="G6938" s="1348"/>
      <c r="H6938" s="1348"/>
      <c r="I6938" s="1348"/>
      <c r="J6938" s="1348"/>
      <c r="K6938" s="1348"/>
    </row>
    <row r="6939" spans="2:11" hidden="1">
      <c r="B6939" s="1348"/>
      <c r="C6939" s="1348"/>
      <c r="D6939" s="1348"/>
      <c r="E6939" s="1348"/>
      <c r="F6939" s="1348"/>
      <c r="G6939" s="1348"/>
      <c r="H6939" s="1348"/>
      <c r="I6939" s="1348"/>
      <c r="J6939" s="1348"/>
      <c r="K6939" s="1348"/>
    </row>
    <row r="6940" spans="2:11" hidden="1">
      <c r="B6940" s="1348"/>
      <c r="C6940" s="1348"/>
      <c r="D6940" s="1348"/>
      <c r="E6940" s="1348"/>
      <c r="F6940" s="1348"/>
      <c r="G6940" s="1348"/>
      <c r="H6940" s="1348"/>
      <c r="I6940" s="1348"/>
      <c r="J6940" s="1348"/>
      <c r="K6940" s="1348"/>
    </row>
    <row r="6941" spans="2:11" hidden="1">
      <c r="B6941" s="1348"/>
      <c r="C6941" s="1348"/>
      <c r="D6941" s="1348"/>
      <c r="E6941" s="1348"/>
      <c r="F6941" s="1348"/>
      <c r="G6941" s="1348"/>
      <c r="H6941" s="1348"/>
      <c r="I6941" s="1348"/>
      <c r="J6941" s="1348"/>
      <c r="K6941" s="1348"/>
    </row>
    <row r="6942" spans="2:11" hidden="1">
      <c r="B6942" s="1348"/>
      <c r="C6942" s="1348"/>
      <c r="D6942" s="1348"/>
      <c r="E6942" s="1348"/>
      <c r="F6942" s="1348"/>
      <c r="G6942" s="1348"/>
      <c r="H6942" s="1348"/>
      <c r="I6942" s="1348"/>
      <c r="J6942" s="1348"/>
      <c r="K6942" s="1348"/>
    </row>
    <row r="6943" spans="2:11" hidden="1">
      <c r="B6943" s="1348"/>
      <c r="C6943" s="1348"/>
      <c r="D6943" s="1348"/>
      <c r="E6943" s="1348"/>
      <c r="F6943" s="1348"/>
      <c r="G6943" s="1348"/>
      <c r="H6943" s="1348"/>
      <c r="I6943" s="1348"/>
      <c r="J6943" s="1348"/>
      <c r="K6943" s="1348"/>
    </row>
    <row r="6944" spans="2:11" hidden="1">
      <c r="B6944" s="1348"/>
      <c r="C6944" s="1348"/>
      <c r="D6944" s="1348"/>
      <c r="E6944" s="1348"/>
      <c r="F6944" s="1348"/>
      <c r="G6944" s="1348"/>
      <c r="H6944" s="1348"/>
      <c r="I6944" s="1348"/>
      <c r="J6944" s="1348"/>
      <c r="K6944" s="1348"/>
    </row>
    <row r="6945" spans="2:11" hidden="1">
      <c r="B6945" s="1348"/>
      <c r="C6945" s="1348"/>
      <c r="D6945" s="1348"/>
      <c r="E6945" s="1348"/>
      <c r="F6945" s="1348"/>
      <c r="G6945" s="1348"/>
      <c r="H6945" s="1348"/>
      <c r="I6945" s="1348"/>
      <c r="J6945" s="1348"/>
      <c r="K6945" s="1348"/>
    </row>
    <row r="6946" spans="2:11" hidden="1">
      <c r="B6946" s="1348"/>
      <c r="C6946" s="1348"/>
      <c r="D6946" s="1348"/>
      <c r="E6946" s="1348"/>
      <c r="F6946" s="1348"/>
      <c r="G6946" s="1348"/>
      <c r="H6946" s="1348"/>
      <c r="I6946" s="1348"/>
      <c r="J6946" s="1348"/>
      <c r="K6946" s="1348"/>
    </row>
    <row r="6947" spans="2:11" hidden="1">
      <c r="B6947" s="1348"/>
      <c r="C6947" s="1348"/>
      <c r="D6947" s="1348"/>
      <c r="E6947" s="1348"/>
      <c r="F6947" s="1348"/>
      <c r="G6947" s="1348"/>
      <c r="H6947" s="1348"/>
      <c r="I6947" s="1348"/>
      <c r="J6947" s="1348"/>
      <c r="K6947" s="1348"/>
    </row>
    <row r="6948" spans="2:11" hidden="1">
      <c r="B6948" s="1348"/>
      <c r="C6948" s="1348"/>
      <c r="D6948" s="1348"/>
      <c r="E6948" s="1348"/>
      <c r="F6948" s="1348"/>
      <c r="G6948" s="1348"/>
      <c r="H6948" s="1348"/>
      <c r="I6948" s="1348"/>
      <c r="J6948" s="1348"/>
      <c r="K6948" s="1348"/>
    </row>
    <row r="6949" spans="2:11" hidden="1">
      <c r="B6949" s="1348"/>
      <c r="C6949" s="1348"/>
      <c r="D6949" s="1348"/>
      <c r="E6949" s="1348"/>
      <c r="F6949" s="1348"/>
      <c r="G6949" s="1348"/>
      <c r="H6949" s="1348"/>
      <c r="I6949" s="1348"/>
      <c r="J6949" s="1348"/>
      <c r="K6949" s="1348"/>
    </row>
    <row r="6950" spans="2:11" hidden="1">
      <c r="B6950" s="1348"/>
      <c r="C6950" s="1348"/>
      <c r="D6950" s="1348"/>
      <c r="E6950" s="1348"/>
      <c r="F6950" s="1348"/>
      <c r="G6950" s="1348"/>
      <c r="H6950" s="1348"/>
      <c r="I6950" s="1348"/>
      <c r="J6950" s="1348"/>
      <c r="K6950" s="1348"/>
    </row>
    <row r="6951" spans="2:11" hidden="1">
      <c r="B6951" s="1348"/>
      <c r="C6951" s="1348"/>
      <c r="D6951" s="1348"/>
      <c r="E6951" s="1348"/>
      <c r="F6951" s="1348"/>
      <c r="G6951" s="1348"/>
      <c r="H6951" s="1348"/>
      <c r="I6951" s="1348"/>
      <c r="J6951" s="1348"/>
      <c r="K6951" s="1348"/>
    </row>
    <row r="6952" spans="2:11" hidden="1">
      <c r="B6952" s="1348"/>
      <c r="C6952" s="1348"/>
      <c r="D6952" s="1348"/>
      <c r="E6952" s="1348"/>
      <c r="F6952" s="1348"/>
      <c r="G6952" s="1348"/>
      <c r="H6952" s="1348"/>
      <c r="I6952" s="1348"/>
      <c r="J6952" s="1348"/>
      <c r="K6952" s="1348"/>
    </row>
    <row r="6953" spans="2:11" hidden="1">
      <c r="B6953" s="1348"/>
      <c r="C6953" s="1348"/>
      <c r="D6953" s="1348"/>
      <c r="E6953" s="1348"/>
      <c r="F6953" s="1348"/>
      <c r="G6953" s="1348"/>
      <c r="H6953" s="1348"/>
      <c r="I6953" s="1348"/>
      <c r="J6953" s="1348"/>
      <c r="K6953" s="1348"/>
    </row>
    <row r="6954" spans="2:11" hidden="1">
      <c r="B6954" s="1348"/>
      <c r="C6954" s="1348"/>
      <c r="D6954" s="1348"/>
      <c r="E6954" s="1348"/>
      <c r="F6954" s="1348"/>
      <c r="G6954" s="1348"/>
      <c r="H6954" s="1348"/>
      <c r="I6954" s="1348"/>
      <c r="J6954" s="1348"/>
      <c r="K6954" s="1348"/>
    </row>
    <row r="6955" spans="2:11" hidden="1">
      <c r="B6955" s="1348"/>
      <c r="C6955" s="1348"/>
      <c r="D6955" s="1348"/>
      <c r="E6955" s="1348"/>
      <c r="F6955" s="1348"/>
      <c r="G6955" s="1348"/>
      <c r="H6955" s="1348"/>
      <c r="I6955" s="1348"/>
      <c r="J6955" s="1348"/>
      <c r="K6955" s="1348"/>
    </row>
    <row r="6956" spans="2:11" hidden="1">
      <c r="B6956" s="1348"/>
      <c r="C6956" s="1348"/>
      <c r="D6956" s="1348"/>
      <c r="E6956" s="1348"/>
      <c r="F6956" s="1348"/>
      <c r="G6956" s="1348"/>
      <c r="H6956" s="1348"/>
      <c r="I6956" s="1348"/>
      <c r="J6956" s="1348"/>
      <c r="K6956" s="1348"/>
    </row>
    <row r="6957" spans="2:11" hidden="1">
      <c r="B6957" s="1348"/>
      <c r="C6957" s="1348"/>
      <c r="D6957" s="1348"/>
      <c r="E6957" s="1348"/>
      <c r="F6957" s="1348"/>
      <c r="G6957" s="1348"/>
      <c r="H6957" s="1348"/>
      <c r="I6957" s="1348"/>
      <c r="J6957" s="1348"/>
      <c r="K6957" s="1348"/>
    </row>
    <row r="6958" spans="2:11" hidden="1">
      <c r="B6958" s="1348"/>
      <c r="C6958" s="1348"/>
      <c r="D6958" s="1348"/>
      <c r="E6958" s="1348"/>
      <c r="F6958" s="1348"/>
      <c r="G6958" s="1348"/>
      <c r="H6958" s="1348"/>
      <c r="I6958" s="1348"/>
      <c r="J6958" s="1348"/>
      <c r="K6958" s="1348"/>
    </row>
    <row r="6959" spans="2:11" hidden="1">
      <c r="B6959" s="1348"/>
      <c r="C6959" s="1348"/>
      <c r="D6959" s="1348"/>
      <c r="E6959" s="1348"/>
      <c r="F6959" s="1348"/>
      <c r="G6959" s="1348"/>
      <c r="H6959" s="1348"/>
      <c r="I6959" s="1348"/>
      <c r="J6959" s="1348"/>
      <c r="K6959" s="1348"/>
    </row>
    <row r="6960" spans="2:11" hidden="1">
      <c r="B6960" s="1348"/>
      <c r="C6960" s="1348"/>
      <c r="D6960" s="1348"/>
      <c r="E6960" s="1348"/>
      <c r="F6960" s="1348"/>
      <c r="G6960" s="1348"/>
      <c r="H6960" s="1348"/>
      <c r="I6960" s="1348"/>
      <c r="J6960" s="1348"/>
      <c r="K6960" s="1348"/>
    </row>
    <row r="6961" spans="2:11" hidden="1">
      <c r="B6961" s="1348"/>
      <c r="C6961" s="1348"/>
      <c r="D6961" s="1348"/>
      <c r="E6961" s="1348"/>
      <c r="F6961" s="1348"/>
      <c r="G6961" s="1348"/>
      <c r="H6961" s="1348"/>
      <c r="I6961" s="1348"/>
      <c r="J6961" s="1348"/>
      <c r="K6961" s="1348"/>
    </row>
    <row r="6962" spans="2:11" hidden="1">
      <c r="B6962" s="1348"/>
      <c r="C6962" s="1348"/>
      <c r="D6962" s="1348"/>
      <c r="E6962" s="1348"/>
      <c r="F6962" s="1348"/>
      <c r="G6962" s="1348"/>
      <c r="H6962" s="1348"/>
      <c r="I6962" s="1348"/>
      <c r="J6962" s="1348"/>
      <c r="K6962" s="1348"/>
    </row>
    <row r="6963" spans="2:11" hidden="1">
      <c r="B6963" s="1348"/>
      <c r="C6963" s="1348"/>
      <c r="D6963" s="1348"/>
      <c r="E6963" s="1348"/>
      <c r="F6963" s="1348"/>
      <c r="G6963" s="1348"/>
      <c r="H6963" s="1348"/>
      <c r="I6963" s="1348"/>
      <c r="J6963" s="1348"/>
      <c r="K6963" s="1348"/>
    </row>
    <row r="6964" spans="2:11" hidden="1">
      <c r="B6964" s="1348"/>
      <c r="C6964" s="1348"/>
      <c r="D6964" s="1348"/>
      <c r="E6964" s="1348"/>
      <c r="F6964" s="1348"/>
      <c r="G6964" s="1348"/>
      <c r="H6964" s="1348"/>
      <c r="I6964" s="1348"/>
      <c r="J6964" s="1348"/>
      <c r="K6964" s="1348"/>
    </row>
    <row r="6965" spans="2:11" hidden="1">
      <c r="B6965" s="1348"/>
      <c r="C6965" s="1348"/>
      <c r="D6965" s="1348"/>
      <c r="E6965" s="1348"/>
      <c r="F6965" s="1348"/>
      <c r="G6965" s="1348"/>
      <c r="H6965" s="1348"/>
      <c r="I6965" s="1348"/>
      <c r="J6965" s="1348"/>
      <c r="K6965" s="1348"/>
    </row>
    <row r="6966" spans="2:11" hidden="1">
      <c r="B6966" s="1348"/>
      <c r="C6966" s="1348"/>
      <c r="D6966" s="1348"/>
      <c r="E6966" s="1348"/>
      <c r="F6966" s="1348"/>
      <c r="G6966" s="1348"/>
      <c r="H6966" s="1348"/>
      <c r="I6966" s="1348"/>
      <c r="J6966" s="1348"/>
      <c r="K6966" s="1348"/>
    </row>
    <row r="6967" spans="2:11" hidden="1">
      <c r="B6967" s="1348"/>
      <c r="C6967" s="1348"/>
      <c r="D6967" s="1348"/>
      <c r="E6967" s="1348"/>
      <c r="F6967" s="1348"/>
      <c r="G6967" s="1348"/>
      <c r="H6967" s="1348"/>
      <c r="I6967" s="1348"/>
      <c r="J6967" s="1348"/>
      <c r="K6967" s="1348"/>
    </row>
    <row r="6968" spans="2:11" hidden="1">
      <c r="B6968" s="1348"/>
      <c r="C6968" s="1348"/>
      <c r="D6968" s="1348"/>
      <c r="E6968" s="1348"/>
      <c r="F6968" s="1348"/>
      <c r="G6968" s="1348"/>
      <c r="H6968" s="1348"/>
      <c r="I6968" s="1348"/>
      <c r="J6968" s="1348"/>
      <c r="K6968" s="1348"/>
    </row>
    <row r="6969" spans="2:11" hidden="1">
      <c r="B6969" s="1348"/>
      <c r="C6969" s="1348"/>
      <c r="D6969" s="1348"/>
      <c r="E6969" s="1348"/>
      <c r="F6969" s="1348"/>
      <c r="G6969" s="1348"/>
      <c r="H6969" s="1348"/>
      <c r="I6969" s="1348"/>
      <c r="J6969" s="1348"/>
      <c r="K6969" s="1348"/>
    </row>
    <row r="6970" spans="2:11" hidden="1">
      <c r="B6970" s="1348"/>
      <c r="C6970" s="1348"/>
      <c r="D6970" s="1348"/>
      <c r="E6970" s="1348"/>
      <c r="F6970" s="1348"/>
      <c r="G6970" s="1348"/>
      <c r="H6970" s="1348"/>
      <c r="I6970" s="1348"/>
      <c r="J6970" s="1348"/>
      <c r="K6970" s="1348"/>
    </row>
    <row r="6971" spans="2:11" hidden="1">
      <c r="B6971" s="1348"/>
      <c r="C6971" s="1348"/>
      <c r="D6971" s="1348"/>
      <c r="E6971" s="1348"/>
      <c r="F6971" s="1348"/>
      <c r="G6971" s="1348"/>
      <c r="H6971" s="1348"/>
      <c r="I6971" s="1348"/>
      <c r="J6971" s="1348"/>
      <c r="K6971" s="1348"/>
    </row>
    <row r="6972" spans="2:11" hidden="1">
      <c r="B6972" s="1348"/>
      <c r="C6972" s="1348"/>
      <c r="D6972" s="1348"/>
      <c r="E6972" s="1348"/>
      <c r="F6972" s="1348"/>
      <c r="G6972" s="1348"/>
      <c r="H6972" s="1348"/>
      <c r="I6972" s="1348"/>
      <c r="J6972" s="1348"/>
      <c r="K6972" s="1348"/>
    </row>
    <row r="6973" spans="2:11" hidden="1">
      <c r="B6973" s="1348"/>
      <c r="C6973" s="1348"/>
      <c r="D6973" s="1348"/>
      <c r="E6973" s="1348"/>
      <c r="F6973" s="1348"/>
      <c r="G6973" s="1348"/>
      <c r="H6973" s="1348"/>
      <c r="I6973" s="1348"/>
      <c r="J6973" s="1348"/>
      <c r="K6973" s="1348"/>
    </row>
    <row r="6974" spans="2:11" hidden="1">
      <c r="B6974" s="1348"/>
      <c r="C6974" s="1348"/>
      <c r="D6974" s="1348"/>
      <c r="E6974" s="1348"/>
      <c r="F6974" s="1348"/>
      <c r="G6974" s="1348"/>
      <c r="H6974" s="1348"/>
      <c r="I6974" s="1348"/>
      <c r="J6974" s="1348"/>
      <c r="K6974" s="1348"/>
    </row>
    <row r="6975" spans="2:11" hidden="1">
      <c r="B6975" s="1348"/>
      <c r="C6975" s="1348"/>
      <c r="D6975" s="1348"/>
      <c r="E6975" s="1348"/>
      <c r="F6975" s="1348"/>
      <c r="G6975" s="1348"/>
      <c r="H6975" s="1348"/>
      <c r="I6975" s="1348"/>
      <c r="J6975" s="1348"/>
      <c r="K6975" s="1348"/>
    </row>
    <row r="6976" spans="2:11" hidden="1">
      <c r="B6976" s="1348"/>
      <c r="C6976" s="1348"/>
      <c r="D6976" s="1348"/>
      <c r="E6976" s="1348"/>
      <c r="F6976" s="1348"/>
      <c r="G6976" s="1348"/>
      <c r="H6976" s="1348"/>
      <c r="I6976" s="1348"/>
      <c r="J6976" s="1348"/>
      <c r="K6976" s="1348"/>
    </row>
    <row r="6977" spans="2:11" hidden="1">
      <c r="B6977" s="1348"/>
      <c r="C6977" s="1348"/>
      <c r="D6977" s="1348"/>
      <c r="E6977" s="1348"/>
      <c r="F6977" s="1348"/>
      <c r="G6977" s="1348"/>
      <c r="H6977" s="1348"/>
      <c r="I6977" s="1348"/>
      <c r="J6977" s="1348"/>
      <c r="K6977" s="1348"/>
    </row>
    <row r="6978" spans="2:11" hidden="1">
      <c r="B6978" s="1348"/>
      <c r="C6978" s="1348"/>
      <c r="D6978" s="1348"/>
      <c r="E6978" s="1348"/>
      <c r="F6978" s="1348"/>
      <c r="G6978" s="1348"/>
      <c r="H6978" s="1348"/>
      <c r="I6978" s="1348"/>
      <c r="J6978" s="1348"/>
      <c r="K6978" s="1348"/>
    </row>
    <row r="6979" spans="2:11" hidden="1">
      <c r="B6979" s="1348"/>
      <c r="C6979" s="1348"/>
      <c r="D6979" s="1348"/>
      <c r="E6979" s="1348"/>
      <c r="F6979" s="1348"/>
      <c r="G6979" s="1348"/>
      <c r="H6979" s="1348"/>
      <c r="I6979" s="1348"/>
      <c r="J6979" s="1348"/>
      <c r="K6979" s="1348"/>
    </row>
    <row r="6980" spans="2:11" hidden="1">
      <c r="B6980" s="1348"/>
      <c r="C6980" s="1348"/>
      <c r="D6980" s="1348"/>
      <c r="E6980" s="1348"/>
      <c r="F6980" s="1348"/>
      <c r="G6980" s="1348"/>
      <c r="H6980" s="1348"/>
      <c r="I6980" s="1348"/>
      <c r="J6980" s="1348"/>
      <c r="K6980" s="1348"/>
    </row>
    <row r="6981" spans="2:11" hidden="1">
      <c r="B6981" s="1348"/>
      <c r="C6981" s="1348"/>
      <c r="D6981" s="1348"/>
      <c r="E6981" s="1348"/>
      <c r="F6981" s="1348"/>
      <c r="G6981" s="1348"/>
      <c r="H6981" s="1348"/>
      <c r="I6981" s="1348"/>
      <c r="J6981" s="1348"/>
      <c r="K6981" s="1348"/>
    </row>
    <row r="6982" spans="2:11" hidden="1">
      <c r="B6982" s="1348"/>
      <c r="C6982" s="1348"/>
      <c r="D6982" s="1348"/>
      <c r="E6982" s="1348"/>
      <c r="F6982" s="1348"/>
      <c r="G6982" s="1348"/>
      <c r="H6982" s="1348"/>
      <c r="I6982" s="1348"/>
      <c r="J6982" s="1348"/>
      <c r="K6982" s="1348"/>
    </row>
    <row r="6983" spans="2:11" hidden="1">
      <c r="B6983" s="1348"/>
      <c r="C6983" s="1348"/>
      <c r="D6983" s="1348"/>
      <c r="E6983" s="1348"/>
      <c r="F6983" s="1348"/>
      <c r="G6983" s="1348"/>
      <c r="H6983" s="1348"/>
      <c r="I6983" s="1348"/>
      <c r="J6983" s="1348"/>
      <c r="K6983" s="1348"/>
    </row>
    <row r="6984" spans="2:11" hidden="1">
      <c r="B6984" s="1348"/>
      <c r="C6984" s="1348"/>
      <c r="D6984" s="1348"/>
      <c r="E6984" s="1348"/>
      <c r="F6984" s="1348"/>
      <c r="G6984" s="1348"/>
      <c r="H6984" s="1348"/>
      <c r="I6984" s="1348"/>
      <c r="J6984" s="1348"/>
      <c r="K6984" s="1348"/>
    </row>
    <row r="6985" spans="2:11" hidden="1">
      <c r="B6985" s="1348"/>
      <c r="C6985" s="1348"/>
      <c r="D6985" s="1348"/>
      <c r="E6985" s="1348"/>
      <c r="F6985" s="1348"/>
      <c r="G6985" s="1348"/>
      <c r="H6985" s="1348"/>
      <c r="I6985" s="1348"/>
      <c r="J6985" s="1348"/>
      <c r="K6985" s="1348"/>
    </row>
    <row r="6986" spans="2:11" hidden="1">
      <c r="B6986" s="1348"/>
      <c r="C6986" s="1348"/>
      <c r="D6986" s="1348"/>
      <c r="E6986" s="1348"/>
      <c r="F6986" s="1348"/>
      <c r="G6986" s="1348"/>
      <c r="H6986" s="1348"/>
      <c r="I6986" s="1348"/>
      <c r="J6986" s="1348"/>
      <c r="K6986" s="1348"/>
    </row>
    <row r="6987" spans="2:11" hidden="1">
      <c r="B6987" s="1348"/>
      <c r="C6987" s="1348"/>
      <c r="D6987" s="1348"/>
      <c r="E6987" s="1348"/>
      <c r="F6987" s="1348"/>
      <c r="G6987" s="1348"/>
      <c r="H6987" s="1348"/>
      <c r="I6987" s="1348"/>
      <c r="J6987" s="1348"/>
      <c r="K6987" s="1348"/>
    </row>
    <row r="6988" spans="2:11" hidden="1">
      <c r="B6988" s="1348"/>
      <c r="C6988" s="1348"/>
      <c r="D6988" s="1348"/>
      <c r="E6988" s="1348"/>
      <c r="F6988" s="1348"/>
      <c r="G6988" s="1348"/>
      <c r="H6988" s="1348"/>
      <c r="I6988" s="1348"/>
      <c r="J6988" s="1348"/>
      <c r="K6988" s="1348"/>
    </row>
    <row r="6989" spans="2:11" hidden="1">
      <c r="B6989" s="1348"/>
      <c r="C6989" s="1348"/>
      <c r="D6989" s="1348"/>
      <c r="E6989" s="1348"/>
      <c r="F6989" s="1348"/>
      <c r="G6989" s="1348"/>
      <c r="H6989" s="1348"/>
      <c r="I6989" s="1348"/>
      <c r="J6989" s="1348"/>
      <c r="K6989" s="1348"/>
    </row>
    <row r="6990" spans="2:11" hidden="1">
      <c r="B6990" s="1348"/>
      <c r="C6990" s="1348"/>
      <c r="D6990" s="1348"/>
      <c r="E6990" s="1348"/>
      <c r="F6990" s="1348"/>
      <c r="G6990" s="1348"/>
      <c r="H6990" s="1348"/>
      <c r="I6990" s="1348"/>
      <c r="J6990" s="1348"/>
      <c r="K6990" s="1348"/>
    </row>
    <row r="6991" spans="2:11" hidden="1">
      <c r="B6991" s="1348"/>
      <c r="C6991" s="1348"/>
      <c r="D6991" s="1348"/>
      <c r="E6991" s="1348"/>
      <c r="F6991" s="1348"/>
      <c r="G6991" s="1348"/>
      <c r="H6991" s="1348"/>
      <c r="I6991" s="1348"/>
      <c r="J6991" s="1348"/>
      <c r="K6991" s="1348"/>
    </row>
    <row r="6992" spans="2:11" hidden="1">
      <c r="B6992" s="1348"/>
      <c r="C6992" s="1348"/>
      <c r="D6992" s="1348"/>
      <c r="E6992" s="1348"/>
      <c r="F6992" s="1348"/>
      <c r="G6992" s="1348"/>
      <c r="H6992" s="1348"/>
      <c r="I6992" s="1348"/>
      <c r="J6992" s="1348"/>
      <c r="K6992" s="1348"/>
    </row>
    <row r="6993" spans="2:11" hidden="1">
      <c r="B6993" s="1348"/>
      <c r="C6993" s="1348"/>
      <c r="D6993" s="1348"/>
      <c r="E6993" s="1348"/>
      <c r="F6993" s="1348"/>
      <c r="G6993" s="1348"/>
      <c r="H6993" s="1348"/>
      <c r="I6993" s="1348"/>
      <c r="J6993" s="1348"/>
      <c r="K6993" s="1348"/>
    </row>
    <row r="6994" spans="2:11" hidden="1">
      <c r="B6994" s="1348"/>
      <c r="C6994" s="1348"/>
      <c r="D6994" s="1348"/>
      <c r="E6994" s="1348"/>
      <c r="F6994" s="1348"/>
      <c r="G6994" s="1348"/>
      <c r="H6994" s="1348"/>
      <c r="I6994" s="1348"/>
      <c r="J6994" s="1348"/>
      <c r="K6994" s="1348"/>
    </row>
    <row r="6995" spans="2:11" hidden="1">
      <c r="B6995" s="1348"/>
      <c r="C6995" s="1348"/>
      <c r="D6995" s="1348"/>
      <c r="E6995" s="1348"/>
      <c r="F6995" s="1348"/>
      <c r="G6995" s="1348"/>
      <c r="H6995" s="1348"/>
      <c r="I6995" s="1348"/>
      <c r="J6995" s="1348"/>
      <c r="K6995" s="1348"/>
    </row>
    <row r="6996" spans="2:11" hidden="1">
      <c r="B6996" s="1348"/>
      <c r="C6996" s="1348"/>
      <c r="D6996" s="1348"/>
      <c r="E6996" s="1348"/>
      <c r="F6996" s="1348"/>
      <c r="G6996" s="1348"/>
      <c r="H6996" s="1348"/>
      <c r="I6996" s="1348"/>
      <c r="J6996" s="1348"/>
      <c r="K6996" s="1348"/>
    </row>
    <row r="6997" spans="2:11" hidden="1">
      <c r="B6997" s="1348"/>
      <c r="C6997" s="1348"/>
      <c r="D6997" s="1348"/>
      <c r="E6997" s="1348"/>
      <c r="F6997" s="1348"/>
      <c r="G6997" s="1348"/>
      <c r="H6997" s="1348"/>
      <c r="I6997" s="1348"/>
      <c r="J6997" s="1348"/>
      <c r="K6997" s="1348"/>
    </row>
    <row r="6998" spans="2:11" hidden="1">
      <c r="B6998" s="1348"/>
      <c r="C6998" s="1348"/>
      <c r="D6998" s="1348"/>
      <c r="E6998" s="1348"/>
      <c r="F6998" s="1348"/>
      <c r="G6998" s="1348"/>
      <c r="H6998" s="1348"/>
      <c r="I6998" s="1348"/>
      <c r="J6998" s="1348"/>
      <c r="K6998" s="1348"/>
    </row>
    <row r="6999" spans="2:11" hidden="1">
      <c r="B6999" s="1348"/>
      <c r="C6999" s="1348"/>
      <c r="D6999" s="1348"/>
      <c r="E6999" s="1348"/>
      <c r="F6999" s="1348"/>
      <c r="G6999" s="1348"/>
      <c r="H6999" s="1348"/>
      <c r="I6999" s="1348"/>
      <c r="J6999" s="1348"/>
      <c r="K6999" s="1348"/>
    </row>
    <row r="7000" spans="2:11" hidden="1">
      <c r="B7000" s="1348"/>
      <c r="C7000" s="1348"/>
      <c r="D7000" s="1348"/>
      <c r="E7000" s="1348"/>
      <c r="F7000" s="1348"/>
      <c r="G7000" s="1348"/>
      <c r="H7000" s="1348"/>
      <c r="I7000" s="1348"/>
      <c r="J7000" s="1348"/>
      <c r="K7000" s="1348"/>
    </row>
    <row r="7001" spans="2:11" hidden="1">
      <c r="B7001" s="1348"/>
      <c r="C7001" s="1348"/>
      <c r="D7001" s="1348"/>
      <c r="E7001" s="1348"/>
      <c r="F7001" s="1348"/>
      <c r="G7001" s="1348"/>
      <c r="H7001" s="1348"/>
      <c r="I7001" s="1348"/>
      <c r="J7001" s="1348"/>
      <c r="K7001" s="1348"/>
    </row>
    <row r="7002" spans="2:11" hidden="1">
      <c r="B7002" s="1348"/>
      <c r="C7002" s="1348"/>
      <c r="D7002" s="1348"/>
      <c r="E7002" s="1348"/>
      <c r="F7002" s="1348"/>
      <c r="G7002" s="1348"/>
      <c r="H7002" s="1348"/>
      <c r="I7002" s="1348"/>
      <c r="J7002" s="1348"/>
      <c r="K7002" s="1348"/>
    </row>
    <row r="7003" spans="2:11" hidden="1">
      <c r="B7003" s="1348"/>
      <c r="C7003" s="1348"/>
      <c r="D7003" s="1348"/>
      <c r="E7003" s="1348"/>
      <c r="F7003" s="1348"/>
      <c r="G7003" s="1348"/>
      <c r="H7003" s="1348"/>
      <c r="I7003" s="1348"/>
      <c r="J7003" s="1348"/>
      <c r="K7003" s="1348"/>
    </row>
    <row r="7004" spans="2:11" hidden="1">
      <c r="B7004" s="1348"/>
      <c r="C7004" s="1348"/>
      <c r="D7004" s="1348"/>
      <c r="E7004" s="1348"/>
      <c r="F7004" s="1348"/>
      <c r="G7004" s="1348"/>
      <c r="H7004" s="1348"/>
      <c r="I7004" s="1348"/>
      <c r="J7004" s="1348"/>
      <c r="K7004" s="1348"/>
    </row>
    <row r="7005" spans="2:11" hidden="1">
      <c r="B7005" s="1348"/>
      <c r="C7005" s="1348"/>
      <c r="D7005" s="1348"/>
      <c r="E7005" s="1348"/>
      <c r="F7005" s="1348"/>
      <c r="G7005" s="1348"/>
      <c r="H7005" s="1348"/>
      <c r="I7005" s="1348"/>
      <c r="J7005" s="1348"/>
      <c r="K7005" s="1348"/>
    </row>
    <row r="7006" spans="2:11" hidden="1">
      <c r="B7006" s="1348"/>
      <c r="C7006" s="1348"/>
      <c r="D7006" s="1348"/>
      <c r="E7006" s="1348"/>
      <c r="F7006" s="1348"/>
      <c r="G7006" s="1348"/>
      <c r="H7006" s="1348"/>
      <c r="I7006" s="1348"/>
      <c r="J7006" s="1348"/>
      <c r="K7006" s="1348"/>
    </row>
    <row r="7007" spans="2:11" hidden="1">
      <c r="B7007" s="1348"/>
      <c r="C7007" s="1348"/>
      <c r="D7007" s="1348"/>
      <c r="E7007" s="1348"/>
      <c r="F7007" s="1348"/>
      <c r="G7007" s="1348"/>
      <c r="H7007" s="1348"/>
      <c r="I7007" s="1348"/>
      <c r="J7007" s="1348"/>
      <c r="K7007" s="1348"/>
    </row>
    <row r="7008" spans="2:11" hidden="1">
      <c r="B7008" s="1348"/>
      <c r="C7008" s="1348"/>
      <c r="D7008" s="1348"/>
      <c r="E7008" s="1348"/>
      <c r="F7008" s="1348"/>
      <c r="G7008" s="1348"/>
      <c r="H7008" s="1348"/>
      <c r="I7008" s="1348"/>
      <c r="J7008" s="1348"/>
      <c r="K7008" s="1348"/>
    </row>
    <row r="7009" spans="2:11" hidden="1">
      <c r="B7009" s="1348"/>
      <c r="C7009" s="1348"/>
      <c r="D7009" s="1348"/>
      <c r="E7009" s="1348"/>
      <c r="F7009" s="1348"/>
      <c r="G7009" s="1348"/>
      <c r="H7009" s="1348"/>
      <c r="I7009" s="1348"/>
      <c r="J7009" s="1348"/>
      <c r="K7009" s="1348"/>
    </row>
    <row r="7010" spans="2:11" hidden="1">
      <c r="B7010" s="1348"/>
      <c r="C7010" s="1348"/>
      <c r="D7010" s="1348"/>
      <c r="E7010" s="1348"/>
      <c r="F7010" s="1348"/>
      <c r="G7010" s="1348"/>
      <c r="H7010" s="1348"/>
      <c r="I7010" s="1348"/>
      <c r="J7010" s="1348"/>
      <c r="K7010" s="1348"/>
    </row>
    <row r="7011" spans="2:11" hidden="1">
      <c r="B7011" s="1348"/>
      <c r="C7011" s="1348"/>
      <c r="D7011" s="1348"/>
      <c r="E7011" s="1348"/>
      <c r="F7011" s="1348"/>
      <c r="G7011" s="1348"/>
      <c r="H7011" s="1348"/>
      <c r="I7011" s="1348"/>
      <c r="J7011" s="1348"/>
      <c r="K7011" s="1348"/>
    </row>
    <row r="7012" spans="2:11" hidden="1">
      <c r="B7012" s="1348"/>
      <c r="C7012" s="1348"/>
      <c r="D7012" s="1348"/>
      <c r="E7012" s="1348"/>
      <c r="F7012" s="1348"/>
      <c r="G7012" s="1348"/>
      <c r="H7012" s="1348"/>
      <c r="I7012" s="1348"/>
      <c r="J7012" s="1348"/>
      <c r="K7012" s="1348"/>
    </row>
    <row r="7013" spans="2:11" hidden="1">
      <c r="B7013" s="1348"/>
      <c r="C7013" s="1348"/>
      <c r="D7013" s="1348"/>
      <c r="E7013" s="1348"/>
      <c r="F7013" s="1348"/>
      <c r="G7013" s="1348"/>
      <c r="H7013" s="1348"/>
      <c r="I7013" s="1348"/>
      <c r="J7013" s="1348"/>
      <c r="K7013" s="1348"/>
    </row>
    <row r="7014" spans="2:11" hidden="1">
      <c r="B7014" s="1348"/>
      <c r="C7014" s="1348"/>
      <c r="D7014" s="1348"/>
      <c r="E7014" s="1348"/>
      <c r="F7014" s="1348"/>
      <c r="G7014" s="1348"/>
      <c r="H7014" s="1348"/>
      <c r="I7014" s="1348"/>
      <c r="J7014" s="1348"/>
      <c r="K7014" s="1348"/>
    </row>
    <row r="7015" spans="2:11" hidden="1">
      <c r="B7015" s="1348"/>
      <c r="C7015" s="1348"/>
      <c r="D7015" s="1348"/>
      <c r="E7015" s="1348"/>
      <c r="F7015" s="1348"/>
      <c r="G7015" s="1348"/>
      <c r="H7015" s="1348"/>
      <c r="I7015" s="1348"/>
      <c r="J7015" s="1348"/>
      <c r="K7015" s="1348"/>
    </row>
    <row r="7016" spans="2:11" hidden="1">
      <c r="B7016" s="1348"/>
      <c r="C7016" s="1348"/>
      <c r="D7016" s="1348"/>
      <c r="E7016" s="1348"/>
      <c r="F7016" s="1348"/>
      <c r="G7016" s="1348"/>
      <c r="H7016" s="1348"/>
      <c r="I7016" s="1348"/>
      <c r="J7016" s="1348"/>
      <c r="K7016" s="1348"/>
    </row>
    <row r="7017" spans="2:11" hidden="1">
      <c r="B7017" s="1348"/>
      <c r="C7017" s="1348"/>
      <c r="D7017" s="1348"/>
      <c r="E7017" s="1348"/>
      <c r="F7017" s="1348"/>
      <c r="G7017" s="1348"/>
      <c r="H7017" s="1348"/>
      <c r="I7017" s="1348"/>
      <c r="J7017" s="1348"/>
      <c r="K7017" s="1348"/>
    </row>
    <row r="7018" spans="2:11" hidden="1">
      <c r="B7018" s="1348"/>
      <c r="C7018" s="1348"/>
      <c r="D7018" s="1348"/>
      <c r="E7018" s="1348"/>
      <c r="F7018" s="1348"/>
      <c r="G7018" s="1348"/>
      <c r="H7018" s="1348"/>
      <c r="I7018" s="1348"/>
      <c r="J7018" s="1348"/>
      <c r="K7018" s="1348"/>
    </row>
    <row r="7019" spans="2:11" hidden="1">
      <c r="B7019" s="1348"/>
      <c r="C7019" s="1348"/>
      <c r="D7019" s="1348"/>
      <c r="E7019" s="1348"/>
      <c r="F7019" s="1348"/>
      <c r="G7019" s="1348"/>
      <c r="H7019" s="1348"/>
      <c r="I7019" s="1348"/>
      <c r="J7019" s="1348"/>
      <c r="K7019" s="1348"/>
    </row>
    <row r="7020" spans="2:11" hidden="1">
      <c r="B7020" s="1348"/>
      <c r="C7020" s="1348"/>
      <c r="D7020" s="1348"/>
      <c r="E7020" s="1348"/>
      <c r="F7020" s="1348"/>
      <c r="G7020" s="1348"/>
      <c r="H7020" s="1348"/>
      <c r="I7020" s="1348"/>
      <c r="J7020" s="1348"/>
      <c r="K7020" s="1348"/>
    </row>
    <row r="7021" spans="2:11" hidden="1">
      <c r="B7021" s="1348"/>
      <c r="C7021" s="1348"/>
      <c r="D7021" s="1348"/>
      <c r="E7021" s="1348"/>
      <c r="F7021" s="1348"/>
      <c r="G7021" s="1348"/>
      <c r="H7021" s="1348"/>
      <c r="I7021" s="1348"/>
      <c r="J7021" s="1348"/>
      <c r="K7021" s="1348"/>
    </row>
    <row r="7022" spans="2:11" hidden="1">
      <c r="B7022" s="1348"/>
      <c r="C7022" s="1348"/>
      <c r="D7022" s="1348"/>
      <c r="E7022" s="1348"/>
      <c r="F7022" s="1348"/>
      <c r="G7022" s="1348"/>
      <c r="H7022" s="1348"/>
      <c r="I7022" s="1348"/>
      <c r="J7022" s="1348"/>
      <c r="K7022" s="1348"/>
    </row>
    <row r="7023" spans="2:11" hidden="1">
      <c r="B7023" s="1348"/>
      <c r="C7023" s="1348"/>
      <c r="D7023" s="1348"/>
      <c r="E7023" s="1348"/>
      <c r="F7023" s="1348"/>
      <c r="G7023" s="1348"/>
      <c r="H7023" s="1348"/>
      <c r="I7023" s="1348"/>
      <c r="J7023" s="1348"/>
      <c r="K7023" s="1348"/>
    </row>
    <row r="7024" spans="2:11" hidden="1">
      <c r="B7024" s="1348"/>
      <c r="C7024" s="1348"/>
      <c r="D7024" s="1348"/>
      <c r="E7024" s="1348"/>
      <c r="F7024" s="1348"/>
      <c r="G7024" s="1348"/>
      <c r="H7024" s="1348"/>
      <c r="I7024" s="1348"/>
      <c r="J7024" s="1348"/>
      <c r="K7024" s="1348"/>
    </row>
    <row r="7025" spans="2:11" hidden="1">
      <c r="B7025" s="1348"/>
      <c r="C7025" s="1348"/>
      <c r="D7025" s="1348"/>
      <c r="E7025" s="1348"/>
      <c r="F7025" s="1348"/>
      <c r="G7025" s="1348"/>
      <c r="H7025" s="1348"/>
      <c r="I7025" s="1348"/>
      <c r="J7025" s="1348"/>
      <c r="K7025" s="1348"/>
    </row>
    <row r="7026" spans="2:11" hidden="1">
      <c r="B7026" s="1348"/>
      <c r="C7026" s="1348"/>
      <c r="D7026" s="1348"/>
      <c r="E7026" s="1348"/>
      <c r="F7026" s="1348"/>
      <c r="G7026" s="1348"/>
      <c r="H7026" s="1348"/>
      <c r="I7026" s="1348"/>
      <c r="J7026" s="1348"/>
      <c r="K7026" s="1348"/>
    </row>
    <row r="7027" spans="2:11" hidden="1">
      <c r="B7027" s="1348"/>
      <c r="C7027" s="1348"/>
      <c r="D7027" s="1348"/>
      <c r="E7027" s="1348"/>
      <c r="F7027" s="1348"/>
      <c r="G7027" s="1348"/>
      <c r="H7027" s="1348"/>
      <c r="I7027" s="1348"/>
      <c r="J7027" s="1348"/>
      <c r="K7027" s="1348"/>
    </row>
    <row r="7028" spans="2:11" hidden="1">
      <c r="B7028" s="1348"/>
      <c r="C7028" s="1348"/>
      <c r="D7028" s="1348"/>
      <c r="E7028" s="1348"/>
      <c r="F7028" s="1348"/>
      <c r="G7028" s="1348"/>
      <c r="H7028" s="1348"/>
      <c r="I7028" s="1348"/>
      <c r="J7028" s="1348"/>
      <c r="K7028" s="1348"/>
    </row>
    <row r="7029" spans="2:11" hidden="1">
      <c r="B7029" s="1348"/>
      <c r="C7029" s="1348"/>
      <c r="D7029" s="1348"/>
      <c r="E7029" s="1348"/>
      <c r="F7029" s="1348"/>
      <c r="G7029" s="1348"/>
      <c r="H7029" s="1348"/>
      <c r="I7029" s="1348"/>
      <c r="J7029" s="1348"/>
      <c r="K7029" s="1348"/>
    </row>
    <row r="7030" spans="2:11" hidden="1">
      <c r="B7030" s="1348"/>
      <c r="C7030" s="1348"/>
      <c r="D7030" s="1348"/>
      <c r="E7030" s="1348"/>
      <c r="F7030" s="1348"/>
      <c r="G7030" s="1348"/>
      <c r="H7030" s="1348"/>
      <c r="I7030" s="1348"/>
      <c r="J7030" s="1348"/>
      <c r="K7030" s="1348"/>
    </row>
    <row r="7031" spans="2:11" hidden="1">
      <c r="B7031" s="1348"/>
      <c r="C7031" s="1348"/>
      <c r="D7031" s="1348"/>
      <c r="E7031" s="1348"/>
      <c r="F7031" s="1348"/>
      <c r="G7031" s="1348"/>
      <c r="H7031" s="1348"/>
      <c r="I7031" s="1348"/>
      <c r="J7031" s="1348"/>
      <c r="K7031" s="1348"/>
    </row>
    <row r="7032" spans="2:11" hidden="1">
      <c r="B7032" s="1348"/>
      <c r="C7032" s="1348"/>
      <c r="D7032" s="1348"/>
      <c r="E7032" s="1348"/>
      <c r="F7032" s="1348"/>
      <c r="G7032" s="1348"/>
      <c r="H7032" s="1348"/>
      <c r="I7032" s="1348"/>
      <c r="J7032" s="1348"/>
      <c r="K7032" s="1348"/>
    </row>
    <row r="7033" spans="2:11" hidden="1">
      <c r="B7033" s="1348"/>
      <c r="C7033" s="1348"/>
      <c r="D7033" s="1348"/>
      <c r="E7033" s="1348"/>
      <c r="F7033" s="1348"/>
      <c r="G7033" s="1348"/>
      <c r="H7033" s="1348"/>
      <c r="I7033" s="1348"/>
      <c r="J7033" s="1348"/>
      <c r="K7033" s="1348"/>
    </row>
    <row r="7034" spans="2:11" hidden="1">
      <c r="B7034" s="1348"/>
      <c r="C7034" s="1348"/>
      <c r="D7034" s="1348"/>
      <c r="E7034" s="1348"/>
      <c r="F7034" s="1348"/>
      <c r="G7034" s="1348"/>
      <c r="H7034" s="1348"/>
      <c r="I7034" s="1348"/>
      <c r="J7034" s="1348"/>
      <c r="K7034" s="1348"/>
    </row>
    <row r="7035" spans="2:11" hidden="1">
      <c r="B7035" s="1348"/>
      <c r="C7035" s="1348"/>
      <c r="D7035" s="1348"/>
      <c r="E7035" s="1348"/>
      <c r="F7035" s="1348"/>
      <c r="G7035" s="1348"/>
      <c r="H7035" s="1348"/>
      <c r="I7035" s="1348"/>
      <c r="J7035" s="1348"/>
      <c r="K7035" s="1348"/>
    </row>
    <row r="7036" spans="2:11" hidden="1">
      <c r="B7036" s="1348"/>
      <c r="C7036" s="1348"/>
      <c r="D7036" s="1348"/>
      <c r="E7036" s="1348"/>
      <c r="F7036" s="1348"/>
      <c r="G7036" s="1348"/>
      <c r="H7036" s="1348"/>
      <c r="I7036" s="1348"/>
      <c r="J7036" s="1348"/>
      <c r="K7036" s="1348"/>
    </row>
    <row r="7037" spans="2:11" hidden="1">
      <c r="B7037" s="1348"/>
      <c r="C7037" s="1348"/>
      <c r="D7037" s="1348"/>
      <c r="E7037" s="1348"/>
      <c r="F7037" s="1348"/>
      <c r="G7037" s="1348"/>
      <c r="H7037" s="1348"/>
      <c r="I7037" s="1348"/>
      <c r="J7037" s="1348"/>
      <c r="K7037" s="1348"/>
    </row>
    <row r="7038" spans="2:11" hidden="1">
      <c r="B7038" s="1348"/>
      <c r="C7038" s="1348"/>
      <c r="D7038" s="1348"/>
      <c r="E7038" s="1348"/>
      <c r="F7038" s="1348"/>
      <c r="G7038" s="1348"/>
      <c r="H7038" s="1348"/>
      <c r="I7038" s="1348"/>
      <c r="J7038" s="1348"/>
      <c r="K7038" s="1348"/>
    </row>
    <row r="7039" spans="2:11" hidden="1">
      <c r="B7039" s="1348"/>
      <c r="C7039" s="1348"/>
      <c r="D7039" s="1348"/>
      <c r="E7039" s="1348"/>
      <c r="F7039" s="1348"/>
      <c r="G7039" s="1348"/>
      <c r="H7039" s="1348"/>
      <c r="I7039" s="1348"/>
      <c r="J7039" s="1348"/>
      <c r="K7039" s="1348"/>
    </row>
    <row r="7040" spans="2:11" hidden="1">
      <c r="B7040" s="1348"/>
      <c r="C7040" s="1348"/>
      <c r="D7040" s="1348"/>
      <c r="E7040" s="1348"/>
      <c r="F7040" s="1348"/>
      <c r="G7040" s="1348"/>
      <c r="H7040" s="1348"/>
      <c r="I7040" s="1348"/>
      <c r="J7040" s="1348"/>
      <c r="K7040" s="1348"/>
    </row>
    <row r="7041" spans="2:11" hidden="1">
      <c r="B7041" s="1348"/>
      <c r="C7041" s="1348"/>
      <c r="D7041" s="1348"/>
      <c r="E7041" s="1348"/>
      <c r="F7041" s="1348"/>
      <c r="G7041" s="1348"/>
      <c r="H7041" s="1348"/>
      <c r="I7041" s="1348"/>
      <c r="J7041" s="1348"/>
      <c r="K7041" s="1348"/>
    </row>
    <row r="7042" spans="2:11" hidden="1">
      <c r="B7042" s="1348"/>
      <c r="C7042" s="1348"/>
      <c r="D7042" s="1348"/>
      <c r="E7042" s="1348"/>
      <c r="F7042" s="1348"/>
      <c r="G7042" s="1348"/>
      <c r="H7042" s="1348"/>
      <c r="I7042" s="1348"/>
      <c r="J7042" s="1348"/>
      <c r="K7042" s="1348"/>
    </row>
    <row r="7043" spans="2:11" hidden="1">
      <c r="B7043" s="1348"/>
      <c r="C7043" s="1348"/>
      <c r="D7043" s="1348"/>
      <c r="E7043" s="1348"/>
      <c r="F7043" s="1348"/>
      <c r="G7043" s="1348"/>
      <c r="H7043" s="1348"/>
      <c r="I7043" s="1348"/>
      <c r="J7043" s="1348"/>
      <c r="K7043" s="1348"/>
    </row>
    <row r="7044" spans="2:11" hidden="1">
      <c r="B7044" s="1348"/>
      <c r="C7044" s="1348"/>
      <c r="D7044" s="1348"/>
      <c r="E7044" s="1348"/>
      <c r="F7044" s="1348"/>
      <c r="G7044" s="1348"/>
      <c r="H7044" s="1348"/>
      <c r="I7044" s="1348"/>
      <c r="J7044" s="1348"/>
      <c r="K7044" s="1348"/>
    </row>
    <row r="7045" spans="2:11" hidden="1">
      <c r="B7045" s="1348"/>
      <c r="C7045" s="1348"/>
      <c r="D7045" s="1348"/>
      <c r="E7045" s="1348"/>
      <c r="F7045" s="1348"/>
      <c r="G7045" s="1348"/>
      <c r="H7045" s="1348"/>
      <c r="I7045" s="1348"/>
      <c r="J7045" s="1348"/>
      <c r="K7045" s="1348"/>
    </row>
    <row r="7046" spans="2:11" hidden="1">
      <c r="B7046" s="1348"/>
      <c r="C7046" s="1348"/>
      <c r="D7046" s="1348"/>
      <c r="E7046" s="1348"/>
      <c r="F7046" s="1348"/>
      <c r="G7046" s="1348"/>
      <c r="H7046" s="1348"/>
      <c r="I7046" s="1348"/>
      <c r="J7046" s="1348"/>
      <c r="K7046" s="1348"/>
    </row>
    <row r="7047" spans="2:11" hidden="1">
      <c r="B7047" s="1348"/>
      <c r="C7047" s="1348"/>
      <c r="D7047" s="1348"/>
      <c r="E7047" s="1348"/>
      <c r="F7047" s="1348"/>
      <c r="G7047" s="1348"/>
      <c r="H7047" s="1348"/>
      <c r="I7047" s="1348"/>
      <c r="J7047" s="1348"/>
      <c r="K7047" s="1348"/>
    </row>
    <row r="7048" spans="2:11" hidden="1">
      <c r="B7048" s="1348"/>
      <c r="C7048" s="1348"/>
      <c r="D7048" s="1348"/>
      <c r="E7048" s="1348"/>
      <c r="F7048" s="1348"/>
      <c r="G7048" s="1348"/>
      <c r="H7048" s="1348"/>
      <c r="I7048" s="1348"/>
      <c r="J7048" s="1348"/>
      <c r="K7048" s="1348"/>
    </row>
    <row r="7049" spans="2:11" hidden="1">
      <c r="B7049" s="1348"/>
      <c r="C7049" s="1348"/>
      <c r="D7049" s="1348"/>
      <c r="E7049" s="1348"/>
      <c r="F7049" s="1348"/>
      <c r="G7049" s="1348"/>
      <c r="H7049" s="1348"/>
      <c r="I7049" s="1348"/>
      <c r="J7049" s="1348"/>
      <c r="K7049" s="1348"/>
    </row>
    <row r="7050" spans="2:11" hidden="1">
      <c r="B7050" s="1348"/>
      <c r="C7050" s="1348"/>
      <c r="D7050" s="1348"/>
      <c r="E7050" s="1348"/>
      <c r="F7050" s="1348"/>
      <c r="G7050" s="1348"/>
      <c r="H7050" s="1348"/>
      <c r="I7050" s="1348"/>
      <c r="J7050" s="1348"/>
      <c r="K7050" s="1348"/>
    </row>
    <row r="7051" spans="2:11" hidden="1">
      <c r="B7051" s="1348"/>
      <c r="C7051" s="1348"/>
      <c r="D7051" s="1348"/>
      <c r="E7051" s="1348"/>
      <c r="F7051" s="1348"/>
      <c r="G7051" s="1348"/>
      <c r="H7051" s="1348"/>
      <c r="I7051" s="1348"/>
      <c r="J7051" s="1348"/>
      <c r="K7051" s="1348"/>
    </row>
    <row r="7052" spans="2:11" hidden="1">
      <c r="B7052" s="1348"/>
      <c r="C7052" s="1348"/>
      <c r="D7052" s="1348"/>
      <c r="E7052" s="1348"/>
      <c r="F7052" s="1348"/>
      <c r="G7052" s="1348"/>
      <c r="H7052" s="1348"/>
      <c r="I7052" s="1348"/>
      <c r="J7052" s="1348"/>
      <c r="K7052" s="1348"/>
    </row>
    <row r="7053" spans="2:11" hidden="1">
      <c r="B7053" s="1348"/>
      <c r="C7053" s="1348"/>
      <c r="D7053" s="1348"/>
      <c r="E7053" s="1348"/>
      <c r="F7053" s="1348"/>
      <c r="G7053" s="1348"/>
      <c r="H7053" s="1348"/>
      <c r="I7053" s="1348"/>
      <c r="J7053" s="1348"/>
      <c r="K7053" s="1348"/>
    </row>
    <row r="7054" spans="2:11" hidden="1">
      <c r="B7054" s="1348"/>
      <c r="C7054" s="1348"/>
      <c r="D7054" s="1348"/>
      <c r="E7054" s="1348"/>
      <c r="F7054" s="1348"/>
      <c r="G7054" s="1348"/>
      <c r="H7054" s="1348"/>
      <c r="I7054" s="1348"/>
      <c r="J7054" s="1348"/>
      <c r="K7054" s="1348"/>
    </row>
    <row r="7055" spans="2:11" hidden="1">
      <c r="B7055" s="1348"/>
      <c r="C7055" s="1348"/>
      <c r="D7055" s="1348"/>
      <c r="E7055" s="1348"/>
      <c r="F7055" s="1348"/>
      <c r="G7055" s="1348"/>
      <c r="H7055" s="1348"/>
      <c r="I7055" s="1348"/>
      <c r="J7055" s="1348"/>
      <c r="K7055" s="1348"/>
    </row>
    <row r="7056" spans="2:11" hidden="1">
      <c r="B7056" s="1348"/>
      <c r="C7056" s="1348"/>
      <c r="D7056" s="1348"/>
      <c r="E7056" s="1348"/>
      <c r="F7056" s="1348"/>
      <c r="G7056" s="1348"/>
      <c r="H7056" s="1348"/>
      <c r="I7056" s="1348"/>
      <c r="J7056" s="1348"/>
      <c r="K7056" s="1348"/>
    </row>
    <row r="7057" spans="2:11" hidden="1">
      <c r="B7057" s="1348"/>
      <c r="C7057" s="1348"/>
      <c r="D7057" s="1348"/>
      <c r="E7057" s="1348"/>
      <c r="F7057" s="1348"/>
      <c r="G7057" s="1348"/>
      <c r="H7057" s="1348"/>
      <c r="I7057" s="1348"/>
      <c r="J7057" s="1348"/>
      <c r="K7057" s="1348"/>
    </row>
    <row r="7058" spans="2:11" hidden="1">
      <c r="B7058" s="1348"/>
      <c r="C7058" s="1348"/>
      <c r="D7058" s="1348"/>
      <c r="E7058" s="1348"/>
      <c r="F7058" s="1348"/>
      <c r="G7058" s="1348"/>
      <c r="H7058" s="1348"/>
      <c r="I7058" s="1348"/>
      <c r="J7058" s="1348"/>
      <c r="K7058" s="1348"/>
    </row>
    <row r="7059" spans="2:11" hidden="1">
      <c r="B7059" s="1348"/>
      <c r="C7059" s="1348"/>
      <c r="D7059" s="1348"/>
      <c r="E7059" s="1348"/>
      <c r="F7059" s="1348"/>
      <c r="G7059" s="1348"/>
      <c r="H7059" s="1348"/>
      <c r="I7059" s="1348"/>
      <c r="J7059" s="1348"/>
      <c r="K7059" s="1348"/>
    </row>
    <row r="7060" spans="2:11" hidden="1">
      <c r="B7060" s="1348"/>
      <c r="C7060" s="1348"/>
      <c r="D7060" s="1348"/>
      <c r="E7060" s="1348"/>
      <c r="F7060" s="1348"/>
      <c r="G7060" s="1348"/>
      <c r="H7060" s="1348"/>
      <c r="I7060" s="1348"/>
      <c r="J7060" s="1348"/>
      <c r="K7060" s="1348"/>
    </row>
    <row r="7061" spans="2:11" hidden="1">
      <c r="B7061" s="1348"/>
      <c r="C7061" s="1348"/>
      <c r="D7061" s="1348"/>
      <c r="E7061" s="1348"/>
      <c r="F7061" s="1348"/>
      <c r="G7061" s="1348"/>
      <c r="H7061" s="1348"/>
      <c r="I7061" s="1348"/>
      <c r="J7061" s="1348"/>
      <c r="K7061" s="1348"/>
    </row>
    <row r="7062" spans="2:11" hidden="1">
      <c r="B7062" s="1348"/>
      <c r="C7062" s="1348"/>
      <c r="D7062" s="1348"/>
      <c r="E7062" s="1348"/>
      <c r="F7062" s="1348"/>
      <c r="G7062" s="1348"/>
      <c r="H7062" s="1348"/>
      <c r="I7062" s="1348"/>
      <c r="J7062" s="1348"/>
      <c r="K7062" s="1348"/>
    </row>
    <row r="7063" spans="2:11" hidden="1">
      <c r="B7063" s="1348"/>
      <c r="C7063" s="1348"/>
      <c r="D7063" s="1348"/>
      <c r="E7063" s="1348"/>
      <c r="F7063" s="1348"/>
      <c r="G7063" s="1348"/>
      <c r="H7063" s="1348"/>
      <c r="I7063" s="1348"/>
      <c r="J7063" s="1348"/>
      <c r="K7063" s="1348"/>
    </row>
    <row r="7064" spans="2:11" hidden="1">
      <c r="B7064" s="1348"/>
      <c r="C7064" s="1348"/>
      <c r="D7064" s="1348"/>
      <c r="E7064" s="1348"/>
      <c r="F7064" s="1348"/>
      <c r="G7064" s="1348"/>
      <c r="H7064" s="1348"/>
      <c r="I7064" s="1348"/>
      <c r="J7064" s="1348"/>
      <c r="K7064" s="1348"/>
    </row>
    <row r="7065" spans="2:11" hidden="1">
      <c r="B7065" s="1348"/>
      <c r="C7065" s="1348"/>
      <c r="D7065" s="1348"/>
      <c r="E7065" s="1348"/>
      <c r="F7065" s="1348"/>
      <c r="G7065" s="1348"/>
      <c r="H7065" s="1348"/>
      <c r="I7065" s="1348"/>
      <c r="J7065" s="1348"/>
      <c r="K7065" s="1348"/>
    </row>
    <row r="7066" spans="2:11" hidden="1">
      <c r="B7066" s="1348"/>
      <c r="C7066" s="1348"/>
      <c r="D7066" s="1348"/>
      <c r="E7066" s="1348"/>
      <c r="F7066" s="1348"/>
      <c r="G7066" s="1348"/>
      <c r="H7066" s="1348"/>
      <c r="I7066" s="1348"/>
      <c r="J7066" s="1348"/>
      <c r="K7066" s="1348"/>
    </row>
    <row r="7067" spans="2:11" hidden="1">
      <c r="B7067" s="1348"/>
      <c r="C7067" s="1348"/>
      <c r="D7067" s="1348"/>
      <c r="E7067" s="1348"/>
      <c r="F7067" s="1348"/>
      <c r="G7067" s="1348"/>
      <c r="H7067" s="1348"/>
      <c r="I7067" s="1348"/>
      <c r="J7067" s="1348"/>
      <c r="K7067" s="1348"/>
    </row>
    <row r="7068" spans="2:11" hidden="1">
      <c r="B7068" s="1348"/>
      <c r="C7068" s="1348"/>
      <c r="D7068" s="1348"/>
      <c r="E7068" s="1348"/>
      <c r="F7068" s="1348"/>
      <c r="G7068" s="1348"/>
      <c r="H7068" s="1348"/>
      <c r="I7068" s="1348"/>
      <c r="J7068" s="1348"/>
      <c r="K7068" s="1348"/>
    </row>
    <row r="7069" spans="2:11" hidden="1">
      <c r="B7069" s="1348"/>
      <c r="C7069" s="1348"/>
      <c r="D7069" s="1348"/>
      <c r="E7069" s="1348"/>
      <c r="F7069" s="1348"/>
      <c r="G7069" s="1348"/>
      <c r="H7069" s="1348"/>
      <c r="I7069" s="1348"/>
      <c r="J7069" s="1348"/>
      <c r="K7069" s="1348"/>
    </row>
    <row r="7070" spans="2:11" hidden="1">
      <c r="B7070" s="1348"/>
      <c r="C7070" s="1348"/>
      <c r="D7070" s="1348"/>
      <c r="E7070" s="1348"/>
      <c r="F7070" s="1348"/>
      <c r="G7070" s="1348"/>
      <c r="H7070" s="1348"/>
      <c r="I7070" s="1348"/>
      <c r="J7070" s="1348"/>
      <c r="K7070" s="1348"/>
    </row>
    <row r="7071" spans="2:11" hidden="1">
      <c r="B7071" s="1348"/>
      <c r="C7071" s="1348"/>
      <c r="D7071" s="1348"/>
      <c r="E7071" s="1348"/>
      <c r="F7071" s="1348"/>
      <c r="G7071" s="1348"/>
      <c r="H7071" s="1348"/>
      <c r="I7071" s="1348"/>
      <c r="J7071" s="1348"/>
      <c r="K7071" s="1348"/>
    </row>
    <row r="7072" spans="2:11" hidden="1">
      <c r="B7072" s="1348"/>
      <c r="C7072" s="1348"/>
      <c r="D7072" s="1348"/>
      <c r="E7072" s="1348"/>
      <c r="F7072" s="1348"/>
      <c r="G7072" s="1348"/>
      <c r="H7072" s="1348"/>
      <c r="I7072" s="1348"/>
      <c r="J7072" s="1348"/>
      <c r="K7072" s="1348"/>
    </row>
    <row r="7073" spans="2:11" hidden="1">
      <c r="B7073" s="1348"/>
      <c r="C7073" s="1348"/>
      <c r="D7073" s="1348"/>
      <c r="E7073" s="1348"/>
      <c r="F7073" s="1348"/>
      <c r="G7073" s="1348"/>
      <c r="H7073" s="1348"/>
      <c r="I7073" s="1348"/>
      <c r="J7073" s="1348"/>
      <c r="K7073" s="1348"/>
    </row>
    <row r="7074" spans="2:11" hidden="1">
      <c r="B7074" s="1348"/>
      <c r="C7074" s="1348"/>
      <c r="D7074" s="1348"/>
      <c r="E7074" s="1348"/>
      <c r="F7074" s="1348"/>
      <c r="G7074" s="1348"/>
      <c r="H7074" s="1348"/>
      <c r="I7074" s="1348"/>
      <c r="J7074" s="1348"/>
      <c r="K7074" s="1348"/>
    </row>
    <row r="7075" spans="2:11" hidden="1">
      <c r="B7075" s="1348"/>
      <c r="C7075" s="1348"/>
      <c r="D7075" s="1348"/>
      <c r="E7075" s="1348"/>
      <c r="F7075" s="1348"/>
      <c r="G7075" s="1348"/>
      <c r="H7075" s="1348"/>
      <c r="I7075" s="1348"/>
      <c r="J7075" s="1348"/>
      <c r="K7075" s="1348"/>
    </row>
    <row r="7076" spans="2:11" hidden="1">
      <c r="B7076" s="1348"/>
      <c r="C7076" s="1348"/>
      <c r="D7076" s="1348"/>
      <c r="E7076" s="1348"/>
      <c r="F7076" s="1348"/>
      <c r="G7076" s="1348"/>
      <c r="H7076" s="1348"/>
      <c r="I7076" s="1348"/>
      <c r="J7076" s="1348"/>
      <c r="K7076" s="1348"/>
    </row>
    <row r="7077" spans="2:11" hidden="1">
      <c r="B7077" s="1348"/>
      <c r="C7077" s="1348"/>
      <c r="D7077" s="1348"/>
      <c r="E7077" s="1348"/>
      <c r="F7077" s="1348"/>
      <c r="G7077" s="1348"/>
      <c r="H7077" s="1348"/>
      <c r="I7077" s="1348"/>
      <c r="J7077" s="1348"/>
      <c r="K7077" s="1348"/>
    </row>
    <row r="7078" spans="2:11" hidden="1">
      <c r="B7078" s="1348"/>
      <c r="C7078" s="1348"/>
      <c r="D7078" s="1348"/>
      <c r="E7078" s="1348"/>
      <c r="F7078" s="1348"/>
      <c r="G7078" s="1348"/>
      <c r="H7078" s="1348"/>
      <c r="I7078" s="1348"/>
      <c r="J7078" s="1348"/>
      <c r="K7078" s="1348"/>
    </row>
    <row r="7079" spans="2:11" hidden="1">
      <c r="B7079" s="1348"/>
      <c r="C7079" s="1348"/>
      <c r="D7079" s="1348"/>
      <c r="E7079" s="1348"/>
      <c r="F7079" s="1348"/>
      <c r="G7079" s="1348"/>
      <c r="H7079" s="1348"/>
      <c r="I7079" s="1348"/>
      <c r="J7079" s="1348"/>
      <c r="K7079" s="1348"/>
    </row>
    <row r="7080" spans="2:11" hidden="1">
      <c r="B7080" s="1348"/>
      <c r="C7080" s="1348"/>
      <c r="D7080" s="1348"/>
      <c r="E7080" s="1348"/>
      <c r="F7080" s="1348"/>
      <c r="G7080" s="1348"/>
      <c r="H7080" s="1348"/>
      <c r="I7080" s="1348"/>
      <c r="J7080" s="1348"/>
      <c r="K7080" s="1348"/>
    </row>
    <row r="7081" spans="2:11" hidden="1">
      <c r="B7081" s="1348"/>
      <c r="C7081" s="1348"/>
      <c r="D7081" s="1348"/>
      <c r="E7081" s="1348"/>
      <c r="F7081" s="1348"/>
      <c r="G7081" s="1348"/>
      <c r="H7081" s="1348"/>
      <c r="I7081" s="1348"/>
      <c r="J7081" s="1348"/>
      <c r="K7081" s="1348"/>
    </row>
    <row r="7082" spans="2:11" hidden="1">
      <c r="B7082" s="1348"/>
      <c r="C7082" s="1348"/>
      <c r="D7082" s="1348"/>
      <c r="E7082" s="1348"/>
      <c r="F7082" s="1348"/>
      <c r="G7082" s="1348"/>
      <c r="H7082" s="1348"/>
      <c r="I7082" s="1348"/>
      <c r="J7082" s="1348"/>
      <c r="K7082" s="1348"/>
    </row>
    <row r="7083" spans="2:11" hidden="1">
      <c r="B7083" s="1348"/>
      <c r="C7083" s="1348"/>
      <c r="D7083" s="1348"/>
      <c r="E7083" s="1348"/>
      <c r="F7083" s="1348"/>
      <c r="G7083" s="1348"/>
      <c r="H7083" s="1348"/>
      <c r="I7083" s="1348"/>
      <c r="J7083" s="1348"/>
      <c r="K7083" s="1348"/>
    </row>
    <row r="7084" spans="2:11" hidden="1">
      <c r="B7084" s="1348"/>
      <c r="C7084" s="1348"/>
      <c r="D7084" s="1348"/>
      <c r="E7084" s="1348"/>
      <c r="F7084" s="1348"/>
      <c r="G7084" s="1348"/>
      <c r="H7084" s="1348"/>
      <c r="I7084" s="1348"/>
      <c r="J7084" s="1348"/>
      <c r="K7084" s="1348"/>
    </row>
    <row r="7085" spans="2:11" hidden="1">
      <c r="B7085" s="1348"/>
      <c r="C7085" s="1348"/>
      <c r="D7085" s="1348"/>
      <c r="E7085" s="1348"/>
      <c r="F7085" s="1348"/>
      <c r="G7085" s="1348"/>
      <c r="H7085" s="1348"/>
      <c r="I7085" s="1348"/>
      <c r="J7085" s="1348"/>
      <c r="K7085" s="1348"/>
    </row>
    <row r="7086" spans="2:11" hidden="1">
      <c r="B7086" s="1348"/>
      <c r="C7086" s="1348"/>
      <c r="D7086" s="1348"/>
      <c r="E7086" s="1348"/>
      <c r="F7086" s="1348"/>
      <c r="G7086" s="1348"/>
      <c r="H7086" s="1348"/>
      <c r="I7086" s="1348"/>
      <c r="J7086" s="1348"/>
      <c r="K7086" s="1348"/>
    </row>
    <row r="7087" spans="2:11" hidden="1">
      <c r="B7087" s="1348"/>
      <c r="C7087" s="1348"/>
      <c r="D7087" s="1348"/>
      <c r="E7087" s="1348"/>
      <c r="F7087" s="1348"/>
      <c r="G7087" s="1348"/>
      <c r="H7087" s="1348"/>
      <c r="I7087" s="1348"/>
      <c r="J7087" s="1348"/>
      <c r="K7087" s="1348"/>
    </row>
    <row r="7088" spans="2:11" hidden="1">
      <c r="B7088" s="1348"/>
      <c r="C7088" s="1348"/>
      <c r="D7088" s="1348"/>
      <c r="E7088" s="1348"/>
      <c r="F7088" s="1348"/>
      <c r="G7088" s="1348"/>
      <c r="H7088" s="1348"/>
      <c r="I7088" s="1348"/>
      <c r="J7088" s="1348"/>
      <c r="K7088" s="1348"/>
    </row>
    <row r="7089" spans="2:11" hidden="1">
      <c r="B7089" s="1348"/>
      <c r="C7089" s="1348"/>
      <c r="D7089" s="1348"/>
      <c r="E7089" s="1348"/>
      <c r="F7089" s="1348"/>
      <c r="G7089" s="1348"/>
      <c r="H7089" s="1348"/>
      <c r="I7089" s="1348"/>
      <c r="J7089" s="1348"/>
      <c r="K7089" s="1348"/>
    </row>
    <row r="7090" spans="2:11" hidden="1">
      <c r="B7090" s="1348"/>
      <c r="C7090" s="1348"/>
      <c r="D7090" s="1348"/>
      <c r="E7090" s="1348"/>
      <c r="F7090" s="1348"/>
      <c r="G7090" s="1348"/>
      <c r="H7090" s="1348"/>
      <c r="I7090" s="1348"/>
      <c r="J7090" s="1348"/>
      <c r="K7090" s="1348"/>
    </row>
    <row r="7091" spans="2:11" hidden="1">
      <c r="B7091" s="1348"/>
      <c r="C7091" s="1348"/>
      <c r="D7091" s="1348"/>
      <c r="E7091" s="1348"/>
      <c r="F7091" s="1348"/>
      <c r="G7091" s="1348"/>
      <c r="H7091" s="1348"/>
      <c r="I7091" s="1348"/>
      <c r="J7091" s="1348"/>
      <c r="K7091" s="1348"/>
    </row>
    <row r="7092" spans="2:11" hidden="1">
      <c r="B7092" s="1348"/>
      <c r="C7092" s="1348"/>
      <c r="D7092" s="1348"/>
      <c r="E7092" s="1348"/>
      <c r="F7092" s="1348"/>
      <c r="G7092" s="1348"/>
      <c r="H7092" s="1348"/>
      <c r="I7092" s="1348"/>
      <c r="J7092" s="1348"/>
      <c r="K7092" s="1348"/>
    </row>
    <row r="7093" spans="2:11" hidden="1">
      <c r="B7093" s="1348"/>
      <c r="C7093" s="1348"/>
      <c r="D7093" s="1348"/>
      <c r="E7093" s="1348"/>
      <c r="F7093" s="1348"/>
      <c r="G7093" s="1348"/>
      <c r="H7093" s="1348"/>
      <c r="I7093" s="1348"/>
      <c r="J7093" s="1348"/>
      <c r="K7093" s="1348"/>
    </row>
    <row r="7094" spans="2:11" hidden="1">
      <c r="B7094" s="1348"/>
      <c r="C7094" s="1348"/>
      <c r="D7094" s="1348"/>
      <c r="E7094" s="1348"/>
      <c r="F7094" s="1348"/>
      <c r="G7094" s="1348"/>
      <c r="H7094" s="1348"/>
      <c r="I7094" s="1348"/>
      <c r="J7094" s="1348"/>
      <c r="K7094" s="1348"/>
    </row>
    <row r="7095" spans="2:11" hidden="1">
      <c r="B7095" s="1348"/>
      <c r="C7095" s="1348"/>
      <c r="D7095" s="1348"/>
      <c r="E7095" s="1348"/>
      <c r="F7095" s="1348"/>
      <c r="G7095" s="1348"/>
      <c r="H7095" s="1348"/>
      <c r="I7095" s="1348"/>
      <c r="J7095" s="1348"/>
      <c r="K7095" s="1348"/>
    </row>
    <row r="7096" spans="2:11" hidden="1">
      <c r="B7096" s="1348"/>
      <c r="C7096" s="1348"/>
      <c r="D7096" s="1348"/>
      <c r="E7096" s="1348"/>
      <c r="F7096" s="1348"/>
      <c r="G7096" s="1348"/>
      <c r="H7096" s="1348"/>
      <c r="I7096" s="1348"/>
      <c r="J7096" s="1348"/>
      <c r="K7096" s="1348"/>
    </row>
    <row r="7097" spans="2:11" hidden="1">
      <c r="B7097" s="1348"/>
      <c r="C7097" s="1348"/>
      <c r="D7097" s="1348"/>
      <c r="E7097" s="1348"/>
      <c r="F7097" s="1348"/>
      <c r="G7097" s="1348"/>
      <c r="H7097" s="1348"/>
      <c r="I7097" s="1348"/>
      <c r="J7097" s="1348"/>
      <c r="K7097" s="1348"/>
    </row>
    <row r="7098" spans="2:11" hidden="1">
      <c r="B7098" s="1348"/>
      <c r="C7098" s="1348"/>
      <c r="D7098" s="1348"/>
      <c r="E7098" s="1348"/>
      <c r="F7098" s="1348"/>
      <c r="G7098" s="1348"/>
      <c r="H7098" s="1348"/>
      <c r="I7098" s="1348"/>
      <c r="J7098" s="1348"/>
      <c r="K7098" s="1348"/>
    </row>
    <row r="7099" spans="2:11" hidden="1">
      <c r="B7099" s="1348"/>
      <c r="C7099" s="1348"/>
      <c r="D7099" s="1348"/>
      <c r="E7099" s="1348"/>
      <c r="F7099" s="1348"/>
      <c r="G7099" s="1348"/>
      <c r="H7099" s="1348"/>
      <c r="I7099" s="1348"/>
      <c r="J7099" s="1348"/>
      <c r="K7099" s="1348"/>
    </row>
    <row r="7100" spans="2:11" hidden="1">
      <c r="B7100" s="1348"/>
      <c r="C7100" s="1348"/>
      <c r="D7100" s="1348"/>
      <c r="E7100" s="1348"/>
      <c r="F7100" s="1348"/>
      <c r="G7100" s="1348"/>
      <c r="H7100" s="1348"/>
      <c r="I7100" s="1348"/>
      <c r="J7100" s="1348"/>
      <c r="K7100" s="1348"/>
    </row>
    <row r="7101" spans="2:11" hidden="1">
      <c r="B7101" s="1348"/>
      <c r="C7101" s="1348"/>
      <c r="D7101" s="1348"/>
      <c r="E7101" s="1348"/>
      <c r="F7101" s="1348"/>
      <c r="G7101" s="1348"/>
      <c r="H7101" s="1348"/>
      <c r="I7101" s="1348"/>
      <c r="J7101" s="1348"/>
      <c r="K7101" s="1348"/>
    </row>
    <row r="7102" spans="2:11" hidden="1">
      <c r="B7102" s="1348"/>
      <c r="C7102" s="1348"/>
      <c r="D7102" s="1348"/>
      <c r="E7102" s="1348"/>
      <c r="F7102" s="1348"/>
      <c r="G7102" s="1348"/>
      <c r="H7102" s="1348"/>
      <c r="I7102" s="1348"/>
      <c r="J7102" s="1348"/>
      <c r="K7102" s="1348"/>
    </row>
    <row r="7103" spans="2:11" hidden="1">
      <c r="B7103" s="1348"/>
      <c r="C7103" s="1348"/>
      <c r="D7103" s="1348"/>
      <c r="E7103" s="1348"/>
      <c r="F7103" s="1348"/>
      <c r="G7103" s="1348"/>
      <c r="H7103" s="1348"/>
      <c r="I7103" s="1348"/>
      <c r="J7103" s="1348"/>
      <c r="K7103" s="1348"/>
    </row>
    <row r="7104" spans="2:11" hidden="1">
      <c r="B7104" s="1348"/>
      <c r="C7104" s="1348"/>
      <c r="D7104" s="1348"/>
      <c r="E7104" s="1348"/>
      <c r="F7104" s="1348"/>
      <c r="G7104" s="1348"/>
      <c r="H7104" s="1348"/>
      <c r="I7104" s="1348"/>
      <c r="J7104" s="1348"/>
      <c r="K7104" s="1348"/>
    </row>
    <row r="7105" spans="2:11" hidden="1">
      <c r="B7105" s="1348"/>
      <c r="C7105" s="1348"/>
      <c r="D7105" s="1348"/>
      <c r="E7105" s="1348"/>
      <c r="F7105" s="1348"/>
      <c r="G7105" s="1348"/>
      <c r="H7105" s="1348"/>
      <c r="I7105" s="1348"/>
      <c r="J7105" s="1348"/>
      <c r="K7105" s="1348"/>
    </row>
    <row r="7106" spans="2:11" hidden="1">
      <c r="B7106" s="1348"/>
      <c r="C7106" s="1348"/>
      <c r="D7106" s="1348"/>
      <c r="E7106" s="1348"/>
      <c r="F7106" s="1348"/>
      <c r="G7106" s="1348"/>
      <c r="H7106" s="1348"/>
      <c r="I7106" s="1348"/>
      <c r="J7106" s="1348"/>
      <c r="K7106" s="1348"/>
    </row>
    <row r="7107" spans="2:11" hidden="1">
      <c r="B7107" s="1348"/>
      <c r="C7107" s="1348"/>
      <c r="D7107" s="1348"/>
      <c r="E7107" s="1348"/>
      <c r="F7107" s="1348"/>
      <c r="G7107" s="1348"/>
      <c r="H7107" s="1348"/>
      <c r="I7107" s="1348"/>
      <c r="J7107" s="1348"/>
      <c r="K7107" s="1348"/>
    </row>
    <row r="7108" spans="2:11" hidden="1">
      <c r="B7108" s="1348"/>
      <c r="C7108" s="1348"/>
      <c r="D7108" s="1348"/>
      <c r="E7108" s="1348"/>
      <c r="F7108" s="1348"/>
      <c r="G7108" s="1348"/>
      <c r="H7108" s="1348"/>
      <c r="I7108" s="1348"/>
      <c r="J7108" s="1348"/>
      <c r="K7108" s="1348"/>
    </row>
    <row r="7109" spans="2:11" hidden="1">
      <c r="B7109" s="1348"/>
      <c r="C7109" s="1348"/>
      <c r="D7109" s="1348"/>
      <c r="E7109" s="1348"/>
      <c r="F7109" s="1348"/>
      <c r="G7109" s="1348"/>
      <c r="H7109" s="1348"/>
      <c r="I7109" s="1348"/>
      <c r="J7109" s="1348"/>
      <c r="K7109" s="1348"/>
    </row>
    <row r="7110" spans="2:11" hidden="1">
      <c r="B7110" s="1348"/>
      <c r="C7110" s="1348"/>
      <c r="D7110" s="1348"/>
      <c r="E7110" s="1348"/>
      <c r="F7110" s="1348"/>
      <c r="G7110" s="1348"/>
      <c r="H7110" s="1348"/>
      <c r="I7110" s="1348"/>
      <c r="J7110" s="1348"/>
      <c r="K7110" s="1348"/>
    </row>
    <row r="7111" spans="2:11" hidden="1">
      <c r="B7111" s="1348"/>
      <c r="C7111" s="1348"/>
      <c r="D7111" s="1348"/>
      <c r="E7111" s="1348"/>
      <c r="F7111" s="1348"/>
      <c r="G7111" s="1348"/>
      <c r="H7111" s="1348"/>
      <c r="I7111" s="1348"/>
      <c r="J7111" s="1348"/>
      <c r="K7111" s="1348"/>
    </row>
    <row r="7112" spans="2:11" hidden="1">
      <c r="B7112" s="1348"/>
      <c r="C7112" s="1348"/>
      <c r="D7112" s="1348"/>
      <c r="E7112" s="1348"/>
      <c r="F7112" s="1348"/>
      <c r="G7112" s="1348"/>
      <c r="H7112" s="1348"/>
      <c r="I7112" s="1348"/>
      <c r="J7112" s="1348"/>
      <c r="K7112" s="1348"/>
    </row>
    <row r="7113" spans="2:11" hidden="1">
      <c r="B7113" s="1348"/>
      <c r="C7113" s="1348"/>
      <c r="D7113" s="1348"/>
      <c r="E7113" s="1348"/>
      <c r="F7113" s="1348"/>
      <c r="G7113" s="1348"/>
      <c r="H7113" s="1348"/>
      <c r="I7113" s="1348"/>
      <c r="J7113" s="1348"/>
      <c r="K7113" s="1348"/>
    </row>
    <row r="7114" spans="2:11" hidden="1">
      <c r="B7114" s="1348"/>
      <c r="C7114" s="1348"/>
      <c r="D7114" s="1348"/>
      <c r="E7114" s="1348"/>
      <c r="F7114" s="1348"/>
      <c r="G7114" s="1348"/>
      <c r="H7114" s="1348"/>
      <c r="I7114" s="1348"/>
      <c r="J7114" s="1348"/>
      <c r="K7114" s="1348"/>
    </row>
    <row r="7115" spans="2:11" hidden="1">
      <c r="B7115" s="1348"/>
      <c r="C7115" s="1348"/>
      <c r="D7115" s="1348"/>
      <c r="E7115" s="1348"/>
      <c r="F7115" s="1348"/>
      <c r="G7115" s="1348"/>
      <c r="H7115" s="1348"/>
      <c r="I7115" s="1348"/>
      <c r="J7115" s="1348"/>
      <c r="K7115" s="1348"/>
    </row>
    <row r="7116" spans="2:11" hidden="1">
      <c r="B7116" s="1348"/>
      <c r="C7116" s="1348"/>
      <c r="D7116" s="1348"/>
      <c r="E7116" s="1348"/>
      <c r="F7116" s="1348"/>
      <c r="G7116" s="1348"/>
      <c r="H7116" s="1348"/>
      <c r="I7116" s="1348"/>
      <c r="J7116" s="1348"/>
      <c r="K7116" s="1348"/>
    </row>
    <row r="7117" spans="2:11" hidden="1">
      <c r="B7117" s="1348"/>
      <c r="C7117" s="1348"/>
      <c r="D7117" s="1348"/>
      <c r="E7117" s="1348"/>
      <c r="F7117" s="1348"/>
      <c r="G7117" s="1348"/>
      <c r="H7117" s="1348"/>
      <c r="I7117" s="1348"/>
      <c r="J7117" s="1348"/>
      <c r="K7117" s="1348"/>
    </row>
    <row r="7118" spans="2:11" hidden="1">
      <c r="B7118" s="1348"/>
      <c r="C7118" s="1348"/>
      <c r="D7118" s="1348"/>
      <c r="E7118" s="1348"/>
      <c r="F7118" s="1348"/>
      <c r="G7118" s="1348"/>
      <c r="H7118" s="1348"/>
      <c r="I7118" s="1348"/>
      <c r="J7118" s="1348"/>
      <c r="K7118" s="1348"/>
    </row>
    <row r="7119" spans="2:11" hidden="1">
      <c r="B7119" s="1348"/>
      <c r="C7119" s="1348"/>
      <c r="D7119" s="1348"/>
      <c r="E7119" s="1348"/>
      <c r="F7119" s="1348"/>
      <c r="G7119" s="1348"/>
      <c r="H7119" s="1348"/>
      <c r="I7119" s="1348"/>
      <c r="J7119" s="1348"/>
      <c r="K7119" s="1348"/>
    </row>
    <row r="7120" spans="2:11" hidden="1">
      <c r="B7120" s="1348"/>
      <c r="C7120" s="1348"/>
      <c r="D7120" s="1348"/>
      <c r="E7120" s="1348"/>
      <c r="F7120" s="1348"/>
      <c r="G7120" s="1348"/>
      <c r="H7120" s="1348"/>
      <c r="I7120" s="1348"/>
      <c r="J7120" s="1348"/>
      <c r="K7120" s="1348"/>
    </row>
    <row r="7121" spans="2:11" hidden="1">
      <c r="B7121" s="1348"/>
      <c r="C7121" s="1348"/>
      <c r="D7121" s="1348"/>
      <c r="E7121" s="1348"/>
      <c r="F7121" s="1348"/>
      <c r="G7121" s="1348"/>
      <c r="H7121" s="1348"/>
      <c r="I7121" s="1348"/>
      <c r="J7121" s="1348"/>
      <c r="K7121" s="1348"/>
    </row>
    <row r="7122" spans="2:11" hidden="1">
      <c r="B7122" s="1348"/>
      <c r="C7122" s="1348"/>
      <c r="D7122" s="1348"/>
      <c r="E7122" s="1348"/>
      <c r="F7122" s="1348"/>
      <c r="G7122" s="1348"/>
      <c r="H7122" s="1348"/>
      <c r="I7122" s="1348"/>
      <c r="J7122" s="1348"/>
      <c r="K7122" s="1348"/>
    </row>
    <row r="7123" spans="2:11" hidden="1">
      <c r="B7123" s="1348"/>
      <c r="C7123" s="1348"/>
      <c r="D7123" s="1348"/>
      <c r="E7123" s="1348"/>
      <c r="F7123" s="1348"/>
      <c r="G7123" s="1348"/>
      <c r="H7123" s="1348"/>
      <c r="I7123" s="1348"/>
      <c r="J7123" s="1348"/>
      <c r="K7123" s="1348"/>
    </row>
    <row r="7124" spans="2:11" hidden="1">
      <c r="B7124" s="1348"/>
      <c r="C7124" s="1348"/>
      <c r="D7124" s="1348"/>
      <c r="E7124" s="1348"/>
      <c r="F7124" s="1348"/>
      <c r="G7124" s="1348"/>
      <c r="H7124" s="1348"/>
      <c r="I7124" s="1348"/>
      <c r="J7124" s="1348"/>
      <c r="K7124" s="1348"/>
    </row>
    <row r="7125" spans="2:11" hidden="1">
      <c r="B7125" s="1348"/>
      <c r="C7125" s="1348"/>
      <c r="D7125" s="1348"/>
      <c r="E7125" s="1348"/>
      <c r="F7125" s="1348"/>
      <c r="G7125" s="1348"/>
      <c r="H7125" s="1348"/>
      <c r="I7125" s="1348"/>
      <c r="J7125" s="1348"/>
      <c r="K7125" s="1348"/>
    </row>
    <row r="7126" spans="2:11" hidden="1">
      <c r="B7126" s="1348"/>
      <c r="C7126" s="1348"/>
      <c r="D7126" s="1348"/>
      <c r="E7126" s="1348"/>
      <c r="F7126" s="1348"/>
      <c r="G7126" s="1348"/>
      <c r="H7126" s="1348"/>
      <c r="I7126" s="1348"/>
      <c r="J7126" s="1348"/>
      <c r="K7126" s="1348"/>
    </row>
    <row r="7127" spans="2:11" hidden="1">
      <c r="B7127" s="1348"/>
      <c r="C7127" s="1348"/>
      <c r="D7127" s="1348"/>
      <c r="E7127" s="1348"/>
      <c r="F7127" s="1348"/>
      <c r="G7127" s="1348"/>
      <c r="H7127" s="1348"/>
      <c r="I7127" s="1348"/>
      <c r="J7127" s="1348"/>
      <c r="K7127" s="1348"/>
    </row>
    <row r="7128" spans="2:11" hidden="1">
      <c r="B7128" s="1348"/>
      <c r="C7128" s="1348"/>
      <c r="D7128" s="1348"/>
      <c r="E7128" s="1348"/>
      <c r="F7128" s="1348"/>
      <c r="G7128" s="1348"/>
      <c r="H7128" s="1348"/>
      <c r="I7128" s="1348"/>
      <c r="J7128" s="1348"/>
      <c r="K7128" s="1348"/>
    </row>
    <row r="7129" spans="2:11" hidden="1">
      <c r="B7129" s="1348"/>
      <c r="C7129" s="1348"/>
      <c r="D7129" s="1348"/>
      <c r="E7129" s="1348"/>
      <c r="F7129" s="1348"/>
      <c r="G7129" s="1348"/>
      <c r="H7129" s="1348"/>
      <c r="I7129" s="1348"/>
      <c r="J7129" s="1348"/>
      <c r="K7129" s="1348"/>
    </row>
    <row r="7130" spans="2:11" hidden="1">
      <c r="B7130" s="1348"/>
      <c r="C7130" s="1348"/>
      <c r="D7130" s="1348"/>
      <c r="E7130" s="1348"/>
      <c r="F7130" s="1348"/>
      <c r="G7130" s="1348"/>
      <c r="H7130" s="1348"/>
      <c r="I7130" s="1348"/>
      <c r="J7130" s="1348"/>
      <c r="K7130" s="1348"/>
    </row>
    <row r="7131" spans="2:11" hidden="1">
      <c r="B7131" s="1348"/>
      <c r="C7131" s="1348"/>
      <c r="D7131" s="1348"/>
      <c r="E7131" s="1348"/>
      <c r="F7131" s="1348"/>
      <c r="G7131" s="1348"/>
      <c r="H7131" s="1348"/>
      <c r="I7131" s="1348"/>
      <c r="J7131" s="1348"/>
      <c r="K7131" s="1348"/>
    </row>
    <row r="7132" spans="2:11" hidden="1">
      <c r="B7132" s="1348"/>
      <c r="C7132" s="1348"/>
      <c r="D7132" s="1348"/>
      <c r="E7132" s="1348"/>
      <c r="F7132" s="1348"/>
      <c r="G7132" s="1348"/>
      <c r="H7132" s="1348"/>
      <c r="I7132" s="1348"/>
      <c r="J7132" s="1348"/>
      <c r="K7132" s="1348"/>
    </row>
    <row r="7133" spans="2:11" hidden="1">
      <c r="B7133" s="1348"/>
      <c r="C7133" s="1348"/>
      <c r="D7133" s="1348"/>
      <c r="E7133" s="1348"/>
      <c r="F7133" s="1348"/>
      <c r="G7133" s="1348"/>
      <c r="H7133" s="1348"/>
      <c r="I7133" s="1348"/>
      <c r="J7133" s="1348"/>
      <c r="K7133" s="1348"/>
    </row>
    <row r="7134" spans="2:11" hidden="1">
      <c r="B7134" s="1348"/>
      <c r="C7134" s="1348"/>
      <c r="D7134" s="1348"/>
      <c r="E7134" s="1348"/>
      <c r="F7134" s="1348"/>
      <c r="G7134" s="1348"/>
      <c r="H7134" s="1348"/>
      <c r="I7134" s="1348"/>
      <c r="J7134" s="1348"/>
      <c r="K7134" s="1348"/>
    </row>
    <row r="7135" spans="2:11" hidden="1">
      <c r="B7135" s="1348"/>
      <c r="C7135" s="1348"/>
      <c r="D7135" s="1348"/>
      <c r="E7135" s="1348"/>
      <c r="F7135" s="1348"/>
      <c r="G7135" s="1348"/>
      <c r="H7135" s="1348"/>
      <c r="I7135" s="1348"/>
      <c r="J7135" s="1348"/>
      <c r="K7135" s="1348"/>
    </row>
    <row r="7136" spans="2:11" hidden="1">
      <c r="B7136" s="1348"/>
      <c r="C7136" s="1348"/>
      <c r="D7136" s="1348"/>
      <c r="E7136" s="1348"/>
      <c r="F7136" s="1348"/>
      <c r="G7136" s="1348"/>
      <c r="H7136" s="1348"/>
      <c r="I7136" s="1348"/>
      <c r="J7136" s="1348"/>
      <c r="K7136" s="1348"/>
    </row>
    <row r="7137" spans="2:11" hidden="1">
      <c r="B7137" s="1348"/>
      <c r="C7137" s="1348"/>
      <c r="D7137" s="1348"/>
      <c r="E7137" s="1348"/>
      <c r="F7137" s="1348"/>
      <c r="G7137" s="1348"/>
      <c r="H7137" s="1348"/>
      <c r="I7137" s="1348"/>
      <c r="J7137" s="1348"/>
      <c r="K7137" s="1348"/>
    </row>
    <row r="7138" spans="2:11" hidden="1">
      <c r="B7138" s="1348"/>
      <c r="C7138" s="1348"/>
      <c r="D7138" s="1348"/>
      <c r="E7138" s="1348"/>
      <c r="F7138" s="1348"/>
      <c r="G7138" s="1348"/>
      <c r="H7138" s="1348"/>
      <c r="I7138" s="1348"/>
      <c r="J7138" s="1348"/>
      <c r="K7138" s="1348"/>
    </row>
    <row r="7139" spans="2:11" hidden="1">
      <c r="B7139" s="1348"/>
      <c r="C7139" s="1348"/>
      <c r="D7139" s="1348"/>
      <c r="E7139" s="1348"/>
      <c r="F7139" s="1348"/>
      <c r="G7139" s="1348"/>
      <c r="H7139" s="1348"/>
      <c r="I7139" s="1348"/>
      <c r="J7139" s="1348"/>
      <c r="K7139" s="1348"/>
    </row>
    <row r="7140" spans="2:11" hidden="1">
      <c r="B7140" s="1348"/>
      <c r="C7140" s="1348"/>
      <c r="D7140" s="1348"/>
      <c r="E7140" s="1348"/>
      <c r="F7140" s="1348"/>
      <c r="G7140" s="1348"/>
      <c r="H7140" s="1348"/>
      <c r="I7140" s="1348"/>
      <c r="J7140" s="1348"/>
      <c r="K7140" s="1348"/>
    </row>
    <row r="7141" spans="2:11" hidden="1">
      <c r="B7141" s="1348"/>
      <c r="C7141" s="1348"/>
      <c r="D7141" s="1348"/>
      <c r="E7141" s="1348"/>
      <c r="F7141" s="1348"/>
      <c r="G7141" s="1348"/>
      <c r="H7141" s="1348"/>
      <c r="I7141" s="1348"/>
      <c r="J7141" s="1348"/>
      <c r="K7141" s="1348"/>
    </row>
    <row r="7142" spans="2:11" hidden="1">
      <c r="B7142" s="1348"/>
      <c r="C7142" s="1348"/>
      <c r="D7142" s="1348"/>
      <c r="E7142" s="1348"/>
      <c r="F7142" s="1348"/>
      <c r="G7142" s="1348"/>
      <c r="H7142" s="1348"/>
      <c r="I7142" s="1348"/>
      <c r="J7142" s="1348"/>
      <c r="K7142" s="1348"/>
    </row>
    <row r="7143" spans="2:11" hidden="1">
      <c r="B7143" s="1348"/>
      <c r="C7143" s="1348"/>
      <c r="D7143" s="1348"/>
      <c r="E7143" s="1348"/>
      <c r="F7143" s="1348"/>
      <c r="G7143" s="1348"/>
      <c r="H7143" s="1348"/>
      <c r="I7143" s="1348"/>
      <c r="J7143" s="1348"/>
      <c r="K7143" s="1348"/>
    </row>
    <row r="7144" spans="2:11" hidden="1">
      <c r="B7144" s="1348"/>
      <c r="C7144" s="1348"/>
      <c r="D7144" s="1348"/>
      <c r="E7144" s="1348"/>
      <c r="F7144" s="1348"/>
      <c r="G7144" s="1348"/>
      <c r="H7144" s="1348"/>
      <c r="I7144" s="1348"/>
      <c r="J7144" s="1348"/>
      <c r="K7144" s="1348"/>
    </row>
    <row r="7145" spans="2:11" hidden="1">
      <c r="B7145" s="1348"/>
      <c r="C7145" s="1348"/>
      <c r="D7145" s="1348"/>
      <c r="E7145" s="1348"/>
      <c r="F7145" s="1348"/>
      <c r="G7145" s="1348"/>
      <c r="H7145" s="1348"/>
      <c r="I7145" s="1348"/>
      <c r="J7145" s="1348"/>
      <c r="K7145" s="1348"/>
    </row>
    <row r="7146" spans="2:11" hidden="1">
      <c r="B7146" s="1348"/>
      <c r="C7146" s="1348"/>
      <c r="D7146" s="1348"/>
      <c r="E7146" s="1348"/>
      <c r="F7146" s="1348"/>
      <c r="G7146" s="1348"/>
      <c r="H7146" s="1348"/>
      <c r="I7146" s="1348"/>
      <c r="J7146" s="1348"/>
      <c r="K7146" s="1348"/>
    </row>
    <row r="7147" spans="2:11" hidden="1">
      <c r="B7147" s="1348"/>
      <c r="C7147" s="1348"/>
      <c r="D7147" s="1348"/>
      <c r="E7147" s="1348"/>
      <c r="F7147" s="1348"/>
      <c r="G7147" s="1348"/>
      <c r="H7147" s="1348"/>
      <c r="I7147" s="1348"/>
      <c r="J7147" s="1348"/>
      <c r="K7147" s="1348"/>
    </row>
    <row r="7148" spans="2:11" hidden="1">
      <c r="B7148" s="1348"/>
      <c r="C7148" s="1348"/>
      <c r="D7148" s="1348"/>
      <c r="E7148" s="1348"/>
      <c r="F7148" s="1348"/>
      <c r="G7148" s="1348"/>
      <c r="H7148" s="1348"/>
      <c r="I7148" s="1348"/>
      <c r="J7148" s="1348"/>
      <c r="K7148" s="1348"/>
    </row>
    <row r="7149" spans="2:11" hidden="1">
      <c r="B7149" s="1348"/>
      <c r="C7149" s="1348"/>
      <c r="D7149" s="1348"/>
      <c r="E7149" s="1348"/>
      <c r="F7149" s="1348"/>
      <c r="G7149" s="1348"/>
      <c r="H7149" s="1348"/>
      <c r="I7149" s="1348"/>
      <c r="J7149" s="1348"/>
      <c r="K7149" s="1348"/>
    </row>
    <row r="7150" spans="2:11" hidden="1">
      <c r="B7150" s="1348"/>
      <c r="C7150" s="1348"/>
      <c r="D7150" s="1348"/>
      <c r="E7150" s="1348"/>
      <c r="F7150" s="1348"/>
      <c r="G7150" s="1348"/>
      <c r="H7150" s="1348"/>
      <c r="I7150" s="1348"/>
      <c r="J7150" s="1348"/>
      <c r="K7150" s="1348"/>
    </row>
    <row r="7151" spans="2:11" hidden="1">
      <c r="B7151" s="1348"/>
      <c r="C7151" s="1348"/>
      <c r="D7151" s="1348"/>
      <c r="E7151" s="1348"/>
      <c r="F7151" s="1348"/>
      <c r="G7151" s="1348"/>
      <c r="H7151" s="1348"/>
      <c r="I7151" s="1348"/>
      <c r="J7151" s="1348"/>
      <c r="K7151" s="1348"/>
    </row>
    <row r="7152" spans="2:11" hidden="1">
      <c r="B7152" s="1348"/>
      <c r="C7152" s="1348"/>
      <c r="D7152" s="1348"/>
      <c r="E7152" s="1348"/>
      <c r="F7152" s="1348"/>
      <c r="G7152" s="1348"/>
      <c r="H7152" s="1348"/>
      <c r="I7152" s="1348"/>
      <c r="J7152" s="1348"/>
      <c r="K7152" s="1348"/>
    </row>
    <row r="7153" spans="2:11" hidden="1">
      <c r="B7153" s="1348"/>
      <c r="C7153" s="1348"/>
      <c r="D7153" s="1348"/>
      <c r="E7153" s="1348"/>
      <c r="F7153" s="1348"/>
      <c r="G7153" s="1348"/>
      <c r="H7153" s="1348"/>
      <c r="I7153" s="1348"/>
      <c r="J7153" s="1348"/>
      <c r="K7153" s="1348"/>
    </row>
    <row r="7154" spans="2:11" hidden="1">
      <c r="B7154" s="1348"/>
      <c r="C7154" s="1348"/>
      <c r="D7154" s="1348"/>
      <c r="E7154" s="1348"/>
      <c r="F7154" s="1348"/>
      <c r="G7154" s="1348"/>
      <c r="H7154" s="1348"/>
      <c r="I7154" s="1348"/>
      <c r="J7154" s="1348"/>
      <c r="K7154" s="1348"/>
    </row>
    <row r="7155" spans="2:11" hidden="1">
      <c r="B7155" s="1348"/>
      <c r="C7155" s="1348"/>
      <c r="D7155" s="1348"/>
      <c r="E7155" s="1348"/>
      <c r="F7155" s="1348"/>
      <c r="G7155" s="1348"/>
      <c r="H7155" s="1348"/>
      <c r="I7155" s="1348"/>
      <c r="J7155" s="1348"/>
      <c r="K7155" s="1348"/>
    </row>
    <row r="7156" spans="2:11" hidden="1">
      <c r="B7156" s="1348"/>
      <c r="C7156" s="1348"/>
      <c r="D7156" s="1348"/>
      <c r="E7156" s="1348"/>
      <c r="F7156" s="1348"/>
      <c r="G7156" s="1348"/>
      <c r="H7156" s="1348"/>
      <c r="I7156" s="1348"/>
      <c r="J7156" s="1348"/>
      <c r="K7156" s="1348"/>
    </row>
    <row r="7157" spans="2:11" hidden="1">
      <c r="B7157" s="1348"/>
      <c r="C7157" s="1348"/>
      <c r="D7157" s="1348"/>
      <c r="E7157" s="1348"/>
      <c r="F7157" s="1348"/>
      <c r="G7157" s="1348"/>
      <c r="H7157" s="1348"/>
      <c r="I7157" s="1348"/>
      <c r="J7157" s="1348"/>
      <c r="K7157" s="1348"/>
    </row>
    <row r="7158" spans="2:11" hidden="1">
      <c r="B7158" s="1348"/>
      <c r="C7158" s="1348"/>
      <c r="D7158" s="1348"/>
      <c r="E7158" s="1348"/>
      <c r="F7158" s="1348"/>
      <c r="G7158" s="1348"/>
      <c r="H7158" s="1348"/>
      <c r="I7158" s="1348"/>
      <c r="J7158" s="1348"/>
      <c r="K7158" s="1348"/>
    </row>
    <row r="7159" spans="2:11" hidden="1">
      <c r="B7159" s="1348"/>
      <c r="C7159" s="1348"/>
      <c r="D7159" s="1348"/>
      <c r="E7159" s="1348"/>
      <c r="F7159" s="1348"/>
      <c r="G7159" s="1348"/>
      <c r="H7159" s="1348"/>
      <c r="I7159" s="1348"/>
      <c r="J7159" s="1348"/>
      <c r="K7159" s="1348"/>
    </row>
    <row r="7160" spans="2:11" hidden="1">
      <c r="B7160" s="1348"/>
      <c r="C7160" s="1348"/>
      <c r="D7160" s="1348"/>
      <c r="E7160" s="1348"/>
      <c r="F7160" s="1348"/>
      <c r="G7160" s="1348"/>
      <c r="H7160" s="1348"/>
      <c r="I7160" s="1348"/>
      <c r="J7160" s="1348"/>
      <c r="K7160" s="1348"/>
    </row>
    <row r="7161" spans="2:11" hidden="1">
      <c r="B7161" s="1348"/>
      <c r="C7161" s="1348"/>
      <c r="D7161" s="1348"/>
      <c r="E7161" s="1348"/>
      <c r="F7161" s="1348"/>
      <c r="G7161" s="1348"/>
      <c r="H7161" s="1348"/>
      <c r="I7161" s="1348"/>
      <c r="J7161" s="1348"/>
      <c r="K7161" s="1348"/>
    </row>
    <row r="7162" spans="2:11" hidden="1">
      <c r="B7162" s="1348"/>
      <c r="C7162" s="1348"/>
      <c r="D7162" s="1348"/>
      <c r="E7162" s="1348"/>
      <c r="F7162" s="1348"/>
      <c r="G7162" s="1348"/>
      <c r="H7162" s="1348"/>
      <c r="I7162" s="1348"/>
      <c r="J7162" s="1348"/>
      <c r="K7162" s="1348"/>
    </row>
    <row r="7163" spans="2:11" hidden="1">
      <c r="B7163" s="1348"/>
      <c r="C7163" s="1348"/>
      <c r="D7163" s="1348"/>
      <c r="E7163" s="1348"/>
      <c r="F7163" s="1348"/>
      <c r="G7163" s="1348"/>
      <c r="H7163" s="1348"/>
      <c r="I7163" s="1348"/>
      <c r="J7163" s="1348"/>
      <c r="K7163" s="1348"/>
    </row>
    <row r="7164" spans="2:11" hidden="1">
      <c r="B7164" s="1348"/>
      <c r="C7164" s="1348"/>
      <c r="D7164" s="1348"/>
      <c r="E7164" s="1348"/>
      <c r="F7164" s="1348"/>
      <c r="G7164" s="1348"/>
      <c r="H7164" s="1348"/>
      <c r="I7164" s="1348"/>
      <c r="J7164" s="1348"/>
      <c r="K7164" s="1348"/>
    </row>
    <row r="7165" spans="2:11" hidden="1">
      <c r="B7165" s="1348"/>
      <c r="C7165" s="1348"/>
      <c r="D7165" s="1348"/>
      <c r="E7165" s="1348"/>
      <c r="F7165" s="1348"/>
      <c r="G7165" s="1348"/>
      <c r="H7165" s="1348"/>
      <c r="I7165" s="1348"/>
      <c r="J7165" s="1348"/>
      <c r="K7165" s="1348"/>
    </row>
    <row r="7166" spans="2:11" hidden="1">
      <c r="B7166" s="1348"/>
      <c r="C7166" s="1348"/>
      <c r="D7166" s="1348"/>
      <c r="E7166" s="1348"/>
      <c r="F7166" s="1348"/>
      <c r="G7166" s="1348"/>
      <c r="H7166" s="1348"/>
      <c r="I7166" s="1348"/>
      <c r="J7166" s="1348"/>
      <c r="K7166" s="1348"/>
    </row>
    <row r="7167" spans="2:11" hidden="1">
      <c r="B7167" s="1348"/>
      <c r="C7167" s="1348"/>
      <c r="D7167" s="1348"/>
      <c r="E7167" s="1348"/>
      <c r="F7167" s="1348"/>
      <c r="G7167" s="1348"/>
      <c r="H7167" s="1348"/>
      <c r="I7167" s="1348"/>
      <c r="J7167" s="1348"/>
      <c r="K7167" s="1348"/>
    </row>
    <row r="7168" spans="2:11" hidden="1">
      <c r="B7168" s="1348"/>
      <c r="C7168" s="1348"/>
      <c r="D7168" s="1348"/>
      <c r="E7168" s="1348"/>
      <c r="F7168" s="1348"/>
      <c r="G7168" s="1348"/>
      <c r="H7168" s="1348"/>
      <c r="I7168" s="1348"/>
      <c r="J7168" s="1348"/>
      <c r="K7168" s="1348"/>
    </row>
    <row r="7169" spans="2:11" hidden="1">
      <c r="B7169" s="1348"/>
      <c r="C7169" s="1348"/>
      <c r="D7169" s="1348"/>
      <c r="E7169" s="1348"/>
      <c r="F7169" s="1348"/>
      <c r="G7169" s="1348"/>
      <c r="H7169" s="1348"/>
      <c r="I7169" s="1348"/>
      <c r="J7169" s="1348"/>
      <c r="K7169" s="1348"/>
    </row>
    <row r="7170" spans="2:11" hidden="1">
      <c r="B7170" s="1348"/>
      <c r="C7170" s="1348"/>
      <c r="D7170" s="1348"/>
      <c r="E7170" s="1348"/>
      <c r="F7170" s="1348"/>
      <c r="G7170" s="1348"/>
      <c r="H7170" s="1348"/>
      <c r="I7170" s="1348"/>
      <c r="J7170" s="1348"/>
      <c r="K7170" s="1348"/>
    </row>
    <row r="7171" spans="2:11" hidden="1">
      <c r="B7171" s="1348"/>
      <c r="C7171" s="1348"/>
      <c r="D7171" s="1348"/>
      <c r="E7171" s="1348"/>
      <c r="F7171" s="1348"/>
      <c r="G7171" s="1348"/>
      <c r="H7171" s="1348"/>
      <c r="I7171" s="1348"/>
      <c r="J7171" s="1348"/>
      <c r="K7171" s="1348"/>
    </row>
    <row r="7172" spans="2:11" hidden="1">
      <c r="B7172" s="1348"/>
      <c r="C7172" s="1348"/>
      <c r="D7172" s="1348"/>
      <c r="E7172" s="1348"/>
      <c r="F7172" s="1348"/>
      <c r="G7172" s="1348"/>
      <c r="H7172" s="1348"/>
      <c r="I7172" s="1348"/>
      <c r="J7172" s="1348"/>
      <c r="K7172" s="1348"/>
    </row>
    <row r="7173" spans="2:11" hidden="1">
      <c r="B7173" s="1348"/>
      <c r="C7173" s="1348"/>
      <c r="D7173" s="1348"/>
      <c r="E7173" s="1348"/>
      <c r="F7173" s="1348"/>
      <c r="G7173" s="1348"/>
      <c r="H7173" s="1348"/>
      <c r="I7173" s="1348"/>
      <c r="J7173" s="1348"/>
      <c r="K7173" s="1348"/>
    </row>
    <row r="7174" spans="2:11" hidden="1">
      <c r="B7174" s="1348"/>
      <c r="C7174" s="1348"/>
      <c r="D7174" s="1348"/>
      <c r="E7174" s="1348"/>
      <c r="F7174" s="1348"/>
      <c r="G7174" s="1348"/>
      <c r="H7174" s="1348"/>
      <c r="I7174" s="1348"/>
      <c r="J7174" s="1348"/>
      <c r="K7174" s="1348"/>
    </row>
    <row r="7175" spans="2:11" hidden="1">
      <c r="B7175" s="1348"/>
      <c r="C7175" s="1348"/>
      <c r="D7175" s="1348"/>
      <c r="E7175" s="1348"/>
      <c r="F7175" s="1348"/>
      <c r="G7175" s="1348"/>
      <c r="H7175" s="1348"/>
      <c r="I7175" s="1348"/>
      <c r="J7175" s="1348"/>
      <c r="K7175" s="1348"/>
    </row>
    <row r="7176" spans="2:11" hidden="1">
      <c r="B7176" s="1348"/>
      <c r="C7176" s="1348"/>
      <c r="D7176" s="1348"/>
      <c r="E7176" s="1348"/>
      <c r="F7176" s="1348"/>
      <c r="G7176" s="1348"/>
      <c r="H7176" s="1348"/>
      <c r="I7176" s="1348"/>
      <c r="J7176" s="1348"/>
      <c r="K7176" s="1348"/>
    </row>
    <row r="7177" spans="2:11" hidden="1">
      <c r="B7177" s="1348"/>
      <c r="C7177" s="1348"/>
      <c r="D7177" s="1348"/>
      <c r="E7177" s="1348"/>
      <c r="F7177" s="1348"/>
      <c r="G7177" s="1348"/>
      <c r="H7177" s="1348"/>
      <c r="I7177" s="1348"/>
      <c r="J7177" s="1348"/>
      <c r="K7177" s="1348"/>
    </row>
    <row r="7178" spans="2:11" hidden="1">
      <c r="B7178" s="1348"/>
      <c r="C7178" s="1348"/>
      <c r="D7178" s="1348"/>
      <c r="E7178" s="1348"/>
      <c r="F7178" s="1348"/>
      <c r="G7178" s="1348"/>
      <c r="H7178" s="1348"/>
      <c r="I7178" s="1348"/>
      <c r="J7178" s="1348"/>
      <c r="K7178" s="1348"/>
    </row>
    <row r="7179" spans="2:11" hidden="1">
      <c r="B7179" s="1348"/>
      <c r="C7179" s="1348"/>
      <c r="D7179" s="1348"/>
      <c r="E7179" s="1348"/>
      <c r="F7179" s="1348"/>
      <c r="G7179" s="1348"/>
      <c r="H7179" s="1348"/>
      <c r="I7179" s="1348"/>
      <c r="J7179" s="1348"/>
      <c r="K7179" s="1348"/>
    </row>
    <row r="7180" spans="2:11" hidden="1">
      <c r="B7180" s="1348"/>
      <c r="C7180" s="1348"/>
      <c r="D7180" s="1348"/>
      <c r="E7180" s="1348"/>
      <c r="F7180" s="1348"/>
      <c r="G7180" s="1348"/>
      <c r="H7180" s="1348"/>
      <c r="I7180" s="1348"/>
      <c r="J7180" s="1348"/>
      <c r="K7180" s="1348"/>
    </row>
    <row r="7181" spans="2:11" hidden="1">
      <c r="B7181" s="1348"/>
      <c r="C7181" s="1348"/>
      <c r="D7181" s="1348"/>
      <c r="E7181" s="1348"/>
      <c r="F7181" s="1348"/>
      <c r="G7181" s="1348"/>
      <c r="H7181" s="1348"/>
      <c r="I7181" s="1348"/>
      <c r="J7181" s="1348"/>
      <c r="K7181" s="1348"/>
    </row>
    <row r="7182" spans="2:11" hidden="1">
      <c r="B7182" s="1348"/>
      <c r="C7182" s="1348"/>
      <c r="D7182" s="1348"/>
      <c r="E7182" s="1348"/>
      <c r="F7182" s="1348"/>
      <c r="G7182" s="1348"/>
      <c r="H7182" s="1348"/>
      <c r="I7182" s="1348"/>
      <c r="J7182" s="1348"/>
      <c r="K7182" s="1348"/>
    </row>
    <row r="7183" spans="2:11" hidden="1">
      <c r="B7183" s="1348"/>
      <c r="C7183" s="1348"/>
      <c r="D7183" s="1348"/>
      <c r="E7183" s="1348"/>
      <c r="F7183" s="1348"/>
      <c r="G7183" s="1348"/>
      <c r="H7183" s="1348"/>
      <c r="I7183" s="1348"/>
      <c r="J7183" s="1348"/>
      <c r="K7183" s="1348"/>
    </row>
    <row r="7184" spans="2:11" hidden="1">
      <c r="B7184" s="1348"/>
      <c r="C7184" s="1348"/>
      <c r="D7184" s="1348"/>
      <c r="E7184" s="1348"/>
      <c r="F7184" s="1348"/>
      <c r="G7184" s="1348"/>
      <c r="H7184" s="1348"/>
      <c r="I7184" s="1348"/>
      <c r="J7184" s="1348"/>
      <c r="K7184" s="1348"/>
    </row>
    <row r="7185" spans="2:11" hidden="1">
      <c r="B7185" s="1348"/>
      <c r="C7185" s="1348"/>
      <c r="D7185" s="1348"/>
      <c r="E7185" s="1348"/>
      <c r="F7185" s="1348"/>
      <c r="G7185" s="1348"/>
      <c r="H7185" s="1348"/>
      <c r="I7185" s="1348"/>
      <c r="J7185" s="1348"/>
      <c r="K7185" s="1348"/>
    </row>
    <row r="7186" spans="2:11" hidden="1">
      <c r="B7186" s="1348"/>
      <c r="C7186" s="1348"/>
      <c r="D7186" s="1348"/>
      <c r="E7186" s="1348"/>
      <c r="F7186" s="1348"/>
      <c r="G7186" s="1348"/>
      <c r="H7186" s="1348"/>
      <c r="I7186" s="1348"/>
      <c r="J7186" s="1348"/>
      <c r="K7186" s="1348"/>
    </row>
    <row r="7187" spans="2:11" hidden="1">
      <c r="B7187" s="1348"/>
      <c r="C7187" s="1348"/>
      <c r="D7187" s="1348"/>
      <c r="E7187" s="1348"/>
      <c r="F7187" s="1348"/>
      <c r="G7187" s="1348"/>
      <c r="H7187" s="1348"/>
      <c r="I7187" s="1348"/>
      <c r="J7187" s="1348"/>
      <c r="K7187" s="1348"/>
    </row>
    <row r="7188" spans="2:11" hidden="1">
      <c r="B7188" s="1348"/>
      <c r="C7188" s="1348"/>
      <c r="D7188" s="1348"/>
      <c r="E7188" s="1348"/>
      <c r="F7188" s="1348"/>
      <c r="G7188" s="1348"/>
      <c r="H7188" s="1348"/>
      <c r="I7188" s="1348"/>
      <c r="J7188" s="1348"/>
      <c r="K7188" s="1348"/>
    </row>
    <row r="7189" spans="2:11" hidden="1">
      <c r="B7189" s="1348"/>
      <c r="C7189" s="1348"/>
      <c r="D7189" s="1348"/>
      <c r="E7189" s="1348"/>
      <c r="F7189" s="1348"/>
      <c r="G7189" s="1348"/>
      <c r="H7189" s="1348"/>
      <c r="I7189" s="1348"/>
      <c r="J7189" s="1348"/>
      <c r="K7189" s="1348"/>
    </row>
    <row r="7190" spans="2:11" hidden="1">
      <c r="B7190" s="1348"/>
      <c r="C7190" s="1348"/>
      <c r="D7190" s="1348"/>
      <c r="E7190" s="1348"/>
      <c r="F7190" s="1348"/>
      <c r="G7190" s="1348"/>
      <c r="H7190" s="1348"/>
      <c r="I7190" s="1348"/>
      <c r="J7190" s="1348"/>
      <c r="K7190" s="1348"/>
    </row>
    <row r="7191" spans="2:11" hidden="1">
      <c r="B7191" s="1348"/>
      <c r="C7191" s="1348"/>
      <c r="D7191" s="1348"/>
      <c r="E7191" s="1348"/>
      <c r="F7191" s="1348"/>
      <c r="G7191" s="1348"/>
      <c r="H7191" s="1348"/>
      <c r="I7191" s="1348"/>
      <c r="J7191" s="1348"/>
      <c r="K7191" s="1348"/>
    </row>
    <row r="7192" spans="2:11" hidden="1">
      <c r="B7192" s="1348"/>
      <c r="C7192" s="1348"/>
      <c r="D7192" s="1348"/>
      <c r="E7192" s="1348"/>
      <c r="F7192" s="1348"/>
      <c r="G7192" s="1348"/>
      <c r="H7192" s="1348"/>
      <c r="I7192" s="1348"/>
      <c r="J7192" s="1348"/>
      <c r="K7192" s="1348"/>
    </row>
    <row r="7193" spans="2:11" hidden="1">
      <c r="B7193" s="1348"/>
      <c r="C7193" s="1348"/>
      <c r="D7193" s="1348"/>
      <c r="E7193" s="1348"/>
      <c r="F7193" s="1348"/>
      <c r="G7193" s="1348"/>
      <c r="H7193" s="1348"/>
      <c r="I7193" s="1348"/>
      <c r="J7193" s="1348"/>
      <c r="K7193" s="1348"/>
    </row>
    <row r="7194" spans="2:11" hidden="1">
      <c r="B7194" s="1348"/>
      <c r="C7194" s="1348"/>
      <c r="D7194" s="1348"/>
      <c r="E7194" s="1348"/>
      <c r="F7194" s="1348"/>
      <c r="G7194" s="1348"/>
      <c r="H7194" s="1348"/>
      <c r="I7194" s="1348"/>
      <c r="J7194" s="1348"/>
      <c r="K7194" s="1348"/>
    </row>
    <row r="7195" spans="2:11" hidden="1">
      <c r="B7195" s="1348"/>
      <c r="C7195" s="1348"/>
      <c r="D7195" s="1348"/>
      <c r="E7195" s="1348"/>
      <c r="F7195" s="1348"/>
      <c r="G7195" s="1348"/>
      <c r="H7195" s="1348"/>
      <c r="I7195" s="1348"/>
      <c r="J7195" s="1348"/>
      <c r="K7195" s="1348"/>
    </row>
    <row r="7196" spans="2:11" hidden="1">
      <c r="B7196" s="1348"/>
      <c r="C7196" s="1348"/>
      <c r="D7196" s="1348"/>
      <c r="E7196" s="1348"/>
      <c r="F7196" s="1348"/>
      <c r="G7196" s="1348"/>
      <c r="H7196" s="1348"/>
      <c r="I7196" s="1348"/>
      <c r="J7196" s="1348"/>
      <c r="K7196" s="1348"/>
    </row>
    <row r="7197" spans="2:11" hidden="1">
      <c r="B7197" s="1348"/>
      <c r="C7197" s="1348"/>
      <c r="D7197" s="1348"/>
      <c r="E7197" s="1348"/>
      <c r="F7197" s="1348"/>
      <c r="G7197" s="1348"/>
      <c r="H7197" s="1348"/>
      <c r="I7197" s="1348"/>
      <c r="J7197" s="1348"/>
      <c r="K7197" s="1348"/>
    </row>
    <row r="7198" spans="2:11" hidden="1">
      <c r="B7198" s="1348"/>
      <c r="C7198" s="1348"/>
      <c r="D7198" s="1348"/>
      <c r="E7198" s="1348"/>
      <c r="F7198" s="1348"/>
      <c r="G7198" s="1348"/>
      <c r="H7198" s="1348"/>
      <c r="I7198" s="1348"/>
      <c r="J7198" s="1348"/>
      <c r="K7198" s="1348"/>
    </row>
    <row r="7199" spans="2:11" hidden="1">
      <c r="B7199" s="1348"/>
      <c r="C7199" s="1348"/>
      <c r="D7199" s="1348"/>
      <c r="E7199" s="1348"/>
      <c r="F7199" s="1348"/>
      <c r="G7199" s="1348"/>
      <c r="H7199" s="1348"/>
      <c r="I7199" s="1348"/>
      <c r="J7199" s="1348"/>
      <c r="K7199" s="1348"/>
    </row>
    <row r="7200" spans="2:11" hidden="1">
      <c r="B7200" s="1348"/>
      <c r="C7200" s="1348"/>
      <c r="D7200" s="1348"/>
      <c r="E7200" s="1348"/>
      <c r="F7200" s="1348"/>
      <c r="G7200" s="1348"/>
      <c r="H7200" s="1348"/>
      <c r="I7200" s="1348"/>
      <c r="J7200" s="1348"/>
      <c r="K7200" s="1348"/>
    </row>
    <row r="7201" spans="2:11" hidden="1">
      <c r="B7201" s="1348"/>
      <c r="C7201" s="1348"/>
      <c r="D7201" s="1348"/>
      <c r="E7201" s="1348"/>
      <c r="F7201" s="1348"/>
      <c r="G7201" s="1348"/>
      <c r="H7201" s="1348"/>
      <c r="I7201" s="1348"/>
      <c r="J7201" s="1348"/>
      <c r="K7201" s="1348"/>
    </row>
    <row r="7202" spans="2:11" hidden="1">
      <c r="B7202" s="1348"/>
      <c r="C7202" s="1348"/>
      <c r="D7202" s="1348"/>
      <c r="E7202" s="1348"/>
      <c r="F7202" s="1348"/>
      <c r="G7202" s="1348"/>
      <c r="H7202" s="1348"/>
      <c r="I7202" s="1348"/>
      <c r="J7202" s="1348"/>
      <c r="K7202" s="1348"/>
    </row>
    <row r="7203" spans="2:11" hidden="1">
      <c r="B7203" s="1348"/>
      <c r="C7203" s="1348"/>
      <c r="D7203" s="1348"/>
      <c r="E7203" s="1348"/>
      <c r="F7203" s="1348"/>
      <c r="G7203" s="1348"/>
      <c r="H7203" s="1348"/>
      <c r="I7203" s="1348"/>
      <c r="J7203" s="1348"/>
      <c r="K7203" s="1348"/>
    </row>
    <row r="7204" spans="2:11" hidden="1">
      <c r="B7204" s="1348"/>
      <c r="C7204" s="1348"/>
      <c r="D7204" s="1348"/>
      <c r="E7204" s="1348"/>
      <c r="F7204" s="1348"/>
      <c r="G7204" s="1348"/>
      <c r="H7204" s="1348"/>
      <c r="I7204" s="1348"/>
      <c r="J7204" s="1348"/>
      <c r="K7204" s="1348"/>
    </row>
    <row r="7205" spans="2:11" hidden="1">
      <c r="B7205" s="1348"/>
      <c r="C7205" s="1348"/>
      <c r="D7205" s="1348"/>
      <c r="E7205" s="1348"/>
      <c r="F7205" s="1348"/>
      <c r="G7205" s="1348"/>
      <c r="H7205" s="1348"/>
      <c r="I7205" s="1348"/>
      <c r="J7205" s="1348"/>
      <c r="K7205" s="1348"/>
    </row>
    <row r="7206" spans="2:11" hidden="1">
      <c r="B7206" s="1348"/>
      <c r="C7206" s="1348"/>
      <c r="D7206" s="1348"/>
      <c r="E7206" s="1348"/>
      <c r="F7206" s="1348"/>
      <c r="G7206" s="1348"/>
      <c r="H7206" s="1348"/>
      <c r="I7206" s="1348"/>
      <c r="J7206" s="1348"/>
      <c r="K7206" s="1348"/>
    </row>
    <row r="7207" spans="2:11" hidden="1">
      <c r="B7207" s="1348"/>
      <c r="C7207" s="1348"/>
      <c r="D7207" s="1348"/>
      <c r="E7207" s="1348"/>
      <c r="F7207" s="1348"/>
      <c r="G7207" s="1348"/>
      <c r="H7207" s="1348"/>
      <c r="I7207" s="1348"/>
      <c r="J7207" s="1348"/>
      <c r="K7207" s="1348"/>
    </row>
    <row r="7208" spans="2:11" hidden="1">
      <c r="B7208" s="1348"/>
      <c r="C7208" s="1348"/>
      <c r="D7208" s="1348"/>
      <c r="E7208" s="1348"/>
      <c r="F7208" s="1348"/>
      <c r="G7208" s="1348"/>
      <c r="H7208" s="1348"/>
      <c r="I7208" s="1348"/>
      <c r="J7208" s="1348"/>
      <c r="K7208" s="1348"/>
    </row>
    <row r="7209" spans="2:11" hidden="1">
      <c r="B7209" s="1348"/>
      <c r="C7209" s="1348"/>
      <c r="D7209" s="1348"/>
      <c r="E7209" s="1348"/>
      <c r="F7209" s="1348"/>
      <c r="G7209" s="1348"/>
      <c r="H7209" s="1348"/>
      <c r="I7209" s="1348"/>
      <c r="J7209" s="1348"/>
      <c r="K7209" s="1348"/>
    </row>
    <row r="7210" spans="2:11" hidden="1">
      <c r="B7210" s="1348"/>
      <c r="C7210" s="1348"/>
      <c r="D7210" s="1348"/>
      <c r="E7210" s="1348"/>
      <c r="F7210" s="1348"/>
      <c r="G7210" s="1348"/>
      <c r="H7210" s="1348"/>
      <c r="I7210" s="1348"/>
      <c r="J7210" s="1348"/>
      <c r="K7210" s="1348"/>
    </row>
    <row r="7211" spans="2:11" hidden="1">
      <c r="B7211" s="1348"/>
      <c r="C7211" s="1348"/>
      <c r="D7211" s="1348"/>
      <c r="E7211" s="1348"/>
      <c r="F7211" s="1348"/>
      <c r="G7211" s="1348"/>
      <c r="H7211" s="1348"/>
      <c r="I7211" s="1348"/>
      <c r="J7211" s="1348"/>
      <c r="K7211" s="1348"/>
    </row>
    <row r="7212" spans="2:11" hidden="1">
      <c r="B7212" s="1348"/>
      <c r="C7212" s="1348"/>
      <c r="D7212" s="1348"/>
      <c r="E7212" s="1348"/>
      <c r="F7212" s="1348"/>
      <c r="G7212" s="1348"/>
      <c r="H7212" s="1348"/>
      <c r="I7212" s="1348"/>
      <c r="J7212" s="1348"/>
      <c r="K7212" s="1348"/>
    </row>
    <row r="7213" spans="2:11" hidden="1">
      <c r="B7213" s="1348"/>
      <c r="C7213" s="1348"/>
      <c r="D7213" s="1348"/>
      <c r="E7213" s="1348"/>
      <c r="F7213" s="1348"/>
      <c r="G7213" s="1348"/>
      <c r="H7213" s="1348"/>
      <c r="I7213" s="1348"/>
      <c r="J7213" s="1348"/>
      <c r="K7213" s="1348"/>
    </row>
    <row r="7214" spans="2:11" hidden="1">
      <c r="B7214" s="1348"/>
      <c r="C7214" s="1348"/>
      <c r="D7214" s="1348"/>
      <c r="E7214" s="1348"/>
      <c r="F7214" s="1348"/>
      <c r="G7214" s="1348"/>
      <c r="H7214" s="1348"/>
      <c r="I7214" s="1348"/>
      <c r="J7214" s="1348"/>
      <c r="K7214" s="1348"/>
    </row>
    <row r="7215" spans="2:11" hidden="1">
      <c r="B7215" s="1348"/>
      <c r="C7215" s="1348"/>
      <c r="D7215" s="1348"/>
      <c r="E7215" s="1348"/>
      <c r="F7215" s="1348"/>
      <c r="G7215" s="1348"/>
      <c r="H7215" s="1348"/>
      <c r="I7215" s="1348"/>
      <c r="J7215" s="1348"/>
      <c r="K7215" s="1348"/>
    </row>
    <row r="7216" spans="2:11" hidden="1">
      <c r="B7216" s="1348"/>
      <c r="C7216" s="1348"/>
      <c r="D7216" s="1348"/>
      <c r="E7216" s="1348"/>
      <c r="F7216" s="1348"/>
      <c r="G7216" s="1348"/>
      <c r="H7216" s="1348"/>
      <c r="I7216" s="1348"/>
      <c r="J7216" s="1348"/>
      <c r="K7216" s="1348"/>
    </row>
    <row r="7217" spans="2:11" hidden="1">
      <c r="B7217" s="1348"/>
      <c r="C7217" s="1348"/>
      <c r="D7217" s="1348"/>
      <c r="E7217" s="1348"/>
      <c r="F7217" s="1348"/>
      <c r="G7217" s="1348"/>
      <c r="H7217" s="1348"/>
      <c r="I7217" s="1348"/>
      <c r="J7217" s="1348"/>
      <c r="K7217" s="1348"/>
    </row>
    <row r="7218" spans="2:11" hidden="1">
      <c r="B7218" s="1348"/>
      <c r="C7218" s="1348"/>
      <c r="D7218" s="1348"/>
      <c r="E7218" s="1348"/>
      <c r="F7218" s="1348"/>
      <c r="G7218" s="1348"/>
      <c r="H7218" s="1348"/>
      <c r="I7218" s="1348"/>
      <c r="J7218" s="1348"/>
      <c r="K7218" s="1348"/>
    </row>
    <row r="7219" spans="2:11" hidden="1">
      <c r="B7219" s="1348"/>
      <c r="C7219" s="1348"/>
      <c r="D7219" s="1348"/>
      <c r="E7219" s="1348"/>
      <c r="F7219" s="1348"/>
      <c r="G7219" s="1348"/>
      <c r="H7219" s="1348"/>
      <c r="I7219" s="1348"/>
      <c r="J7219" s="1348"/>
      <c r="K7219" s="1348"/>
    </row>
    <row r="7220" spans="2:11" hidden="1">
      <c r="B7220" s="1348"/>
      <c r="C7220" s="1348"/>
      <c r="D7220" s="1348"/>
      <c r="E7220" s="1348"/>
      <c r="F7220" s="1348"/>
      <c r="G7220" s="1348"/>
      <c r="H7220" s="1348"/>
      <c r="I7220" s="1348"/>
      <c r="J7220" s="1348"/>
      <c r="K7220" s="1348"/>
    </row>
    <row r="7221" spans="2:11" hidden="1">
      <c r="B7221" s="1348"/>
      <c r="C7221" s="1348"/>
      <c r="D7221" s="1348"/>
      <c r="E7221" s="1348"/>
      <c r="F7221" s="1348"/>
      <c r="G7221" s="1348"/>
      <c r="H7221" s="1348"/>
      <c r="I7221" s="1348"/>
      <c r="J7221" s="1348"/>
      <c r="K7221" s="1348"/>
    </row>
    <row r="7222" spans="2:11" hidden="1">
      <c r="B7222" s="1348"/>
      <c r="C7222" s="1348"/>
      <c r="D7222" s="1348"/>
      <c r="E7222" s="1348"/>
      <c r="F7222" s="1348"/>
      <c r="G7222" s="1348"/>
      <c r="H7222" s="1348"/>
      <c r="I7222" s="1348"/>
      <c r="J7222" s="1348"/>
      <c r="K7222" s="1348"/>
    </row>
    <row r="7223" spans="2:11" hidden="1">
      <c r="B7223" s="1348"/>
      <c r="C7223" s="1348"/>
      <c r="D7223" s="1348"/>
      <c r="E7223" s="1348"/>
      <c r="F7223" s="1348"/>
      <c r="G7223" s="1348"/>
      <c r="H7223" s="1348"/>
      <c r="I7223" s="1348"/>
      <c r="J7223" s="1348"/>
      <c r="K7223" s="1348"/>
    </row>
    <row r="7224" spans="2:11" hidden="1">
      <c r="B7224" s="1348"/>
      <c r="C7224" s="1348"/>
      <c r="D7224" s="1348"/>
      <c r="E7224" s="1348"/>
      <c r="F7224" s="1348"/>
      <c r="G7224" s="1348"/>
      <c r="H7224" s="1348"/>
      <c r="I7224" s="1348"/>
      <c r="J7224" s="1348"/>
      <c r="K7224" s="1348"/>
    </row>
    <row r="7225" spans="2:11" hidden="1">
      <c r="B7225" s="1348"/>
      <c r="C7225" s="1348"/>
      <c r="D7225" s="1348"/>
      <c r="E7225" s="1348"/>
      <c r="F7225" s="1348"/>
      <c r="G7225" s="1348"/>
      <c r="H7225" s="1348"/>
      <c r="I7225" s="1348"/>
      <c r="J7225" s="1348"/>
      <c r="K7225" s="1348"/>
    </row>
    <row r="7226" spans="2:11" hidden="1">
      <c r="B7226" s="1348"/>
      <c r="C7226" s="1348"/>
      <c r="D7226" s="1348"/>
      <c r="E7226" s="1348"/>
      <c r="F7226" s="1348"/>
      <c r="G7226" s="1348"/>
      <c r="H7226" s="1348"/>
      <c r="I7226" s="1348"/>
      <c r="J7226" s="1348"/>
      <c r="K7226" s="1348"/>
    </row>
    <row r="7227" spans="2:11" hidden="1">
      <c r="B7227" s="1348"/>
      <c r="C7227" s="1348"/>
      <c r="D7227" s="1348"/>
      <c r="E7227" s="1348"/>
      <c r="F7227" s="1348"/>
      <c r="G7227" s="1348"/>
      <c r="H7227" s="1348"/>
      <c r="I7227" s="1348"/>
      <c r="J7227" s="1348"/>
      <c r="K7227" s="1348"/>
    </row>
    <row r="7228" spans="2:11" hidden="1">
      <c r="B7228" s="1348"/>
      <c r="C7228" s="1348"/>
      <c r="D7228" s="1348"/>
      <c r="E7228" s="1348"/>
      <c r="F7228" s="1348"/>
      <c r="G7228" s="1348"/>
      <c r="H7228" s="1348"/>
      <c r="I7228" s="1348"/>
      <c r="J7228" s="1348"/>
      <c r="K7228" s="1348"/>
    </row>
    <row r="7229" spans="2:11" hidden="1">
      <c r="B7229" s="1348"/>
      <c r="C7229" s="1348"/>
      <c r="D7229" s="1348"/>
      <c r="E7229" s="1348"/>
      <c r="F7229" s="1348"/>
      <c r="G7229" s="1348"/>
      <c r="H7229" s="1348"/>
      <c r="I7229" s="1348"/>
      <c r="J7229" s="1348"/>
      <c r="K7229" s="1348"/>
    </row>
    <row r="7230" spans="2:11" hidden="1">
      <c r="B7230" s="1348"/>
      <c r="C7230" s="1348"/>
      <c r="D7230" s="1348"/>
      <c r="E7230" s="1348"/>
      <c r="F7230" s="1348"/>
      <c r="G7230" s="1348"/>
      <c r="H7230" s="1348"/>
      <c r="I7230" s="1348"/>
      <c r="J7230" s="1348"/>
      <c r="K7230" s="1348"/>
    </row>
    <row r="7231" spans="2:11" hidden="1">
      <c r="B7231" s="1348"/>
      <c r="C7231" s="1348"/>
      <c r="D7231" s="1348"/>
      <c r="E7231" s="1348"/>
      <c r="F7231" s="1348"/>
      <c r="G7231" s="1348"/>
      <c r="H7231" s="1348"/>
      <c r="I7231" s="1348"/>
      <c r="J7231" s="1348"/>
      <c r="K7231" s="1348"/>
    </row>
    <row r="7232" spans="2:11" hidden="1">
      <c r="B7232" s="1348"/>
      <c r="C7232" s="1348"/>
      <c r="D7232" s="1348"/>
      <c r="E7232" s="1348"/>
      <c r="F7232" s="1348"/>
      <c r="G7232" s="1348"/>
      <c r="H7232" s="1348"/>
      <c r="I7232" s="1348"/>
      <c r="J7232" s="1348"/>
      <c r="K7232" s="1348"/>
    </row>
    <row r="7233" spans="2:11" hidden="1">
      <c r="B7233" s="1348"/>
      <c r="C7233" s="1348"/>
      <c r="D7233" s="1348"/>
      <c r="E7233" s="1348"/>
      <c r="F7233" s="1348"/>
      <c r="G7233" s="1348"/>
      <c r="H7233" s="1348"/>
      <c r="I7233" s="1348"/>
      <c r="J7233" s="1348"/>
      <c r="K7233" s="1348"/>
    </row>
    <row r="7234" spans="2:11" hidden="1">
      <c r="B7234" s="1348"/>
      <c r="C7234" s="1348"/>
      <c r="D7234" s="1348"/>
      <c r="E7234" s="1348"/>
      <c r="F7234" s="1348"/>
      <c r="G7234" s="1348"/>
      <c r="H7234" s="1348"/>
      <c r="I7234" s="1348"/>
      <c r="J7234" s="1348"/>
      <c r="K7234" s="1348"/>
    </row>
    <row r="7235" spans="2:11" hidden="1">
      <c r="B7235" s="1348"/>
      <c r="C7235" s="1348"/>
      <c r="D7235" s="1348"/>
      <c r="E7235" s="1348"/>
      <c r="F7235" s="1348"/>
      <c r="G7235" s="1348"/>
      <c r="H7235" s="1348"/>
      <c r="I7235" s="1348"/>
      <c r="J7235" s="1348"/>
      <c r="K7235" s="1348"/>
    </row>
    <row r="7236" spans="2:11" hidden="1">
      <c r="B7236" s="1348"/>
      <c r="C7236" s="1348"/>
      <c r="D7236" s="1348"/>
      <c r="E7236" s="1348"/>
      <c r="F7236" s="1348"/>
      <c r="G7236" s="1348"/>
      <c r="H7236" s="1348"/>
      <c r="I7236" s="1348"/>
      <c r="J7236" s="1348"/>
      <c r="K7236" s="1348"/>
    </row>
    <row r="7237" spans="2:11" hidden="1">
      <c r="B7237" s="1348"/>
      <c r="C7237" s="1348"/>
      <c r="D7237" s="1348"/>
      <c r="E7237" s="1348"/>
      <c r="F7237" s="1348"/>
      <c r="G7237" s="1348"/>
      <c r="H7237" s="1348"/>
      <c r="I7237" s="1348"/>
      <c r="J7237" s="1348"/>
      <c r="K7237" s="1348"/>
    </row>
    <row r="7238" spans="2:11" hidden="1">
      <c r="B7238" s="1348"/>
      <c r="C7238" s="1348"/>
      <c r="D7238" s="1348"/>
      <c r="E7238" s="1348"/>
      <c r="F7238" s="1348"/>
      <c r="G7238" s="1348"/>
      <c r="H7238" s="1348"/>
      <c r="I7238" s="1348"/>
      <c r="J7238" s="1348"/>
      <c r="K7238" s="1348"/>
    </row>
    <row r="7239" spans="2:11" hidden="1">
      <c r="B7239" s="1348"/>
      <c r="C7239" s="1348"/>
      <c r="D7239" s="1348"/>
      <c r="E7239" s="1348"/>
      <c r="F7239" s="1348"/>
      <c r="G7239" s="1348"/>
      <c r="H7239" s="1348"/>
      <c r="I7239" s="1348"/>
      <c r="J7239" s="1348"/>
      <c r="K7239" s="1348"/>
    </row>
    <row r="7240" spans="2:11" hidden="1">
      <c r="B7240" s="1348"/>
      <c r="C7240" s="1348"/>
      <c r="D7240" s="1348"/>
      <c r="E7240" s="1348"/>
      <c r="F7240" s="1348"/>
      <c r="G7240" s="1348"/>
      <c r="H7240" s="1348"/>
      <c r="I7240" s="1348"/>
      <c r="J7240" s="1348"/>
      <c r="K7240" s="1348"/>
    </row>
    <row r="7241" spans="2:11" hidden="1">
      <c r="B7241" s="1348"/>
      <c r="C7241" s="1348"/>
      <c r="D7241" s="1348"/>
      <c r="E7241" s="1348"/>
      <c r="F7241" s="1348"/>
      <c r="G7241" s="1348"/>
      <c r="H7241" s="1348"/>
      <c r="I7241" s="1348"/>
      <c r="J7241" s="1348"/>
      <c r="K7241" s="1348"/>
    </row>
    <row r="7242" spans="2:11" hidden="1">
      <c r="B7242" s="1348"/>
      <c r="C7242" s="1348"/>
      <c r="D7242" s="1348"/>
      <c r="E7242" s="1348"/>
      <c r="F7242" s="1348"/>
      <c r="G7242" s="1348"/>
      <c r="H7242" s="1348"/>
      <c r="I7242" s="1348"/>
      <c r="J7242" s="1348"/>
      <c r="K7242" s="1348"/>
    </row>
    <row r="7243" spans="2:11" hidden="1">
      <c r="B7243" s="1348"/>
      <c r="C7243" s="1348"/>
      <c r="D7243" s="1348"/>
      <c r="E7243" s="1348"/>
      <c r="F7243" s="1348"/>
      <c r="G7243" s="1348"/>
      <c r="H7243" s="1348"/>
      <c r="I7243" s="1348"/>
      <c r="J7243" s="1348"/>
      <c r="K7243" s="1348"/>
    </row>
    <row r="7244" spans="2:11" hidden="1">
      <c r="B7244" s="1348"/>
      <c r="C7244" s="1348"/>
      <c r="D7244" s="1348"/>
      <c r="E7244" s="1348"/>
      <c r="F7244" s="1348"/>
      <c r="G7244" s="1348"/>
      <c r="H7244" s="1348"/>
      <c r="I7244" s="1348"/>
      <c r="J7244" s="1348"/>
      <c r="K7244" s="1348"/>
    </row>
    <row r="7245" spans="2:11" hidden="1">
      <c r="B7245" s="1348"/>
      <c r="C7245" s="1348"/>
      <c r="D7245" s="1348"/>
      <c r="E7245" s="1348"/>
      <c r="F7245" s="1348"/>
      <c r="G7245" s="1348"/>
      <c r="H7245" s="1348"/>
      <c r="I7245" s="1348"/>
      <c r="J7245" s="1348"/>
      <c r="K7245" s="1348"/>
    </row>
    <row r="7246" spans="2:11" hidden="1">
      <c r="B7246" s="1348"/>
      <c r="C7246" s="1348"/>
      <c r="D7246" s="1348"/>
      <c r="E7246" s="1348"/>
      <c r="F7246" s="1348"/>
      <c r="G7246" s="1348"/>
      <c r="H7246" s="1348"/>
      <c r="I7246" s="1348"/>
      <c r="J7246" s="1348"/>
      <c r="K7246" s="1348"/>
    </row>
    <row r="7247" spans="2:11" hidden="1">
      <c r="B7247" s="1348"/>
      <c r="C7247" s="1348"/>
      <c r="D7247" s="1348"/>
      <c r="E7247" s="1348"/>
      <c r="F7247" s="1348"/>
      <c r="G7247" s="1348"/>
      <c r="H7247" s="1348"/>
      <c r="I7247" s="1348"/>
      <c r="J7247" s="1348"/>
      <c r="K7247" s="1348"/>
    </row>
    <row r="7248" spans="2:11" hidden="1">
      <c r="B7248" s="1348"/>
      <c r="C7248" s="1348"/>
      <c r="D7248" s="1348"/>
      <c r="E7248" s="1348"/>
      <c r="F7248" s="1348"/>
      <c r="G7248" s="1348"/>
      <c r="H7248" s="1348"/>
      <c r="I7248" s="1348"/>
      <c r="J7248" s="1348"/>
      <c r="K7248" s="1348"/>
    </row>
    <row r="7249" spans="2:11" hidden="1">
      <c r="B7249" s="1348"/>
      <c r="C7249" s="1348"/>
      <c r="D7249" s="1348"/>
      <c r="E7249" s="1348"/>
      <c r="F7249" s="1348"/>
      <c r="G7249" s="1348"/>
      <c r="H7249" s="1348"/>
      <c r="I7249" s="1348"/>
      <c r="J7249" s="1348"/>
      <c r="K7249" s="1348"/>
    </row>
    <row r="7250" spans="2:11" hidden="1">
      <c r="B7250" s="1348"/>
      <c r="C7250" s="1348"/>
      <c r="D7250" s="1348"/>
      <c r="E7250" s="1348"/>
      <c r="F7250" s="1348"/>
      <c r="G7250" s="1348"/>
      <c r="H7250" s="1348"/>
      <c r="I7250" s="1348"/>
      <c r="J7250" s="1348"/>
      <c r="K7250" s="1348"/>
    </row>
    <row r="7251" spans="2:11" hidden="1">
      <c r="B7251" s="1348"/>
      <c r="C7251" s="1348"/>
      <c r="D7251" s="1348"/>
      <c r="E7251" s="1348"/>
      <c r="F7251" s="1348"/>
      <c r="G7251" s="1348"/>
      <c r="H7251" s="1348"/>
      <c r="I7251" s="1348"/>
      <c r="J7251" s="1348"/>
      <c r="K7251" s="1348"/>
    </row>
    <row r="7252" spans="2:11" hidden="1">
      <c r="B7252" s="1348"/>
      <c r="C7252" s="1348"/>
      <c r="D7252" s="1348"/>
      <c r="E7252" s="1348"/>
      <c r="F7252" s="1348"/>
      <c r="G7252" s="1348"/>
      <c r="H7252" s="1348"/>
      <c r="I7252" s="1348"/>
      <c r="J7252" s="1348"/>
      <c r="K7252" s="1348"/>
    </row>
    <row r="7253" spans="2:11" hidden="1">
      <c r="B7253" s="1348"/>
      <c r="C7253" s="1348"/>
      <c r="D7253" s="1348"/>
      <c r="E7253" s="1348"/>
      <c r="F7253" s="1348"/>
      <c r="G7253" s="1348"/>
      <c r="H7253" s="1348"/>
      <c r="I7253" s="1348"/>
      <c r="J7253" s="1348"/>
      <c r="K7253" s="1348"/>
    </row>
    <row r="7254" spans="2:11" hidden="1">
      <c r="B7254" s="1348"/>
      <c r="C7254" s="1348"/>
      <c r="D7254" s="1348"/>
      <c r="E7254" s="1348"/>
      <c r="F7254" s="1348"/>
      <c r="G7254" s="1348"/>
      <c r="H7254" s="1348"/>
      <c r="I7254" s="1348"/>
      <c r="J7254" s="1348"/>
      <c r="K7254" s="1348"/>
    </row>
    <row r="7255" spans="2:11" hidden="1">
      <c r="B7255" s="1348"/>
      <c r="C7255" s="1348"/>
      <c r="D7255" s="1348"/>
      <c r="E7255" s="1348"/>
      <c r="F7255" s="1348"/>
      <c r="G7255" s="1348"/>
      <c r="H7255" s="1348"/>
      <c r="I7255" s="1348"/>
      <c r="J7255" s="1348"/>
      <c r="K7255" s="1348"/>
    </row>
    <row r="7256" spans="2:11" hidden="1">
      <c r="B7256" s="1348"/>
      <c r="C7256" s="1348"/>
      <c r="D7256" s="1348"/>
      <c r="E7256" s="1348"/>
      <c r="F7256" s="1348"/>
      <c r="G7256" s="1348"/>
      <c r="H7256" s="1348"/>
      <c r="I7256" s="1348"/>
      <c r="J7256" s="1348"/>
      <c r="K7256" s="1348"/>
    </row>
    <row r="7257" spans="2:11" hidden="1">
      <c r="B7257" s="1348"/>
      <c r="C7257" s="1348"/>
      <c r="D7257" s="1348"/>
      <c r="E7257" s="1348"/>
      <c r="F7257" s="1348"/>
      <c r="G7257" s="1348"/>
      <c r="H7257" s="1348"/>
      <c r="I7257" s="1348"/>
      <c r="J7257" s="1348"/>
      <c r="K7257" s="1348"/>
    </row>
    <row r="7258" spans="2:11" hidden="1">
      <c r="B7258" s="1348"/>
      <c r="C7258" s="1348"/>
      <c r="D7258" s="1348"/>
      <c r="E7258" s="1348"/>
      <c r="F7258" s="1348"/>
      <c r="G7258" s="1348"/>
      <c r="H7258" s="1348"/>
      <c r="I7258" s="1348"/>
      <c r="J7258" s="1348"/>
      <c r="K7258" s="1348"/>
    </row>
    <row r="7259" spans="2:11" hidden="1">
      <c r="B7259" s="1348"/>
      <c r="C7259" s="1348"/>
      <c r="D7259" s="1348"/>
      <c r="E7259" s="1348"/>
      <c r="F7259" s="1348"/>
      <c r="G7259" s="1348"/>
      <c r="H7259" s="1348"/>
      <c r="I7259" s="1348"/>
      <c r="J7259" s="1348"/>
      <c r="K7259" s="1348"/>
    </row>
    <row r="7260" spans="2:11" hidden="1">
      <c r="B7260" s="1348"/>
      <c r="C7260" s="1348"/>
      <c r="D7260" s="1348"/>
      <c r="E7260" s="1348"/>
      <c r="F7260" s="1348"/>
      <c r="G7260" s="1348"/>
      <c r="H7260" s="1348"/>
      <c r="I7260" s="1348"/>
      <c r="J7260" s="1348"/>
      <c r="K7260" s="1348"/>
    </row>
    <row r="7261" spans="2:11" hidden="1">
      <c r="B7261" s="1348"/>
      <c r="C7261" s="1348"/>
      <c r="D7261" s="1348"/>
      <c r="E7261" s="1348"/>
      <c r="F7261" s="1348"/>
      <c r="G7261" s="1348"/>
      <c r="H7261" s="1348"/>
      <c r="I7261" s="1348"/>
      <c r="J7261" s="1348"/>
      <c r="K7261" s="1348"/>
    </row>
    <row r="7262" spans="2:11" hidden="1">
      <c r="B7262" s="1348"/>
      <c r="C7262" s="1348"/>
      <c r="D7262" s="1348"/>
      <c r="E7262" s="1348"/>
      <c r="F7262" s="1348"/>
      <c r="G7262" s="1348"/>
      <c r="H7262" s="1348"/>
      <c r="I7262" s="1348"/>
      <c r="J7262" s="1348"/>
      <c r="K7262" s="1348"/>
    </row>
    <row r="7263" spans="2:11" hidden="1">
      <c r="B7263" s="1348"/>
      <c r="C7263" s="1348"/>
      <c r="D7263" s="1348"/>
      <c r="E7263" s="1348"/>
      <c r="F7263" s="1348"/>
      <c r="G7263" s="1348"/>
      <c r="H7263" s="1348"/>
      <c r="I7263" s="1348"/>
      <c r="J7263" s="1348"/>
      <c r="K7263" s="1348"/>
    </row>
    <row r="7264" spans="2:11" hidden="1">
      <c r="B7264" s="1348"/>
      <c r="C7264" s="1348"/>
      <c r="D7264" s="1348"/>
      <c r="E7264" s="1348"/>
      <c r="F7264" s="1348"/>
      <c r="G7264" s="1348"/>
      <c r="H7264" s="1348"/>
      <c r="I7264" s="1348"/>
      <c r="J7264" s="1348"/>
      <c r="K7264" s="1348"/>
    </row>
    <row r="7265" spans="2:11" hidden="1">
      <c r="B7265" s="1348"/>
      <c r="C7265" s="1348"/>
      <c r="D7265" s="1348"/>
      <c r="E7265" s="1348"/>
      <c r="F7265" s="1348"/>
      <c r="G7265" s="1348"/>
      <c r="H7265" s="1348"/>
      <c r="I7265" s="1348"/>
      <c r="J7265" s="1348"/>
      <c r="K7265" s="1348"/>
    </row>
    <row r="7266" spans="2:11" hidden="1">
      <c r="B7266" s="1348"/>
      <c r="C7266" s="1348"/>
      <c r="D7266" s="1348"/>
      <c r="E7266" s="1348"/>
      <c r="F7266" s="1348"/>
      <c r="G7266" s="1348"/>
      <c r="H7266" s="1348"/>
      <c r="I7266" s="1348"/>
      <c r="J7266" s="1348"/>
      <c r="K7266" s="1348"/>
    </row>
    <row r="7267" spans="2:11" hidden="1">
      <c r="B7267" s="1348"/>
      <c r="C7267" s="1348"/>
      <c r="D7267" s="1348"/>
      <c r="E7267" s="1348"/>
      <c r="F7267" s="1348"/>
      <c r="G7267" s="1348"/>
      <c r="H7267" s="1348"/>
      <c r="I7267" s="1348"/>
      <c r="J7267" s="1348"/>
      <c r="K7267" s="1348"/>
    </row>
    <row r="7268" spans="2:11" hidden="1">
      <c r="B7268" s="1348"/>
      <c r="C7268" s="1348"/>
      <c r="D7268" s="1348"/>
      <c r="E7268" s="1348"/>
      <c r="F7268" s="1348"/>
      <c r="G7268" s="1348"/>
      <c r="H7268" s="1348"/>
      <c r="I7268" s="1348"/>
      <c r="J7268" s="1348"/>
      <c r="K7268" s="1348"/>
    </row>
    <row r="7269" spans="2:11" hidden="1">
      <c r="B7269" s="1348"/>
      <c r="C7269" s="1348"/>
      <c r="D7269" s="1348"/>
      <c r="E7269" s="1348"/>
      <c r="F7269" s="1348"/>
      <c r="G7269" s="1348"/>
      <c r="H7269" s="1348"/>
      <c r="I7269" s="1348"/>
      <c r="J7269" s="1348"/>
      <c r="K7269" s="1348"/>
    </row>
    <row r="7270" spans="2:11" hidden="1">
      <c r="B7270" s="1348"/>
      <c r="C7270" s="1348"/>
      <c r="D7270" s="1348"/>
      <c r="E7270" s="1348"/>
      <c r="F7270" s="1348"/>
      <c r="G7270" s="1348"/>
      <c r="H7270" s="1348"/>
      <c r="I7270" s="1348"/>
      <c r="J7270" s="1348"/>
      <c r="K7270" s="1348"/>
    </row>
    <row r="7271" spans="2:11" hidden="1">
      <c r="B7271" s="1348"/>
      <c r="C7271" s="1348"/>
      <c r="D7271" s="1348"/>
      <c r="E7271" s="1348"/>
      <c r="F7271" s="1348"/>
      <c r="G7271" s="1348"/>
      <c r="H7271" s="1348"/>
      <c r="I7271" s="1348"/>
      <c r="J7271" s="1348"/>
      <c r="K7271" s="1348"/>
    </row>
    <row r="7272" spans="2:11" hidden="1">
      <c r="B7272" s="1348"/>
      <c r="C7272" s="1348"/>
      <c r="D7272" s="1348"/>
      <c r="E7272" s="1348"/>
      <c r="F7272" s="1348"/>
      <c r="G7272" s="1348"/>
      <c r="H7272" s="1348"/>
      <c r="I7272" s="1348"/>
      <c r="J7272" s="1348"/>
      <c r="K7272" s="1348"/>
    </row>
    <row r="7273" spans="2:11" hidden="1">
      <c r="B7273" s="1348"/>
      <c r="C7273" s="1348"/>
      <c r="D7273" s="1348"/>
      <c r="E7273" s="1348"/>
      <c r="F7273" s="1348"/>
      <c r="G7273" s="1348"/>
      <c r="H7273" s="1348"/>
      <c r="I7273" s="1348"/>
      <c r="J7273" s="1348"/>
      <c r="K7273" s="1348"/>
    </row>
    <row r="7274" spans="2:11" hidden="1">
      <c r="B7274" s="1348"/>
      <c r="C7274" s="1348"/>
      <c r="D7274" s="1348"/>
      <c r="E7274" s="1348"/>
      <c r="F7274" s="1348"/>
      <c r="G7274" s="1348"/>
      <c r="H7274" s="1348"/>
      <c r="I7274" s="1348"/>
      <c r="J7274" s="1348"/>
      <c r="K7274" s="1348"/>
    </row>
    <row r="7275" spans="2:11" hidden="1">
      <c r="B7275" s="1348"/>
      <c r="C7275" s="1348"/>
      <c r="D7275" s="1348"/>
      <c r="E7275" s="1348"/>
      <c r="F7275" s="1348"/>
      <c r="G7275" s="1348"/>
      <c r="H7275" s="1348"/>
      <c r="I7275" s="1348"/>
      <c r="J7275" s="1348"/>
      <c r="K7275" s="1348"/>
    </row>
    <row r="7276" spans="2:11" hidden="1">
      <c r="B7276" s="1348"/>
      <c r="C7276" s="1348"/>
      <c r="D7276" s="1348"/>
      <c r="E7276" s="1348"/>
      <c r="F7276" s="1348"/>
      <c r="G7276" s="1348"/>
      <c r="H7276" s="1348"/>
      <c r="I7276" s="1348"/>
      <c r="J7276" s="1348"/>
      <c r="K7276" s="1348"/>
    </row>
    <row r="7277" spans="2:11" hidden="1">
      <c r="B7277" s="1348"/>
      <c r="C7277" s="1348"/>
      <c r="D7277" s="1348"/>
      <c r="E7277" s="1348"/>
      <c r="F7277" s="1348"/>
      <c r="G7277" s="1348"/>
      <c r="H7277" s="1348"/>
      <c r="I7277" s="1348"/>
      <c r="J7277" s="1348"/>
      <c r="K7277" s="1348"/>
    </row>
    <row r="7278" spans="2:11" hidden="1">
      <c r="B7278" s="1348"/>
      <c r="C7278" s="1348"/>
      <c r="D7278" s="1348"/>
      <c r="E7278" s="1348"/>
      <c r="F7278" s="1348"/>
      <c r="G7278" s="1348"/>
      <c r="H7278" s="1348"/>
      <c r="I7278" s="1348"/>
      <c r="J7278" s="1348"/>
      <c r="K7278" s="1348"/>
    </row>
    <row r="7279" spans="2:11" hidden="1">
      <c r="B7279" s="1348"/>
      <c r="C7279" s="1348"/>
      <c r="D7279" s="1348"/>
      <c r="E7279" s="1348"/>
      <c r="F7279" s="1348"/>
      <c r="G7279" s="1348"/>
      <c r="H7279" s="1348"/>
      <c r="I7279" s="1348"/>
      <c r="J7279" s="1348"/>
      <c r="K7279" s="1348"/>
    </row>
    <row r="7280" spans="2:11" hidden="1">
      <c r="B7280" s="1348"/>
      <c r="C7280" s="1348"/>
      <c r="D7280" s="1348"/>
      <c r="E7280" s="1348"/>
      <c r="F7280" s="1348"/>
      <c r="G7280" s="1348"/>
      <c r="H7280" s="1348"/>
      <c r="I7280" s="1348"/>
      <c r="J7280" s="1348"/>
      <c r="K7280" s="1348"/>
    </row>
    <row r="7281" spans="2:11" hidden="1">
      <c r="B7281" s="1348"/>
      <c r="C7281" s="1348"/>
      <c r="D7281" s="1348"/>
      <c r="E7281" s="1348"/>
      <c r="F7281" s="1348"/>
      <c r="G7281" s="1348"/>
      <c r="H7281" s="1348"/>
      <c r="I7281" s="1348"/>
      <c r="J7281" s="1348"/>
      <c r="K7281" s="1348"/>
    </row>
    <row r="7282" spans="2:11" hidden="1">
      <c r="B7282" s="1348"/>
      <c r="C7282" s="1348"/>
      <c r="D7282" s="1348"/>
      <c r="E7282" s="1348"/>
      <c r="F7282" s="1348"/>
      <c r="G7282" s="1348"/>
      <c r="H7282" s="1348"/>
      <c r="I7282" s="1348"/>
      <c r="J7282" s="1348"/>
      <c r="K7282" s="1348"/>
    </row>
    <row r="7283" spans="2:11" hidden="1">
      <c r="B7283" s="1348"/>
      <c r="C7283" s="1348"/>
      <c r="D7283" s="1348"/>
      <c r="E7283" s="1348"/>
      <c r="F7283" s="1348"/>
      <c r="G7283" s="1348"/>
      <c r="H7283" s="1348"/>
      <c r="I7283" s="1348"/>
      <c r="J7283" s="1348"/>
      <c r="K7283" s="1348"/>
    </row>
    <row r="7284" spans="2:11" hidden="1">
      <c r="B7284" s="1348"/>
      <c r="C7284" s="1348"/>
      <c r="D7284" s="1348"/>
      <c r="E7284" s="1348"/>
      <c r="F7284" s="1348"/>
      <c r="G7284" s="1348"/>
      <c r="H7284" s="1348"/>
      <c r="I7284" s="1348"/>
      <c r="J7284" s="1348"/>
      <c r="K7284" s="1348"/>
    </row>
    <row r="7285" spans="2:11" hidden="1">
      <c r="B7285" s="1348"/>
      <c r="C7285" s="1348"/>
      <c r="D7285" s="1348"/>
      <c r="E7285" s="1348"/>
      <c r="F7285" s="1348"/>
      <c r="G7285" s="1348"/>
      <c r="H7285" s="1348"/>
      <c r="I7285" s="1348"/>
      <c r="J7285" s="1348"/>
      <c r="K7285" s="1348"/>
    </row>
    <row r="7286" spans="2:11" hidden="1">
      <c r="B7286" s="1348"/>
      <c r="C7286" s="1348"/>
      <c r="D7286" s="1348"/>
      <c r="E7286" s="1348"/>
      <c r="F7286" s="1348"/>
      <c r="G7286" s="1348"/>
      <c r="H7286" s="1348"/>
      <c r="I7286" s="1348"/>
      <c r="J7286" s="1348"/>
      <c r="K7286" s="1348"/>
    </row>
    <row r="7287" spans="2:11" hidden="1">
      <c r="B7287" s="1348"/>
      <c r="C7287" s="1348"/>
      <c r="D7287" s="1348"/>
      <c r="E7287" s="1348"/>
      <c r="F7287" s="1348"/>
      <c r="G7287" s="1348"/>
      <c r="H7287" s="1348"/>
      <c r="I7287" s="1348"/>
      <c r="J7287" s="1348"/>
      <c r="K7287" s="1348"/>
    </row>
    <row r="7288" spans="2:11" hidden="1">
      <c r="B7288" s="1348"/>
      <c r="C7288" s="1348"/>
      <c r="D7288" s="1348"/>
      <c r="E7288" s="1348"/>
      <c r="F7288" s="1348"/>
      <c r="G7288" s="1348"/>
      <c r="H7288" s="1348"/>
      <c r="I7288" s="1348"/>
      <c r="J7288" s="1348"/>
      <c r="K7288" s="1348"/>
    </row>
    <row r="7289" spans="2:11" hidden="1">
      <c r="B7289" s="1348"/>
      <c r="C7289" s="1348"/>
      <c r="D7289" s="1348"/>
      <c r="E7289" s="1348"/>
      <c r="F7289" s="1348"/>
      <c r="G7289" s="1348"/>
      <c r="H7289" s="1348"/>
      <c r="I7289" s="1348"/>
      <c r="J7289" s="1348"/>
      <c r="K7289" s="1348"/>
    </row>
    <row r="7290" spans="2:11" hidden="1">
      <c r="B7290" s="1348"/>
      <c r="C7290" s="1348"/>
      <c r="D7290" s="1348"/>
      <c r="E7290" s="1348"/>
      <c r="F7290" s="1348"/>
      <c r="G7290" s="1348"/>
      <c r="H7290" s="1348"/>
      <c r="I7290" s="1348"/>
      <c r="J7290" s="1348"/>
      <c r="K7290" s="1348"/>
    </row>
    <row r="7291" spans="2:11" hidden="1">
      <c r="B7291" s="1348"/>
      <c r="C7291" s="1348"/>
      <c r="D7291" s="1348"/>
      <c r="E7291" s="1348"/>
      <c r="F7291" s="1348"/>
      <c r="G7291" s="1348"/>
      <c r="H7291" s="1348"/>
      <c r="I7291" s="1348"/>
      <c r="J7291" s="1348"/>
      <c r="K7291" s="1348"/>
    </row>
    <row r="7292" spans="2:11" hidden="1">
      <c r="B7292" s="1348"/>
      <c r="C7292" s="1348"/>
      <c r="D7292" s="1348"/>
      <c r="E7292" s="1348"/>
      <c r="F7292" s="1348"/>
      <c r="G7292" s="1348"/>
      <c r="H7292" s="1348"/>
      <c r="I7292" s="1348"/>
      <c r="J7292" s="1348"/>
      <c r="K7292" s="1348"/>
    </row>
    <row r="7293" spans="2:11" hidden="1">
      <c r="B7293" s="1348"/>
      <c r="C7293" s="1348"/>
      <c r="D7293" s="1348"/>
      <c r="E7293" s="1348"/>
      <c r="F7293" s="1348"/>
      <c r="G7293" s="1348"/>
      <c r="H7293" s="1348"/>
      <c r="I7293" s="1348"/>
      <c r="J7293" s="1348"/>
      <c r="K7293" s="1348"/>
    </row>
    <row r="7294" spans="2:11" hidden="1">
      <c r="B7294" s="1348"/>
      <c r="C7294" s="1348"/>
      <c r="D7294" s="1348"/>
      <c r="E7294" s="1348"/>
      <c r="F7294" s="1348"/>
      <c r="G7294" s="1348"/>
      <c r="H7294" s="1348"/>
      <c r="I7294" s="1348"/>
      <c r="J7294" s="1348"/>
      <c r="K7294" s="1348"/>
    </row>
    <row r="7295" spans="2:11" hidden="1">
      <c r="B7295" s="1348"/>
      <c r="C7295" s="1348"/>
      <c r="D7295" s="1348"/>
      <c r="E7295" s="1348"/>
      <c r="F7295" s="1348"/>
      <c r="G7295" s="1348"/>
      <c r="H7295" s="1348"/>
      <c r="I7295" s="1348"/>
      <c r="J7295" s="1348"/>
      <c r="K7295" s="1348"/>
    </row>
    <row r="7296" spans="2:11" hidden="1">
      <c r="B7296" s="1348"/>
      <c r="C7296" s="1348"/>
      <c r="D7296" s="1348"/>
      <c r="E7296" s="1348"/>
      <c r="F7296" s="1348"/>
      <c r="G7296" s="1348"/>
      <c r="H7296" s="1348"/>
      <c r="I7296" s="1348"/>
      <c r="J7296" s="1348"/>
      <c r="K7296" s="1348"/>
    </row>
    <row r="7297" spans="2:11" hidden="1">
      <c r="B7297" s="1348"/>
      <c r="C7297" s="1348"/>
      <c r="D7297" s="1348"/>
      <c r="E7297" s="1348"/>
      <c r="F7297" s="1348"/>
      <c r="G7297" s="1348"/>
      <c r="H7297" s="1348"/>
      <c r="I7297" s="1348"/>
      <c r="J7297" s="1348"/>
      <c r="K7297" s="1348"/>
    </row>
    <row r="7298" spans="2:11" hidden="1">
      <c r="B7298" s="1348"/>
      <c r="C7298" s="1348"/>
      <c r="D7298" s="1348"/>
      <c r="E7298" s="1348"/>
      <c r="F7298" s="1348"/>
      <c r="G7298" s="1348"/>
      <c r="H7298" s="1348"/>
      <c r="I7298" s="1348"/>
      <c r="J7298" s="1348"/>
      <c r="K7298" s="1348"/>
    </row>
    <row r="7299" spans="2:11" hidden="1">
      <c r="B7299" s="1348"/>
      <c r="C7299" s="1348"/>
      <c r="D7299" s="1348"/>
      <c r="E7299" s="1348"/>
      <c r="F7299" s="1348"/>
      <c r="G7299" s="1348"/>
      <c r="H7299" s="1348"/>
      <c r="I7299" s="1348"/>
      <c r="J7299" s="1348"/>
      <c r="K7299" s="1348"/>
    </row>
    <row r="7300" spans="2:11" hidden="1">
      <c r="B7300" s="1348"/>
      <c r="C7300" s="1348"/>
      <c r="D7300" s="1348"/>
      <c r="E7300" s="1348"/>
      <c r="F7300" s="1348"/>
      <c r="G7300" s="1348"/>
      <c r="H7300" s="1348"/>
      <c r="I7300" s="1348"/>
      <c r="J7300" s="1348"/>
      <c r="K7300" s="1348"/>
    </row>
    <row r="7301" spans="2:11" hidden="1">
      <c r="B7301" s="1348"/>
      <c r="C7301" s="1348"/>
      <c r="D7301" s="1348"/>
      <c r="E7301" s="1348"/>
      <c r="F7301" s="1348"/>
      <c r="G7301" s="1348"/>
      <c r="H7301" s="1348"/>
      <c r="I7301" s="1348"/>
      <c r="J7301" s="1348"/>
      <c r="K7301" s="1348"/>
    </row>
    <row r="7302" spans="2:11" hidden="1">
      <c r="B7302" s="1348"/>
      <c r="C7302" s="1348"/>
      <c r="D7302" s="1348"/>
      <c r="E7302" s="1348"/>
      <c r="F7302" s="1348"/>
      <c r="G7302" s="1348"/>
      <c r="H7302" s="1348"/>
      <c r="I7302" s="1348"/>
      <c r="J7302" s="1348"/>
      <c r="K7302" s="1348"/>
    </row>
    <row r="7303" spans="2:11" hidden="1">
      <c r="B7303" s="1348"/>
      <c r="C7303" s="1348"/>
      <c r="D7303" s="1348"/>
      <c r="E7303" s="1348"/>
      <c r="F7303" s="1348"/>
      <c r="G7303" s="1348"/>
      <c r="H7303" s="1348"/>
      <c r="I7303" s="1348"/>
      <c r="J7303" s="1348"/>
      <c r="K7303" s="1348"/>
    </row>
    <row r="7304" spans="2:11" hidden="1">
      <c r="B7304" s="1348"/>
      <c r="C7304" s="1348"/>
      <c r="D7304" s="1348"/>
      <c r="E7304" s="1348"/>
      <c r="F7304" s="1348"/>
      <c r="G7304" s="1348"/>
      <c r="H7304" s="1348"/>
      <c r="I7304" s="1348"/>
      <c r="J7304" s="1348"/>
      <c r="K7304" s="1348"/>
    </row>
    <row r="7305" spans="2:11" hidden="1">
      <c r="B7305" s="1348"/>
      <c r="C7305" s="1348"/>
      <c r="D7305" s="1348"/>
      <c r="E7305" s="1348"/>
      <c r="F7305" s="1348"/>
      <c r="G7305" s="1348"/>
      <c r="H7305" s="1348"/>
      <c r="I7305" s="1348"/>
      <c r="J7305" s="1348"/>
      <c r="K7305" s="1348"/>
    </row>
    <row r="7306" spans="2:11" hidden="1">
      <c r="B7306" s="1348"/>
      <c r="C7306" s="1348"/>
      <c r="D7306" s="1348"/>
      <c r="E7306" s="1348"/>
      <c r="F7306" s="1348"/>
      <c r="G7306" s="1348"/>
      <c r="H7306" s="1348"/>
      <c r="I7306" s="1348"/>
      <c r="J7306" s="1348"/>
      <c r="K7306" s="1348"/>
    </row>
    <row r="7307" spans="2:11" hidden="1">
      <c r="B7307" s="1348"/>
      <c r="C7307" s="1348"/>
      <c r="D7307" s="1348"/>
      <c r="E7307" s="1348"/>
      <c r="F7307" s="1348"/>
      <c r="G7307" s="1348"/>
      <c r="H7307" s="1348"/>
      <c r="I7307" s="1348"/>
      <c r="J7307" s="1348"/>
      <c r="K7307" s="1348"/>
    </row>
    <row r="7308" spans="2:11" hidden="1">
      <c r="B7308" s="1348"/>
      <c r="C7308" s="1348"/>
      <c r="D7308" s="1348"/>
      <c r="E7308" s="1348"/>
      <c r="F7308" s="1348"/>
      <c r="G7308" s="1348"/>
      <c r="H7308" s="1348"/>
      <c r="I7308" s="1348"/>
      <c r="J7308" s="1348"/>
      <c r="K7308" s="1348"/>
    </row>
    <row r="7309" spans="2:11" hidden="1">
      <c r="B7309" s="1348"/>
      <c r="C7309" s="1348"/>
      <c r="D7309" s="1348"/>
      <c r="E7309" s="1348"/>
      <c r="F7309" s="1348"/>
      <c r="G7309" s="1348"/>
      <c r="H7309" s="1348"/>
      <c r="I7309" s="1348"/>
      <c r="J7309" s="1348"/>
      <c r="K7309" s="1348"/>
    </row>
    <row r="7310" spans="2:11" hidden="1">
      <c r="B7310" s="1348"/>
      <c r="C7310" s="1348"/>
      <c r="D7310" s="1348"/>
      <c r="E7310" s="1348"/>
      <c r="F7310" s="1348"/>
      <c r="G7310" s="1348"/>
      <c r="H7310" s="1348"/>
      <c r="I7310" s="1348"/>
      <c r="J7310" s="1348"/>
      <c r="K7310" s="1348"/>
    </row>
    <row r="7311" spans="2:11" hidden="1">
      <c r="B7311" s="1348"/>
      <c r="C7311" s="1348"/>
      <c r="D7311" s="1348"/>
      <c r="E7311" s="1348"/>
      <c r="F7311" s="1348"/>
      <c r="G7311" s="1348"/>
      <c r="H7311" s="1348"/>
      <c r="I7311" s="1348"/>
      <c r="J7311" s="1348"/>
      <c r="K7311" s="1348"/>
    </row>
    <row r="7312" spans="2:11" hidden="1">
      <c r="B7312" s="1348"/>
      <c r="C7312" s="1348"/>
      <c r="D7312" s="1348"/>
      <c r="E7312" s="1348"/>
      <c r="F7312" s="1348"/>
      <c r="G7312" s="1348"/>
      <c r="H7312" s="1348"/>
      <c r="I7312" s="1348"/>
      <c r="J7312" s="1348"/>
      <c r="K7312" s="1348"/>
    </row>
    <row r="7313" spans="2:11" hidden="1">
      <c r="B7313" s="1348"/>
      <c r="C7313" s="1348"/>
      <c r="D7313" s="1348"/>
      <c r="E7313" s="1348"/>
      <c r="F7313" s="1348"/>
      <c r="G7313" s="1348"/>
      <c r="H7313" s="1348"/>
      <c r="I7313" s="1348"/>
      <c r="J7313" s="1348"/>
      <c r="K7313" s="1348"/>
    </row>
    <row r="7314" spans="2:11" hidden="1">
      <c r="B7314" s="1348"/>
      <c r="C7314" s="1348"/>
      <c r="D7314" s="1348"/>
      <c r="E7314" s="1348"/>
      <c r="F7314" s="1348"/>
      <c r="G7314" s="1348"/>
      <c r="H7314" s="1348"/>
      <c r="I7314" s="1348"/>
      <c r="J7314" s="1348"/>
      <c r="K7314" s="1348"/>
    </row>
    <row r="7315" spans="2:11" hidden="1">
      <c r="B7315" s="1348"/>
      <c r="C7315" s="1348"/>
      <c r="D7315" s="1348"/>
      <c r="E7315" s="1348"/>
      <c r="F7315" s="1348"/>
      <c r="G7315" s="1348"/>
      <c r="H7315" s="1348"/>
      <c r="I7315" s="1348"/>
      <c r="J7315" s="1348"/>
      <c r="K7315" s="1348"/>
    </row>
    <row r="7316" spans="2:11" hidden="1">
      <c r="B7316" s="1348"/>
      <c r="C7316" s="1348"/>
      <c r="D7316" s="1348"/>
      <c r="E7316" s="1348"/>
      <c r="F7316" s="1348"/>
      <c r="G7316" s="1348"/>
      <c r="H7316" s="1348"/>
      <c r="I7316" s="1348"/>
      <c r="J7316" s="1348"/>
      <c r="K7316" s="1348"/>
    </row>
    <row r="7317" spans="2:11" hidden="1">
      <c r="B7317" s="1348"/>
      <c r="C7317" s="1348"/>
      <c r="D7317" s="1348"/>
      <c r="E7317" s="1348"/>
      <c r="F7317" s="1348"/>
      <c r="G7317" s="1348"/>
      <c r="H7317" s="1348"/>
      <c r="I7317" s="1348"/>
      <c r="J7317" s="1348"/>
      <c r="K7317" s="1348"/>
    </row>
    <row r="7318" spans="2:11" hidden="1">
      <c r="B7318" s="1348"/>
      <c r="C7318" s="1348"/>
      <c r="D7318" s="1348"/>
      <c r="E7318" s="1348"/>
      <c r="F7318" s="1348"/>
      <c r="G7318" s="1348"/>
      <c r="H7318" s="1348"/>
      <c r="I7318" s="1348"/>
      <c r="J7318" s="1348"/>
      <c r="K7318" s="1348"/>
    </row>
    <row r="7319" spans="2:11" hidden="1">
      <c r="B7319" s="1348"/>
      <c r="C7319" s="1348"/>
      <c r="D7319" s="1348"/>
      <c r="E7319" s="1348"/>
      <c r="F7319" s="1348"/>
      <c r="G7319" s="1348"/>
      <c r="H7319" s="1348"/>
      <c r="I7319" s="1348"/>
      <c r="J7319" s="1348"/>
      <c r="K7319" s="1348"/>
    </row>
    <row r="7320" spans="2:11" hidden="1">
      <c r="B7320" s="1348"/>
      <c r="C7320" s="1348"/>
      <c r="D7320" s="1348"/>
      <c r="E7320" s="1348"/>
      <c r="F7320" s="1348"/>
      <c r="G7320" s="1348"/>
      <c r="H7320" s="1348"/>
      <c r="I7320" s="1348"/>
      <c r="J7320" s="1348"/>
      <c r="K7320" s="1348"/>
    </row>
    <row r="7321" spans="2:11" hidden="1">
      <c r="B7321" s="1348"/>
      <c r="C7321" s="1348"/>
      <c r="D7321" s="1348"/>
      <c r="E7321" s="1348"/>
      <c r="F7321" s="1348"/>
      <c r="G7321" s="1348"/>
      <c r="H7321" s="1348"/>
      <c r="I7321" s="1348"/>
      <c r="J7321" s="1348"/>
      <c r="K7321" s="1348"/>
    </row>
    <row r="7322" spans="2:11" hidden="1">
      <c r="B7322" s="1348"/>
      <c r="C7322" s="1348"/>
      <c r="D7322" s="1348"/>
      <c r="E7322" s="1348"/>
      <c r="F7322" s="1348"/>
      <c r="G7322" s="1348"/>
      <c r="H7322" s="1348"/>
      <c r="I7322" s="1348"/>
      <c r="J7322" s="1348"/>
      <c r="K7322" s="1348"/>
    </row>
    <row r="7323" spans="2:11" hidden="1">
      <c r="B7323" s="1348"/>
      <c r="C7323" s="1348"/>
      <c r="D7323" s="1348"/>
      <c r="E7323" s="1348"/>
      <c r="F7323" s="1348"/>
      <c r="G7323" s="1348"/>
      <c r="H7323" s="1348"/>
      <c r="I7323" s="1348"/>
      <c r="J7323" s="1348"/>
      <c r="K7323" s="1348"/>
    </row>
    <row r="7324" spans="2:11" hidden="1">
      <c r="B7324" s="1348"/>
      <c r="C7324" s="1348"/>
      <c r="D7324" s="1348"/>
      <c r="E7324" s="1348"/>
      <c r="F7324" s="1348"/>
      <c r="G7324" s="1348"/>
      <c r="H7324" s="1348"/>
      <c r="I7324" s="1348"/>
      <c r="J7324" s="1348"/>
      <c r="K7324" s="1348"/>
    </row>
    <row r="7325" spans="2:11" hidden="1">
      <c r="B7325" s="1348"/>
      <c r="C7325" s="1348"/>
      <c r="D7325" s="1348"/>
      <c r="E7325" s="1348"/>
      <c r="F7325" s="1348"/>
      <c r="G7325" s="1348"/>
      <c r="H7325" s="1348"/>
      <c r="I7325" s="1348"/>
      <c r="J7325" s="1348"/>
      <c r="K7325" s="1348"/>
    </row>
    <row r="7326" spans="2:11" hidden="1">
      <c r="B7326" s="1348"/>
      <c r="C7326" s="1348"/>
      <c r="D7326" s="1348"/>
      <c r="E7326" s="1348"/>
      <c r="F7326" s="1348"/>
      <c r="G7326" s="1348"/>
      <c r="H7326" s="1348"/>
      <c r="I7326" s="1348"/>
      <c r="J7326" s="1348"/>
      <c r="K7326" s="1348"/>
    </row>
    <row r="7327" spans="2:11" hidden="1">
      <c r="B7327" s="1348"/>
      <c r="C7327" s="1348"/>
      <c r="D7327" s="1348"/>
      <c r="E7327" s="1348"/>
      <c r="F7327" s="1348"/>
      <c r="G7327" s="1348"/>
      <c r="H7327" s="1348"/>
      <c r="I7327" s="1348"/>
      <c r="J7327" s="1348"/>
      <c r="K7327" s="1348"/>
    </row>
    <row r="7328" spans="2:11" hidden="1">
      <c r="B7328" s="1348"/>
      <c r="C7328" s="1348"/>
      <c r="D7328" s="1348"/>
      <c r="E7328" s="1348"/>
      <c r="F7328" s="1348"/>
      <c r="G7328" s="1348"/>
      <c r="H7328" s="1348"/>
      <c r="I7328" s="1348"/>
      <c r="J7328" s="1348"/>
      <c r="K7328" s="1348"/>
    </row>
    <row r="7329" spans="2:11" hidden="1">
      <c r="B7329" s="1348"/>
      <c r="C7329" s="1348"/>
      <c r="D7329" s="1348"/>
      <c r="E7329" s="1348"/>
      <c r="F7329" s="1348"/>
      <c r="G7329" s="1348"/>
      <c r="H7329" s="1348"/>
      <c r="I7329" s="1348"/>
      <c r="J7329" s="1348"/>
      <c r="K7329" s="1348"/>
    </row>
    <row r="7330" spans="2:11" hidden="1">
      <c r="B7330" s="1348"/>
      <c r="C7330" s="1348"/>
      <c r="D7330" s="1348"/>
      <c r="E7330" s="1348"/>
      <c r="F7330" s="1348"/>
      <c r="G7330" s="1348"/>
      <c r="H7330" s="1348"/>
      <c r="I7330" s="1348"/>
      <c r="J7330" s="1348"/>
      <c r="K7330" s="1348"/>
    </row>
    <row r="7331" spans="2:11" hidden="1">
      <c r="B7331" s="1348"/>
      <c r="C7331" s="1348"/>
      <c r="D7331" s="1348"/>
      <c r="E7331" s="1348"/>
      <c r="F7331" s="1348"/>
      <c r="G7331" s="1348"/>
      <c r="H7331" s="1348"/>
      <c r="I7331" s="1348"/>
      <c r="J7331" s="1348"/>
      <c r="K7331" s="1348"/>
    </row>
    <row r="7332" spans="2:11" hidden="1">
      <c r="B7332" s="1348"/>
      <c r="C7332" s="1348"/>
      <c r="D7332" s="1348"/>
      <c r="E7332" s="1348"/>
      <c r="F7332" s="1348"/>
      <c r="G7332" s="1348"/>
      <c r="H7332" s="1348"/>
      <c r="I7332" s="1348"/>
      <c r="J7332" s="1348"/>
      <c r="K7332" s="1348"/>
    </row>
    <row r="7333" spans="2:11" hidden="1">
      <c r="B7333" s="1348"/>
      <c r="C7333" s="1348"/>
      <c r="D7333" s="1348"/>
      <c r="E7333" s="1348"/>
      <c r="F7333" s="1348"/>
      <c r="G7333" s="1348"/>
      <c r="H7333" s="1348"/>
      <c r="I7333" s="1348"/>
      <c r="J7333" s="1348"/>
      <c r="K7333" s="1348"/>
    </row>
    <row r="7334" spans="2:11" hidden="1">
      <c r="B7334" s="1348"/>
      <c r="C7334" s="1348"/>
      <c r="D7334" s="1348"/>
      <c r="E7334" s="1348"/>
      <c r="F7334" s="1348"/>
      <c r="G7334" s="1348"/>
      <c r="H7334" s="1348"/>
      <c r="I7334" s="1348"/>
      <c r="J7334" s="1348"/>
      <c r="K7334" s="1348"/>
    </row>
    <row r="7335" spans="2:11" hidden="1">
      <c r="B7335" s="1348"/>
      <c r="C7335" s="1348"/>
      <c r="D7335" s="1348"/>
      <c r="E7335" s="1348"/>
      <c r="F7335" s="1348"/>
      <c r="G7335" s="1348"/>
      <c r="H7335" s="1348"/>
      <c r="I7335" s="1348"/>
      <c r="J7335" s="1348"/>
      <c r="K7335" s="1348"/>
    </row>
    <row r="7336" spans="2:11" hidden="1">
      <c r="B7336" s="1348"/>
      <c r="C7336" s="1348"/>
      <c r="D7336" s="1348"/>
      <c r="E7336" s="1348"/>
      <c r="F7336" s="1348"/>
      <c r="G7336" s="1348"/>
      <c r="H7336" s="1348"/>
      <c r="I7336" s="1348"/>
      <c r="J7336" s="1348"/>
      <c r="K7336" s="1348"/>
    </row>
    <row r="7337" spans="2:11" hidden="1">
      <c r="B7337" s="1348"/>
      <c r="C7337" s="1348"/>
      <c r="D7337" s="1348"/>
      <c r="E7337" s="1348"/>
      <c r="F7337" s="1348"/>
      <c r="G7337" s="1348"/>
      <c r="H7337" s="1348"/>
      <c r="I7337" s="1348"/>
      <c r="J7337" s="1348"/>
      <c r="K7337" s="1348"/>
    </row>
    <row r="7338" spans="2:11" hidden="1">
      <c r="B7338" s="1348"/>
      <c r="C7338" s="1348"/>
      <c r="D7338" s="1348"/>
      <c r="E7338" s="1348"/>
      <c r="F7338" s="1348"/>
      <c r="G7338" s="1348"/>
      <c r="H7338" s="1348"/>
      <c r="I7338" s="1348"/>
      <c r="J7338" s="1348"/>
      <c r="K7338" s="1348"/>
    </row>
    <row r="7339" spans="2:11" hidden="1">
      <c r="B7339" s="1348"/>
      <c r="C7339" s="1348"/>
      <c r="D7339" s="1348"/>
      <c r="E7339" s="1348"/>
      <c r="F7339" s="1348"/>
      <c r="G7339" s="1348"/>
      <c r="H7339" s="1348"/>
      <c r="I7339" s="1348"/>
      <c r="J7339" s="1348"/>
      <c r="K7339" s="1348"/>
    </row>
    <row r="7340" spans="2:11" hidden="1">
      <c r="B7340" s="1348"/>
      <c r="C7340" s="1348"/>
      <c r="D7340" s="1348"/>
      <c r="E7340" s="1348"/>
      <c r="F7340" s="1348"/>
      <c r="G7340" s="1348"/>
      <c r="H7340" s="1348"/>
      <c r="I7340" s="1348"/>
      <c r="J7340" s="1348"/>
      <c r="K7340" s="1348"/>
    </row>
    <row r="7341" spans="2:11" hidden="1">
      <c r="B7341" s="1348"/>
      <c r="C7341" s="1348"/>
      <c r="D7341" s="1348"/>
      <c r="E7341" s="1348"/>
      <c r="F7341" s="1348"/>
      <c r="G7341" s="1348"/>
      <c r="H7341" s="1348"/>
      <c r="I7341" s="1348"/>
      <c r="J7341" s="1348"/>
      <c r="K7341" s="1348"/>
    </row>
    <row r="7342" spans="2:11" hidden="1">
      <c r="B7342" s="1348"/>
      <c r="C7342" s="1348"/>
      <c r="D7342" s="1348"/>
      <c r="E7342" s="1348"/>
      <c r="F7342" s="1348"/>
      <c r="G7342" s="1348"/>
      <c r="H7342" s="1348"/>
      <c r="I7342" s="1348"/>
      <c r="J7342" s="1348"/>
      <c r="K7342" s="1348"/>
    </row>
    <row r="7343" spans="2:11" hidden="1">
      <c r="B7343" s="1348"/>
      <c r="C7343" s="1348"/>
      <c r="D7343" s="1348"/>
      <c r="E7343" s="1348"/>
      <c r="F7343" s="1348"/>
      <c r="G7343" s="1348"/>
      <c r="H7343" s="1348"/>
      <c r="I7343" s="1348"/>
      <c r="J7343" s="1348"/>
      <c r="K7343" s="1348"/>
    </row>
    <row r="7344" spans="2:11" hidden="1">
      <c r="B7344" s="1348"/>
      <c r="C7344" s="1348"/>
      <c r="D7344" s="1348"/>
      <c r="E7344" s="1348"/>
      <c r="F7344" s="1348"/>
      <c r="G7344" s="1348"/>
      <c r="H7344" s="1348"/>
      <c r="I7344" s="1348"/>
      <c r="J7344" s="1348"/>
      <c r="K7344" s="1348"/>
    </row>
    <row r="7345" spans="2:11" hidden="1">
      <c r="B7345" s="1348"/>
      <c r="C7345" s="1348"/>
      <c r="D7345" s="1348"/>
      <c r="E7345" s="1348"/>
      <c r="F7345" s="1348"/>
      <c r="G7345" s="1348"/>
      <c r="H7345" s="1348"/>
      <c r="I7345" s="1348"/>
      <c r="J7345" s="1348"/>
      <c r="K7345" s="1348"/>
    </row>
    <row r="7346" spans="2:11" hidden="1">
      <c r="B7346" s="1348"/>
      <c r="C7346" s="1348"/>
      <c r="D7346" s="1348"/>
      <c r="E7346" s="1348"/>
      <c r="F7346" s="1348"/>
      <c r="G7346" s="1348"/>
      <c r="H7346" s="1348"/>
      <c r="I7346" s="1348"/>
      <c r="J7346" s="1348"/>
      <c r="K7346" s="1348"/>
    </row>
    <row r="7347" spans="2:11" hidden="1">
      <c r="B7347" s="1348"/>
      <c r="C7347" s="1348"/>
      <c r="D7347" s="1348"/>
      <c r="E7347" s="1348"/>
      <c r="F7347" s="1348"/>
      <c r="G7347" s="1348"/>
      <c r="H7347" s="1348"/>
      <c r="I7347" s="1348"/>
      <c r="J7347" s="1348"/>
      <c r="K7347" s="1348"/>
    </row>
    <row r="7348" spans="2:11" hidden="1">
      <c r="B7348" s="1348"/>
      <c r="C7348" s="1348"/>
      <c r="D7348" s="1348"/>
      <c r="E7348" s="1348"/>
      <c r="F7348" s="1348"/>
      <c r="G7348" s="1348"/>
      <c r="H7348" s="1348"/>
      <c r="I7348" s="1348"/>
      <c r="J7348" s="1348"/>
      <c r="K7348" s="1348"/>
    </row>
    <row r="7349" spans="2:11" hidden="1">
      <c r="B7349" s="1348"/>
      <c r="C7349" s="1348"/>
      <c r="D7349" s="1348"/>
      <c r="E7349" s="1348"/>
      <c r="F7349" s="1348"/>
      <c r="G7349" s="1348"/>
      <c r="H7349" s="1348"/>
      <c r="I7349" s="1348"/>
      <c r="J7349" s="1348"/>
      <c r="K7349" s="1348"/>
    </row>
    <row r="7350" spans="2:11" hidden="1">
      <c r="B7350" s="1348"/>
      <c r="C7350" s="1348"/>
      <c r="D7350" s="1348"/>
      <c r="E7350" s="1348"/>
      <c r="F7350" s="1348"/>
      <c r="G7350" s="1348"/>
      <c r="H7350" s="1348"/>
      <c r="I7350" s="1348"/>
      <c r="J7350" s="1348"/>
      <c r="K7350" s="1348"/>
    </row>
    <row r="7351" spans="2:11" hidden="1">
      <c r="B7351" s="1348"/>
      <c r="C7351" s="1348"/>
      <c r="D7351" s="1348"/>
      <c r="E7351" s="1348"/>
      <c r="F7351" s="1348"/>
      <c r="G7351" s="1348"/>
      <c r="H7351" s="1348"/>
      <c r="I7351" s="1348"/>
      <c r="J7351" s="1348"/>
      <c r="K7351" s="1348"/>
    </row>
    <row r="7352" spans="2:11" hidden="1">
      <c r="B7352" s="1348"/>
      <c r="C7352" s="1348"/>
      <c r="D7352" s="1348"/>
      <c r="E7352" s="1348"/>
      <c r="F7352" s="1348"/>
      <c r="G7352" s="1348"/>
      <c r="H7352" s="1348"/>
      <c r="I7352" s="1348"/>
      <c r="J7352" s="1348"/>
      <c r="K7352" s="1348"/>
    </row>
    <row r="7353" spans="2:11" hidden="1">
      <c r="B7353" s="1348"/>
      <c r="C7353" s="1348"/>
      <c r="D7353" s="1348"/>
      <c r="E7353" s="1348"/>
      <c r="F7353" s="1348"/>
      <c r="G7353" s="1348"/>
      <c r="H7353" s="1348"/>
      <c r="I7353" s="1348"/>
      <c r="J7353" s="1348"/>
      <c r="K7353" s="1348"/>
    </row>
    <row r="7354" spans="2:11" hidden="1">
      <c r="B7354" s="1348"/>
      <c r="C7354" s="1348"/>
      <c r="D7354" s="1348"/>
      <c r="E7354" s="1348"/>
      <c r="F7354" s="1348"/>
      <c r="G7354" s="1348"/>
      <c r="H7354" s="1348"/>
      <c r="I7354" s="1348"/>
      <c r="J7354" s="1348"/>
      <c r="K7354" s="1348"/>
    </row>
    <row r="7355" spans="2:11" hidden="1">
      <c r="B7355" s="1348"/>
      <c r="C7355" s="1348"/>
      <c r="D7355" s="1348"/>
      <c r="E7355" s="1348"/>
      <c r="F7355" s="1348"/>
      <c r="G7355" s="1348"/>
      <c r="H7355" s="1348"/>
      <c r="I7355" s="1348"/>
      <c r="J7355" s="1348"/>
      <c r="K7355" s="1348"/>
    </row>
    <row r="7356" spans="2:11" hidden="1">
      <c r="B7356" s="1348"/>
      <c r="C7356" s="1348"/>
      <c r="D7356" s="1348"/>
      <c r="E7356" s="1348"/>
      <c r="F7356" s="1348"/>
      <c r="G7356" s="1348"/>
      <c r="H7356" s="1348"/>
      <c r="I7356" s="1348"/>
      <c r="J7356" s="1348"/>
      <c r="K7356" s="1348"/>
    </row>
    <row r="7357" spans="2:11" hidden="1">
      <c r="B7357" s="1348"/>
      <c r="C7357" s="1348"/>
      <c r="D7357" s="1348"/>
      <c r="E7357" s="1348"/>
      <c r="F7357" s="1348"/>
      <c r="G7357" s="1348"/>
      <c r="H7357" s="1348"/>
      <c r="I7357" s="1348"/>
      <c r="J7357" s="1348"/>
      <c r="K7357" s="1348"/>
    </row>
    <row r="7358" spans="2:11" hidden="1">
      <c r="B7358" s="1348"/>
      <c r="C7358" s="1348"/>
      <c r="D7358" s="1348"/>
      <c r="E7358" s="1348"/>
      <c r="F7358" s="1348"/>
      <c r="G7358" s="1348"/>
      <c r="H7358" s="1348"/>
      <c r="I7358" s="1348"/>
      <c r="J7358" s="1348"/>
      <c r="K7358" s="1348"/>
    </row>
    <row r="7359" spans="2:11" hidden="1">
      <c r="B7359" s="1348"/>
      <c r="C7359" s="1348"/>
      <c r="D7359" s="1348"/>
      <c r="E7359" s="1348"/>
      <c r="F7359" s="1348"/>
      <c r="G7359" s="1348"/>
      <c r="H7359" s="1348"/>
      <c r="I7359" s="1348"/>
      <c r="J7359" s="1348"/>
      <c r="K7359" s="1348"/>
    </row>
    <row r="7360" spans="2:11" hidden="1">
      <c r="B7360" s="1348"/>
      <c r="C7360" s="1348"/>
      <c r="D7360" s="1348"/>
      <c r="E7360" s="1348"/>
      <c r="F7360" s="1348"/>
      <c r="G7360" s="1348"/>
      <c r="H7360" s="1348"/>
      <c r="I7360" s="1348"/>
      <c r="J7360" s="1348"/>
      <c r="K7360" s="1348"/>
    </row>
    <row r="7361" spans="2:11" hidden="1">
      <c r="B7361" s="1348"/>
      <c r="C7361" s="1348"/>
      <c r="D7361" s="1348"/>
      <c r="E7361" s="1348"/>
      <c r="F7361" s="1348"/>
      <c r="G7361" s="1348"/>
      <c r="H7361" s="1348"/>
      <c r="I7361" s="1348"/>
      <c r="J7361" s="1348"/>
      <c r="K7361" s="1348"/>
    </row>
    <row r="7362" spans="2:11" hidden="1">
      <c r="B7362" s="1348"/>
      <c r="C7362" s="1348"/>
      <c r="D7362" s="1348"/>
      <c r="E7362" s="1348"/>
      <c r="F7362" s="1348"/>
      <c r="G7362" s="1348"/>
      <c r="H7362" s="1348"/>
      <c r="I7362" s="1348"/>
      <c r="J7362" s="1348"/>
      <c r="K7362" s="1348"/>
    </row>
    <row r="7363" spans="2:11" hidden="1">
      <c r="B7363" s="1348"/>
      <c r="C7363" s="1348"/>
      <c r="D7363" s="1348"/>
      <c r="E7363" s="1348"/>
      <c r="F7363" s="1348"/>
      <c r="G7363" s="1348"/>
      <c r="H7363" s="1348"/>
      <c r="I7363" s="1348"/>
      <c r="J7363" s="1348"/>
      <c r="K7363" s="1348"/>
    </row>
    <row r="7364" spans="2:11" hidden="1">
      <c r="B7364" s="1348"/>
      <c r="C7364" s="1348"/>
      <c r="D7364" s="1348"/>
      <c r="E7364" s="1348"/>
      <c r="F7364" s="1348"/>
      <c r="G7364" s="1348"/>
      <c r="H7364" s="1348"/>
      <c r="I7364" s="1348"/>
      <c r="J7364" s="1348"/>
      <c r="K7364" s="1348"/>
    </row>
    <row r="7365" spans="2:11" hidden="1">
      <c r="B7365" s="1348"/>
      <c r="C7365" s="1348"/>
      <c r="D7365" s="1348"/>
      <c r="E7365" s="1348"/>
      <c r="F7365" s="1348"/>
      <c r="G7365" s="1348"/>
      <c r="H7365" s="1348"/>
      <c r="I7365" s="1348"/>
      <c r="J7365" s="1348"/>
      <c r="K7365" s="1348"/>
    </row>
    <row r="7366" spans="2:11" hidden="1">
      <c r="B7366" s="1348"/>
      <c r="C7366" s="1348"/>
      <c r="D7366" s="1348"/>
      <c r="E7366" s="1348"/>
      <c r="F7366" s="1348"/>
      <c r="G7366" s="1348"/>
      <c r="H7366" s="1348"/>
      <c r="I7366" s="1348"/>
      <c r="J7366" s="1348"/>
      <c r="K7366" s="1348"/>
    </row>
    <row r="7367" spans="2:11" hidden="1">
      <c r="B7367" s="1348"/>
      <c r="C7367" s="1348"/>
      <c r="D7367" s="1348"/>
      <c r="E7367" s="1348"/>
      <c r="F7367" s="1348"/>
      <c r="G7367" s="1348"/>
      <c r="H7367" s="1348"/>
      <c r="I7367" s="1348"/>
      <c r="J7367" s="1348"/>
      <c r="K7367" s="1348"/>
    </row>
    <row r="7368" spans="2:11" hidden="1">
      <c r="B7368" s="1348"/>
      <c r="C7368" s="1348"/>
      <c r="D7368" s="1348"/>
      <c r="E7368" s="1348"/>
      <c r="F7368" s="1348"/>
      <c r="G7368" s="1348"/>
      <c r="H7368" s="1348"/>
      <c r="I7368" s="1348"/>
      <c r="J7368" s="1348"/>
      <c r="K7368" s="1348"/>
    </row>
    <row r="7369" spans="2:11" hidden="1">
      <c r="B7369" s="1348"/>
      <c r="C7369" s="1348"/>
      <c r="D7369" s="1348"/>
      <c r="E7369" s="1348"/>
      <c r="F7369" s="1348"/>
      <c r="G7369" s="1348"/>
      <c r="H7369" s="1348"/>
      <c r="I7369" s="1348"/>
      <c r="J7369" s="1348"/>
      <c r="K7369" s="1348"/>
    </row>
    <row r="7370" spans="2:11" hidden="1">
      <c r="B7370" s="1348"/>
      <c r="C7370" s="1348"/>
      <c r="D7370" s="1348"/>
      <c r="E7370" s="1348"/>
      <c r="F7370" s="1348"/>
      <c r="G7370" s="1348"/>
      <c r="H7370" s="1348"/>
      <c r="I7370" s="1348"/>
      <c r="J7370" s="1348"/>
      <c r="K7370" s="1348"/>
    </row>
    <row r="7371" spans="2:11" hidden="1">
      <c r="B7371" s="1348"/>
      <c r="C7371" s="1348"/>
      <c r="D7371" s="1348"/>
      <c r="E7371" s="1348"/>
      <c r="F7371" s="1348"/>
      <c r="G7371" s="1348"/>
      <c r="H7371" s="1348"/>
      <c r="I7371" s="1348"/>
      <c r="J7371" s="1348"/>
      <c r="K7371" s="1348"/>
    </row>
    <row r="7372" spans="2:11" hidden="1">
      <c r="B7372" s="1348"/>
      <c r="C7372" s="1348"/>
      <c r="D7372" s="1348"/>
      <c r="E7372" s="1348"/>
      <c r="F7372" s="1348"/>
      <c r="G7372" s="1348"/>
      <c r="H7372" s="1348"/>
      <c r="I7372" s="1348"/>
      <c r="J7372" s="1348"/>
      <c r="K7372" s="1348"/>
    </row>
    <row r="7373" spans="2:11" hidden="1">
      <c r="B7373" s="1348"/>
      <c r="C7373" s="1348"/>
      <c r="D7373" s="1348"/>
      <c r="E7373" s="1348"/>
      <c r="F7373" s="1348"/>
      <c r="G7373" s="1348"/>
      <c r="H7373" s="1348"/>
      <c r="I7373" s="1348"/>
      <c r="J7373" s="1348"/>
      <c r="K7373" s="1348"/>
    </row>
    <row r="7374" spans="2:11" hidden="1">
      <c r="B7374" s="1348"/>
      <c r="C7374" s="1348"/>
      <c r="D7374" s="1348"/>
      <c r="E7374" s="1348"/>
      <c r="F7374" s="1348"/>
      <c r="G7374" s="1348"/>
      <c r="H7374" s="1348"/>
      <c r="I7374" s="1348"/>
      <c r="J7374" s="1348"/>
      <c r="K7374" s="1348"/>
    </row>
    <row r="7375" spans="2:11" hidden="1">
      <c r="B7375" s="1348"/>
      <c r="C7375" s="1348"/>
      <c r="D7375" s="1348"/>
      <c r="E7375" s="1348"/>
      <c r="F7375" s="1348"/>
      <c r="G7375" s="1348"/>
      <c r="H7375" s="1348"/>
      <c r="I7375" s="1348"/>
      <c r="J7375" s="1348"/>
      <c r="K7375" s="1348"/>
    </row>
    <row r="7376" spans="2:11" hidden="1">
      <c r="B7376" s="1348"/>
      <c r="C7376" s="1348"/>
      <c r="D7376" s="1348"/>
      <c r="E7376" s="1348"/>
      <c r="F7376" s="1348"/>
      <c r="G7376" s="1348"/>
      <c r="H7376" s="1348"/>
      <c r="I7376" s="1348"/>
      <c r="J7376" s="1348"/>
      <c r="K7376" s="1348"/>
    </row>
    <row r="7377" spans="2:11" hidden="1">
      <c r="B7377" s="1348"/>
      <c r="C7377" s="1348"/>
      <c r="D7377" s="1348"/>
      <c r="E7377" s="1348"/>
      <c r="F7377" s="1348"/>
      <c r="G7377" s="1348"/>
      <c r="H7377" s="1348"/>
      <c r="I7377" s="1348"/>
      <c r="J7377" s="1348"/>
      <c r="K7377" s="1348"/>
    </row>
    <row r="7378" spans="2:11" hidden="1">
      <c r="B7378" s="1348"/>
      <c r="C7378" s="1348"/>
      <c r="D7378" s="1348"/>
      <c r="E7378" s="1348"/>
      <c r="F7378" s="1348"/>
      <c r="G7378" s="1348"/>
      <c r="H7378" s="1348"/>
      <c r="I7378" s="1348"/>
      <c r="J7378" s="1348"/>
      <c r="K7378" s="1348"/>
    </row>
    <row r="7379" spans="2:11" hidden="1">
      <c r="B7379" s="1348"/>
      <c r="C7379" s="1348"/>
      <c r="D7379" s="1348"/>
      <c r="E7379" s="1348"/>
      <c r="F7379" s="1348"/>
      <c r="G7379" s="1348"/>
      <c r="H7379" s="1348"/>
      <c r="I7379" s="1348"/>
      <c r="J7379" s="1348"/>
      <c r="K7379" s="1348"/>
    </row>
    <row r="7380" spans="2:11" hidden="1">
      <c r="B7380" s="1348"/>
      <c r="C7380" s="1348"/>
      <c r="D7380" s="1348"/>
      <c r="E7380" s="1348"/>
      <c r="F7380" s="1348"/>
      <c r="G7380" s="1348"/>
      <c r="H7380" s="1348"/>
      <c r="I7380" s="1348"/>
      <c r="J7380" s="1348"/>
      <c r="K7380" s="1348"/>
    </row>
    <row r="7381" spans="2:11" hidden="1">
      <c r="B7381" s="1348"/>
      <c r="C7381" s="1348"/>
      <c r="D7381" s="1348"/>
      <c r="E7381" s="1348"/>
      <c r="F7381" s="1348"/>
      <c r="G7381" s="1348"/>
      <c r="H7381" s="1348"/>
      <c r="I7381" s="1348"/>
      <c r="J7381" s="1348"/>
      <c r="K7381" s="1348"/>
    </row>
    <row r="7382" spans="2:11" hidden="1">
      <c r="B7382" s="1348"/>
      <c r="C7382" s="1348"/>
      <c r="D7382" s="1348"/>
      <c r="E7382" s="1348"/>
      <c r="F7382" s="1348"/>
      <c r="G7382" s="1348"/>
      <c r="H7382" s="1348"/>
      <c r="I7382" s="1348"/>
      <c r="J7382" s="1348"/>
      <c r="K7382" s="1348"/>
    </row>
    <row r="7383" spans="2:11" hidden="1">
      <c r="B7383" s="1348"/>
      <c r="C7383" s="1348"/>
      <c r="D7383" s="1348"/>
      <c r="E7383" s="1348"/>
      <c r="F7383" s="1348"/>
      <c r="G7383" s="1348"/>
      <c r="H7383" s="1348"/>
      <c r="I7383" s="1348"/>
      <c r="J7383" s="1348"/>
      <c r="K7383" s="1348"/>
    </row>
    <row r="7384" spans="2:11" hidden="1">
      <c r="B7384" s="1348"/>
      <c r="C7384" s="1348"/>
      <c r="D7384" s="1348"/>
      <c r="E7384" s="1348"/>
      <c r="F7384" s="1348"/>
      <c r="G7384" s="1348"/>
      <c r="H7384" s="1348"/>
      <c r="I7384" s="1348"/>
      <c r="J7384" s="1348"/>
      <c r="K7384" s="1348"/>
    </row>
    <row r="7385" spans="2:11" hidden="1">
      <c r="B7385" s="1348"/>
      <c r="C7385" s="1348"/>
      <c r="D7385" s="1348"/>
      <c r="E7385" s="1348"/>
      <c r="F7385" s="1348"/>
      <c r="G7385" s="1348"/>
      <c r="H7385" s="1348"/>
      <c r="I7385" s="1348"/>
      <c r="J7385" s="1348"/>
      <c r="K7385" s="1348"/>
    </row>
    <row r="7386" spans="2:11" hidden="1">
      <c r="B7386" s="1348"/>
      <c r="C7386" s="1348"/>
      <c r="D7386" s="1348"/>
      <c r="E7386" s="1348"/>
      <c r="F7386" s="1348"/>
      <c r="G7386" s="1348"/>
      <c r="H7386" s="1348"/>
      <c r="I7386" s="1348"/>
      <c r="J7386" s="1348"/>
      <c r="K7386" s="1348"/>
    </row>
    <row r="7387" spans="2:11" hidden="1">
      <c r="B7387" s="1348"/>
      <c r="C7387" s="1348"/>
      <c r="D7387" s="1348"/>
      <c r="E7387" s="1348"/>
      <c r="F7387" s="1348"/>
      <c r="G7387" s="1348"/>
      <c r="H7387" s="1348"/>
      <c r="I7387" s="1348"/>
      <c r="J7387" s="1348"/>
      <c r="K7387" s="1348"/>
    </row>
    <row r="7388" spans="2:11" hidden="1">
      <c r="B7388" s="1348"/>
      <c r="C7388" s="1348"/>
      <c r="D7388" s="1348"/>
      <c r="E7388" s="1348"/>
      <c r="F7388" s="1348"/>
      <c r="G7388" s="1348"/>
      <c r="H7388" s="1348"/>
      <c r="I7388" s="1348"/>
      <c r="J7388" s="1348"/>
      <c r="K7388" s="1348"/>
    </row>
    <row r="7389" spans="2:11" hidden="1">
      <c r="B7389" s="1348"/>
      <c r="C7389" s="1348"/>
      <c r="D7389" s="1348"/>
      <c r="E7389" s="1348"/>
      <c r="F7389" s="1348"/>
      <c r="G7389" s="1348"/>
      <c r="H7389" s="1348"/>
      <c r="I7389" s="1348"/>
      <c r="J7389" s="1348"/>
      <c r="K7389" s="1348"/>
    </row>
    <row r="7390" spans="2:11" hidden="1">
      <c r="B7390" s="1348"/>
      <c r="C7390" s="1348"/>
      <c r="D7390" s="1348"/>
      <c r="E7390" s="1348"/>
      <c r="F7390" s="1348"/>
      <c r="G7390" s="1348"/>
      <c r="H7390" s="1348"/>
      <c r="I7390" s="1348"/>
      <c r="J7390" s="1348"/>
      <c r="K7390" s="1348"/>
    </row>
    <row r="7391" spans="2:11" hidden="1">
      <c r="B7391" s="1348"/>
      <c r="C7391" s="1348"/>
      <c r="D7391" s="1348"/>
      <c r="E7391" s="1348"/>
      <c r="F7391" s="1348"/>
      <c r="G7391" s="1348"/>
      <c r="H7391" s="1348"/>
      <c r="I7391" s="1348"/>
      <c r="J7391" s="1348"/>
      <c r="K7391" s="1348"/>
    </row>
    <row r="7392" spans="2:11" hidden="1">
      <c r="B7392" s="1348"/>
      <c r="C7392" s="1348"/>
      <c r="D7392" s="1348"/>
      <c r="E7392" s="1348"/>
      <c r="F7392" s="1348"/>
      <c r="G7392" s="1348"/>
      <c r="H7392" s="1348"/>
      <c r="I7392" s="1348"/>
      <c r="J7392" s="1348"/>
      <c r="K7392" s="1348"/>
    </row>
    <row r="7393" spans="2:11" hidden="1">
      <c r="B7393" s="1348"/>
      <c r="C7393" s="1348"/>
      <c r="D7393" s="1348"/>
      <c r="E7393" s="1348"/>
      <c r="F7393" s="1348"/>
      <c r="G7393" s="1348"/>
      <c r="H7393" s="1348"/>
      <c r="I7393" s="1348"/>
      <c r="J7393" s="1348"/>
      <c r="K7393" s="1348"/>
    </row>
    <row r="7394" spans="2:11" hidden="1">
      <c r="B7394" s="1348"/>
      <c r="C7394" s="1348"/>
      <c r="D7394" s="1348"/>
      <c r="E7394" s="1348"/>
      <c r="F7394" s="1348"/>
      <c r="G7394" s="1348"/>
      <c r="H7394" s="1348"/>
      <c r="I7394" s="1348"/>
      <c r="J7394" s="1348"/>
      <c r="K7394" s="1348"/>
    </row>
    <row r="7395" spans="2:11" hidden="1">
      <c r="B7395" s="1348"/>
      <c r="C7395" s="1348"/>
      <c r="D7395" s="1348"/>
      <c r="E7395" s="1348"/>
      <c r="F7395" s="1348"/>
      <c r="G7395" s="1348"/>
      <c r="H7395" s="1348"/>
      <c r="I7395" s="1348"/>
      <c r="J7395" s="1348"/>
      <c r="K7395" s="1348"/>
    </row>
    <row r="7396" spans="2:11" hidden="1">
      <c r="B7396" s="1348"/>
      <c r="C7396" s="1348"/>
      <c r="D7396" s="1348"/>
      <c r="E7396" s="1348"/>
      <c r="F7396" s="1348"/>
      <c r="G7396" s="1348"/>
      <c r="H7396" s="1348"/>
      <c r="I7396" s="1348"/>
      <c r="J7396" s="1348"/>
      <c r="K7396" s="1348"/>
    </row>
    <row r="7397" spans="2:11" hidden="1">
      <c r="B7397" s="1348"/>
      <c r="C7397" s="1348"/>
      <c r="D7397" s="1348"/>
      <c r="E7397" s="1348"/>
      <c r="F7397" s="1348"/>
      <c r="G7397" s="1348"/>
      <c r="H7397" s="1348"/>
      <c r="I7397" s="1348"/>
      <c r="J7397" s="1348"/>
      <c r="K7397" s="1348"/>
    </row>
    <row r="7398" spans="2:11" hidden="1">
      <c r="B7398" s="1348"/>
      <c r="C7398" s="1348"/>
      <c r="D7398" s="1348"/>
      <c r="E7398" s="1348"/>
      <c r="F7398" s="1348"/>
      <c r="G7398" s="1348"/>
      <c r="H7398" s="1348"/>
      <c r="I7398" s="1348"/>
      <c r="J7398" s="1348"/>
      <c r="K7398" s="1348"/>
    </row>
    <row r="7399" spans="2:11" hidden="1">
      <c r="B7399" s="1348"/>
      <c r="C7399" s="1348"/>
      <c r="D7399" s="1348"/>
      <c r="E7399" s="1348"/>
      <c r="F7399" s="1348"/>
      <c r="G7399" s="1348"/>
      <c r="H7399" s="1348"/>
      <c r="I7399" s="1348"/>
      <c r="J7399" s="1348"/>
      <c r="K7399" s="1348"/>
    </row>
    <row r="7400" spans="2:11" hidden="1">
      <c r="B7400" s="1348"/>
      <c r="C7400" s="1348"/>
      <c r="D7400" s="1348"/>
      <c r="E7400" s="1348"/>
      <c r="F7400" s="1348"/>
      <c r="G7400" s="1348"/>
      <c r="H7400" s="1348"/>
      <c r="I7400" s="1348"/>
      <c r="J7400" s="1348"/>
      <c r="K7400" s="1348"/>
    </row>
    <row r="7401" spans="2:11" hidden="1">
      <c r="B7401" s="1348"/>
      <c r="C7401" s="1348"/>
      <c r="D7401" s="1348"/>
      <c r="E7401" s="1348"/>
      <c r="F7401" s="1348"/>
      <c r="G7401" s="1348"/>
      <c r="H7401" s="1348"/>
      <c r="I7401" s="1348"/>
      <c r="J7401" s="1348"/>
      <c r="K7401" s="1348"/>
    </row>
    <row r="7402" spans="2:11" hidden="1">
      <c r="B7402" s="1348"/>
      <c r="C7402" s="1348"/>
      <c r="D7402" s="1348"/>
      <c r="E7402" s="1348"/>
      <c r="F7402" s="1348"/>
      <c r="G7402" s="1348"/>
      <c r="H7402" s="1348"/>
      <c r="I7402" s="1348"/>
      <c r="J7402" s="1348"/>
      <c r="K7402" s="1348"/>
    </row>
    <row r="7403" spans="2:11" hidden="1">
      <c r="B7403" s="1348"/>
      <c r="C7403" s="1348"/>
      <c r="D7403" s="1348"/>
      <c r="E7403" s="1348"/>
      <c r="F7403" s="1348"/>
      <c r="G7403" s="1348"/>
      <c r="H7403" s="1348"/>
      <c r="I7403" s="1348"/>
      <c r="J7403" s="1348"/>
      <c r="K7403" s="1348"/>
    </row>
    <row r="7404" spans="2:11" hidden="1">
      <c r="B7404" s="1348"/>
      <c r="C7404" s="1348"/>
      <c r="D7404" s="1348"/>
      <c r="E7404" s="1348"/>
      <c r="F7404" s="1348"/>
      <c r="G7404" s="1348"/>
      <c r="H7404" s="1348"/>
      <c r="I7404" s="1348"/>
      <c r="J7404" s="1348"/>
      <c r="K7404" s="1348"/>
    </row>
    <row r="7405" spans="2:11" hidden="1">
      <c r="B7405" s="1348"/>
      <c r="C7405" s="1348"/>
      <c r="D7405" s="1348"/>
      <c r="E7405" s="1348"/>
      <c r="F7405" s="1348"/>
      <c r="G7405" s="1348"/>
      <c r="H7405" s="1348"/>
      <c r="I7405" s="1348"/>
      <c r="J7405" s="1348"/>
      <c r="K7405" s="1348"/>
    </row>
    <row r="7406" spans="2:11" hidden="1">
      <c r="B7406" s="1348"/>
      <c r="C7406" s="1348"/>
      <c r="D7406" s="1348"/>
      <c r="E7406" s="1348"/>
      <c r="F7406" s="1348"/>
      <c r="G7406" s="1348"/>
      <c r="H7406" s="1348"/>
      <c r="I7406" s="1348"/>
      <c r="J7406" s="1348"/>
      <c r="K7406" s="1348"/>
    </row>
    <row r="7407" spans="2:11" hidden="1">
      <c r="B7407" s="1348"/>
      <c r="C7407" s="1348"/>
      <c r="D7407" s="1348"/>
      <c r="E7407" s="1348"/>
      <c r="F7407" s="1348"/>
      <c r="G7407" s="1348"/>
      <c r="H7407" s="1348"/>
      <c r="I7407" s="1348"/>
      <c r="J7407" s="1348"/>
      <c r="K7407" s="1348"/>
    </row>
    <row r="7408" spans="2:11" hidden="1">
      <c r="B7408" s="1348"/>
      <c r="C7408" s="1348"/>
      <c r="D7408" s="1348"/>
      <c r="E7408" s="1348"/>
      <c r="F7408" s="1348"/>
      <c r="G7408" s="1348"/>
      <c r="H7408" s="1348"/>
      <c r="I7408" s="1348"/>
      <c r="J7408" s="1348"/>
      <c r="K7408" s="1348"/>
    </row>
    <row r="7409" spans="2:11" hidden="1">
      <c r="B7409" s="1348"/>
      <c r="C7409" s="1348"/>
      <c r="D7409" s="1348"/>
      <c r="E7409" s="1348"/>
      <c r="F7409" s="1348"/>
      <c r="G7409" s="1348"/>
      <c r="H7409" s="1348"/>
      <c r="I7409" s="1348"/>
      <c r="J7409" s="1348"/>
      <c r="K7409" s="1348"/>
    </row>
    <row r="7410" spans="2:11" hidden="1">
      <c r="B7410" s="1348"/>
      <c r="C7410" s="1348"/>
      <c r="D7410" s="1348"/>
      <c r="E7410" s="1348"/>
      <c r="F7410" s="1348"/>
      <c r="G7410" s="1348"/>
      <c r="H7410" s="1348"/>
      <c r="I7410" s="1348"/>
      <c r="J7410" s="1348"/>
      <c r="K7410" s="1348"/>
    </row>
    <row r="7411" spans="2:11" hidden="1">
      <c r="B7411" s="1348"/>
      <c r="C7411" s="1348"/>
      <c r="D7411" s="1348"/>
      <c r="E7411" s="1348"/>
      <c r="F7411" s="1348"/>
      <c r="G7411" s="1348"/>
      <c r="H7411" s="1348"/>
      <c r="I7411" s="1348"/>
      <c r="J7411" s="1348"/>
      <c r="K7411" s="1348"/>
    </row>
    <row r="7412" spans="2:11" hidden="1">
      <c r="B7412" s="1348"/>
      <c r="C7412" s="1348"/>
      <c r="D7412" s="1348"/>
      <c r="E7412" s="1348"/>
      <c r="F7412" s="1348"/>
      <c r="G7412" s="1348"/>
      <c r="H7412" s="1348"/>
      <c r="I7412" s="1348"/>
      <c r="J7412" s="1348"/>
      <c r="K7412" s="1348"/>
    </row>
    <row r="7413" spans="2:11" hidden="1">
      <c r="B7413" s="1348"/>
      <c r="C7413" s="1348"/>
      <c r="D7413" s="1348"/>
      <c r="E7413" s="1348"/>
      <c r="F7413" s="1348"/>
      <c r="G7413" s="1348"/>
      <c r="H7413" s="1348"/>
      <c r="I7413" s="1348"/>
      <c r="J7413" s="1348"/>
      <c r="K7413" s="1348"/>
    </row>
    <row r="7414" spans="2:11" hidden="1">
      <c r="B7414" s="1348"/>
      <c r="C7414" s="1348"/>
      <c r="D7414" s="1348"/>
      <c r="E7414" s="1348"/>
      <c r="F7414" s="1348"/>
      <c r="G7414" s="1348"/>
      <c r="H7414" s="1348"/>
      <c r="I7414" s="1348"/>
      <c r="J7414" s="1348"/>
      <c r="K7414" s="1348"/>
    </row>
    <row r="7415" spans="2:11" hidden="1">
      <c r="B7415" s="1348"/>
      <c r="C7415" s="1348"/>
      <c r="D7415" s="1348"/>
      <c r="E7415" s="1348"/>
      <c r="F7415" s="1348"/>
      <c r="G7415" s="1348"/>
      <c r="H7415" s="1348"/>
      <c r="I7415" s="1348"/>
      <c r="J7415" s="1348"/>
      <c r="K7415" s="1348"/>
    </row>
    <row r="7416" spans="2:11" hidden="1">
      <c r="B7416" s="1348"/>
      <c r="C7416" s="1348"/>
      <c r="D7416" s="1348"/>
      <c r="E7416" s="1348"/>
      <c r="F7416" s="1348"/>
      <c r="G7416" s="1348"/>
      <c r="H7416" s="1348"/>
      <c r="I7416" s="1348"/>
      <c r="J7416" s="1348"/>
      <c r="K7416" s="1348"/>
    </row>
    <row r="7417" spans="2:11" hidden="1">
      <c r="B7417" s="1348"/>
      <c r="C7417" s="1348"/>
      <c r="D7417" s="1348"/>
      <c r="E7417" s="1348"/>
      <c r="F7417" s="1348"/>
      <c r="G7417" s="1348"/>
      <c r="H7417" s="1348"/>
      <c r="I7417" s="1348"/>
      <c r="J7417" s="1348"/>
      <c r="K7417" s="1348"/>
    </row>
    <row r="7418" spans="2:11" hidden="1">
      <c r="B7418" s="1348"/>
      <c r="C7418" s="1348"/>
      <c r="D7418" s="1348"/>
      <c r="E7418" s="1348"/>
      <c r="F7418" s="1348"/>
      <c r="G7418" s="1348"/>
      <c r="H7418" s="1348"/>
      <c r="I7418" s="1348"/>
      <c r="J7418" s="1348"/>
      <c r="K7418" s="1348"/>
    </row>
    <row r="7419" spans="2:11" hidden="1">
      <c r="B7419" s="1348"/>
      <c r="C7419" s="1348"/>
      <c r="D7419" s="1348"/>
      <c r="E7419" s="1348"/>
      <c r="F7419" s="1348"/>
      <c r="G7419" s="1348"/>
      <c r="H7419" s="1348"/>
      <c r="I7419" s="1348"/>
      <c r="J7419" s="1348"/>
      <c r="K7419" s="1348"/>
    </row>
    <row r="7420" spans="2:11" hidden="1">
      <c r="B7420" s="1348"/>
      <c r="C7420" s="1348"/>
      <c r="D7420" s="1348"/>
      <c r="E7420" s="1348"/>
      <c r="F7420" s="1348"/>
      <c r="G7420" s="1348"/>
      <c r="H7420" s="1348"/>
      <c r="I7420" s="1348"/>
      <c r="J7420" s="1348"/>
      <c r="K7420" s="1348"/>
    </row>
    <row r="7421" spans="2:11" hidden="1">
      <c r="B7421" s="1348"/>
      <c r="C7421" s="1348"/>
      <c r="D7421" s="1348"/>
      <c r="E7421" s="1348"/>
      <c r="F7421" s="1348"/>
      <c r="G7421" s="1348"/>
      <c r="H7421" s="1348"/>
      <c r="I7421" s="1348"/>
      <c r="J7421" s="1348"/>
      <c r="K7421" s="1348"/>
    </row>
    <row r="7422" spans="2:11" hidden="1">
      <c r="B7422" s="1348"/>
      <c r="C7422" s="1348"/>
      <c r="D7422" s="1348"/>
      <c r="E7422" s="1348"/>
      <c r="F7422" s="1348"/>
      <c r="G7422" s="1348"/>
      <c r="H7422" s="1348"/>
      <c r="I7422" s="1348"/>
      <c r="J7422" s="1348"/>
      <c r="K7422" s="1348"/>
    </row>
    <row r="7423" spans="2:11" hidden="1">
      <c r="B7423" s="1348"/>
      <c r="C7423" s="1348"/>
      <c r="D7423" s="1348"/>
      <c r="E7423" s="1348"/>
      <c r="F7423" s="1348"/>
      <c r="G7423" s="1348"/>
      <c r="H7423" s="1348"/>
      <c r="I7423" s="1348"/>
      <c r="J7423" s="1348"/>
      <c r="K7423" s="1348"/>
    </row>
    <row r="7424" spans="2:11" hidden="1">
      <c r="B7424" s="1348"/>
      <c r="C7424" s="1348"/>
      <c r="D7424" s="1348"/>
      <c r="E7424" s="1348"/>
      <c r="F7424" s="1348"/>
      <c r="G7424" s="1348"/>
      <c r="H7424" s="1348"/>
      <c r="I7424" s="1348"/>
      <c r="J7424" s="1348"/>
      <c r="K7424" s="1348"/>
    </row>
    <row r="7425" spans="2:11" hidden="1">
      <c r="B7425" s="1348"/>
      <c r="C7425" s="1348"/>
      <c r="D7425" s="1348"/>
      <c r="E7425" s="1348"/>
      <c r="F7425" s="1348"/>
      <c r="G7425" s="1348"/>
      <c r="H7425" s="1348"/>
      <c r="I7425" s="1348"/>
      <c r="J7425" s="1348"/>
      <c r="K7425" s="1348"/>
    </row>
    <row r="7426" spans="2:11" hidden="1">
      <c r="B7426" s="1348"/>
      <c r="C7426" s="1348"/>
      <c r="D7426" s="1348"/>
      <c r="E7426" s="1348"/>
      <c r="F7426" s="1348"/>
      <c r="G7426" s="1348"/>
      <c r="H7426" s="1348"/>
      <c r="I7426" s="1348"/>
      <c r="J7426" s="1348"/>
      <c r="K7426" s="1348"/>
    </row>
    <row r="7427" spans="2:11" hidden="1">
      <c r="B7427" s="1348"/>
      <c r="C7427" s="1348"/>
      <c r="D7427" s="1348"/>
      <c r="E7427" s="1348"/>
      <c r="F7427" s="1348"/>
      <c r="G7427" s="1348"/>
      <c r="H7427" s="1348"/>
      <c r="I7427" s="1348"/>
      <c r="J7427" s="1348"/>
      <c r="K7427" s="1348"/>
    </row>
    <row r="7428" spans="2:11" hidden="1">
      <c r="B7428" s="1348"/>
      <c r="C7428" s="1348"/>
      <c r="D7428" s="1348"/>
      <c r="E7428" s="1348"/>
      <c r="F7428" s="1348"/>
      <c r="G7428" s="1348"/>
      <c r="H7428" s="1348"/>
      <c r="I7428" s="1348"/>
      <c r="J7428" s="1348"/>
      <c r="K7428" s="1348"/>
    </row>
    <row r="7429" spans="2:11" hidden="1">
      <c r="B7429" s="1348"/>
      <c r="C7429" s="1348"/>
      <c r="D7429" s="1348"/>
      <c r="E7429" s="1348"/>
      <c r="F7429" s="1348"/>
      <c r="G7429" s="1348"/>
      <c r="H7429" s="1348"/>
      <c r="I7429" s="1348"/>
      <c r="J7429" s="1348"/>
      <c r="K7429" s="1348"/>
    </row>
    <row r="7430" spans="2:11" hidden="1">
      <c r="B7430" s="1348"/>
      <c r="C7430" s="1348"/>
      <c r="D7430" s="1348"/>
      <c r="E7430" s="1348"/>
      <c r="F7430" s="1348"/>
      <c r="G7430" s="1348"/>
      <c r="H7430" s="1348"/>
      <c r="I7430" s="1348"/>
      <c r="J7430" s="1348"/>
      <c r="K7430" s="1348"/>
    </row>
    <row r="7431" spans="2:11" hidden="1">
      <c r="B7431" s="1348"/>
      <c r="C7431" s="1348"/>
      <c r="D7431" s="1348"/>
      <c r="E7431" s="1348"/>
      <c r="F7431" s="1348"/>
      <c r="G7431" s="1348"/>
      <c r="H7431" s="1348"/>
      <c r="I7431" s="1348"/>
      <c r="J7431" s="1348"/>
      <c r="K7431" s="1348"/>
    </row>
    <row r="7432" spans="2:11" hidden="1">
      <c r="B7432" s="1348"/>
      <c r="C7432" s="1348"/>
      <c r="D7432" s="1348"/>
      <c r="E7432" s="1348"/>
      <c r="F7432" s="1348"/>
      <c r="G7432" s="1348"/>
      <c r="H7432" s="1348"/>
      <c r="I7432" s="1348"/>
      <c r="J7432" s="1348"/>
      <c r="K7432" s="1348"/>
    </row>
    <row r="7433" spans="2:11" hidden="1">
      <c r="B7433" s="1348"/>
      <c r="C7433" s="1348"/>
      <c r="D7433" s="1348"/>
      <c r="E7433" s="1348"/>
      <c r="F7433" s="1348"/>
      <c r="G7433" s="1348"/>
      <c r="H7433" s="1348"/>
      <c r="I7433" s="1348"/>
      <c r="J7433" s="1348"/>
      <c r="K7433" s="1348"/>
    </row>
    <row r="7434" spans="2:11" hidden="1">
      <c r="B7434" s="1348"/>
      <c r="C7434" s="1348"/>
      <c r="D7434" s="1348"/>
      <c r="E7434" s="1348"/>
      <c r="F7434" s="1348"/>
      <c r="G7434" s="1348"/>
      <c r="H7434" s="1348"/>
      <c r="I7434" s="1348"/>
      <c r="J7434" s="1348"/>
      <c r="K7434" s="1348"/>
    </row>
    <row r="7435" spans="2:11" hidden="1">
      <c r="B7435" s="1348"/>
      <c r="C7435" s="1348"/>
      <c r="D7435" s="1348"/>
      <c r="E7435" s="1348"/>
      <c r="F7435" s="1348"/>
      <c r="G7435" s="1348"/>
      <c r="H7435" s="1348"/>
      <c r="I7435" s="1348"/>
      <c r="J7435" s="1348"/>
      <c r="K7435" s="1348"/>
    </row>
    <row r="7436" spans="2:11" hidden="1">
      <c r="B7436" s="1348"/>
      <c r="C7436" s="1348"/>
      <c r="D7436" s="1348"/>
      <c r="E7436" s="1348"/>
      <c r="F7436" s="1348"/>
      <c r="G7436" s="1348"/>
      <c r="H7436" s="1348"/>
      <c r="I7436" s="1348"/>
      <c r="J7436" s="1348"/>
      <c r="K7436" s="1348"/>
    </row>
    <row r="7437" spans="2:11" hidden="1">
      <c r="B7437" s="1348"/>
      <c r="C7437" s="1348"/>
      <c r="D7437" s="1348"/>
      <c r="E7437" s="1348"/>
      <c r="F7437" s="1348"/>
      <c r="G7437" s="1348"/>
      <c r="H7437" s="1348"/>
      <c r="I7437" s="1348"/>
      <c r="J7437" s="1348"/>
      <c r="K7437" s="1348"/>
    </row>
    <row r="7438" spans="2:11" hidden="1">
      <c r="B7438" s="1348"/>
      <c r="C7438" s="1348"/>
      <c r="D7438" s="1348"/>
      <c r="E7438" s="1348"/>
      <c r="F7438" s="1348"/>
      <c r="G7438" s="1348"/>
      <c r="H7438" s="1348"/>
      <c r="I7438" s="1348"/>
      <c r="J7438" s="1348"/>
      <c r="K7438" s="1348"/>
    </row>
    <row r="7439" spans="2:11" hidden="1">
      <c r="B7439" s="1348"/>
      <c r="C7439" s="1348"/>
      <c r="D7439" s="1348"/>
      <c r="E7439" s="1348"/>
      <c r="F7439" s="1348"/>
      <c r="G7439" s="1348"/>
      <c r="H7439" s="1348"/>
      <c r="I7439" s="1348"/>
      <c r="J7439" s="1348"/>
      <c r="K7439" s="1348"/>
    </row>
    <row r="7440" spans="2:11" hidden="1">
      <c r="B7440" s="1348"/>
      <c r="C7440" s="1348"/>
      <c r="D7440" s="1348"/>
      <c r="E7440" s="1348"/>
      <c r="F7440" s="1348"/>
      <c r="G7440" s="1348"/>
      <c r="H7440" s="1348"/>
      <c r="I7440" s="1348"/>
      <c r="J7440" s="1348"/>
      <c r="K7440" s="1348"/>
    </row>
    <row r="7441" spans="2:11" hidden="1">
      <c r="B7441" s="1348"/>
      <c r="C7441" s="1348"/>
      <c r="D7441" s="1348"/>
      <c r="E7441" s="1348"/>
      <c r="F7441" s="1348"/>
      <c r="G7441" s="1348"/>
      <c r="H7441" s="1348"/>
      <c r="I7441" s="1348"/>
      <c r="J7441" s="1348"/>
      <c r="K7441" s="1348"/>
    </row>
    <row r="7442" spans="2:11" hidden="1">
      <c r="B7442" s="1348"/>
      <c r="C7442" s="1348"/>
      <c r="D7442" s="1348"/>
      <c r="E7442" s="1348"/>
      <c r="F7442" s="1348"/>
      <c r="G7442" s="1348"/>
      <c r="H7442" s="1348"/>
      <c r="I7442" s="1348"/>
      <c r="J7442" s="1348"/>
      <c r="K7442" s="1348"/>
    </row>
    <row r="7443" spans="2:11" hidden="1">
      <c r="B7443" s="1348"/>
      <c r="C7443" s="1348"/>
      <c r="D7443" s="1348"/>
      <c r="E7443" s="1348"/>
      <c r="F7443" s="1348"/>
      <c r="G7443" s="1348"/>
      <c r="H7443" s="1348"/>
      <c r="I7443" s="1348"/>
      <c r="J7443" s="1348"/>
      <c r="K7443" s="1348"/>
    </row>
    <row r="7444" spans="2:11" hidden="1">
      <c r="B7444" s="1348"/>
      <c r="C7444" s="1348"/>
      <c r="D7444" s="1348"/>
      <c r="E7444" s="1348"/>
      <c r="F7444" s="1348"/>
      <c r="G7444" s="1348"/>
      <c r="H7444" s="1348"/>
      <c r="I7444" s="1348"/>
      <c r="J7444" s="1348"/>
      <c r="K7444" s="1348"/>
    </row>
    <row r="7445" spans="2:11" hidden="1">
      <c r="B7445" s="1348"/>
      <c r="C7445" s="1348"/>
      <c r="D7445" s="1348"/>
      <c r="E7445" s="1348"/>
      <c r="F7445" s="1348"/>
      <c r="G7445" s="1348"/>
      <c r="H7445" s="1348"/>
      <c r="I7445" s="1348"/>
      <c r="J7445" s="1348"/>
      <c r="K7445" s="1348"/>
    </row>
    <row r="7446" spans="2:11" hidden="1">
      <c r="B7446" s="1348"/>
      <c r="C7446" s="1348"/>
      <c r="D7446" s="1348"/>
      <c r="E7446" s="1348"/>
      <c r="F7446" s="1348"/>
      <c r="G7446" s="1348"/>
      <c r="H7446" s="1348"/>
      <c r="I7446" s="1348"/>
      <c r="J7446" s="1348"/>
      <c r="K7446" s="1348"/>
    </row>
    <row r="7447" spans="2:11" hidden="1">
      <c r="B7447" s="1348"/>
      <c r="C7447" s="1348"/>
      <c r="D7447" s="1348"/>
      <c r="E7447" s="1348"/>
      <c r="F7447" s="1348"/>
      <c r="G7447" s="1348"/>
      <c r="H7447" s="1348"/>
      <c r="I7447" s="1348"/>
      <c r="J7447" s="1348"/>
      <c r="K7447" s="1348"/>
    </row>
    <row r="7448" spans="2:11" hidden="1">
      <c r="B7448" s="1348"/>
      <c r="C7448" s="1348"/>
      <c r="D7448" s="1348"/>
      <c r="E7448" s="1348"/>
      <c r="F7448" s="1348"/>
      <c r="G7448" s="1348"/>
      <c r="H7448" s="1348"/>
      <c r="I7448" s="1348"/>
      <c r="J7448" s="1348"/>
      <c r="K7448" s="1348"/>
    </row>
    <row r="7449" spans="2:11" hidden="1">
      <c r="B7449" s="1348"/>
      <c r="C7449" s="1348"/>
      <c r="D7449" s="1348"/>
      <c r="E7449" s="1348"/>
      <c r="F7449" s="1348"/>
      <c r="G7449" s="1348"/>
      <c r="H7449" s="1348"/>
      <c r="I7449" s="1348"/>
      <c r="J7449" s="1348"/>
      <c r="K7449" s="1348"/>
    </row>
    <row r="7450" spans="2:11" hidden="1">
      <c r="B7450" s="1348"/>
      <c r="C7450" s="1348"/>
      <c r="D7450" s="1348"/>
      <c r="E7450" s="1348"/>
      <c r="F7450" s="1348"/>
      <c r="G7450" s="1348"/>
      <c r="H7450" s="1348"/>
      <c r="I7450" s="1348"/>
      <c r="J7450" s="1348"/>
      <c r="K7450" s="1348"/>
    </row>
    <row r="7451" spans="2:11" hidden="1">
      <c r="B7451" s="1348"/>
      <c r="C7451" s="1348"/>
      <c r="D7451" s="1348"/>
      <c r="E7451" s="1348"/>
      <c r="F7451" s="1348"/>
      <c r="G7451" s="1348"/>
      <c r="H7451" s="1348"/>
      <c r="I7451" s="1348"/>
      <c r="J7451" s="1348"/>
      <c r="K7451" s="1348"/>
    </row>
    <row r="7452" spans="2:11" hidden="1">
      <c r="B7452" s="1348"/>
      <c r="C7452" s="1348"/>
      <c r="D7452" s="1348"/>
      <c r="E7452" s="1348"/>
      <c r="F7452" s="1348"/>
      <c r="G7452" s="1348"/>
      <c r="H7452" s="1348"/>
      <c r="I7452" s="1348"/>
      <c r="J7452" s="1348"/>
      <c r="K7452" s="1348"/>
    </row>
    <row r="7453" spans="2:11" hidden="1">
      <c r="B7453" s="1348"/>
      <c r="C7453" s="1348"/>
      <c r="D7453" s="1348"/>
      <c r="E7453" s="1348"/>
      <c r="F7453" s="1348"/>
      <c r="G7453" s="1348"/>
      <c r="H7453" s="1348"/>
      <c r="I7453" s="1348"/>
      <c r="J7453" s="1348"/>
      <c r="K7453" s="1348"/>
    </row>
    <row r="7454" spans="2:11" hidden="1">
      <c r="B7454" s="1348"/>
      <c r="C7454" s="1348"/>
      <c r="D7454" s="1348"/>
      <c r="E7454" s="1348"/>
      <c r="F7454" s="1348"/>
      <c r="G7454" s="1348"/>
      <c r="H7454" s="1348"/>
      <c r="I7454" s="1348"/>
      <c r="J7454" s="1348"/>
      <c r="K7454" s="1348"/>
    </row>
    <row r="7455" spans="2:11" hidden="1">
      <c r="B7455" s="1348"/>
      <c r="C7455" s="1348"/>
      <c r="D7455" s="1348"/>
      <c r="E7455" s="1348"/>
      <c r="F7455" s="1348"/>
      <c r="G7455" s="1348"/>
      <c r="H7455" s="1348"/>
      <c r="I7455" s="1348"/>
      <c r="J7455" s="1348"/>
      <c r="K7455" s="1348"/>
    </row>
    <row r="7456" spans="2:11" hidden="1">
      <c r="B7456" s="1348"/>
      <c r="C7456" s="1348"/>
      <c r="D7456" s="1348"/>
      <c r="E7456" s="1348"/>
      <c r="F7456" s="1348"/>
      <c r="G7456" s="1348"/>
      <c r="H7456" s="1348"/>
      <c r="I7456" s="1348"/>
      <c r="J7456" s="1348"/>
      <c r="K7456" s="1348"/>
    </row>
    <row r="7457" spans="2:11" hidden="1">
      <c r="B7457" s="1348"/>
      <c r="C7457" s="1348"/>
      <c r="D7457" s="1348"/>
      <c r="E7457" s="1348"/>
      <c r="F7457" s="1348"/>
      <c r="G7457" s="1348"/>
      <c r="H7457" s="1348"/>
      <c r="I7457" s="1348"/>
      <c r="J7457" s="1348"/>
      <c r="K7457" s="1348"/>
    </row>
    <row r="7458" spans="2:11" hidden="1">
      <c r="B7458" s="1348"/>
      <c r="C7458" s="1348"/>
      <c r="D7458" s="1348"/>
      <c r="E7458" s="1348"/>
      <c r="F7458" s="1348"/>
      <c r="G7458" s="1348"/>
      <c r="H7458" s="1348"/>
      <c r="I7458" s="1348"/>
      <c r="J7458" s="1348"/>
      <c r="K7458" s="1348"/>
    </row>
    <row r="7459" spans="2:11" hidden="1">
      <c r="B7459" s="1348"/>
      <c r="C7459" s="1348"/>
      <c r="D7459" s="1348"/>
      <c r="E7459" s="1348"/>
      <c r="F7459" s="1348"/>
      <c r="G7459" s="1348"/>
      <c r="H7459" s="1348"/>
      <c r="I7459" s="1348"/>
      <c r="J7459" s="1348"/>
      <c r="K7459" s="1348"/>
    </row>
    <row r="7460" spans="2:11" hidden="1">
      <c r="B7460" s="1348"/>
      <c r="C7460" s="1348"/>
      <c r="D7460" s="1348"/>
      <c r="E7460" s="1348"/>
      <c r="F7460" s="1348"/>
      <c r="G7460" s="1348"/>
      <c r="H7460" s="1348"/>
      <c r="I7460" s="1348"/>
      <c r="J7460" s="1348"/>
      <c r="K7460" s="1348"/>
    </row>
    <row r="7461" spans="2:11" hidden="1">
      <c r="B7461" s="1348"/>
      <c r="C7461" s="1348"/>
      <c r="D7461" s="1348"/>
      <c r="E7461" s="1348"/>
      <c r="F7461" s="1348"/>
      <c r="G7461" s="1348"/>
      <c r="H7461" s="1348"/>
      <c r="I7461" s="1348"/>
      <c r="J7461" s="1348"/>
      <c r="K7461" s="1348"/>
    </row>
    <row r="7462" spans="2:11" hidden="1">
      <c r="B7462" s="1348"/>
      <c r="C7462" s="1348"/>
      <c r="D7462" s="1348"/>
      <c r="E7462" s="1348"/>
      <c r="F7462" s="1348"/>
      <c r="G7462" s="1348"/>
      <c r="H7462" s="1348"/>
      <c r="I7462" s="1348"/>
      <c r="J7462" s="1348"/>
      <c r="K7462" s="1348"/>
    </row>
    <row r="7463" spans="2:11" hidden="1">
      <c r="B7463" s="1348"/>
      <c r="C7463" s="1348"/>
      <c r="D7463" s="1348"/>
      <c r="E7463" s="1348"/>
      <c r="F7463" s="1348"/>
      <c r="G7463" s="1348"/>
      <c r="H7463" s="1348"/>
      <c r="I7463" s="1348"/>
      <c r="J7463" s="1348"/>
      <c r="K7463" s="1348"/>
    </row>
    <row r="7464" spans="2:11" hidden="1">
      <c r="B7464" s="1348"/>
      <c r="C7464" s="1348"/>
      <c r="D7464" s="1348"/>
      <c r="E7464" s="1348"/>
      <c r="F7464" s="1348"/>
      <c r="G7464" s="1348"/>
      <c r="H7464" s="1348"/>
      <c r="I7464" s="1348"/>
      <c r="J7464" s="1348"/>
      <c r="K7464" s="1348"/>
    </row>
    <row r="7465" spans="2:11" hidden="1">
      <c r="B7465" s="1348"/>
      <c r="C7465" s="1348"/>
      <c r="D7465" s="1348"/>
      <c r="E7465" s="1348"/>
      <c r="F7465" s="1348"/>
      <c r="G7465" s="1348"/>
      <c r="H7465" s="1348"/>
      <c r="I7465" s="1348"/>
      <c r="J7465" s="1348"/>
      <c r="K7465" s="1348"/>
    </row>
    <row r="7466" spans="2:11" hidden="1">
      <c r="B7466" s="1348"/>
      <c r="C7466" s="1348"/>
      <c r="D7466" s="1348"/>
      <c r="E7466" s="1348"/>
      <c r="F7466" s="1348"/>
      <c r="G7466" s="1348"/>
      <c r="H7466" s="1348"/>
      <c r="I7466" s="1348"/>
      <c r="J7466" s="1348"/>
      <c r="K7466" s="1348"/>
    </row>
    <row r="7467" spans="2:11" hidden="1">
      <c r="B7467" s="1348"/>
      <c r="C7467" s="1348"/>
      <c r="D7467" s="1348"/>
      <c r="E7467" s="1348"/>
      <c r="F7467" s="1348"/>
      <c r="G7467" s="1348"/>
      <c r="H7467" s="1348"/>
      <c r="I7467" s="1348"/>
      <c r="J7467" s="1348"/>
      <c r="K7467" s="1348"/>
    </row>
    <row r="7468" spans="2:11" hidden="1">
      <c r="B7468" s="1348"/>
      <c r="C7468" s="1348"/>
      <c r="D7468" s="1348"/>
      <c r="E7468" s="1348"/>
      <c r="F7468" s="1348"/>
      <c r="G7468" s="1348"/>
      <c r="H7468" s="1348"/>
      <c r="I7468" s="1348"/>
      <c r="J7468" s="1348"/>
      <c r="K7468" s="1348"/>
    </row>
    <row r="7469" spans="2:11" hidden="1">
      <c r="B7469" s="1348"/>
      <c r="C7469" s="1348"/>
      <c r="D7469" s="1348"/>
      <c r="E7469" s="1348"/>
      <c r="F7469" s="1348"/>
      <c r="G7469" s="1348"/>
      <c r="H7469" s="1348"/>
      <c r="I7469" s="1348"/>
      <c r="J7469" s="1348"/>
      <c r="K7469" s="1348"/>
    </row>
    <row r="7470" spans="2:11" hidden="1">
      <c r="B7470" s="1348"/>
      <c r="C7470" s="1348"/>
      <c r="D7470" s="1348"/>
      <c r="E7470" s="1348"/>
      <c r="F7470" s="1348"/>
      <c r="G7470" s="1348"/>
      <c r="H7470" s="1348"/>
      <c r="I7470" s="1348"/>
      <c r="J7470" s="1348"/>
      <c r="K7470" s="1348"/>
    </row>
    <row r="7471" spans="2:11" hidden="1">
      <c r="B7471" s="1348"/>
      <c r="C7471" s="1348"/>
      <c r="D7471" s="1348"/>
      <c r="E7471" s="1348"/>
      <c r="F7471" s="1348"/>
      <c r="G7471" s="1348"/>
      <c r="H7471" s="1348"/>
      <c r="I7471" s="1348"/>
      <c r="J7471" s="1348"/>
      <c r="K7471" s="1348"/>
    </row>
    <row r="7472" spans="2:11" hidden="1">
      <c r="B7472" s="1348"/>
      <c r="C7472" s="1348"/>
      <c r="D7472" s="1348"/>
      <c r="E7472" s="1348"/>
      <c r="F7472" s="1348"/>
      <c r="G7472" s="1348"/>
      <c r="H7472" s="1348"/>
      <c r="I7472" s="1348"/>
      <c r="J7472" s="1348"/>
      <c r="K7472" s="1348"/>
    </row>
    <row r="7473" spans="2:11" hidden="1">
      <c r="B7473" s="1348"/>
      <c r="C7473" s="1348"/>
      <c r="D7473" s="1348"/>
      <c r="E7473" s="1348"/>
      <c r="F7473" s="1348"/>
      <c r="G7473" s="1348"/>
      <c r="H7473" s="1348"/>
      <c r="I7473" s="1348"/>
      <c r="J7473" s="1348"/>
      <c r="K7473" s="1348"/>
    </row>
    <row r="7474" spans="2:11" hidden="1">
      <c r="B7474" s="1348"/>
      <c r="C7474" s="1348"/>
      <c r="D7474" s="1348"/>
      <c r="E7474" s="1348"/>
      <c r="F7474" s="1348"/>
      <c r="G7474" s="1348"/>
      <c r="H7474" s="1348"/>
      <c r="I7474" s="1348"/>
      <c r="J7474" s="1348"/>
      <c r="K7474" s="1348"/>
    </row>
    <row r="7475" spans="2:11" hidden="1">
      <c r="B7475" s="1348"/>
      <c r="C7475" s="1348"/>
      <c r="D7475" s="1348"/>
      <c r="E7475" s="1348"/>
      <c r="F7475" s="1348"/>
      <c r="G7475" s="1348"/>
      <c r="H7475" s="1348"/>
      <c r="I7475" s="1348"/>
      <c r="J7475" s="1348"/>
      <c r="K7475" s="1348"/>
    </row>
    <row r="7476" spans="2:11" hidden="1">
      <c r="B7476" s="1348"/>
      <c r="C7476" s="1348"/>
      <c r="D7476" s="1348"/>
      <c r="E7476" s="1348"/>
      <c r="F7476" s="1348"/>
      <c r="G7476" s="1348"/>
      <c r="H7476" s="1348"/>
      <c r="I7476" s="1348"/>
      <c r="J7476" s="1348"/>
      <c r="K7476" s="1348"/>
    </row>
    <row r="7477" spans="2:11" hidden="1">
      <c r="B7477" s="1348"/>
      <c r="C7477" s="1348"/>
      <c r="D7477" s="1348"/>
      <c r="E7477" s="1348"/>
      <c r="F7477" s="1348"/>
      <c r="G7477" s="1348"/>
      <c r="H7477" s="1348"/>
      <c r="I7477" s="1348"/>
      <c r="J7477" s="1348"/>
      <c r="K7477" s="1348"/>
    </row>
    <row r="7478" spans="2:11" hidden="1">
      <c r="B7478" s="1348"/>
      <c r="C7478" s="1348"/>
      <c r="D7478" s="1348"/>
      <c r="E7478" s="1348"/>
      <c r="F7478" s="1348"/>
      <c r="G7478" s="1348"/>
      <c r="H7478" s="1348"/>
      <c r="I7478" s="1348"/>
      <c r="J7478" s="1348"/>
      <c r="K7478" s="1348"/>
    </row>
    <row r="7479" spans="2:11" hidden="1">
      <c r="B7479" s="1348"/>
      <c r="C7479" s="1348"/>
      <c r="D7479" s="1348"/>
      <c r="E7479" s="1348"/>
      <c r="F7479" s="1348"/>
      <c r="G7479" s="1348"/>
      <c r="H7479" s="1348"/>
      <c r="I7479" s="1348"/>
      <c r="J7479" s="1348"/>
      <c r="K7479" s="1348"/>
    </row>
    <row r="7480" spans="2:11" hidden="1">
      <c r="B7480" s="1348"/>
      <c r="C7480" s="1348"/>
      <c r="D7480" s="1348"/>
      <c r="E7480" s="1348"/>
      <c r="F7480" s="1348"/>
      <c r="G7480" s="1348"/>
      <c r="H7480" s="1348"/>
      <c r="I7480" s="1348"/>
      <c r="J7480" s="1348"/>
      <c r="K7480" s="1348"/>
    </row>
    <row r="7481" spans="2:11" hidden="1">
      <c r="B7481" s="1348"/>
      <c r="C7481" s="1348"/>
      <c r="D7481" s="1348"/>
      <c r="E7481" s="1348"/>
      <c r="F7481" s="1348"/>
      <c r="G7481" s="1348"/>
      <c r="H7481" s="1348"/>
      <c r="I7481" s="1348"/>
      <c r="J7481" s="1348"/>
      <c r="K7481" s="1348"/>
    </row>
    <row r="7482" spans="2:11" hidden="1">
      <c r="B7482" s="1348"/>
      <c r="C7482" s="1348"/>
      <c r="D7482" s="1348"/>
      <c r="E7482" s="1348"/>
      <c r="F7482" s="1348"/>
      <c r="G7482" s="1348"/>
      <c r="H7482" s="1348"/>
      <c r="I7482" s="1348"/>
      <c r="J7482" s="1348"/>
      <c r="K7482" s="1348"/>
    </row>
    <row r="7483" spans="2:11" hidden="1">
      <c r="B7483" s="1348"/>
      <c r="C7483" s="1348"/>
      <c r="D7483" s="1348"/>
      <c r="E7483" s="1348"/>
      <c r="F7483" s="1348"/>
      <c r="G7483" s="1348"/>
      <c r="H7483" s="1348"/>
      <c r="I7483" s="1348"/>
      <c r="J7483" s="1348"/>
      <c r="K7483" s="1348"/>
    </row>
    <row r="7484" spans="2:11" hidden="1">
      <c r="B7484" s="1348"/>
      <c r="C7484" s="1348"/>
      <c r="D7484" s="1348"/>
      <c r="E7484" s="1348"/>
      <c r="F7484" s="1348"/>
      <c r="G7484" s="1348"/>
      <c r="H7484" s="1348"/>
      <c r="I7484" s="1348"/>
      <c r="J7484" s="1348"/>
      <c r="K7484" s="1348"/>
    </row>
    <row r="7485" spans="2:11" hidden="1">
      <c r="B7485" s="1348"/>
      <c r="C7485" s="1348"/>
      <c r="D7485" s="1348"/>
      <c r="E7485" s="1348"/>
      <c r="F7485" s="1348"/>
      <c r="G7485" s="1348"/>
      <c r="H7485" s="1348"/>
      <c r="I7485" s="1348"/>
      <c r="J7485" s="1348"/>
      <c r="K7485" s="1348"/>
    </row>
    <row r="7486" spans="2:11" hidden="1">
      <c r="B7486" s="1348"/>
      <c r="C7486" s="1348"/>
      <c r="D7486" s="1348"/>
      <c r="E7486" s="1348"/>
      <c r="F7486" s="1348"/>
      <c r="G7486" s="1348"/>
      <c r="H7486" s="1348"/>
      <c r="I7486" s="1348"/>
      <c r="J7486" s="1348"/>
      <c r="K7486" s="1348"/>
    </row>
    <row r="7487" spans="2:11" hidden="1">
      <c r="B7487" s="1348"/>
      <c r="C7487" s="1348"/>
      <c r="D7487" s="1348"/>
      <c r="E7487" s="1348"/>
      <c r="F7487" s="1348"/>
      <c r="G7487" s="1348"/>
      <c r="H7487" s="1348"/>
      <c r="I7487" s="1348"/>
      <c r="J7487" s="1348"/>
      <c r="K7487" s="1348"/>
    </row>
    <row r="7488" spans="2:11" hidden="1">
      <c r="B7488" s="1348"/>
      <c r="C7488" s="1348"/>
      <c r="D7488" s="1348"/>
      <c r="E7488" s="1348"/>
      <c r="F7488" s="1348"/>
      <c r="G7488" s="1348"/>
      <c r="H7488" s="1348"/>
      <c r="I7488" s="1348"/>
      <c r="J7488" s="1348"/>
      <c r="K7488" s="1348"/>
    </row>
    <row r="7489" spans="2:11" hidden="1">
      <c r="B7489" s="1348"/>
      <c r="C7489" s="1348"/>
      <c r="D7489" s="1348"/>
      <c r="E7489" s="1348"/>
      <c r="F7489" s="1348"/>
      <c r="G7489" s="1348"/>
      <c r="H7489" s="1348"/>
      <c r="I7489" s="1348"/>
      <c r="J7489" s="1348"/>
      <c r="K7489" s="1348"/>
    </row>
    <row r="7490" spans="2:11" hidden="1">
      <c r="B7490" s="1348"/>
      <c r="C7490" s="1348"/>
      <c r="D7490" s="1348"/>
      <c r="E7490" s="1348"/>
      <c r="F7490" s="1348"/>
      <c r="G7490" s="1348"/>
      <c r="H7490" s="1348"/>
      <c r="I7490" s="1348"/>
      <c r="J7490" s="1348"/>
      <c r="K7490" s="1348"/>
    </row>
    <row r="7491" spans="2:11" hidden="1">
      <c r="B7491" s="1348"/>
      <c r="C7491" s="1348"/>
      <c r="D7491" s="1348"/>
      <c r="E7491" s="1348"/>
      <c r="F7491" s="1348"/>
      <c r="G7491" s="1348"/>
      <c r="H7491" s="1348"/>
      <c r="I7491" s="1348"/>
      <c r="J7491" s="1348"/>
      <c r="K7491" s="1348"/>
    </row>
    <row r="7492" spans="2:11" hidden="1">
      <c r="B7492" s="1348"/>
      <c r="C7492" s="1348"/>
      <c r="D7492" s="1348"/>
      <c r="E7492" s="1348"/>
      <c r="F7492" s="1348"/>
      <c r="G7492" s="1348"/>
      <c r="H7492" s="1348"/>
      <c r="I7492" s="1348"/>
      <c r="J7492" s="1348"/>
      <c r="K7492" s="1348"/>
    </row>
    <row r="7493" spans="2:11" hidden="1">
      <c r="B7493" s="1348"/>
      <c r="C7493" s="1348"/>
      <c r="D7493" s="1348"/>
      <c r="E7493" s="1348"/>
      <c r="F7493" s="1348"/>
      <c r="G7493" s="1348"/>
      <c r="H7493" s="1348"/>
      <c r="I7493" s="1348"/>
      <c r="J7493" s="1348"/>
      <c r="K7493" s="1348"/>
    </row>
    <row r="7494" spans="2:11" hidden="1">
      <c r="B7494" s="1348"/>
      <c r="C7494" s="1348"/>
      <c r="D7494" s="1348"/>
      <c r="E7494" s="1348"/>
      <c r="F7494" s="1348"/>
      <c r="G7494" s="1348"/>
      <c r="H7494" s="1348"/>
      <c r="I7494" s="1348"/>
      <c r="J7494" s="1348"/>
      <c r="K7494" s="1348"/>
    </row>
    <row r="7495" spans="2:11" hidden="1">
      <c r="B7495" s="1348"/>
      <c r="C7495" s="1348"/>
      <c r="D7495" s="1348"/>
      <c r="E7495" s="1348"/>
      <c r="F7495" s="1348"/>
      <c r="G7495" s="1348"/>
      <c r="H7495" s="1348"/>
      <c r="I7495" s="1348"/>
      <c r="J7495" s="1348"/>
      <c r="K7495" s="1348"/>
    </row>
    <row r="7496" spans="2:11" hidden="1">
      <c r="B7496" s="1348"/>
      <c r="C7496" s="1348"/>
      <c r="D7496" s="1348"/>
      <c r="E7496" s="1348"/>
      <c r="F7496" s="1348"/>
      <c r="G7496" s="1348"/>
      <c r="H7496" s="1348"/>
      <c r="I7496" s="1348"/>
      <c r="J7496" s="1348"/>
      <c r="K7496" s="1348"/>
    </row>
    <row r="7497" spans="2:11" hidden="1">
      <c r="B7497" s="1348"/>
      <c r="C7497" s="1348"/>
      <c r="D7497" s="1348"/>
      <c r="E7497" s="1348"/>
      <c r="F7497" s="1348"/>
      <c r="G7497" s="1348"/>
      <c r="H7497" s="1348"/>
      <c r="I7497" s="1348"/>
      <c r="J7497" s="1348"/>
      <c r="K7497" s="1348"/>
    </row>
    <row r="7498" spans="2:11" hidden="1">
      <c r="B7498" s="1348"/>
      <c r="C7498" s="1348"/>
      <c r="D7498" s="1348"/>
      <c r="E7498" s="1348"/>
      <c r="F7498" s="1348"/>
      <c r="G7498" s="1348"/>
      <c r="H7498" s="1348"/>
      <c r="I7498" s="1348"/>
      <c r="J7498" s="1348"/>
      <c r="K7498" s="1348"/>
    </row>
    <row r="7499" spans="2:11" hidden="1">
      <c r="B7499" s="1348"/>
      <c r="C7499" s="1348"/>
      <c r="D7499" s="1348"/>
      <c r="E7499" s="1348"/>
      <c r="F7499" s="1348"/>
      <c r="G7499" s="1348"/>
      <c r="H7499" s="1348"/>
      <c r="I7499" s="1348"/>
      <c r="J7499" s="1348"/>
      <c r="K7499" s="1348"/>
    </row>
    <row r="7500" spans="2:11" hidden="1">
      <c r="B7500" s="1348"/>
      <c r="C7500" s="1348"/>
      <c r="D7500" s="1348"/>
      <c r="E7500" s="1348"/>
      <c r="F7500" s="1348"/>
      <c r="G7500" s="1348"/>
      <c r="H7500" s="1348"/>
      <c r="I7500" s="1348"/>
      <c r="J7500" s="1348"/>
      <c r="K7500" s="1348"/>
    </row>
    <row r="7501" spans="2:11" hidden="1">
      <c r="B7501" s="1348"/>
      <c r="C7501" s="1348"/>
      <c r="D7501" s="1348"/>
      <c r="E7501" s="1348"/>
      <c r="F7501" s="1348"/>
      <c r="G7501" s="1348"/>
      <c r="H7501" s="1348"/>
      <c r="I7501" s="1348"/>
      <c r="J7501" s="1348"/>
      <c r="K7501" s="1348"/>
    </row>
    <row r="7502" spans="2:11" hidden="1">
      <c r="B7502" s="1348"/>
      <c r="C7502" s="1348"/>
      <c r="D7502" s="1348"/>
      <c r="E7502" s="1348"/>
      <c r="F7502" s="1348"/>
      <c r="G7502" s="1348"/>
      <c r="H7502" s="1348"/>
      <c r="I7502" s="1348"/>
      <c r="J7502" s="1348"/>
      <c r="K7502" s="1348"/>
    </row>
    <row r="7503" spans="2:11" hidden="1">
      <c r="B7503" s="1348"/>
      <c r="C7503" s="1348"/>
      <c r="D7503" s="1348"/>
      <c r="E7503" s="1348"/>
      <c r="F7503" s="1348"/>
      <c r="G7503" s="1348"/>
      <c r="H7503" s="1348"/>
      <c r="I7503" s="1348"/>
      <c r="J7503" s="1348"/>
      <c r="K7503" s="1348"/>
    </row>
    <row r="7504" spans="2:11" hidden="1">
      <c r="B7504" s="1348"/>
      <c r="C7504" s="1348"/>
      <c r="D7504" s="1348"/>
      <c r="E7504" s="1348"/>
      <c r="F7504" s="1348"/>
      <c r="G7504" s="1348"/>
      <c r="H7504" s="1348"/>
      <c r="I7504" s="1348"/>
      <c r="J7504" s="1348"/>
      <c r="K7504" s="1348"/>
    </row>
    <row r="7505" spans="2:11" hidden="1">
      <c r="B7505" s="1348"/>
      <c r="C7505" s="1348"/>
      <c r="D7505" s="1348"/>
      <c r="E7505" s="1348"/>
      <c r="F7505" s="1348"/>
      <c r="G7505" s="1348"/>
      <c r="H7505" s="1348"/>
      <c r="I7505" s="1348"/>
      <c r="J7505" s="1348"/>
      <c r="K7505" s="1348"/>
    </row>
    <row r="7506" spans="2:11" hidden="1">
      <c r="B7506" s="1348"/>
      <c r="C7506" s="1348"/>
      <c r="D7506" s="1348"/>
      <c r="E7506" s="1348"/>
      <c r="F7506" s="1348"/>
      <c r="G7506" s="1348"/>
      <c r="H7506" s="1348"/>
      <c r="I7506" s="1348"/>
      <c r="J7506" s="1348"/>
      <c r="K7506" s="1348"/>
    </row>
    <row r="7507" spans="2:11" hidden="1">
      <c r="B7507" s="1348"/>
      <c r="C7507" s="1348"/>
      <c r="D7507" s="1348"/>
      <c r="E7507" s="1348"/>
      <c r="F7507" s="1348"/>
      <c r="G7507" s="1348"/>
      <c r="H7507" s="1348"/>
      <c r="I7507" s="1348"/>
      <c r="J7507" s="1348"/>
      <c r="K7507" s="1348"/>
    </row>
    <row r="7508" spans="2:11" hidden="1">
      <c r="B7508" s="1348"/>
      <c r="C7508" s="1348"/>
      <c r="D7508" s="1348"/>
      <c r="E7508" s="1348"/>
      <c r="F7508" s="1348"/>
      <c r="G7508" s="1348"/>
      <c r="H7508" s="1348"/>
      <c r="I7508" s="1348"/>
      <c r="J7508" s="1348"/>
      <c r="K7508" s="1348"/>
    </row>
    <row r="7509" spans="2:11" hidden="1">
      <c r="B7509" s="1348"/>
      <c r="C7509" s="1348"/>
      <c r="D7509" s="1348"/>
      <c r="E7509" s="1348"/>
      <c r="F7509" s="1348"/>
      <c r="G7509" s="1348"/>
      <c r="H7509" s="1348"/>
      <c r="I7509" s="1348"/>
      <c r="J7509" s="1348"/>
      <c r="K7509" s="1348"/>
    </row>
    <row r="7510" spans="2:11" hidden="1">
      <c r="B7510" s="1348"/>
      <c r="C7510" s="1348"/>
      <c r="D7510" s="1348"/>
      <c r="E7510" s="1348"/>
      <c r="F7510" s="1348"/>
      <c r="G7510" s="1348"/>
      <c r="H7510" s="1348"/>
      <c r="I7510" s="1348"/>
      <c r="J7510" s="1348"/>
      <c r="K7510" s="1348"/>
    </row>
    <row r="7511" spans="2:11" hidden="1">
      <c r="B7511" s="1348"/>
      <c r="C7511" s="1348"/>
      <c r="D7511" s="1348"/>
      <c r="E7511" s="1348"/>
      <c r="F7511" s="1348"/>
      <c r="G7511" s="1348"/>
      <c r="H7511" s="1348"/>
      <c r="I7511" s="1348"/>
      <c r="J7511" s="1348"/>
      <c r="K7511" s="1348"/>
    </row>
    <row r="7512" spans="2:11" hidden="1">
      <c r="B7512" s="1348"/>
      <c r="C7512" s="1348"/>
      <c r="D7512" s="1348"/>
      <c r="E7512" s="1348"/>
      <c r="F7512" s="1348"/>
      <c r="G7512" s="1348"/>
      <c r="H7512" s="1348"/>
      <c r="I7512" s="1348"/>
      <c r="J7512" s="1348"/>
      <c r="K7512" s="1348"/>
    </row>
    <row r="7513" spans="2:11" hidden="1">
      <c r="B7513" s="1348"/>
      <c r="C7513" s="1348"/>
      <c r="D7513" s="1348"/>
      <c r="E7513" s="1348"/>
      <c r="F7513" s="1348"/>
      <c r="G7513" s="1348"/>
      <c r="H7513" s="1348"/>
      <c r="I7513" s="1348"/>
      <c r="J7513" s="1348"/>
      <c r="K7513" s="1348"/>
    </row>
    <row r="7514" spans="2:11" hidden="1">
      <c r="B7514" s="1348"/>
      <c r="C7514" s="1348"/>
      <c r="D7514" s="1348"/>
      <c r="E7514" s="1348"/>
      <c r="F7514" s="1348"/>
      <c r="G7514" s="1348"/>
      <c r="H7514" s="1348"/>
      <c r="I7514" s="1348"/>
      <c r="J7514" s="1348"/>
      <c r="K7514" s="1348"/>
    </row>
    <row r="7515" spans="2:11" hidden="1">
      <c r="B7515" s="1348"/>
      <c r="C7515" s="1348"/>
      <c r="D7515" s="1348"/>
      <c r="E7515" s="1348"/>
      <c r="F7515" s="1348"/>
      <c r="G7515" s="1348"/>
      <c r="H7515" s="1348"/>
      <c r="I7515" s="1348"/>
      <c r="J7515" s="1348"/>
      <c r="K7515" s="1348"/>
    </row>
    <row r="7516" spans="2:11" hidden="1">
      <c r="B7516" s="1348"/>
      <c r="C7516" s="1348"/>
      <c r="D7516" s="1348"/>
      <c r="E7516" s="1348"/>
      <c r="F7516" s="1348"/>
      <c r="G7516" s="1348"/>
      <c r="H7516" s="1348"/>
      <c r="I7516" s="1348"/>
      <c r="J7516" s="1348"/>
      <c r="K7516" s="1348"/>
    </row>
    <row r="7517" spans="2:11" hidden="1">
      <c r="B7517" s="1348"/>
      <c r="C7517" s="1348"/>
      <c r="D7517" s="1348"/>
      <c r="E7517" s="1348"/>
      <c r="F7517" s="1348"/>
      <c r="G7517" s="1348"/>
      <c r="H7517" s="1348"/>
      <c r="I7517" s="1348"/>
      <c r="J7517" s="1348"/>
      <c r="K7517" s="1348"/>
    </row>
    <row r="7518" spans="2:11" hidden="1">
      <c r="B7518" s="1348"/>
      <c r="C7518" s="1348"/>
      <c r="D7518" s="1348"/>
      <c r="E7518" s="1348"/>
      <c r="F7518" s="1348"/>
      <c r="G7518" s="1348"/>
      <c r="H7518" s="1348"/>
      <c r="I7518" s="1348"/>
      <c r="J7518" s="1348"/>
      <c r="K7518" s="1348"/>
    </row>
    <row r="7519" spans="2:11" hidden="1">
      <c r="B7519" s="1348"/>
      <c r="C7519" s="1348"/>
      <c r="D7519" s="1348"/>
      <c r="E7519" s="1348"/>
      <c r="F7519" s="1348"/>
      <c r="G7519" s="1348"/>
      <c r="H7519" s="1348"/>
      <c r="I7519" s="1348"/>
      <c r="J7519" s="1348"/>
      <c r="K7519" s="1348"/>
    </row>
    <row r="7520" spans="2:11" hidden="1">
      <c r="B7520" s="1348"/>
      <c r="C7520" s="1348"/>
      <c r="D7520" s="1348"/>
      <c r="E7520" s="1348"/>
      <c r="F7520" s="1348"/>
      <c r="G7520" s="1348"/>
      <c r="H7520" s="1348"/>
      <c r="I7520" s="1348"/>
      <c r="J7520" s="1348"/>
      <c r="K7520" s="1348"/>
    </row>
    <row r="7521" spans="2:11" hidden="1">
      <c r="B7521" s="1348"/>
      <c r="C7521" s="1348"/>
      <c r="D7521" s="1348"/>
      <c r="E7521" s="1348"/>
      <c r="F7521" s="1348"/>
      <c r="G7521" s="1348"/>
      <c r="H7521" s="1348"/>
      <c r="I7521" s="1348"/>
      <c r="J7521" s="1348"/>
      <c r="K7521" s="1348"/>
    </row>
    <row r="7522" spans="2:11" hidden="1">
      <c r="B7522" s="1348"/>
      <c r="C7522" s="1348"/>
      <c r="D7522" s="1348"/>
      <c r="E7522" s="1348"/>
      <c r="F7522" s="1348"/>
      <c r="G7522" s="1348"/>
      <c r="H7522" s="1348"/>
      <c r="I7522" s="1348"/>
      <c r="J7522" s="1348"/>
      <c r="K7522" s="1348"/>
    </row>
    <row r="7523" spans="2:11" hidden="1">
      <c r="B7523" s="1348"/>
      <c r="C7523" s="1348"/>
      <c r="D7523" s="1348"/>
      <c r="E7523" s="1348"/>
      <c r="F7523" s="1348"/>
      <c r="G7523" s="1348"/>
      <c r="H7523" s="1348"/>
      <c r="I7523" s="1348"/>
      <c r="J7523" s="1348"/>
      <c r="K7523" s="1348"/>
    </row>
    <row r="7524" spans="2:11" hidden="1">
      <c r="B7524" s="1348"/>
      <c r="C7524" s="1348"/>
      <c r="D7524" s="1348"/>
      <c r="E7524" s="1348"/>
      <c r="F7524" s="1348"/>
      <c r="G7524" s="1348"/>
      <c r="H7524" s="1348"/>
      <c r="I7524" s="1348"/>
      <c r="J7524" s="1348"/>
      <c r="K7524" s="1348"/>
    </row>
    <row r="7525" spans="2:11" hidden="1">
      <c r="B7525" s="1348"/>
      <c r="C7525" s="1348"/>
      <c r="D7525" s="1348"/>
      <c r="E7525" s="1348"/>
      <c r="F7525" s="1348"/>
      <c r="G7525" s="1348"/>
      <c r="H7525" s="1348"/>
      <c r="I7525" s="1348"/>
      <c r="J7525" s="1348"/>
      <c r="K7525" s="1348"/>
    </row>
    <row r="7526" spans="2:11" hidden="1">
      <c r="B7526" s="1348"/>
      <c r="C7526" s="1348"/>
      <c r="D7526" s="1348"/>
      <c r="E7526" s="1348"/>
      <c r="F7526" s="1348"/>
      <c r="G7526" s="1348"/>
      <c r="H7526" s="1348"/>
      <c r="I7526" s="1348"/>
      <c r="J7526" s="1348"/>
      <c r="K7526" s="1348"/>
    </row>
    <row r="7527" spans="2:11" hidden="1">
      <c r="B7527" s="1348"/>
      <c r="C7527" s="1348"/>
      <c r="D7527" s="1348"/>
      <c r="E7527" s="1348"/>
      <c r="F7527" s="1348"/>
      <c r="G7527" s="1348"/>
      <c r="H7527" s="1348"/>
      <c r="I7527" s="1348"/>
      <c r="J7527" s="1348"/>
      <c r="K7527" s="1348"/>
    </row>
    <row r="7528" spans="2:11" hidden="1">
      <c r="B7528" s="1348"/>
      <c r="C7528" s="1348"/>
      <c r="D7528" s="1348"/>
      <c r="E7528" s="1348"/>
      <c r="F7528" s="1348"/>
      <c r="G7528" s="1348"/>
      <c r="H7528" s="1348"/>
      <c r="I7528" s="1348"/>
      <c r="J7528" s="1348"/>
      <c r="K7528" s="1348"/>
    </row>
    <row r="7529" spans="2:11" hidden="1">
      <c r="B7529" s="1348"/>
      <c r="C7529" s="1348"/>
      <c r="D7529" s="1348"/>
      <c r="E7529" s="1348"/>
      <c r="F7529" s="1348"/>
      <c r="G7529" s="1348"/>
      <c r="H7529" s="1348"/>
      <c r="I7529" s="1348"/>
      <c r="J7529" s="1348"/>
      <c r="K7529" s="1348"/>
    </row>
    <row r="7530" spans="2:11" hidden="1">
      <c r="B7530" s="1348"/>
      <c r="C7530" s="1348"/>
      <c r="D7530" s="1348"/>
      <c r="E7530" s="1348"/>
      <c r="F7530" s="1348"/>
      <c r="G7530" s="1348"/>
      <c r="H7530" s="1348"/>
      <c r="I7530" s="1348"/>
      <c r="J7530" s="1348"/>
      <c r="K7530" s="1348"/>
    </row>
    <row r="7531" spans="2:11" hidden="1">
      <c r="B7531" s="1348"/>
      <c r="C7531" s="1348"/>
      <c r="D7531" s="1348"/>
      <c r="E7531" s="1348"/>
      <c r="F7531" s="1348"/>
      <c r="G7531" s="1348"/>
      <c r="H7531" s="1348"/>
      <c r="I7531" s="1348"/>
      <c r="J7531" s="1348"/>
      <c r="K7531" s="1348"/>
    </row>
    <row r="7532" spans="2:11" hidden="1">
      <c r="B7532" s="1348"/>
      <c r="C7532" s="1348"/>
      <c r="D7532" s="1348"/>
      <c r="E7532" s="1348"/>
      <c r="F7532" s="1348"/>
      <c r="G7532" s="1348"/>
      <c r="H7532" s="1348"/>
      <c r="I7532" s="1348"/>
      <c r="J7532" s="1348"/>
      <c r="K7532" s="1348"/>
    </row>
    <row r="7533" spans="2:11" hidden="1">
      <c r="B7533" s="1348"/>
      <c r="C7533" s="1348"/>
      <c r="D7533" s="1348"/>
      <c r="E7533" s="1348"/>
      <c r="F7533" s="1348"/>
      <c r="G7533" s="1348"/>
      <c r="H7533" s="1348"/>
      <c r="I7533" s="1348"/>
      <c r="J7533" s="1348"/>
      <c r="K7533" s="1348"/>
    </row>
    <row r="7534" spans="2:11" hidden="1">
      <c r="B7534" s="1348"/>
      <c r="C7534" s="1348"/>
      <c r="D7534" s="1348"/>
      <c r="E7534" s="1348"/>
      <c r="F7534" s="1348"/>
      <c r="G7534" s="1348"/>
      <c r="H7534" s="1348"/>
      <c r="I7534" s="1348"/>
      <c r="J7534" s="1348"/>
      <c r="K7534" s="1348"/>
    </row>
    <row r="7535" spans="2:11" hidden="1">
      <c r="B7535" s="1348"/>
      <c r="C7535" s="1348"/>
      <c r="D7535" s="1348"/>
      <c r="E7535" s="1348"/>
      <c r="F7535" s="1348"/>
      <c r="G7535" s="1348"/>
      <c r="H7535" s="1348"/>
      <c r="I7535" s="1348"/>
      <c r="J7535" s="1348"/>
      <c r="K7535" s="1348"/>
    </row>
    <row r="7536" spans="2:11" hidden="1">
      <c r="B7536" s="1348"/>
      <c r="C7536" s="1348"/>
      <c r="D7536" s="1348"/>
      <c r="E7536" s="1348"/>
      <c r="F7536" s="1348"/>
      <c r="G7536" s="1348"/>
      <c r="H7536" s="1348"/>
      <c r="I7536" s="1348"/>
      <c r="J7536" s="1348"/>
      <c r="K7536" s="1348"/>
    </row>
    <row r="7537" spans="2:11" hidden="1">
      <c r="B7537" s="1348"/>
      <c r="C7537" s="1348"/>
      <c r="D7537" s="1348"/>
      <c r="E7537" s="1348"/>
      <c r="F7537" s="1348"/>
      <c r="G7537" s="1348"/>
      <c r="H7537" s="1348"/>
      <c r="I7537" s="1348"/>
      <c r="J7537" s="1348"/>
      <c r="K7537" s="1348"/>
    </row>
    <row r="7538" spans="2:11" hidden="1">
      <c r="B7538" s="1348"/>
      <c r="C7538" s="1348"/>
      <c r="D7538" s="1348"/>
      <c r="E7538" s="1348"/>
      <c r="F7538" s="1348"/>
      <c r="G7538" s="1348"/>
      <c r="H7538" s="1348"/>
      <c r="I7538" s="1348"/>
      <c r="J7538" s="1348"/>
      <c r="K7538" s="1348"/>
    </row>
    <row r="7539" spans="2:11" hidden="1">
      <c r="B7539" s="1348"/>
      <c r="C7539" s="1348"/>
      <c r="D7539" s="1348"/>
      <c r="E7539" s="1348"/>
      <c r="F7539" s="1348"/>
      <c r="G7539" s="1348"/>
      <c r="H7539" s="1348"/>
      <c r="I7539" s="1348"/>
      <c r="J7539" s="1348"/>
      <c r="K7539" s="1348"/>
    </row>
    <row r="7540" spans="2:11" hidden="1">
      <c r="B7540" s="1348"/>
      <c r="C7540" s="1348"/>
      <c r="D7540" s="1348"/>
      <c r="E7540" s="1348"/>
      <c r="F7540" s="1348"/>
      <c r="G7540" s="1348"/>
      <c r="H7540" s="1348"/>
      <c r="I7540" s="1348"/>
      <c r="J7540" s="1348"/>
      <c r="K7540" s="1348"/>
    </row>
    <row r="7541" spans="2:11" hidden="1">
      <c r="B7541" s="1348"/>
      <c r="C7541" s="1348"/>
      <c r="D7541" s="1348"/>
      <c r="E7541" s="1348"/>
      <c r="F7541" s="1348"/>
      <c r="G7541" s="1348"/>
      <c r="H7541" s="1348"/>
      <c r="I7541" s="1348"/>
      <c r="J7541" s="1348"/>
      <c r="K7541" s="1348"/>
    </row>
    <row r="7542" spans="2:11" hidden="1">
      <c r="B7542" s="1348"/>
      <c r="C7542" s="1348"/>
      <c r="D7542" s="1348"/>
      <c r="E7542" s="1348"/>
      <c r="F7542" s="1348"/>
      <c r="G7542" s="1348"/>
      <c r="H7542" s="1348"/>
      <c r="I7542" s="1348"/>
      <c r="J7542" s="1348"/>
      <c r="K7542" s="1348"/>
    </row>
    <row r="7543" spans="2:11" hidden="1">
      <c r="B7543" s="1348"/>
      <c r="C7543" s="1348"/>
      <c r="D7543" s="1348"/>
      <c r="E7543" s="1348"/>
      <c r="F7543" s="1348"/>
      <c r="G7543" s="1348"/>
      <c r="H7543" s="1348"/>
      <c r="I7543" s="1348"/>
      <c r="J7543" s="1348"/>
      <c r="K7543" s="1348"/>
    </row>
    <row r="7544" spans="2:11" hidden="1">
      <c r="B7544" s="1348"/>
      <c r="C7544" s="1348"/>
      <c r="D7544" s="1348"/>
      <c r="E7544" s="1348"/>
      <c r="F7544" s="1348"/>
      <c r="G7544" s="1348"/>
      <c r="H7544" s="1348"/>
      <c r="I7544" s="1348"/>
      <c r="J7544" s="1348"/>
      <c r="K7544" s="1348"/>
    </row>
    <row r="7545" spans="2:11" hidden="1">
      <c r="B7545" s="1348"/>
      <c r="C7545" s="1348"/>
      <c r="D7545" s="1348"/>
      <c r="E7545" s="1348"/>
      <c r="F7545" s="1348"/>
      <c r="G7545" s="1348"/>
      <c r="H7545" s="1348"/>
      <c r="I7545" s="1348"/>
      <c r="J7545" s="1348"/>
      <c r="K7545" s="1348"/>
    </row>
    <row r="7546" spans="2:11" hidden="1">
      <c r="B7546" s="1348"/>
      <c r="C7546" s="1348"/>
      <c r="D7546" s="1348"/>
      <c r="E7546" s="1348"/>
      <c r="F7546" s="1348"/>
      <c r="G7546" s="1348"/>
      <c r="H7546" s="1348"/>
      <c r="I7546" s="1348"/>
      <c r="J7546" s="1348"/>
      <c r="K7546" s="1348"/>
    </row>
    <row r="7547" spans="2:11" hidden="1">
      <c r="B7547" s="1348"/>
      <c r="C7547" s="1348"/>
      <c r="D7547" s="1348"/>
      <c r="E7547" s="1348"/>
      <c r="F7547" s="1348"/>
      <c r="G7547" s="1348"/>
      <c r="H7547" s="1348"/>
      <c r="I7547" s="1348"/>
      <c r="J7547" s="1348"/>
      <c r="K7547" s="1348"/>
    </row>
    <row r="7548" spans="2:11" hidden="1">
      <c r="B7548" s="1348"/>
      <c r="C7548" s="1348"/>
      <c r="D7548" s="1348"/>
      <c r="E7548" s="1348"/>
      <c r="F7548" s="1348"/>
      <c r="G7548" s="1348"/>
      <c r="H7548" s="1348"/>
      <c r="I7548" s="1348"/>
      <c r="J7548" s="1348"/>
      <c r="K7548" s="1348"/>
    </row>
    <row r="7549" spans="2:11" hidden="1">
      <c r="B7549" s="1348"/>
      <c r="C7549" s="1348"/>
      <c r="D7549" s="1348"/>
      <c r="E7549" s="1348"/>
      <c r="F7549" s="1348"/>
      <c r="G7549" s="1348"/>
      <c r="H7549" s="1348"/>
      <c r="I7549" s="1348"/>
      <c r="J7549" s="1348"/>
      <c r="K7549" s="1348"/>
    </row>
    <row r="7550" spans="2:11" hidden="1">
      <c r="B7550" s="1348"/>
      <c r="C7550" s="1348"/>
      <c r="D7550" s="1348"/>
      <c r="E7550" s="1348"/>
      <c r="F7550" s="1348"/>
      <c r="G7550" s="1348"/>
      <c r="H7550" s="1348"/>
      <c r="I7550" s="1348"/>
      <c r="J7550" s="1348"/>
      <c r="K7550" s="1348"/>
    </row>
    <row r="7551" spans="2:11" hidden="1">
      <c r="B7551" s="1348"/>
      <c r="C7551" s="1348"/>
      <c r="D7551" s="1348"/>
      <c r="E7551" s="1348"/>
      <c r="F7551" s="1348"/>
      <c r="G7551" s="1348"/>
      <c r="H7551" s="1348"/>
      <c r="I7551" s="1348"/>
      <c r="J7551" s="1348"/>
      <c r="K7551" s="1348"/>
    </row>
    <row r="7552" spans="2:11" hidden="1">
      <c r="B7552" s="1348"/>
      <c r="C7552" s="1348"/>
      <c r="D7552" s="1348"/>
      <c r="E7552" s="1348"/>
      <c r="F7552" s="1348"/>
      <c r="G7552" s="1348"/>
      <c r="H7552" s="1348"/>
      <c r="I7552" s="1348"/>
      <c r="J7552" s="1348"/>
      <c r="K7552" s="1348"/>
    </row>
    <row r="7553" spans="2:11" hidden="1">
      <c r="B7553" s="1348"/>
      <c r="C7553" s="1348"/>
      <c r="D7553" s="1348"/>
      <c r="E7553" s="1348"/>
      <c r="F7553" s="1348"/>
      <c r="G7553" s="1348"/>
      <c r="H7553" s="1348"/>
      <c r="I7553" s="1348"/>
      <c r="J7553" s="1348"/>
      <c r="K7553" s="1348"/>
    </row>
    <row r="7554" spans="2:11" hidden="1">
      <c r="B7554" s="1348"/>
      <c r="C7554" s="1348"/>
      <c r="D7554" s="1348"/>
      <c r="E7554" s="1348"/>
      <c r="F7554" s="1348"/>
      <c r="G7554" s="1348"/>
      <c r="H7554" s="1348"/>
      <c r="I7554" s="1348"/>
      <c r="J7554" s="1348"/>
      <c r="K7554" s="1348"/>
    </row>
    <row r="7555" spans="2:11" hidden="1">
      <c r="B7555" s="1348"/>
      <c r="C7555" s="1348"/>
      <c r="D7555" s="1348"/>
      <c r="E7555" s="1348"/>
      <c r="F7555" s="1348"/>
      <c r="G7555" s="1348"/>
      <c r="H7555" s="1348"/>
      <c r="I7555" s="1348"/>
      <c r="J7555" s="1348"/>
      <c r="K7555" s="1348"/>
    </row>
    <row r="7556" spans="2:11" hidden="1">
      <c r="B7556" s="1348"/>
      <c r="C7556" s="1348"/>
      <c r="D7556" s="1348"/>
      <c r="E7556" s="1348"/>
      <c r="F7556" s="1348"/>
      <c r="G7556" s="1348"/>
      <c r="H7556" s="1348"/>
      <c r="I7556" s="1348"/>
      <c r="J7556" s="1348"/>
      <c r="K7556" s="1348"/>
    </row>
    <row r="7557" spans="2:11" hidden="1">
      <c r="B7557" s="1348"/>
      <c r="C7557" s="1348"/>
      <c r="D7557" s="1348"/>
      <c r="E7557" s="1348"/>
      <c r="F7557" s="1348"/>
      <c r="G7557" s="1348"/>
      <c r="H7557" s="1348"/>
      <c r="I7557" s="1348"/>
      <c r="J7557" s="1348"/>
      <c r="K7557" s="1348"/>
    </row>
    <row r="7558" spans="2:11" hidden="1">
      <c r="B7558" s="1348"/>
      <c r="C7558" s="1348"/>
      <c r="D7558" s="1348"/>
      <c r="E7558" s="1348"/>
      <c r="F7558" s="1348"/>
      <c r="G7558" s="1348"/>
      <c r="H7558" s="1348"/>
      <c r="I7558" s="1348"/>
      <c r="J7558" s="1348"/>
      <c r="K7558" s="1348"/>
    </row>
    <row r="7559" spans="2:11" hidden="1">
      <c r="B7559" s="1348"/>
      <c r="C7559" s="1348"/>
      <c r="D7559" s="1348"/>
      <c r="E7559" s="1348"/>
      <c r="F7559" s="1348"/>
      <c r="G7559" s="1348"/>
      <c r="H7559" s="1348"/>
      <c r="I7559" s="1348"/>
      <c r="J7559" s="1348"/>
      <c r="K7559" s="1348"/>
    </row>
    <row r="7560" spans="2:11" hidden="1">
      <c r="B7560" s="1348"/>
      <c r="C7560" s="1348"/>
      <c r="D7560" s="1348"/>
      <c r="E7560" s="1348"/>
      <c r="F7560" s="1348"/>
      <c r="G7560" s="1348"/>
      <c r="H7560" s="1348"/>
      <c r="I7560" s="1348"/>
      <c r="J7560" s="1348"/>
      <c r="K7560" s="1348"/>
    </row>
    <row r="7561" spans="2:11" hidden="1">
      <c r="B7561" s="1348"/>
      <c r="C7561" s="1348"/>
      <c r="D7561" s="1348"/>
      <c r="E7561" s="1348"/>
      <c r="F7561" s="1348"/>
      <c r="G7561" s="1348"/>
      <c r="H7561" s="1348"/>
      <c r="I7561" s="1348"/>
      <c r="J7561" s="1348"/>
      <c r="K7561" s="1348"/>
    </row>
    <row r="7562" spans="2:11" hidden="1">
      <c r="B7562" s="1348"/>
      <c r="C7562" s="1348"/>
      <c r="D7562" s="1348"/>
      <c r="E7562" s="1348"/>
      <c r="F7562" s="1348"/>
      <c r="G7562" s="1348"/>
      <c r="H7562" s="1348"/>
      <c r="I7562" s="1348"/>
      <c r="J7562" s="1348"/>
      <c r="K7562" s="1348"/>
    </row>
    <row r="7563" spans="2:11" hidden="1">
      <c r="B7563" s="1348"/>
      <c r="C7563" s="1348"/>
      <c r="D7563" s="1348"/>
      <c r="E7563" s="1348"/>
      <c r="F7563" s="1348"/>
      <c r="G7563" s="1348"/>
      <c r="H7563" s="1348"/>
      <c r="I7563" s="1348"/>
      <c r="J7563" s="1348"/>
      <c r="K7563" s="1348"/>
    </row>
    <row r="7564" spans="2:11" hidden="1">
      <c r="B7564" s="1348"/>
      <c r="C7564" s="1348"/>
      <c r="D7564" s="1348"/>
      <c r="E7564" s="1348"/>
      <c r="F7564" s="1348"/>
      <c r="G7564" s="1348"/>
      <c r="H7564" s="1348"/>
      <c r="I7564" s="1348"/>
      <c r="J7564" s="1348"/>
      <c r="K7564" s="1348"/>
    </row>
    <row r="7565" spans="2:11" hidden="1">
      <c r="B7565" s="1348"/>
      <c r="C7565" s="1348"/>
      <c r="D7565" s="1348"/>
      <c r="E7565" s="1348"/>
      <c r="F7565" s="1348"/>
      <c r="G7565" s="1348"/>
      <c r="H7565" s="1348"/>
      <c r="I7565" s="1348"/>
      <c r="J7565" s="1348"/>
      <c r="K7565" s="1348"/>
    </row>
    <row r="7566" spans="2:11" hidden="1">
      <c r="B7566" s="1348"/>
      <c r="C7566" s="1348"/>
      <c r="D7566" s="1348"/>
      <c r="E7566" s="1348"/>
      <c r="F7566" s="1348"/>
      <c r="G7566" s="1348"/>
      <c r="H7566" s="1348"/>
      <c r="I7566" s="1348"/>
      <c r="J7566" s="1348"/>
      <c r="K7566" s="1348"/>
    </row>
    <row r="7567" spans="2:11" hidden="1">
      <c r="B7567" s="1348"/>
      <c r="C7567" s="1348"/>
      <c r="D7567" s="1348"/>
      <c r="E7567" s="1348"/>
      <c r="F7567" s="1348"/>
      <c r="G7567" s="1348"/>
      <c r="H7567" s="1348"/>
      <c r="I7567" s="1348"/>
      <c r="J7567" s="1348"/>
      <c r="K7567" s="1348"/>
    </row>
    <row r="7568" spans="2:11" hidden="1">
      <c r="B7568" s="1348"/>
      <c r="C7568" s="1348"/>
      <c r="D7568" s="1348"/>
      <c r="E7568" s="1348"/>
      <c r="F7568" s="1348"/>
      <c r="G7568" s="1348"/>
      <c r="H7568" s="1348"/>
      <c r="I7568" s="1348"/>
      <c r="J7568" s="1348"/>
      <c r="K7568" s="1348"/>
    </row>
    <row r="7569" spans="2:11" hidden="1">
      <c r="B7569" s="1348"/>
      <c r="C7569" s="1348"/>
      <c r="D7569" s="1348"/>
      <c r="E7569" s="1348"/>
      <c r="F7569" s="1348"/>
      <c r="G7569" s="1348"/>
      <c r="H7569" s="1348"/>
      <c r="I7569" s="1348"/>
      <c r="J7569" s="1348"/>
      <c r="K7569" s="1348"/>
    </row>
    <row r="7570" spans="2:11" hidden="1">
      <c r="B7570" s="1348"/>
      <c r="C7570" s="1348"/>
      <c r="D7570" s="1348"/>
      <c r="E7570" s="1348"/>
      <c r="F7570" s="1348"/>
      <c r="G7570" s="1348"/>
      <c r="H7570" s="1348"/>
      <c r="I7570" s="1348"/>
      <c r="J7570" s="1348"/>
      <c r="K7570" s="1348"/>
    </row>
    <row r="7571" spans="2:11" hidden="1">
      <c r="B7571" s="1348"/>
      <c r="C7571" s="1348"/>
      <c r="D7571" s="1348"/>
      <c r="E7571" s="1348"/>
      <c r="F7571" s="1348"/>
      <c r="G7571" s="1348"/>
      <c r="H7571" s="1348"/>
      <c r="I7571" s="1348"/>
      <c r="J7571" s="1348"/>
      <c r="K7571" s="1348"/>
    </row>
    <row r="7572" spans="2:11" hidden="1">
      <c r="B7572" s="1348"/>
      <c r="C7572" s="1348"/>
      <c r="D7572" s="1348"/>
      <c r="E7572" s="1348"/>
      <c r="F7572" s="1348"/>
      <c r="G7572" s="1348"/>
      <c r="H7572" s="1348"/>
      <c r="I7572" s="1348"/>
      <c r="J7572" s="1348"/>
      <c r="K7572" s="1348"/>
    </row>
    <row r="7573" spans="2:11" hidden="1">
      <c r="B7573" s="1348"/>
      <c r="C7573" s="1348"/>
      <c r="D7573" s="1348"/>
      <c r="E7573" s="1348"/>
      <c r="F7573" s="1348"/>
      <c r="G7573" s="1348"/>
      <c r="H7573" s="1348"/>
      <c r="I7573" s="1348"/>
      <c r="J7573" s="1348"/>
      <c r="K7573" s="1348"/>
    </row>
    <row r="7574" spans="2:11" hidden="1">
      <c r="B7574" s="1348"/>
      <c r="C7574" s="1348"/>
      <c r="D7574" s="1348"/>
      <c r="E7574" s="1348"/>
      <c r="F7574" s="1348"/>
      <c r="G7574" s="1348"/>
      <c r="H7574" s="1348"/>
      <c r="I7574" s="1348"/>
      <c r="J7574" s="1348"/>
      <c r="K7574" s="1348"/>
    </row>
    <row r="7575" spans="2:11" hidden="1">
      <c r="B7575" s="1348"/>
      <c r="C7575" s="1348"/>
      <c r="D7575" s="1348"/>
      <c r="E7575" s="1348"/>
      <c r="F7575" s="1348"/>
      <c r="G7575" s="1348"/>
      <c r="H7575" s="1348"/>
      <c r="I7575" s="1348"/>
      <c r="J7575" s="1348"/>
      <c r="K7575" s="1348"/>
    </row>
    <row r="7576" spans="2:11" hidden="1">
      <c r="B7576" s="1348"/>
      <c r="C7576" s="1348"/>
      <c r="D7576" s="1348"/>
      <c r="E7576" s="1348"/>
      <c r="F7576" s="1348"/>
      <c r="G7576" s="1348"/>
      <c r="H7576" s="1348"/>
      <c r="I7576" s="1348"/>
      <c r="J7576" s="1348"/>
      <c r="K7576" s="1348"/>
    </row>
    <row r="7577" spans="2:11" hidden="1">
      <c r="B7577" s="1348"/>
      <c r="C7577" s="1348"/>
      <c r="D7577" s="1348"/>
      <c r="E7577" s="1348"/>
      <c r="F7577" s="1348"/>
      <c r="G7577" s="1348"/>
      <c r="H7577" s="1348"/>
      <c r="I7577" s="1348"/>
      <c r="J7577" s="1348"/>
      <c r="K7577" s="1348"/>
    </row>
    <row r="7578" spans="2:11" hidden="1">
      <c r="B7578" s="1348"/>
      <c r="C7578" s="1348"/>
      <c r="D7578" s="1348"/>
      <c r="E7578" s="1348"/>
      <c r="F7578" s="1348"/>
      <c r="G7578" s="1348"/>
      <c r="H7578" s="1348"/>
      <c r="I7578" s="1348"/>
      <c r="J7578" s="1348"/>
      <c r="K7578" s="1348"/>
    </row>
    <row r="7579" spans="2:11" hidden="1">
      <c r="B7579" s="1348"/>
      <c r="C7579" s="1348"/>
      <c r="D7579" s="1348"/>
      <c r="E7579" s="1348"/>
      <c r="F7579" s="1348"/>
      <c r="G7579" s="1348"/>
      <c r="H7579" s="1348"/>
      <c r="I7579" s="1348"/>
      <c r="J7579" s="1348"/>
      <c r="K7579" s="1348"/>
    </row>
    <row r="7580" spans="2:11" hidden="1">
      <c r="B7580" s="1348"/>
      <c r="C7580" s="1348"/>
      <c r="D7580" s="1348"/>
      <c r="E7580" s="1348"/>
      <c r="F7580" s="1348"/>
      <c r="G7580" s="1348"/>
      <c r="H7580" s="1348"/>
      <c r="I7580" s="1348"/>
      <c r="J7580" s="1348"/>
      <c r="K7580" s="1348"/>
    </row>
    <row r="7581" spans="2:11" hidden="1">
      <c r="B7581" s="1348"/>
      <c r="C7581" s="1348"/>
      <c r="D7581" s="1348"/>
      <c r="E7581" s="1348"/>
      <c r="F7581" s="1348"/>
      <c r="G7581" s="1348"/>
      <c r="H7581" s="1348"/>
      <c r="I7581" s="1348"/>
      <c r="J7581" s="1348"/>
      <c r="K7581" s="1348"/>
    </row>
    <row r="7582" spans="2:11" hidden="1">
      <c r="B7582" s="1348"/>
      <c r="C7582" s="1348"/>
      <c r="D7582" s="1348"/>
      <c r="E7582" s="1348"/>
      <c r="F7582" s="1348"/>
      <c r="G7582" s="1348"/>
      <c r="H7582" s="1348"/>
      <c r="I7582" s="1348"/>
      <c r="J7582" s="1348"/>
      <c r="K7582" s="1348"/>
    </row>
    <row r="7583" spans="2:11" hidden="1">
      <c r="B7583" s="1348"/>
      <c r="C7583" s="1348"/>
      <c r="D7583" s="1348"/>
      <c r="E7583" s="1348"/>
      <c r="F7583" s="1348"/>
      <c r="G7583" s="1348"/>
      <c r="H7583" s="1348"/>
      <c r="I7583" s="1348"/>
      <c r="J7583" s="1348"/>
      <c r="K7583" s="1348"/>
    </row>
    <row r="7584" spans="2:11" hidden="1">
      <c r="B7584" s="1348"/>
      <c r="C7584" s="1348"/>
      <c r="D7584" s="1348"/>
      <c r="E7584" s="1348"/>
      <c r="F7584" s="1348"/>
      <c r="G7584" s="1348"/>
      <c r="H7584" s="1348"/>
      <c r="I7584" s="1348"/>
      <c r="J7584" s="1348"/>
      <c r="K7584" s="1348"/>
    </row>
    <row r="7585" spans="2:11" hidden="1">
      <c r="B7585" s="1348"/>
      <c r="C7585" s="1348"/>
      <c r="D7585" s="1348"/>
      <c r="E7585" s="1348"/>
      <c r="F7585" s="1348"/>
      <c r="G7585" s="1348"/>
      <c r="H7585" s="1348"/>
      <c r="I7585" s="1348"/>
      <c r="J7585" s="1348"/>
      <c r="K7585" s="1348"/>
    </row>
    <row r="7586" spans="2:11" hidden="1">
      <c r="B7586" s="1348"/>
      <c r="C7586" s="1348"/>
      <c r="D7586" s="1348"/>
      <c r="E7586" s="1348"/>
      <c r="F7586" s="1348"/>
      <c r="G7586" s="1348"/>
      <c r="H7586" s="1348"/>
      <c r="I7586" s="1348"/>
      <c r="J7586" s="1348"/>
      <c r="K7586" s="1348"/>
    </row>
    <row r="7587" spans="2:11" hidden="1">
      <c r="B7587" s="1348"/>
      <c r="C7587" s="1348"/>
      <c r="D7587" s="1348"/>
      <c r="E7587" s="1348"/>
      <c r="F7587" s="1348"/>
      <c r="G7587" s="1348"/>
      <c r="H7587" s="1348"/>
      <c r="I7587" s="1348"/>
      <c r="J7587" s="1348"/>
      <c r="K7587" s="1348"/>
    </row>
    <row r="7588" spans="2:11" hidden="1">
      <c r="B7588" s="1348"/>
      <c r="C7588" s="1348"/>
      <c r="D7588" s="1348"/>
      <c r="E7588" s="1348"/>
      <c r="F7588" s="1348"/>
      <c r="G7588" s="1348"/>
      <c r="H7588" s="1348"/>
      <c r="I7588" s="1348"/>
      <c r="J7588" s="1348"/>
      <c r="K7588" s="1348"/>
    </row>
    <row r="7589" spans="2:11" hidden="1">
      <c r="B7589" s="1348"/>
      <c r="C7589" s="1348"/>
      <c r="D7589" s="1348"/>
      <c r="E7589" s="1348"/>
      <c r="F7589" s="1348"/>
      <c r="G7589" s="1348"/>
      <c r="H7589" s="1348"/>
      <c r="I7589" s="1348"/>
      <c r="J7589" s="1348"/>
      <c r="K7589" s="1348"/>
    </row>
    <row r="7590" spans="2:11" hidden="1">
      <c r="B7590" s="1348"/>
      <c r="C7590" s="1348"/>
      <c r="D7590" s="1348"/>
      <c r="E7590" s="1348"/>
      <c r="F7590" s="1348"/>
      <c r="G7590" s="1348"/>
      <c r="H7590" s="1348"/>
      <c r="I7590" s="1348"/>
      <c r="J7590" s="1348"/>
      <c r="K7590" s="1348"/>
    </row>
    <row r="7591" spans="2:11" hidden="1">
      <c r="B7591" s="1348"/>
      <c r="C7591" s="1348"/>
      <c r="D7591" s="1348"/>
      <c r="E7591" s="1348"/>
      <c r="F7591" s="1348"/>
      <c r="G7591" s="1348"/>
      <c r="H7591" s="1348"/>
      <c r="I7591" s="1348"/>
      <c r="J7591" s="1348"/>
      <c r="K7591" s="1348"/>
    </row>
    <row r="7592" spans="2:11" hidden="1">
      <c r="B7592" s="1348"/>
      <c r="C7592" s="1348"/>
      <c r="D7592" s="1348"/>
      <c r="E7592" s="1348"/>
      <c r="F7592" s="1348"/>
      <c r="G7592" s="1348"/>
      <c r="H7592" s="1348"/>
      <c r="I7592" s="1348"/>
      <c r="J7592" s="1348"/>
      <c r="K7592" s="1348"/>
    </row>
    <row r="7593" spans="2:11" hidden="1">
      <c r="B7593" s="1348"/>
      <c r="C7593" s="1348"/>
      <c r="D7593" s="1348"/>
      <c r="E7593" s="1348"/>
      <c r="F7593" s="1348"/>
      <c r="G7593" s="1348"/>
      <c r="H7593" s="1348"/>
      <c r="I7593" s="1348"/>
      <c r="J7593" s="1348"/>
      <c r="K7593" s="1348"/>
    </row>
    <row r="7594" spans="2:11" hidden="1">
      <c r="B7594" s="1348"/>
      <c r="C7594" s="1348"/>
      <c r="D7594" s="1348"/>
      <c r="E7594" s="1348"/>
      <c r="F7594" s="1348"/>
      <c r="G7594" s="1348"/>
      <c r="H7594" s="1348"/>
      <c r="I7594" s="1348"/>
      <c r="J7594" s="1348"/>
      <c r="K7594" s="1348"/>
    </row>
    <row r="7595" spans="2:11" hidden="1">
      <c r="B7595" s="1348"/>
      <c r="C7595" s="1348"/>
      <c r="D7595" s="1348"/>
      <c r="E7595" s="1348"/>
      <c r="F7595" s="1348"/>
      <c r="G7595" s="1348"/>
      <c r="H7595" s="1348"/>
      <c r="I7595" s="1348"/>
      <c r="J7595" s="1348"/>
      <c r="K7595" s="1348"/>
    </row>
    <row r="7596" spans="2:11" hidden="1">
      <c r="B7596" s="1348"/>
      <c r="C7596" s="1348"/>
      <c r="D7596" s="1348"/>
      <c r="E7596" s="1348"/>
      <c r="F7596" s="1348"/>
      <c r="G7596" s="1348"/>
      <c r="H7596" s="1348"/>
      <c r="I7596" s="1348"/>
      <c r="J7596" s="1348"/>
      <c r="K7596" s="1348"/>
    </row>
    <row r="7597" spans="2:11" hidden="1">
      <c r="B7597" s="1348"/>
      <c r="C7597" s="1348"/>
      <c r="D7597" s="1348"/>
      <c r="E7597" s="1348"/>
      <c r="F7597" s="1348"/>
      <c r="G7597" s="1348"/>
      <c r="H7597" s="1348"/>
      <c r="I7597" s="1348"/>
      <c r="J7597" s="1348"/>
      <c r="K7597" s="1348"/>
    </row>
    <row r="7598" spans="2:11" hidden="1">
      <c r="B7598" s="1348"/>
      <c r="C7598" s="1348"/>
      <c r="D7598" s="1348"/>
      <c r="E7598" s="1348"/>
      <c r="F7598" s="1348"/>
      <c r="G7598" s="1348"/>
      <c r="H7598" s="1348"/>
      <c r="I7598" s="1348"/>
      <c r="J7598" s="1348"/>
      <c r="K7598" s="1348"/>
    </row>
    <row r="7599" spans="2:11" hidden="1">
      <c r="B7599" s="1348"/>
      <c r="C7599" s="1348"/>
      <c r="D7599" s="1348"/>
      <c r="E7599" s="1348"/>
      <c r="F7599" s="1348"/>
      <c r="G7599" s="1348"/>
      <c r="H7599" s="1348"/>
      <c r="I7599" s="1348"/>
      <c r="J7599" s="1348"/>
      <c r="K7599" s="1348"/>
    </row>
    <row r="7600" spans="2:11" hidden="1">
      <c r="B7600" s="1348"/>
      <c r="C7600" s="1348"/>
      <c r="D7600" s="1348"/>
      <c r="E7600" s="1348"/>
      <c r="F7600" s="1348"/>
      <c r="G7600" s="1348"/>
      <c r="H7600" s="1348"/>
      <c r="I7600" s="1348"/>
      <c r="J7600" s="1348"/>
      <c r="K7600" s="1348"/>
    </row>
    <row r="7601" spans="2:11" hidden="1">
      <c r="B7601" s="1348"/>
      <c r="C7601" s="1348"/>
      <c r="D7601" s="1348"/>
      <c r="E7601" s="1348"/>
      <c r="F7601" s="1348"/>
      <c r="G7601" s="1348"/>
      <c r="H7601" s="1348"/>
      <c r="I7601" s="1348"/>
      <c r="J7601" s="1348"/>
      <c r="K7601" s="1348"/>
    </row>
    <row r="7602" spans="2:11" hidden="1">
      <c r="B7602" s="1348"/>
      <c r="C7602" s="1348"/>
      <c r="D7602" s="1348"/>
      <c r="E7602" s="1348"/>
      <c r="F7602" s="1348"/>
      <c r="G7602" s="1348"/>
      <c r="H7602" s="1348"/>
      <c r="I7602" s="1348"/>
      <c r="J7602" s="1348"/>
      <c r="K7602" s="1348"/>
    </row>
    <row r="7603" spans="2:11" hidden="1">
      <c r="B7603" s="1348"/>
      <c r="C7603" s="1348"/>
      <c r="D7603" s="1348"/>
      <c r="E7603" s="1348"/>
      <c r="F7603" s="1348"/>
      <c r="G7603" s="1348"/>
      <c r="H7603" s="1348"/>
      <c r="I7603" s="1348"/>
      <c r="J7603" s="1348"/>
      <c r="K7603" s="1348"/>
    </row>
    <row r="7604" spans="2:11" hidden="1">
      <c r="B7604" s="1348"/>
      <c r="C7604" s="1348"/>
      <c r="D7604" s="1348"/>
      <c r="E7604" s="1348"/>
      <c r="F7604" s="1348"/>
      <c r="G7604" s="1348"/>
      <c r="H7604" s="1348"/>
      <c r="I7604" s="1348"/>
      <c r="J7604" s="1348"/>
      <c r="K7604" s="1348"/>
    </row>
    <row r="7605" spans="2:11" hidden="1">
      <c r="B7605" s="1348"/>
      <c r="C7605" s="1348"/>
      <c r="D7605" s="1348"/>
      <c r="E7605" s="1348"/>
      <c r="F7605" s="1348"/>
      <c r="G7605" s="1348"/>
      <c r="H7605" s="1348"/>
      <c r="I7605" s="1348"/>
      <c r="J7605" s="1348"/>
      <c r="K7605" s="1348"/>
    </row>
    <row r="7606" spans="2:11" hidden="1">
      <c r="B7606" s="1348"/>
      <c r="C7606" s="1348"/>
      <c r="D7606" s="1348"/>
      <c r="E7606" s="1348"/>
      <c r="F7606" s="1348"/>
      <c r="G7606" s="1348"/>
      <c r="H7606" s="1348"/>
      <c r="I7606" s="1348"/>
      <c r="J7606" s="1348"/>
      <c r="K7606" s="1348"/>
    </row>
    <row r="7607" spans="2:11" hidden="1">
      <c r="B7607" s="1348"/>
      <c r="C7607" s="1348"/>
      <c r="D7607" s="1348"/>
      <c r="E7607" s="1348"/>
      <c r="F7607" s="1348"/>
      <c r="G7607" s="1348"/>
      <c r="H7607" s="1348"/>
      <c r="I7607" s="1348"/>
      <c r="J7607" s="1348"/>
      <c r="K7607" s="1348"/>
    </row>
    <row r="7608" spans="2:11" hidden="1">
      <c r="B7608" s="1348"/>
      <c r="C7608" s="1348"/>
      <c r="D7608" s="1348"/>
      <c r="E7608" s="1348"/>
      <c r="F7608" s="1348"/>
      <c r="G7608" s="1348"/>
      <c r="H7608" s="1348"/>
      <c r="I7608" s="1348"/>
      <c r="J7608" s="1348"/>
      <c r="K7608" s="1348"/>
    </row>
    <row r="7609" spans="2:11" hidden="1">
      <c r="B7609" s="1348"/>
      <c r="C7609" s="1348"/>
      <c r="D7609" s="1348"/>
      <c r="E7609" s="1348"/>
      <c r="F7609" s="1348"/>
      <c r="G7609" s="1348"/>
      <c r="H7609" s="1348"/>
      <c r="I7609" s="1348"/>
      <c r="J7609" s="1348"/>
      <c r="K7609" s="1348"/>
    </row>
    <row r="7610" spans="2:11" hidden="1">
      <c r="B7610" s="1348"/>
      <c r="C7610" s="1348"/>
      <c r="D7610" s="1348"/>
      <c r="E7610" s="1348"/>
      <c r="F7610" s="1348"/>
      <c r="G7610" s="1348"/>
      <c r="H7610" s="1348"/>
      <c r="I7610" s="1348"/>
      <c r="J7610" s="1348"/>
      <c r="K7610" s="1348"/>
    </row>
    <row r="7611" spans="2:11" hidden="1">
      <c r="B7611" s="1348"/>
      <c r="C7611" s="1348"/>
      <c r="D7611" s="1348"/>
      <c r="E7611" s="1348"/>
      <c r="F7611" s="1348"/>
      <c r="G7611" s="1348"/>
      <c r="H7611" s="1348"/>
      <c r="I7611" s="1348"/>
      <c r="J7611" s="1348"/>
      <c r="K7611" s="1348"/>
    </row>
    <row r="7612" spans="2:11" hidden="1">
      <c r="B7612" s="1348"/>
      <c r="C7612" s="1348"/>
      <c r="D7612" s="1348"/>
      <c r="E7612" s="1348"/>
      <c r="F7612" s="1348"/>
      <c r="G7612" s="1348"/>
      <c r="H7612" s="1348"/>
      <c r="I7612" s="1348"/>
      <c r="J7612" s="1348"/>
      <c r="K7612" s="1348"/>
    </row>
    <row r="7613" spans="2:11" hidden="1">
      <c r="B7613" s="1348"/>
      <c r="C7613" s="1348"/>
      <c r="D7613" s="1348"/>
      <c r="E7613" s="1348"/>
      <c r="F7613" s="1348"/>
      <c r="G7613" s="1348"/>
      <c r="H7613" s="1348"/>
      <c r="I7613" s="1348"/>
      <c r="J7613" s="1348"/>
      <c r="K7613" s="1348"/>
    </row>
    <row r="7614" spans="2:11" hidden="1">
      <c r="B7614" s="1348"/>
      <c r="C7614" s="1348"/>
      <c r="D7614" s="1348"/>
      <c r="E7614" s="1348"/>
      <c r="F7614" s="1348"/>
      <c r="G7614" s="1348"/>
      <c r="H7614" s="1348"/>
      <c r="I7614" s="1348"/>
      <c r="J7614" s="1348"/>
      <c r="K7614" s="1348"/>
    </row>
    <row r="7615" spans="2:11" hidden="1">
      <c r="B7615" s="1348"/>
      <c r="C7615" s="1348"/>
      <c r="D7615" s="1348"/>
      <c r="E7615" s="1348"/>
      <c r="F7615" s="1348"/>
      <c r="G7615" s="1348"/>
      <c r="H7615" s="1348"/>
      <c r="I7615" s="1348"/>
      <c r="J7615" s="1348"/>
      <c r="K7615" s="1348"/>
    </row>
    <row r="7616" spans="2:11" hidden="1">
      <c r="B7616" s="1348"/>
      <c r="C7616" s="1348"/>
      <c r="D7616" s="1348"/>
      <c r="E7616" s="1348"/>
      <c r="F7616" s="1348"/>
      <c r="G7616" s="1348"/>
      <c r="H7616" s="1348"/>
      <c r="I7616" s="1348"/>
      <c r="J7616" s="1348"/>
      <c r="K7616" s="1348"/>
    </row>
    <row r="7617" spans="2:11" hidden="1">
      <c r="B7617" s="1348"/>
      <c r="C7617" s="1348"/>
      <c r="D7617" s="1348"/>
      <c r="E7617" s="1348"/>
      <c r="F7617" s="1348"/>
      <c r="G7617" s="1348"/>
      <c r="H7617" s="1348"/>
      <c r="I7617" s="1348"/>
      <c r="J7617" s="1348"/>
      <c r="K7617" s="1348"/>
    </row>
    <row r="7618" spans="2:11" hidden="1">
      <c r="B7618" s="1348"/>
      <c r="C7618" s="1348"/>
      <c r="D7618" s="1348"/>
      <c r="E7618" s="1348"/>
      <c r="F7618" s="1348"/>
      <c r="G7618" s="1348"/>
      <c r="H7618" s="1348"/>
      <c r="I7618" s="1348"/>
      <c r="J7618" s="1348"/>
      <c r="K7618" s="1348"/>
    </row>
    <row r="7619" spans="2:11" hidden="1">
      <c r="B7619" s="1348"/>
      <c r="C7619" s="1348"/>
      <c r="D7619" s="1348"/>
      <c r="E7619" s="1348"/>
      <c r="F7619" s="1348"/>
      <c r="G7619" s="1348"/>
      <c r="H7619" s="1348"/>
      <c r="I7619" s="1348"/>
      <c r="J7619" s="1348"/>
      <c r="K7619" s="1348"/>
    </row>
    <row r="7620" spans="2:11" hidden="1">
      <c r="B7620" s="1348"/>
      <c r="C7620" s="1348"/>
      <c r="D7620" s="1348"/>
      <c r="E7620" s="1348"/>
      <c r="F7620" s="1348"/>
      <c r="G7620" s="1348"/>
      <c r="H7620" s="1348"/>
      <c r="I7620" s="1348"/>
      <c r="J7620" s="1348"/>
      <c r="K7620" s="1348"/>
    </row>
    <row r="7621" spans="2:11" hidden="1">
      <c r="B7621" s="1348"/>
      <c r="C7621" s="1348"/>
      <c r="D7621" s="1348"/>
      <c r="E7621" s="1348"/>
      <c r="F7621" s="1348"/>
      <c r="G7621" s="1348"/>
      <c r="H7621" s="1348"/>
      <c r="I7621" s="1348"/>
      <c r="J7621" s="1348"/>
      <c r="K7621" s="1348"/>
    </row>
    <row r="7622" spans="2:11" hidden="1">
      <c r="B7622" s="1348"/>
      <c r="C7622" s="1348"/>
      <c r="D7622" s="1348"/>
      <c r="E7622" s="1348"/>
      <c r="F7622" s="1348"/>
      <c r="G7622" s="1348"/>
      <c r="H7622" s="1348"/>
      <c r="I7622" s="1348"/>
      <c r="J7622" s="1348"/>
      <c r="K7622" s="1348"/>
    </row>
    <row r="7623" spans="2:11" hidden="1">
      <c r="B7623" s="1348"/>
      <c r="C7623" s="1348"/>
      <c r="D7623" s="1348"/>
      <c r="E7623" s="1348"/>
      <c r="F7623" s="1348"/>
      <c r="G7623" s="1348"/>
      <c r="H7623" s="1348"/>
      <c r="I7623" s="1348"/>
      <c r="J7623" s="1348"/>
      <c r="K7623" s="1348"/>
    </row>
    <row r="7624" spans="2:11" hidden="1">
      <c r="B7624" s="1348"/>
      <c r="C7624" s="1348"/>
      <c r="D7624" s="1348"/>
      <c r="E7624" s="1348"/>
      <c r="F7624" s="1348"/>
      <c r="G7624" s="1348"/>
      <c r="H7624" s="1348"/>
      <c r="I7624" s="1348"/>
      <c r="J7624" s="1348"/>
      <c r="K7624" s="1348"/>
    </row>
    <row r="7625" spans="2:11" hidden="1">
      <c r="B7625" s="1348"/>
      <c r="C7625" s="1348"/>
      <c r="D7625" s="1348"/>
      <c r="E7625" s="1348"/>
      <c r="F7625" s="1348"/>
      <c r="G7625" s="1348"/>
      <c r="H7625" s="1348"/>
      <c r="I7625" s="1348"/>
      <c r="J7625" s="1348"/>
      <c r="K7625" s="1348"/>
    </row>
    <row r="7626" spans="2:11" hidden="1">
      <c r="B7626" s="1348"/>
      <c r="C7626" s="1348"/>
      <c r="D7626" s="1348"/>
      <c r="E7626" s="1348"/>
      <c r="F7626" s="1348"/>
      <c r="G7626" s="1348"/>
      <c r="H7626" s="1348"/>
      <c r="I7626" s="1348"/>
      <c r="J7626" s="1348"/>
      <c r="K7626" s="1348"/>
    </row>
    <row r="7627" spans="2:11" hidden="1">
      <c r="B7627" s="1348"/>
      <c r="C7627" s="1348"/>
      <c r="D7627" s="1348"/>
      <c r="E7627" s="1348"/>
      <c r="F7627" s="1348"/>
      <c r="G7627" s="1348"/>
      <c r="H7627" s="1348"/>
      <c r="I7627" s="1348"/>
      <c r="J7627" s="1348"/>
      <c r="K7627" s="1348"/>
    </row>
    <row r="7628" spans="2:11" hidden="1">
      <c r="B7628" s="1348"/>
      <c r="C7628" s="1348"/>
      <c r="D7628" s="1348"/>
      <c r="E7628" s="1348"/>
      <c r="F7628" s="1348"/>
      <c r="G7628" s="1348"/>
      <c r="H7628" s="1348"/>
      <c r="I7628" s="1348"/>
      <c r="J7628" s="1348"/>
      <c r="K7628" s="1348"/>
    </row>
    <row r="7629" spans="2:11" hidden="1">
      <c r="B7629" s="1348"/>
      <c r="C7629" s="1348"/>
      <c r="D7629" s="1348"/>
      <c r="E7629" s="1348"/>
      <c r="F7629" s="1348"/>
      <c r="G7629" s="1348"/>
      <c r="H7629" s="1348"/>
      <c r="I7629" s="1348"/>
      <c r="J7629" s="1348"/>
      <c r="K7629" s="1348"/>
    </row>
    <row r="7630" spans="2:11" hidden="1">
      <c r="B7630" s="1348"/>
      <c r="C7630" s="1348"/>
      <c r="D7630" s="1348"/>
      <c r="E7630" s="1348"/>
      <c r="F7630" s="1348"/>
      <c r="G7630" s="1348"/>
      <c r="H7630" s="1348"/>
      <c r="I7630" s="1348"/>
      <c r="J7630" s="1348"/>
      <c r="K7630" s="1348"/>
    </row>
    <row r="7631" spans="2:11" hidden="1">
      <c r="B7631" s="1348"/>
      <c r="C7631" s="1348"/>
      <c r="D7631" s="1348"/>
      <c r="E7631" s="1348"/>
      <c r="F7631" s="1348"/>
      <c r="G7631" s="1348"/>
      <c r="H7631" s="1348"/>
      <c r="I7631" s="1348"/>
      <c r="J7631" s="1348"/>
      <c r="K7631" s="1348"/>
    </row>
    <row r="7632" spans="2:11" hidden="1">
      <c r="B7632" s="1348"/>
      <c r="C7632" s="1348"/>
      <c r="D7632" s="1348"/>
      <c r="E7632" s="1348"/>
      <c r="F7632" s="1348"/>
      <c r="G7632" s="1348"/>
      <c r="H7632" s="1348"/>
      <c r="I7632" s="1348"/>
      <c r="J7632" s="1348"/>
      <c r="K7632" s="1348"/>
    </row>
    <row r="7633" spans="2:11" hidden="1">
      <c r="B7633" s="1348"/>
      <c r="C7633" s="1348"/>
      <c r="D7633" s="1348"/>
      <c r="E7633" s="1348"/>
      <c r="F7633" s="1348"/>
      <c r="G7633" s="1348"/>
      <c r="H7633" s="1348"/>
      <c r="I7633" s="1348"/>
      <c r="J7633" s="1348"/>
      <c r="K7633" s="1348"/>
    </row>
    <row r="7634" spans="2:11" hidden="1">
      <c r="B7634" s="1348"/>
      <c r="C7634" s="1348"/>
      <c r="D7634" s="1348"/>
      <c r="E7634" s="1348"/>
      <c r="F7634" s="1348"/>
      <c r="G7634" s="1348"/>
      <c r="H7634" s="1348"/>
      <c r="I7634" s="1348"/>
      <c r="J7634" s="1348"/>
      <c r="K7634" s="1348"/>
    </row>
    <row r="7635" spans="2:11" hidden="1">
      <c r="B7635" s="1348"/>
      <c r="C7635" s="1348"/>
      <c r="D7635" s="1348"/>
      <c r="E7635" s="1348"/>
      <c r="F7635" s="1348"/>
      <c r="G7635" s="1348"/>
      <c r="H7635" s="1348"/>
      <c r="I7635" s="1348"/>
      <c r="J7635" s="1348"/>
      <c r="K7635" s="1348"/>
    </row>
    <row r="7636" spans="2:11" hidden="1">
      <c r="B7636" s="1348"/>
      <c r="C7636" s="1348"/>
      <c r="D7636" s="1348"/>
      <c r="E7636" s="1348"/>
      <c r="F7636" s="1348"/>
      <c r="G7636" s="1348"/>
      <c r="H7636" s="1348"/>
      <c r="I7636" s="1348"/>
      <c r="J7636" s="1348"/>
      <c r="K7636" s="1348"/>
    </row>
    <row r="7637" spans="2:11" hidden="1">
      <c r="B7637" s="1348"/>
      <c r="C7637" s="1348"/>
      <c r="D7637" s="1348"/>
      <c r="E7637" s="1348"/>
      <c r="F7637" s="1348"/>
      <c r="G7637" s="1348"/>
      <c r="H7637" s="1348"/>
      <c r="I7637" s="1348"/>
      <c r="J7637" s="1348"/>
      <c r="K7637" s="1348"/>
    </row>
    <row r="7638" spans="2:11" hidden="1">
      <c r="B7638" s="1348"/>
      <c r="C7638" s="1348"/>
      <c r="D7638" s="1348"/>
      <c r="E7638" s="1348"/>
      <c r="F7638" s="1348"/>
      <c r="G7638" s="1348"/>
      <c r="H7638" s="1348"/>
      <c r="I7638" s="1348"/>
      <c r="J7638" s="1348"/>
      <c r="K7638" s="1348"/>
    </row>
    <row r="7639" spans="2:11" hidden="1">
      <c r="B7639" s="1348"/>
      <c r="C7639" s="1348"/>
      <c r="D7639" s="1348"/>
      <c r="E7639" s="1348"/>
      <c r="F7639" s="1348"/>
      <c r="G7639" s="1348"/>
      <c r="H7639" s="1348"/>
      <c r="I7639" s="1348"/>
      <c r="J7639" s="1348"/>
      <c r="K7639" s="1348"/>
    </row>
    <row r="7640" spans="2:11" hidden="1">
      <c r="B7640" s="1348"/>
      <c r="C7640" s="1348"/>
      <c r="D7640" s="1348"/>
      <c r="E7640" s="1348"/>
      <c r="F7640" s="1348"/>
      <c r="G7640" s="1348"/>
      <c r="H7640" s="1348"/>
      <c r="I7640" s="1348"/>
      <c r="J7640" s="1348"/>
      <c r="K7640" s="1348"/>
    </row>
    <row r="7641" spans="2:11" hidden="1">
      <c r="B7641" s="1348"/>
      <c r="C7641" s="1348"/>
      <c r="D7641" s="1348"/>
      <c r="E7641" s="1348"/>
      <c r="F7641" s="1348"/>
      <c r="G7641" s="1348"/>
      <c r="H7641" s="1348"/>
      <c r="I7641" s="1348"/>
      <c r="J7641" s="1348"/>
      <c r="K7641" s="1348"/>
    </row>
    <row r="7642" spans="2:11" hidden="1">
      <c r="B7642" s="1348"/>
      <c r="C7642" s="1348"/>
      <c r="D7642" s="1348"/>
      <c r="E7642" s="1348"/>
      <c r="F7642" s="1348"/>
      <c r="G7642" s="1348"/>
      <c r="H7642" s="1348"/>
      <c r="I7642" s="1348"/>
      <c r="J7642" s="1348"/>
      <c r="K7642" s="1348"/>
    </row>
    <row r="7643" spans="2:11" hidden="1">
      <c r="B7643" s="1348"/>
      <c r="C7643" s="1348"/>
      <c r="D7643" s="1348"/>
      <c r="E7643" s="1348"/>
      <c r="F7643" s="1348"/>
      <c r="G7643" s="1348"/>
      <c r="H7643" s="1348"/>
      <c r="I7643" s="1348"/>
      <c r="J7643" s="1348"/>
      <c r="K7643" s="1348"/>
    </row>
    <row r="7644" spans="2:11" hidden="1">
      <c r="B7644" s="1348"/>
      <c r="C7644" s="1348"/>
      <c r="D7644" s="1348"/>
      <c r="E7644" s="1348"/>
      <c r="F7644" s="1348"/>
      <c r="G7644" s="1348"/>
      <c r="H7644" s="1348"/>
      <c r="I7644" s="1348"/>
      <c r="J7644" s="1348"/>
      <c r="K7644" s="1348"/>
    </row>
    <row r="7645" spans="2:11" hidden="1">
      <c r="B7645" s="1348"/>
      <c r="C7645" s="1348"/>
      <c r="D7645" s="1348"/>
      <c r="E7645" s="1348"/>
      <c r="F7645" s="1348"/>
      <c r="G7645" s="1348"/>
      <c r="H7645" s="1348"/>
      <c r="I7645" s="1348"/>
      <c r="J7645" s="1348"/>
      <c r="K7645" s="1348"/>
    </row>
    <row r="7646" spans="2:11" hidden="1">
      <c r="B7646" s="1348"/>
      <c r="C7646" s="1348"/>
      <c r="D7646" s="1348"/>
      <c r="E7646" s="1348"/>
      <c r="F7646" s="1348"/>
      <c r="G7646" s="1348"/>
      <c r="H7646" s="1348"/>
      <c r="I7646" s="1348"/>
      <c r="J7646" s="1348"/>
      <c r="K7646" s="1348"/>
    </row>
    <row r="7647" spans="2:11" hidden="1">
      <c r="B7647" s="1348"/>
      <c r="C7647" s="1348"/>
      <c r="D7647" s="1348"/>
      <c r="E7647" s="1348"/>
      <c r="F7647" s="1348"/>
      <c r="G7647" s="1348"/>
      <c r="H7647" s="1348"/>
      <c r="I7647" s="1348"/>
      <c r="J7647" s="1348"/>
      <c r="K7647" s="1348"/>
    </row>
    <row r="7648" spans="2:11" hidden="1">
      <c r="B7648" s="1348"/>
      <c r="C7648" s="1348"/>
      <c r="D7648" s="1348"/>
      <c r="E7648" s="1348"/>
      <c r="F7648" s="1348"/>
      <c r="G7648" s="1348"/>
      <c r="H7648" s="1348"/>
      <c r="I7648" s="1348"/>
      <c r="J7648" s="1348"/>
      <c r="K7648" s="1348"/>
    </row>
    <row r="7649" spans="2:11" hidden="1">
      <c r="B7649" s="1348"/>
      <c r="C7649" s="1348"/>
      <c r="D7649" s="1348"/>
      <c r="E7649" s="1348"/>
      <c r="F7649" s="1348"/>
      <c r="G7649" s="1348"/>
      <c r="H7649" s="1348"/>
      <c r="I7649" s="1348"/>
      <c r="J7649" s="1348"/>
      <c r="K7649" s="1348"/>
    </row>
    <row r="7650" spans="2:11" hidden="1">
      <c r="B7650" s="1348"/>
      <c r="C7650" s="1348"/>
      <c r="D7650" s="1348"/>
      <c r="E7650" s="1348"/>
      <c r="F7650" s="1348"/>
      <c r="G7650" s="1348"/>
      <c r="H7650" s="1348"/>
      <c r="I7650" s="1348"/>
      <c r="J7650" s="1348"/>
      <c r="K7650" s="1348"/>
    </row>
    <row r="7651" spans="2:11" hidden="1">
      <c r="B7651" s="1348"/>
      <c r="C7651" s="1348"/>
      <c r="D7651" s="1348"/>
      <c r="E7651" s="1348"/>
      <c r="F7651" s="1348"/>
      <c r="G7651" s="1348"/>
      <c r="H7651" s="1348"/>
      <c r="I7651" s="1348"/>
      <c r="J7651" s="1348"/>
      <c r="K7651" s="1348"/>
    </row>
    <row r="7652" spans="2:11" hidden="1">
      <c r="B7652" s="1348"/>
      <c r="C7652" s="1348"/>
      <c r="D7652" s="1348"/>
      <c r="E7652" s="1348"/>
      <c r="F7652" s="1348"/>
      <c r="G7652" s="1348"/>
      <c r="H7652" s="1348"/>
      <c r="I7652" s="1348"/>
      <c r="J7652" s="1348"/>
      <c r="K7652" s="1348"/>
    </row>
    <row r="7653" spans="2:11" hidden="1">
      <c r="B7653" s="1348"/>
      <c r="C7653" s="1348"/>
      <c r="D7653" s="1348"/>
      <c r="E7653" s="1348"/>
      <c r="F7653" s="1348"/>
      <c r="G7653" s="1348"/>
      <c r="H7653" s="1348"/>
      <c r="I7653" s="1348"/>
      <c r="J7653" s="1348"/>
      <c r="K7653" s="1348"/>
    </row>
    <row r="7654" spans="2:11" hidden="1">
      <c r="B7654" s="1348"/>
      <c r="C7654" s="1348"/>
      <c r="D7654" s="1348"/>
      <c r="E7654" s="1348"/>
      <c r="F7654" s="1348"/>
      <c r="G7654" s="1348"/>
      <c r="H7654" s="1348"/>
      <c r="I7654" s="1348"/>
      <c r="J7654" s="1348"/>
      <c r="K7654" s="1348"/>
    </row>
    <row r="7655" spans="2:11" hidden="1">
      <c r="B7655" s="1348"/>
      <c r="C7655" s="1348"/>
      <c r="D7655" s="1348"/>
      <c r="E7655" s="1348"/>
      <c r="F7655" s="1348"/>
      <c r="G7655" s="1348"/>
      <c r="H7655" s="1348"/>
      <c r="I7655" s="1348"/>
      <c r="J7655" s="1348"/>
      <c r="K7655" s="1348"/>
    </row>
    <row r="7656" spans="2:11" hidden="1">
      <c r="B7656" s="1348"/>
      <c r="C7656" s="1348"/>
      <c r="D7656" s="1348"/>
      <c r="E7656" s="1348"/>
      <c r="F7656" s="1348"/>
      <c r="G7656" s="1348"/>
      <c r="H7656" s="1348"/>
      <c r="I7656" s="1348"/>
      <c r="J7656" s="1348"/>
      <c r="K7656" s="1348"/>
    </row>
    <row r="7657" spans="2:11" hidden="1">
      <c r="B7657" s="1348"/>
      <c r="C7657" s="1348"/>
      <c r="D7657" s="1348"/>
      <c r="E7657" s="1348"/>
      <c r="F7657" s="1348"/>
      <c r="G7657" s="1348"/>
      <c r="H7657" s="1348"/>
      <c r="I7657" s="1348"/>
      <c r="J7657" s="1348"/>
      <c r="K7657" s="1348"/>
    </row>
    <row r="7658" spans="2:11" hidden="1">
      <c r="B7658" s="1348"/>
      <c r="C7658" s="1348"/>
      <c r="D7658" s="1348"/>
      <c r="E7658" s="1348"/>
      <c r="F7658" s="1348"/>
      <c r="G7658" s="1348"/>
      <c r="H7658" s="1348"/>
      <c r="I7658" s="1348"/>
      <c r="J7658" s="1348"/>
      <c r="K7658" s="1348"/>
    </row>
    <row r="7659" spans="2:11" hidden="1">
      <c r="B7659" s="1348"/>
      <c r="C7659" s="1348"/>
      <c r="D7659" s="1348"/>
      <c r="E7659" s="1348"/>
      <c r="F7659" s="1348"/>
      <c r="G7659" s="1348"/>
      <c r="H7659" s="1348"/>
      <c r="I7659" s="1348"/>
      <c r="J7659" s="1348"/>
      <c r="K7659" s="1348"/>
    </row>
    <row r="7660" spans="2:11" hidden="1">
      <c r="B7660" s="1348"/>
      <c r="C7660" s="1348"/>
      <c r="D7660" s="1348"/>
      <c r="E7660" s="1348"/>
      <c r="F7660" s="1348"/>
      <c r="G7660" s="1348"/>
      <c r="H7660" s="1348"/>
      <c r="I7660" s="1348"/>
      <c r="J7660" s="1348"/>
      <c r="K7660" s="1348"/>
    </row>
    <row r="7661" spans="2:11" hidden="1">
      <c r="B7661" s="1348"/>
      <c r="C7661" s="1348"/>
      <c r="D7661" s="1348"/>
      <c r="E7661" s="1348"/>
      <c r="F7661" s="1348"/>
      <c r="G7661" s="1348"/>
      <c r="H7661" s="1348"/>
      <c r="I7661" s="1348"/>
      <c r="J7661" s="1348"/>
      <c r="K7661" s="1348"/>
    </row>
    <row r="7662" spans="2:11" hidden="1">
      <c r="B7662" s="1348"/>
      <c r="C7662" s="1348"/>
      <c r="D7662" s="1348"/>
      <c r="E7662" s="1348"/>
      <c r="F7662" s="1348"/>
      <c r="G7662" s="1348"/>
      <c r="H7662" s="1348"/>
      <c r="I7662" s="1348"/>
      <c r="J7662" s="1348"/>
      <c r="K7662" s="1348"/>
    </row>
    <row r="7663" spans="2:11" hidden="1">
      <c r="B7663" s="1348"/>
      <c r="C7663" s="1348"/>
      <c r="D7663" s="1348"/>
      <c r="E7663" s="1348"/>
      <c r="F7663" s="1348"/>
      <c r="G7663" s="1348"/>
      <c r="H7663" s="1348"/>
      <c r="I7663" s="1348"/>
      <c r="J7663" s="1348"/>
      <c r="K7663" s="1348"/>
    </row>
    <row r="7664" spans="2:11" hidden="1">
      <c r="B7664" s="1348"/>
      <c r="C7664" s="1348"/>
      <c r="D7664" s="1348"/>
      <c r="E7664" s="1348"/>
      <c r="F7664" s="1348"/>
      <c r="G7664" s="1348"/>
      <c r="H7664" s="1348"/>
      <c r="I7664" s="1348"/>
      <c r="J7664" s="1348"/>
      <c r="K7664" s="1348"/>
    </row>
    <row r="7665" spans="2:11" hidden="1">
      <c r="B7665" s="1348"/>
      <c r="C7665" s="1348"/>
      <c r="D7665" s="1348"/>
      <c r="E7665" s="1348"/>
      <c r="F7665" s="1348"/>
      <c r="G7665" s="1348"/>
      <c r="H7665" s="1348"/>
      <c r="I7665" s="1348"/>
      <c r="J7665" s="1348"/>
      <c r="K7665" s="1348"/>
    </row>
    <row r="7666" spans="2:11" hidden="1">
      <c r="B7666" s="1348"/>
      <c r="C7666" s="1348"/>
      <c r="D7666" s="1348"/>
      <c r="E7666" s="1348"/>
      <c r="F7666" s="1348"/>
      <c r="G7666" s="1348"/>
      <c r="H7666" s="1348"/>
      <c r="I7666" s="1348"/>
      <c r="J7666" s="1348"/>
      <c r="K7666" s="1348"/>
    </row>
    <row r="7667" spans="2:11" hidden="1">
      <c r="B7667" s="1348"/>
      <c r="C7667" s="1348"/>
      <c r="D7667" s="1348"/>
      <c r="E7667" s="1348"/>
      <c r="F7667" s="1348"/>
      <c r="G7667" s="1348"/>
      <c r="H7667" s="1348"/>
      <c r="I7667" s="1348"/>
      <c r="J7667" s="1348"/>
      <c r="K7667" s="1348"/>
    </row>
    <row r="7668" spans="2:11" hidden="1">
      <c r="B7668" s="1348"/>
      <c r="C7668" s="1348"/>
      <c r="D7668" s="1348"/>
      <c r="E7668" s="1348"/>
      <c r="F7668" s="1348"/>
      <c r="G7668" s="1348"/>
      <c r="H7668" s="1348"/>
      <c r="I7668" s="1348"/>
      <c r="J7668" s="1348"/>
      <c r="K7668" s="1348"/>
    </row>
    <row r="7669" spans="2:11" hidden="1">
      <c r="B7669" s="1348"/>
      <c r="C7669" s="1348"/>
      <c r="D7669" s="1348"/>
      <c r="E7669" s="1348"/>
      <c r="F7669" s="1348"/>
      <c r="G7669" s="1348"/>
      <c r="H7669" s="1348"/>
      <c r="I7669" s="1348"/>
      <c r="J7669" s="1348"/>
      <c r="K7669" s="1348"/>
    </row>
    <row r="7670" spans="2:11" hidden="1">
      <c r="B7670" s="1348"/>
      <c r="C7670" s="1348"/>
      <c r="D7670" s="1348"/>
      <c r="E7670" s="1348"/>
      <c r="F7670" s="1348"/>
      <c r="G7670" s="1348"/>
      <c r="H7670" s="1348"/>
      <c r="I7670" s="1348"/>
      <c r="J7670" s="1348"/>
      <c r="K7670" s="1348"/>
    </row>
    <row r="7671" spans="2:11" hidden="1">
      <c r="B7671" s="1348"/>
      <c r="C7671" s="1348"/>
      <c r="D7671" s="1348"/>
      <c r="E7671" s="1348"/>
      <c r="F7671" s="1348"/>
      <c r="G7671" s="1348"/>
      <c r="H7671" s="1348"/>
      <c r="I7671" s="1348"/>
      <c r="J7671" s="1348"/>
      <c r="K7671" s="1348"/>
    </row>
    <row r="7672" spans="2:11" hidden="1">
      <c r="B7672" s="1348"/>
      <c r="C7672" s="1348"/>
      <c r="D7672" s="1348"/>
      <c r="E7672" s="1348"/>
      <c r="F7672" s="1348"/>
      <c r="G7672" s="1348"/>
      <c r="H7672" s="1348"/>
      <c r="I7672" s="1348"/>
      <c r="J7672" s="1348"/>
      <c r="K7672" s="1348"/>
    </row>
    <row r="7673" spans="2:11" hidden="1">
      <c r="B7673" s="1348"/>
      <c r="C7673" s="1348"/>
      <c r="D7673" s="1348"/>
      <c r="E7673" s="1348"/>
      <c r="F7673" s="1348"/>
      <c r="G7673" s="1348"/>
      <c r="H7673" s="1348"/>
      <c r="I7673" s="1348"/>
      <c r="J7673" s="1348"/>
      <c r="K7673" s="1348"/>
    </row>
    <row r="7674" spans="2:11" hidden="1">
      <c r="B7674" s="1348"/>
      <c r="C7674" s="1348"/>
      <c r="D7674" s="1348"/>
      <c r="E7674" s="1348"/>
      <c r="F7674" s="1348"/>
      <c r="G7674" s="1348"/>
      <c r="H7674" s="1348"/>
      <c r="I7674" s="1348"/>
      <c r="J7674" s="1348"/>
      <c r="K7674" s="1348"/>
    </row>
    <row r="7675" spans="2:11" hidden="1">
      <c r="B7675" s="1348"/>
      <c r="C7675" s="1348"/>
      <c r="D7675" s="1348"/>
      <c r="E7675" s="1348"/>
      <c r="F7675" s="1348"/>
      <c r="G7675" s="1348"/>
      <c r="H7675" s="1348"/>
      <c r="I7675" s="1348"/>
      <c r="J7675" s="1348"/>
      <c r="K7675" s="1348"/>
    </row>
    <row r="7676" spans="2:11" hidden="1">
      <c r="B7676" s="1348"/>
      <c r="C7676" s="1348"/>
      <c r="D7676" s="1348"/>
      <c r="E7676" s="1348"/>
      <c r="F7676" s="1348"/>
      <c r="G7676" s="1348"/>
      <c r="H7676" s="1348"/>
      <c r="I7676" s="1348"/>
      <c r="J7676" s="1348"/>
      <c r="K7676" s="1348"/>
    </row>
    <row r="7677" spans="2:11" hidden="1">
      <c r="B7677" s="1348"/>
      <c r="C7677" s="1348"/>
      <c r="D7677" s="1348"/>
      <c r="E7677" s="1348"/>
      <c r="F7677" s="1348"/>
      <c r="G7677" s="1348"/>
      <c r="H7677" s="1348"/>
      <c r="I7677" s="1348"/>
      <c r="J7677" s="1348"/>
      <c r="K7677" s="1348"/>
    </row>
    <row r="7678" spans="2:11" hidden="1">
      <c r="B7678" s="1348"/>
      <c r="C7678" s="1348"/>
      <c r="D7678" s="1348"/>
      <c r="E7678" s="1348"/>
      <c r="F7678" s="1348"/>
      <c r="G7678" s="1348"/>
      <c r="H7678" s="1348"/>
      <c r="I7678" s="1348"/>
      <c r="J7678" s="1348"/>
      <c r="K7678" s="1348"/>
    </row>
    <row r="7679" spans="2:11" hidden="1">
      <c r="B7679" s="1348"/>
      <c r="C7679" s="1348"/>
      <c r="D7679" s="1348"/>
      <c r="E7679" s="1348"/>
      <c r="F7679" s="1348"/>
      <c r="G7679" s="1348"/>
      <c r="H7679" s="1348"/>
      <c r="I7679" s="1348"/>
      <c r="J7679" s="1348"/>
      <c r="K7679" s="1348"/>
    </row>
    <row r="7680" spans="2:11" hidden="1">
      <c r="B7680" s="1348"/>
      <c r="C7680" s="1348"/>
      <c r="D7680" s="1348"/>
      <c r="E7680" s="1348"/>
      <c r="F7680" s="1348"/>
      <c r="G7680" s="1348"/>
      <c r="H7680" s="1348"/>
      <c r="I7680" s="1348"/>
      <c r="J7680" s="1348"/>
      <c r="K7680" s="1348"/>
    </row>
    <row r="7681" spans="2:11" hidden="1">
      <c r="B7681" s="1348"/>
      <c r="C7681" s="1348"/>
      <c r="D7681" s="1348"/>
      <c r="E7681" s="1348"/>
      <c r="F7681" s="1348"/>
      <c r="G7681" s="1348"/>
      <c r="H7681" s="1348"/>
      <c r="I7681" s="1348"/>
      <c r="J7681" s="1348"/>
      <c r="K7681" s="1348"/>
    </row>
    <row r="7682" spans="2:11" hidden="1">
      <c r="B7682" s="1348"/>
      <c r="C7682" s="1348"/>
      <c r="D7682" s="1348"/>
      <c r="E7682" s="1348"/>
      <c r="F7682" s="1348"/>
      <c r="G7682" s="1348"/>
      <c r="H7682" s="1348"/>
      <c r="I7682" s="1348"/>
      <c r="J7682" s="1348"/>
      <c r="K7682" s="1348"/>
    </row>
    <row r="7683" spans="2:11" hidden="1">
      <c r="B7683" s="1348"/>
      <c r="C7683" s="1348"/>
      <c r="D7683" s="1348"/>
      <c r="E7683" s="1348"/>
      <c r="F7683" s="1348"/>
      <c r="G7683" s="1348"/>
      <c r="H7683" s="1348"/>
      <c r="I7683" s="1348"/>
      <c r="J7683" s="1348"/>
      <c r="K7683" s="1348"/>
    </row>
    <row r="7684" spans="2:11" hidden="1">
      <c r="B7684" s="1348"/>
      <c r="C7684" s="1348"/>
      <c r="D7684" s="1348"/>
      <c r="E7684" s="1348"/>
      <c r="F7684" s="1348"/>
      <c r="G7684" s="1348"/>
      <c r="H7684" s="1348"/>
      <c r="I7684" s="1348"/>
      <c r="J7684" s="1348"/>
      <c r="K7684" s="1348"/>
    </row>
    <row r="7685" spans="2:11" hidden="1">
      <c r="B7685" s="1348"/>
      <c r="C7685" s="1348"/>
      <c r="D7685" s="1348"/>
      <c r="E7685" s="1348"/>
      <c r="F7685" s="1348"/>
      <c r="G7685" s="1348"/>
      <c r="H7685" s="1348"/>
      <c r="I7685" s="1348"/>
      <c r="J7685" s="1348"/>
      <c r="K7685" s="1348"/>
    </row>
    <row r="7686" spans="2:11" hidden="1">
      <c r="B7686" s="1348"/>
      <c r="C7686" s="1348"/>
      <c r="D7686" s="1348"/>
      <c r="E7686" s="1348"/>
      <c r="F7686" s="1348"/>
      <c r="G7686" s="1348"/>
      <c r="H7686" s="1348"/>
      <c r="I7686" s="1348"/>
      <c r="J7686" s="1348"/>
      <c r="K7686" s="1348"/>
    </row>
    <row r="7687" spans="2:11" hidden="1">
      <c r="B7687" s="1348"/>
      <c r="C7687" s="1348"/>
      <c r="D7687" s="1348"/>
      <c r="E7687" s="1348"/>
      <c r="F7687" s="1348"/>
      <c r="G7687" s="1348"/>
      <c r="H7687" s="1348"/>
      <c r="I7687" s="1348"/>
      <c r="J7687" s="1348"/>
      <c r="K7687" s="1348"/>
    </row>
    <row r="7688" spans="2:11" hidden="1">
      <c r="B7688" s="1348"/>
      <c r="C7688" s="1348"/>
      <c r="D7688" s="1348"/>
      <c r="E7688" s="1348"/>
      <c r="F7688" s="1348"/>
      <c r="G7688" s="1348"/>
      <c r="H7688" s="1348"/>
      <c r="I7688" s="1348"/>
      <c r="J7688" s="1348"/>
      <c r="K7688" s="1348"/>
    </row>
    <row r="7689" spans="2:11" hidden="1">
      <c r="B7689" s="1348"/>
      <c r="C7689" s="1348"/>
      <c r="D7689" s="1348"/>
      <c r="E7689" s="1348"/>
      <c r="F7689" s="1348"/>
      <c r="G7689" s="1348"/>
      <c r="H7689" s="1348"/>
      <c r="I7689" s="1348"/>
      <c r="J7689" s="1348"/>
      <c r="K7689" s="1348"/>
    </row>
    <row r="7690" spans="2:11" hidden="1">
      <c r="B7690" s="1348"/>
      <c r="C7690" s="1348"/>
      <c r="D7690" s="1348"/>
      <c r="E7690" s="1348"/>
      <c r="F7690" s="1348"/>
      <c r="G7690" s="1348"/>
      <c r="H7690" s="1348"/>
      <c r="I7690" s="1348"/>
      <c r="J7690" s="1348"/>
      <c r="K7690" s="1348"/>
    </row>
    <row r="7691" spans="2:11" hidden="1">
      <c r="B7691" s="1348"/>
      <c r="C7691" s="1348"/>
      <c r="D7691" s="1348"/>
      <c r="E7691" s="1348"/>
      <c r="F7691" s="1348"/>
      <c r="G7691" s="1348"/>
      <c r="H7691" s="1348"/>
      <c r="I7691" s="1348"/>
      <c r="J7691" s="1348"/>
      <c r="K7691" s="1348"/>
    </row>
    <row r="7692" spans="2:11" hidden="1">
      <c r="B7692" s="1348"/>
      <c r="C7692" s="1348"/>
      <c r="D7692" s="1348"/>
      <c r="E7692" s="1348"/>
      <c r="F7692" s="1348"/>
      <c r="G7692" s="1348"/>
      <c r="H7692" s="1348"/>
      <c r="I7692" s="1348"/>
      <c r="J7692" s="1348"/>
      <c r="K7692" s="1348"/>
    </row>
    <row r="7693" spans="2:11" hidden="1">
      <c r="B7693" s="1348"/>
      <c r="C7693" s="1348"/>
      <c r="D7693" s="1348"/>
      <c r="E7693" s="1348"/>
      <c r="F7693" s="1348"/>
      <c r="G7693" s="1348"/>
      <c r="H7693" s="1348"/>
      <c r="I7693" s="1348"/>
      <c r="J7693" s="1348"/>
      <c r="K7693" s="1348"/>
    </row>
    <row r="7694" spans="2:11" hidden="1">
      <c r="B7694" s="1348"/>
      <c r="C7694" s="1348"/>
      <c r="D7694" s="1348"/>
      <c r="E7694" s="1348"/>
      <c r="F7694" s="1348"/>
      <c r="G7694" s="1348"/>
      <c r="H7694" s="1348"/>
      <c r="I7694" s="1348"/>
      <c r="J7694" s="1348"/>
      <c r="K7694" s="1348"/>
    </row>
    <row r="7695" spans="2:11" hidden="1">
      <c r="B7695" s="1348"/>
      <c r="C7695" s="1348"/>
      <c r="D7695" s="1348"/>
      <c r="E7695" s="1348"/>
      <c r="F7695" s="1348"/>
      <c r="G7695" s="1348"/>
      <c r="H7695" s="1348"/>
      <c r="I7695" s="1348"/>
      <c r="J7695" s="1348"/>
      <c r="K7695" s="1348"/>
    </row>
    <row r="7696" spans="2:11" hidden="1">
      <c r="B7696" s="1348"/>
      <c r="C7696" s="1348"/>
      <c r="D7696" s="1348"/>
      <c r="E7696" s="1348"/>
      <c r="F7696" s="1348"/>
      <c r="G7696" s="1348"/>
      <c r="H7696" s="1348"/>
      <c r="I7696" s="1348"/>
      <c r="J7696" s="1348"/>
      <c r="K7696" s="1348"/>
    </row>
    <row r="7697" spans="2:11" hidden="1">
      <c r="B7697" s="1348"/>
      <c r="C7697" s="1348"/>
      <c r="D7697" s="1348"/>
      <c r="E7697" s="1348"/>
      <c r="F7697" s="1348"/>
      <c r="G7697" s="1348"/>
      <c r="H7697" s="1348"/>
      <c r="I7697" s="1348"/>
      <c r="J7697" s="1348"/>
      <c r="K7697" s="1348"/>
    </row>
    <row r="7698" spans="2:11" hidden="1">
      <c r="B7698" s="1348"/>
      <c r="C7698" s="1348"/>
      <c r="D7698" s="1348"/>
      <c r="E7698" s="1348"/>
      <c r="F7698" s="1348"/>
      <c r="G7698" s="1348"/>
      <c r="H7698" s="1348"/>
      <c r="I7698" s="1348"/>
      <c r="J7698" s="1348"/>
      <c r="K7698" s="1348"/>
    </row>
    <row r="7699" spans="2:11" hidden="1">
      <c r="B7699" s="1348"/>
      <c r="C7699" s="1348"/>
      <c r="D7699" s="1348"/>
      <c r="E7699" s="1348"/>
      <c r="F7699" s="1348"/>
      <c r="G7699" s="1348"/>
      <c r="H7699" s="1348"/>
      <c r="I7699" s="1348"/>
      <c r="J7699" s="1348"/>
      <c r="K7699" s="1348"/>
    </row>
    <row r="7700" spans="2:11" hidden="1">
      <c r="B7700" s="1348"/>
      <c r="C7700" s="1348"/>
      <c r="D7700" s="1348"/>
      <c r="E7700" s="1348"/>
      <c r="F7700" s="1348"/>
      <c r="G7700" s="1348"/>
      <c r="H7700" s="1348"/>
      <c r="I7700" s="1348"/>
      <c r="J7700" s="1348"/>
      <c r="K7700" s="1348"/>
    </row>
    <row r="7701" spans="2:11" hidden="1">
      <c r="B7701" s="1348"/>
      <c r="C7701" s="1348"/>
      <c r="D7701" s="1348"/>
      <c r="E7701" s="1348"/>
      <c r="F7701" s="1348"/>
      <c r="G7701" s="1348"/>
      <c r="H7701" s="1348"/>
      <c r="I7701" s="1348"/>
      <c r="J7701" s="1348"/>
      <c r="K7701" s="1348"/>
    </row>
    <row r="7702" spans="2:11" hidden="1">
      <c r="B7702" s="1348"/>
      <c r="C7702" s="1348"/>
      <c r="D7702" s="1348"/>
      <c r="E7702" s="1348"/>
      <c r="F7702" s="1348"/>
      <c r="G7702" s="1348"/>
      <c r="H7702" s="1348"/>
      <c r="I7702" s="1348"/>
      <c r="J7702" s="1348"/>
      <c r="K7702" s="1348"/>
    </row>
    <row r="7703" spans="2:11" hidden="1">
      <c r="B7703" s="1348"/>
      <c r="C7703" s="1348"/>
      <c r="D7703" s="1348"/>
      <c r="E7703" s="1348"/>
      <c r="F7703" s="1348"/>
      <c r="G7703" s="1348"/>
      <c r="H7703" s="1348"/>
      <c r="I7703" s="1348"/>
      <c r="J7703" s="1348"/>
      <c r="K7703" s="1348"/>
    </row>
    <row r="7704" spans="2:11" hidden="1">
      <c r="B7704" s="1348"/>
      <c r="C7704" s="1348"/>
      <c r="D7704" s="1348"/>
      <c r="E7704" s="1348"/>
      <c r="F7704" s="1348"/>
      <c r="G7704" s="1348"/>
      <c r="H7704" s="1348"/>
      <c r="I7704" s="1348"/>
      <c r="J7704" s="1348"/>
      <c r="K7704" s="1348"/>
    </row>
    <row r="7705" spans="2:11" hidden="1">
      <c r="B7705" s="1348"/>
      <c r="C7705" s="1348"/>
      <c r="D7705" s="1348"/>
      <c r="E7705" s="1348"/>
      <c r="F7705" s="1348"/>
      <c r="G7705" s="1348"/>
      <c r="H7705" s="1348"/>
      <c r="I7705" s="1348"/>
      <c r="J7705" s="1348"/>
      <c r="K7705" s="1348"/>
    </row>
    <row r="7706" spans="2:11" hidden="1">
      <c r="B7706" s="1348"/>
      <c r="C7706" s="1348"/>
      <c r="D7706" s="1348"/>
      <c r="E7706" s="1348"/>
      <c r="F7706" s="1348"/>
      <c r="G7706" s="1348"/>
      <c r="H7706" s="1348"/>
      <c r="I7706" s="1348"/>
      <c r="J7706" s="1348"/>
      <c r="K7706" s="1348"/>
    </row>
    <row r="7707" spans="2:11" hidden="1">
      <c r="B7707" s="1348"/>
      <c r="C7707" s="1348"/>
      <c r="D7707" s="1348"/>
      <c r="E7707" s="1348"/>
      <c r="F7707" s="1348"/>
      <c r="G7707" s="1348"/>
      <c r="H7707" s="1348"/>
      <c r="I7707" s="1348"/>
      <c r="J7707" s="1348"/>
      <c r="K7707" s="1348"/>
    </row>
    <row r="7708" spans="2:11" hidden="1">
      <c r="B7708" s="1348"/>
      <c r="C7708" s="1348"/>
      <c r="D7708" s="1348"/>
      <c r="E7708" s="1348"/>
      <c r="F7708" s="1348"/>
      <c r="G7708" s="1348"/>
      <c r="H7708" s="1348"/>
      <c r="I7708" s="1348"/>
      <c r="J7708" s="1348"/>
      <c r="K7708" s="1348"/>
    </row>
    <row r="7709" spans="2:11" hidden="1">
      <c r="B7709" s="1348"/>
      <c r="C7709" s="1348"/>
      <c r="D7709" s="1348"/>
      <c r="E7709" s="1348"/>
      <c r="F7709" s="1348"/>
      <c r="G7709" s="1348"/>
      <c r="H7709" s="1348"/>
      <c r="I7709" s="1348"/>
      <c r="J7709" s="1348"/>
      <c r="K7709" s="1348"/>
    </row>
    <row r="7710" spans="2:11" hidden="1">
      <c r="B7710" s="1348"/>
      <c r="C7710" s="1348"/>
      <c r="D7710" s="1348"/>
      <c r="E7710" s="1348"/>
      <c r="F7710" s="1348"/>
      <c r="G7710" s="1348"/>
      <c r="H7710" s="1348"/>
      <c r="I7710" s="1348"/>
      <c r="J7710" s="1348"/>
      <c r="K7710" s="1348"/>
    </row>
    <row r="7711" spans="2:11" hidden="1">
      <c r="B7711" s="1348"/>
      <c r="C7711" s="1348"/>
      <c r="D7711" s="1348"/>
      <c r="E7711" s="1348"/>
      <c r="F7711" s="1348"/>
      <c r="G7711" s="1348"/>
      <c r="H7711" s="1348"/>
      <c r="I7711" s="1348"/>
      <c r="J7711" s="1348"/>
      <c r="K7711" s="1348"/>
    </row>
    <row r="7712" spans="2:11" hidden="1">
      <c r="B7712" s="1348"/>
      <c r="C7712" s="1348"/>
      <c r="D7712" s="1348"/>
      <c r="E7712" s="1348"/>
      <c r="F7712" s="1348"/>
      <c r="G7712" s="1348"/>
      <c r="H7712" s="1348"/>
      <c r="I7712" s="1348"/>
      <c r="J7712" s="1348"/>
      <c r="K7712" s="1348"/>
    </row>
    <row r="7713" spans="2:11" hidden="1">
      <c r="B7713" s="1348"/>
      <c r="C7713" s="1348"/>
      <c r="D7713" s="1348"/>
      <c r="E7713" s="1348"/>
      <c r="F7713" s="1348"/>
      <c r="G7713" s="1348"/>
      <c r="H7713" s="1348"/>
      <c r="I7713" s="1348"/>
      <c r="J7713" s="1348"/>
      <c r="K7713" s="1348"/>
    </row>
    <row r="7714" spans="2:11" hidden="1">
      <c r="B7714" s="1348"/>
      <c r="C7714" s="1348"/>
      <c r="D7714" s="1348"/>
      <c r="E7714" s="1348"/>
      <c r="F7714" s="1348"/>
      <c r="G7714" s="1348"/>
      <c r="H7714" s="1348"/>
      <c r="I7714" s="1348"/>
      <c r="J7714" s="1348"/>
      <c r="K7714" s="1348"/>
    </row>
    <row r="7715" spans="2:11" hidden="1">
      <c r="B7715" s="1348"/>
      <c r="C7715" s="1348"/>
      <c r="D7715" s="1348"/>
      <c r="E7715" s="1348"/>
      <c r="F7715" s="1348"/>
      <c r="G7715" s="1348"/>
      <c r="H7715" s="1348"/>
      <c r="I7715" s="1348"/>
      <c r="J7715" s="1348"/>
      <c r="K7715" s="1348"/>
    </row>
    <row r="7716" spans="2:11" hidden="1">
      <c r="B7716" s="1348"/>
      <c r="C7716" s="1348"/>
      <c r="D7716" s="1348"/>
      <c r="E7716" s="1348"/>
      <c r="F7716" s="1348"/>
      <c r="G7716" s="1348"/>
      <c r="H7716" s="1348"/>
      <c r="I7716" s="1348"/>
      <c r="J7716" s="1348"/>
      <c r="K7716" s="1348"/>
    </row>
    <row r="7717" spans="2:11" hidden="1">
      <c r="B7717" s="1348"/>
      <c r="C7717" s="1348"/>
      <c r="D7717" s="1348"/>
      <c r="E7717" s="1348"/>
      <c r="F7717" s="1348"/>
      <c r="G7717" s="1348"/>
      <c r="H7717" s="1348"/>
      <c r="I7717" s="1348"/>
      <c r="J7717" s="1348"/>
      <c r="K7717" s="1348"/>
    </row>
    <row r="7718" spans="2:11" hidden="1">
      <c r="B7718" s="1348"/>
      <c r="C7718" s="1348"/>
      <c r="D7718" s="1348"/>
      <c r="E7718" s="1348"/>
      <c r="F7718" s="1348"/>
      <c r="G7718" s="1348"/>
      <c r="H7718" s="1348"/>
      <c r="I7718" s="1348"/>
      <c r="J7718" s="1348"/>
      <c r="K7718" s="1348"/>
    </row>
    <row r="7719" spans="2:11" hidden="1">
      <c r="B7719" s="1348"/>
      <c r="C7719" s="1348"/>
      <c r="D7719" s="1348"/>
      <c r="E7719" s="1348"/>
      <c r="F7719" s="1348"/>
      <c r="G7719" s="1348"/>
      <c r="H7719" s="1348"/>
      <c r="I7719" s="1348"/>
      <c r="J7719" s="1348"/>
      <c r="K7719" s="1348"/>
    </row>
    <row r="7720" spans="2:11" hidden="1">
      <c r="B7720" s="1348"/>
      <c r="C7720" s="1348"/>
      <c r="D7720" s="1348"/>
      <c r="E7720" s="1348"/>
      <c r="F7720" s="1348"/>
      <c r="G7720" s="1348"/>
      <c r="H7720" s="1348"/>
      <c r="I7720" s="1348"/>
      <c r="J7720" s="1348"/>
      <c r="K7720" s="1348"/>
    </row>
    <row r="7721" spans="2:11" hidden="1">
      <c r="B7721" s="1348"/>
      <c r="C7721" s="1348"/>
      <c r="D7721" s="1348"/>
      <c r="E7721" s="1348"/>
      <c r="F7721" s="1348"/>
      <c r="G7721" s="1348"/>
      <c r="H7721" s="1348"/>
      <c r="I7721" s="1348"/>
      <c r="J7721" s="1348"/>
      <c r="K7721" s="1348"/>
    </row>
    <row r="7722" spans="2:11" hidden="1">
      <c r="B7722" s="1348"/>
      <c r="C7722" s="1348"/>
      <c r="D7722" s="1348"/>
      <c r="E7722" s="1348"/>
      <c r="F7722" s="1348"/>
      <c r="G7722" s="1348"/>
      <c r="H7722" s="1348"/>
      <c r="I7722" s="1348"/>
      <c r="J7722" s="1348"/>
      <c r="K7722" s="1348"/>
    </row>
    <row r="7723" spans="2:11" hidden="1">
      <c r="B7723" s="1348"/>
      <c r="C7723" s="1348"/>
      <c r="D7723" s="1348"/>
      <c r="E7723" s="1348"/>
      <c r="F7723" s="1348"/>
      <c r="G7723" s="1348"/>
      <c r="H7723" s="1348"/>
      <c r="I7723" s="1348"/>
      <c r="J7723" s="1348"/>
      <c r="K7723" s="1348"/>
    </row>
    <row r="7724" spans="2:11" hidden="1">
      <c r="B7724" s="1348"/>
      <c r="C7724" s="1348"/>
      <c r="D7724" s="1348"/>
      <c r="E7724" s="1348"/>
      <c r="F7724" s="1348"/>
      <c r="G7724" s="1348"/>
      <c r="H7724" s="1348"/>
      <c r="I7724" s="1348"/>
      <c r="J7724" s="1348"/>
      <c r="K7724" s="1348"/>
    </row>
    <row r="7725" spans="2:11" hidden="1">
      <c r="B7725" s="1348"/>
      <c r="C7725" s="1348"/>
      <c r="D7725" s="1348"/>
      <c r="E7725" s="1348"/>
      <c r="F7725" s="1348"/>
      <c r="G7725" s="1348"/>
      <c r="H7725" s="1348"/>
      <c r="I7725" s="1348"/>
      <c r="J7725" s="1348"/>
      <c r="K7725" s="1348"/>
    </row>
    <row r="7726" spans="2:11" hidden="1">
      <c r="B7726" s="1348"/>
      <c r="C7726" s="1348"/>
      <c r="D7726" s="1348"/>
      <c r="E7726" s="1348"/>
      <c r="F7726" s="1348"/>
      <c r="G7726" s="1348"/>
      <c r="H7726" s="1348"/>
      <c r="I7726" s="1348"/>
      <c r="J7726" s="1348"/>
      <c r="K7726" s="1348"/>
    </row>
    <row r="7727" spans="2:11" hidden="1">
      <c r="B7727" s="1348"/>
      <c r="C7727" s="1348"/>
      <c r="D7727" s="1348"/>
      <c r="E7727" s="1348"/>
      <c r="F7727" s="1348"/>
      <c r="G7727" s="1348"/>
      <c r="H7727" s="1348"/>
      <c r="I7727" s="1348"/>
      <c r="J7727" s="1348"/>
      <c r="K7727" s="1348"/>
    </row>
    <row r="7728" spans="2:11" hidden="1">
      <c r="B7728" s="1348"/>
      <c r="C7728" s="1348"/>
      <c r="D7728" s="1348"/>
      <c r="E7728" s="1348"/>
      <c r="F7728" s="1348"/>
      <c r="G7728" s="1348"/>
      <c r="H7728" s="1348"/>
      <c r="I7728" s="1348"/>
      <c r="J7728" s="1348"/>
      <c r="K7728" s="1348"/>
    </row>
    <row r="7729" spans="2:11" hidden="1">
      <c r="B7729" s="1348"/>
      <c r="C7729" s="1348"/>
      <c r="D7729" s="1348"/>
      <c r="E7729" s="1348"/>
      <c r="F7729" s="1348"/>
      <c r="G7729" s="1348"/>
      <c r="H7729" s="1348"/>
      <c r="I7729" s="1348"/>
      <c r="J7729" s="1348"/>
      <c r="K7729" s="1348"/>
    </row>
    <row r="7730" spans="2:11" hidden="1">
      <c r="B7730" s="1348"/>
      <c r="C7730" s="1348"/>
      <c r="D7730" s="1348"/>
      <c r="E7730" s="1348"/>
      <c r="F7730" s="1348"/>
      <c r="G7730" s="1348"/>
      <c r="H7730" s="1348"/>
      <c r="I7730" s="1348"/>
      <c r="J7730" s="1348"/>
      <c r="K7730" s="1348"/>
    </row>
    <row r="7731" spans="2:11" hidden="1">
      <c r="B7731" s="1348"/>
      <c r="C7731" s="1348"/>
      <c r="D7731" s="1348"/>
      <c r="E7731" s="1348"/>
      <c r="F7731" s="1348"/>
      <c r="G7731" s="1348"/>
      <c r="H7731" s="1348"/>
      <c r="I7731" s="1348"/>
      <c r="J7731" s="1348"/>
      <c r="K7731" s="1348"/>
    </row>
    <row r="7732" spans="2:11" hidden="1">
      <c r="B7732" s="1348"/>
      <c r="C7732" s="1348"/>
      <c r="D7732" s="1348"/>
      <c r="E7732" s="1348"/>
      <c r="F7732" s="1348"/>
      <c r="G7732" s="1348"/>
      <c r="H7732" s="1348"/>
      <c r="I7732" s="1348"/>
      <c r="J7732" s="1348"/>
      <c r="K7732" s="1348"/>
    </row>
    <row r="7733" spans="2:11" hidden="1">
      <c r="B7733" s="1348"/>
      <c r="C7733" s="1348"/>
      <c r="D7733" s="1348"/>
      <c r="E7733" s="1348"/>
      <c r="F7733" s="1348"/>
      <c r="G7733" s="1348"/>
      <c r="H7733" s="1348"/>
      <c r="I7733" s="1348"/>
      <c r="J7733" s="1348"/>
      <c r="K7733" s="1348"/>
    </row>
    <row r="7734" spans="2:11" hidden="1">
      <c r="B7734" s="1348"/>
      <c r="C7734" s="1348"/>
      <c r="D7734" s="1348"/>
      <c r="E7734" s="1348"/>
      <c r="F7734" s="1348"/>
      <c r="G7734" s="1348"/>
      <c r="H7734" s="1348"/>
      <c r="I7734" s="1348"/>
      <c r="J7734" s="1348"/>
      <c r="K7734" s="1348"/>
    </row>
    <row r="7735" spans="2:11" hidden="1">
      <c r="B7735" s="1348"/>
      <c r="C7735" s="1348"/>
      <c r="D7735" s="1348"/>
      <c r="E7735" s="1348"/>
      <c r="F7735" s="1348"/>
      <c r="G7735" s="1348"/>
      <c r="H7735" s="1348"/>
      <c r="I7735" s="1348"/>
      <c r="J7735" s="1348"/>
      <c r="K7735" s="1348"/>
    </row>
    <row r="7736" spans="2:11" hidden="1">
      <c r="B7736" s="1348"/>
      <c r="C7736" s="1348"/>
      <c r="D7736" s="1348"/>
      <c r="E7736" s="1348"/>
      <c r="F7736" s="1348"/>
      <c r="G7736" s="1348"/>
      <c r="H7736" s="1348"/>
      <c r="I7736" s="1348"/>
      <c r="J7736" s="1348"/>
      <c r="K7736" s="1348"/>
    </row>
    <row r="7737" spans="2:11" hidden="1">
      <c r="B7737" s="1348"/>
      <c r="C7737" s="1348"/>
      <c r="D7737" s="1348"/>
      <c r="E7737" s="1348"/>
      <c r="F7737" s="1348"/>
      <c r="G7737" s="1348"/>
      <c r="H7737" s="1348"/>
      <c r="I7737" s="1348"/>
      <c r="J7737" s="1348"/>
      <c r="K7737" s="1348"/>
    </row>
    <row r="7738" spans="2:11" hidden="1">
      <c r="B7738" s="1348"/>
      <c r="C7738" s="1348"/>
      <c r="D7738" s="1348"/>
      <c r="E7738" s="1348"/>
      <c r="F7738" s="1348"/>
      <c r="G7738" s="1348"/>
      <c r="H7738" s="1348"/>
      <c r="I7738" s="1348"/>
      <c r="J7738" s="1348"/>
      <c r="K7738" s="1348"/>
    </row>
    <row r="7739" spans="2:11" hidden="1">
      <c r="B7739" s="1348"/>
      <c r="C7739" s="1348"/>
      <c r="D7739" s="1348"/>
      <c r="E7739" s="1348"/>
      <c r="F7739" s="1348"/>
      <c r="G7739" s="1348"/>
      <c r="H7739" s="1348"/>
      <c r="I7739" s="1348"/>
      <c r="J7739" s="1348"/>
      <c r="K7739" s="1348"/>
    </row>
    <row r="7740" spans="2:11" hidden="1">
      <c r="B7740" s="1348"/>
      <c r="C7740" s="1348"/>
      <c r="D7740" s="1348"/>
      <c r="E7740" s="1348"/>
      <c r="F7740" s="1348"/>
      <c r="G7740" s="1348"/>
      <c r="H7740" s="1348"/>
      <c r="I7740" s="1348"/>
      <c r="J7740" s="1348"/>
      <c r="K7740" s="1348"/>
    </row>
    <row r="7741" spans="2:11" hidden="1">
      <c r="B7741" s="1348"/>
      <c r="C7741" s="1348"/>
      <c r="D7741" s="1348"/>
      <c r="E7741" s="1348"/>
      <c r="F7741" s="1348"/>
      <c r="G7741" s="1348"/>
      <c r="H7741" s="1348"/>
      <c r="I7741" s="1348"/>
      <c r="J7741" s="1348"/>
      <c r="K7741" s="1348"/>
    </row>
    <row r="7742" spans="2:11" hidden="1">
      <c r="B7742" s="1348"/>
      <c r="C7742" s="1348"/>
      <c r="D7742" s="1348"/>
      <c r="E7742" s="1348"/>
      <c r="F7742" s="1348"/>
      <c r="G7742" s="1348"/>
      <c r="H7742" s="1348"/>
      <c r="I7742" s="1348"/>
      <c r="J7742" s="1348"/>
      <c r="K7742" s="1348"/>
    </row>
    <row r="7743" spans="2:11" hidden="1">
      <c r="B7743" s="1348"/>
      <c r="C7743" s="1348"/>
      <c r="D7743" s="1348"/>
      <c r="E7743" s="1348"/>
      <c r="F7743" s="1348"/>
      <c r="G7743" s="1348"/>
      <c r="H7743" s="1348"/>
      <c r="I7743" s="1348"/>
      <c r="J7743" s="1348"/>
      <c r="K7743" s="1348"/>
    </row>
    <row r="7744" spans="2:11" hidden="1">
      <c r="B7744" s="1348"/>
      <c r="C7744" s="1348"/>
      <c r="D7744" s="1348"/>
      <c r="E7744" s="1348"/>
      <c r="F7744" s="1348"/>
      <c r="G7744" s="1348"/>
      <c r="H7744" s="1348"/>
      <c r="I7744" s="1348"/>
      <c r="J7744" s="1348"/>
      <c r="K7744" s="1348"/>
    </row>
    <row r="7745" spans="2:11" hidden="1">
      <c r="B7745" s="1348"/>
      <c r="C7745" s="1348"/>
      <c r="D7745" s="1348"/>
      <c r="E7745" s="1348"/>
      <c r="F7745" s="1348"/>
      <c r="G7745" s="1348"/>
      <c r="H7745" s="1348"/>
      <c r="I7745" s="1348"/>
      <c r="J7745" s="1348"/>
      <c r="K7745" s="1348"/>
    </row>
    <row r="7746" spans="2:11" hidden="1">
      <c r="B7746" s="1348"/>
      <c r="C7746" s="1348"/>
      <c r="D7746" s="1348"/>
      <c r="E7746" s="1348"/>
      <c r="F7746" s="1348"/>
      <c r="G7746" s="1348"/>
      <c r="H7746" s="1348"/>
      <c r="I7746" s="1348"/>
      <c r="J7746" s="1348"/>
      <c r="K7746" s="1348"/>
    </row>
    <row r="7747" spans="2:11" hidden="1">
      <c r="B7747" s="1348"/>
      <c r="C7747" s="1348"/>
      <c r="D7747" s="1348"/>
      <c r="E7747" s="1348"/>
      <c r="F7747" s="1348"/>
      <c r="G7747" s="1348"/>
      <c r="H7747" s="1348"/>
      <c r="I7747" s="1348"/>
      <c r="J7747" s="1348"/>
      <c r="K7747" s="1348"/>
    </row>
    <row r="7748" spans="2:11" hidden="1">
      <c r="B7748" s="1348"/>
      <c r="C7748" s="1348"/>
      <c r="D7748" s="1348"/>
      <c r="E7748" s="1348"/>
      <c r="F7748" s="1348"/>
      <c r="G7748" s="1348"/>
      <c r="H7748" s="1348"/>
      <c r="I7748" s="1348"/>
      <c r="J7748" s="1348"/>
      <c r="K7748" s="1348"/>
    </row>
    <row r="7749" spans="2:11" hidden="1">
      <c r="B7749" s="1348"/>
      <c r="C7749" s="1348"/>
      <c r="D7749" s="1348"/>
      <c r="E7749" s="1348"/>
      <c r="F7749" s="1348"/>
      <c r="G7749" s="1348"/>
      <c r="H7749" s="1348"/>
      <c r="I7749" s="1348"/>
      <c r="J7749" s="1348"/>
      <c r="K7749" s="1348"/>
    </row>
    <row r="7750" spans="2:11" hidden="1">
      <c r="B7750" s="1348"/>
      <c r="C7750" s="1348"/>
      <c r="D7750" s="1348"/>
      <c r="E7750" s="1348"/>
      <c r="F7750" s="1348"/>
      <c r="G7750" s="1348"/>
      <c r="H7750" s="1348"/>
      <c r="I7750" s="1348"/>
      <c r="J7750" s="1348"/>
      <c r="K7750" s="1348"/>
    </row>
    <row r="7751" spans="2:11" hidden="1">
      <c r="B7751" s="1348"/>
      <c r="C7751" s="1348"/>
      <c r="D7751" s="1348"/>
      <c r="E7751" s="1348"/>
      <c r="F7751" s="1348"/>
      <c r="G7751" s="1348"/>
      <c r="H7751" s="1348"/>
      <c r="I7751" s="1348"/>
      <c r="J7751" s="1348"/>
      <c r="K7751" s="1348"/>
    </row>
    <row r="7752" spans="2:11" hidden="1">
      <c r="B7752" s="1348"/>
      <c r="C7752" s="1348"/>
      <c r="D7752" s="1348"/>
      <c r="E7752" s="1348"/>
      <c r="F7752" s="1348"/>
      <c r="G7752" s="1348"/>
      <c r="H7752" s="1348"/>
      <c r="I7752" s="1348"/>
      <c r="J7752" s="1348"/>
      <c r="K7752" s="1348"/>
    </row>
    <row r="7753" spans="2:11" hidden="1">
      <c r="B7753" s="1348"/>
      <c r="C7753" s="1348"/>
      <c r="D7753" s="1348"/>
      <c r="E7753" s="1348"/>
      <c r="F7753" s="1348"/>
      <c r="G7753" s="1348"/>
      <c r="H7753" s="1348"/>
      <c r="I7753" s="1348"/>
      <c r="J7753" s="1348"/>
      <c r="K7753" s="1348"/>
    </row>
    <row r="7754" spans="2:11" hidden="1">
      <c r="B7754" s="1348"/>
      <c r="C7754" s="1348"/>
      <c r="D7754" s="1348"/>
      <c r="E7754" s="1348"/>
      <c r="F7754" s="1348"/>
      <c r="G7754" s="1348"/>
      <c r="H7754" s="1348"/>
      <c r="I7754" s="1348"/>
      <c r="J7754" s="1348"/>
      <c r="K7754" s="1348"/>
    </row>
    <row r="7755" spans="2:11" hidden="1">
      <c r="B7755" s="1348"/>
      <c r="C7755" s="1348"/>
      <c r="D7755" s="1348"/>
      <c r="E7755" s="1348"/>
      <c r="F7755" s="1348"/>
      <c r="G7755" s="1348"/>
      <c r="H7755" s="1348"/>
      <c r="I7755" s="1348"/>
      <c r="J7755" s="1348"/>
      <c r="K7755" s="1348"/>
    </row>
    <row r="7756" spans="2:11" hidden="1">
      <c r="B7756" s="1348"/>
      <c r="C7756" s="1348"/>
      <c r="D7756" s="1348"/>
      <c r="E7756" s="1348"/>
      <c r="F7756" s="1348"/>
      <c r="G7756" s="1348"/>
      <c r="H7756" s="1348"/>
      <c r="I7756" s="1348"/>
      <c r="J7756" s="1348"/>
      <c r="K7756" s="1348"/>
    </row>
    <row r="7757" spans="2:11" hidden="1">
      <c r="B7757" s="1348"/>
      <c r="C7757" s="1348"/>
      <c r="D7757" s="1348"/>
      <c r="E7757" s="1348"/>
      <c r="F7757" s="1348"/>
      <c r="G7757" s="1348"/>
      <c r="H7757" s="1348"/>
      <c r="I7757" s="1348"/>
      <c r="J7757" s="1348"/>
      <c r="K7757" s="1348"/>
    </row>
    <row r="7758" spans="2:11" hidden="1">
      <c r="B7758" s="1348"/>
      <c r="C7758" s="1348"/>
      <c r="D7758" s="1348"/>
      <c r="E7758" s="1348"/>
      <c r="F7758" s="1348"/>
      <c r="G7758" s="1348"/>
      <c r="H7758" s="1348"/>
      <c r="I7758" s="1348"/>
      <c r="J7758" s="1348"/>
      <c r="K7758" s="1348"/>
    </row>
    <row r="7759" spans="2:11" hidden="1">
      <c r="B7759" s="1348"/>
      <c r="C7759" s="1348"/>
      <c r="D7759" s="1348"/>
      <c r="E7759" s="1348"/>
      <c r="F7759" s="1348"/>
      <c r="G7759" s="1348"/>
      <c r="H7759" s="1348"/>
      <c r="I7759" s="1348"/>
      <c r="J7759" s="1348"/>
      <c r="K7759" s="1348"/>
    </row>
    <row r="7760" spans="2:11" hidden="1">
      <c r="B7760" s="1348"/>
      <c r="C7760" s="1348"/>
      <c r="D7760" s="1348"/>
      <c r="E7760" s="1348"/>
      <c r="F7760" s="1348"/>
      <c r="G7760" s="1348"/>
      <c r="H7760" s="1348"/>
      <c r="I7760" s="1348"/>
      <c r="J7760" s="1348"/>
      <c r="K7760" s="1348"/>
    </row>
    <row r="7761" spans="2:11" hidden="1">
      <c r="B7761" s="1348"/>
      <c r="C7761" s="1348"/>
      <c r="D7761" s="1348"/>
      <c r="E7761" s="1348"/>
      <c r="F7761" s="1348"/>
      <c r="G7761" s="1348"/>
      <c r="H7761" s="1348"/>
      <c r="I7761" s="1348"/>
      <c r="J7761" s="1348"/>
      <c r="K7761" s="1348"/>
    </row>
    <row r="7762" spans="2:11" hidden="1">
      <c r="B7762" s="1348"/>
      <c r="C7762" s="1348"/>
      <c r="D7762" s="1348"/>
      <c r="E7762" s="1348"/>
      <c r="F7762" s="1348"/>
      <c r="G7762" s="1348"/>
      <c r="H7762" s="1348"/>
      <c r="I7762" s="1348"/>
      <c r="J7762" s="1348"/>
      <c r="K7762" s="1348"/>
    </row>
    <row r="7763" spans="2:11" hidden="1">
      <c r="B7763" s="1348"/>
      <c r="C7763" s="1348"/>
      <c r="D7763" s="1348"/>
      <c r="E7763" s="1348"/>
      <c r="F7763" s="1348"/>
      <c r="G7763" s="1348"/>
      <c r="H7763" s="1348"/>
      <c r="I7763" s="1348"/>
      <c r="J7763" s="1348"/>
      <c r="K7763" s="1348"/>
    </row>
    <row r="7764" spans="2:11" hidden="1">
      <c r="B7764" s="1348"/>
      <c r="C7764" s="1348"/>
      <c r="D7764" s="1348"/>
      <c r="E7764" s="1348"/>
      <c r="F7764" s="1348"/>
      <c r="G7764" s="1348"/>
      <c r="H7764" s="1348"/>
      <c r="I7764" s="1348"/>
      <c r="J7764" s="1348"/>
      <c r="K7764" s="1348"/>
    </row>
    <row r="7765" spans="2:11" hidden="1">
      <c r="B7765" s="1348"/>
      <c r="C7765" s="1348"/>
      <c r="D7765" s="1348"/>
      <c r="E7765" s="1348"/>
      <c r="F7765" s="1348"/>
      <c r="G7765" s="1348"/>
      <c r="H7765" s="1348"/>
      <c r="I7765" s="1348"/>
      <c r="J7765" s="1348"/>
      <c r="K7765" s="1348"/>
    </row>
    <row r="7766" spans="2:11" hidden="1">
      <c r="B7766" s="1348"/>
      <c r="C7766" s="1348"/>
      <c r="D7766" s="1348"/>
      <c r="E7766" s="1348"/>
      <c r="F7766" s="1348"/>
      <c r="G7766" s="1348"/>
      <c r="H7766" s="1348"/>
      <c r="I7766" s="1348"/>
      <c r="J7766" s="1348"/>
      <c r="K7766" s="1348"/>
    </row>
    <row r="7767" spans="2:11" hidden="1">
      <c r="B7767" s="1348"/>
      <c r="C7767" s="1348"/>
      <c r="D7767" s="1348"/>
      <c r="E7767" s="1348"/>
      <c r="F7767" s="1348"/>
      <c r="G7767" s="1348"/>
      <c r="H7767" s="1348"/>
      <c r="I7767" s="1348"/>
      <c r="J7767" s="1348"/>
      <c r="K7767" s="1348"/>
    </row>
    <row r="7768" spans="2:11" hidden="1">
      <c r="B7768" s="1348"/>
      <c r="C7768" s="1348"/>
      <c r="D7768" s="1348"/>
      <c r="E7768" s="1348"/>
      <c r="F7768" s="1348"/>
      <c r="G7768" s="1348"/>
      <c r="H7768" s="1348"/>
      <c r="I7768" s="1348"/>
      <c r="J7768" s="1348"/>
      <c r="K7768" s="1348"/>
    </row>
    <row r="7769" spans="2:11" hidden="1">
      <c r="B7769" s="1348"/>
      <c r="C7769" s="1348"/>
      <c r="D7769" s="1348"/>
      <c r="E7769" s="1348"/>
      <c r="F7769" s="1348"/>
      <c r="G7769" s="1348"/>
      <c r="H7769" s="1348"/>
      <c r="I7769" s="1348"/>
      <c r="J7769" s="1348"/>
      <c r="K7769" s="1348"/>
    </row>
    <row r="7770" spans="2:11" hidden="1">
      <c r="B7770" s="1348"/>
      <c r="C7770" s="1348"/>
      <c r="D7770" s="1348"/>
      <c r="E7770" s="1348"/>
      <c r="F7770" s="1348"/>
      <c r="G7770" s="1348"/>
      <c r="H7770" s="1348"/>
      <c r="I7770" s="1348"/>
      <c r="J7770" s="1348"/>
      <c r="K7770" s="1348"/>
    </row>
    <row r="7771" spans="2:11" hidden="1">
      <c r="B7771" s="1348"/>
      <c r="C7771" s="1348"/>
      <c r="D7771" s="1348"/>
      <c r="E7771" s="1348"/>
      <c r="F7771" s="1348"/>
      <c r="G7771" s="1348"/>
      <c r="H7771" s="1348"/>
      <c r="I7771" s="1348"/>
      <c r="J7771" s="1348"/>
      <c r="K7771" s="1348"/>
    </row>
    <row r="7772" spans="2:11" hidden="1">
      <c r="B7772" s="1348"/>
      <c r="C7772" s="1348"/>
      <c r="D7772" s="1348"/>
      <c r="E7772" s="1348"/>
      <c r="F7772" s="1348"/>
      <c r="G7772" s="1348"/>
      <c r="H7772" s="1348"/>
      <c r="I7772" s="1348"/>
      <c r="J7772" s="1348"/>
      <c r="K7772" s="1348"/>
    </row>
    <row r="7773" spans="2:11" hidden="1">
      <c r="B7773" s="1348"/>
      <c r="C7773" s="1348"/>
      <c r="D7773" s="1348"/>
      <c r="E7773" s="1348"/>
      <c r="F7773" s="1348"/>
      <c r="G7773" s="1348"/>
      <c r="H7773" s="1348"/>
      <c r="I7773" s="1348"/>
      <c r="J7773" s="1348"/>
      <c r="K7773" s="1348"/>
    </row>
    <row r="7774" spans="2:11" hidden="1">
      <c r="B7774" s="1348"/>
      <c r="C7774" s="1348"/>
      <c r="D7774" s="1348"/>
      <c r="E7774" s="1348"/>
      <c r="F7774" s="1348"/>
      <c r="G7774" s="1348"/>
      <c r="H7774" s="1348"/>
      <c r="I7774" s="1348"/>
      <c r="J7774" s="1348"/>
      <c r="K7774" s="1348"/>
    </row>
    <row r="7775" spans="2:11" hidden="1">
      <c r="B7775" s="1348"/>
      <c r="C7775" s="1348"/>
      <c r="D7775" s="1348"/>
      <c r="E7775" s="1348"/>
      <c r="F7775" s="1348"/>
      <c r="G7775" s="1348"/>
      <c r="H7775" s="1348"/>
      <c r="I7775" s="1348"/>
      <c r="J7775" s="1348"/>
      <c r="K7775" s="1348"/>
    </row>
    <row r="7776" spans="2:11" hidden="1">
      <c r="B7776" s="1348"/>
      <c r="C7776" s="1348"/>
      <c r="D7776" s="1348"/>
      <c r="E7776" s="1348"/>
      <c r="F7776" s="1348"/>
      <c r="G7776" s="1348"/>
      <c r="H7776" s="1348"/>
      <c r="I7776" s="1348"/>
      <c r="J7776" s="1348"/>
      <c r="K7776" s="1348"/>
    </row>
    <row r="7777" spans="2:11" hidden="1">
      <c r="B7777" s="1348"/>
      <c r="C7777" s="1348"/>
      <c r="D7777" s="1348"/>
      <c r="E7777" s="1348"/>
      <c r="F7777" s="1348"/>
      <c r="G7777" s="1348"/>
      <c r="H7777" s="1348"/>
      <c r="I7777" s="1348"/>
      <c r="J7777" s="1348"/>
      <c r="K7777" s="1348"/>
    </row>
    <row r="7778" spans="2:11" hidden="1">
      <c r="B7778" s="1348"/>
      <c r="C7778" s="1348"/>
      <c r="D7778" s="1348"/>
      <c r="E7778" s="1348"/>
      <c r="F7778" s="1348"/>
      <c r="G7778" s="1348"/>
      <c r="H7778" s="1348"/>
      <c r="I7778" s="1348"/>
      <c r="J7778" s="1348"/>
      <c r="K7778" s="1348"/>
    </row>
    <row r="7779" spans="2:11" hidden="1">
      <c r="B7779" s="1348"/>
      <c r="C7779" s="1348"/>
      <c r="D7779" s="1348"/>
      <c r="E7779" s="1348"/>
      <c r="F7779" s="1348"/>
      <c r="G7779" s="1348"/>
      <c r="H7779" s="1348"/>
      <c r="I7779" s="1348"/>
      <c r="J7779" s="1348"/>
      <c r="K7779" s="1348"/>
    </row>
    <row r="7780" spans="2:11" hidden="1">
      <c r="B7780" s="1348"/>
      <c r="C7780" s="1348"/>
      <c r="D7780" s="1348"/>
      <c r="E7780" s="1348"/>
      <c r="F7780" s="1348"/>
      <c r="G7780" s="1348"/>
      <c r="H7780" s="1348"/>
      <c r="I7780" s="1348"/>
      <c r="J7780" s="1348"/>
      <c r="K7780" s="1348"/>
    </row>
    <row r="7781" spans="2:11" hidden="1">
      <c r="B7781" s="1348"/>
      <c r="C7781" s="1348"/>
      <c r="D7781" s="1348"/>
      <c r="E7781" s="1348"/>
      <c r="F7781" s="1348"/>
      <c r="G7781" s="1348"/>
      <c r="H7781" s="1348"/>
      <c r="I7781" s="1348"/>
      <c r="J7781" s="1348"/>
      <c r="K7781" s="1348"/>
    </row>
    <row r="7782" spans="2:11" hidden="1">
      <c r="B7782" s="1348"/>
      <c r="C7782" s="1348"/>
      <c r="D7782" s="1348"/>
      <c r="E7782" s="1348"/>
      <c r="F7782" s="1348"/>
      <c r="G7782" s="1348"/>
      <c r="H7782" s="1348"/>
      <c r="I7782" s="1348"/>
      <c r="J7782" s="1348"/>
      <c r="K7782" s="1348"/>
    </row>
    <row r="7783" spans="2:11" hidden="1">
      <c r="B7783" s="1348"/>
      <c r="C7783" s="1348"/>
      <c r="D7783" s="1348"/>
      <c r="E7783" s="1348"/>
      <c r="F7783" s="1348"/>
      <c r="G7783" s="1348"/>
      <c r="H7783" s="1348"/>
      <c r="I7783" s="1348"/>
      <c r="J7783" s="1348"/>
      <c r="K7783" s="1348"/>
    </row>
    <row r="7784" spans="2:11" hidden="1">
      <c r="B7784" s="1348"/>
      <c r="C7784" s="1348"/>
      <c r="D7784" s="1348"/>
      <c r="E7784" s="1348"/>
      <c r="F7784" s="1348"/>
      <c r="G7784" s="1348"/>
      <c r="H7784" s="1348"/>
      <c r="I7784" s="1348"/>
      <c r="J7784" s="1348"/>
      <c r="K7784" s="1348"/>
    </row>
    <row r="7785" spans="2:11" hidden="1">
      <c r="B7785" s="1348"/>
      <c r="C7785" s="1348"/>
      <c r="D7785" s="1348"/>
      <c r="E7785" s="1348"/>
      <c r="F7785" s="1348"/>
      <c r="G7785" s="1348"/>
      <c r="H7785" s="1348"/>
      <c r="I7785" s="1348"/>
      <c r="J7785" s="1348"/>
      <c r="K7785" s="1348"/>
    </row>
    <row r="7786" spans="2:11" hidden="1">
      <c r="B7786" s="1348"/>
      <c r="C7786" s="1348"/>
      <c r="D7786" s="1348"/>
      <c r="E7786" s="1348"/>
      <c r="F7786" s="1348"/>
      <c r="G7786" s="1348"/>
      <c r="H7786" s="1348"/>
      <c r="I7786" s="1348"/>
      <c r="J7786" s="1348"/>
      <c r="K7786" s="1348"/>
    </row>
    <row r="7787" spans="2:11" hidden="1">
      <c r="B7787" s="1348"/>
      <c r="C7787" s="1348"/>
      <c r="D7787" s="1348"/>
      <c r="E7787" s="1348"/>
      <c r="F7787" s="1348"/>
      <c r="G7787" s="1348"/>
      <c r="H7787" s="1348"/>
      <c r="I7787" s="1348"/>
      <c r="J7787" s="1348"/>
      <c r="K7787" s="1348"/>
    </row>
    <row r="7788" spans="2:11" hidden="1">
      <c r="B7788" s="1348"/>
      <c r="C7788" s="1348"/>
      <c r="D7788" s="1348"/>
      <c r="E7788" s="1348"/>
      <c r="F7788" s="1348"/>
      <c r="G7788" s="1348"/>
      <c r="H7788" s="1348"/>
      <c r="I7788" s="1348"/>
      <c r="J7788" s="1348"/>
      <c r="K7788" s="1348"/>
    </row>
    <row r="7789" spans="2:11" hidden="1">
      <c r="B7789" s="1348"/>
      <c r="C7789" s="1348"/>
      <c r="D7789" s="1348"/>
      <c r="E7789" s="1348"/>
      <c r="F7789" s="1348"/>
      <c r="G7789" s="1348"/>
      <c r="H7789" s="1348"/>
      <c r="I7789" s="1348"/>
      <c r="J7789" s="1348"/>
      <c r="K7789" s="1348"/>
    </row>
    <row r="7790" spans="2:11" hidden="1">
      <c r="B7790" s="1348"/>
      <c r="C7790" s="1348"/>
      <c r="D7790" s="1348"/>
      <c r="E7790" s="1348"/>
      <c r="F7790" s="1348"/>
      <c r="G7790" s="1348"/>
      <c r="H7790" s="1348"/>
      <c r="I7790" s="1348"/>
      <c r="J7790" s="1348"/>
      <c r="K7790" s="1348"/>
    </row>
    <row r="7791" spans="2:11" hidden="1">
      <c r="B7791" s="1348"/>
      <c r="C7791" s="1348"/>
      <c r="D7791" s="1348"/>
      <c r="E7791" s="1348"/>
      <c r="F7791" s="1348"/>
      <c r="G7791" s="1348"/>
      <c r="H7791" s="1348"/>
      <c r="I7791" s="1348"/>
      <c r="J7791" s="1348"/>
      <c r="K7791" s="1348"/>
    </row>
    <row r="7792" spans="2:11" hidden="1">
      <c r="B7792" s="1348"/>
      <c r="C7792" s="1348"/>
      <c r="D7792" s="1348"/>
      <c r="E7792" s="1348"/>
      <c r="F7792" s="1348"/>
      <c r="G7792" s="1348"/>
      <c r="H7792" s="1348"/>
      <c r="I7792" s="1348"/>
      <c r="J7792" s="1348"/>
      <c r="K7792" s="1348"/>
    </row>
    <row r="7793" spans="2:11" hidden="1">
      <c r="B7793" s="1348"/>
      <c r="C7793" s="1348"/>
      <c r="D7793" s="1348"/>
      <c r="E7793" s="1348"/>
      <c r="F7793" s="1348"/>
      <c r="G7793" s="1348"/>
      <c r="H7793" s="1348"/>
      <c r="I7793" s="1348"/>
      <c r="J7793" s="1348"/>
      <c r="K7793" s="1348"/>
    </row>
    <row r="7794" spans="2:11" hidden="1">
      <c r="B7794" s="1348"/>
      <c r="C7794" s="1348"/>
      <c r="D7794" s="1348"/>
      <c r="E7794" s="1348"/>
      <c r="F7794" s="1348"/>
      <c r="G7794" s="1348"/>
      <c r="H7794" s="1348"/>
      <c r="I7794" s="1348"/>
      <c r="J7794" s="1348"/>
      <c r="K7794" s="1348"/>
    </row>
    <row r="7795" spans="2:11" hidden="1">
      <c r="B7795" s="1348"/>
      <c r="C7795" s="1348"/>
      <c r="D7795" s="1348"/>
      <c r="E7795" s="1348"/>
      <c r="F7795" s="1348"/>
      <c r="G7795" s="1348"/>
      <c r="H7795" s="1348"/>
      <c r="I7795" s="1348"/>
      <c r="J7795" s="1348"/>
      <c r="K7795" s="1348"/>
    </row>
    <row r="7796" spans="2:11" hidden="1">
      <c r="B7796" s="1348"/>
      <c r="C7796" s="1348"/>
      <c r="D7796" s="1348"/>
      <c r="E7796" s="1348"/>
      <c r="F7796" s="1348"/>
      <c r="G7796" s="1348"/>
      <c r="H7796" s="1348"/>
      <c r="I7796" s="1348"/>
      <c r="J7796" s="1348"/>
      <c r="K7796" s="1348"/>
    </row>
    <row r="7797" spans="2:11" hidden="1">
      <c r="B7797" s="1348"/>
      <c r="C7797" s="1348"/>
      <c r="D7797" s="1348"/>
      <c r="E7797" s="1348"/>
      <c r="F7797" s="1348"/>
      <c r="G7797" s="1348"/>
      <c r="H7797" s="1348"/>
      <c r="I7797" s="1348"/>
      <c r="J7797" s="1348"/>
      <c r="K7797" s="1348"/>
    </row>
    <row r="7798" spans="2:11" hidden="1">
      <c r="B7798" s="1348"/>
      <c r="C7798" s="1348"/>
      <c r="D7798" s="1348"/>
      <c r="E7798" s="1348"/>
      <c r="F7798" s="1348"/>
      <c r="G7798" s="1348"/>
      <c r="H7798" s="1348"/>
      <c r="I7798" s="1348"/>
      <c r="J7798" s="1348"/>
      <c r="K7798" s="1348"/>
    </row>
    <row r="7799" spans="2:11" hidden="1">
      <c r="B7799" s="1348"/>
      <c r="C7799" s="1348"/>
      <c r="D7799" s="1348"/>
      <c r="E7799" s="1348"/>
      <c r="F7799" s="1348"/>
      <c r="G7799" s="1348"/>
      <c r="H7799" s="1348"/>
      <c r="I7799" s="1348"/>
      <c r="J7799" s="1348"/>
      <c r="K7799" s="1348"/>
    </row>
    <row r="7800" spans="2:11" hidden="1">
      <c r="B7800" s="1348"/>
      <c r="C7800" s="1348"/>
      <c r="D7800" s="1348"/>
      <c r="E7800" s="1348"/>
      <c r="F7800" s="1348"/>
      <c r="G7800" s="1348"/>
      <c r="H7800" s="1348"/>
      <c r="I7800" s="1348"/>
      <c r="J7800" s="1348"/>
      <c r="K7800" s="1348"/>
    </row>
    <row r="7801" spans="2:11" hidden="1">
      <c r="B7801" s="1348"/>
      <c r="C7801" s="1348"/>
      <c r="D7801" s="1348"/>
      <c r="E7801" s="1348"/>
      <c r="F7801" s="1348"/>
      <c r="G7801" s="1348"/>
      <c r="H7801" s="1348"/>
      <c r="I7801" s="1348"/>
      <c r="J7801" s="1348"/>
      <c r="K7801" s="1348"/>
    </row>
    <row r="7802" spans="2:11" hidden="1">
      <c r="B7802" s="1348"/>
      <c r="C7802" s="1348"/>
      <c r="D7802" s="1348"/>
      <c r="E7802" s="1348"/>
      <c r="F7802" s="1348"/>
      <c r="G7802" s="1348"/>
      <c r="H7802" s="1348"/>
      <c r="I7802" s="1348"/>
      <c r="J7802" s="1348"/>
      <c r="K7802" s="1348"/>
    </row>
    <row r="7803" spans="2:11" hidden="1">
      <c r="B7803" s="1348"/>
      <c r="C7803" s="1348"/>
      <c r="D7803" s="1348"/>
      <c r="E7803" s="1348"/>
      <c r="F7803" s="1348"/>
      <c r="G7803" s="1348"/>
      <c r="H7803" s="1348"/>
      <c r="I7803" s="1348"/>
      <c r="J7803" s="1348"/>
      <c r="K7803" s="1348"/>
    </row>
    <row r="7804" spans="2:11" hidden="1">
      <c r="B7804" s="1348"/>
      <c r="C7804" s="1348"/>
      <c r="D7804" s="1348"/>
      <c r="E7804" s="1348"/>
      <c r="F7804" s="1348"/>
      <c r="G7804" s="1348"/>
      <c r="H7804" s="1348"/>
      <c r="I7804" s="1348"/>
      <c r="J7804" s="1348"/>
      <c r="K7804" s="1348"/>
    </row>
    <row r="7805" spans="2:11" hidden="1">
      <c r="B7805" s="1348"/>
      <c r="C7805" s="1348"/>
      <c r="D7805" s="1348"/>
      <c r="E7805" s="1348"/>
      <c r="F7805" s="1348"/>
      <c r="G7805" s="1348"/>
      <c r="H7805" s="1348"/>
      <c r="I7805" s="1348"/>
      <c r="J7805" s="1348"/>
      <c r="K7805" s="1348"/>
    </row>
    <row r="7806" spans="2:11" hidden="1">
      <c r="B7806" s="1348"/>
      <c r="C7806" s="1348"/>
      <c r="D7806" s="1348"/>
      <c r="E7806" s="1348"/>
      <c r="F7806" s="1348"/>
      <c r="G7806" s="1348"/>
      <c r="H7806" s="1348"/>
      <c r="I7806" s="1348"/>
      <c r="J7806" s="1348"/>
      <c r="K7806" s="1348"/>
    </row>
    <row r="7807" spans="2:11" hidden="1">
      <c r="B7807" s="1348"/>
      <c r="C7807" s="1348"/>
      <c r="D7807" s="1348"/>
      <c r="E7807" s="1348"/>
      <c r="F7807" s="1348"/>
      <c r="G7807" s="1348"/>
      <c r="H7807" s="1348"/>
      <c r="I7807" s="1348"/>
      <c r="J7807" s="1348"/>
      <c r="K7807" s="1348"/>
    </row>
    <row r="7808" spans="2:11" hidden="1">
      <c r="B7808" s="1348"/>
      <c r="C7808" s="1348"/>
      <c r="D7808" s="1348"/>
      <c r="E7808" s="1348"/>
      <c r="F7808" s="1348"/>
      <c r="G7808" s="1348"/>
      <c r="H7808" s="1348"/>
      <c r="I7808" s="1348"/>
      <c r="J7808" s="1348"/>
      <c r="K7808" s="1348"/>
    </row>
    <row r="7809" spans="2:11" hidden="1">
      <c r="B7809" s="1348"/>
      <c r="C7809" s="1348"/>
      <c r="D7809" s="1348"/>
      <c r="E7809" s="1348"/>
      <c r="F7809" s="1348"/>
      <c r="G7809" s="1348"/>
      <c r="H7809" s="1348"/>
      <c r="I7809" s="1348"/>
      <c r="J7809" s="1348"/>
      <c r="K7809" s="1348"/>
    </row>
    <row r="7810" spans="2:11" hidden="1">
      <c r="B7810" s="1348"/>
      <c r="C7810" s="1348"/>
      <c r="D7810" s="1348"/>
      <c r="E7810" s="1348"/>
      <c r="F7810" s="1348"/>
      <c r="G7810" s="1348"/>
      <c r="H7810" s="1348"/>
      <c r="I7810" s="1348"/>
      <c r="J7810" s="1348"/>
      <c r="K7810" s="1348"/>
    </row>
    <row r="7811" spans="2:11" hidden="1">
      <c r="B7811" s="1348"/>
      <c r="C7811" s="1348"/>
      <c r="D7811" s="1348"/>
      <c r="E7811" s="1348"/>
      <c r="F7811" s="1348"/>
      <c r="G7811" s="1348"/>
      <c r="H7811" s="1348"/>
      <c r="I7811" s="1348"/>
      <c r="J7811" s="1348"/>
      <c r="K7811" s="1348"/>
    </row>
    <row r="7812" spans="2:11" hidden="1">
      <c r="B7812" s="1348"/>
      <c r="C7812" s="1348"/>
      <c r="D7812" s="1348"/>
      <c r="E7812" s="1348"/>
      <c r="F7812" s="1348"/>
      <c r="G7812" s="1348"/>
      <c r="H7812" s="1348"/>
      <c r="I7812" s="1348"/>
      <c r="J7812" s="1348"/>
      <c r="K7812" s="1348"/>
    </row>
    <row r="7813" spans="2:11" hidden="1">
      <c r="B7813" s="1348"/>
      <c r="C7813" s="1348"/>
      <c r="D7813" s="1348"/>
      <c r="E7813" s="1348"/>
      <c r="F7813" s="1348"/>
      <c r="G7813" s="1348"/>
      <c r="H7813" s="1348"/>
      <c r="I7813" s="1348"/>
      <c r="J7813" s="1348"/>
      <c r="K7813" s="1348"/>
    </row>
    <row r="7814" spans="2:11" hidden="1">
      <c r="B7814" s="1348"/>
      <c r="C7814" s="1348"/>
      <c r="D7814" s="1348"/>
      <c r="E7814" s="1348"/>
      <c r="F7814" s="1348"/>
      <c r="G7814" s="1348"/>
      <c r="H7814" s="1348"/>
      <c r="I7814" s="1348"/>
      <c r="J7814" s="1348"/>
      <c r="K7814" s="1348"/>
    </row>
    <row r="7815" spans="2:11" hidden="1">
      <c r="B7815" s="1348"/>
      <c r="C7815" s="1348"/>
      <c r="D7815" s="1348"/>
      <c r="E7815" s="1348"/>
      <c r="F7815" s="1348"/>
      <c r="G7815" s="1348"/>
      <c r="H7815" s="1348"/>
      <c r="I7815" s="1348"/>
      <c r="J7815" s="1348"/>
      <c r="K7815" s="1348"/>
    </row>
    <row r="7816" spans="2:11" hidden="1">
      <c r="B7816" s="1348"/>
      <c r="C7816" s="1348"/>
      <c r="D7816" s="1348"/>
      <c r="E7816" s="1348"/>
      <c r="F7816" s="1348"/>
      <c r="G7816" s="1348"/>
      <c r="H7816" s="1348"/>
      <c r="I7816" s="1348"/>
      <c r="J7816" s="1348"/>
      <c r="K7816" s="1348"/>
    </row>
    <row r="7817" spans="2:11" hidden="1">
      <c r="B7817" s="1348"/>
      <c r="C7817" s="1348"/>
      <c r="D7817" s="1348"/>
      <c r="E7817" s="1348"/>
      <c r="F7817" s="1348"/>
      <c r="G7817" s="1348"/>
      <c r="H7817" s="1348"/>
      <c r="I7817" s="1348"/>
      <c r="J7817" s="1348"/>
      <c r="K7817" s="1348"/>
    </row>
    <row r="7818" spans="2:11" hidden="1">
      <c r="B7818" s="1348"/>
      <c r="C7818" s="1348"/>
      <c r="D7818" s="1348"/>
      <c r="E7818" s="1348"/>
      <c r="F7818" s="1348"/>
      <c r="G7818" s="1348"/>
      <c r="H7818" s="1348"/>
      <c r="I7818" s="1348"/>
      <c r="J7818" s="1348"/>
      <c r="K7818" s="1348"/>
    </row>
    <row r="7819" spans="2:11" hidden="1">
      <c r="B7819" s="1348"/>
      <c r="C7819" s="1348"/>
      <c r="D7819" s="1348"/>
      <c r="E7819" s="1348"/>
      <c r="F7819" s="1348"/>
      <c r="G7819" s="1348"/>
      <c r="H7819" s="1348"/>
      <c r="I7819" s="1348"/>
      <c r="J7819" s="1348"/>
      <c r="K7819" s="1348"/>
    </row>
    <row r="7820" spans="2:11" hidden="1">
      <c r="B7820" s="1348"/>
      <c r="C7820" s="1348"/>
      <c r="D7820" s="1348"/>
      <c r="E7820" s="1348"/>
      <c r="F7820" s="1348"/>
      <c r="G7820" s="1348"/>
      <c r="H7820" s="1348"/>
      <c r="I7820" s="1348"/>
      <c r="J7820" s="1348"/>
      <c r="K7820" s="1348"/>
    </row>
    <row r="7821" spans="2:11" hidden="1">
      <c r="B7821" s="1348"/>
      <c r="C7821" s="1348"/>
      <c r="D7821" s="1348"/>
      <c r="E7821" s="1348"/>
      <c r="F7821" s="1348"/>
      <c r="G7821" s="1348"/>
      <c r="H7821" s="1348"/>
      <c r="I7821" s="1348"/>
      <c r="J7821" s="1348"/>
      <c r="K7821" s="1348"/>
    </row>
    <row r="7822" spans="2:11" hidden="1">
      <c r="B7822" s="1348"/>
      <c r="C7822" s="1348"/>
      <c r="D7822" s="1348"/>
      <c r="E7822" s="1348"/>
      <c r="F7822" s="1348"/>
      <c r="G7822" s="1348"/>
      <c r="H7822" s="1348"/>
      <c r="I7822" s="1348"/>
      <c r="J7822" s="1348"/>
      <c r="K7822" s="1348"/>
    </row>
    <row r="7823" spans="2:11" hidden="1">
      <c r="B7823" s="1348"/>
      <c r="C7823" s="1348"/>
      <c r="D7823" s="1348"/>
      <c r="E7823" s="1348"/>
      <c r="F7823" s="1348"/>
      <c r="G7823" s="1348"/>
      <c r="H7823" s="1348"/>
      <c r="I7823" s="1348"/>
      <c r="J7823" s="1348"/>
      <c r="K7823" s="1348"/>
    </row>
    <row r="7824" spans="2:11" hidden="1">
      <c r="B7824" s="1348"/>
      <c r="C7824" s="1348"/>
      <c r="D7824" s="1348"/>
      <c r="E7824" s="1348"/>
      <c r="F7824" s="1348"/>
      <c r="G7824" s="1348"/>
      <c r="H7824" s="1348"/>
      <c r="I7824" s="1348"/>
      <c r="J7824" s="1348"/>
      <c r="K7824" s="1348"/>
    </row>
    <row r="7825" spans="2:11" hidden="1">
      <c r="B7825" s="1348"/>
      <c r="C7825" s="1348"/>
      <c r="D7825" s="1348"/>
      <c r="E7825" s="1348"/>
      <c r="F7825" s="1348"/>
      <c r="G7825" s="1348"/>
      <c r="H7825" s="1348"/>
      <c r="I7825" s="1348"/>
      <c r="J7825" s="1348"/>
      <c r="K7825" s="1348"/>
    </row>
    <row r="7826" spans="2:11" hidden="1">
      <c r="B7826" s="1348"/>
      <c r="C7826" s="1348"/>
      <c r="D7826" s="1348"/>
      <c r="E7826" s="1348"/>
      <c r="F7826" s="1348"/>
      <c r="G7826" s="1348"/>
      <c r="H7826" s="1348"/>
      <c r="I7826" s="1348"/>
      <c r="J7826" s="1348"/>
      <c r="K7826" s="1348"/>
    </row>
    <row r="7827" spans="2:11" hidden="1">
      <c r="B7827" s="1348"/>
      <c r="C7827" s="1348"/>
      <c r="D7827" s="1348"/>
      <c r="E7827" s="1348"/>
      <c r="F7827" s="1348"/>
      <c r="G7827" s="1348"/>
      <c r="H7827" s="1348"/>
      <c r="I7827" s="1348"/>
      <c r="J7827" s="1348"/>
      <c r="K7827" s="1348"/>
    </row>
    <row r="7828" spans="2:11" hidden="1">
      <c r="B7828" s="1348"/>
      <c r="C7828" s="1348"/>
      <c r="D7828" s="1348"/>
      <c r="E7828" s="1348"/>
      <c r="F7828" s="1348"/>
      <c r="G7828" s="1348"/>
      <c r="H7828" s="1348"/>
      <c r="I7828" s="1348"/>
      <c r="J7828" s="1348"/>
      <c r="K7828" s="1348"/>
    </row>
    <row r="7829" spans="2:11" hidden="1">
      <c r="B7829" s="1348"/>
      <c r="C7829" s="1348"/>
      <c r="D7829" s="1348"/>
      <c r="E7829" s="1348"/>
      <c r="F7829" s="1348"/>
      <c r="G7829" s="1348"/>
      <c r="H7829" s="1348"/>
      <c r="I7829" s="1348"/>
      <c r="J7829" s="1348"/>
      <c r="K7829" s="1348"/>
    </row>
    <row r="7830" spans="2:11" hidden="1">
      <c r="B7830" s="1348"/>
      <c r="C7830" s="1348"/>
      <c r="D7830" s="1348"/>
      <c r="E7830" s="1348"/>
      <c r="F7830" s="1348"/>
      <c r="G7830" s="1348"/>
      <c r="H7830" s="1348"/>
      <c r="I7830" s="1348"/>
      <c r="J7830" s="1348"/>
      <c r="K7830" s="1348"/>
    </row>
    <row r="7831" spans="2:11" hidden="1">
      <c r="B7831" s="1348"/>
      <c r="C7831" s="1348"/>
      <c r="D7831" s="1348"/>
      <c r="E7831" s="1348"/>
      <c r="F7831" s="1348"/>
      <c r="G7831" s="1348"/>
      <c r="H7831" s="1348"/>
      <c r="I7831" s="1348"/>
      <c r="J7831" s="1348"/>
      <c r="K7831" s="1348"/>
    </row>
    <row r="7832" spans="2:11" hidden="1">
      <c r="B7832" s="1348"/>
      <c r="C7832" s="1348"/>
      <c r="D7832" s="1348"/>
      <c r="E7832" s="1348"/>
      <c r="F7832" s="1348"/>
      <c r="G7832" s="1348"/>
      <c r="H7832" s="1348"/>
      <c r="I7832" s="1348"/>
      <c r="J7832" s="1348"/>
      <c r="K7832" s="1348"/>
    </row>
    <row r="7833" spans="2:11" hidden="1">
      <c r="B7833" s="1348"/>
      <c r="C7833" s="1348"/>
      <c r="D7833" s="1348"/>
      <c r="E7833" s="1348"/>
      <c r="F7833" s="1348"/>
      <c r="G7833" s="1348"/>
      <c r="H7833" s="1348"/>
      <c r="I7833" s="1348"/>
      <c r="J7833" s="1348"/>
      <c r="K7833" s="1348"/>
    </row>
    <row r="7834" spans="2:11" hidden="1">
      <c r="B7834" s="1348"/>
      <c r="C7834" s="1348"/>
      <c r="D7834" s="1348"/>
      <c r="E7834" s="1348"/>
      <c r="F7834" s="1348"/>
      <c r="G7834" s="1348"/>
      <c r="H7834" s="1348"/>
      <c r="I7834" s="1348"/>
      <c r="J7834" s="1348"/>
      <c r="K7834" s="1348"/>
    </row>
    <row r="7835" spans="2:11" hidden="1">
      <c r="B7835" s="1348"/>
      <c r="C7835" s="1348"/>
      <c r="D7835" s="1348"/>
      <c r="E7835" s="1348"/>
      <c r="F7835" s="1348"/>
      <c r="G7835" s="1348"/>
      <c r="H7835" s="1348"/>
      <c r="I7835" s="1348"/>
      <c r="J7835" s="1348"/>
      <c r="K7835" s="1348"/>
    </row>
    <row r="7836" spans="2:11" hidden="1">
      <c r="B7836" s="1348"/>
      <c r="C7836" s="1348"/>
      <c r="D7836" s="1348"/>
      <c r="E7836" s="1348"/>
      <c r="F7836" s="1348"/>
      <c r="G7836" s="1348"/>
      <c r="H7836" s="1348"/>
      <c r="I7836" s="1348"/>
      <c r="J7836" s="1348"/>
      <c r="K7836" s="1348"/>
    </row>
    <row r="7837" spans="2:11" hidden="1">
      <c r="B7837" s="1348"/>
      <c r="C7837" s="1348"/>
      <c r="D7837" s="1348"/>
      <c r="E7837" s="1348"/>
      <c r="F7837" s="1348"/>
      <c r="G7837" s="1348"/>
      <c r="H7837" s="1348"/>
      <c r="I7837" s="1348"/>
      <c r="J7837" s="1348"/>
      <c r="K7837" s="1348"/>
    </row>
    <row r="7838" spans="2:11" hidden="1">
      <c r="B7838" s="1348"/>
      <c r="C7838" s="1348"/>
      <c r="D7838" s="1348"/>
      <c r="E7838" s="1348"/>
      <c r="F7838" s="1348"/>
      <c r="G7838" s="1348"/>
      <c r="H7838" s="1348"/>
      <c r="I7838" s="1348"/>
      <c r="J7838" s="1348"/>
      <c r="K7838" s="1348"/>
    </row>
    <row r="7839" spans="2:11" hidden="1">
      <c r="B7839" s="1348"/>
      <c r="C7839" s="1348"/>
      <c r="D7839" s="1348"/>
      <c r="E7839" s="1348"/>
      <c r="F7839" s="1348"/>
      <c r="G7839" s="1348"/>
      <c r="H7839" s="1348"/>
      <c r="I7839" s="1348"/>
      <c r="J7839" s="1348"/>
      <c r="K7839" s="1348"/>
    </row>
    <row r="7840" spans="2:11" hidden="1">
      <c r="B7840" s="1348"/>
      <c r="C7840" s="1348"/>
      <c r="D7840" s="1348"/>
      <c r="E7840" s="1348"/>
      <c r="F7840" s="1348"/>
      <c r="G7840" s="1348"/>
      <c r="H7840" s="1348"/>
      <c r="I7840" s="1348"/>
      <c r="J7840" s="1348"/>
      <c r="K7840" s="1348"/>
    </row>
    <row r="7841" spans="2:11" hidden="1">
      <c r="B7841" s="1348"/>
      <c r="C7841" s="1348"/>
      <c r="D7841" s="1348"/>
      <c r="E7841" s="1348"/>
      <c r="F7841" s="1348"/>
      <c r="G7841" s="1348"/>
      <c r="H7841" s="1348"/>
      <c r="I7841" s="1348"/>
      <c r="J7841" s="1348"/>
      <c r="K7841" s="1348"/>
    </row>
    <row r="7842" spans="2:11" hidden="1">
      <c r="B7842" s="1348"/>
      <c r="C7842" s="1348"/>
      <c r="D7842" s="1348"/>
      <c r="E7842" s="1348"/>
      <c r="F7842" s="1348"/>
      <c r="G7842" s="1348"/>
      <c r="H7842" s="1348"/>
      <c r="I7842" s="1348"/>
      <c r="J7842" s="1348"/>
      <c r="K7842" s="1348"/>
    </row>
    <row r="7843" spans="2:11" hidden="1">
      <c r="B7843" s="1348"/>
      <c r="C7843" s="1348"/>
      <c r="D7843" s="1348"/>
      <c r="E7843" s="1348"/>
      <c r="F7843" s="1348"/>
      <c r="G7843" s="1348"/>
      <c r="H7843" s="1348"/>
      <c r="I7843" s="1348"/>
      <c r="J7843" s="1348"/>
      <c r="K7843" s="1348"/>
    </row>
    <row r="7844" spans="2:11" hidden="1">
      <c r="B7844" s="1348"/>
      <c r="C7844" s="1348"/>
      <c r="D7844" s="1348"/>
      <c r="E7844" s="1348"/>
      <c r="F7844" s="1348"/>
      <c r="G7844" s="1348"/>
      <c r="H7844" s="1348"/>
      <c r="I7844" s="1348"/>
      <c r="J7844" s="1348"/>
      <c r="K7844" s="1348"/>
    </row>
    <row r="7845" spans="2:11" hidden="1">
      <c r="B7845" s="1348"/>
      <c r="C7845" s="1348"/>
      <c r="D7845" s="1348"/>
      <c r="E7845" s="1348"/>
      <c r="F7845" s="1348"/>
      <c r="G7845" s="1348"/>
      <c r="H7845" s="1348"/>
      <c r="I7845" s="1348"/>
      <c r="J7845" s="1348"/>
      <c r="K7845" s="1348"/>
    </row>
    <row r="7846" spans="2:11" hidden="1">
      <c r="B7846" s="1348"/>
      <c r="C7846" s="1348"/>
      <c r="D7846" s="1348"/>
      <c r="E7846" s="1348"/>
      <c r="F7846" s="1348"/>
      <c r="G7846" s="1348"/>
      <c r="H7846" s="1348"/>
      <c r="I7846" s="1348"/>
      <c r="J7846" s="1348"/>
      <c r="K7846" s="1348"/>
    </row>
    <row r="7847" spans="2:11" hidden="1">
      <c r="B7847" s="1348"/>
      <c r="C7847" s="1348"/>
      <c r="D7847" s="1348"/>
      <c r="E7847" s="1348"/>
      <c r="F7847" s="1348"/>
      <c r="G7847" s="1348"/>
      <c r="H7847" s="1348"/>
      <c r="I7847" s="1348"/>
      <c r="J7847" s="1348"/>
      <c r="K7847" s="1348"/>
    </row>
    <row r="7848" spans="2:11" hidden="1">
      <c r="B7848" s="1348"/>
      <c r="C7848" s="1348"/>
      <c r="D7848" s="1348"/>
      <c r="E7848" s="1348"/>
      <c r="F7848" s="1348"/>
      <c r="G7848" s="1348"/>
      <c r="H7848" s="1348"/>
      <c r="I7848" s="1348"/>
      <c r="J7848" s="1348"/>
      <c r="K7848" s="1348"/>
    </row>
    <row r="7849" spans="2:11" hidden="1">
      <c r="B7849" s="1348"/>
      <c r="C7849" s="1348"/>
      <c r="D7849" s="1348"/>
      <c r="E7849" s="1348"/>
      <c r="F7849" s="1348"/>
      <c r="G7849" s="1348"/>
      <c r="H7849" s="1348"/>
      <c r="I7849" s="1348"/>
      <c r="J7849" s="1348"/>
      <c r="K7849" s="1348"/>
    </row>
    <row r="7850" spans="2:11" hidden="1">
      <c r="B7850" s="1348"/>
      <c r="C7850" s="1348"/>
      <c r="D7850" s="1348"/>
      <c r="E7850" s="1348"/>
      <c r="F7850" s="1348"/>
      <c r="G7850" s="1348"/>
      <c r="H7850" s="1348"/>
      <c r="I7850" s="1348"/>
      <c r="J7850" s="1348"/>
      <c r="K7850" s="1348"/>
    </row>
    <row r="7851" spans="2:11" hidden="1">
      <c r="B7851" s="1348"/>
      <c r="C7851" s="1348"/>
      <c r="D7851" s="1348"/>
      <c r="E7851" s="1348"/>
      <c r="F7851" s="1348"/>
      <c r="G7851" s="1348"/>
      <c r="H7851" s="1348"/>
      <c r="I7851" s="1348"/>
      <c r="J7851" s="1348"/>
      <c r="K7851" s="1348"/>
    </row>
    <row r="7852" spans="2:11" hidden="1">
      <c r="B7852" s="1348"/>
      <c r="C7852" s="1348"/>
      <c r="D7852" s="1348"/>
      <c r="E7852" s="1348"/>
      <c r="F7852" s="1348"/>
      <c r="G7852" s="1348"/>
      <c r="H7852" s="1348"/>
      <c r="I7852" s="1348"/>
      <c r="J7852" s="1348"/>
      <c r="K7852" s="1348"/>
    </row>
    <row r="7853" spans="2:11" hidden="1">
      <c r="B7853" s="1348"/>
      <c r="C7853" s="1348"/>
      <c r="D7853" s="1348"/>
      <c r="E7853" s="1348"/>
      <c r="F7853" s="1348"/>
      <c r="G7853" s="1348"/>
      <c r="H7853" s="1348"/>
      <c r="I7853" s="1348"/>
      <c r="J7853" s="1348"/>
      <c r="K7853" s="1348"/>
    </row>
    <row r="7854" spans="2:11" hidden="1">
      <c r="B7854" s="1348"/>
      <c r="C7854" s="1348"/>
      <c r="D7854" s="1348"/>
      <c r="E7854" s="1348"/>
      <c r="F7854" s="1348"/>
      <c r="G7854" s="1348"/>
      <c r="H7854" s="1348"/>
      <c r="I7854" s="1348"/>
      <c r="J7854" s="1348"/>
      <c r="K7854" s="1348"/>
    </row>
    <row r="7855" spans="2:11" hidden="1">
      <c r="B7855" s="1348"/>
      <c r="C7855" s="1348"/>
      <c r="D7855" s="1348"/>
      <c r="E7855" s="1348"/>
      <c r="F7855" s="1348"/>
      <c r="G7855" s="1348"/>
      <c r="H7855" s="1348"/>
      <c r="I7855" s="1348"/>
      <c r="J7855" s="1348"/>
      <c r="K7855" s="1348"/>
    </row>
    <row r="7856" spans="2:11" hidden="1">
      <c r="B7856" s="1348"/>
      <c r="C7856" s="1348"/>
      <c r="D7856" s="1348"/>
      <c r="E7856" s="1348"/>
      <c r="F7856" s="1348"/>
      <c r="G7856" s="1348"/>
      <c r="H7856" s="1348"/>
      <c r="I7856" s="1348"/>
      <c r="J7856" s="1348"/>
      <c r="K7856" s="1348"/>
    </row>
    <row r="7857" spans="2:11" hidden="1">
      <c r="B7857" s="1348"/>
      <c r="C7857" s="1348"/>
      <c r="D7857" s="1348"/>
      <c r="E7857" s="1348"/>
      <c r="F7857" s="1348"/>
      <c r="G7857" s="1348"/>
      <c r="H7857" s="1348"/>
      <c r="I7857" s="1348"/>
      <c r="J7857" s="1348"/>
      <c r="K7857" s="1348"/>
    </row>
    <row r="7858" spans="2:11" hidden="1">
      <c r="B7858" s="1348"/>
      <c r="C7858" s="1348"/>
      <c r="D7858" s="1348"/>
      <c r="E7858" s="1348"/>
      <c r="F7858" s="1348"/>
      <c r="G7858" s="1348"/>
      <c r="H7858" s="1348"/>
      <c r="I7858" s="1348"/>
      <c r="J7858" s="1348"/>
      <c r="K7858" s="1348"/>
    </row>
    <row r="7859" spans="2:11" hidden="1">
      <c r="B7859" s="1348"/>
      <c r="C7859" s="1348"/>
      <c r="D7859" s="1348"/>
      <c r="E7859" s="1348"/>
      <c r="F7859" s="1348"/>
      <c r="G7859" s="1348"/>
      <c r="H7859" s="1348"/>
      <c r="I7859" s="1348"/>
      <c r="J7859" s="1348"/>
      <c r="K7859" s="1348"/>
    </row>
    <row r="7860" spans="2:11" hidden="1">
      <c r="B7860" s="1348"/>
      <c r="C7860" s="1348"/>
      <c r="D7860" s="1348"/>
      <c r="E7860" s="1348"/>
      <c r="F7860" s="1348"/>
      <c r="G7860" s="1348"/>
      <c r="H7860" s="1348"/>
      <c r="I7860" s="1348"/>
      <c r="J7860" s="1348"/>
      <c r="K7860" s="1348"/>
    </row>
    <row r="7861" spans="2:11" hidden="1">
      <c r="B7861" s="1348"/>
      <c r="C7861" s="1348"/>
      <c r="D7861" s="1348"/>
      <c r="E7861" s="1348"/>
      <c r="F7861" s="1348"/>
      <c r="G7861" s="1348"/>
      <c r="H7861" s="1348"/>
      <c r="I7861" s="1348"/>
      <c r="J7861" s="1348"/>
      <c r="K7861" s="1348"/>
    </row>
    <row r="7862" spans="2:11" hidden="1">
      <c r="B7862" s="1348"/>
      <c r="C7862" s="1348"/>
      <c r="D7862" s="1348"/>
      <c r="E7862" s="1348"/>
      <c r="F7862" s="1348"/>
      <c r="G7862" s="1348"/>
      <c r="H7862" s="1348"/>
      <c r="I7862" s="1348"/>
      <c r="J7862" s="1348"/>
      <c r="K7862" s="1348"/>
    </row>
    <row r="7863" spans="2:11" hidden="1">
      <c r="B7863" s="1348"/>
      <c r="C7863" s="1348"/>
      <c r="D7863" s="1348"/>
      <c r="E7863" s="1348"/>
      <c r="F7863" s="1348"/>
      <c r="G7863" s="1348"/>
      <c r="H7863" s="1348"/>
      <c r="I7863" s="1348"/>
      <c r="J7863" s="1348"/>
      <c r="K7863" s="1348"/>
    </row>
    <row r="7864" spans="2:11" hidden="1">
      <c r="B7864" s="1348"/>
      <c r="C7864" s="1348"/>
      <c r="D7864" s="1348"/>
      <c r="E7864" s="1348"/>
      <c r="F7864" s="1348"/>
      <c r="G7864" s="1348"/>
      <c r="H7864" s="1348"/>
      <c r="I7864" s="1348"/>
      <c r="J7864" s="1348"/>
      <c r="K7864" s="1348"/>
    </row>
    <row r="7865" spans="2:11" hidden="1">
      <c r="B7865" s="1348"/>
      <c r="C7865" s="1348"/>
      <c r="D7865" s="1348"/>
      <c r="E7865" s="1348"/>
      <c r="F7865" s="1348"/>
      <c r="G7865" s="1348"/>
      <c r="H7865" s="1348"/>
      <c r="I7865" s="1348"/>
      <c r="J7865" s="1348"/>
      <c r="K7865" s="1348"/>
    </row>
    <row r="7866" spans="2:11" hidden="1">
      <c r="B7866" s="1348"/>
      <c r="C7866" s="1348"/>
      <c r="D7866" s="1348"/>
      <c r="E7866" s="1348"/>
      <c r="F7866" s="1348"/>
      <c r="G7866" s="1348"/>
      <c r="H7866" s="1348"/>
      <c r="I7866" s="1348"/>
      <c r="J7866" s="1348"/>
      <c r="K7866" s="1348"/>
    </row>
    <row r="7867" spans="2:11" hidden="1">
      <c r="B7867" s="1348"/>
      <c r="C7867" s="1348"/>
      <c r="D7867" s="1348"/>
      <c r="E7867" s="1348"/>
      <c r="F7867" s="1348"/>
      <c r="G7867" s="1348"/>
      <c r="H7867" s="1348"/>
      <c r="I7867" s="1348"/>
      <c r="J7867" s="1348"/>
      <c r="K7867" s="1348"/>
    </row>
    <row r="7868" spans="2:11" hidden="1">
      <c r="B7868" s="1348"/>
      <c r="C7868" s="1348"/>
      <c r="D7868" s="1348"/>
      <c r="E7868" s="1348"/>
      <c r="F7868" s="1348"/>
      <c r="G7868" s="1348"/>
      <c r="H7868" s="1348"/>
      <c r="I7868" s="1348"/>
      <c r="J7868" s="1348"/>
      <c r="K7868" s="1348"/>
    </row>
    <row r="7869" spans="2:11" hidden="1">
      <c r="B7869" s="1348"/>
      <c r="C7869" s="1348"/>
      <c r="D7869" s="1348"/>
      <c r="E7869" s="1348"/>
      <c r="F7869" s="1348"/>
      <c r="G7869" s="1348"/>
      <c r="H7869" s="1348"/>
      <c r="I7869" s="1348"/>
      <c r="J7869" s="1348"/>
      <c r="K7869" s="1348"/>
    </row>
    <row r="7870" spans="2:11" hidden="1">
      <c r="B7870" s="1348"/>
      <c r="C7870" s="1348"/>
      <c r="D7870" s="1348"/>
      <c r="E7870" s="1348"/>
      <c r="F7870" s="1348"/>
      <c r="G7870" s="1348"/>
      <c r="H7870" s="1348"/>
      <c r="I7870" s="1348"/>
      <c r="J7870" s="1348"/>
      <c r="K7870" s="1348"/>
    </row>
    <row r="7871" spans="2:11" hidden="1">
      <c r="B7871" s="1348"/>
      <c r="C7871" s="1348"/>
      <c r="D7871" s="1348"/>
      <c r="E7871" s="1348"/>
      <c r="F7871" s="1348"/>
      <c r="G7871" s="1348"/>
      <c r="H7871" s="1348"/>
      <c r="I7871" s="1348"/>
      <c r="J7871" s="1348"/>
      <c r="K7871" s="1348"/>
    </row>
    <row r="7872" spans="2:11" hidden="1">
      <c r="B7872" s="1348"/>
      <c r="C7872" s="1348"/>
      <c r="D7872" s="1348"/>
      <c r="E7872" s="1348"/>
      <c r="F7872" s="1348"/>
      <c r="G7872" s="1348"/>
      <c r="H7872" s="1348"/>
      <c r="I7872" s="1348"/>
      <c r="J7872" s="1348"/>
      <c r="K7872" s="1348"/>
    </row>
    <row r="7873" spans="2:11" hidden="1">
      <c r="B7873" s="1348"/>
      <c r="C7873" s="1348"/>
      <c r="D7873" s="1348"/>
      <c r="E7873" s="1348"/>
      <c r="F7873" s="1348"/>
      <c r="G7873" s="1348"/>
      <c r="H7873" s="1348"/>
      <c r="I7873" s="1348"/>
      <c r="J7873" s="1348"/>
      <c r="K7873" s="1348"/>
    </row>
    <row r="7874" spans="2:11" hidden="1">
      <c r="B7874" s="1348"/>
      <c r="C7874" s="1348"/>
      <c r="D7874" s="1348"/>
      <c r="E7874" s="1348"/>
      <c r="F7874" s="1348"/>
      <c r="G7874" s="1348"/>
      <c r="H7874" s="1348"/>
      <c r="I7874" s="1348"/>
      <c r="J7874" s="1348"/>
      <c r="K7874" s="1348"/>
    </row>
    <row r="7875" spans="2:11" hidden="1">
      <c r="B7875" s="1348"/>
      <c r="C7875" s="1348"/>
      <c r="D7875" s="1348"/>
      <c r="E7875" s="1348"/>
      <c r="F7875" s="1348"/>
      <c r="G7875" s="1348"/>
      <c r="H7875" s="1348"/>
      <c r="I7875" s="1348"/>
      <c r="J7875" s="1348"/>
      <c r="K7875" s="1348"/>
    </row>
    <row r="7876" spans="2:11" hidden="1">
      <c r="B7876" s="1348"/>
      <c r="C7876" s="1348"/>
      <c r="D7876" s="1348"/>
      <c r="E7876" s="1348"/>
      <c r="F7876" s="1348"/>
      <c r="G7876" s="1348"/>
      <c r="H7876" s="1348"/>
      <c r="I7876" s="1348"/>
      <c r="J7876" s="1348"/>
      <c r="K7876" s="1348"/>
    </row>
    <row r="7877" spans="2:11" hidden="1">
      <c r="B7877" s="1348"/>
      <c r="C7877" s="1348"/>
      <c r="D7877" s="1348"/>
      <c r="E7877" s="1348"/>
      <c r="F7877" s="1348"/>
      <c r="G7877" s="1348"/>
      <c r="H7877" s="1348"/>
      <c r="I7877" s="1348"/>
      <c r="J7877" s="1348"/>
      <c r="K7877" s="1348"/>
    </row>
    <row r="7878" spans="2:11" hidden="1">
      <c r="B7878" s="1348"/>
      <c r="C7878" s="1348"/>
      <c r="D7878" s="1348"/>
      <c r="E7878" s="1348"/>
      <c r="F7878" s="1348"/>
      <c r="G7878" s="1348"/>
      <c r="H7878" s="1348"/>
      <c r="I7878" s="1348"/>
      <c r="J7878" s="1348"/>
      <c r="K7878" s="1348"/>
    </row>
    <row r="7879" spans="2:11" hidden="1">
      <c r="B7879" s="1348"/>
      <c r="C7879" s="1348"/>
      <c r="D7879" s="1348"/>
      <c r="E7879" s="1348"/>
      <c r="F7879" s="1348"/>
      <c r="G7879" s="1348"/>
      <c r="H7879" s="1348"/>
      <c r="I7879" s="1348"/>
      <c r="J7879" s="1348"/>
      <c r="K7879" s="1348"/>
    </row>
    <row r="7880" spans="2:11" hidden="1">
      <c r="B7880" s="1348"/>
      <c r="C7880" s="1348"/>
      <c r="D7880" s="1348"/>
      <c r="E7880" s="1348"/>
      <c r="F7880" s="1348"/>
      <c r="G7880" s="1348"/>
      <c r="H7880" s="1348"/>
      <c r="I7880" s="1348"/>
      <c r="J7880" s="1348"/>
      <c r="K7880" s="1348"/>
    </row>
    <row r="7881" spans="2:11" hidden="1">
      <c r="B7881" s="1348"/>
      <c r="C7881" s="1348"/>
      <c r="D7881" s="1348"/>
      <c r="E7881" s="1348"/>
      <c r="F7881" s="1348"/>
      <c r="G7881" s="1348"/>
      <c r="H7881" s="1348"/>
      <c r="I7881" s="1348"/>
      <c r="J7881" s="1348"/>
      <c r="K7881" s="1348"/>
    </row>
    <row r="7882" spans="2:11" hidden="1">
      <c r="B7882" s="1348"/>
      <c r="C7882" s="1348"/>
      <c r="D7882" s="1348"/>
      <c r="E7882" s="1348"/>
      <c r="F7882" s="1348"/>
      <c r="G7882" s="1348"/>
      <c r="H7882" s="1348"/>
      <c r="I7882" s="1348"/>
      <c r="J7882" s="1348"/>
      <c r="K7882" s="1348"/>
    </row>
    <row r="7883" spans="2:11" hidden="1">
      <c r="B7883" s="1348"/>
      <c r="C7883" s="1348"/>
      <c r="D7883" s="1348"/>
      <c r="E7883" s="1348"/>
      <c r="F7883" s="1348"/>
      <c r="G7883" s="1348"/>
      <c r="H7883" s="1348"/>
      <c r="I7883" s="1348"/>
      <c r="J7883" s="1348"/>
      <c r="K7883" s="1348"/>
    </row>
    <row r="7884" spans="2:11" hidden="1">
      <c r="B7884" s="1348"/>
      <c r="C7884" s="1348"/>
      <c r="D7884" s="1348"/>
      <c r="E7884" s="1348"/>
      <c r="F7884" s="1348"/>
      <c r="G7884" s="1348"/>
      <c r="H7884" s="1348"/>
      <c r="I7884" s="1348"/>
      <c r="J7884" s="1348"/>
      <c r="K7884" s="1348"/>
    </row>
    <row r="7885" spans="2:11" hidden="1">
      <c r="B7885" s="1348"/>
      <c r="C7885" s="1348"/>
      <c r="D7885" s="1348"/>
      <c r="E7885" s="1348"/>
      <c r="F7885" s="1348"/>
      <c r="G7885" s="1348"/>
      <c r="H7885" s="1348"/>
      <c r="I7885" s="1348"/>
      <c r="J7885" s="1348"/>
      <c r="K7885" s="1348"/>
    </row>
    <row r="7886" spans="2:11" hidden="1">
      <c r="B7886" s="1348"/>
      <c r="C7886" s="1348"/>
      <c r="D7886" s="1348"/>
      <c r="E7886" s="1348"/>
      <c r="F7886" s="1348"/>
      <c r="G7886" s="1348"/>
      <c r="H7886" s="1348"/>
      <c r="I7886" s="1348"/>
      <c r="J7886" s="1348"/>
      <c r="K7886" s="1348"/>
    </row>
    <row r="7887" spans="2:11" hidden="1">
      <c r="B7887" s="1348"/>
      <c r="C7887" s="1348"/>
      <c r="D7887" s="1348"/>
      <c r="E7887" s="1348"/>
      <c r="F7887" s="1348"/>
      <c r="G7887" s="1348"/>
      <c r="H7887" s="1348"/>
      <c r="I7887" s="1348"/>
      <c r="J7887" s="1348"/>
      <c r="K7887" s="1348"/>
    </row>
    <row r="7888" spans="2:11" hidden="1">
      <c r="B7888" s="1348"/>
      <c r="C7888" s="1348"/>
      <c r="D7888" s="1348"/>
      <c r="E7888" s="1348"/>
      <c r="F7888" s="1348"/>
      <c r="G7888" s="1348"/>
      <c r="H7888" s="1348"/>
      <c r="I7888" s="1348"/>
      <c r="J7888" s="1348"/>
      <c r="K7888" s="1348"/>
    </row>
    <row r="7889" spans="2:11" hidden="1">
      <c r="B7889" s="1348"/>
      <c r="C7889" s="1348"/>
      <c r="D7889" s="1348"/>
      <c r="E7889" s="1348"/>
      <c r="F7889" s="1348"/>
      <c r="G7889" s="1348"/>
      <c r="H7889" s="1348"/>
      <c r="I7889" s="1348"/>
      <c r="J7889" s="1348"/>
      <c r="K7889" s="1348"/>
    </row>
    <row r="7890" spans="2:11" hidden="1">
      <c r="B7890" s="1348"/>
      <c r="C7890" s="1348"/>
      <c r="D7890" s="1348"/>
      <c r="E7890" s="1348"/>
      <c r="F7890" s="1348"/>
      <c r="G7890" s="1348"/>
      <c r="H7890" s="1348"/>
      <c r="I7890" s="1348"/>
      <c r="J7890" s="1348"/>
      <c r="K7890" s="1348"/>
    </row>
    <row r="7891" spans="2:11" hidden="1">
      <c r="B7891" s="1348"/>
      <c r="C7891" s="1348"/>
      <c r="D7891" s="1348"/>
      <c r="E7891" s="1348"/>
      <c r="F7891" s="1348"/>
      <c r="G7891" s="1348"/>
      <c r="H7891" s="1348"/>
      <c r="I7891" s="1348"/>
      <c r="J7891" s="1348"/>
      <c r="K7891" s="1348"/>
    </row>
    <row r="7892" spans="2:11" hidden="1">
      <c r="B7892" s="1348"/>
      <c r="C7892" s="1348"/>
      <c r="D7892" s="1348"/>
      <c r="E7892" s="1348"/>
      <c r="F7892" s="1348"/>
      <c r="G7892" s="1348"/>
      <c r="H7892" s="1348"/>
      <c r="I7892" s="1348"/>
      <c r="J7892" s="1348"/>
      <c r="K7892" s="1348"/>
    </row>
    <row r="7893" spans="2:11" hidden="1">
      <c r="B7893" s="1348"/>
      <c r="C7893" s="1348"/>
      <c r="D7893" s="1348"/>
      <c r="E7893" s="1348"/>
      <c r="F7893" s="1348"/>
      <c r="G7893" s="1348"/>
      <c r="H7893" s="1348"/>
      <c r="I7893" s="1348"/>
      <c r="J7893" s="1348"/>
      <c r="K7893" s="1348"/>
    </row>
    <row r="7894" spans="2:11" hidden="1">
      <c r="B7894" s="1348"/>
      <c r="C7894" s="1348"/>
      <c r="D7894" s="1348"/>
      <c r="E7894" s="1348"/>
      <c r="F7894" s="1348"/>
      <c r="G7894" s="1348"/>
      <c r="H7894" s="1348"/>
      <c r="I7894" s="1348"/>
      <c r="J7894" s="1348"/>
      <c r="K7894" s="1348"/>
    </row>
    <row r="7895" spans="2:11" hidden="1">
      <c r="B7895" s="1348"/>
      <c r="C7895" s="1348"/>
      <c r="D7895" s="1348"/>
      <c r="E7895" s="1348"/>
      <c r="F7895" s="1348"/>
      <c r="G7895" s="1348"/>
      <c r="H7895" s="1348"/>
      <c r="I7895" s="1348"/>
      <c r="J7895" s="1348"/>
      <c r="K7895" s="1348"/>
    </row>
    <row r="7896" spans="2:11" hidden="1">
      <c r="B7896" s="1348"/>
      <c r="C7896" s="1348"/>
      <c r="D7896" s="1348"/>
      <c r="E7896" s="1348"/>
      <c r="F7896" s="1348"/>
      <c r="G7896" s="1348"/>
      <c r="H7896" s="1348"/>
      <c r="I7896" s="1348"/>
      <c r="J7896" s="1348"/>
      <c r="K7896" s="1348"/>
    </row>
    <row r="7897" spans="2:11" hidden="1">
      <c r="B7897" s="1348"/>
      <c r="C7897" s="1348"/>
      <c r="D7897" s="1348"/>
      <c r="E7897" s="1348"/>
      <c r="F7897" s="1348"/>
      <c r="G7897" s="1348"/>
      <c r="H7897" s="1348"/>
      <c r="I7897" s="1348"/>
      <c r="J7897" s="1348"/>
      <c r="K7897" s="1348"/>
    </row>
    <row r="7898" spans="2:11" hidden="1">
      <c r="B7898" s="1348"/>
      <c r="C7898" s="1348"/>
      <c r="D7898" s="1348"/>
      <c r="E7898" s="1348"/>
      <c r="F7898" s="1348"/>
      <c r="G7898" s="1348"/>
      <c r="H7898" s="1348"/>
      <c r="I7898" s="1348"/>
      <c r="J7898" s="1348"/>
      <c r="K7898" s="1348"/>
    </row>
    <row r="7899" spans="2:11" hidden="1">
      <c r="B7899" s="1348"/>
      <c r="C7899" s="1348"/>
      <c r="D7899" s="1348"/>
      <c r="E7899" s="1348"/>
      <c r="F7899" s="1348"/>
      <c r="G7899" s="1348"/>
      <c r="H7899" s="1348"/>
      <c r="I7899" s="1348"/>
      <c r="J7899" s="1348"/>
      <c r="K7899" s="1348"/>
    </row>
    <row r="7900" spans="2:11" hidden="1">
      <c r="B7900" s="1348"/>
      <c r="C7900" s="1348"/>
      <c r="D7900" s="1348"/>
      <c r="E7900" s="1348"/>
      <c r="F7900" s="1348"/>
      <c r="G7900" s="1348"/>
      <c r="H7900" s="1348"/>
      <c r="I7900" s="1348"/>
      <c r="J7900" s="1348"/>
      <c r="K7900" s="1348"/>
    </row>
    <row r="7901" spans="2:11" hidden="1">
      <c r="B7901" s="1348"/>
      <c r="C7901" s="1348"/>
      <c r="D7901" s="1348"/>
      <c r="E7901" s="1348"/>
      <c r="F7901" s="1348"/>
      <c r="G7901" s="1348"/>
      <c r="H7901" s="1348"/>
      <c r="I7901" s="1348"/>
      <c r="J7901" s="1348"/>
      <c r="K7901" s="1348"/>
    </row>
    <row r="7902" spans="2:11" hidden="1">
      <c r="B7902" s="1348"/>
      <c r="C7902" s="1348"/>
      <c r="D7902" s="1348"/>
      <c r="E7902" s="1348"/>
      <c r="F7902" s="1348"/>
      <c r="G7902" s="1348"/>
      <c r="H7902" s="1348"/>
      <c r="I7902" s="1348"/>
      <c r="J7902" s="1348"/>
      <c r="K7902" s="1348"/>
    </row>
    <row r="7903" spans="2:11" hidden="1">
      <c r="B7903" s="1348"/>
      <c r="C7903" s="1348"/>
      <c r="D7903" s="1348"/>
      <c r="E7903" s="1348"/>
      <c r="F7903" s="1348"/>
      <c r="G7903" s="1348"/>
      <c r="H7903" s="1348"/>
      <c r="I7903" s="1348"/>
      <c r="J7903" s="1348"/>
      <c r="K7903" s="1348"/>
    </row>
    <row r="7904" spans="2:11" hidden="1">
      <c r="B7904" s="1348"/>
      <c r="C7904" s="1348"/>
      <c r="D7904" s="1348"/>
      <c r="E7904" s="1348"/>
      <c r="F7904" s="1348"/>
      <c r="G7904" s="1348"/>
      <c r="H7904" s="1348"/>
      <c r="I7904" s="1348"/>
      <c r="J7904" s="1348"/>
      <c r="K7904" s="1348"/>
    </row>
    <row r="7905" spans="2:11" hidden="1">
      <c r="B7905" s="1348"/>
      <c r="C7905" s="1348"/>
      <c r="D7905" s="1348"/>
      <c r="E7905" s="1348"/>
      <c r="F7905" s="1348"/>
      <c r="G7905" s="1348"/>
      <c r="H7905" s="1348"/>
      <c r="I7905" s="1348"/>
      <c r="J7905" s="1348"/>
      <c r="K7905" s="1348"/>
    </row>
    <row r="7906" spans="2:11" hidden="1">
      <c r="B7906" s="1348"/>
      <c r="C7906" s="1348"/>
      <c r="D7906" s="1348"/>
      <c r="E7906" s="1348"/>
      <c r="F7906" s="1348"/>
      <c r="G7906" s="1348"/>
      <c r="H7906" s="1348"/>
      <c r="I7906" s="1348"/>
      <c r="J7906" s="1348"/>
      <c r="K7906" s="1348"/>
    </row>
    <row r="7907" spans="2:11" hidden="1">
      <c r="B7907" s="1348"/>
      <c r="C7907" s="1348"/>
      <c r="D7907" s="1348"/>
      <c r="E7907" s="1348"/>
      <c r="F7907" s="1348"/>
      <c r="G7907" s="1348"/>
      <c r="H7907" s="1348"/>
      <c r="I7907" s="1348"/>
      <c r="J7907" s="1348"/>
      <c r="K7907" s="1348"/>
    </row>
    <row r="7908" spans="2:11" hidden="1">
      <c r="B7908" s="1348"/>
      <c r="C7908" s="1348"/>
      <c r="D7908" s="1348"/>
      <c r="E7908" s="1348"/>
      <c r="F7908" s="1348"/>
      <c r="G7908" s="1348"/>
      <c r="H7908" s="1348"/>
      <c r="I7908" s="1348"/>
      <c r="J7908" s="1348"/>
      <c r="K7908" s="1348"/>
    </row>
    <row r="7909" spans="2:11" hidden="1">
      <c r="B7909" s="1348"/>
      <c r="C7909" s="1348"/>
      <c r="D7909" s="1348"/>
      <c r="E7909" s="1348"/>
      <c r="F7909" s="1348"/>
      <c r="G7909" s="1348"/>
      <c r="H7909" s="1348"/>
      <c r="I7909" s="1348"/>
      <c r="J7909" s="1348"/>
      <c r="K7909" s="1348"/>
    </row>
    <row r="7910" spans="2:11" hidden="1">
      <c r="B7910" s="1348"/>
      <c r="C7910" s="1348"/>
      <c r="D7910" s="1348"/>
      <c r="E7910" s="1348"/>
      <c r="F7910" s="1348"/>
      <c r="G7910" s="1348"/>
      <c r="H7910" s="1348"/>
      <c r="I7910" s="1348"/>
      <c r="J7910" s="1348"/>
      <c r="K7910" s="1348"/>
    </row>
    <row r="7911" spans="2:11" hidden="1">
      <c r="B7911" s="1348"/>
      <c r="C7911" s="1348"/>
      <c r="D7911" s="1348"/>
      <c r="E7911" s="1348"/>
      <c r="F7911" s="1348"/>
      <c r="G7911" s="1348"/>
      <c r="H7911" s="1348"/>
      <c r="I7911" s="1348"/>
      <c r="J7911" s="1348"/>
      <c r="K7911" s="1348"/>
    </row>
    <row r="7912" spans="2:11" hidden="1">
      <c r="B7912" s="1348"/>
      <c r="C7912" s="1348"/>
      <c r="D7912" s="1348"/>
      <c r="E7912" s="1348"/>
      <c r="F7912" s="1348"/>
      <c r="G7912" s="1348"/>
      <c r="H7912" s="1348"/>
      <c r="I7912" s="1348"/>
      <c r="J7912" s="1348"/>
      <c r="K7912" s="1348"/>
    </row>
    <row r="7913" spans="2:11" hidden="1">
      <c r="B7913" s="1348"/>
      <c r="C7913" s="1348"/>
      <c r="D7913" s="1348"/>
      <c r="E7913" s="1348"/>
      <c r="F7913" s="1348"/>
      <c r="G7913" s="1348"/>
      <c r="H7913" s="1348"/>
      <c r="I7913" s="1348"/>
      <c r="J7913" s="1348"/>
      <c r="K7913" s="1348"/>
    </row>
    <row r="7914" spans="2:11" hidden="1">
      <c r="B7914" s="1348"/>
      <c r="C7914" s="1348"/>
      <c r="D7914" s="1348"/>
      <c r="E7914" s="1348"/>
      <c r="F7914" s="1348"/>
      <c r="G7914" s="1348"/>
      <c r="H7914" s="1348"/>
      <c r="I7914" s="1348"/>
      <c r="J7914" s="1348"/>
      <c r="K7914" s="1348"/>
    </row>
    <row r="7915" spans="2:11" hidden="1">
      <c r="B7915" s="1348"/>
      <c r="C7915" s="1348"/>
      <c r="D7915" s="1348"/>
      <c r="E7915" s="1348"/>
      <c r="F7915" s="1348"/>
      <c r="G7915" s="1348"/>
      <c r="H7915" s="1348"/>
      <c r="I7915" s="1348"/>
      <c r="J7915" s="1348"/>
      <c r="K7915" s="1348"/>
    </row>
    <row r="7916" spans="2:11" hidden="1">
      <c r="B7916" s="1348"/>
      <c r="C7916" s="1348"/>
      <c r="D7916" s="1348"/>
      <c r="E7916" s="1348"/>
      <c r="F7916" s="1348"/>
      <c r="G7916" s="1348"/>
      <c r="H7916" s="1348"/>
      <c r="I7916" s="1348"/>
      <c r="J7916" s="1348"/>
      <c r="K7916" s="1348"/>
    </row>
    <row r="7917" spans="2:11" hidden="1">
      <c r="B7917" s="1348"/>
      <c r="C7917" s="1348"/>
      <c r="D7917" s="1348"/>
      <c r="E7917" s="1348"/>
      <c r="F7917" s="1348"/>
      <c r="G7917" s="1348"/>
      <c r="H7917" s="1348"/>
      <c r="I7917" s="1348"/>
      <c r="J7917" s="1348"/>
      <c r="K7917" s="1348"/>
    </row>
    <row r="7918" spans="2:11" hidden="1">
      <c r="B7918" s="1348"/>
      <c r="C7918" s="1348"/>
      <c r="D7918" s="1348"/>
      <c r="E7918" s="1348"/>
      <c r="F7918" s="1348"/>
      <c r="G7918" s="1348"/>
      <c r="H7918" s="1348"/>
      <c r="I7918" s="1348"/>
      <c r="J7918" s="1348"/>
      <c r="K7918" s="1348"/>
    </row>
    <row r="7919" spans="2:11" hidden="1">
      <c r="B7919" s="1348"/>
      <c r="C7919" s="1348"/>
      <c r="D7919" s="1348"/>
      <c r="E7919" s="1348"/>
      <c r="F7919" s="1348"/>
      <c r="G7919" s="1348"/>
      <c r="H7919" s="1348"/>
      <c r="I7919" s="1348"/>
      <c r="J7919" s="1348"/>
      <c r="K7919" s="1348"/>
    </row>
    <row r="7920" spans="2:11" hidden="1">
      <c r="B7920" s="1348"/>
      <c r="C7920" s="1348"/>
      <c r="D7920" s="1348"/>
      <c r="E7920" s="1348"/>
      <c r="F7920" s="1348"/>
      <c r="G7920" s="1348"/>
      <c r="H7920" s="1348"/>
      <c r="I7920" s="1348"/>
      <c r="J7920" s="1348"/>
      <c r="K7920" s="1348"/>
    </row>
    <row r="7921" spans="2:11" hidden="1">
      <c r="B7921" s="1348"/>
      <c r="C7921" s="1348"/>
      <c r="D7921" s="1348"/>
      <c r="E7921" s="1348"/>
      <c r="F7921" s="1348"/>
      <c r="G7921" s="1348"/>
      <c r="H7921" s="1348"/>
      <c r="I7921" s="1348"/>
      <c r="J7921" s="1348"/>
      <c r="K7921" s="1348"/>
    </row>
    <row r="7922" spans="2:11" hidden="1">
      <c r="B7922" s="1348"/>
      <c r="C7922" s="1348"/>
      <c r="D7922" s="1348"/>
      <c r="E7922" s="1348"/>
      <c r="F7922" s="1348"/>
      <c r="G7922" s="1348"/>
      <c r="H7922" s="1348"/>
      <c r="I7922" s="1348"/>
      <c r="J7922" s="1348"/>
      <c r="K7922" s="1348"/>
    </row>
    <row r="7923" spans="2:11" hidden="1">
      <c r="B7923" s="1348"/>
      <c r="C7923" s="1348"/>
      <c r="D7923" s="1348"/>
      <c r="E7923" s="1348"/>
      <c r="F7923" s="1348"/>
      <c r="G7923" s="1348"/>
      <c r="H7923" s="1348"/>
      <c r="I7923" s="1348"/>
      <c r="J7923" s="1348"/>
      <c r="K7923" s="1348"/>
    </row>
    <row r="7924" spans="2:11" hidden="1">
      <c r="B7924" s="1348"/>
      <c r="C7924" s="1348"/>
      <c r="D7924" s="1348"/>
      <c r="E7924" s="1348"/>
      <c r="F7924" s="1348"/>
      <c r="G7924" s="1348"/>
      <c r="H7924" s="1348"/>
      <c r="I7924" s="1348"/>
      <c r="J7924" s="1348"/>
      <c r="K7924" s="1348"/>
    </row>
    <row r="7925" spans="2:11" hidden="1">
      <c r="B7925" s="1348"/>
      <c r="C7925" s="1348"/>
      <c r="D7925" s="1348"/>
      <c r="E7925" s="1348"/>
      <c r="F7925" s="1348"/>
      <c r="G7925" s="1348"/>
      <c r="H7925" s="1348"/>
      <c r="I7925" s="1348"/>
      <c r="J7925" s="1348"/>
      <c r="K7925" s="1348"/>
    </row>
    <row r="7926" spans="2:11" hidden="1">
      <c r="B7926" s="1348"/>
      <c r="C7926" s="1348"/>
      <c r="D7926" s="1348"/>
      <c r="E7926" s="1348"/>
      <c r="F7926" s="1348"/>
      <c r="G7926" s="1348"/>
      <c r="H7926" s="1348"/>
      <c r="I7926" s="1348"/>
      <c r="J7926" s="1348"/>
      <c r="K7926" s="1348"/>
    </row>
    <row r="7927" spans="2:11" hidden="1">
      <c r="B7927" s="1348"/>
      <c r="C7927" s="1348"/>
      <c r="D7927" s="1348"/>
      <c r="E7927" s="1348"/>
      <c r="F7927" s="1348"/>
      <c r="G7927" s="1348"/>
      <c r="H7927" s="1348"/>
      <c r="I7927" s="1348"/>
      <c r="J7927" s="1348"/>
      <c r="K7927" s="1348"/>
    </row>
    <row r="7928" spans="2:11" hidden="1">
      <c r="B7928" s="1348"/>
      <c r="C7928" s="1348"/>
      <c r="D7928" s="1348"/>
      <c r="E7928" s="1348"/>
      <c r="F7928" s="1348"/>
      <c r="G7928" s="1348"/>
      <c r="H7928" s="1348"/>
      <c r="I7928" s="1348"/>
      <c r="J7928" s="1348"/>
      <c r="K7928" s="1348"/>
    </row>
    <row r="7929" spans="2:11" hidden="1">
      <c r="B7929" s="1348"/>
      <c r="C7929" s="1348"/>
      <c r="D7929" s="1348"/>
      <c r="E7929" s="1348"/>
      <c r="F7929" s="1348"/>
      <c r="G7929" s="1348"/>
      <c r="H7929" s="1348"/>
      <c r="I7929" s="1348"/>
      <c r="J7929" s="1348"/>
      <c r="K7929" s="1348"/>
    </row>
    <row r="7930" spans="2:11" hidden="1">
      <c r="B7930" s="1348"/>
      <c r="C7930" s="1348"/>
      <c r="D7930" s="1348"/>
      <c r="E7930" s="1348"/>
      <c r="F7930" s="1348"/>
      <c r="G7930" s="1348"/>
      <c r="H7930" s="1348"/>
      <c r="I7930" s="1348"/>
      <c r="J7930" s="1348"/>
      <c r="K7930" s="1348"/>
    </row>
    <row r="7931" spans="2:11" hidden="1">
      <c r="B7931" s="1348"/>
      <c r="C7931" s="1348"/>
      <c r="D7931" s="1348"/>
      <c r="E7931" s="1348"/>
      <c r="F7931" s="1348"/>
      <c r="G7931" s="1348"/>
      <c r="H7931" s="1348"/>
      <c r="I7931" s="1348"/>
      <c r="J7931" s="1348"/>
      <c r="K7931" s="1348"/>
    </row>
    <row r="7932" spans="2:11" hidden="1">
      <c r="B7932" s="1348"/>
      <c r="C7932" s="1348"/>
      <c r="D7932" s="1348"/>
      <c r="E7932" s="1348"/>
      <c r="F7932" s="1348"/>
      <c r="G7932" s="1348"/>
      <c r="H7932" s="1348"/>
      <c r="I7932" s="1348"/>
      <c r="J7932" s="1348"/>
      <c r="K7932" s="1348"/>
    </row>
    <row r="7933" spans="2:11" hidden="1">
      <c r="B7933" s="1348"/>
      <c r="C7933" s="1348"/>
      <c r="D7933" s="1348"/>
      <c r="E7933" s="1348"/>
      <c r="F7933" s="1348"/>
      <c r="G7933" s="1348"/>
      <c r="H7933" s="1348"/>
      <c r="I7933" s="1348"/>
      <c r="J7933" s="1348"/>
      <c r="K7933" s="1348"/>
    </row>
    <row r="7934" spans="2:11" hidden="1">
      <c r="B7934" s="1348"/>
      <c r="C7934" s="1348"/>
      <c r="D7934" s="1348"/>
      <c r="E7934" s="1348"/>
      <c r="F7934" s="1348"/>
      <c r="G7934" s="1348"/>
      <c r="H7934" s="1348"/>
      <c r="I7934" s="1348"/>
      <c r="J7934" s="1348"/>
      <c r="K7934" s="1348"/>
    </row>
    <row r="7935" spans="2:11" hidden="1">
      <c r="B7935" s="1348"/>
      <c r="C7935" s="1348"/>
      <c r="D7935" s="1348"/>
      <c r="E7935" s="1348"/>
      <c r="F7935" s="1348"/>
      <c r="G7935" s="1348"/>
      <c r="H7935" s="1348"/>
      <c r="I7935" s="1348"/>
      <c r="J7935" s="1348"/>
      <c r="K7935" s="1348"/>
    </row>
    <row r="7936" spans="2:11" hidden="1">
      <c r="B7936" s="1348"/>
      <c r="C7936" s="1348"/>
      <c r="D7936" s="1348"/>
      <c r="E7936" s="1348"/>
      <c r="F7936" s="1348"/>
      <c r="G7936" s="1348"/>
      <c r="H7936" s="1348"/>
      <c r="I7936" s="1348"/>
      <c r="J7936" s="1348"/>
      <c r="K7936" s="1348"/>
    </row>
    <row r="7937" spans="2:11" hidden="1">
      <c r="B7937" s="1348"/>
      <c r="C7937" s="1348"/>
      <c r="D7937" s="1348"/>
      <c r="E7937" s="1348"/>
      <c r="F7937" s="1348"/>
      <c r="G7937" s="1348"/>
      <c r="H7937" s="1348"/>
      <c r="I7937" s="1348"/>
      <c r="J7937" s="1348"/>
      <c r="K7937" s="1348"/>
    </row>
    <row r="7938" spans="2:11" hidden="1">
      <c r="B7938" s="1348"/>
      <c r="C7938" s="1348"/>
      <c r="D7938" s="1348"/>
      <c r="E7938" s="1348"/>
      <c r="F7938" s="1348"/>
      <c r="G7938" s="1348"/>
      <c r="H7938" s="1348"/>
      <c r="I7938" s="1348"/>
      <c r="J7938" s="1348"/>
      <c r="K7938" s="1348"/>
    </row>
    <row r="7939" spans="2:11" hidden="1">
      <c r="B7939" s="1348"/>
      <c r="C7939" s="1348"/>
      <c r="D7939" s="1348"/>
      <c r="E7939" s="1348"/>
      <c r="F7939" s="1348"/>
      <c r="G7939" s="1348"/>
      <c r="H7939" s="1348"/>
      <c r="I7939" s="1348"/>
      <c r="J7939" s="1348"/>
      <c r="K7939" s="1348"/>
    </row>
    <row r="7940" spans="2:11" hidden="1">
      <c r="B7940" s="1348"/>
      <c r="C7940" s="1348"/>
      <c r="D7940" s="1348"/>
      <c r="E7940" s="1348"/>
      <c r="F7940" s="1348"/>
      <c r="G7940" s="1348"/>
      <c r="H7940" s="1348"/>
      <c r="I7940" s="1348"/>
      <c r="J7940" s="1348"/>
      <c r="K7940" s="1348"/>
    </row>
    <row r="7941" spans="2:11" hidden="1">
      <c r="B7941" s="1348"/>
      <c r="C7941" s="1348"/>
      <c r="D7941" s="1348"/>
      <c r="E7941" s="1348"/>
      <c r="F7941" s="1348"/>
      <c r="G7941" s="1348"/>
      <c r="H7941" s="1348"/>
      <c r="I7941" s="1348"/>
      <c r="J7941" s="1348"/>
      <c r="K7941" s="1348"/>
    </row>
    <row r="7942" spans="2:11" hidden="1">
      <c r="B7942" s="1348"/>
      <c r="C7942" s="1348"/>
      <c r="D7942" s="1348"/>
      <c r="E7942" s="1348"/>
      <c r="F7942" s="1348"/>
      <c r="G7942" s="1348"/>
      <c r="H7942" s="1348"/>
      <c r="I7942" s="1348"/>
      <c r="J7942" s="1348"/>
      <c r="K7942" s="1348"/>
    </row>
    <row r="7943" spans="2:11" hidden="1">
      <c r="B7943" s="1348"/>
      <c r="C7943" s="1348"/>
      <c r="D7943" s="1348"/>
      <c r="E7943" s="1348"/>
      <c r="F7943" s="1348"/>
      <c r="G7943" s="1348"/>
      <c r="H7943" s="1348"/>
      <c r="I7943" s="1348"/>
      <c r="J7943" s="1348"/>
      <c r="K7943" s="1348"/>
    </row>
    <row r="7944" spans="2:11" hidden="1">
      <c r="B7944" s="1348"/>
      <c r="C7944" s="1348"/>
      <c r="D7944" s="1348"/>
      <c r="E7944" s="1348"/>
      <c r="F7944" s="1348"/>
      <c r="G7944" s="1348"/>
      <c r="H7944" s="1348"/>
      <c r="I7944" s="1348"/>
      <c r="J7944" s="1348"/>
      <c r="K7944" s="1348"/>
    </row>
    <row r="7945" spans="2:11" hidden="1">
      <c r="B7945" s="1348"/>
      <c r="C7945" s="1348"/>
      <c r="D7945" s="1348"/>
      <c r="E7945" s="1348"/>
      <c r="F7945" s="1348"/>
      <c r="G7945" s="1348"/>
      <c r="H7945" s="1348"/>
      <c r="I7945" s="1348"/>
      <c r="J7945" s="1348"/>
      <c r="K7945" s="1348"/>
    </row>
    <row r="7946" spans="2:11" hidden="1">
      <c r="B7946" s="1348"/>
      <c r="C7946" s="1348"/>
      <c r="D7946" s="1348"/>
      <c r="E7946" s="1348"/>
      <c r="F7946" s="1348"/>
      <c r="G7946" s="1348"/>
      <c r="H7946" s="1348"/>
      <c r="I7946" s="1348"/>
      <c r="J7946" s="1348"/>
      <c r="K7946" s="1348"/>
    </row>
    <row r="7947" spans="2:11" hidden="1">
      <c r="B7947" s="1348"/>
      <c r="C7947" s="1348"/>
      <c r="D7947" s="1348"/>
      <c r="E7947" s="1348"/>
      <c r="F7947" s="1348"/>
      <c r="G7947" s="1348"/>
      <c r="H7947" s="1348"/>
      <c r="I7947" s="1348"/>
      <c r="J7947" s="1348"/>
      <c r="K7947" s="1348"/>
    </row>
    <row r="7948" spans="2:11" hidden="1">
      <c r="B7948" s="1348"/>
      <c r="C7948" s="1348"/>
      <c r="D7948" s="1348"/>
      <c r="E7948" s="1348"/>
      <c r="F7948" s="1348"/>
      <c r="G7948" s="1348"/>
      <c r="H7948" s="1348"/>
      <c r="I7948" s="1348"/>
      <c r="J7948" s="1348"/>
      <c r="K7948" s="1348"/>
    </row>
    <row r="7949" spans="2:11" hidden="1">
      <c r="B7949" s="1348"/>
      <c r="C7949" s="1348"/>
      <c r="D7949" s="1348"/>
      <c r="E7949" s="1348"/>
      <c r="F7949" s="1348"/>
      <c r="G7949" s="1348"/>
      <c r="H7949" s="1348"/>
      <c r="I7949" s="1348"/>
      <c r="J7949" s="1348"/>
      <c r="K7949" s="1348"/>
    </row>
    <row r="7950" spans="2:11" hidden="1">
      <c r="B7950" s="1348"/>
      <c r="C7950" s="1348"/>
      <c r="D7950" s="1348"/>
      <c r="E7950" s="1348"/>
      <c r="F7950" s="1348"/>
      <c r="G7950" s="1348"/>
      <c r="H7950" s="1348"/>
      <c r="I7950" s="1348"/>
      <c r="J7950" s="1348"/>
      <c r="K7950" s="1348"/>
    </row>
    <row r="7951" spans="2:11" hidden="1">
      <c r="B7951" s="1348"/>
      <c r="C7951" s="1348"/>
      <c r="D7951" s="1348"/>
      <c r="E7951" s="1348"/>
      <c r="F7951" s="1348"/>
      <c r="G7951" s="1348"/>
      <c r="H7951" s="1348"/>
      <c r="I7951" s="1348"/>
      <c r="J7951" s="1348"/>
      <c r="K7951" s="1348"/>
    </row>
    <row r="7952" spans="2:11" hidden="1">
      <c r="B7952" s="1348"/>
      <c r="C7952" s="1348"/>
      <c r="D7952" s="1348"/>
      <c r="E7952" s="1348"/>
      <c r="F7952" s="1348"/>
      <c r="G7952" s="1348"/>
      <c r="H7952" s="1348"/>
      <c r="I7952" s="1348"/>
      <c r="J7952" s="1348"/>
      <c r="K7952" s="1348"/>
    </row>
    <row r="7953" spans="2:11" hidden="1">
      <c r="B7953" s="1348"/>
      <c r="C7953" s="1348"/>
      <c r="D7953" s="1348"/>
      <c r="E7953" s="1348"/>
      <c r="F7953" s="1348"/>
      <c r="G7953" s="1348"/>
      <c r="H7953" s="1348"/>
      <c r="I7953" s="1348"/>
      <c r="J7953" s="1348"/>
      <c r="K7953" s="1348"/>
    </row>
    <row r="7954" spans="2:11" hidden="1">
      <c r="B7954" s="1348"/>
      <c r="C7954" s="1348"/>
      <c r="D7954" s="1348"/>
      <c r="E7954" s="1348"/>
      <c r="F7954" s="1348"/>
      <c r="G7954" s="1348"/>
      <c r="H7954" s="1348"/>
      <c r="I7954" s="1348"/>
      <c r="J7954" s="1348"/>
      <c r="K7954" s="1348"/>
    </row>
    <row r="7955" spans="2:11" hidden="1">
      <c r="B7955" s="1348"/>
      <c r="C7955" s="1348"/>
      <c r="D7955" s="1348"/>
      <c r="E7955" s="1348"/>
      <c r="F7955" s="1348"/>
      <c r="G7955" s="1348"/>
      <c r="H7955" s="1348"/>
      <c r="I7955" s="1348"/>
      <c r="J7955" s="1348"/>
      <c r="K7955" s="1348"/>
    </row>
    <row r="7956" spans="2:11" hidden="1">
      <c r="B7956" s="1348"/>
      <c r="C7956" s="1348"/>
      <c r="D7956" s="1348"/>
      <c r="E7956" s="1348"/>
      <c r="F7956" s="1348"/>
      <c r="G7956" s="1348"/>
      <c r="H7956" s="1348"/>
      <c r="I7956" s="1348"/>
      <c r="J7956" s="1348"/>
      <c r="K7956" s="1348"/>
    </row>
    <row r="7957" spans="2:11" hidden="1">
      <c r="B7957" s="1348"/>
      <c r="C7957" s="1348"/>
      <c r="D7957" s="1348"/>
      <c r="E7957" s="1348"/>
      <c r="F7957" s="1348"/>
      <c r="G7957" s="1348"/>
      <c r="H7957" s="1348"/>
      <c r="I7957" s="1348"/>
      <c r="J7957" s="1348"/>
      <c r="K7957" s="1348"/>
    </row>
    <row r="7958" spans="2:11" hidden="1">
      <c r="B7958" s="1348"/>
      <c r="C7958" s="1348"/>
      <c r="D7958" s="1348"/>
      <c r="E7958" s="1348"/>
      <c r="F7958" s="1348"/>
      <c r="G7958" s="1348"/>
      <c r="H7958" s="1348"/>
      <c r="I7958" s="1348"/>
      <c r="J7958" s="1348"/>
      <c r="K7958" s="1348"/>
    </row>
    <row r="7959" spans="2:11" hidden="1">
      <c r="B7959" s="1348"/>
      <c r="C7959" s="1348"/>
      <c r="D7959" s="1348"/>
      <c r="E7959" s="1348"/>
      <c r="F7959" s="1348"/>
      <c r="G7959" s="1348"/>
      <c r="H7959" s="1348"/>
      <c r="I7959" s="1348"/>
      <c r="J7959" s="1348"/>
      <c r="K7959" s="1348"/>
    </row>
    <row r="7960" spans="2:11" hidden="1">
      <c r="B7960" s="1348"/>
      <c r="C7960" s="1348"/>
      <c r="D7960" s="1348"/>
      <c r="E7960" s="1348"/>
      <c r="F7960" s="1348"/>
      <c r="G7960" s="1348"/>
      <c r="H7960" s="1348"/>
      <c r="I7960" s="1348"/>
      <c r="J7960" s="1348"/>
      <c r="K7960" s="1348"/>
    </row>
    <row r="7961" spans="2:11" hidden="1">
      <c r="B7961" s="1348"/>
      <c r="C7961" s="1348"/>
      <c r="D7961" s="1348"/>
      <c r="E7961" s="1348"/>
      <c r="F7961" s="1348"/>
      <c r="G7961" s="1348"/>
      <c r="H7961" s="1348"/>
      <c r="I7961" s="1348"/>
      <c r="J7961" s="1348"/>
      <c r="K7961" s="1348"/>
    </row>
    <row r="7962" spans="2:11" hidden="1">
      <c r="B7962" s="1348"/>
      <c r="C7962" s="1348"/>
      <c r="D7962" s="1348"/>
      <c r="E7962" s="1348"/>
      <c r="F7962" s="1348"/>
      <c r="G7962" s="1348"/>
      <c r="H7962" s="1348"/>
      <c r="I7962" s="1348"/>
      <c r="J7962" s="1348"/>
      <c r="K7962" s="1348"/>
    </row>
    <row r="7963" spans="2:11" hidden="1">
      <c r="B7963" s="1348"/>
      <c r="C7963" s="1348"/>
      <c r="D7963" s="1348"/>
      <c r="E7963" s="1348"/>
      <c r="F7963" s="1348"/>
      <c r="G7963" s="1348"/>
      <c r="H7963" s="1348"/>
      <c r="I7963" s="1348"/>
      <c r="J7963" s="1348"/>
      <c r="K7963" s="1348"/>
    </row>
    <row r="7964" spans="2:11" hidden="1">
      <c r="B7964" s="1348"/>
      <c r="C7964" s="1348"/>
      <c r="D7964" s="1348"/>
      <c r="E7964" s="1348"/>
      <c r="F7964" s="1348"/>
      <c r="G7964" s="1348"/>
      <c r="H7964" s="1348"/>
      <c r="I7964" s="1348"/>
      <c r="J7964" s="1348"/>
      <c r="K7964" s="1348"/>
    </row>
    <row r="7965" spans="2:11" hidden="1">
      <c r="B7965" s="1348"/>
      <c r="C7965" s="1348"/>
      <c r="D7965" s="1348"/>
      <c r="E7965" s="1348"/>
      <c r="F7965" s="1348"/>
      <c r="G7965" s="1348"/>
      <c r="H7965" s="1348"/>
      <c r="I7965" s="1348"/>
      <c r="J7965" s="1348"/>
      <c r="K7965" s="1348"/>
    </row>
    <row r="7966" spans="2:11" hidden="1">
      <c r="B7966" s="1348"/>
      <c r="C7966" s="1348"/>
      <c r="D7966" s="1348"/>
      <c r="E7966" s="1348"/>
      <c r="F7966" s="1348"/>
      <c r="G7966" s="1348"/>
      <c r="H7966" s="1348"/>
      <c r="I7966" s="1348"/>
      <c r="J7966" s="1348"/>
      <c r="K7966" s="1348"/>
    </row>
    <row r="7967" spans="2:11" hidden="1">
      <c r="B7967" s="1348"/>
      <c r="C7967" s="1348"/>
      <c r="D7967" s="1348"/>
      <c r="E7967" s="1348"/>
      <c r="F7967" s="1348"/>
      <c r="G7967" s="1348"/>
      <c r="H7967" s="1348"/>
      <c r="I7967" s="1348"/>
      <c r="J7967" s="1348"/>
      <c r="K7967" s="1348"/>
    </row>
    <row r="7968" spans="2:11" hidden="1">
      <c r="B7968" s="1348"/>
      <c r="C7968" s="1348"/>
      <c r="D7968" s="1348"/>
      <c r="E7968" s="1348"/>
      <c r="F7968" s="1348"/>
      <c r="G7968" s="1348"/>
      <c r="H7968" s="1348"/>
      <c r="I7968" s="1348"/>
      <c r="J7968" s="1348"/>
      <c r="K7968" s="1348"/>
    </row>
    <row r="7969" spans="2:11" hidden="1">
      <c r="B7969" s="1348"/>
      <c r="C7969" s="1348"/>
      <c r="D7969" s="1348"/>
      <c r="E7969" s="1348"/>
      <c r="F7969" s="1348"/>
      <c r="G7969" s="1348"/>
      <c r="H7969" s="1348"/>
      <c r="I7969" s="1348"/>
      <c r="J7969" s="1348"/>
      <c r="K7969" s="1348"/>
    </row>
    <row r="7970" spans="2:11" hidden="1">
      <c r="B7970" s="1348"/>
      <c r="C7970" s="1348"/>
      <c r="D7970" s="1348"/>
      <c r="E7970" s="1348"/>
      <c r="F7970" s="1348"/>
      <c r="G7970" s="1348"/>
      <c r="H7970" s="1348"/>
      <c r="I7970" s="1348"/>
      <c r="J7970" s="1348"/>
      <c r="K7970" s="1348"/>
    </row>
    <row r="7971" spans="2:11" hidden="1">
      <c r="B7971" s="1348"/>
      <c r="C7971" s="1348"/>
      <c r="D7971" s="1348"/>
      <c r="E7971" s="1348"/>
      <c r="F7971" s="1348"/>
      <c r="G7971" s="1348"/>
      <c r="H7971" s="1348"/>
      <c r="I7971" s="1348"/>
      <c r="J7971" s="1348"/>
      <c r="K7971" s="1348"/>
    </row>
    <row r="7972" spans="2:11" hidden="1">
      <c r="B7972" s="1348"/>
      <c r="C7972" s="1348"/>
      <c r="D7972" s="1348"/>
      <c r="E7972" s="1348"/>
      <c r="F7972" s="1348"/>
      <c r="G7972" s="1348"/>
      <c r="H7972" s="1348"/>
      <c r="I7972" s="1348"/>
      <c r="J7972" s="1348"/>
      <c r="K7972" s="1348"/>
    </row>
    <row r="7973" spans="2:11" hidden="1">
      <c r="B7973" s="1348"/>
      <c r="C7973" s="1348"/>
      <c r="D7973" s="1348"/>
      <c r="E7973" s="1348"/>
      <c r="F7973" s="1348"/>
      <c r="G7973" s="1348"/>
      <c r="H7973" s="1348"/>
      <c r="I7973" s="1348"/>
      <c r="J7973" s="1348"/>
      <c r="K7973" s="1348"/>
    </row>
    <row r="7974" spans="2:11" hidden="1">
      <c r="B7974" s="1348"/>
      <c r="C7974" s="1348"/>
      <c r="D7974" s="1348"/>
      <c r="E7974" s="1348"/>
      <c r="F7974" s="1348"/>
      <c r="G7974" s="1348"/>
      <c r="H7974" s="1348"/>
      <c r="I7974" s="1348"/>
      <c r="J7974" s="1348"/>
      <c r="K7974" s="1348"/>
    </row>
    <row r="7975" spans="2:11" hidden="1">
      <c r="B7975" s="1348"/>
      <c r="C7975" s="1348"/>
      <c r="D7975" s="1348"/>
      <c r="E7975" s="1348"/>
      <c r="F7975" s="1348"/>
      <c r="G7975" s="1348"/>
      <c r="H7975" s="1348"/>
      <c r="I7975" s="1348"/>
      <c r="J7975" s="1348"/>
      <c r="K7975" s="1348"/>
    </row>
    <row r="7976" spans="2:11" hidden="1">
      <c r="B7976" s="1348"/>
      <c r="C7976" s="1348"/>
      <c r="D7976" s="1348"/>
      <c r="E7976" s="1348"/>
      <c r="F7976" s="1348"/>
      <c r="G7976" s="1348"/>
      <c r="H7976" s="1348"/>
      <c r="I7976" s="1348"/>
      <c r="J7976" s="1348"/>
      <c r="K7976" s="1348"/>
    </row>
    <row r="7977" spans="2:11" hidden="1">
      <c r="B7977" s="1348"/>
      <c r="C7977" s="1348"/>
      <c r="D7977" s="1348"/>
      <c r="E7977" s="1348"/>
      <c r="F7977" s="1348"/>
      <c r="G7977" s="1348"/>
      <c r="H7977" s="1348"/>
      <c r="I7977" s="1348"/>
      <c r="J7977" s="1348"/>
      <c r="K7977" s="1348"/>
    </row>
    <row r="7978" spans="2:11" hidden="1">
      <c r="B7978" s="1348"/>
      <c r="C7978" s="1348"/>
      <c r="D7978" s="1348"/>
      <c r="E7978" s="1348"/>
      <c r="F7978" s="1348"/>
      <c r="G7978" s="1348"/>
      <c r="H7978" s="1348"/>
      <c r="I7978" s="1348"/>
      <c r="J7978" s="1348"/>
      <c r="K7978" s="1348"/>
    </row>
    <row r="7979" spans="2:11" hidden="1">
      <c r="B7979" s="1348"/>
      <c r="C7979" s="1348"/>
      <c r="D7979" s="1348"/>
      <c r="E7979" s="1348"/>
      <c r="F7979" s="1348"/>
      <c r="G7979" s="1348"/>
      <c r="H7979" s="1348"/>
      <c r="I7979" s="1348"/>
      <c r="J7979" s="1348"/>
      <c r="K7979" s="1348"/>
    </row>
    <row r="7980" spans="2:11" hidden="1">
      <c r="B7980" s="1348"/>
      <c r="C7980" s="1348"/>
      <c r="D7980" s="1348"/>
      <c r="E7980" s="1348"/>
      <c r="F7980" s="1348"/>
      <c r="G7980" s="1348"/>
      <c r="H7980" s="1348"/>
      <c r="I7980" s="1348"/>
      <c r="J7980" s="1348"/>
      <c r="K7980" s="1348"/>
    </row>
    <row r="7981" spans="2:11" hidden="1">
      <c r="B7981" s="1348"/>
      <c r="C7981" s="1348"/>
      <c r="D7981" s="1348"/>
      <c r="E7981" s="1348"/>
      <c r="F7981" s="1348"/>
      <c r="G7981" s="1348"/>
      <c r="H7981" s="1348"/>
      <c r="I7981" s="1348"/>
      <c r="J7981" s="1348"/>
      <c r="K7981" s="1348"/>
    </row>
    <row r="7982" spans="2:11" hidden="1">
      <c r="B7982" s="1348"/>
      <c r="C7982" s="1348"/>
      <c r="D7982" s="1348"/>
      <c r="E7982" s="1348"/>
      <c r="F7982" s="1348"/>
      <c r="G7982" s="1348"/>
      <c r="H7982" s="1348"/>
      <c r="I7982" s="1348"/>
      <c r="J7982" s="1348"/>
      <c r="K7982" s="1348"/>
    </row>
    <row r="7983" spans="2:11" hidden="1">
      <c r="B7983" s="1348"/>
      <c r="C7983" s="1348"/>
      <c r="D7983" s="1348"/>
      <c r="E7983" s="1348"/>
      <c r="F7983" s="1348"/>
      <c r="G7983" s="1348"/>
      <c r="H7983" s="1348"/>
      <c r="I7983" s="1348"/>
      <c r="J7983" s="1348"/>
      <c r="K7983" s="1348"/>
    </row>
    <row r="7984" spans="2:11" hidden="1">
      <c r="B7984" s="1348"/>
      <c r="C7984" s="1348"/>
      <c r="D7984" s="1348"/>
      <c r="E7984" s="1348"/>
      <c r="F7984" s="1348"/>
      <c r="G7984" s="1348"/>
      <c r="H7984" s="1348"/>
      <c r="I7984" s="1348"/>
      <c r="J7984" s="1348"/>
      <c r="K7984" s="1348"/>
    </row>
    <row r="7985" spans="2:11" hidden="1">
      <c r="B7985" s="1348"/>
      <c r="C7985" s="1348"/>
      <c r="D7985" s="1348"/>
      <c r="E7985" s="1348"/>
      <c r="F7985" s="1348"/>
      <c r="G7985" s="1348"/>
      <c r="H7985" s="1348"/>
      <c r="I7985" s="1348"/>
      <c r="J7985" s="1348"/>
      <c r="K7985" s="1348"/>
    </row>
    <row r="7986" spans="2:11" hidden="1">
      <c r="B7986" s="1348"/>
      <c r="C7986" s="1348"/>
      <c r="D7986" s="1348"/>
      <c r="E7986" s="1348"/>
      <c r="F7986" s="1348"/>
      <c r="G7986" s="1348"/>
      <c r="H7986" s="1348"/>
      <c r="I7986" s="1348"/>
      <c r="J7986" s="1348"/>
      <c r="K7986" s="1348"/>
    </row>
    <row r="7987" spans="2:11" hidden="1">
      <c r="B7987" s="1348"/>
      <c r="C7987" s="1348"/>
      <c r="D7987" s="1348"/>
      <c r="E7987" s="1348"/>
      <c r="F7987" s="1348"/>
      <c r="G7987" s="1348"/>
      <c r="H7987" s="1348"/>
      <c r="I7987" s="1348"/>
      <c r="J7987" s="1348"/>
      <c r="K7987" s="1348"/>
    </row>
    <row r="7988" spans="2:11" hidden="1">
      <c r="B7988" s="1348"/>
      <c r="C7988" s="1348"/>
      <c r="D7988" s="1348"/>
      <c r="E7988" s="1348"/>
      <c r="F7988" s="1348"/>
      <c r="G7988" s="1348"/>
      <c r="H7988" s="1348"/>
      <c r="I7988" s="1348"/>
      <c r="J7988" s="1348"/>
      <c r="K7988" s="1348"/>
    </row>
    <row r="7989" spans="2:11" hidden="1">
      <c r="B7989" s="1348"/>
      <c r="C7989" s="1348"/>
      <c r="D7989" s="1348"/>
      <c r="E7989" s="1348"/>
      <c r="F7989" s="1348"/>
      <c r="G7989" s="1348"/>
      <c r="H7989" s="1348"/>
      <c r="I7989" s="1348"/>
      <c r="J7989" s="1348"/>
      <c r="K7989" s="1348"/>
    </row>
    <row r="7990" spans="2:11" hidden="1">
      <c r="B7990" s="1348"/>
      <c r="C7990" s="1348"/>
      <c r="D7990" s="1348"/>
      <c r="E7990" s="1348"/>
      <c r="F7990" s="1348"/>
      <c r="G7990" s="1348"/>
      <c r="H7990" s="1348"/>
      <c r="I7990" s="1348"/>
      <c r="J7990" s="1348"/>
      <c r="K7990" s="1348"/>
    </row>
    <row r="7991" spans="2:11" hidden="1">
      <c r="B7991" s="1348"/>
      <c r="C7991" s="1348"/>
      <c r="D7991" s="1348"/>
      <c r="E7991" s="1348"/>
      <c r="F7991" s="1348"/>
      <c r="G7991" s="1348"/>
      <c r="H7991" s="1348"/>
      <c r="I7991" s="1348"/>
      <c r="J7991" s="1348"/>
      <c r="K7991" s="1348"/>
    </row>
    <row r="7992" spans="2:11" hidden="1">
      <c r="B7992" s="1348"/>
      <c r="C7992" s="1348"/>
      <c r="D7992" s="1348"/>
      <c r="E7992" s="1348"/>
      <c r="F7992" s="1348"/>
      <c r="G7992" s="1348"/>
      <c r="H7992" s="1348"/>
      <c r="I7992" s="1348"/>
      <c r="J7992" s="1348"/>
      <c r="K7992" s="1348"/>
    </row>
    <row r="7993" spans="2:11" hidden="1">
      <c r="B7993" s="1348"/>
      <c r="C7993" s="1348"/>
      <c r="D7993" s="1348"/>
      <c r="E7993" s="1348"/>
      <c r="F7993" s="1348"/>
      <c r="G7993" s="1348"/>
      <c r="H7993" s="1348"/>
      <c r="I7993" s="1348"/>
      <c r="J7993" s="1348"/>
      <c r="K7993" s="1348"/>
    </row>
    <row r="7994" spans="2:11" hidden="1">
      <c r="B7994" s="1348"/>
      <c r="C7994" s="1348"/>
      <c r="D7994" s="1348"/>
      <c r="E7994" s="1348"/>
      <c r="F7994" s="1348"/>
      <c r="G7994" s="1348"/>
      <c r="H7994" s="1348"/>
      <c r="I7994" s="1348"/>
      <c r="J7994" s="1348"/>
      <c r="K7994" s="1348"/>
    </row>
    <row r="7995" spans="2:11" hidden="1">
      <c r="B7995" s="1348"/>
      <c r="C7995" s="1348"/>
      <c r="D7995" s="1348"/>
      <c r="E7995" s="1348"/>
      <c r="F7995" s="1348"/>
      <c r="G7995" s="1348"/>
      <c r="H7995" s="1348"/>
      <c r="I7995" s="1348"/>
      <c r="J7995" s="1348"/>
      <c r="K7995" s="1348"/>
    </row>
    <row r="7996" spans="2:11" hidden="1">
      <c r="B7996" s="1348"/>
      <c r="C7996" s="1348"/>
      <c r="D7996" s="1348"/>
      <c r="E7996" s="1348"/>
      <c r="F7996" s="1348"/>
      <c r="G7996" s="1348"/>
      <c r="H7996" s="1348"/>
      <c r="I7996" s="1348"/>
      <c r="J7996" s="1348"/>
      <c r="K7996" s="1348"/>
    </row>
    <row r="7997" spans="2:11" hidden="1">
      <c r="B7997" s="1348"/>
      <c r="C7997" s="1348"/>
      <c r="D7997" s="1348"/>
      <c r="E7997" s="1348"/>
      <c r="F7997" s="1348"/>
      <c r="G7997" s="1348"/>
      <c r="H7997" s="1348"/>
      <c r="I7997" s="1348"/>
      <c r="J7997" s="1348"/>
      <c r="K7997" s="1348"/>
    </row>
    <row r="7998" spans="2:11" hidden="1">
      <c r="B7998" s="1348"/>
      <c r="C7998" s="1348"/>
      <c r="D7998" s="1348"/>
      <c r="E7998" s="1348"/>
      <c r="F7998" s="1348"/>
      <c r="G7998" s="1348"/>
      <c r="H7998" s="1348"/>
      <c r="I7998" s="1348"/>
      <c r="J7998" s="1348"/>
      <c r="K7998" s="1348"/>
    </row>
    <row r="7999" spans="2:11" hidden="1">
      <c r="B7999" s="1348"/>
      <c r="C7999" s="1348"/>
      <c r="D7999" s="1348"/>
      <c r="E7999" s="1348"/>
      <c r="F7999" s="1348"/>
      <c r="G7999" s="1348"/>
      <c r="H7999" s="1348"/>
      <c r="I7999" s="1348"/>
      <c r="J7999" s="1348"/>
      <c r="K7999" s="1348"/>
    </row>
    <row r="8000" spans="2:11" hidden="1">
      <c r="B8000" s="1348"/>
      <c r="C8000" s="1348"/>
      <c r="D8000" s="1348"/>
      <c r="E8000" s="1348"/>
      <c r="F8000" s="1348"/>
      <c r="G8000" s="1348"/>
      <c r="H8000" s="1348"/>
      <c r="I8000" s="1348"/>
      <c r="J8000" s="1348"/>
      <c r="K8000" s="1348"/>
    </row>
    <row r="8001" spans="2:11" hidden="1">
      <c r="B8001" s="1348"/>
      <c r="C8001" s="1348"/>
      <c r="D8001" s="1348"/>
      <c r="E8001" s="1348"/>
      <c r="F8001" s="1348"/>
      <c r="G8001" s="1348"/>
      <c r="H8001" s="1348"/>
      <c r="I8001" s="1348"/>
      <c r="J8001" s="1348"/>
      <c r="K8001" s="1348"/>
    </row>
    <row r="8002" spans="2:11" hidden="1">
      <c r="B8002" s="1348"/>
      <c r="C8002" s="1348"/>
      <c r="D8002" s="1348"/>
      <c r="E8002" s="1348"/>
      <c r="F8002" s="1348"/>
      <c r="G8002" s="1348"/>
      <c r="H8002" s="1348"/>
      <c r="I8002" s="1348"/>
      <c r="J8002" s="1348"/>
      <c r="K8002" s="1348"/>
    </row>
    <row r="8003" spans="2:11" hidden="1">
      <c r="B8003" s="1348"/>
      <c r="C8003" s="1348"/>
      <c r="D8003" s="1348"/>
      <c r="E8003" s="1348"/>
      <c r="F8003" s="1348"/>
      <c r="G8003" s="1348"/>
      <c r="H8003" s="1348"/>
      <c r="I8003" s="1348"/>
      <c r="J8003" s="1348"/>
      <c r="K8003" s="1348"/>
    </row>
    <row r="8004" spans="2:11" hidden="1">
      <c r="B8004" s="1348"/>
      <c r="C8004" s="1348"/>
      <c r="D8004" s="1348"/>
      <c r="E8004" s="1348"/>
      <c r="F8004" s="1348"/>
      <c r="G8004" s="1348"/>
      <c r="H8004" s="1348"/>
      <c r="I8004" s="1348"/>
      <c r="J8004" s="1348"/>
      <c r="K8004" s="1348"/>
    </row>
    <row r="8005" spans="2:11" hidden="1">
      <c r="B8005" s="1348"/>
      <c r="C8005" s="1348"/>
      <c r="D8005" s="1348"/>
      <c r="E8005" s="1348"/>
      <c r="F8005" s="1348"/>
      <c r="G8005" s="1348"/>
      <c r="H8005" s="1348"/>
      <c r="I8005" s="1348"/>
      <c r="J8005" s="1348"/>
      <c r="K8005" s="1348"/>
    </row>
    <row r="8006" spans="2:11" hidden="1">
      <c r="B8006" s="1348"/>
      <c r="C8006" s="1348"/>
      <c r="D8006" s="1348"/>
      <c r="E8006" s="1348"/>
      <c r="F8006" s="1348"/>
      <c r="G8006" s="1348"/>
      <c r="H8006" s="1348"/>
      <c r="I8006" s="1348"/>
      <c r="J8006" s="1348"/>
      <c r="K8006" s="1348"/>
    </row>
    <row r="8007" spans="2:11" hidden="1">
      <c r="B8007" s="1348"/>
      <c r="C8007" s="1348"/>
      <c r="D8007" s="1348"/>
      <c r="E8007" s="1348"/>
      <c r="F8007" s="1348"/>
      <c r="G8007" s="1348"/>
      <c r="H8007" s="1348"/>
      <c r="I8007" s="1348"/>
      <c r="J8007" s="1348"/>
      <c r="K8007" s="1348"/>
    </row>
    <row r="8008" spans="2:11" hidden="1">
      <c r="B8008" s="1348"/>
      <c r="C8008" s="1348"/>
      <c r="D8008" s="1348"/>
      <c r="E8008" s="1348"/>
      <c r="F8008" s="1348"/>
      <c r="G8008" s="1348"/>
      <c r="H8008" s="1348"/>
      <c r="I8008" s="1348"/>
      <c r="J8008" s="1348"/>
      <c r="K8008" s="1348"/>
    </row>
    <row r="8009" spans="2:11" hidden="1">
      <c r="B8009" s="1348"/>
      <c r="C8009" s="1348"/>
      <c r="D8009" s="1348"/>
      <c r="E8009" s="1348"/>
      <c r="F8009" s="1348"/>
      <c r="G8009" s="1348"/>
      <c r="H8009" s="1348"/>
      <c r="I8009" s="1348"/>
      <c r="J8009" s="1348"/>
      <c r="K8009" s="1348"/>
    </row>
    <row r="8010" spans="2:11" hidden="1">
      <c r="B8010" s="1348"/>
      <c r="C8010" s="1348"/>
      <c r="D8010" s="1348"/>
      <c r="E8010" s="1348"/>
      <c r="F8010" s="1348"/>
      <c r="G8010" s="1348"/>
      <c r="H8010" s="1348"/>
      <c r="I8010" s="1348"/>
      <c r="J8010" s="1348"/>
      <c r="K8010" s="1348"/>
    </row>
    <row r="8011" spans="2:11" hidden="1">
      <c r="B8011" s="1348"/>
      <c r="C8011" s="1348"/>
      <c r="D8011" s="1348"/>
      <c r="E8011" s="1348"/>
      <c r="F8011" s="1348"/>
      <c r="G8011" s="1348"/>
      <c r="H8011" s="1348"/>
      <c r="I8011" s="1348"/>
      <c r="J8011" s="1348"/>
      <c r="K8011" s="1348"/>
    </row>
    <row r="8012" spans="2:11" hidden="1">
      <c r="B8012" s="1348"/>
      <c r="C8012" s="1348"/>
      <c r="D8012" s="1348"/>
      <c r="E8012" s="1348"/>
      <c r="F8012" s="1348"/>
      <c r="G8012" s="1348"/>
      <c r="H8012" s="1348"/>
      <c r="I8012" s="1348"/>
      <c r="J8012" s="1348"/>
      <c r="K8012" s="1348"/>
    </row>
    <row r="8013" spans="2:11" hidden="1">
      <c r="B8013" s="1348"/>
      <c r="C8013" s="1348"/>
      <c r="D8013" s="1348"/>
      <c r="E8013" s="1348"/>
      <c r="F8013" s="1348"/>
      <c r="G8013" s="1348"/>
      <c r="H8013" s="1348"/>
      <c r="I8013" s="1348"/>
      <c r="J8013" s="1348"/>
      <c r="K8013" s="1348"/>
    </row>
    <row r="8014" spans="2:11" hidden="1">
      <c r="B8014" s="1348"/>
      <c r="C8014" s="1348"/>
      <c r="D8014" s="1348"/>
      <c r="E8014" s="1348"/>
      <c r="F8014" s="1348"/>
      <c r="G8014" s="1348"/>
      <c r="H8014" s="1348"/>
      <c r="I8014" s="1348"/>
      <c r="J8014" s="1348"/>
      <c r="K8014" s="1348"/>
    </row>
    <row r="8015" spans="2:11" hidden="1">
      <c r="B8015" s="1348"/>
      <c r="C8015" s="1348"/>
      <c r="D8015" s="1348"/>
      <c r="E8015" s="1348"/>
      <c r="F8015" s="1348"/>
      <c r="G8015" s="1348"/>
      <c r="H8015" s="1348"/>
      <c r="I8015" s="1348"/>
      <c r="J8015" s="1348"/>
      <c r="K8015" s="1348"/>
    </row>
    <row r="8016" spans="2:11" hidden="1">
      <c r="B8016" s="1348"/>
      <c r="C8016" s="1348"/>
      <c r="D8016" s="1348"/>
      <c r="E8016" s="1348"/>
      <c r="F8016" s="1348"/>
      <c r="G8016" s="1348"/>
      <c r="H8016" s="1348"/>
      <c r="I8016" s="1348"/>
      <c r="J8016" s="1348"/>
      <c r="K8016" s="1348"/>
    </row>
    <row r="8017" spans="2:11" hidden="1">
      <c r="B8017" s="1348"/>
      <c r="C8017" s="1348"/>
      <c r="D8017" s="1348"/>
      <c r="E8017" s="1348"/>
      <c r="F8017" s="1348"/>
      <c r="G8017" s="1348"/>
      <c r="H8017" s="1348"/>
      <c r="I8017" s="1348"/>
      <c r="J8017" s="1348"/>
      <c r="K8017" s="1348"/>
    </row>
    <row r="8018" spans="2:11" hidden="1">
      <c r="B8018" s="1348"/>
      <c r="C8018" s="1348"/>
      <c r="D8018" s="1348"/>
      <c r="E8018" s="1348"/>
      <c r="F8018" s="1348"/>
      <c r="G8018" s="1348"/>
      <c r="H8018" s="1348"/>
      <c r="I8018" s="1348"/>
      <c r="J8018" s="1348"/>
      <c r="K8018" s="1348"/>
    </row>
    <row r="8019" spans="2:11" hidden="1">
      <c r="B8019" s="1348"/>
      <c r="C8019" s="1348"/>
      <c r="D8019" s="1348"/>
      <c r="E8019" s="1348"/>
      <c r="F8019" s="1348"/>
      <c r="G8019" s="1348"/>
      <c r="H8019" s="1348"/>
      <c r="I8019" s="1348"/>
      <c r="J8019" s="1348"/>
      <c r="K8019" s="1348"/>
    </row>
    <row r="8020" spans="2:11" hidden="1">
      <c r="B8020" s="1348"/>
      <c r="C8020" s="1348"/>
      <c r="D8020" s="1348"/>
      <c r="E8020" s="1348"/>
      <c r="F8020" s="1348"/>
      <c r="G8020" s="1348"/>
      <c r="H8020" s="1348"/>
      <c r="I8020" s="1348"/>
      <c r="J8020" s="1348"/>
      <c r="K8020" s="1348"/>
    </row>
    <row r="8021" spans="2:11" hidden="1">
      <c r="B8021" s="1348"/>
      <c r="C8021" s="1348"/>
      <c r="D8021" s="1348"/>
      <c r="E8021" s="1348"/>
      <c r="F8021" s="1348"/>
      <c r="G8021" s="1348"/>
      <c r="H8021" s="1348"/>
      <c r="I8021" s="1348"/>
      <c r="J8021" s="1348"/>
      <c r="K8021" s="1348"/>
    </row>
    <row r="8022" spans="2:11" hidden="1">
      <c r="B8022" s="1348"/>
      <c r="C8022" s="1348"/>
      <c r="D8022" s="1348"/>
      <c r="E8022" s="1348"/>
      <c r="F8022" s="1348"/>
      <c r="G8022" s="1348"/>
      <c r="H8022" s="1348"/>
      <c r="I8022" s="1348"/>
      <c r="J8022" s="1348"/>
      <c r="K8022" s="1348"/>
    </row>
    <row r="8023" spans="2:11" hidden="1">
      <c r="B8023" s="1348"/>
      <c r="C8023" s="1348"/>
      <c r="D8023" s="1348"/>
      <c r="E8023" s="1348"/>
      <c r="F8023" s="1348"/>
      <c r="G8023" s="1348"/>
      <c r="H8023" s="1348"/>
      <c r="I8023" s="1348"/>
      <c r="J8023" s="1348"/>
      <c r="K8023" s="1348"/>
    </row>
    <row r="8024" spans="2:11" hidden="1">
      <c r="B8024" s="1348"/>
      <c r="C8024" s="1348"/>
      <c r="D8024" s="1348"/>
      <c r="E8024" s="1348"/>
      <c r="F8024" s="1348"/>
      <c r="G8024" s="1348"/>
      <c r="H8024" s="1348"/>
      <c r="I8024" s="1348"/>
      <c r="J8024" s="1348"/>
      <c r="K8024" s="1348"/>
    </row>
    <row r="8025" spans="2:11" hidden="1">
      <c r="B8025" s="1348"/>
      <c r="C8025" s="1348"/>
      <c r="D8025" s="1348"/>
      <c r="E8025" s="1348"/>
      <c r="F8025" s="1348"/>
      <c r="G8025" s="1348"/>
      <c r="H8025" s="1348"/>
      <c r="I8025" s="1348"/>
      <c r="J8025" s="1348"/>
      <c r="K8025" s="1348"/>
    </row>
    <row r="8026" spans="2:11" hidden="1">
      <c r="B8026" s="1348"/>
      <c r="C8026" s="1348"/>
      <c r="D8026" s="1348"/>
      <c r="E8026" s="1348"/>
      <c r="F8026" s="1348"/>
      <c r="G8026" s="1348"/>
      <c r="H8026" s="1348"/>
      <c r="I8026" s="1348"/>
      <c r="J8026" s="1348"/>
      <c r="K8026" s="1348"/>
    </row>
    <row r="8027" spans="2:11" hidden="1">
      <c r="B8027" s="1348"/>
      <c r="C8027" s="1348"/>
      <c r="D8027" s="1348"/>
      <c r="E8027" s="1348"/>
      <c r="F8027" s="1348"/>
      <c r="G8027" s="1348"/>
      <c r="H8027" s="1348"/>
      <c r="I8027" s="1348"/>
      <c r="J8027" s="1348"/>
      <c r="K8027" s="1348"/>
    </row>
    <row r="8028" spans="2:11" hidden="1">
      <c r="B8028" s="1348"/>
      <c r="C8028" s="1348"/>
      <c r="D8028" s="1348"/>
      <c r="E8028" s="1348"/>
      <c r="F8028" s="1348"/>
      <c r="G8028" s="1348"/>
      <c r="H8028" s="1348"/>
      <c r="I8028" s="1348"/>
      <c r="J8028" s="1348"/>
      <c r="K8028" s="1348"/>
    </row>
    <row r="8029" spans="2:11" hidden="1">
      <c r="B8029" s="1348"/>
      <c r="C8029" s="1348"/>
      <c r="D8029" s="1348"/>
      <c r="E8029" s="1348"/>
      <c r="F8029" s="1348"/>
      <c r="G8029" s="1348"/>
      <c r="H8029" s="1348"/>
      <c r="I8029" s="1348"/>
      <c r="J8029" s="1348"/>
      <c r="K8029" s="1348"/>
    </row>
    <row r="8030" spans="2:11" hidden="1">
      <c r="B8030" s="1348"/>
      <c r="C8030" s="1348"/>
      <c r="D8030" s="1348"/>
      <c r="E8030" s="1348"/>
      <c r="F8030" s="1348"/>
      <c r="G8030" s="1348"/>
      <c r="H8030" s="1348"/>
      <c r="I8030" s="1348"/>
      <c r="J8030" s="1348"/>
      <c r="K8030" s="1348"/>
    </row>
    <row r="8031" spans="2:11" hidden="1">
      <c r="B8031" s="1348"/>
      <c r="C8031" s="1348"/>
      <c r="D8031" s="1348"/>
      <c r="E8031" s="1348"/>
      <c r="F8031" s="1348"/>
      <c r="G8031" s="1348"/>
      <c r="H8031" s="1348"/>
      <c r="I8031" s="1348"/>
      <c r="J8031" s="1348"/>
      <c r="K8031" s="1348"/>
    </row>
    <row r="8032" spans="2:11" hidden="1">
      <c r="B8032" s="1348"/>
      <c r="C8032" s="1348"/>
      <c r="D8032" s="1348"/>
      <c r="E8032" s="1348"/>
      <c r="F8032" s="1348"/>
      <c r="G8032" s="1348"/>
      <c r="H8032" s="1348"/>
      <c r="I8032" s="1348"/>
      <c r="J8032" s="1348"/>
      <c r="K8032" s="1348"/>
    </row>
    <row r="8033" spans="2:11" hidden="1">
      <c r="B8033" s="1348"/>
      <c r="C8033" s="1348"/>
      <c r="D8033" s="1348"/>
      <c r="E8033" s="1348"/>
      <c r="F8033" s="1348"/>
      <c r="G8033" s="1348"/>
      <c r="H8033" s="1348"/>
      <c r="I8033" s="1348"/>
      <c r="J8033" s="1348"/>
      <c r="K8033" s="1348"/>
    </row>
    <row r="8034" spans="2:11" hidden="1">
      <c r="B8034" s="1348"/>
      <c r="C8034" s="1348"/>
      <c r="D8034" s="1348"/>
      <c r="E8034" s="1348"/>
      <c r="F8034" s="1348"/>
      <c r="G8034" s="1348"/>
      <c r="H8034" s="1348"/>
      <c r="I8034" s="1348"/>
      <c r="J8034" s="1348"/>
      <c r="K8034" s="1348"/>
    </row>
    <row r="8035" spans="2:11" hidden="1">
      <c r="B8035" s="1348"/>
      <c r="C8035" s="1348"/>
      <c r="D8035" s="1348"/>
      <c r="E8035" s="1348"/>
      <c r="F8035" s="1348"/>
      <c r="G8035" s="1348"/>
      <c r="H8035" s="1348"/>
      <c r="I8035" s="1348"/>
      <c r="J8035" s="1348"/>
      <c r="K8035" s="1348"/>
    </row>
    <row r="8036" spans="2:11" hidden="1">
      <c r="B8036" s="1348"/>
      <c r="C8036" s="1348"/>
      <c r="D8036" s="1348"/>
      <c r="E8036" s="1348"/>
      <c r="F8036" s="1348"/>
      <c r="G8036" s="1348"/>
      <c r="H8036" s="1348"/>
      <c r="I8036" s="1348"/>
      <c r="J8036" s="1348"/>
      <c r="K8036" s="1348"/>
    </row>
    <row r="8037" spans="2:11" hidden="1">
      <c r="B8037" s="1348"/>
      <c r="C8037" s="1348"/>
      <c r="D8037" s="1348"/>
      <c r="E8037" s="1348"/>
      <c r="F8037" s="1348"/>
      <c r="G8037" s="1348"/>
      <c r="H8037" s="1348"/>
      <c r="I8037" s="1348"/>
      <c r="J8037" s="1348"/>
      <c r="K8037" s="1348"/>
    </row>
    <row r="8038" spans="2:11" hidden="1">
      <c r="B8038" s="1348"/>
      <c r="C8038" s="1348"/>
      <c r="D8038" s="1348"/>
      <c r="E8038" s="1348"/>
      <c r="F8038" s="1348"/>
      <c r="G8038" s="1348"/>
      <c r="H8038" s="1348"/>
      <c r="I8038" s="1348"/>
      <c r="J8038" s="1348"/>
      <c r="K8038" s="1348"/>
    </row>
    <row r="8039" spans="2:11" hidden="1">
      <c r="B8039" s="1348"/>
      <c r="C8039" s="1348"/>
      <c r="D8039" s="1348"/>
      <c r="E8039" s="1348"/>
      <c r="F8039" s="1348"/>
      <c r="G8039" s="1348"/>
      <c r="H8039" s="1348"/>
      <c r="I8039" s="1348"/>
      <c r="J8039" s="1348"/>
      <c r="K8039" s="1348"/>
    </row>
    <row r="8040" spans="2:11" hidden="1">
      <c r="B8040" s="1348"/>
      <c r="C8040" s="1348"/>
      <c r="D8040" s="1348"/>
      <c r="E8040" s="1348"/>
      <c r="F8040" s="1348"/>
      <c r="G8040" s="1348"/>
      <c r="H8040" s="1348"/>
      <c r="I8040" s="1348"/>
      <c r="J8040" s="1348"/>
      <c r="K8040" s="1348"/>
    </row>
    <row r="8041" spans="2:11" hidden="1">
      <c r="B8041" s="1348"/>
      <c r="C8041" s="1348"/>
      <c r="D8041" s="1348"/>
      <c r="E8041" s="1348"/>
      <c r="F8041" s="1348"/>
      <c r="G8041" s="1348"/>
      <c r="H8041" s="1348"/>
      <c r="I8041" s="1348"/>
      <c r="J8041" s="1348"/>
      <c r="K8041" s="1348"/>
    </row>
    <row r="8042" spans="2:11" hidden="1">
      <c r="B8042" s="1348"/>
      <c r="C8042" s="1348"/>
      <c r="D8042" s="1348"/>
      <c r="E8042" s="1348"/>
      <c r="F8042" s="1348"/>
      <c r="G8042" s="1348"/>
      <c r="H8042" s="1348"/>
      <c r="I8042" s="1348"/>
      <c r="J8042" s="1348"/>
      <c r="K8042" s="1348"/>
    </row>
    <row r="8043" spans="2:11" hidden="1">
      <c r="B8043" s="1348"/>
      <c r="C8043" s="1348"/>
      <c r="D8043" s="1348"/>
      <c r="E8043" s="1348"/>
      <c r="F8043" s="1348"/>
      <c r="G8043" s="1348"/>
      <c r="H8043" s="1348"/>
      <c r="I8043" s="1348"/>
      <c r="J8043" s="1348"/>
      <c r="K8043" s="1348"/>
    </row>
    <row r="8044" spans="2:11" hidden="1">
      <c r="B8044" s="1348"/>
      <c r="C8044" s="1348"/>
      <c r="D8044" s="1348"/>
      <c r="E8044" s="1348"/>
      <c r="F8044" s="1348"/>
      <c r="G8044" s="1348"/>
      <c r="H8044" s="1348"/>
      <c r="I8044" s="1348"/>
      <c r="J8044" s="1348"/>
      <c r="K8044" s="1348"/>
    </row>
    <row r="8045" spans="2:11" hidden="1">
      <c r="B8045" s="1348"/>
      <c r="C8045" s="1348"/>
      <c r="D8045" s="1348"/>
      <c r="E8045" s="1348"/>
      <c r="F8045" s="1348"/>
      <c r="G8045" s="1348"/>
      <c r="H8045" s="1348"/>
      <c r="I8045" s="1348"/>
      <c r="J8045" s="1348"/>
      <c r="K8045" s="1348"/>
    </row>
    <row r="8046" spans="2:11" hidden="1">
      <c r="B8046" s="1348"/>
      <c r="C8046" s="1348"/>
      <c r="D8046" s="1348"/>
      <c r="E8046" s="1348"/>
      <c r="F8046" s="1348"/>
      <c r="G8046" s="1348"/>
      <c r="H8046" s="1348"/>
      <c r="I8046" s="1348"/>
      <c r="J8046" s="1348"/>
      <c r="K8046" s="1348"/>
    </row>
    <row r="8047" spans="2:11" hidden="1">
      <c r="B8047" s="1348"/>
      <c r="C8047" s="1348"/>
      <c r="D8047" s="1348"/>
      <c r="E8047" s="1348"/>
      <c r="F8047" s="1348"/>
      <c r="G8047" s="1348"/>
      <c r="H8047" s="1348"/>
      <c r="I8047" s="1348"/>
      <c r="J8047" s="1348"/>
      <c r="K8047" s="1348"/>
    </row>
    <row r="8048" spans="2:11" hidden="1">
      <c r="B8048" s="1348"/>
      <c r="C8048" s="1348"/>
      <c r="D8048" s="1348"/>
      <c r="E8048" s="1348"/>
      <c r="F8048" s="1348"/>
      <c r="G8048" s="1348"/>
      <c r="H8048" s="1348"/>
      <c r="I8048" s="1348"/>
      <c r="J8048" s="1348"/>
      <c r="K8048" s="1348"/>
    </row>
    <row r="8049" spans="2:11" hidden="1">
      <c r="B8049" s="1348"/>
      <c r="C8049" s="1348"/>
      <c r="D8049" s="1348"/>
      <c r="E8049" s="1348"/>
      <c r="F8049" s="1348"/>
      <c r="G8049" s="1348"/>
      <c r="H8049" s="1348"/>
      <c r="I8049" s="1348"/>
      <c r="J8049" s="1348"/>
      <c r="K8049" s="1348"/>
    </row>
    <row r="8050" spans="2:11" hidden="1">
      <c r="B8050" s="1348"/>
      <c r="C8050" s="1348"/>
      <c r="D8050" s="1348"/>
      <c r="E8050" s="1348"/>
      <c r="F8050" s="1348"/>
      <c r="G8050" s="1348"/>
      <c r="H8050" s="1348"/>
      <c r="I8050" s="1348"/>
      <c r="J8050" s="1348"/>
      <c r="K8050" s="1348"/>
    </row>
    <row r="8051" spans="2:11" hidden="1">
      <c r="B8051" s="1348"/>
      <c r="C8051" s="1348"/>
      <c r="D8051" s="1348"/>
      <c r="E8051" s="1348"/>
      <c r="F8051" s="1348"/>
      <c r="G8051" s="1348"/>
      <c r="H8051" s="1348"/>
      <c r="I8051" s="1348"/>
      <c r="J8051" s="1348"/>
      <c r="K8051" s="1348"/>
    </row>
    <row r="8052" spans="2:11" hidden="1">
      <c r="B8052" s="1348"/>
      <c r="C8052" s="1348"/>
      <c r="D8052" s="1348"/>
      <c r="E8052" s="1348"/>
      <c r="F8052" s="1348"/>
      <c r="G8052" s="1348"/>
      <c r="H8052" s="1348"/>
      <c r="I8052" s="1348"/>
      <c r="J8052" s="1348"/>
      <c r="K8052" s="1348"/>
    </row>
    <row r="8053" spans="2:11" hidden="1">
      <c r="B8053" s="1348"/>
      <c r="C8053" s="1348"/>
      <c r="D8053" s="1348"/>
      <c r="E8053" s="1348"/>
      <c r="F8053" s="1348"/>
      <c r="G8053" s="1348"/>
      <c r="H8053" s="1348"/>
      <c r="I8053" s="1348"/>
      <c r="J8053" s="1348"/>
      <c r="K8053" s="1348"/>
    </row>
    <row r="8054" spans="2:11" hidden="1">
      <c r="B8054" s="1348"/>
      <c r="C8054" s="1348"/>
      <c r="D8054" s="1348"/>
      <c r="E8054" s="1348"/>
      <c r="F8054" s="1348"/>
      <c r="G8054" s="1348"/>
      <c r="H8054" s="1348"/>
      <c r="I8054" s="1348"/>
      <c r="J8054" s="1348"/>
      <c r="K8054" s="1348"/>
    </row>
    <row r="8055" spans="2:11" hidden="1">
      <c r="B8055" s="1348"/>
      <c r="C8055" s="1348"/>
      <c r="D8055" s="1348"/>
      <c r="E8055" s="1348"/>
      <c r="F8055" s="1348"/>
      <c r="G8055" s="1348"/>
      <c r="H8055" s="1348"/>
      <c r="I8055" s="1348"/>
      <c r="J8055" s="1348"/>
      <c r="K8055" s="1348"/>
    </row>
    <row r="8056" spans="2:11" hidden="1">
      <c r="B8056" s="1348"/>
      <c r="C8056" s="1348"/>
      <c r="D8056" s="1348"/>
      <c r="E8056" s="1348"/>
      <c r="F8056" s="1348"/>
      <c r="G8056" s="1348"/>
      <c r="H8056" s="1348"/>
      <c r="I8056" s="1348"/>
      <c r="J8056" s="1348"/>
      <c r="K8056" s="1348"/>
    </row>
    <row r="8057" spans="2:11" hidden="1">
      <c r="B8057" s="1348"/>
      <c r="C8057" s="1348"/>
      <c r="D8057" s="1348"/>
      <c r="E8057" s="1348"/>
      <c r="F8057" s="1348"/>
      <c r="G8057" s="1348"/>
      <c r="H8057" s="1348"/>
      <c r="I8057" s="1348"/>
      <c r="J8057" s="1348"/>
      <c r="K8057" s="1348"/>
    </row>
    <row r="8058" spans="2:11" hidden="1">
      <c r="B8058" s="1348"/>
      <c r="C8058" s="1348"/>
      <c r="D8058" s="1348"/>
      <c r="E8058" s="1348"/>
      <c r="F8058" s="1348"/>
      <c r="G8058" s="1348"/>
      <c r="H8058" s="1348"/>
      <c r="I8058" s="1348"/>
      <c r="J8058" s="1348"/>
      <c r="K8058" s="1348"/>
    </row>
    <row r="8059" spans="2:11" hidden="1">
      <c r="B8059" s="1348"/>
      <c r="C8059" s="1348"/>
      <c r="D8059" s="1348"/>
      <c r="E8059" s="1348"/>
      <c r="F8059" s="1348"/>
      <c r="G8059" s="1348"/>
      <c r="H8059" s="1348"/>
      <c r="I8059" s="1348"/>
      <c r="J8059" s="1348"/>
      <c r="K8059" s="1348"/>
    </row>
    <row r="8060" spans="2:11" hidden="1">
      <c r="B8060" s="1348"/>
      <c r="C8060" s="1348"/>
      <c r="D8060" s="1348"/>
      <c r="E8060" s="1348"/>
      <c r="F8060" s="1348"/>
      <c r="G8060" s="1348"/>
      <c r="H8060" s="1348"/>
      <c r="I8060" s="1348"/>
      <c r="J8060" s="1348"/>
      <c r="K8060" s="1348"/>
    </row>
    <row r="8061" spans="2:11" hidden="1">
      <c r="B8061" s="1348"/>
      <c r="C8061" s="1348"/>
      <c r="D8061" s="1348"/>
      <c r="E8061" s="1348"/>
      <c r="F8061" s="1348"/>
      <c r="G8061" s="1348"/>
      <c r="H8061" s="1348"/>
      <c r="I8061" s="1348"/>
      <c r="J8061" s="1348"/>
      <c r="K8061" s="1348"/>
    </row>
    <row r="8062" spans="2:11" hidden="1">
      <c r="B8062" s="1348"/>
      <c r="C8062" s="1348"/>
      <c r="D8062" s="1348"/>
      <c r="E8062" s="1348"/>
      <c r="F8062" s="1348"/>
      <c r="G8062" s="1348"/>
      <c r="H8062" s="1348"/>
      <c r="I8062" s="1348"/>
      <c r="J8062" s="1348"/>
      <c r="K8062" s="1348"/>
    </row>
    <row r="8063" spans="2:11" hidden="1">
      <c r="B8063" s="1348"/>
      <c r="C8063" s="1348"/>
      <c r="D8063" s="1348"/>
      <c r="E8063" s="1348"/>
      <c r="F8063" s="1348"/>
      <c r="G8063" s="1348"/>
      <c r="H8063" s="1348"/>
      <c r="I8063" s="1348"/>
      <c r="J8063" s="1348"/>
      <c r="K8063" s="1348"/>
    </row>
    <row r="8064" spans="2:11" hidden="1">
      <c r="B8064" s="1348"/>
      <c r="C8064" s="1348"/>
      <c r="D8064" s="1348"/>
      <c r="E8064" s="1348"/>
      <c r="F8064" s="1348"/>
      <c r="G8064" s="1348"/>
      <c r="H8064" s="1348"/>
      <c r="I8064" s="1348"/>
      <c r="J8064" s="1348"/>
      <c r="K8064" s="1348"/>
    </row>
    <row r="8065" spans="2:11" hidden="1">
      <c r="B8065" s="1348"/>
      <c r="C8065" s="1348"/>
      <c r="D8065" s="1348"/>
      <c r="E8065" s="1348"/>
      <c r="F8065" s="1348"/>
      <c r="G8065" s="1348"/>
      <c r="H8065" s="1348"/>
      <c r="I8065" s="1348"/>
      <c r="J8065" s="1348"/>
      <c r="K8065" s="1348"/>
    </row>
    <row r="8066" spans="2:11" hidden="1">
      <c r="B8066" s="1348"/>
      <c r="C8066" s="1348"/>
      <c r="D8066" s="1348"/>
      <c r="E8066" s="1348"/>
      <c r="F8066" s="1348"/>
      <c r="G8066" s="1348"/>
      <c r="H8066" s="1348"/>
      <c r="I8066" s="1348"/>
      <c r="J8066" s="1348"/>
      <c r="K8066" s="1348"/>
    </row>
    <row r="8067" spans="2:11" hidden="1">
      <c r="B8067" s="1348"/>
      <c r="C8067" s="1348"/>
      <c r="D8067" s="1348"/>
      <c r="E8067" s="1348"/>
      <c r="F8067" s="1348"/>
      <c r="G8067" s="1348"/>
      <c r="H8067" s="1348"/>
      <c r="I8067" s="1348"/>
      <c r="J8067" s="1348"/>
      <c r="K8067" s="1348"/>
    </row>
    <row r="8068" spans="2:11" hidden="1">
      <c r="B8068" s="1348"/>
      <c r="C8068" s="1348"/>
      <c r="D8068" s="1348"/>
      <c r="E8068" s="1348"/>
      <c r="F8068" s="1348"/>
      <c r="G8068" s="1348"/>
      <c r="H8068" s="1348"/>
      <c r="I8068" s="1348"/>
      <c r="J8068" s="1348"/>
      <c r="K8068" s="1348"/>
    </row>
    <row r="8069" spans="2:11" hidden="1">
      <c r="B8069" s="1348"/>
      <c r="C8069" s="1348"/>
      <c r="D8069" s="1348"/>
      <c r="E8069" s="1348"/>
      <c r="F8069" s="1348"/>
      <c r="G8069" s="1348"/>
      <c r="H8069" s="1348"/>
      <c r="I8069" s="1348"/>
      <c r="J8069" s="1348"/>
      <c r="K8069" s="1348"/>
    </row>
    <row r="8070" spans="2:11" hidden="1">
      <c r="B8070" s="1348"/>
      <c r="C8070" s="1348"/>
      <c r="D8070" s="1348"/>
      <c r="E8070" s="1348"/>
      <c r="F8070" s="1348"/>
      <c r="G8070" s="1348"/>
      <c r="H8070" s="1348"/>
      <c r="I8070" s="1348"/>
      <c r="J8070" s="1348"/>
      <c r="K8070" s="1348"/>
    </row>
    <row r="8071" spans="2:11" hidden="1">
      <c r="B8071" s="1348"/>
      <c r="C8071" s="1348"/>
      <c r="D8071" s="1348"/>
      <c r="E8071" s="1348"/>
      <c r="F8071" s="1348"/>
      <c r="G8071" s="1348"/>
      <c r="H8071" s="1348"/>
      <c r="I8071" s="1348"/>
      <c r="J8071" s="1348"/>
      <c r="K8071" s="1348"/>
    </row>
    <row r="8072" spans="2:11" hidden="1">
      <c r="B8072" s="1348"/>
      <c r="C8072" s="1348"/>
      <c r="D8072" s="1348"/>
      <c r="E8072" s="1348"/>
      <c r="F8072" s="1348"/>
      <c r="G8072" s="1348"/>
      <c r="H8072" s="1348"/>
      <c r="I8072" s="1348"/>
      <c r="J8072" s="1348"/>
      <c r="K8072" s="1348"/>
    </row>
    <row r="8073" spans="2:11" hidden="1">
      <c r="B8073" s="1348"/>
      <c r="C8073" s="1348"/>
      <c r="D8073" s="1348"/>
      <c r="E8073" s="1348"/>
      <c r="F8073" s="1348"/>
      <c r="G8073" s="1348"/>
      <c r="H8073" s="1348"/>
      <c r="I8073" s="1348"/>
      <c r="J8073" s="1348"/>
      <c r="K8073" s="1348"/>
    </row>
    <row r="8074" spans="2:11" hidden="1">
      <c r="B8074" s="1348"/>
      <c r="C8074" s="1348"/>
      <c r="D8074" s="1348"/>
      <c r="E8074" s="1348"/>
      <c r="F8074" s="1348"/>
      <c r="G8074" s="1348"/>
      <c r="H8074" s="1348"/>
      <c r="I8074" s="1348"/>
      <c r="J8074" s="1348"/>
      <c r="K8074" s="1348"/>
    </row>
    <row r="8075" spans="2:11" hidden="1">
      <c r="B8075" s="1348"/>
      <c r="C8075" s="1348"/>
      <c r="D8075" s="1348"/>
      <c r="E8075" s="1348"/>
      <c r="F8075" s="1348"/>
      <c r="G8075" s="1348"/>
      <c r="H8075" s="1348"/>
      <c r="I8075" s="1348"/>
      <c r="J8075" s="1348"/>
      <c r="K8075" s="1348"/>
    </row>
    <row r="8076" spans="2:11" hidden="1">
      <c r="B8076" s="1348"/>
      <c r="C8076" s="1348"/>
      <c r="D8076" s="1348"/>
      <c r="E8076" s="1348"/>
      <c r="F8076" s="1348"/>
      <c r="G8076" s="1348"/>
      <c r="H8076" s="1348"/>
      <c r="I8076" s="1348"/>
      <c r="J8076" s="1348"/>
      <c r="K8076" s="1348"/>
    </row>
    <row r="8077" spans="2:11" hidden="1">
      <c r="B8077" s="1348"/>
      <c r="C8077" s="1348"/>
      <c r="D8077" s="1348"/>
      <c r="E8077" s="1348"/>
      <c r="F8077" s="1348"/>
      <c r="G8077" s="1348"/>
      <c r="H8077" s="1348"/>
      <c r="I8077" s="1348"/>
      <c r="J8077" s="1348"/>
      <c r="K8077" s="1348"/>
    </row>
    <row r="8078" spans="2:11" hidden="1">
      <c r="B8078" s="1348"/>
      <c r="C8078" s="1348"/>
      <c r="D8078" s="1348"/>
      <c r="E8078" s="1348"/>
      <c r="F8078" s="1348"/>
      <c r="G8078" s="1348"/>
      <c r="H8078" s="1348"/>
      <c r="I8078" s="1348"/>
      <c r="J8078" s="1348"/>
      <c r="K8078" s="1348"/>
    </row>
    <row r="8079" spans="2:11" hidden="1">
      <c r="B8079" s="1348"/>
      <c r="C8079" s="1348"/>
      <c r="D8079" s="1348"/>
      <c r="E8079" s="1348"/>
      <c r="F8079" s="1348"/>
      <c r="G8079" s="1348"/>
      <c r="H8079" s="1348"/>
      <c r="I8079" s="1348"/>
      <c r="J8079" s="1348"/>
      <c r="K8079" s="1348"/>
    </row>
    <row r="8080" spans="2:11" hidden="1">
      <c r="B8080" s="1348"/>
      <c r="C8080" s="1348"/>
      <c r="D8080" s="1348"/>
      <c r="E8080" s="1348"/>
      <c r="F8080" s="1348"/>
      <c r="G8080" s="1348"/>
      <c r="H8080" s="1348"/>
      <c r="I8080" s="1348"/>
      <c r="J8080" s="1348"/>
      <c r="K8080" s="1348"/>
    </row>
    <row r="8081" spans="2:11" hidden="1">
      <c r="B8081" s="1348"/>
      <c r="C8081" s="1348"/>
      <c r="D8081" s="1348"/>
      <c r="E8081" s="1348"/>
      <c r="F8081" s="1348"/>
      <c r="G8081" s="1348"/>
      <c r="H8081" s="1348"/>
      <c r="I8081" s="1348"/>
      <c r="J8081" s="1348"/>
      <c r="K8081" s="1348"/>
    </row>
    <row r="8082" spans="2:11" hidden="1">
      <c r="B8082" s="1348"/>
      <c r="C8082" s="1348"/>
      <c r="D8082" s="1348"/>
      <c r="E8082" s="1348"/>
      <c r="F8082" s="1348"/>
      <c r="G8082" s="1348"/>
      <c r="H8082" s="1348"/>
      <c r="I8082" s="1348"/>
      <c r="J8082" s="1348"/>
      <c r="K8082" s="1348"/>
    </row>
    <row r="8083" spans="2:11" hidden="1">
      <c r="B8083" s="1348"/>
      <c r="C8083" s="1348"/>
      <c r="D8083" s="1348"/>
      <c r="E8083" s="1348"/>
      <c r="F8083" s="1348"/>
      <c r="G8083" s="1348"/>
      <c r="H8083" s="1348"/>
      <c r="I8083" s="1348"/>
      <c r="J8083" s="1348"/>
      <c r="K8083" s="1348"/>
    </row>
    <row r="8084" spans="2:11" hidden="1">
      <c r="B8084" s="1348"/>
      <c r="C8084" s="1348"/>
      <c r="D8084" s="1348"/>
      <c r="E8084" s="1348"/>
      <c r="F8084" s="1348"/>
      <c r="G8084" s="1348"/>
      <c r="H8084" s="1348"/>
      <c r="I8084" s="1348"/>
      <c r="J8084" s="1348"/>
      <c r="K8084" s="1348"/>
    </row>
    <row r="8085" spans="2:11" hidden="1">
      <c r="B8085" s="1348"/>
      <c r="C8085" s="1348"/>
      <c r="D8085" s="1348"/>
      <c r="E8085" s="1348"/>
      <c r="F8085" s="1348"/>
      <c r="G8085" s="1348"/>
      <c r="H8085" s="1348"/>
      <c r="I8085" s="1348"/>
      <c r="J8085" s="1348"/>
      <c r="K8085" s="1348"/>
    </row>
    <row r="8086" spans="2:11" hidden="1">
      <c r="B8086" s="1348"/>
      <c r="C8086" s="1348"/>
      <c r="D8086" s="1348"/>
      <c r="E8086" s="1348"/>
      <c r="F8086" s="1348"/>
      <c r="G8086" s="1348"/>
      <c r="H8086" s="1348"/>
      <c r="I8086" s="1348"/>
      <c r="J8086" s="1348"/>
      <c r="K8086" s="1348"/>
    </row>
    <row r="8087" spans="2:11" hidden="1">
      <c r="B8087" s="1348"/>
      <c r="C8087" s="1348"/>
      <c r="D8087" s="1348"/>
      <c r="E8087" s="1348"/>
      <c r="F8087" s="1348"/>
      <c r="G8087" s="1348"/>
      <c r="H8087" s="1348"/>
      <c r="I8087" s="1348"/>
      <c r="J8087" s="1348"/>
      <c r="K8087" s="1348"/>
    </row>
    <row r="8088" spans="2:11" hidden="1">
      <c r="B8088" s="1348"/>
      <c r="C8088" s="1348"/>
      <c r="D8088" s="1348"/>
      <c r="E8088" s="1348"/>
      <c r="F8088" s="1348"/>
      <c r="G8088" s="1348"/>
      <c r="H8088" s="1348"/>
      <c r="I8088" s="1348"/>
      <c r="J8088" s="1348"/>
      <c r="K8088" s="1348"/>
    </row>
    <row r="8089" spans="2:11" hidden="1">
      <c r="B8089" s="1348"/>
      <c r="C8089" s="1348"/>
      <c r="D8089" s="1348"/>
      <c r="E8089" s="1348"/>
      <c r="F8089" s="1348"/>
      <c r="G8089" s="1348"/>
      <c r="H8089" s="1348"/>
      <c r="I8089" s="1348"/>
      <c r="J8089" s="1348"/>
      <c r="K8089" s="1348"/>
    </row>
    <row r="8090" spans="2:11" hidden="1">
      <c r="B8090" s="1348"/>
      <c r="C8090" s="1348"/>
      <c r="D8090" s="1348"/>
      <c r="E8090" s="1348"/>
      <c r="F8090" s="1348"/>
      <c r="G8090" s="1348"/>
      <c r="H8090" s="1348"/>
      <c r="I8090" s="1348"/>
      <c r="J8090" s="1348"/>
      <c r="K8090" s="1348"/>
    </row>
    <row r="8091" spans="2:11" hidden="1">
      <c r="B8091" s="1348"/>
      <c r="C8091" s="1348"/>
      <c r="D8091" s="1348"/>
      <c r="E8091" s="1348"/>
      <c r="F8091" s="1348"/>
      <c r="G8091" s="1348"/>
      <c r="H8091" s="1348"/>
      <c r="I8091" s="1348"/>
      <c r="J8091" s="1348"/>
      <c r="K8091" s="1348"/>
    </row>
    <row r="8092" spans="2:11" hidden="1">
      <c r="B8092" s="1348"/>
      <c r="C8092" s="1348"/>
      <c r="D8092" s="1348"/>
      <c r="E8092" s="1348"/>
      <c r="F8092" s="1348"/>
      <c r="G8092" s="1348"/>
      <c r="H8092" s="1348"/>
      <c r="I8092" s="1348"/>
      <c r="J8092" s="1348"/>
      <c r="K8092" s="1348"/>
    </row>
    <row r="8093" spans="2:11" hidden="1">
      <c r="B8093" s="1348"/>
      <c r="C8093" s="1348"/>
      <c r="D8093" s="1348"/>
      <c r="E8093" s="1348"/>
      <c r="F8093" s="1348"/>
      <c r="G8093" s="1348"/>
      <c r="H8093" s="1348"/>
      <c r="I8093" s="1348"/>
      <c r="J8093" s="1348"/>
      <c r="K8093" s="1348"/>
    </row>
    <row r="8094" spans="2:11" hidden="1">
      <c r="B8094" s="1348"/>
      <c r="C8094" s="1348"/>
      <c r="D8094" s="1348"/>
      <c r="E8094" s="1348"/>
      <c r="F8094" s="1348"/>
      <c r="G8094" s="1348"/>
      <c r="H8094" s="1348"/>
      <c r="I8094" s="1348"/>
      <c r="J8094" s="1348"/>
      <c r="K8094" s="1348"/>
    </row>
    <row r="8095" spans="2:11" hidden="1">
      <c r="B8095" s="1348"/>
      <c r="C8095" s="1348"/>
      <c r="D8095" s="1348"/>
      <c r="E8095" s="1348"/>
      <c r="F8095" s="1348"/>
      <c r="G8095" s="1348"/>
      <c r="H8095" s="1348"/>
      <c r="I8095" s="1348"/>
      <c r="J8095" s="1348"/>
      <c r="K8095" s="1348"/>
    </row>
    <row r="8096" spans="2:11" hidden="1">
      <c r="B8096" s="1348"/>
      <c r="C8096" s="1348"/>
      <c r="D8096" s="1348"/>
      <c r="E8096" s="1348"/>
      <c r="F8096" s="1348"/>
      <c r="G8096" s="1348"/>
      <c r="H8096" s="1348"/>
      <c r="I8096" s="1348"/>
      <c r="J8096" s="1348"/>
      <c r="K8096" s="1348"/>
    </row>
    <row r="8097" spans="2:11" hidden="1">
      <c r="B8097" s="1348"/>
      <c r="C8097" s="1348"/>
      <c r="D8097" s="1348"/>
      <c r="E8097" s="1348"/>
      <c r="F8097" s="1348"/>
      <c r="G8097" s="1348"/>
      <c r="H8097" s="1348"/>
      <c r="I8097" s="1348"/>
      <c r="J8097" s="1348"/>
      <c r="K8097" s="1348"/>
    </row>
    <row r="8098" spans="2:11" hidden="1">
      <c r="B8098" s="1348"/>
      <c r="C8098" s="1348"/>
      <c r="D8098" s="1348"/>
      <c r="E8098" s="1348"/>
      <c r="F8098" s="1348"/>
      <c r="G8098" s="1348"/>
      <c r="H8098" s="1348"/>
      <c r="I8098" s="1348"/>
      <c r="J8098" s="1348"/>
      <c r="K8098" s="1348"/>
    </row>
    <row r="8099" spans="2:11" hidden="1">
      <c r="B8099" s="1348"/>
      <c r="C8099" s="1348"/>
      <c r="D8099" s="1348"/>
      <c r="E8099" s="1348"/>
      <c r="F8099" s="1348"/>
      <c r="G8099" s="1348"/>
      <c r="H8099" s="1348"/>
      <c r="I8099" s="1348"/>
      <c r="J8099" s="1348"/>
      <c r="K8099" s="1348"/>
    </row>
    <row r="8100" spans="2:11" hidden="1">
      <c r="B8100" s="1348"/>
      <c r="C8100" s="1348"/>
      <c r="D8100" s="1348"/>
      <c r="E8100" s="1348"/>
      <c r="F8100" s="1348"/>
      <c r="G8100" s="1348"/>
      <c r="H8100" s="1348"/>
      <c r="I8100" s="1348"/>
      <c r="J8100" s="1348"/>
      <c r="K8100" s="1348"/>
    </row>
    <row r="8101" spans="2:11" hidden="1">
      <c r="B8101" s="1348"/>
      <c r="C8101" s="1348"/>
      <c r="D8101" s="1348"/>
      <c r="E8101" s="1348"/>
      <c r="F8101" s="1348"/>
      <c r="G8101" s="1348"/>
      <c r="H8101" s="1348"/>
      <c r="I8101" s="1348"/>
      <c r="J8101" s="1348"/>
      <c r="K8101" s="1348"/>
    </row>
    <row r="8102" spans="2:11" hidden="1">
      <c r="B8102" s="1348"/>
      <c r="C8102" s="1348"/>
      <c r="D8102" s="1348"/>
      <c r="E8102" s="1348"/>
      <c r="F8102" s="1348"/>
      <c r="G8102" s="1348"/>
      <c r="H8102" s="1348"/>
      <c r="I8102" s="1348"/>
      <c r="J8102" s="1348"/>
      <c r="K8102" s="1348"/>
    </row>
    <row r="8103" spans="2:11" hidden="1">
      <c r="B8103" s="1348"/>
      <c r="C8103" s="1348"/>
      <c r="D8103" s="1348"/>
      <c r="E8103" s="1348"/>
      <c r="F8103" s="1348"/>
      <c r="G8103" s="1348"/>
      <c r="H8103" s="1348"/>
      <c r="I8103" s="1348"/>
      <c r="J8103" s="1348"/>
      <c r="K8103" s="1348"/>
    </row>
    <row r="8104" spans="2:11" hidden="1">
      <c r="B8104" s="1348"/>
      <c r="C8104" s="1348"/>
      <c r="D8104" s="1348"/>
      <c r="E8104" s="1348"/>
      <c r="F8104" s="1348"/>
      <c r="G8104" s="1348"/>
      <c r="H8104" s="1348"/>
      <c r="I8104" s="1348"/>
      <c r="J8104" s="1348"/>
      <c r="K8104" s="1348"/>
    </row>
    <row r="8105" spans="2:11" hidden="1">
      <c r="B8105" s="1348"/>
      <c r="C8105" s="1348"/>
      <c r="D8105" s="1348"/>
      <c r="E8105" s="1348"/>
      <c r="F8105" s="1348"/>
      <c r="G8105" s="1348"/>
      <c r="H8105" s="1348"/>
      <c r="I8105" s="1348"/>
      <c r="J8105" s="1348"/>
      <c r="K8105" s="1348"/>
    </row>
    <row r="8106" spans="2:11" hidden="1">
      <c r="B8106" s="1348"/>
      <c r="C8106" s="1348"/>
      <c r="D8106" s="1348"/>
      <c r="E8106" s="1348"/>
      <c r="F8106" s="1348"/>
      <c r="G8106" s="1348"/>
      <c r="H8106" s="1348"/>
      <c r="I8106" s="1348"/>
      <c r="J8106" s="1348"/>
      <c r="K8106" s="1348"/>
    </row>
    <row r="8107" spans="2:11" hidden="1">
      <c r="B8107" s="1348"/>
      <c r="C8107" s="1348"/>
      <c r="D8107" s="1348"/>
      <c r="E8107" s="1348"/>
      <c r="F8107" s="1348"/>
      <c r="G8107" s="1348"/>
      <c r="H8107" s="1348"/>
      <c r="I8107" s="1348"/>
      <c r="J8107" s="1348"/>
      <c r="K8107" s="1348"/>
    </row>
    <row r="8108" spans="2:11" hidden="1">
      <c r="B8108" s="1348"/>
      <c r="C8108" s="1348"/>
      <c r="D8108" s="1348"/>
      <c r="E8108" s="1348"/>
      <c r="F8108" s="1348"/>
      <c r="G8108" s="1348"/>
      <c r="H8108" s="1348"/>
      <c r="I8108" s="1348"/>
      <c r="J8108" s="1348"/>
      <c r="K8108" s="1348"/>
    </row>
    <row r="8109" spans="2:11" hidden="1">
      <c r="B8109" s="1348"/>
      <c r="C8109" s="1348"/>
      <c r="D8109" s="1348"/>
      <c r="E8109" s="1348"/>
      <c r="F8109" s="1348"/>
      <c r="G8109" s="1348"/>
      <c r="H8109" s="1348"/>
      <c r="I8109" s="1348"/>
      <c r="J8109" s="1348"/>
      <c r="K8109" s="1348"/>
    </row>
    <row r="8110" spans="2:11" hidden="1">
      <c r="B8110" s="1348"/>
      <c r="C8110" s="1348"/>
      <c r="D8110" s="1348"/>
      <c r="E8110" s="1348"/>
      <c r="F8110" s="1348"/>
      <c r="G8110" s="1348"/>
      <c r="H8110" s="1348"/>
      <c r="I8110" s="1348"/>
      <c r="J8110" s="1348"/>
      <c r="K8110" s="1348"/>
    </row>
    <row r="8111" spans="2:11" hidden="1">
      <c r="B8111" s="1348"/>
      <c r="C8111" s="1348"/>
      <c r="D8111" s="1348"/>
      <c r="E8111" s="1348"/>
      <c r="F8111" s="1348"/>
      <c r="G8111" s="1348"/>
      <c r="H8111" s="1348"/>
      <c r="I8111" s="1348"/>
      <c r="J8111" s="1348"/>
      <c r="K8111" s="1348"/>
    </row>
    <row r="8112" spans="2:11" hidden="1">
      <c r="B8112" s="1348"/>
      <c r="C8112" s="1348"/>
      <c r="D8112" s="1348"/>
      <c r="E8112" s="1348"/>
      <c r="F8112" s="1348"/>
      <c r="G8112" s="1348"/>
      <c r="H8112" s="1348"/>
      <c r="I8112" s="1348"/>
      <c r="J8112" s="1348"/>
      <c r="K8112" s="1348"/>
    </row>
    <row r="8113" spans="2:11" hidden="1">
      <c r="B8113" s="1348"/>
      <c r="C8113" s="1348"/>
      <c r="D8113" s="1348"/>
      <c r="E8113" s="1348"/>
      <c r="F8113" s="1348"/>
      <c r="G8113" s="1348"/>
      <c r="H8113" s="1348"/>
      <c r="I8113" s="1348"/>
      <c r="J8113" s="1348"/>
      <c r="K8113" s="1348"/>
    </row>
    <row r="8114" spans="2:11" hidden="1">
      <c r="B8114" s="1348"/>
      <c r="C8114" s="1348"/>
      <c r="D8114" s="1348"/>
      <c r="E8114" s="1348"/>
      <c r="F8114" s="1348"/>
      <c r="G8114" s="1348"/>
      <c r="H8114" s="1348"/>
      <c r="I8114" s="1348"/>
      <c r="J8114" s="1348"/>
      <c r="K8114" s="1348"/>
    </row>
    <row r="8115" spans="2:11" hidden="1">
      <c r="B8115" s="1348"/>
      <c r="C8115" s="1348"/>
      <c r="D8115" s="1348"/>
      <c r="E8115" s="1348"/>
      <c r="F8115" s="1348"/>
      <c r="G8115" s="1348"/>
      <c r="H8115" s="1348"/>
      <c r="I8115" s="1348"/>
      <c r="J8115" s="1348"/>
      <c r="K8115" s="1348"/>
    </row>
    <row r="8116" spans="2:11" hidden="1">
      <c r="B8116" s="1348"/>
      <c r="C8116" s="1348"/>
      <c r="D8116" s="1348"/>
      <c r="E8116" s="1348"/>
      <c r="F8116" s="1348"/>
      <c r="G8116" s="1348"/>
      <c r="H8116" s="1348"/>
      <c r="I8116" s="1348"/>
      <c r="J8116" s="1348"/>
      <c r="K8116" s="1348"/>
    </row>
    <row r="8117" spans="2:11" hidden="1">
      <c r="B8117" s="1348"/>
      <c r="C8117" s="1348"/>
      <c r="D8117" s="1348"/>
      <c r="E8117" s="1348"/>
      <c r="F8117" s="1348"/>
      <c r="G8117" s="1348"/>
      <c r="H8117" s="1348"/>
      <c r="I8117" s="1348"/>
      <c r="J8117" s="1348"/>
      <c r="K8117" s="1348"/>
    </row>
    <row r="8118" spans="2:11" hidden="1">
      <c r="B8118" s="1348"/>
      <c r="C8118" s="1348"/>
      <c r="D8118" s="1348"/>
      <c r="E8118" s="1348"/>
      <c r="F8118" s="1348"/>
      <c r="G8118" s="1348"/>
      <c r="H8118" s="1348"/>
      <c r="I8118" s="1348"/>
      <c r="J8118" s="1348"/>
      <c r="K8118" s="1348"/>
    </row>
    <row r="8119" spans="2:11" hidden="1">
      <c r="B8119" s="1348"/>
      <c r="C8119" s="1348"/>
      <c r="D8119" s="1348"/>
      <c r="E8119" s="1348"/>
      <c r="F8119" s="1348"/>
      <c r="G8119" s="1348"/>
      <c r="H8119" s="1348"/>
      <c r="I8119" s="1348"/>
      <c r="J8119" s="1348"/>
      <c r="K8119" s="1348"/>
    </row>
    <row r="8120" spans="2:11" hidden="1">
      <c r="B8120" s="1348"/>
      <c r="C8120" s="1348"/>
      <c r="D8120" s="1348"/>
      <c r="E8120" s="1348"/>
      <c r="F8120" s="1348"/>
      <c r="G8120" s="1348"/>
      <c r="H8120" s="1348"/>
      <c r="I8120" s="1348"/>
      <c r="J8120" s="1348"/>
      <c r="K8120" s="1348"/>
    </row>
    <row r="8121" spans="2:11" hidden="1">
      <c r="B8121" s="1348"/>
      <c r="C8121" s="1348"/>
      <c r="D8121" s="1348"/>
      <c r="E8121" s="1348"/>
      <c r="F8121" s="1348"/>
      <c r="G8121" s="1348"/>
      <c r="H8121" s="1348"/>
      <c r="I8121" s="1348"/>
      <c r="J8121" s="1348"/>
      <c r="K8121" s="1348"/>
    </row>
    <row r="8122" spans="2:11" hidden="1">
      <c r="B8122" s="1348"/>
      <c r="C8122" s="1348"/>
      <c r="D8122" s="1348"/>
      <c r="E8122" s="1348"/>
      <c r="F8122" s="1348"/>
      <c r="G8122" s="1348"/>
      <c r="H8122" s="1348"/>
      <c r="I8122" s="1348"/>
      <c r="J8122" s="1348"/>
      <c r="K8122" s="1348"/>
    </row>
    <row r="8123" spans="2:11" hidden="1">
      <c r="B8123" s="1348"/>
      <c r="C8123" s="1348"/>
      <c r="D8123" s="1348"/>
      <c r="E8123" s="1348"/>
      <c r="F8123" s="1348"/>
      <c r="G8123" s="1348"/>
      <c r="H8123" s="1348"/>
      <c r="I8123" s="1348"/>
      <c r="J8123" s="1348"/>
      <c r="K8123" s="1348"/>
    </row>
    <row r="8124" spans="2:11" hidden="1">
      <c r="B8124" s="1348"/>
      <c r="C8124" s="1348"/>
      <c r="D8124" s="1348"/>
      <c r="E8124" s="1348"/>
      <c r="F8124" s="1348"/>
      <c r="G8124" s="1348"/>
      <c r="H8124" s="1348"/>
      <c r="I8124" s="1348"/>
      <c r="J8124" s="1348"/>
      <c r="K8124" s="1348"/>
    </row>
    <row r="8125" spans="2:11" hidden="1">
      <c r="B8125" s="1348"/>
      <c r="C8125" s="1348"/>
      <c r="D8125" s="1348"/>
      <c r="E8125" s="1348"/>
      <c r="F8125" s="1348"/>
      <c r="G8125" s="1348"/>
      <c r="H8125" s="1348"/>
      <c r="I8125" s="1348"/>
      <c r="J8125" s="1348"/>
      <c r="K8125" s="1348"/>
    </row>
    <row r="8126" spans="2:11" hidden="1">
      <c r="B8126" s="1348"/>
      <c r="C8126" s="1348"/>
      <c r="D8126" s="1348"/>
      <c r="E8126" s="1348"/>
      <c r="F8126" s="1348"/>
      <c r="G8126" s="1348"/>
      <c r="H8126" s="1348"/>
      <c r="I8126" s="1348"/>
      <c r="J8126" s="1348"/>
      <c r="K8126" s="1348"/>
    </row>
    <row r="8127" spans="2:11" hidden="1">
      <c r="B8127" s="1348"/>
      <c r="C8127" s="1348"/>
      <c r="D8127" s="1348"/>
      <c r="E8127" s="1348"/>
      <c r="F8127" s="1348"/>
      <c r="G8127" s="1348"/>
      <c r="H8127" s="1348"/>
      <c r="I8127" s="1348"/>
      <c r="J8127" s="1348"/>
      <c r="K8127" s="1348"/>
    </row>
    <row r="8128" spans="2:11" hidden="1">
      <c r="B8128" s="1348"/>
      <c r="C8128" s="1348"/>
      <c r="D8128" s="1348"/>
      <c r="E8128" s="1348"/>
      <c r="F8128" s="1348"/>
      <c r="G8128" s="1348"/>
      <c r="H8128" s="1348"/>
      <c r="I8128" s="1348"/>
      <c r="J8128" s="1348"/>
      <c r="K8128" s="1348"/>
    </row>
    <row r="8129" spans="2:11" hidden="1">
      <c r="B8129" s="1348"/>
      <c r="C8129" s="1348"/>
      <c r="D8129" s="1348"/>
      <c r="E8129" s="1348"/>
      <c r="F8129" s="1348"/>
      <c r="G8129" s="1348"/>
      <c r="H8129" s="1348"/>
      <c r="I8129" s="1348"/>
      <c r="J8129" s="1348"/>
      <c r="K8129" s="1348"/>
    </row>
    <row r="8130" spans="2:11" hidden="1">
      <c r="B8130" s="1348"/>
      <c r="C8130" s="1348"/>
      <c r="D8130" s="1348"/>
      <c r="E8130" s="1348"/>
      <c r="F8130" s="1348"/>
      <c r="G8130" s="1348"/>
      <c r="H8130" s="1348"/>
      <c r="I8130" s="1348"/>
      <c r="J8130" s="1348"/>
      <c r="K8130" s="1348"/>
    </row>
    <row r="8131" spans="2:11" hidden="1">
      <c r="B8131" s="1348"/>
      <c r="C8131" s="1348"/>
      <c r="D8131" s="1348"/>
      <c r="E8131" s="1348"/>
      <c r="F8131" s="1348"/>
      <c r="G8131" s="1348"/>
      <c r="H8131" s="1348"/>
      <c r="I8131" s="1348"/>
      <c r="J8131" s="1348"/>
      <c r="K8131" s="1348"/>
    </row>
    <row r="8132" spans="2:11" hidden="1">
      <c r="B8132" s="1348"/>
      <c r="C8132" s="1348"/>
      <c r="D8132" s="1348"/>
      <c r="E8132" s="1348"/>
      <c r="F8132" s="1348"/>
      <c r="G8132" s="1348"/>
      <c r="H8132" s="1348"/>
      <c r="I8132" s="1348"/>
      <c r="J8132" s="1348"/>
      <c r="K8132" s="1348"/>
    </row>
    <row r="8133" spans="2:11" hidden="1">
      <c r="B8133" s="1348"/>
      <c r="C8133" s="1348"/>
      <c r="D8133" s="1348"/>
      <c r="E8133" s="1348"/>
      <c r="F8133" s="1348"/>
      <c r="G8133" s="1348"/>
      <c r="H8133" s="1348"/>
      <c r="I8133" s="1348"/>
      <c r="J8133" s="1348"/>
      <c r="K8133" s="1348"/>
    </row>
    <row r="8134" spans="2:11" hidden="1">
      <c r="B8134" s="1348"/>
      <c r="C8134" s="1348"/>
      <c r="D8134" s="1348"/>
      <c r="E8134" s="1348"/>
      <c r="F8134" s="1348"/>
      <c r="G8134" s="1348"/>
      <c r="H8134" s="1348"/>
      <c r="I8134" s="1348"/>
      <c r="J8134" s="1348"/>
      <c r="K8134" s="1348"/>
    </row>
    <row r="8135" spans="2:11" hidden="1">
      <c r="B8135" s="1348"/>
      <c r="C8135" s="1348"/>
      <c r="D8135" s="1348"/>
      <c r="E8135" s="1348"/>
      <c r="F8135" s="1348"/>
      <c r="G8135" s="1348"/>
      <c r="H8135" s="1348"/>
      <c r="I8135" s="1348"/>
      <c r="J8135" s="1348"/>
      <c r="K8135" s="1348"/>
    </row>
    <row r="8136" spans="2:11" hidden="1">
      <c r="B8136" s="1348"/>
      <c r="C8136" s="1348"/>
      <c r="D8136" s="1348"/>
      <c r="E8136" s="1348"/>
      <c r="F8136" s="1348"/>
      <c r="G8136" s="1348"/>
      <c r="H8136" s="1348"/>
      <c r="I8136" s="1348"/>
      <c r="J8136" s="1348"/>
      <c r="K8136" s="1348"/>
    </row>
    <row r="8137" spans="2:11" hidden="1">
      <c r="B8137" s="1348"/>
      <c r="C8137" s="1348"/>
      <c r="D8137" s="1348"/>
      <c r="E8137" s="1348"/>
      <c r="F8137" s="1348"/>
      <c r="G8137" s="1348"/>
      <c r="H8137" s="1348"/>
      <c r="I8137" s="1348"/>
      <c r="J8137" s="1348"/>
      <c r="K8137" s="1348"/>
    </row>
    <row r="8138" spans="2:11" hidden="1">
      <c r="B8138" s="1348"/>
      <c r="C8138" s="1348"/>
      <c r="D8138" s="1348"/>
      <c r="E8138" s="1348"/>
      <c r="F8138" s="1348"/>
      <c r="G8138" s="1348"/>
      <c r="H8138" s="1348"/>
      <c r="I8138" s="1348"/>
      <c r="J8138" s="1348"/>
      <c r="K8138" s="1348"/>
    </row>
    <row r="8139" spans="2:11" hidden="1">
      <c r="B8139" s="1348"/>
      <c r="C8139" s="1348"/>
      <c r="D8139" s="1348"/>
      <c r="E8139" s="1348"/>
      <c r="F8139" s="1348"/>
      <c r="G8139" s="1348"/>
      <c r="H8139" s="1348"/>
      <c r="I8139" s="1348"/>
      <c r="J8139" s="1348"/>
      <c r="K8139" s="1348"/>
    </row>
    <row r="8140" spans="2:11" hidden="1">
      <c r="B8140" s="1348"/>
      <c r="C8140" s="1348"/>
      <c r="D8140" s="1348"/>
      <c r="E8140" s="1348"/>
      <c r="F8140" s="1348"/>
      <c r="G8140" s="1348"/>
      <c r="H8140" s="1348"/>
      <c r="I8140" s="1348"/>
      <c r="J8140" s="1348"/>
      <c r="K8140" s="1348"/>
    </row>
    <row r="8141" spans="2:11" hidden="1">
      <c r="B8141" s="1348"/>
      <c r="C8141" s="1348"/>
      <c r="D8141" s="1348"/>
      <c r="E8141" s="1348"/>
      <c r="F8141" s="1348"/>
      <c r="G8141" s="1348"/>
      <c r="H8141" s="1348"/>
      <c r="I8141" s="1348"/>
      <c r="J8141" s="1348"/>
      <c r="K8141" s="1348"/>
    </row>
    <row r="8142" spans="2:11" hidden="1">
      <c r="B8142" s="1348"/>
      <c r="C8142" s="1348"/>
      <c r="D8142" s="1348"/>
      <c r="E8142" s="1348"/>
      <c r="F8142" s="1348"/>
      <c r="G8142" s="1348"/>
      <c r="H8142" s="1348"/>
      <c r="I8142" s="1348"/>
      <c r="J8142" s="1348"/>
      <c r="K8142" s="1348"/>
    </row>
    <row r="8143" spans="2:11" hidden="1">
      <c r="B8143" s="1348"/>
      <c r="C8143" s="1348"/>
      <c r="D8143" s="1348"/>
      <c r="E8143" s="1348"/>
      <c r="F8143" s="1348"/>
      <c r="G8143" s="1348"/>
      <c r="H8143" s="1348"/>
      <c r="I8143" s="1348"/>
      <c r="J8143" s="1348"/>
      <c r="K8143" s="1348"/>
    </row>
    <row r="8144" spans="2:11" hidden="1">
      <c r="B8144" s="1348"/>
      <c r="C8144" s="1348"/>
      <c r="D8144" s="1348"/>
      <c r="E8144" s="1348"/>
      <c r="F8144" s="1348"/>
      <c r="G8144" s="1348"/>
      <c r="H8144" s="1348"/>
      <c r="I8144" s="1348"/>
      <c r="J8144" s="1348"/>
      <c r="K8144" s="1348"/>
    </row>
    <row r="8145" spans="2:11" hidden="1">
      <c r="B8145" s="1348"/>
      <c r="C8145" s="1348"/>
      <c r="D8145" s="1348"/>
      <c r="E8145" s="1348"/>
      <c r="F8145" s="1348"/>
      <c r="G8145" s="1348"/>
      <c r="H8145" s="1348"/>
      <c r="I8145" s="1348"/>
      <c r="J8145" s="1348"/>
      <c r="K8145" s="1348"/>
    </row>
    <row r="8146" spans="2:11" hidden="1">
      <c r="B8146" s="1348"/>
      <c r="C8146" s="1348"/>
      <c r="D8146" s="1348"/>
      <c r="E8146" s="1348"/>
      <c r="F8146" s="1348"/>
      <c r="G8146" s="1348"/>
      <c r="H8146" s="1348"/>
      <c r="I8146" s="1348"/>
      <c r="J8146" s="1348"/>
      <c r="K8146" s="1348"/>
    </row>
    <row r="8147" spans="2:11" hidden="1">
      <c r="B8147" s="1348"/>
      <c r="C8147" s="1348"/>
      <c r="D8147" s="1348"/>
      <c r="E8147" s="1348"/>
      <c r="F8147" s="1348"/>
      <c r="G8147" s="1348"/>
      <c r="H8147" s="1348"/>
      <c r="I8147" s="1348"/>
      <c r="J8147" s="1348"/>
      <c r="K8147" s="1348"/>
    </row>
    <row r="8148" spans="2:11" hidden="1">
      <c r="B8148" s="1348"/>
      <c r="C8148" s="1348"/>
      <c r="D8148" s="1348"/>
      <c r="E8148" s="1348"/>
      <c r="F8148" s="1348"/>
      <c r="G8148" s="1348"/>
      <c r="H8148" s="1348"/>
      <c r="I8148" s="1348"/>
      <c r="J8148" s="1348"/>
      <c r="K8148" s="1348"/>
    </row>
    <row r="8149" spans="2:11" hidden="1">
      <c r="B8149" s="1348"/>
      <c r="C8149" s="1348"/>
      <c r="D8149" s="1348"/>
      <c r="E8149" s="1348"/>
      <c r="F8149" s="1348"/>
      <c r="G8149" s="1348"/>
      <c r="H8149" s="1348"/>
      <c r="I8149" s="1348"/>
      <c r="J8149" s="1348"/>
      <c r="K8149" s="1348"/>
    </row>
    <row r="8150" spans="2:11" hidden="1">
      <c r="B8150" s="1348"/>
      <c r="C8150" s="1348"/>
      <c r="D8150" s="1348"/>
      <c r="E8150" s="1348"/>
      <c r="F8150" s="1348"/>
      <c r="G8150" s="1348"/>
      <c r="H8150" s="1348"/>
      <c r="I8150" s="1348"/>
      <c r="J8150" s="1348"/>
      <c r="K8150" s="1348"/>
    </row>
    <row r="8151" spans="2:11" hidden="1">
      <c r="B8151" s="1348"/>
      <c r="C8151" s="1348"/>
      <c r="D8151" s="1348"/>
      <c r="E8151" s="1348"/>
      <c r="F8151" s="1348"/>
      <c r="G8151" s="1348"/>
      <c r="H8151" s="1348"/>
      <c r="I8151" s="1348"/>
      <c r="J8151" s="1348"/>
      <c r="K8151" s="1348"/>
    </row>
    <row r="8152" spans="2:11" hidden="1">
      <c r="B8152" s="1348"/>
      <c r="C8152" s="1348"/>
      <c r="D8152" s="1348"/>
      <c r="E8152" s="1348"/>
      <c r="F8152" s="1348"/>
      <c r="G8152" s="1348"/>
      <c r="H8152" s="1348"/>
      <c r="I8152" s="1348"/>
      <c r="J8152" s="1348"/>
      <c r="K8152" s="1348"/>
    </row>
    <row r="8153" spans="2:11" hidden="1">
      <c r="B8153" s="1348"/>
      <c r="C8153" s="1348"/>
      <c r="D8153" s="1348"/>
      <c r="E8153" s="1348"/>
      <c r="F8153" s="1348"/>
      <c r="G8153" s="1348"/>
      <c r="H8153" s="1348"/>
      <c r="I8153" s="1348"/>
      <c r="J8153" s="1348"/>
      <c r="K8153" s="1348"/>
    </row>
    <row r="8154" spans="2:11" hidden="1">
      <c r="B8154" s="1348"/>
      <c r="C8154" s="1348"/>
      <c r="D8154" s="1348"/>
      <c r="E8154" s="1348"/>
      <c r="F8154" s="1348"/>
      <c r="G8154" s="1348"/>
      <c r="H8154" s="1348"/>
      <c r="I8154" s="1348"/>
      <c r="J8154" s="1348"/>
      <c r="K8154" s="1348"/>
    </row>
    <row r="8155" spans="2:11" hidden="1">
      <c r="B8155" s="1348"/>
      <c r="C8155" s="1348"/>
      <c r="D8155" s="1348"/>
      <c r="E8155" s="1348"/>
      <c r="F8155" s="1348"/>
      <c r="G8155" s="1348"/>
      <c r="H8155" s="1348"/>
      <c r="I8155" s="1348"/>
      <c r="J8155" s="1348"/>
      <c r="K8155" s="1348"/>
    </row>
    <row r="8156" spans="2:11" hidden="1">
      <c r="B8156" s="1348"/>
      <c r="C8156" s="1348"/>
      <c r="D8156" s="1348"/>
      <c r="E8156" s="1348"/>
      <c r="F8156" s="1348"/>
      <c r="G8156" s="1348"/>
      <c r="H8156" s="1348"/>
      <c r="I8156" s="1348"/>
      <c r="J8156" s="1348"/>
      <c r="K8156" s="1348"/>
    </row>
    <row r="8157" spans="2:11" hidden="1">
      <c r="B8157" s="1348"/>
      <c r="C8157" s="1348"/>
      <c r="D8157" s="1348"/>
      <c r="E8157" s="1348"/>
      <c r="F8157" s="1348"/>
      <c r="G8157" s="1348"/>
      <c r="H8157" s="1348"/>
      <c r="I8157" s="1348"/>
      <c r="J8157" s="1348"/>
      <c r="K8157" s="1348"/>
    </row>
    <row r="8158" spans="2:11" hidden="1">
      <c r="B8158" s="1348"/>
      <c r="C8158" s="1348"/>
      <c r="D8158" s="1348"/>
      <c r="E8158" s="1348"/>
      <c r="F8158" s="1348"/>
      <c r="G8158" s="1348"/>
      <c r="H8158" s="1348"/>
      <c r="I8158" s="1348"/>
      <c r="J8158" s="1348"/>
      <c r="K8158" s="1348"/>
    </row>
    <row r="8159" spans="2:11" hidden="1">
      <c r="B8159" s="1348"/>
      <c r="C8159" s="1348"/>
      <c r="D8159" s="1348"/>
      <c r="E8159" s="1348"/>
      <c r="F8159" s="1348"/>
      <c r="G8159" s="1348"/>
      <c r="H8159" s="1348"/>
      <c r="I8159" s="1348"/>
      <c r="J8159" s="1348"/>
      <c r="K8159" s="1348"/>
    </row>
    <row r="8160" spans="2:11" hidden="1">
      <c r="B8160" s="1348"/>
      <c r="C8160" s="1348"/>
      <c r="D8160" s="1348"/>
      <c r="E8160" s="1348"/>
      <c r="F8160" s="1348"/>
      <c r="G8160" s="1348"/>
      <c r="H8160" s="1348"/>
      <c r="I8160" s="1348"/>
      <c r="J8160" s="1348"/>
      <c r="K8160" s="1348"/>
    </row>
    <row r="8161" spans="2:11" hidden="1">
      <c r="B8161" s="1348"/>
      <c r="C8161" s="1348"/>
      <c r="D8161" s="1348"/>
      <c r="E8161" s="1348"/>
      <c r="F8161" s="1348"/>
      <c r="G8161" s="1348"/>
      <c r="H8161" s="1348"/>
      <c r="I8161" s="1348"/>
      <c r="J8161" s="1348"/>
      <c r="K8161" s="1348"/>
    </row>
    <row r="8162" spans="2:11" hidden="1">
      <c r="B8162" s="1348"/>
      <c r="C8162" s="1348"/>
      <c r="D8162" s="1348"/>
      <c r="E8162" s="1348"/>
      <c r="F8162" s="1348"/>
      <c r="G8162" s="1348"/>
      <c r="H8162" s="1348"/>
      <c r="I8162" s="1348"/>
      <c r="J8162" s="1348"/>
      <c r="K8162" s="1348"/>
    </row>
    <row r="8163" spans="2:11" hidden="1">
      <c r="B8163" s="1348"/>
      <c r="C8163" s="1348"/>
      <c r="D8163" s="1348"/>
      <c r="E8163" s="1348"/>
      <c r="F8163" s="1348"/>
      <c r="G8163" s="1348"/>
      <c r="H8163" s="1348"/>
      <c r="I8163" s="1348"/>
      <c r="J8163" s="1348"/>
      <c r="K8163" s="1348"/>
    </row>
    <row r="8164" spans="2:11" hidden="1">
      <c r="B8164" s="1348"/>
      <c r="C8164" s="1348"/>
      <c r="D8164" s="1348"/>
      <c r="E8164" s="1348"/>
      <c r="F8164" s="1348"/>
      <c r="G8164" s="1348"/>
      <c r="H8164" s="1348"/>
      <c r="I8164" s="1348"/>
      <c r="J8164" s="1348"/>
      <c r="K8164" s="1348"/>
    </row>
    <row r="8165" spans="2:11" hidden="1">
      <c r="B8165" s="1348"/>
      <c r="C8165" s="1348"/>
      <c r="D8165" s="1348"/>
      <c r="E8165" s="1348"/>
      <c r="F8165" s="1348"/>
      <c r="G8165" s="1348"/>
      <c r="H8165" s="1348"/>
      <c r="I8165" s="1348"/>
      <c r="J8165" s="1348"/>
      <c r="K8165" s="1348"/>
    </row>
    <row r="8166" spans="2:11" hidden="1">
      <c r="B8166" s="1348"/>
      <c r="C8166" s="1348"/>
      <c r="D8166" s="1348"/>
      <c r="E8166" s="1348"/>
      <c r="F8166" s="1348"/>
      <c r="G8166" s="1348"/>
      <c r="H8166" s="1348"/>
      <c r="I8166" s="1348"/>
      <c r="J8166" s="1348"/>
      <c r="K8166" s="1348"/>
    </row>
    <row r="8167" spans="2:11" hidden="1">
      <c r="B8167" s="1348"/>
      <c r="C8167" s="1348"/>
      <c r="D8167" s="1348"/>
      <c r="E8167" s="1348"/>
      <c r="F8167" s="1348"/>
      <c r="G8167" s="1348"/>
      <c r="H8167" s="1348"/>
      <c r="I8167" s="1348"/>
      <c r="J8167" s="1348"/>
      <c r="K8167" s="1348"/>
    </row>
    <row r="8168" spans="2:11" hidden="1">
      <c r="B8168" s="1348"/>
      <c r="C8168" s="1348"/>
      <c r="D8168" s="1348"/>
      <c r="E8168" s="1348"/>
      <c r="F8168" s="1348"/>
      <c r="G8168" s="1348"/>
      <c r="H8168" s="1348"/>
      <c r="I8168" s="1348"/>
      <c r="J8168" s="1348"/>
      <c r="K8168" s="1348"/>
    </row>
    <row r="8169" spans="2:11" hidden="1">
      <c r="B8169" s="1348"/>
      <c r="C8169" s="1348"/>
      <c r="D8169" s="1348"/>
      <c r="E8169" s="1348"/>
      <c r="F8169" s="1348"/>
      <c r="G8169" s="1348"/>
      <c r="H8169" s="1348"/>
      <c r="I8169" s="1348"/>
      <c r="J8169" s="1348"/>
      <c r="K8169" s="1348"/>
    </row>
    <row r="8170" spans="2:11" hidden="1">
      <c r="B8170" s="1348"/>
      <c r="C8170" s="1348"/>
      <c r="D8170" s="1348"/>
      <c r="E8170" s="1348"/>
      <c r="F8170" s="1348"/>
      <c r="G8170" s="1348"/>
      <c r="H8170" s="1348"/>
      <c r="I8170" s="1348"/>
      <c r="J8170" s="1348"/>
      <c r="K8170" s="1348"/>
    </row>
    <row r="8171" spans="2:11" hidden="1">
      <c r="B8171" s="1348"/>
      <c r="C8171" s="1348"/>
      <c r="D8171" s="1348"/>
      <c r="E8171" s="1348"/>
      <c r="F8171" s="1348"/>
      <c r="G8171" s="1348"/>
      <c r="H8171" s="1348"/>
      <c r="I8171" s="1348"/>
      <c r="J8171" s="1348"/>
      <c r="K8171" s="1348"/>
    </row>
    <row r="8172" spans="2:11" hidden="1">
      <c r="B8172" s="1348"/>
      <c r="C8172" s="1348"/>
      <c r="D8172" s="1348"/>
      <c r="E8172" s="1348"/>
      <c r="F8172" s="1348"/>
      <c r="G8172" s="1348"/>
      <c r="H8172" s="1348"/>
      <c r="I8172" s="1348"/>
      <c r="J8172" s="1348"/>
      <c r="K8172" s="1348"/>
    </row>
    <row r="8173" spans="2:11" hidden="1">
      <c r="B8173" s="1348"/>
      <c r="C8173" s="1348"/>
      <c r="D8173" s="1348"/>
      <c r="E8173" s="1348"/>
      <c r="F8173" s="1348"/>
      <c r="G8173" s="1348"/>
      <c r="H8173" s="1348"/>
      <c r="I8173" s="1348"/>
      <c r="J8173" s="1348"/>
      <c r="K8173" s="1348"/>
    </row>
    <row r="8174" spans="2:11" hidden="1">
      <c r="B8174" s="1348"/>
      <c r="C8174" s="1348"/>
      <c r="D8174" s="1348"/>
      <c r="E8174" s="1348"/>
      <c r="F8174" s="1348"/>
      <c r="G8174" s="1348"/>
      <c r="H8174" s="1348"/>
      <c r="I8174" s="1348"/>
      <c r="J8174" s="1348"/>
      <c r="K8174" s="1348"/>
    </row>
    <row r="8175" spans="2:11" hidden="1">
      <c r="B8175" s="1348"/>
      <c r="C8175" s="1348"/>
      <c r="D8175" s="1348"/>
      <c r="E8175" s="1348"/>
      <c r="F8175" s="1348"/>
      <c r="G8175" s="1348"/>
      <c r="H8175" s="1348"/>
      <c r="I8175" s="1348"/>
      <c r="J8175" s="1348"/>
      <c r="K8175" s="1348"/>
    </row>
    <row r="8176" spans="2:11" hidden="1">
      <c r="B8176" s="1348"/>
      <c r="C8176" s="1348"/>
      <c r="D8176" s="1348"/>
      <c r="E8176" s="1348"/>
      <c r="F8176" s="1348"/>
      <c r="G8176" s="1348"/>
      <c r="H8176" s="1348"/>
      <c r="I8176" s="1348"/>
      <c r="J8176" s="1348"/>
      <c r="K8176" s="1348"/>
    </row>
    <row r="8177" spans="2:11" hidden="1">
      <c r="B8177" s="1348"/>
      <c r="C8177" s="1348"/>
      <c r="D8177" s="1348"/>
      <c r="E8177" s="1348"/>
      <c r="F8177" s="1348"/>
      <c r="G8177" s="1348"/>
      <c r="H8177" s="1348"/>
      <c r="I8177" s="1348"/>
      <c r="J8177" s="1348"/>
      <c r="K8177" s="1348"/>
    </row>
    <row r="8178" spans="2:11" hidden="1">
      <c r="B8178" s="1348"/>
      <c r="C8178" s="1348"/>
      <c r="D8178" s="1348"/>
      <c r="E8178" s="1348"/>
      <c r="F8178" s="1348"/>
      <c r="G8178" s="1348"/>
      <c r="H8178" s="1348"/>
      <c r="I8178" s="1348"/>
      <c r="J8178" s="1348"/>
      <c r="K8178" s="1348"/>
    </row>
    <row r="8179" spans="2:11" hidden="1">
      <c r="B8179" s="1348"/>
      <c r="C8179" s="1348"/>
      <c r="D8179" s="1348"/>
      <c r="E8179" s="1348"/>
      <c r="F8179" s="1348"/>
      <c r="G8179" s="1348"/>
      <c r="H8179" s="1348"/>
      <c r="I8179" s="1348"/>
      <c r="J8179" s="1348"/>
      <c r="K8179" s="1348"/>
    </row>
    <row r="8180" spans="2:11" hidden="1">
      <c r="B8180" s="1348"/>
      <c r="C8180" s="1348"/>
      <c r="D8180" s="1348"/>
      <c r="E8180" s="1348"/>
      <c r="F8180" s="1348"/>
      <c r="G8180" s="1348"/>
      <c r="H8180" s="1348"/>
      <c r="I8180" s="1348"/>
      <c r="J8180" s="1348"/>
      <c r="K8180" s="1348"/>
    </row>
    <row r="8181" spans="2:11" hidden="1">
      <c r="B8181" s="1348"/>
      <c r="C8181" s="1348"/>
      <c r="D8181" s="1348"/>
      <c r="E8181" s="1348"/>
      <c r="F8181" s="1348"/>
      <c r="G8181" s="1348"/>
      <c r="H8181" s="1348"/>
      <c r="I8181" s="1348"/>
      <c r="J8181" s="1348"/>
      <c r="K8181" s="1348"/>
    </row>
    <row r="8182" spans="2:11" hidden="1">
      <c r="B8182" s="1348"/>
      <c r="C8182" s="1348"/>
      <c r="D8182" s="1348"/>
      <c r="E8182" s="1348"/>
      <c r="F8182" s="1348"/>
      <c r="G8182" s="1348"/>
      <c r="H8182" s="1348"/>
      <c r="I8182" s="1348"/>
      <c r="J8182" s="1348"/>
      <c r="K8182" s="1348"/>
    </row>
    <row r="8183" spans="2:11" hidden="1">
      <c r="B8183" s="1348"/>
      <c r="C8183" s="1348"/>
      <c r="D8183" s="1348"/>
      <c r="E8183" s="1348"/>
      <c r="F8183" s="1348"/>
      <c r="G8183" s="1348"/>
      <c r="H8183" s="1348"/>
      <c r="I8183" s="1348"/>
      <c r="J8183" s="1348"/>
      <c r="K8183" s="1348"/>
    </row>
    <row r="8184" spans="2:11" hidden="1">
      <c r="B8184" s="1348"/>
      <c r="C8184" s="1348"/>
      <c r="D8184" s="1348"/>
      <c r="E8184" s="1348"/>
      <c r="F8184" s="1348"/>
      <c r="G8184" s="1348"/>
      <c r="H8184" s="1348"/>
      <c r="I8184" s="1348"/>
      <c r="J8184" s="1348"/>
      <c r="K8184" s="1348"/>
    </row>
    <row r="8185" spans="2:11" hidden="1">
      <c r="B8185" s="1348"/>
      <c r="C8185" s="1348"/>
      <c r="D8185" s="1348"/>
      <c r="E8185" s="1348"/>
      <c r="F8185" s="1348"/>
      <c r="G8185" s="1348"/>
      <c r="H8185" s="1348"/>
      <c r="I8185" s="1348"/>
      <c r="J8185" s="1348"/>
      <c r="K8185" s="1348"/>
    </row>
    <row r="8186" spans="2:11" hidden="1">
      <c r="B8186" s="1348"/>
      <c r="C8186" s="1348"/>
      <c r="D8186" s="1348"/>
      <c r="E8186" s="1348"/>
      <c r="F8186" s="1348"/>
      <c r="G8186" s="1348"/>
      <c r="H8186" s="1348"/>
      <c r="I8186" s="1348"/>
      <c r="J8186" s="1348"/>
      <c r="K8186" s="1348"/>
    </row>
    <row r="8187" spans="2:11" hidden="1">
      <c r="B8187" s="1348"/>
      <c r="C8187" s="1348"/>
      <c r="D8187" s="1348"/>
      <c r="E8187" s="1348"/>
      <c r="F8187" s="1348"/>
      <c r="G8187" s="1348"/>
      <c r="H8187" s="1348"/>
      <c r="I8187" s="1348"/>
      <c r="J8187" s="1348"/>
      <c r="K8187" s="1348"/>
    </row>
    <row r="8188" spans="2:11" hidden="1">
      <c r="B8188" s="1348"/>
      <c r="C8188" s="1348"/>
      <c r="D8188" s="1348"/>
      <c r="E8188" s="1348"/>
      <c r="F8188" s="1348"/>
      <c r="G8188" s="1348"/>
      <c r="H8188" s="1348"/>
      <c r="I8188" s="1348"/>
      <c r="J8188" s="1348"/>
      <c r="K8188" s="1348"/>
    </row>
    <row r="8189" spans="2:11" hidden="1">
      <c r="B8189" s="1348"/>
      <c r="C8189" s="1348"/>
      <c r="D8189" s="1348"/>
      <c r="E8189" s="1348"/>
      <c r="F8189" s="1348"/>
      <c r="G8189" s="1348"/>
      <c r="H8189" s="1348"/>
      <c r="I8189" s="1348"/>
      <c r="J8189" s="1348"/>
      <c r="K8189" s="1348"/>
    </row>
    <row r="8190" spans="2:11" hidden="1">
      <c r="B8190" s="1348"/>
      <c r="C8190" s="1348"/>
      <c r="D8190" s="1348"/>
      <c r="E8190" s="1348"/>
      <c r="F8190" s="1348"/>
      <c r="G8190" s="1348"/>
      <c r="H8190" s="1348"/>
      <c r="I8190" s="1348"/>
      <c r="J8190" s="1348"/>
      <c r="K8190" s="1348"/>
    </row>
    <row r="8191" spans="2:11" hidden="1">
      <c r="B8191" s="1348"/>
      <c r="C8191" s="1348"/>
      <c r="D8191" s="1348"/>
      <c r="E8191" s="1348"/>
      <c r="F8191" s="1348"/>
      <c r="G8191" s="1348"/>
      <c r="H8191" s="1348"/>
      <c r="I8191" s="1348"/>
      <c r="J8191" s="1348"/>
      <c r="K8191" s="1348"/>
    </row>
    <row r="8192" spans="2:11" hidden="1">
      <c r="B8192" s="1348"/>
      <c r="C8192" s="1348"/>
      <c r="D8192" s="1348"/>
      <c r="E8192" s="1348"/>
      <c r="F8192" s="1348"/>
      <c r="G8192" s="1348"/>
      <c r="H8192" s="1348"/>
      <c r="I8192" s="1348"/>
      <c r="J8192" s="1348"/>
      <c r="K8192" s="1348"/>
    </row>
    <row r="8193" spans="2:11" hidden="1">
      <c r="B8193" s="1348"/>
      <c r="C8193" s="1348"/>
      <c r="D8193" s="1348"/>
      <c r="E8193" s="1348"/>
      <c r="F8193" s="1348"/>
      <c r="G8193" s="1348"/>
      <c r="H8193" s="1348"/>
      <c r="I8193" s="1348"/>
      <c r="J8193" s="1348"/>
      <c r="K8193" s="1348"/>
    </row>
    <row r="8194" spans="2:11" hidden="1">
      <c r="B8194" s="1348"/>
      <c r="C8194" s="1348"/>
      <c r="D8194" s="1348"/>
      <c r="E8194" s="1348"/>
      <c r="F8194" s="1348"/>
      <c r="G8194" s="1348"/>
      <c r="H8194" s="1348"/>
      <c r="I8194" s="1348"/>
      <c r="J8194" s="1348"/>
      <c r="K8194" s="1348"/>
    </row>
    <row r="8195" spans="2:11" hidden="1">
      <c r="B8195" s="1348"/>
      <c r="C8195" s="1348"/>
      <c r="D8195" s="1348"/>
      <c r="E8195" s="1348"/>
      <c r="F8195" s="1348"/>
      <c r="G8195" s="1348"/>
      <c r="H8195" s="1348"/>
      <c r="I8195" s="1348"/>
      <c r="J8195" s="1348"/>
      <c r="K8195" s="1348"/>
    </row>
    <row r="8196" spans="2:11" hidden="1">
      <c r="B8196" s="1348"/>
      <c r="C8196" s="1348"/>
      <c r="D8196" s="1348"/>
      <c r="E8196" s="1348"/>
      <c r="F8196" s="1348"/>
      <c r="G8196" s="1348"/>
      <c r="H8196" s="1348"/>
      <c r="I8196" s="1348"/>
      <c r="J8196" s="1348"/>
      <c r="K8196" s="1348"/>
    </row>
    <row r="8197" spans="2:11" hidden="1">
      <c r="B8197" s="1348"/>
      <c r="C8197" s="1348"/>
      <c r="D8197" s="1348"/>
      <c r="E8197" s="1348"/>
      <c r="F8197" s="1348"/>
      <c r="G8197" s="1348"/>
      <c r="H8197" s="1348"/>
      <c r="I8197" s="1348"/>
      <c r="J8197" s="1348"/>
      <c r="K8197" s="1348"/>
    </row>
    <row r="8198" spans="2:11" hidden="1">
      <c r="B8198" s="1348"/>
      <c r="C8198" s="1348"/>
      <c r="D8198" s="1348"/>
      <c r="E8198" s="1348"/>
      <c r="F8198" s="1348"/>
      <c r="G8198" s="1348"/>
      <c r="H8198" s="1348"/>
      <c r="I8198" s="1348"/>
      <c r="J8198" s="1348"/>
      <c r="K8198" s="1348"/>
    </row>
    <row r="8199" spans="2:11" hidden="1">
      <c r="B8199" s="1348"/>
      <c r="C8199" s="1348"/>
      <c r="D8199" s="1348"/>
      <c r="E8199" s="1348"/>
      <c r="F8199" s="1348"/>
      <c r="G8199" s="1348"/>
      <c r="H8199" s="1348"/>
      <c r="I8199" s="1348"/>
      <c r="J8199" s="1348"/>
      <c r="K8199" s="1348"/>
    </row>
    <row r="8200" spans="2:11" hidden="1">
      <c r="B8200" s="1348"/>
      <c r="C8200" s="1348"/>
      <c r="D8200" s="1348"/>
      <c r="E8200" s="1348"/>
      <c r="F8200" s="1348"/>
      <c r="G8200" s="1348"/>
      <c r="H8200" s="1348"/>
      <c r="I8200" s="1348"/>
      <c r="J8200" s="1348"/>
      <c r="K8200" s="1348"/>
    </row>
    <row r="8201" spans="2:11" hidden="1">
      <c r="B8201" s="1348"/>
      <c r="C8201" s="1348"/>
      <c r="D8201" s="1348"/>
      <c r="E8201" s="1348"/>
      <c r="F8201" s="1348"/>
      <c r="G8201" s="1348"/>
      <c r="H8201" s="1348"/>
      <c r="I8201" s="1348"/>
      <c r="J8201" s="1348"/>
      <c r="K8201" s="1348"/>
    </row>
    <row r="8202" spans="2:11" hidden="1">
      <c r="B8202" s="1348"/>
      <c r="C8202" s="1348"/>
      <c r="D8202" s="1348"/>
      <c r="E8202" s="1348"/>
      <c r="F8202" s="1348"/>
      <c r="G8202" s="1348"/>
      <c r="H8202" s="1348"/>
      <c r="I8202" s="1348"/>
      <c r="J8202" s="1348"/>
      <c r="K8202" s="1348"/>
    </row>
    <row r="8203" spans="2:11" hidden="1">
      <c r="B8203" s="1348"/>
      <c r="C8203" s="1348"/>
      <c r="D8203" s="1348"/>
      <c r="E8203" s="1348"/>
      <c r="F8203" s="1348"/>
      <c r="G8203" s="1348"/>
      <c r="H8203" s="1348"/>
      <c r="I8203" s="1348"/>
      <c r="J8203" s="1348"/>
      <c r="K8203" s="1348"/>
    </row>
    <row r="8204" spans="2:11" hidden="1">
      <c r="B8204" s="1348"/>
      <c r="C8204" s="1348"/>
      <c r="D8204" s="1348"/>
      <c r="E8204" s="1348"/>
      <c r="F8204" s="1348"/>
      <c r="G8204" s="1348"/>
      <c r="H8204" s="1348"/>
      <c r="I8204" s="1348"/>
      <c r="J8204" s="1348"/>
      <c r="K8204" s="1348"/>
    </row>
    <row r="8205" spans="2:11" hidden="1">
      <c r="B8205" s="1348"/>
      <c r="C8205" s="1348"/>
      <c r="D8205" s="1348"/>
      <c r="E8205" s="1348"/>
      <c r="F8205" s="1348"/>
      <c r="G8205" s="1348"/>
      <c r="H8205" s="1348"/>
      <c r="I8205" s="1348"/>
      <c r="J8205" s="1348"/>
      <c r="K8205" s="1348"/>
    </row>
    <row r="8206" spans="2:11" hidden="1">
      <c r="B8206" s="1348"/>
      <c r="C8206" s="1348"/>
      <c r="D8206" s="1348"/>
      <c r="E8206" s="1348"/>
      <c r="F8206" s="1348"/>
      <c r="G8206" s="1348"/>
      <c r="H8206" s="1348"/>
      <c r="I8206" s="1348"/>
      <c r="J8206" s="1348"/>
      <c r="K8206" s="1348"/>
    </row>
    <row r="8207" spans="2:11" hidden="1">
      <c r="B8207" s="1348"/>
      <c r="C8207" s="1348"/>
      <c r="D8207" s="1348"/>
      <c r="E8207" s="1348"/>
      <c r="F8207" s="1348"/>
      <c r="G8207" s="1348"/>
      <c r="H8207" s="1348"/>
      <c r="I8207" s="1348"/>
      <c r="J8207" s="1348"/>
      <c r="K8207" s="1348"/>
    </row>
    <row r="8208" spans="2:11" hidden="1">
      <c r="B8208" s="1348"/>
      <c r="C8208" s="1348"/>
      <c r="D8208" s="1348"/>
      <c r="E8208" s="1348"/>
      <c r="F8208" s="1348"/>
      <c r="G8208" s="1348"/>
      <c r="H8208" s="1348"/>
      <c r="I8208" s="1348"/>
      <c r="J8208" s="1348"/>
      <c r="K8208" s="1348"/>
    </row>
    <row r="8209" spans="2:11" hidden="1">
      <c r="B8209" s="1348"/>
      <c r="C8209" s="1348"/>
      <c r="D8209" s="1348"/>
      <c r="E8209" s="1348"/>
      <c r="F8209" s="1348"/>
      <c r="G8209" s="1348"/>
      <c r="H8209" s="1348"/>
      <c r="I8209" s="1348"/>
      <c r="J8209" s="1348"/>
      <c r="K8209" s="1348"/>
    </row>
    <row r="8210" spans="2:11" hidden="1">
      <c r="B8210" s="1348"/>
      <c r="C8210" s="1348"/>
      <c r="D8210" s="1348"/>
      <c r="E8210" s="1348"/>
      <c r="F8210" s="1348"/>
      <c r="G8210" s="1348"/>
      <c r="H8210" s="1348"/>
      <c r="I8210" s="1348"/>
      <c r="J8210" s="1348"/>
      <c r="K8210" s="1348"/>
    </row>
    <row r="8211" spans="2:11" hidden="1">
      <c r="B8211" s="1348"/>
      <c r="C8211" s="1348"/>
      <c r="D8211" s="1348"/>
      <c r="E8211" s="1348"/>
      <c r="F8211" s="1348"/>
      <c r="G8211" s="1348"/>
      <c r="H8211" s="1348"/>
      <c r="I8211" s="1348"/>
      <c r="J8211" s="1348"/>
      <c r="K8211" s="1348"/>
    </row>
    <row r="8212" spans="2:11" hidden="1">
      <c r="B8212" s="1348"/>
      <c r="C8212" s="1348"/>
      <c r="D8212" s="1348"/>
      <c r="E8212" s="1348"/>
      <c r="F8212" s="1348"/>
      <c r="G8212" s="1348"/>
      <c r="H8212" s="1348"/>
      <c r="I8212" s="1348"/>
      <c r="J8212" s="1348"/>
      <c r="K8212" s="1348"/>
    </row>
    <row r="8213" spans="2:11" hidden="1">
      <c r="B8213" s="1348"/>
      <c r="C8213" s="1348"/>
      <c r="D8213" s="1348"/>
      <c r="E8213" s="1348"/>
      <c r="F8213" s="1348"/>
      <c r="G8213" s="1348"/>
      <c r="H8213" s="1348"/>
      <c r="I8213" s="1348"/>
      <c r="J8213" s="1348"/>
      <c r="K8213" s="1348"/>
    </row>
    <row r="8214" spans="2:11" hidden="1">
      <c r="B8214" s="1348"/>
      <c r="C8214" s="1348"/>
      <c r="D8214" s="1348"/>
      <c r="E8214" s="1348"/>
      <c r="F8214" s="1348"/>
      <c r="G8214" s="1348"/>
      <c r="H8214" s="1348"/>
      <c r="I8214" s="1348"/>
      <c r="J8214" s="1348"/>
      <c r="K8214" s="1348"/>
    </row>
    <row r="8215" spans="2:11" hidden="1">
      <c r="B8215" s="1348"/>
      <c r="C8215" s="1348"/>
      <c r="D8215" s="1348"/>
      <c r="E8215" s="1348"/>
      <c r="F8215" s="1348"/>
      <c r="G8215" s="1348"/>
      <c r="H8215" s="1348"/>
      <c r="I8215" s="1348"/>
      <c r="J8215" s="1348"/>
      <c r="K8215" s="1348"/>
    </row>
    <row r="8216" spans="2:11" hidden="1">
      <c r="B8216" s="1348"/>
      <c r="C8216" s="1348"/>
      <c r="D8216" s="1348"/>
      <c r="E8216" s="1348"/>
      <c r="F8216" s="1348"/>
      <c r="G8216" s="1348"/>
      <c r="H8216" s="1348"/>
      <c r="I8216" s="1348"/>
      <c r="J8216" s="1348"/>
      <c r="K8216" s="1348"/>
    </row>
    <row r="8217" spans="2:11" hidden="1">
      <c r="B8217" s="1348"/>
      <c r="C8217" s="1348"/>
      <c r="D8217" s="1348"/>
      <c r="E8217" s="1348"/>
      <c r="F8217" s="1348"/>
      <c r="G8217" s="1348"/>
      <c r="H8217" s="1348"/>
      <c r="I8217" s="1348"/>
      <c r="J8217" s="1348"/>
      <c r="K8217" s="1348"/>
    </row>
    <row r="8218" spans="2:11" hidden="1">
      <c r="B8218" s="1348"/>
      <c r="C8218" s="1348"/>
      <c r="D8218" s="1348"/>
      <c r="E8218" s="1348"/>
      <c r="F8218" s="1348"/>
      <c r="G8218" s="1348"/>
      <c r="H8218" s="1348"/>
      <c r="I8218" s="1348"/>
      <c r="J8218" s="1348"/>
      <c r="K8218" s="1348"/>
    </row>
    <row r="8219" spans="2:11" hidden="1">
      <c r="B8219" s="1348"/>
      <c r="C8219" s="1348"/>
      <c r="D8219" s="1348"/>
      <c r="E8219" s="1348"/>
      <c r="F8219" s="1348"/>
      <c r="G8219" s="1348"/>
      <c r="H8219" s="1348"/>
      <c r="I8219" s="1348"/>
      <c r="J8219" s="1348"/>
      <c r="K8219" s="1348"/>
    </row>
    <row r="8220" spans="2:11" hidden="1">
      <c r="B8220" s="1348"/>
      <c r="C8220" s="1348"/>
      <c r="D8220" s="1348"/>
      <c r="E8220" s="1348"/>
      <c r="F8220" s="1348"/>
      <c r="G8220" s="1348"/>
      <c r="H8220" s="1348"/>
      <c r="I8220" s="1348"/>
      <c r="J8220" s="1348"/>
      <c r="K8220" s="1348"/>
    </row>
    <row r="8221" spans="2:11" hidden="1">
      <c r="B8221" s="1348"/>
      <c r="C8221" s="1348"/>
      <c r="D8221" s="1348"/>
      <c r="E8221" s="1348"/>
      <c r="F8221" s="1348"/>
      <c r="G8221" s="1348"/>
      <c r="H8221" s="1348"/>
      <c r="I8221" s="1348"/>
      <c r="J8221" s="1348"/>
      <c r="K8221" s="1348"/>
    </row>
    <row r="8222" spans="2:11" hidden="1">
      <c r="B8222" s="1348"/>
      <c r="C8222" s="1348"/>
      <c r="D8222" s="1348"/>
      <c r="E8222" s="1348"/>
      <c r="F8222" s="1348"/>
      <c r="G8222" s="1348"/>
      <c r="H8222" s="1348"/>
      <c r="I8222" s="1348"/>
      <c r="J8222" s="1348"/>
      <c r="K8222" s="1348"/>
    </row>
    <row r="8223" spans="2:11" hidden="1">
      <c r="B8223" s="1348"/>
      <c r="C8223" s="1348"/>
      <c r="D8223" s="1348"/>
      <c r="E8223" s="1348"/>
      <c r="F8223" s="1348"/>
      <c r="G8223" s="1348"/>
      <c r="H8223" s="1348"/>
      <c r="I8223" s="1348"/>
      <c r="J8223" s="1348"/>
      <c r="K8223" s="1348"/>
    </row>
    <row r="8224" spans="2:11" hidden="1">
      <c r="B8224" s="1348"/>
      <c r="C8224" s="1348"/>
      <c r="D8224" s="1348"/>
      <c r="E8224" s="1348"/>
      <c r="F8224" s="1348"/>
      <c r="G8224" s="1348"/>
      <c r="H8224" s="1348"/>
      <c r="I8224" s="1348"/>
      <c r="J8224" s="1348"/>
      <c r="K8224" s="1348"/>
    </row>
    <row r="8225" spans="2:11" hidden="1">
      <c r="B8225" s="1348"/>
      <c r="C8225" s="1348"/>
      <c r="D8225" s="1348"/>
      <c r="E8225" s="1348"/>
      <c r="F8225" s="1348"/>
      <c r="G8225" s="1348"/>
      <c r="H8225" s="1348"/>
      <c r="I8225" s="1348"/>
      <c r="J8225" s="1348"/>
      <c r="K8225" s="1348"/>
    </row>
    <row r="8226" spans="2:11" hidden="1">
      <c r="B8226" s="1348"/>
      <c r="C8226" s="1348"/>
      <c r="D8226" s="1348"/>
      <c r="E8226" s="1348"/>
      <c r="F8226" s="1348"/>
      <c r="G8226" s="1348"/>
      <c r="H8226" s="1348"/>
      <c r="I8226" s="1348"/>
      <c r="J8226" s="1348"/>
      <c r="K8226" s="1348"/>
    </row>
    <row r="8227" spans="2:11" hidden="1">
      <c r="B8227" s="1348"/>
      <c r="C8227" s="1348"/>
      <c r="D8227" s="1348"/>
      <c r="E8227" s="1348"/>
      <c r="F8227" s="1348"/>
      <c r="G8227" s="1348"/>
      <c r="H8227" s="1348"/>
      <c r="I8227" s="1348"/>
      <c r="J8227" s="1348"/>
      <c r="K8227" s="1348"/>
    </row>
    <row r="8228" spans="2:11" hidden="1">
      <c r="B8228" s="1348"/>
      <c r="C8228" s="1348"/>
      <c r="D8228" s="1348"/>
      <c r="E8228" s="1348"/>
      <c r="F8228" s="1348"/>
      <c r="G8228" s="1348"/>
      <c r="H8228" s="1348"/>
      <c r="I8228" s="1348"/>
      <c r="J8228" s="1348"/>
      <c r="K8228" s="1348"/>
    </row>
    <row r="8229" spans="2:11" hidden="1">
      <c r="B8229" s="1348"/>
      <c r="C8229" s="1348"/>
      <c r="D8229" s="1348"/>
      <c r="E8229" s="1348"/>
      <c r="F8229" s="1348"/>
      <c r="G8229" s="1348"/>
      <c r="H8229" s="1348"/>
      <c r="I8229" s="1348"/>
      <c r="J8229" s="1348"/>
      <c r="K8229" s="1348"/>
    </row>
    <row r="8230" spans="2:11" hidden="1">
      <c r="B8230" s="1348"/>
      <c r="C8230" s="1348"/>
      <c r="D8230" s="1348"/>
      <c r="E8230" s="1348"/>
      <c r="F8230" s="1348"/>
      <c r="G8230" s="1348"/>
      <c r="H8230" s="1348"/>
      <c r="I8230" s="1348"/>
      <c r="J8230" s="1348"/>
      <c r="K8230" s="1348"/>
    </row>
    <row r="8231" spans="2:11" hidden="1">
      <c r="B8231" s="1348"/>
      <c r="C8231" s="1348"/>
      <c r="D8231" s="1348"/>
      <c r="E8231" s="1348"/>
      <c r="F8231" s="1348"/>
      <c r="G8231" s="1348"/>
      <c r="H8231" s="1348"/>
      <c r="I8231" s="1348"/>
      <c r="J8231" s="1348"/>
      <c r="K8231" s="1348"/>
    </row>
    <row r="8232" spans="2:11" hidden="1">
      <c r="B8232" s="1348"/>
      <c r="C8232" s="1348"/>
      <c r="D8232" s="1348"/>
      <c r="E8232" s="1348"/>
      <c r="F8232" s="1348"/>
      <c r="G8232" s="1348"/>
      <c r="H8232" s="1348"/>
      <c r="I8232" s="1348"/>
      <c r="J8232" s="1348"/>
      <c r="K8232" s="1348"/>
    </row>
    <row r="8233" spans="2:11" hidden="1">
      <c r="B8233" s="1348"/>
      <c r="C8233" s="1348"/>
      <c r="D8233" s="1348"/>
      <c r="E8233" s="1348"/>
      <c r="F8233" s="1348"/>
      <c r="G8233" s="1348"/>
      <c r="H8233" s="1348"/>
      <c r="I8233" s="1348"/>
      <c r="J8233" s="1348"/>
      <c r="K8233" s="1348"/>
    </row>
    <row r="8234" spans="2:11" hidden="1">
      <c r="B8234" s="1348"/>
      <c r="C8234" s="1348"/>
      <c r="D8234" s="1348"/>
      <c r="E8234" s="1348"/>
      <c r="F8234" s="1348"/>
      <c r="G8234" s="1348"/>
      <c r="H8234" s="1348"/>
      <c r="I8234" s="1348"/>
      <c r="J8234" s="1348"/>
      <c r="K8234" s="1348"/>
    </row>
    <row r="8235" spans="2:11" hidden="1">
      <c r="B8235" s="1348"/>
      <c r="C8235" s="1348"/>
      <c r="D8235" s="1348"/>
      <c r="E8235" s="1348"/>
      <c r="F8235" s="1348"/>
      <c r="G8235" s="1348"/>
      <c r="H8235" s="1348"/>
      <c r="I8235" s="1348"/>
      <c r="J8235" s="1348"/>
      <c r="K8235" s="1348"/>
    </row>
    <row r="8236" spans="2:11" hidden="1">
      <c r="B8236" s="1348"/>
      <c r="C8236" s="1348"/>
      <c r="D8236" s="1348"/>
      <c r="E8236" s="1348"/>
      <c r="F8236" s="1348"/>
      <c r="G8236" s="1348"/>
      <c r="H8236" s="1348"/>
      <c r="I8236" s="1348"/>
      <c r="J8236" s="1348"/>
      <c r="K8236" s="1348"/>
    </row>
    <row r="8237" spans="2:11" hidden="1">
      <c r="B8237" s="1348"/>
      <c r="C8237" s="1348"/>
      <c r="D8237" s="1348"/>
      <c r="E8237" s="1348"/>
      <c r="F8237" s="1348"/>
      <c r="G8237" s="1348"/>
      <c r="H8237" s="1348"/>
      <c r="I8237" s="1348"/>
      <c r="J8237" s="1348"/>
      <c r="K8237" s="1348"/>
    </row>
    <row r="8238" spans="2:11" hidden="1">
      <c r="B8238" s="1348"/>
      <c r="C8238" s="1348"/>
      <c r="D8238" s="1348"/>
      <c r="E8238" s="1348"/>
      <c r="F8238" s="1348"/>
      <c r="G8238" s="1348"/>
      <c r="H8238" s="1348"/>
      <c r="I8238" s="1348"/>
      <c r="J8238" s="1348"/>
      <c r="K8238" s="1348"/>
    </row>
    <row r="8239" spans="2:11" hidden="1">
      <c r="B8239" s="1348"/>
      <c r="C8239" s="1348"/>
      <c r="D8239" s="1348"/>
      <c r="E8239" s="1348"/>
      <c r="F8239" s="1348"/>
      <c r="G8239" s="1348"/>
      <c r="H8239" s="1348"/>
      <c r="I8239" s="1348"/>
      <c r="J8239" s="1348"/>
      <c r="K8239" s="1348"/>
    </row>
    <row r="8240" spans="2:11" hidden="1">
      <c r="B8240" s="1348"/>
      <c r="C8240" s="1348"/>
      <c r="D8240" s="1348"/>
      <c r="E8240" s="1348"/>
      <c r="F8240" s="1348"/>
      <c r="G8240" s="1348"/>
      <c r="H8240" s="1348"/>
      <c r="I8240" s="1348"/>
      <c r="J8240" s="1348"/>
      <c r="K8240" s="1348"/>
    </row>
    <row r="8241" spans="2:11" hidden="1">
      <c r="B8241" s="1348"/>
      <c r="C8241" s="1348"/>
      <c r="D8241" s="1348"/>
      <c r="E8241" s="1348"/>
      <c r="F8241" s="1348"/>
      <c r="G8241" s="1348"/>
      <c r="H8241" s="1348"/>
      <c r="I8241" s="1348"/>
      <c r="J8241" s="1348"/>
      <c r="K8241" s="1348"/>
    </row>
    <row r="8242" spans="2:11" hidden="1">
      <c r="B8242" s="1348"/>
      <c r="C8242" s="1348"/>
      <c r="D8242" s="1348"/>
      <c r="E8242" s="1348"/>
      <c r="F8242" s="1348"/>
      <c r="G8242" s="1348"/>
      <c r="H8242" s="1348"/>
      <c r="I8242" s="1348"/>
      <c r="J8242" s="1348"/>
      <c r="K8242" s="1348"/>
    </row>
    <row r="8243" spans="2:11" hidden="1">
      <c r="B8243" s="1348"/>
      <c r="C8243" s="1348"/>
      <c r="D8243" s="1348"/>
      <c r="E8243" s="1348"/>
      <c r="F8243" s="1348"/>
      <c r="G8243" s="1348"/>
      <c r="H8243" s="1348"/>
      <c r="I8243" s="1348"/>
      <c r="J8243" s="1348"/>
      <c r="K8243" s="1348"/>
    </row>
    <row r="8244" spans="2:11" hidden="1">
      <c r="B8244" s="1348"/>
      <c r="C8244" s="1348"/>
      <c r="D8244" s="1348"/>
      <c r="E8244" s="1348"/>
      <c r="F8244" s="1348"/>
      <c r="G8244" s="1348"/>
      <c r="H8244" s="1348"/>
      <c r="I8244" s="1348"/>
      <c r="J8244" s="1348"/>
      <c r="K8244" s="1348"/>
    </row>
    <row r="8245" spans="2:11" hidden="1">
      <c r="B8245" s="1348"/>
      <c r="C8245" s="1348"/>
      <c r="D8245" s="1348"/>
      <c r="E8245" s="1348"/>
      <c r="F8245" s="1348"/>
      <c r="G8245" s="1348"/>
      <c r="H8245" s="1348"/>
      <c r="I8245" s="1348"/>
      <c r="J8245" s="1348"/>
      <c r="K8245" s="1348"/>
    </row>
    <row r="8246" spans="2:11" hidden="1">
      <c r="B8246" s="1348"/>
      <c r="C8246" s="1348"/>
      <c r="D8246" s="1348"/>
      <c r="E8246" s="1348"/>
      <c r="F8246" s="1348"/>
      <c r="G8246" s="1348"/>
      <c r="H8246" s="1348"/>
      <c r="I8246" s="1348"/>
      <c r="J8246" s="1348"/>
      <c r="K8246" s="1348"/>
    </row>
    <row r="8247" spans="2:11" hidden="1">
      <c r="B8247" s="1348"/>
      <c r="C8247" s="1348"/>
      <c r="D8247" s="1348"/>
      <c r="E8247" s="1348"/>
      <c r="F8247" s="1348"/>
      <c r="G8247" s="1348"/>
      <c r="H8247" s="1348"/>
      <c r="I8247" s="1348"/>
      <c r="J8247" s="1348"/>
      <c r="K8247" s="1348"/>
    </row>
    <row r="8248" spans="2:11" hidden="1">
      <c r="B8248" s="1348"/>
      <c r="C8248" s="1348"/>
      <c r="D8248" s="1348"/>
      <c r="E8248" s="1348"/>
      <c r="F8248" s="1348"/>
      <c r="G8248" s="1348"/>
      <c r="H8248" s="1348"/>
      <c r="I8248" s="1348"/>
      <c r="J8248" s="1348"/>
      <c r="K8248" s="1348"/>
    </row>
    <row r="8249" spans="2:11" hidden="1">
      <c r="B8249" s="1348"/>
      <c r="C8249" s="1348"/>
      <c r="D8249" s="1348"/>
      <c r="E8249" s="1348"/>
      <c r="F8249" s="1348"/>
      <c r="G8249" s="1348"/>
      <c r="H8249" s="1348"/>
      <c r="I8249" s="1348"/>
      <c r="J8249" s="1348"/>
      <c r="K8249" s="1348"/>
    </row>
    <row r="8250" spans="2:11" hidden="1">
      <c r="B8250" s="1348"/>
      <c r="C8250" s="1348"/>
      <c r="D8250" s="1348"/>
      <c r="E8250" s="1348"/>
      <c r="F8250" s="1348"/>
      <c r="G8250" s="1348"/>
      <c r="H8250" s="1348"/>
      <c r="I8250" s="1348"/>
      <c r="J8250" s="1348"/>
      <c r="K8250" s="1348"/>
    </row>
    <row r="8251" spans="2:11" hidden="1">
      <c r="B8251" s="1348"/>
      <c r="C8251" s="1348"/>
      <c r="D8251" s="1348"/>
      <c r="E8251" s="1348"/>
      <c r="F8251" s="1348"/>
      <c r="G8251" s="1348"/>
      <c r="H8251" s="1348"/>
      <c r="I8251" s="1348"/>
      <c r="J8251" s="1348"/>
      <c r="K8251" s="1348"/>
    </row>
    <row r="8252" spans="2:11" hidden="1">
      <c r="B8252" s="1348"/>
      <c r="C8252" s="1348"/>
      <c r="D8252" s="1348"/>
      <c r="E8252" s="1348"/>
      <c r="F8252" s="1348"/>
      <c r="G8252" s="1348"/>
      <c r="H8252" s="1348"/>
      <c r="I8252" s="1348"/>
      <c r="J8252" s="1348"/>
      <c r="K8252" s="1348"/>
    </row>
    <row r="8253" spans="2:11" hidden="1">
      <c r="B8253" s="1348"/>
      <c r="C8253" s="1348"/>
      <c r="D8253" s="1348"/>
      <c r="E8253" s="1348"/>
      <c r="F8253" s="1348"/>
      <c r="G8253" s="1348"/>
      <c r="H8253" s="1348"/>
      <c r="I8253" s="1348"/>
      <c r="J8253" s="1348"/>
      <c r="K8253" s="1348"/>
    </row>
    <row r="8254" spans="2:11" hidden="1">
      <c r="B8254" s="1348"/>
      <c r="C8254" s="1348"/>
      <c r="D8254" s="1348"/>
      <c r="E8254" s="1348"/>
      <c r="F8254" s="1348"/>
      <c r="G8254" s="1348"/>
      <c r="H8254" s="1348"/>
      <c r="I8254" s="1348"/>
      <c r="J8254" s="1348"/>
      <c r="K8254" s="1348"/>
    </row>
    <row r="8255" spans="2:11" hidden="1">
      <c r="B8255" s="1348"/>
      <c r="C8255" s="1348"/>
      <c r="D8255" s="1348"/>
      <c r="E8255" s="1348"/>
      <c r="F8255" s="1348"/>
      <c r="G8255" s="1348"/>
      <c r="H8255" s="1348"/>
      <c r="I8255" s="1348"/>
      <c r="J8255" s="1348"/>
      <c r="K8255" s="1348"/>
    </row>
    <row r="8256" spans="2:11" hidden="1">
      <c r="B8256" s="1348"/>
      <c r="C8256" s="1348"/>
      <c r="D8256" s="1348"/>
      <c r="E8256" s="1348"/>
      <c r="F8256" s="1348"/>
      <c r="G8256" s="1348"/>
      <c r="H8256" s="1348"/>
      <c r="I8256" s="1348"/>
      <c r="J8256" s="1348"/>
      <c r="K8256" s="1348"/>
    </row>
    <row r="8257" spans="2:11" hidden="1">
      <c r="B8257" s="1348"/>
      <c r="C8257" s="1348"/>
      <c r="D8257" s="1348"/>
      <c r="E8257" s="1348"/>
      <c r="F8257" s="1348"/>
      <c r="G8257" s="1348"/>
      <c r="H8257" s="1348"/>
      <c r="I8257" s="1348"/>
      <c r="J8257" s="1348"/>
      <c r="K8257" s="1348"/>
    </row>
    <row r="8258" spans="2:11" hidden="1">
      <c r="B8258" s="1348"/>
      <c r="C8258" s="1348"/>
      <c r="D8258" s="1348"/>
      <c r="E8258" s="1348"/>
      <c r="F8258" s="1348"/>
      <c r="G8258" s="1348"/>
      <c r="H8258" s="1348"/>
      <c r="I8258" s="1348"/>
      <c r="J8258" s="1348"/>
      <c r="K8258" s="1348"/>
    </row>
    <row r="8259" spans="2:11" hidden="1">
      <c r="B8259" s="1348"/>
      <c r="C8259" s="1348"/>
      <c r="D8259" s="1348"/>
      <c r="E8259" s="1348"/>
      <c r="F8259" s="1348"/>
      <c r="G8259" s="1348"/>
      <c r="H8259" s="1348"/>
      <c r="I8259" s="1348"/>
      <c r="J8259" s="1348"/>
      <c r="K8259" s="1348"/>
    </row>
    <row r="8260" spans="2:11" hidden="1">
      <c r="B8260" s="1348"/>
      <c r="C8260" s="1348"/>
      <c r="D8260" s="1348"/>
      <c r="E8260" s="1348"/>
      <c r="F8260" s="1348"/>
      <c r="G8260" s="1348"/>
      <c r="H8260" s="1348"/>
      <c r="I8260" s="1348"/>
      <c r="J8260" s="1348"/>
      <c r="K8260" s="1348"/>
    </row>
    <row r="8261" spans="2:11" hidden="1">
      <c r="B8261" s="1348"/>
      <c r="C8261" s="1348"/>
      <c r="D8261" s="1348"/>
      <c r="E8261" s="1348"/>
      <c r="F8261" s="1348"/>
      <c r="G8261" s="1348"/>
      <c r="H8261" s="1348"/>
      <c r="I8261" s="1348"/>
      <c r="J8261" s="1348"/>
      <c r="K8261" s="1348"/>
    </row>
    <row r="8262" spans="2:11" hidden="1">
      <c r="B8262" s="1348"/>
      <c r="C8262" s="1348"/>
      <c r="D8262" s="1348"/>
      <c r="E8262" s="1348"/>
      <c r="F8262" s="1348"/>
      <c r="G8262" s="1348"/>
      <c r="H8262" s="1348"/>
      <c r="I8262" s="1348"/>
      <c r="J8262" s="1348"/>
      <c r="K8262" s="1348"/>
    </row>
    <row r="8263" spans="2:11" hidden="1">
      <c r="B8263" s="1348"/>
      <c r="C8263" s="1348"/>
      <c r="D8263" s="1348"/>
      <c r="E8263" s="1348"/>
      <c r="F8263" s="1348"/>
      <c r="G8263" s="1348"/>
      <c r="H8263" s="1348"/>
      <c r="I8263" s="1348"/>
      <c r="J8263" s="1348"/>
      <c r="K8263" s="1348"/>
    </row>
    <row r="8264" spans="2:11" hidden="1">
      <c r="B8264" s="1348"/>
      <c r="C8264" s="1348"/>
      <c r="D8264" s="1348"/>
      <c r="E8264" s="1348"/>
      <c r="F8264" s="1348"/>
      <c r="G8264" s="1348"/>
      <c r="H8264" s="1348"/>
      <c r="I8264" s="1348"/>
      <c r="J8264" s="1348"/>
      <c r="K8264" s="1348"/>
    </row>
    <row r="8265" spans="2:11" hidden="1">
      <c r="B8265" s="1348"/>
      <c r="C8265" s="1348"/>
      <c r="D8265" s="1348"/>
      <c r="E8265" s="1348"/>
      <c r="F8265" s="1348"/>
      <c r="G8265" s="1348"/>
      <c r="H8265" s="1348"/>
      <c r="I8265" s="1348"/>
      <c r="J8265" s="1348"/>
      <c r="K8265" s="1348"/>
    </row>
    <row r="8266" spans="2:11" hidden="1">
      <c r="B8266" s="1348"/>
      <c r="C8266" s="1348"/>
      <c r="D8266" s="1348"/>
      <c r="E8266" s="1348"/>
      <c r="F8266" s="1348"/>
      <c r="G8266" s="1348"/>
      <c r="H8266" s="1348"/>
      <c r="I8266" s="1348"/>
      <c r="J8266" s="1348"/>
      <c r="K8266" s="1348"/>
    </row>
    <row r="8267" spans="2:11" hidden="1">
      <c r="B8267" s="1348"/>
      <c r="C8267" s="1348"/>
      <c r="D8267" s="1348"/>
      <c r="E8267" s="1348"/>
      <c r="F8267" s="1348"/>
      <c r="G8267" s="1348"/>
      <c r="H8267" s="1348"/>
      <c r="I8267" s="1348"/>
      <c r="J8267" s="1348"/>
      <c r="K8267" s="1348"/>
    </row>
    <row r="8268" spans="2:11" hidden="1">
      <c r="B8268" s="1348"/>
      <c r="C8268" s="1348"/>
      <c r="D8268" s="1348"/>
      <c r="E8268" s="1348"/>
      <c r="F8268" s="1348"/>
      <c r="G8268" s="1348"/>
      <c r="H8268" s="1348"/>
      <c r="I8268" s="1348"/>
      <c r="J8268" s="1348"/>
      <c r="K8268" s="1348"/>
    </row>
    <row r="8269" spans="2:11" hidden="1">
      <c r="B8269" s="1348"/>
      <c r="C8269" s="1348"/>
      <c r="D8269" s="1348"/>
      <c r="E8269" s="1348"/>
      <c r="F8269" s="1348"/>
      <c r="G8269" s="1348"/>
      <c r="H8269" s="1348"/>
      <c r="I8269" s="1348"/>
      <c r="J8269" s="1348"/>
      <c r="K8269" s="1348"/>
    </row>
    <row r="8270" spans="2:11" hidden="1">
      <c r="B8270" s="1348"/>
      <c r="C8270" s="1348"/>
      <c r="D8270" s="1348"/>
      <c r="E8270" s="1348"/>
      <c r="F8270" s="1348"/>
      <c r="G8270" s="1348"/>
      <c r="H8270" s="1348"/>
      <c r="I8270" s="1348"/>
      <c r="J8270" s="1348"/>
      <c r="K8270" s="1348"/>
    </row>
    <row r="8271" spans="2:11" hidden="1">
      <c r="B8271" s="1348"/>
      <c r="C8271" s="1348"/>
      <c r="D8271" s="1348"/>
      <c r="E8271" s="1348"/>
      <c r="F8271" s="1348"/>
      <c r="G8271" s="1348"/>
      <c r="H8271" s="1348"/>
      <c r="I8271" s="1348"/>
      <c r="J8271" s="1348"/>
      <c r="K8271" s="1348"/>
    </row>
    <row r="8272" spans="2:11" hidden="1">
      <c r="B8272" s="1348"/>
      <c r="C8272" s="1348"/>
      <c r="D8272" s="1348"/>
      <c r="E8272" s="1348"/>
      <c r="F8272" s="1348"/>
      <c r="G8272" s="1348"/>
      <c r="H8272" s="1348"/>
      <c r="I8272" s="1348"/>
      <c r="J8272" s="1348"/>
      <c r="K8272" s="1348"/>
    </row>
    <row r="8273" spans="2:11" hidden="1">
      <c r="B8273" s="1348"/>
      <c r="C8273" s="1348"/>
      <c r="D8273" s="1348"/>
      <c r="E8273" s="1348"/>
      <c r="F8273" s="1348"/>
      <c r="G8273" s="1348"/>
      <c r="H8273" s="1348"/>
      <c r="I8273" s="1348"/>
      <c r="J8273" s="1348"/>
      <c r="K8273" s="1348"/>
    </row>
    <row r="8274" spans="2:11" hidden="1">
      <c r="B8274" s="1348"/>
      <c r="C8274" s="1348"/>
      <c r="D8274" s="1348"/>
      <c r="E8274" s="1348"/>
      <c r="F8274" s="1348"/>
      <c r="G8274" s="1348"/>
      <c r="H8274" s="1348"/>
      <c r="I8274" s="1348"/>
      <c r="J8274" s="1348"/>
      <c r="K8274" s="1348"/>
    </row>
    <row r="8275" spans="2:11" hidden="1">
      <c r="B8275" s="1348"/>
      <c r="C8275" s="1348"/>
      <c r="D8275" s="1348"/>
      <c r="E8275" s="1348"/>
      <c r="F8275" s="1348"/>
      <c r="G8275" s="1348"/>
      <c r="H8275" s="1348"/>
      <c r="I8275" s="1348"/>
      <c r="J8275" s="1348"/>
      <c r="K8275" s="1348"/>
    </row>
    <row r="8276" spans="2:11" hidden="1">
      <c r="B8276" s="1348"/>
      <c r="C8276" s="1348"/>
      <c r="D8276" s="1348"/>
      <c r="E8276" s="1348"/>
      <c r="F8276" s="1348"/>
      <c r="G8276" s="1348"/>
      <c r="H8276" s="1348"/>
      <c r="I8276" s="1348"/>
      <c r="J8276" s="1348"/>
      <c r="K8276" s="1348"/>
    </row>
    <row r="8277" spans="2:11" hidden="1">
      <c r="B8277" s="1348"/>
      <c r="C8277" s="1348"/>
      <c r="D8277" s="1348"/>
      <c r="E8277" s="1348"/>
      <c r="F8277" s="1348"/>
      <c r="G8277" s="1348"/>
      <c r="H8277" s="1348"/>
      <c r="I8277" s="1348"/>
      <c r="J8277" s="1348"/>
      <c r="K8277" s="1348"/>
    </row>
    <row r="8278" spans="2:11" hidden="1">
      <c r="B8278" s="1348"/>
      <c r="C8278" s="1348"/>
      <c r="D8278" s="1348"/>
      <c r="E8278" s="1348"/>
      <c r="F8278" s="1348"/>
      <c r="G8278" s="1348"/>
      <c r="H8278" s="1348"/>
      <c r="I8278" s="1348"/>
      <c r="J8278" s="1348"/>
      <c r="K8278" s="1348"/>
    </row>
    <row r="8279" spans="2:11" hidden="1">
      <c r="B8279" s="1348"/>
      <c r="C8279" s="1348"/>
      <c r="D8279" s="1348"/>
      <c r="E8279" s="1348"/>
      <c r="F8279" s="1348"/>
      <c r="G8279" s="1348"/>
      <c r="H8279" s="1348"/>
      <c r="I8279" s="1348"/>
      <c r="J8279" s="1348"/>
      <c r="K8279" s="1348"/>
    </row>
    <row r="8280" spans="2:11" hidden="1">
      <c r="B8280" s="1348"/>
      <c r="C8280" s="1348"/>
      <c r="D8280" s="1348"/>
      <c r="E8280" s="1348"/>
      <c r="F8280" s="1348"/>
      <c r="G8280" s="1348"/>
      <c r="H8280" s="1348"/>
      <c r="I8280" s="1348"/>
      <c r="J8280" s="1348"/>
      <c r="K8280" s="1348"/>
    </row>
    <row r="8281" spans="2:11" hidden="1">
      <c r="B8281" s="1348"/>
      <c r="C8281" s="1348"/>
      <c r="D8281" s="1348"/>
      <c r="E8281" s="1348"/>
      <c r="F8281" s="1348"/>
      <c r="G8281" s="1348"/>
      <c r="H8281" s="1348"/>
      <c r="I8281" s="1348"/>
      <c r="J8281" s="1348"/>
      <c r="K8281" s="1348"/>
    </row>
    <row r="8282" spans="2:11" hidden="1">
      <c r="B8282" s="1348"/>
      <c r="C8282" s="1348"/>
      <c r="D8282" s="1348"/>
      <c r="E8282" s="1348"/>
      <c r="F8282" s="1348"/>
      <c r="G8282" s="1348"/>
      <c r="H8282" s="1348"/>
      <c r="I8282" s="1348"/>
      <c r="J8282" s="1348"/>
      <c r="K8282" s="1348"/>
    </row>
    <row r="8283" spans="2:11" hidden="1">
      <c r="B8283" s="1348"/>
      <c r="C8283" s="1348"/>
      <c r="D8283" s="1348"/>
      <c r="E8283" s="1348"/>
      <c r="F8283" s="1348"/>
      <c r="G8283" s="1348"/>
      <c r="H8283" s="1348"/>
      <c r="I8283" s="1348"/>
      <c r="J8283" s="1348"/>
      <c r="K8283" s="1348"/>
    </row>
    <row r="8284" spans="2:11" hidden="1">
      <c r="B8284" s="1348"/>
      <c r="C8284" s="1348"/>
      <c r="D8284" s="1348"/>
      <c r="E8284" s="1348"/>
      <c r="F8284" s="1348"/>
      <c r="G8284" s="1348"/>
      <c r="H8284" s="1348"/>
      <c r="I8284" s="1348"/>
      <c r="J8284" s="1348"/>
      <c r="K8284" s="1348"/>
    </row>
    <row r="8285" spans="2:11" hidden="1">
      <c r="B8285" s="1348"/>
      <c r="C8285" s="1348"/>
      <c r="D8285" s="1348"/>
      <c r="E8285" s="1348"/>
      <c r="F8285" s="1348"/>
      <c r="G8285" s="1348"/>
      <c r="H8285" s="1348"/>
      <c r="I8285" s="1348"/>
      <c r="J8285" s="1348"/>
      <c r="K8285" s="1348"/>
    </row>
    <row r="8286" spans="2:11" hidden="1">
      <c r="B8286" s="1348"/>
      <c r="C8286" s="1348"/>
      <c r="D8286" s="1348"/>
      <c r="E8286" s="1348"/>
      <c r="F8286" s="1348"/>
      <c r="G8286" s="1348"/>
      <c r="H8286" s="1348"/>
      <c r="I8286" s="1348"/>
      <c r="J8286" s="1348"/>
      <c r="K8286" s="1348"/>
    </row>
    <row r="8287" spans="2:11" hidden="1">
      <c r="B8287" s="1348"/>
      <c r="C8287" s="1348"/>
      <c r="D8287" s="1348"/>
      <c r="E8287" s="1348"/>
      <c r="F8287" s="1348"/>
      <c r="G8287" s="1348"/>
      <c r="H8287" s="1348"/>
      <c r="I8287" s="1348"/>
      <c r="J8287" s="1348"/>
      <c r="K8287" s="1348"/>
    </row>
    <row r="8288" spans="2:11" hidden="1">
      <c r="B8288" s="1348"/>
      <c r="C8288" s="1348"/>
      <c r="D8288" s="1348"/>
      <c r="E8288" s="1348"/>
      <c r="F8288" s="1348"/>
      <c r="G8288" s="1348"/>
      <c r="H8288" s="1348"/>
      <c r="I8288" s="1348"/>
      <c r="J8288" s="1348"/>
      <c r="K8288" s="1348"/>
    </row>
    <row r="8289" spans="2:11" hidden="1">
      <c r="B8289" s="1348"/>
      <c r="C8289" s="1348"/>
      <c r="D8289" s="1348"/>
      <c r="E8289" s="1348"/>
      <c r="F8289" s="1348"/>
      <c r="G8289" s="1348"/>
      <c r="H8289" s="1348"/>
      <c r="I8289" s="1348"/>
      <c r="J8289" s="1348"/>
      <c r="K8289" s="1348"/>
    </row>
    <row r="8290" spans="2:11" hidden="1">
      <c r="B8290" s="1348"/>
      <c r="C8290" s="1348"/>
      <c r="D8290" s="1348"/>
      <c r="E8290" s="1348"/>
      <c r="F8290" s="1348"/>
      <c r="G8290" s="1348"/>
      <c r="H8290" s="1348"/>
      <c r="I8290" s="1348"/>
      <c r="J8290" s="1348"/>
      <c r="K8290" s="1348"/>
    </row>
    <row r="8291" spans="2:11" hidden="1">
      <c r="B8291" s="1348"/>
      <c r="C8291" s="1348"/>
      <c r="D8291" s="1348"/>
      <c r="E8291" s="1348"/>
      <c r="F8291" s="1348"/>
      <c r="G8291" s="1348"/>
      <c r="H8291" s="1348"/>
      <c r="I8291" s="1348"/>
      <c r="J8291" s="1348"/>
      <c r="K8291" s="1348"/>
    </row>
    <row r="8292" spans="2:11" hidden="1">
      <c r="B8292" s="1348"/>
      <c r="C8292" s="1348"/>
      <c r="D8292" s="1348"/>
      <c r="E8292" s="1348"/>
      <c r="F8292" s="1348"/>
      <c r="G8292" s="1348"/>
      <c r="H8292" s="1348"/>
      <c r="I8292" s="1348"/>
      <c r="J8292" s="1348"/>
      <c r="K8292" s="1348"/>
    </row>
    <row r="8293" spans="2:11" hidden="1">
      <c r="B8293" s="1348"/>
      <c r="C8293" s="1348"/>
      <c r="D8293" s="1348"/>
      <c r="E8293" s="1348"/>
      <c r="F8293" s="1348"/>
      <c r="G8293" s="1348"/>
      <c r="H8293" s="1348"/>
      <c r="I8293" s="1348"/>
      <c r="J8293" s="1348"/>
      <c r="K8293" s="1348"/>
    </row>
    <row r="8294" spans="2:11" hidden="1">
      <c r="B8294" s="1348"/>
      <c r="C8294" s="1348"/>
      <c r="D8294" s="1348"/>
      <c r="E8294" s="1348"/>
      <c r="F8294" s="1348"/>
      <c r="G8294" s="1348"/>
      <c r="H8294" s="1348"/>
      <c r="I8294" s="1348"/>
      <c r="J8294" s="1348"/>
      <c r="K8294" s="1348"/>
    </row>
    <row r="8295" spans="2:11" hidden="1">
      <c r="B8295" s="1348"/>
      <c r="C8295" s="1348"/>
      <c r="D8295" s="1348"/>
      <c r="E8295" s="1348"/>
      <c r="F8295" s="1348"/>
      <c r="G8295" s="1348"/>
      <c r="H8295" s="1348"/>
      <c r="I8295" s="1348"/>
      <c r="J8295" s="1348"/>
      <c r="K8295" s="1348"/>
    </row>
    <row r="8296" spans="2:11" hidden="1">
      <c r="B8296" s="1348"/>
      <c r="C8296" s="1348"/>
      <c r="D8296" s="1348"/>
      <c r="E8296" s="1348"/>
      <c r="F8296" s="1348"/>
      <c r="G8296" s="1348"/>
      <c r="H8296" s="1348"/>
      <c r="I8296" s="1348"/>
      <c r="J8296" s="1348"/>
      <c r="K8296" s="1348"/>
    </row>
    <row r="8297" spans="2:11" hidden="1">
      <c r="B8297" s="1348"/>
      <c r="C8297" s="1348"/>
      <c r="D8297" s="1348"/>
      <c r="E8297" s="1348"/>
      <c r="F8297" s="1348"/>
      <c r="G8297" s="1348"/>
      <c r="H8297" s="1348"/>
      <c r="I8297" s="1348"/>
      <c r="J8297" s="1348"/>
      <c r="K8297" s="1348"/>
    </row>
    <row r="8298" spans="2:11" hidden="1">
      <c r="B8298" s="1348"/>
      <c r="C8298" s="1348"/>
      <c r="D8298" s="1348"/>
      <c r="E8298" s="1348"/>
      <c r="F8298" s="1348"/>
      <c r="G8298" s="1348"/>
      <c r="H8298" s="1348"/>
      <c r="I8298" s="1348"/>
      <c r="J8298" s="1348"/>
      <c r="K8298" s="1348"/>
    </row>
    <row r="8299" spans="2:11" hidden="1">
      <c r="B8299" s="1348"/>
      <c r="C8299" s="1348"/>
      <c r="D8299" s="1348"/>
      <c r="E8299" s="1348"/>
      <c r="F8299" s="1348"/>
      <c r="G8299" s="1348"/>
      <c r="H8299" s="1348"/>
      <c r="I8299" s="1348"/>
      <c r="J8299" s="1348"/>
      <c r="K8299" s="1348"/>
    </row>
    <row r="8300" spans="2:11" hidden="1">
      <c r="B8300" s="1348"/>
      <c r="C8300" s="1348"/>
      <c r="D8300" s="1348"/>
      <c r="E8300" s="1348"/>
      <c r="F8300" s="1348"/>
      <c r="G8300" s="1348"/>
      <c r="H8300" s="1348"/>
      <c r="I8300" s="1348"/>
      <c r="J8300" s="1348"/>
      <c r="K8300" s="1348"/>
    </row>
    <row r="8301" spans="2:11" hidden="1">
      <c r="B8301" s="1348"/>
      <c r="C8301" s="1348"/>
      <c r="D8301" s="1348"/>
      <c r="E8301" s="1348"/>
      <c r="F8301" s="1348"/>
      <c r="G8301" s="1348"/>
      <c r="H8301" s="1348"/>
      <c r="I8301" s="1348"/>
      <c r="J8301" s="1348"/>
      <c r="K8301" s="1348"/>
    </row>
    <row r="8302" spans="2:11" hidden="1">
      <c r="B8302" s="1348"/>
      <c r="C8302" s="1348"/>
      <c r="D8302" s="1348"/>
      <c r="E8302" s="1348"/>
      <c r="F8302" s="1348"/>
      <c r="G8302" s="1348"/>
      <c r="H8302" s="1348"/>
      <c r="I8302" s="1348"/>
      <c r="J8302" s="1348"/>
      <c r="K8302" s="1348"/>
    </row>
    <row r="8303" spans="2:11" hidden="1">
      <c r="B8303" s="1348"/>
      <c r="C8303" s="1348"/>
      <c r="D8303" s="1348"/>
      <c r="E8303" s="1348"/>
      <c r="F8303" s="1348"/>
      <c r="G8303" s="1348"/>
      <c r="H8303" s="1348"/>
      <c r="I8303" s="1348"/>
      <c r="J8303" s="1348"/>
      <c r="K8303" s="1348"/>
    </row>
    <row r="8304" spans="2:11" hidden="1">
      <c r="B8304" s="1348"/>
      <c r="C8304" s="1348"/>
      <c r="D8304" s="1348"/>
      <c r="E8304" s="1348"/>
      <c r="F8304" s="1348"/>
      <c r="G8304" s="1348"/>
      <c r="H8304" s="1348"/>
      <c r="I8304" s="1348"/>
      <c r="J8304" s="1348"/>
      <c r="K8304" s="1348"/>
    </row>
    <row r="8305" spans="2:11" hidden="1">
      <c r="B8305" s="1348"/>
      <c r="C8305" s="1348"/>
      <c r="D8305" s="1348"/>
      <c r="E8305" s="1348"/>
      <c r="F8305" s="1348"/>
      <c r="G8305" s="1348"/>
      <c r="H8305" s="1348"/>
      <c r="I8305" s="1348"/>
      <c r="J8305" s="1348"/>
      <c r="K8305" s="1348"/>
    </row>
    <row r="8306" spans="2:11" hidden="1">
      <c r="B8306" s="1348"/>
      <c r="C8306" s="1348"/>
      <c r="D8306" s="1348"/>
      <c r="E8306" s="1348"/>
      <c r="F8306" s="1348"/>
      <c r="G8306" s="1348"/>
      <c r="H8306" s="1348"/>
      <c r="I8306" s="1348"/>
      <c r="J8306" s="1348"/>
      <c r="K8306" s="1348"/>
    </row>
    <row r="8307" spans="2:11" hidden="1">
      <c r="B8307" s="1348"/>
      <c r="C8307" s="1348"/>
      <c r="D8307" s="1348"/>
      <c r="E8307" s="1348"/>
      <c r="F8307" s="1348"/>
      <c r="G8307" s="1348"/>
      <c r="H8307" s="1348"/>
      <c r="I8307" s="1348"/>
      <c r="J8307" s="1348"/>
      <c r="K8307" s="1348"/>
    </row>
    <row r="8308" spans="2:11" hidden="1">
      <c r="B8308" s="1348"/>
      <c r="C8308" s="1348"/>
      <c r="D8308" s="1348"/>
      <c r="E8308" s="1348"/>
      <c r="F8308" s="1348"/>
      <c r="G8308" s="1348"/>
      <c r="H8308" s="1348"/>
      <c r="I8308" s="1348"/>
      <c r="J8308" s="1348"/>
      <c r="K8308" s="1348"/>
    </row>
    <row r="8309" spans="2:11" hidden="1">
      <c r="B8309" s="1348"/>
      <c r="C8309" s="1348"/>
      <c r="D8309" s="1348"/>
      <c r="E8309" s="1348"/>
      <c r="F8309" s="1348"/>
      <c r="G8309" s="1348"/>
      <c r="H8309" s="1348"/>
      <c r="I8309" s="1348"/>
      <c r="J8309" s="1348"/>
      <c r="K8309" s="1348"/>
    </row>
    <row r="8310" spans="2:11" hidden="1">
      <c r="B8310" s="1348"/>
      <c r="C8310" s="1348"/>
      <c r="D8310" s="1348"/>
      <c r="E8310" s="1348"/>
      <c r="F8310" s="1348"/>
      <c r="G8310" s="1348"/>
      <c r="H8310" s="1348"/>
      <c r="I8310" s="1348"/>
      <c r="J8310" s="1348"/>
      <c r="K8310" s="1348"/>
    </row>
    <row r="8311" spans="2:11" hidden="1">
      <c r="B8311" s="1348"/>
      <c r="C8311" s="1348"/>
      <c r="D8311" s="1348"/>
      <c r="E8311" s="1348"/>
      <c r="F8311" s="1348"/>
      <c r="G8311" s="1348"/>
      <c r="H8311" s="1348"/>
      <c r="I8311" s="1348"/>
      <c r="J8311" s="1348"/>
      <c r="K8311" s="1348"/>
    </row>
    <row r="8312" spans="2:11" hidden="1">
      <c r="B8312" s="1348"/>
      <c r="C8312" s="1348"/>
      <c r="D8312" s="1348"/>
      <c r="E8312" s="1348"/>
      <c r="F8312" s="1348"/>
      <c r="G8312" s="1348"/>
      <c r="H8312" s="1348"/>
      <c r="I8312" s="1348"/>
      <c r="J8312" s="1348"/>
      <c r="K8312" s="1348"/>
    </row>
    <row r="8313" spans="2:11" hidden="1">
      <c r="B8313" s="1348"/>
      <c r="C8313" s="1348"/>
      <c r="D8313" s="1348"/>
      <c r="E8313" s="1348"/>
      <c r="F8313" s="1348"/>
      <c r="G8313" s="1348"/>
      <c r="H8313" s="1348"/>
      <c r="I8313" s="1348"/>
      <c r="J8313" s="1348"/>
      <c r="K8313" s="1348"/>
    </row>
    <row r="8314" spans="2:11" hidden="1">
      <c r="B8314" s="1348"/>
      <c r="C8314" s="1348"/>
      <c r="D8314" s="1348"/>
      <c r="E8314" s="1348"/>
      <c r="F8314" s="1348"/>
      <c r="G8314" s="1348"/>
      <c r="H8314" s="1348"/>
      <c r="I8314" s="1348"/>
      <c r="J8314" s="1348"/>
      <c r="K8314" s="1348"/>
    </row>
    <row r="8315" spans="2:11" hidden="1">
      <c r="B8315" s="1348"/>
      <c r="C8315" s="1348"/>
      <c r="D8315" s="1348"/>
      <c r="E8315" s="1348"/>
      <c r="F8315" s="1348"/>
      <c r="G8315" s="1348"/>
      <c r="H8315" s="1348"/>
      <c r="I8315" s="1348"/>
      <c r="J8315" s="1348"/>
      <c r="K8315" s="1348"/>
    </row>
    <row r="8316" spans="2:11" hidden="1">
      <c r="B8316" s="1348"/>
      <c r="C8316" s="1348"/>
      <c r="D8316" s="1348"/>
      <c r="E8316" s="1348"/>
      <c r="F8316" s="1348"/>
      <c r="G8316" s="1348"/>
      <c r="H8316" s="1348"/>
      <c r="I8316" s="1348"/>
      <c r="J8316" s="1348"/>
      <c r="K8316" s="1348"/>
    </row>
    <row r="8317" spans="2:11" hidden="1">
      <c r="B8317" s="1348"/>
      <c r="C8317" s="1348"/>
      <c r="D8317" s="1348"/>
      <c r="E8317" s="1348"/>
      <c r="F8317" s="1348"/>
      <c r="G8317" s="1348"/>
      <c r="H8317" s="1348"/>
      <c r="I8317" s="1348"/>
      <c r="J8317" s="1348"/>
      <c r="K8317" s="1348"/>
    </row>
    <row r="8318" spans="2:11" hidden="1">
      <c r="B8318" s="1348"/>
      <c r="C8318" s="1348"/>
      <c r="D8318" s="1348"/>
      <c r="E8318" s="1348"/>
      <c r="F8318" s="1348"/>
      <c r="G8318" s="1348"/>
      <c r="H8318" s="1348"/>
      <c r="I8318" s="1348"/>
      <c r="J8318" s="1348"/>
      <c r="K8318" s="1348"/>
    </row>
    <row r="8319" spans="2:11" hidden="1">
      <c r="B8319" s="1348"/>
      <c r="C8319" s="1348"/>
      <c r="D8319" s="1348"/>
      <c r="E8319" s="1348"/>
      <c r="F8319" s="1348"/>
      <c r="G8319" s="1348"/>
      <c r="H8319" s="1348"/>
      <c r="I8319" s="1348"/>
      <c r="J8319" s="1348"/>
      <c r="K8319" s="1348"/>
    </row>
    <row r="8320" spans="2:11" hidden="1">
      <c r="B8320" s="1348"/>
      <c r="C8320" s="1348"/>
      <c r="D8320" s="1348"/>
      <c r="E8320" s="1348"/>
      <c r="F8320" s="1348"/>
      <c r="G8320" s="1348"/>
      <c r="H8320" s="1348"/>
      <c r="I8320" s="1348"/>
      <c r="J8320" s="1348"/>
      <c r="K8320" s="1348"/>
    </row>
    <row r="8321" spans="2:11" hidden="1">
      <c r="B8321" s="1348"/>
      <c r="C8321" s="1348"/>
      <c r="D8321" s="1348"/>
      <c r="E8321" s="1348"/>
      <c r="F8321" s="1348"/>
      <c r="G8321" s="1348"/>
      <c r="H8321" s="1348"/>
      <c r="I8321" s="1348"/>
      <c r="J8321" s="1348"/>
      <c r="K8321" s="1348"/>
    </row>
    <row r="8322" spans="2:11" hidden="1">
      <c r="B8322" s="1348"/>
      <c r="C8322" s="1348"/>
      <c r="D8322" s="1348"/>
      <c r="E8322" s="1348"/>
      <c r="F8322" s="1348"/>
      <c r="G8322" s="1348"/>
      <c r="H8322" s="1348"/>
      <c r="I8322" s="1348"/>
      <c r="J8322" s="1348"/>
      <c r="K8322" s="1348"/>
    </row>
    <row r="8323" spans="2:11" hidden="1">
      <c r="B8323" s="1348"/>
      <c r="C8323" s="1348"/>
      <c r="D8323" s="1348"/>
      <c r="E8323" s="1348"/>
      <c r="F8323" s="1348"/>
      <c r="G8323" s="1348"/>
      <c r="H8323" s="1348"/>
      <c r="I8323" s="1348"/>
      <c r="J8323" s="1348"/>
      <c r="K8323" s="1348"/>
    </row>
    <row r="8324" spans="2:11" hidden="1">
      <c r="B8324" s="1348"/>
      <c r="C8324" s="1348"/>
      <c r="D8324" s="1348"/>
      <c r="E8324" s="1348"/>
      <c r="F8324" s="1348"/>
      <c r="G8324" s="1348"/>
      <c r="H8324" s="1348"/>
      <c r="I8324" s="1348"/>
      <c r="J8324" s="1348"/>
      <c r="K8324" s="1348"/>
    </row>
    <row r="8325" spans="2:11" hidden="1">
      <c r="B8325" s="1348"/>
      <c r="C8325" s="1348"/>
      <c r="D8325" s="1348"/>
      <c r="E8325" s="1348"/>
      <c r="F8325" s="1348"/>
      <c r="G8325" s="1348"/>
      <c r="H8325" s="1348"/>
      <c r="I8325" s="1348"/>
      <c r="J8325" s="1348"/>
      <c r="K8325" s="1348"/>
    </row>
    <row r="8326" spans="2:11" hidden="1">
      <c r="B8326" s="1348"/>
      <c r="C8326" s="1348"/>
      <c r="D8326" s="1348"/>
      <c r="E8326" s="1348"/>
      <c r="F8326" s="1348"/>
      <c r="G8326" s="1348"/>
      <c r="H8326" s="1348"/>
      <c r="I8326" s="1348"/>
      <c r="J8326" s="1348"/>
      <c r="K8326" s="1348"/>
    </row>
    <row r="8327" spans="2:11" hidden="1">
      <c r="B8327" s="1348"/>
      <c r="C8327" s="1348"/>
      <c r="D8327" s="1348"/>
      <c r="E8327" s="1348"/>
      <c r="F8327" s="1348"/>
      <c r="G8327" s="1348"/>
      <c r="H8327" s="1348"/>
      <c r="I8327" s="1348"/>
      <c r="J8327" s="1348"/>
      <c r="K8327" s="1348"/>
    </row>
    <row r="8328" spans="2:11" hidden="1">
      <c r="B8328" s="1348"/>
      <c r="C8328" s="1348"/>
      <c r="D8328" s="1348"/>
      <c r="E8328" s="1348"/>
      <c r="F8328" s="1348"/>
      <c r="G8328" s="1348"/>
      <c r="H8328" s="1348"/>
      <c r="I8328" s="1348"/>
      <c r="J8328" s="1348"/>
      <c r="K8328" s="1348"/>
    </row>
    <row r="8329" spans="2:11" hidden="1">
      <c r="B8329" s="1348"/>
      <c r="C8329" s="1348"/>
      <c r="D8329" s="1348"/>
      <c r="E8329" s="1348"/>
      <c r="F8329" s="1348"/>
      <c r="G8329" s="1348"/>
      <c r="H8329" s="1348"/>
      <c r="I8329" s="1348"/>
      <c r="J8329" s="1348"/>
      <c r="K8329" s="1348"/>
    </row>
    <row r="8330" spans="2:11" hidden="1">
      <c r="B8330" s="1348"/>
      <c r="C8330" s="1348"/>
      <c r="D8330" s="1348"/>
      <c r="E8330" s="1348"/>
      <c r="F8330" s="1348"/>
      <c r="G8330" s="1348"/>
      <c r="H8330" s="1348"/>
      <c r="I8330" s="1348"/>
      <c r="J8330" s="1348"/>
      <c r="K8330" s="1348"/>
    </row>
    <row r="8331" spans="2:11" hidden="1">
      <c r="B8331" s="1348"/>
      <c r="C8331" s="1348"/>
      <c r="D8331" s="1348"/>
      <c r="E8331" s="1348"/>
      <c r="F8331" s="1348"/>
      <c r="G8331" s="1348"/>
      <c r="H8331" s="1348"/>
      <c r="I8331" s="1348"/>
      <c r="J8331" s="1348"/>
      <c r="K8331" s="1348"/>
    </row>
    <row r="8332" spans="2:11" hidden="1">
      <c r="B8332" s="1348"/>
      <c r="C8332" s="1348"/>
      <c r="D8332" s="1348"/>
      <c r="E8332" s="1348"/>
      <c r="F8332" s="1348"/>
      <c r="G8332" s="1348"/>
      <c r="H8332" s="1348"/>
      <c r="I8332" s="1348"/>
      <c r="J8332" s="1348"/>
      <c r="K8332" s="1348"/>
    </row>
    <row r="8333" spans="2:11" hidden="1">
      <c r="B8333" s="1348"/>
      <c r="C8333" s="1348"/>
      <c r="D8333" s="1348"/>
      <c r="E8333" s="1348"/>
      <c r="F8333" s="1348"/>
      <c r="G8333" s="1348"/>
      <c r="H8333" s="1348"/>
      <c r="I8333" s="1348"/>
      <c r="J8333" s="1348"/>
      <c r="K8333" s="1348"/>
    </row>
    <row r="8334" spans="2:11" hidden="1">
      <c r="B8334" s="1348"/>
      <c r="C8334" s="1348"/>
      <c r="D8334" s="1348"/>
      <c r="E8334" s="1348"/>
      <c r="F8334" s="1348"/>
      <c r="G8334" s="1348"/>
      <c r="H8334" s="1348"/>
      <c r="I8334" s="1348"/>
      <c r="J8334" s="1348"/>
      <c r="K8334" s="1348"/>
    </row>
    <row r="8335" spans="2:11" hidden="1">
      <c r="B8335" s="1348"/>
      <c r="C8335" s="1348"/>
      <c r="D8335" s="1348"/>
      <c r="E8335" s="1348"/>
      <c r="F8335" s="1348"/>
      <c r="G8335" s="1348"/>
      <c r="H8335" s="1348"/>
      <c r="I8335" s="1348"/>
      <c r="J8335" s="1348"/>
      <c r="K8335" s="1348"/>
    </row>
    <row r="8336" spans="2:11" hidden="1">
      <c r="B8336" s="1348"/>
      <c r="C8336" s="1348"/>
      <c r="D8336" s="1348"/>
      <c r="E8336" s="1348"/>
      <c r="F8336" s="1348"/>
      <c r="G8336" s="1348"/>
      <c r="H8336" s="1348"/>
      <c r="I8336" s="1348"/>
      <c r="J8336" s="1348"/>
      <c r="K8336" s="1348"/>
    </row>
    <row r="8337" spans="2:11" hidden="1">
      <c r="B8337" s="1348"/>
      <c r="C8337" s="1348"/>
      <c r="D8337" s="1348"/>
      <c r="E8337" s="1348"/>
      <c r="F8337" s="1348"/>
      <c r="G8337" s="1348"/>
      <c r="H8337" s="1348"/>
      <c r="I8337" s="1348"/>
      <c r="J8337" s="1348"/>
      <c r="K8337" s="1348"/>
    </row>
    <row r="8338" spans="2:11" hidden="1">
      <c r="B8338" s="1348"/>
      <c r="C8338" s="1348"/>
      <c r="D8338" s="1348"/>
      <c r="E8338" s="1348"/>
      <c r="F8338" s="1348"/>
      <c r="G8338" s="1348"/>
      <c r="H8338" s="1348"/>
      <c r="I8338" s="1348"/>
      <c r="J8338" s="1348"/>
      <c r="K8338" s="1348"/>
    </row>
    <row r="8339" spans="2:11" hidden="1">
      <c r="B8339" s="1348"/>
      <c r="C8339" s="1348"/>
      <c r="D8339" s="1348"/>
      <c r="E8339" s="1348"/>
      <c r="F8339" s="1348"/>
      <c r="G8339" s="1348"/>
      <c r="H8339" s="1348"/>
      <c r="I8339" s="1348"/>
      <c r="J8339" s="1348"/>
      <c r="K8339" s="1348"/>
    </row>
    <row r="8340" spans="2:11" hidden="1">
      <c r="B8340" s="1348"/>
      <c r="C8340" s="1348"/>
      <c r="D8340" s="1348"/>
      <c r="E8340" s="1348"/>
      <c r="F8340" s="1348"/>
      <c r="G8340" s="1348"/>
      <c r="H8340" s="1348"/>
      <c r="I8340" s="1348"/>
      <c r="J8340" s="1348"/>
      <c r="K8340" s="1348"/>
    </row>
    <row r="8341" spans="2:11" hidden="1">
      <c r="B8341" s="1348"/>
      <c r="C8341" s="1348"/>
      <c r="D8341" s="1348"/>
      <c r="E8341" s="1348"/>
      <c r="F8341" s="1348"/>
      <c r="G8341" s="1348"/>
      <c r="H8341" s="1348"/>
      <c r="I8341" s="1348"/>
      <c r="J8341" s="1348"/>
      <c r="K8341" s="1348"/>
    </row>
    <row r="8342" spans="2:11" hidden="1">
      <c r="B8342" s="1348"/>
      <c r="C8342" s="1348"/>
      <c r="D8342" s="1348"/>
      <c r="E8342" s="1348"/>
      <c r="F8342" s="1348"/>
      <c r="G8342" s="1348"/>
      <c r="H8342" s="1348"/>
      <c r="I8342" s="1348"/>
      <c r="J8342" s="1348"/>
      <c r="K8342" s="1348"/>
    </row>
    <row r="8343" spans="2:11" hidden="1">
      <c r="B8343" s="1348"/>
      <c r="C8343" s="1348"/>
      <c r="D8343" s="1348"/>
      <c r="E8343" s="1348"/>
      <c r="F8343" s="1348"/>
      <c r="G8343" s="1348"/>
      <c r="H8343" s="1348"/>
      <c r="I8343" s="1348"/>
      <c r="J8343" s="1348"/>
      <c r="K8343" s="1348"/>
    </row>
    <row r="8344" spans="2:11" hidden="1">
      <c r="B8344" s="1348"/>
      <c r="C8344" s="1348"/>
      <c r="D8344" s="1348"/>
      <c r="E8344" s="1348"/>
      <c r="F8344" s="1348"/>
      <c r="G8344" s="1348"/>
      <c r="H8344" s="1348"/>
      <c r="I8344" s="1348"/>
      <c r="J8344" s="1348"/>
      <c r="K8344" s="1348"/>
    </row>
    <row r="8345" spans="2:11" hidden="1">
      <c r="B8345" s="1348"/>
      <c r="C8345" s="1348"/>
      <c r="D8345" s="1348"/>
      <c r="E8345" s="1348"/>
      <c r="F8345" s="1348"/>
      <c r="G8345" s="1348"/>
      <c r="H8345" s="1348"/>
      <c r="I8345" s="1348"/>
      <c r="J8345" s="1348"/>
      <c r="K8345" s="1348"/>
    </row>
    <row r="8346" spans="2:11" hidden="1">
      <c r="B8346" s="1348"/>
      <c r="C8346" s="1348"/>
      <c r="D8346" s="1348"/>
      <c r="E8346" s="1348"/>
      <c r="F8346" s="1348"/>
      <c r="G8346" s="1348"/>
      <c r="H8346" s="1348"/>
      <c r="I8346" s="1348"/>
      <c r="J8346" s="1348"/>
      <c r="K8346" s="1348"/>
    </row>
    <row r="8347" spans="2:11" hidden="1">
      <c r="B8347" s="1348"/>
      <c r="C8347" s="1348"/>
      <c r="D8347" s="1348"/>
      <c r="E8347" s="1348"/>
      <c r="F8347" s="1348"/>
      <c r="G8347" s="1348"/>
      <c r="H8347" s="1348"/>
      <c r="I8347" s="1348"/>
      <c r="J8347" s="1348"/>
      <c r="K8347" s="1348"/>
    </row>
    <row r="8348" spans="2:11" hidden="1">
      <c r="B8348" s="1348"/>
      <c r="C8348" s="1348"/>
      <c r="D8348" s="1348"/>
      <c r="E8348" s="1348"/>
      <c r="F8348" s="1348"/>
      <c r="G8348" s="1348"/>
      <c r="H8348" s="1348"/>
      <c r="I8348" s="1348"/>
      <c r="J8348" s="1348"/>
      <c r="K8348" s="1348"/>
    </row>
    <row r="8349" spans="2:11" hidden="1">
      <c r="B8349" s="1348"/>
      <c r="C8349" s="1348"/>
      <c r="D8349" s="1348"/>
      <c r="E8349" s="1348"/>
      <c r="F8349" s="1348"/>
      <c r="G8349" s="1348"/>
      <c r="H8349" s="1348"/>
      <c r="I8349" s="1348"/>
      <c r="J8349" s="1348"/>
      <c r="K8349" s="1348"/>
    </row>
    <row r="8350" spans="2:11" hidden="1">
      <c r="B8350" s="1348"/>
      <c r="C8350" s="1348"/>
      <c r="D8350" s="1348"/>
      <c r="E8350" s="1348"/>
      <c r="F8350" s="1348"/>
      <c r="G8350" s="1348"/>
      <c r="H8350" s="1348"/>
      <c r="I8350" s="1348"/>
      <c r="J8350" s="1348"/>
      <c r="K8350" s="1348"/>
    </row>
    <row r="8351" spans="2:11" hidden="1">
      <c r="B8351" s="1348"/>
      <c r="C8351" s="1348"/>
      <c r="D8351" s="1348"/>
      <c r="E8351" s="1348"/>
      <c r="F8351" s="1348"/>
      <c r="G8351" s="1348"/>
      <c r="H8351" s="1348"/>
      <c r="I8351" s="1348"/>
      <c r="J8351" s="1348"/>
      <c r="K8351" s="1348"/>
    </row>
    <row r="8352" spans="2:11" hidden="1">
      <c r="B8352" s="1348"/>
      <c r="C8352" s="1348"/>
      <c r="D8352" s="1348"/>
      <c r="E8352" s="1348"/>
      <c r="F8352" s="1348"/>
      <c r="G8352" s="1348"/>
      <c r="H8352" s="1348"/>
      <c r="I8352" s="1348"/>
      <c r="J8352" s="1348"/>
      <c r="K8352" s="1348"/>
    </row>
    <row r="8353" spans="2:11" hidden="1">
      <c r="B8353" s="1348"/>
      <c r="C8353" s="1348"/>
      <c r="D8353" s="1348"/>
      <c r="E8353" s="1348"/>
      <c r="F8353" s="1348"/>
      <c r="G8353" s="1348"/>
      <c r="H8353" s="1348"/>
      <c r="I8353" s="1348"/>
      <c r="J8353" s="1348"/>
      <c r="K8353" s="1348"/>
    </row>
    <row r="8354" spans="2:11" hidden="1">
      <c r="B8354" s="1348"/>
      <c r="C8354" s="1348"/>
      <c r="D8354" s="1348"/>
      <c r="E8354" s="1348"/>
      <c r="F8354" s="1348"/>
      <c r="G8354" s="1348"/>
      <c r="H8354" s="1348"/>
      <c r="I8354" s="1348"/>
      <c r="J8354" s="1348"/>
      <c r="K8354" s="1348"/>
    </row>
    <row r="8355" spans="2:11" hidden="1">
      <c r="B8355" s="1348"/>
      <c r="C8355" s="1348"/>
      <c r="D8355" s="1348"/>
      <c r="E8355" s="1348"/>
      <c r="F8355" s="1348"/>
      <c r="G8355" s="1348"/>
      <c r="H8355" s="1348"/>
      <c r="I8355" s="1348"/>
      <c r="J8355" s="1348"/>
      <c r="K8355" s="1348"/>
    </row>
    <row r="8356" spans="2:11" hidden="1">
      <c r="B8356" s="1348"/>
      <c r="C8356" s="1348"/>
      <c r="D8356" s="1348"/>
      <c r="E8356" s="1348"/>
      <c r="F8356" s="1348"/>
      <c r="G8356" s="1348"/>
      <c r="H8356" s="1348"/>
      <c r="I8356" s="1348"/>
      <c r="J8356" s="1348"/>
      <c r="K8356" s="1348"/>
    </row>
    <row r="8357" spans="2:11" hidden="1">
      <c r="B8357" s="1348"/>
      <c r="C8357" s="1348"/>
      <c r="D8357" s="1348"/>
      <c r="E8357" s="1348"/>
      <c r="F8357" s="1348"/>
      <c r="G8357" s="1348"/>
      <c r="H8357" s="1348"/>
      <c r="I8357" s="1348"/>
      <c r="J8357" s="1348"/>
      <c r="K8357" s="1348"/>
    </row>
    <row r="8358" spans="2:11" hidden="1">
      <c r="B8358" s="1348"/>
      <c r="C8358" s="1348"/>
      <c r="D8358" s="1348"/>
      <c r="E8358" s="1348"/>
      <c r="F8358" s="1348"/>
      <c r="G8358" s="1348"/>
      <c r="H8358" s="1348"/>
      <c r="I8358" s="1348"/>
      <c r="J8358" s="1348"/>
      <c r="K8358" s="1348"/>
    </row>
    <row r="8359" spans="2:11" hidden="1">
      <c r="B8359" s="1348"/>
      <c r="C8359" s="1348"/>
      <c r="D8359" s="1348"/>
      <c r="E8359" s="1348"/>
      <c r="F8359" s="1348"/>
      <c r="G8359" s="1348"/>
      <c r="H8359" s="1348"/>
      <c r="I8359" s="1348"/>
      <c r="J8359" s="1348"/>
      <c r="K8359" s="1348"/>
    </row>
    <row r="8360" spans="2:11" hidden="1">
      <c r="B8360" s="1348"/>
      <c r="C8360" s="1348"/>
      <c r="D8360" s="1348"/>
      <c r="E8360" s="1348"/>
      <c r="F8360" s="1348"/>
      <c r="G8360" s="1348"/>
      <c r="H8360" s="1348"/>
      <c r="I8360" s="1348"/>
      <c r="J8360" s="1348"/>
      <c r="K8360" s="1348"/>
    </row>
    <row r="8361" spans="2:11" hidden="1">
      <c r="B8361" s="1348"/>
      <c r="C8361" s="1348"/>
      <c r="D8361" s="1348"/>
      <c r="E8361" s="1348"/>
      <c r="F8361" s="1348"/>
      <c r="G8361" s="1348"/>
      <c r="H8361" s="1348"/>
      <c r="I8361" s="1348"/>
      <c r="J8361" s="1348"/>
      <c r="K8361" s="1348"/>
    </row>
    <row r="8362" spans="2:11" hidden="1">
      <c r="B8362" s="1348"/>
      <c r="C8362" s="1348"/>
      <c r="D8362" s="1348"/>
      <c r="E8362" s="1348"/>
      <c r="F8362" s="1348"/>
      <c r="G8362" s="1348"/>
      <c r="H8362" s="1348"/>
      <c r="I8362" s="1348"/>
      <c r="J8362" s="1348"/>
      <c r="K8362" s="1348"/>
    </row>
    <row r="8363" spans="2:11" hidden="1">
      <c r="B8363" s="1348"/>
      <c r="C8363" s="1348"/>
      <c r="D8363" s="1348"/>
      <c r="E8363" s="1348"/>
      <c r="F8363" s="1348"/>
      <c r="G8363" s="1348"/>
      <c r="H8363" s="1348"/>
      <c r="I8363" s="1348"/>
      <c r="J8363" s="1348"/>
      <c r="K8363" s="1348"/>
    </row>
    <row r="8364" spans="2:11" hidden="1">
      <c r="B8364" s="1348"/>
      <c r="C8364" s="1348"/>
      <c r="D8364" s="1348"/>
      <c r="E8364" s="1348"/>
      <c r="F8364" s="1348"/>
      <c r="G8364" s="1348"/>
      <c r="H8364" s="1348"/>
      <c r="I8364" s="1348"/>
      <c r="J8364" s="1348"/>
      <c r="K8364" s="1348"/>
    </row>
    <row r="8365" spans="2:11" hidden="1">
      <c r="B8365" s="1348"/>
      <c r="C8365" s="1348"/>
      <c r="D8365" s="1348"/>
      <c r="E8365" s="1348"/>
      <c r="F8365" s="1348"/>
      <c r="G8365" s="1348"/>
      <c r="H8365" s="1348"/>
      <c r="I8365" s="1348"/>
      <c r="J8365" s="1348"/>
      <c r="K8365" s="1348"/>
    </row>
    <row r="8366" spans="2:11" hidden="1">
      <c r="B8366" s="1348"/>
      <c r="C8366" s="1348"/>
      <c r="D8366" s="1348"/>
      <c r="E8366" s="1348"/>
      <c r="F8366" s="1348"/>
      <c r="G8366" s="1348"/>
      <c r="H8366" s="1348"/>
      <c r="I8366" s="1348"/>
      <c r="J8366" s="1348"/>
      <c r="K8366" s="1348"/>
    </row>
    <row r="8367" spans="2:11" hidden="1">
      <c r="B8367" s="1348"/>
      <c r="C8367" s="1348"/>
      <c r="D8367" s="1348"/>
      <c r="E8367" s="1348"/>
      <c r="F8367" s="1348"/>
      <c r="G8367" s="1348"/>
      <c r="H8367" s="1348"/>
      <c r="I8367" s="1348"/>
      <c r="J8367" s="1348"/>
      <c r="K8367" s="1348"/>
    </row>
    <row r="8368" spans="2:11" hidden="1">
      <c r="B8368" s="1348"/>
      <c r="C8368" s="1348"/>
      <c r="D8368" s="1348"/>
      <c r="E8368" s="1348"/>
      <c r="F8368" s="1348"/>
      <c r="G8368" s="1348"/>
      <c r="H8368" s="1348"/>
      <c r="I8368" s="1348"/>
      <c r="J8368" s="1348"/>
      <c r="K8368" s="1348"/>
    </row>
    <row r="8369" spans="2:11" hidden="1">
      <c r="B8369" s="1348"/>
      <c r="C8369" s="1348"/>
      <c r="D8369" s="1348"/>
      <c r="E8369" s="1348"/>
      <c r="F8369" s="1348"/>
      <c r="G8369" s="1348"/>
      <c r="H8369" s="1348"/>
      <c r="I8369" s="1348"/>
      <c r="J8369" s="1348"/>
      <c r="K8369" s="1348"/>
    </row>
    <row r="8370" spans="2:11" hidden="1">
      <c r="B8370" s="1348"/>
      <c r="C8370" s="1348"/>
      <c r="D8370" s="1348"/>
      <c r="E8370" s="1348"/>
      <c r="F8370" s="1348"/>
      <c r="G8370" s="1348"/>
      <c r="H8370" s="1348"/>
      <c r="I8370" s="1348"/>
      <c r="J8370" s="1348"/>
      <c r="K8370" s="1348"/>
    </row>
    <row r="8371" spans="2:11" hidden="1">
      <c r="B8371" s="1348"/>
      <c r="C8371" s="1348"/>
      <c r="D8371" s="1348"/>
      <c r="E8371" s="1348"/>
      <c r="F8371" s="1348"/>
      <c r="G8371" s="1348"/>
      <c r="H8371" s="1348"/>
      <c r="I8371" s="1348"/>
      <c r="J8371" s="1348"/>
      <c r="K8371" s="1348"/>
    </row>
    <row r="8372" spans="2:11" hidden="1">
      <c r="B8372" s="1348"/>
      <c r="C8372" s="1348"/>
      <c r="D8372" s="1348"/>
      <c r="E8372" s="1348"/>
      <c r="F8372" s="1348"/>
      <c r="G8372" s="1348"/>
      <c r="H8372" s="1348"/>
      <c r="I8372" s="1348"/>
      <c r="J8372" s="1348"/>
      <c r="K8372" s="1348"/>
    </row>
    <row r="8373" spans="2:11" hidden="1">
      <c r="B8373" s="1348"/>
      <c r="C8373" s="1348"/>
      <c r="D8373" s="1348"/>
      <c r="E8373" s="1348"/>
      <c r="F8373" s="1348"/>
      <c r="G8373" s="1348"/>
      <c r="H8373" s="1348"/>
      <c r="I8373" s="1348"/>
      <c r="J8373" s="1348"/>
      <c r="K8373" s="1348"/>
    </row>
    <row r="8374" spans="2:11" hidden="1">
      <c r="B8374" s="1348"/>
      <c r="C8374" s="1348"/>
      <c r="D8374" s="1348"/>
      <c r="E8374" s="1348"/>
      <c r="F8374" s="1348"/>
      <c r="G8374" s="1348"/>
      <c r="H8374" s="1348"/>
      <c r="I8374" s="1348"/>
      <c r="J8374" s="1348"/>
      <c r="K8374" s="1348"/>
    </row>
    <row r="8375" spans="2:11" hidden="1">
      <c r="B8375" s="1348"/>
      <c r="C8375" s="1348"/>
      <c r="D8375" s="1348"/>
      <c r="E8375" s="1348"/>
      <c r="F8375" s="1348"/>
      <c r="G8375" s="1348"/>
      <c r="H8375" s="1348"/>
      <c r="I8375" s="1348"/>
      <c r="J8375" s="1348"/>
      <c r="K8375" s="1348"/>
    </row>
    <row r="8376" spans="2:11" hidden="1">
      <c r="B8376" s="1348"/>
      <c r="C8376" s="1348"/>
      <c r="D8376" s="1348"/>
      <c r="E8376" s="1348"/>
      <c r="F8376" s="1348"/>
      <c r="G8376" s="1348"/>
      <c r="H8376" s="1348"/>
      <c r="I8376" s="1348"/>
      <c r="J8376" s="1348"/>
      <c r="K8376" s="1348"/>
    </row>
    <row r="8377" spans="2:11" hidden="1">
      <c r="B8377" s="1348"/>
      <c r="C8377" s="1348"/>
      <c r="D8377" s="1348"/>
      <c r="E8377" s="1348"/>
      <c r="F8377" s="1348"/>
      <c r="G8377" s="1348"/>
      <c r="H8377" s="1348"/>
      <c r="I8377" s="1348"/>
      <c r="J8377" s="1348"/>
      <c r="K8377" s="1348"/>
    </row>
    <row r="8378" spans="2:11" hidden="1">
      <c r="B8378" s="1348"/>
      <c r="C8378" s="1348"/>
      <c r="D8378" s="1348"/>
      <c r="E8378" s="1348"/>
      <c r="F8378" s="1348"/>
      <c r="G8378" s="1348"/>
      <c r="H8378" s="1348"/>
      <c r="I8378" s="1348"/>
      <c r="J8378" s="1348"/>
      <c r="K8378" s="1348"/>
    </row>
    <row r="8379" spans="2:11" hidden="1">
      <c r="B8379" s="1348"/>
      <c r="C8379" s="1348"/>
      <c r="D8379" s="1348"/>
      <c r="E8379" s="1348"/>
      <c r="F8379" s="1348"/>
      <c r="G8379" s="1348"/>
      <c r="H8379" s="1348"/>
      <c r="I8379" s="1348"/>
      <c r="J8379" s="1348"/>
      <c r="K8379" s="1348"/>
    </row>
    <row r="8380" spans="2:11" hidden="1">
      <c r="B8380" s="1348"/>
      <c r="C8380" s="1348"/>
      <c r="D8380" s="1348"/>
      <c r="E8380" s="1348"/>
      <c r="F8380" s="1348"/>
      <c r="G8380" s="1348"/>
      <c r="H8380" s="1348"/>
      <c r="I8380" s="1348"/>
      <c r="J8380" s="1348"/>
      <c r="K8380" s="1348"/>
    </row>
    <row r="8381" spans="2:11" hidden="1">
      <c r="B8381" s="1348"/>
      <c r="C8381" s="1348"/>
      <c r="D8381" s="1348"/>
      <c r="E8381" s="1348"/>
      <c r="F8381" s="1348"/>
      <c r="G8381" s="1348"/>
      <c r="H8381" s="1348"/>
      <c r="I8381" s="1348"/>
      <c r="J8381" s="1348"/>
      <c r="K8381" s="1348"/>
    </row>
    <row r="8382" spans="2:11" hidden="1">
      <c r="B8382" s="1348"/>
      <c r="C8382" s="1348"/>
      <c r="D8382" s="1348"/>
      <c r="E8382" s="1348"/>
      <c r="F8382" s="1348"/>
      <c r="G8382" s="1348"/>
      <c r="H8382" s="1348"/>
      <c r="I8382" s="1348"/>
      <c r="J8382" s="1348"/>
      <c r="K8382" s="1348"/>
    </row>
    <row r="8383" spans="2:11" hidden="1">
      <c r="B8383" s="1348"/>
      <c r="C8383" s="1348"/>
      <c r="D8383" s="1348"/>
      <c r="E8383" s="1348"/>
      <c r="F8383" s="1348"/>
      <c r="G8383" s="1348"/>
      <c r="H8383" s="1348"/>
      <c r="I8383" s="1348"/>
      <c r="J8383" s="1348"/>
      <c r="K8383" s="1348"/>
    </row>
    <row r="8384" spans="2:11" hidden="1">
      <c r="B8384" s="1348"/>
      <c r="C8384" s="1348"/>
      <c r="D8384" s="1348"/>
      <c r="E8384" s="1348"/>
      <c r="F8384" s="1348"/>
      <c r="G8384" s="1348"/>
      <c r="H8384" s="1348"/>
      <c r="I8384" s="1348"/>
      <c r="J8384" s="1348"/>
      <c r="K8384" s="1348"/>
    </row>
    <row r="8385" spans="2:11" hidden="1">
      <c r="B8385" s="1348"/>
      <c r="C8385" s="1348"/>
      <c r="D8385" s="1348"/>
      <c r="E8385" s="1348"/>
      <c r="F8385" s="1348"/>
      <c r="G8385" s="1348"/>
      <c r="H8385" s="1348"/>
      <c r="I8385" s="1348"/>
      <c r="J8385" s="1348"/>
      <c r="K8385" s="1348"/>
    </row>
    <row r="8386" spans="2:11" hidden="1">
      <c r="B8386" s="1348"/>
      <c r="C8386" s="1348"/>
      <c r="D8386" s="1348"/>
      <c r="E8386" s="1348"/>
      <c r="F8386" s="1348"/>
      <c r="G8386" s="1348"/>
      <c r="H8386" s="1348"/>
      <c r="I8386" s="1348"/>
      <c r="J8386" s="1348"/>
      <c r="K8386" s="1348"/>
    </row>
    <row r="8387" spans="2:11" hidden="1">
      <c r="B8387" s="1348"/>
      <c r="C8387" s="1348"/>
      <c r="D8387" s="1348"/>
      <c r="E8387" s="1348"/>
      <c r="F8387" s="1348"/>
      <c r="G8387" s="1348"/>
      <c r="H8387" s="1348"/>
      <c r="I8387" s="1348"/>
      <c r="J8387" s="1348"/>
      <c r="K8387" s="1348"/>
    </row>
    <row r="8388" spans="2:11" hidden="1">
      <c r="B8388" s="1348"/>
      <c r="C8388" s="1348"/>
      <c r="D8388" s="1348"/>
      <c r="E8388" s="1348"/>
      <c r="F8388" s="1348"/>
      <c r="G8388" s="1348"/>
      <c r="H8388" s="1348"/>
      <c r="I8388" s="1348"/>
      <c r="J8388" s="1348"/>
      <c r="K8388" s="1348"/>
    </row>
    <row r="8389" spans="2:11" hidden="1">
      <c r="B8389" s="1348"/>
      <c r="C8389" s="1348"/>
      <c r="D8389" s="1348"/>
      <c r="E8389" s="1348"/>
      <c r="F8389" s="1348"/>
      <c r="G8389" s="1348"/>
      <c r="H8389" s="1348"/>
      <c r="I8389" s="1348"/>
      <c r="J8389" s="1348"/>
      <c r="K8389" s="1348"/>
    </row>
    <row r="8390" spans="2:11" hidden="1">
      <c r="B8390" s="1348"/>
      <c r="C8390" s="1348"/>
      <c r="D8390" s="1348"/>
      <c r="E8390" s="1348"/>
      <c r="F8390" s="1348"/>
      <c r="G8390" s="1348"/>
      <c r="H8390" s="1348"/>
      <c r="I8390" s="1348"/>
      <c r="J8390" s="1348"/>
      <c r="K8390" s="1348"/>
    </row>
    <row r="8391" spans="2:11" hidden="1">
      <c r="B8391" s="1348"/>
      <c r="C8391" s="1348"/>
      <c r="D8391" s="1348"/>
      <c r="E8391" s="1348"/>
      <c r="F8391" s="1348"/>
      <c r="G8391" s="1348"/>
      <c r="H8391" s="1348"/>
      <c r="I8391" s="1348"/>
      <c r="J8391" s="1348"/>
      <c r="K8391" s="1348"/>
    </row>
    <row r="8392" spans="2:11" hidden="1">
      <c r="B8392" s="1348"/>
      <c r="C8392" s="1348"/>
      <c r="D8392" s="1348"/>
      <c r="E8392" s="1348"/>
      <c r="F8392" s="1348"/>
      <c r="G8392" s="1348"/>
      <c r="H8392" s="1348"/>
      <c r="I8392" s="1348"/>
      <c r="J8392" s="1348"/>
      <c r="K8392" s="1348"/>
    </row>
    <row r="8393" spans="2:11" hidden="1">
      <c r="B8393" s="1348"/>
      <c r="C8393" s="1348"/>
      <c r="D8393" s="1348"/>
      <c r="E8393" s="1348"/>
      <c r="F8393" s="1348"/>
      <c r="G8393" s="1348"/>
      <c r="H8393" s="1348"/>
      <c r="I8393" s="1348"/>
      <c r="J8393" s="1348"/>
      <c r="K8393" s="1348"/>
    </row>
    <row r="8394" spans="2:11" hidden="1">
      <c r="B8394" s="1348"/>
      <c r="C8394" s="1348"/>
      <c r="D8394" s="1348"/>
      <c r="E8394" s="1348"/>
      <c r="F8394" s="1348"/>
      <c r="G8394" s="1348"/>
      <c r="H8394" s="1348"/>
      <c r="I8394" s="1348"/>
      <c r="J8394" s="1348"/>
      <c r="K8394" s="1348"/>
    </row>
    <row r="8395" spans="2:11" hidden="1">
      <c r="B8395" s="1348"/>
      <c r="C8395" s="1348"/>
      <c r="D8395" s="1348"/>
      <c r="E8395" s="1348"/>
      <c r="F8395" s="1348"/>
      <c r="G8395" s="1348"/>
      <c r="H8395" s="1348"/>
      <c r="I8395" s="1348"/>
      <c r="J8395" s="1348"/>
      <c r="K8395" s="1348"/>
    </row>
    <row r="8396" spans="2:11" hidden="1">
      <c r="B8396" s="1348"/>
      <c r="C8396" s="1348"/>
      <c r="D8396" s="1348"/>
      <c r="E8396" s="1348"/>
      <c r="F8396" s="1348"/>
      <c r="G8396" s="1348"/>
      <c r="H8396" s="1348"/>
      <c r="I8396" s="1348"/>
      <c r="J8396" s="1348"/>
      <c r="K8396" s="1348"/>
    </row>
    <row r="8397" spans="2:11" hidden="1">
      <c r="B8397" s="1348"/>
      <c r="C8397" s="1348"/>
      <c r="D8397" s="1348"/>
      <c r="E8397" s="1348"/>
      <c r="F8397" s="1348"/>
      <c r="G8397" s="1348"/>
      <c r="H8397" s="1348"/>
      <c r="I8397" s="1348"/>
      <c r="J8397" s="1348"/>
      <c r="K8397" s="1348"/>
    </row>
    <row r="8398" spans="2:11" hidden="1">
      <c r="B8398" s="1348"/>
      <c r="C8398" s="1348"/>
      <c r="D8398" s="1348"/>
      <c r="E8398" s="1348"/>
      <c r="F8398" s="1348"/>
      <c r="G8398" s="1348"/>
      <c r="H8398" s="1348"/>
      <c r="I8398" s="1348"/>
      <c r="J8398" s="1348"/>
      <c r="K8398" s="1348"/>
    </row>
    <row r="8399" spans="2:11" hidden="1">
      <c r="B8399" s="1348"/>
      <c r="C8399" s="1348"/>
      <c r="D8399" s="1348"/>
      <c r="E8399" s="1348"/>
      <c r="F8399" s="1348"/>
      <c r="G8399" s="1348"/>
      <c r="H8399" s="1348"/>
      <c r="I8399" s="1348"/>
      <c r="J8399" s="1348"/>
      <c r="K8399" s="1348"/>
    </row>
    <row r="8400" spans="2:11" hidden="1">
      <c r="B8400" s="1348"/>
      <c r="C8400" s="1348"/>
      <c r="D8400" s="1348"/>
      <c r="E8400" s="1348"/>
      <c r="F8400" s="1348"/>
      <c r="G8400" s="1348"/>
      <c r="H8400" s="1348"/>
      <c r="I8400" s="1348"/>
      <c r="J8400" s="1348"/>
      <c r="K8400" s="1348"/>
    </row>
    <row r="8401" spans="2:11" hidden="1">
      <c r="B8401" s="1348"/>
      <c r="C8401" s="1348"/>
      <c r="D8401" s="1348"/>
      <c r="E8401" s="1348"/>
      <c r="F8401" s="1348"/>
      <c r="G8401" s="1348"/>
      <c r="H8401" s="1348"/>
      <c r="I8401" s="1348"/>
      <c r="J8401" s="1348"/>
      <c r="K8401" s="1348"/>
    </row>
    <row r="8402" spans="2:11" hidden="1">
      <c r="B8402" s="1348"/>
      <c r="C8402" s="1348"/>
      <c r="D8402" s="1348"/>
      <c r="E8402" s="1348"/>
      <c r="F8402" s="1348"/>
      <c r="G8402" s="1348"/>
      <c r="H8402" s="1348"/>
      <c r="I8402" s="1348"/>
      <c r="J8402" s="1348"/>
      <c r="K8402" s="1348"/>
    </row>
    <row r="8403" spans="2:11" hidden="1">
      <c r="B8403" s="1348"/>
      <c r="C8403" s="1348"/>
      <c r="D8403" s="1348"/>
      <c r="E8403" s="1348"/>
      <c r="F8403" s="1348"/>
      <c r="G8403" s="1348"/>
      <c r="H8403" s="1348"/>
      <c r="I8403" s="1348"/>
      <c r="J8403" s="1348"/>
      <c r="K8403" s="1348"/>
    </row>
    <row r="8404" spans="2:11" hidden="1">
      <c r="B8404" s="1348"/>
      <c r="C8404" s="1348"/>
      <c r="D8404" s="1348"/>
      <c r="E8404" s="1348"/>
      <c r="F8404" s="1348"/>
      <c r="G8404" s="1348"/>
      <c r="H8404" s="1348"/>
      <c r="I8404" s="1348"/>
      <c r="J8404" s="1348"/>
      <c r="K8404" s="1348"/>
    </row>
    <row r="8405" spans="2:11" hidden="1">
      <c r="B8405" s="1348"/>
      <c r="C8405" s="1348"/>
      <c r="D8405" s="1348"/>
      <c r="E8405" s="1348"/>
      <c r="F8405" s="1348"/>
      <c r="G8405" s="1348"/>
      <c r="H8405" s="1348"/>
      <c r="I8405" s="1348"/>
      <c r="J8405" s="1348"/>
      <c r="K8405" s="1348"/>
    </row>
    <row r="8406" spans="2:11" hidden="1">
      <c r="B8406" s="1348"/>
      <c r="C8406" s="1348"/>
      <c r="D8406" s="1348"/>
      <c r="E8406" s="1348"/>
      <c r="F8406" s="1348"/>
      <c r="G8406" s="1348"/>
      <c r="H8406" s="1348"/>
      <c r="I8406" s="1348"/>
      <c r="J8406" s="1348"/>
      <c r="K8406" s="1348"/>
    </row>
    <row r="8407" spans="2:11" hidden="1">
      <c r="B8407" s="1348"/>
      <c r="C8407" s="1348"/>
      <c r="D8407" s="1348"/>
      <c r="E8407" s="1348"/>
      <c r="F8407" s="1348"/>
      <c r="G8407" s="1348"/>
      <c r="H8407" s="1348"/>
      <c r="I8407" s="1348"/>
      <c r="J8407" s="1348"/>
      <c r="K8407" s="1348"/>
    </row>
    <row r="8408" spans="2:11" hidden="1">
      <c r="B8408" s="1348"/>
      <c r="C8408" s="1348"/>
      <c r="D8408" s="1348"/>
      <c r="E8408" s="1348"/>
      <c r="F8408" s="1348"/>
      <c r="G8408" s="1348"/>
      <c r="H8408" s="1348"/>
      <c r="I8408" s="1348"/>
      <c r="J8408" s="1348"/>
      <c r="K8408" s="1348"/>
    </row>
    <row r="8409" spans="2:11" hidden="1">
      <c r="B8409" s="1348"/>
      <c r="C8409" s="1348"/>
      <c r="D8409" s="1348"/>
      <c r="E8409" s="1348"/>
      <c r="F8409" s="1348"/>
      <c r="G8409" s="1348"/>
      <c r="H8409" s="1348"/>
      <c r="I8409" s="1348"/>
      <c r="J8409" s="1348"/>
      <c r="K8409" s="1348"/>
    </row>
    <row r="8410" spans="2:11" hidden="1">
      <c r="B8410" s="1348"/>
      <c r="C8410" s="1348"/>
      <c r="D8410" s="1348"/>
      <c r="E8410" s="1348"/>
      <c r="F8410" s="1348"/>
      <c r="G8410" s="1348"/>
      <c r="H8410" s="1348"/>
      <c r="I8410" s="1348"/>
      <c r="J8410" s="1348"/>
      <c r="K8410" s="1348"/>
    </row>
    <row r="8411" spans="2:11" hidden="1">
      <c r="B8411" s="1348"/>
      <c r="C8411" s="1348"/>
      <c r="D8411" s="1348"/>
      <c r="E8411" s="1348"/>
      <c r="F8411" s="1348"/>
      <c r="G8411" s="1348"/>
      <c r="H8411" s="1348"/>
      <c r="I8411" s="1348"/>
      <c r="J8411" s="1348"/>
      <c r="K8411" s="1348"/>
    </row>
    <row r="8412" spans="2:11" hidden="1">
      <c r="B8412" s="1348"/>
      <c r="C8412" s="1348"/>
      <c r="D8412" s="1348"/>
      <c r="E8412" s="1348"/>
      <c r="F8412" s="1348"/>
      <c r="G8412" s="1348"/>
      <c r="H8412" s="1348"/>
      <c r="I8412" s="1348"/>
      <c r="J8412" s="1348"/>
      <c r="K8412" s="1348"/>
    </row>
    <row r="8413" spans="2:11" hidden="1">
      <c r="B8413" s="1348"/>
      <c r="C8413" s="1348"/>
      <c r="D8413" s="1348"/>
      <c r="E8413" s="1348"/>
      <c r="F8413" s="1348"/>
      <c r="G8413" s="1348"/>
      <c r="H8413" s="1348"/>
      <c r="I8413" s="1348"/>
      <c r="J8413" s="1348"/>
      <c r="K8413" s="1348"/>
    </row>
    <row r="8414" spans="2:11" hidden="1">
      <c r="B8414" s="1348"/>
      <c r="C8414" s="1348"/>
      <c r="D8414" s="1348"/>
      <c r="E8414" s="1348"/>
      <c r="F8414" s="1348"/>
      <c r="G8414" s="1348"/>
      <c r="H8414" s="1348"/>
      <c r="I8414" s="1348"/>
      <c r="J8414" s="1348"/>
      <c r="K8414" s="1348"/>
    </row>
    <row r="8415" spans="2:11" hidden="1">
      <c r="B8415" s="1348"/>
      <c r="C8415" s="1348"/>
      <c r="D8415" s="1348"/>
      <c r="E8415" s="1348"/>
      <c r="F8415" s="1348"/>
      <c r="G8415" s="1348"/>
      <c r="H8415" s="1348"/>
      <c r="I8415" s="1348"/>
      <c r="J8415" s="1348"/>
      <c r="K8415" s="1348"/>
    </row>
    <row r="8416" spans="2:11" hidden="1">
      <c r="B8416" s="1348"/>
      <c r="C8416" s="1348"/>
      <c r="D8416" s="1348"/>
      <c r="E8416" s="1348"/>
      <c r="F8416" s="1348"/>
      <c r="G8416" s="1348"/>
      <c r="H8416" s="1348"/>
      <c r="I8416" s="1348"/>
      <c r="J8416" s="1348"/>
      <c r="K8416" s="1348"/>
    </row>
    <row r="8417" spans="2:11" hidden="1">
      <c r="B8417" s="1348"/>
      <c r="C8417" s="1348"/>
      <c r="D8417" s="1348"/>
      <c r="E8417" s="1348"/>
      <c r="F8417" s="1348"/>
      <c r="G8417" s="1348"/>
      <c r="H8417" s="1348"/>
      <c r="I8417" s="1348"/>
      <c r="J8417" s="1348"/>
      <c r="K8417" s="1348"/>
    </row>
    <row r="8418" spans="2:11" hidden="1">
      <c r="B8418" s="1348"/>
      <c r="C8418" s="1348"/>
      <c r="D8418" s="1348"/>
      <c r="E8418" s="1348"/>
      <c r="F8418" s="1348"/>
      <c r="G8418" s="1348"/>
      <c r="H8418" s="1348"/>
      <c r="I8418" s="1348"/>
      <c r="J8418" s="1348"/>
      <c r="K8418" s="1348"/>
    </row>
    <row r="8419" spans="2:11" hidden="1">
      <c r="B8419" s="1348"/>
      <c r="C8419" s="1348"/>
      <c r="D8419" s="1348"/>
      <c r="E8419" s="1348"/>
      <c r="F8419" s="1348"/>
      <c r="G8419" s="1348"/>
      <c r="H8419" s="1348"/>
      <c r="I8419" s="1348"/>
      <c r="J8419" s="1348"/>
      <c r="K8419" s="1348"/>
    </row>
    <row r="8420" spans="2:11" hidden="1">
      <c r="B8420" s="1348"/>
      <c r="C8420" s="1348"/>
      <c r="D8420" s="1348"/>
      <c r="E8420" s="1348"/>
      <c r="F8420" s="1348"/>
      <c r="G8420" s="1348"/>
      <c r="H8420" s="1348"/>
      <c r="I8420" s="1348"/>
      <c r="J8420" s="1348"/>
      <c r="K8420" s="1348"/>
    </row>
    <row r="8421" spans="2:11" hidden="1">
      <c r="B8421" s="1348"/>
      <c r="C8421" s="1348"/>
      <c r="D8421" s="1348"/>
      <c r="E8421" s="1348"/>
      <c r="F8421" s="1348"/>
      <c r="G8421" s="1348"/>
      <c r="H8421" s="1348"/>
      <c r="I8421" s="1348"/>
      <c r="J8421" s="1348"/>
      <c r="K8421" s="1348"/>
    </row>
    <row r="8422" spans="2:11" hidden="1">
      <c r="B8422" s="1348"/>
      <c r="C8422" s="1348"/>
      <c r="D8422" s="1348"/>
      <c r="E8422" s="1348"/>
      <c r="F8422" s="1348"/>
      <c r="G8422" s="1348"/>
      <c r="H8422" s="1348"/>
      <c r="I8422" s="1348"/>
      <c r="J8422" s="1348"/>
      <c r="K8422" s="1348"/>
    </row>
    <row r="8423" spans="2:11" hidden="1">
      <c r="B8423" s="1348"/>
      <c r="C8423" s="1348"/>
      <c r="D8423" s="1348"/>
      <c r="E8423" s="1348"/>
      <c r="F8423" s="1348"/>
      <c r="G8423" s="1348"/>
      <c r="H8423" s="1348"/>
      <c r="I8423" s="1348"/>
      <c r="J8423" s="1348"/>
      <c r="K8423" s="1348"/>
    </row>
    <row r="8424" spans="2:11" hidden="1">
      <c r="B8424" s="1348"/>
      <c r="C8424" s="1348"/>
      <c r="D8424" s="1348"/>
      <c r="E8424" s="1348"/>
      <c r="F8424" s="1348"/>
      <c r="G8424" s="1348"/>
      <c r="H8424" s="1348"/>
      <c r="I8424" s="1348"/>
      <c r="J8424" s="1348"/>
      <c r="K8424" s="1348"/>
    </row>
    <row r="8425" spans="2:11" hidden="1">
      <c r="B8425" s="1348"/>
      <c r="C8425" s="1348"/>
      <c r="D8425" s="1348"/>
      <c r="E8425" s="1348"/>
      <c r="F8425" s="1348"/>
      <c r="G8425" s="1348"/>
      <c r="H8425" s="1348"/>
      <c r="I8425" s="1348"/>
      <c r="J8425" s="1348"/>
      <c r="K8425" s="1348"/>
    </row>
    <row r="8426" spans="2:11" hidden="1">
      <c r="B8426" s="1348"/>
      <c r="C8426" s="1348"/>
      <c r="D8426" s="1348"/>
      <c r="E8426" s="1348"/>
      <c r="F8426" s="1348"/>
      <c r="G8426" s="1348"/>
      <c r="H8426" s="1348"/>
      <c r="I8426" s="1348"/>
      <c r="J8426" s="1348"/>
      <c r="K8426" s="1348"/>
    </row>
    <row r="8427" spans="2:11" hidden="1">
      <c r="B8427" s="1348"/>
      <c r="C8427" s="1348"/>
      <c r="D8427" s="1348"/>
      <c r="E8427" s="1348"/>
      <c r="F8427" s="1348"/>
      <c r="G8427" s="1348"/>
      <c r="H8427" s="1348"/>
      <c r="I8427" s="1348"/>
      <c r="J8427" s="1348"/>
      <c r="K8427" s="1348"/>
    </row>
    <row r="8428" spans="2:11" hidden="1">
      <c r="B8428" s="1348"/>
      <c r="C8428" s="1348"/>
      <c r="D8428" s="1348"/>
      <c r="E8428" s="1348"/>
      <c r="F8428" s="1348"/>
      <c r="G8428" s="1348"/>
      <c r="H8428" s="1348"/>
      <c r="I8428" s="1348"/>
      <c r="J8428" s="1348"/>
      <c r="K8428" s="1348"/>
    </row>
    <row r="8429" spans="2:11" hidden="1">
      <c r="B8429" s="1348"/>
      <c r="C8429" s="1348"/>
      <c r="D8429" s="1348"/>
      <c r="E8429" s="1348"/>
      <c r="F8429" s="1348"/>
      <c r="G8429" s="1348"/>
      <c r="H8429" s="1348"/>
      <c r="I8429" s="1348"/>
      <c r="J8429" s="1348"/>
      <c r="K8429" s="1348"/>
    </row>
    <row r="8430" spans="2:11" hidden="1">
      <c r="B8430" s="1348"/>
      <c r="C8430" s="1348"/>
      <c r="D8430" s="1348"/>
      <c r="E8430" s="1348"/>
      <c r="F8430" s="1348"/>
      <c r="G8430" s="1348"/>
      <c r="H8430" s="1348"/>
      <c r="I8430" s="1348"/>
      <c r="J8430" s="1348"/>
      <c r="K8430" s="1348"/>
    </row>
    <row r="8431" spans="2:11" hidden="1">
      <c r="B8431" s="1348"/>
      <c r="C8431" s="1348"/>
      <c r="D8431" s="1348"/>
      <c r="E8431" s="1348"/>
      <c r="F8431" s="1348"/>
      <c r="G8431" s="1348"/>
      <c r="H8431" s="1348"/>
      <c r="I8431" s="1348"/>
      <c r="J8431" s="1348"/>
      <c r="K8431" s="1348"/>
    </row>
    <row r="8432" spans="2:11" hidden="1">
      <c r="B8432" s="1348"/>
      <c r="C8432" s="1348"/>
      <c r="D8432" s="1348"/>
      <c r="E8432" s="1348"/>
      <c r="F8432" s="1348"/>
      <c r="G8432" s="1348"/>
      <c r="H8432" s="1348"/>
      <c r="I8432" s="1348"/>
      <c r="J8432" s="1348"/>
      <c r="K8432" s="1348"/>
    </row>
    <row r="8433" spans="2:11" hidden="1">
      <c r="B8433" s="1348"/>
      <c r="C8433" s="1348"/>
      <c r="D8433" s="1348"/>
      <c r="E8433" s="1348"/>
      <c r="F8433" s="1348"/>
      <c r="G8433" s="1348"/>
      <c r="H8433" s="1348"/>
      <c r="I8433" s="1348"/>
      <c r="J8433" s="1348"/>
      <c r="K8433" s="1348"/>
    </row>
    <row r="8434" spans="2:11" hidden="1">
      <c r="B8434" s="1348"/>
      <c r="C8434" s="1348"/>
      <c r="D8434" s="1348"/>
      <c r="E8434" s="1348"/>
      <c r="F8434" s="1348"/>
      <c r="G8434" s="1348"/>
      <c r="H8434" s="1348"/>
      <c r="I8434" s="1348"/>
      <c r="J8434" s="1348"/>
      <c r="K8434" s="1348"/>
    </row>
    <row r="8435" spans="2:11" hidden="1">
      <c r="B8435" s="1348"/>
      <c r="C8435" s="1348"/>
      <c r="D8435" s="1348"/>
      <c r="E8435" s="1348"/>
      <c r="F8435" s="1348"/>
      <c r="G8435" s="1348"/>
      <c r="H8435" s="1348"/>
      <c r="I8435" s="1348"/>
      <c r="J8435" s="1348"/>
      <c r="K8435" s="1348"/>
    </row>
    <row r="8436" spans="2:11" hidden="1">
      <c r="B8436" s="1348"/>
      <c r="C8436" s="1348"/>
      <c r="D8436" s="1348"/>
      <c r="E8436" s="1348"/>
      <c r="F8436" s="1348"/>
      <c r="G8436" s="1348"/>
      <c r="H8436" s="1348"/>
      <c r="I8436" s="1348"/>
      <c r="J8436" s="1348"/>
      <c r="K8436" s="1348"/>
    </row>
    <row r="8437" spans="2:11" hidden="1">
      <c r="B8437" s="1348"/>
      <c r="C8437" s="1348"/>
      <c r="D8437" s="1348"/>
      <c r="E8437" s="1348"/>
      <c r="F8437" s="1348"/>
      <c r="G8437" s="1348"/>
      <c r="H8437" s="1348"/>
      <c r="I8437" s="1348"/>
      <c r="J8437" s="1348"/>
      <c r="K8437" s="1348"/>
    </row>
    <row r="8438" spans="2:11" hidden="1">
      <c r="B8438" s="1348"/>
      <c r="C8438" s="1348"/>
      <c r="D8438" s="1348"/>
      <c r="E8438" s="1348"/>
      <c r="F8438" s="1348"/>
      <c r="G8438" s="1348"/>
      <c r="H8438" s="1348"/>
      <c r="I8438" s="1348"/>
      <c r="J8438" s="1348"/>
      <c r="K8438" s="1348"/>
    </row>
    <row r="8439" spans="2:11" hidden="1">
      <c r="B8439" s="1348"/>
      <c r="C8439" s="1348"/>
      <c r="D8439" s="1348"/>
      <c r="E8439" s="1348"/>
      <c r="F8439" s="1348"/>
      <c r="G8439" s="1348"/>
      <c r="H8439" s="1348"/>
      <c r="I8439" s="1348"/>
      <c r="J8439" s="1348"/>
      <c r="K8439" s="1348"/>
    </row>
    <row r="8440" spans="2:11" hidden="1">
      <c r="B8440" s="1348"/>
      <c r="C8440" s="1348"/>
      <c r="D8440" s="1348"/>
      <c r="E8440" s="1348"/>
      <c r="F8440" s="1348"/>
      <c r="G8440" s="1348"/>
      <c r="H8440" s="1348"/>
      <c r="I8440" s="1348"/>
      <c r="J8440" s="1348"/>
      <c r="K8440" s="1348"/>
    </row>
    <row r="8441" spans="2:11" hidden="1">
      <c r="B8441" s="1348"/>
      <c r="C8441" s="1348"/>
      <c r="D8441" s="1348"/>
      <c r="E8441" s="1348"/>
      <c r="F8441" s="1348"/>
      <c r="G8441" s="1348"/>
      <c r="H8441" s="1348"/>
      <c r="I8441" s="1348"/>
      <c r="J8441" s="1348"/>
      <c r="K8441" s="1348"/>
    </row>
    <row r="8442" spans="2:11" hidden="1">
      <c r="B8442" s="1348"/>
      <c r="C8442" s="1348"/>
      <c r="D8442" s="1348"/>
      <c r="E8442" s="1348"/>
      <c r="F8442" s="1348"/>
      <c r="G8442" s="1348"/>
      <c r="H8442" s="1348"/>
      <c r="I8442" s="1348"/>
      <c r="J8442" s="1348"/>
      <c r="K8442" s="1348"/>
    </row>
    <row r="8443" spans="2:11" hidden="1">
      <c r="B8443" s="1348"/>
      <c r="C8443" s="1348"/>
      <c r="D8443" s="1348"/>
      <c r="E8443" s="1348"/>
      <c r="F8443" s="1348"/>
      <c r="G8443" s="1348"/>
      <c r="H8443" s="1348"/>
      <c r="I8443" s="1348"/>
      <c r="J8443" s="1348"/>
      <c r="K8443" s="1348"/>
    </row>
    <row r="8444" spans="2:11" hidden="1">
      <c r="B8444" s="1348"/>
      <c r="C8444" s="1348"/>
      <c r="D8444" s="1348"/>
      <c r="E8444" s="1348"/>
      <c r="F8444" s="1348"/>
      <c r="G8444" s="1348"/>
      <c r="H8444" s="1348"/>
      <c r="I8444" s="1348"/>
      <c r="J8444" s="1348"/>
      <c r="K8444" s="1348"/>
    </row>
    <row r="8445" spans="2:11" hidden="1">
      <c r="B8445" s="1348"/>
      <c r="C8445" s="1348"/>
      <c r="D8445" s="1348"/>
      <c r="E8445" s="1348"/>
      <c r="F8445" s="1348"/>
      <c r="G8445" s="1348"/>
      <c r="H8445" s="1348"/>
      <c r="I8445" s="1348"/>
      <c r="J8445" s="1348"/>
      <c r="K8445" s="1348"/>
    </row>
    <row r="8446" spans="2:11" hidden="1">
      <c r="B8446" s="1348"/>
      <c r="C8446" s="1348"/>
      <c r="D8446" s="1348"/>
      <c r="E8446" s="1348"/>
      <c r="F8446" s="1348"/>
      <c r="G8446" s="1348"/>
      <c r="H8446" s="1348"/>
      <c r="I8446" s="1348"/>
      <c r="J8446" s="1348"/>
      <c r="K8446" s="1348"/>
    </row>
    <row r="8447" spans="2:11" hidden="1">
      <c r="B8447" s="1348"/>
      <c r="C8447" s="1348"/>
      <c r="D8447" s="1348"/>
      <c r="E8447" s="1348"/>
      <c r="F8447" s="1348"/>
      <c r="G8447" s="1348"/>
      <c r="H8447" s="1348"/>
      <c r="I8447" s="1348"/>
      <c r="J8447" s="1348"/>
      <c r="K8447" s="1348"/>
    </row>
    <row r="8448" spans="2:11" hidden="1">
      <c r="B8448" s="1348"/>
      <c r="C8448" s="1348"/>
      <c r="D8448" s="1348"/>
      <c r="E8448" s="1348"/>
      <c r="F8448" s="1348"/>
      <c r="G8448" s="1348"/>
      <c r="H8448" s="1348"/>
      <c r="I8448" s="1348"/>
      <c r="J8448" s="1348"/>
      <c r="K8448" s="1348"/>
    </row>
    <row r="8449" spans="2:11" hidden="1">
      <c r="B8449" s="1348"/>
      <c r="C8449" s="1348"/>
      <c r="D8449" s="1348"/>
      <c r="E8449" s="1348"/>
      <c r="F8449" s="1348"/>
      <c r="G8449" s="1348"/>
      <c r="H8449" s="1348"/>
      <c r="I8449" s="1348"/>
      <c r="J8449" s="1348"/>
      <c r="K8449" s="1348"/>
    </row>
    <row r="8450" spans="2:11" hidden="1">
      <c r="B8450" s="1348"/>
      <c r="C8450" s="1348"/>
      <c r="D8450" s="1348"/>
      <c r="E8450" s="1348"/>
      <c r="F8450" s="1348"/>
      <c r="G8450" s="1348"/>
      <c r="H8450" s="1348"/>
      <c r="I8450" s="1348"/>
      <c r="J8450" s="1348"/>
      <c r="K8450" s="1348"/>
    </row>
    <row r="8451" spans="2:11" hidden="1">
      <c r="B8451" s="1348"/>
      <c r="C8451" s="1348"/>
      <c r="D8451" s="1348"/>
      <c r="E8451" s="1348"/>
      <c r="F8451" s="1348"/>
      <c r="G8451" s="1348"/>
      <c r="H8451" s="1348"/>
      <c r="I8451" s="1348"/>
      <c r="J8451" s="1348"/>
      <c r="K8451" s="1348"/>
    </row>
    <row r="8452" spans="2:11" hidden="1">
      <c r="B8452" s="1348"/>
      <c r="C8452" s="1348"/>
      <c r="D8452" s="1348"/>
      <c r="E8452" s="1348"/>
      <c r="F8452" s="1348"/>
      <c r="G8452" s="1348"/>
      <c r="H8452" s="1348"/>
      <c r="I8452" s="1348"/>
      <c r="J8452" s="1348"/>
      <c r="K8452" s="1348"/>
    </row>
    <row r="8453" spans="2:11" hidden="1">
      <c r="B8453" s="1348"/>
      <c r="C8453" s="1348"/>
      <c r="D8453" s="1348"/>
      <c r="E8453" s="1348"/>
      <c r="F8453" s="1348"/>
      <c r="G8453" s="1348"/>
      <c r="H8453" s="1348"/>
      <c r="I8453" s="1348"/>
      <c r="J8453" s="1348"/>
      <c r="K8453" s="1348"/>
    </row>
    <row r="8454" spans="2:11" hidden="1">
      <c r="B8454" s="1348"/>
      <c r="C8454" s="1348"/>
      <c r="D8454" s="1348"/>
      <c r="E8454" s="1348"/>
      <c r="F8454" s="1348"/>
      <c r="G8454" s="1348"/>
      <c r="H8454" s="1348"/>
      <c r="I8454" s="1348"/>
      <c r="J8454" s="1348"/>
      <c r="K8454" s="1348"/>
    </row>
    <row r="8455" spans="2:11" hidden="1">
      <c r="B8455" s="1348"/>
      <c r="C8455" s="1348"/>
      <c r="D8455" s="1348"/>
      <c r="E8455" s="1348"/>
      <c r="F8455" s="1348"/>
      <c r="G8455" s="1348"/>
      <c r="H8455" s="1348"/>
      <c r="I8455" s="1348"/>
      <c r="J8455" s="1348"/>
      <c r="K8455" s="1348"/>
    </row>
    <row r="8456" spans="2:11" hidden="1">
      <c r="B8456" s="1348"/>
      <c r="C8456" s="1348"/>
      <c r="D8456" s="1348"/>
      <c r="E8456" s="1348"/>
      <c r="F8456" s="1348"/>
      <c r="G8456" s="1348"/>
      <c r="H8456" s="1348"/>
      <c r="I8456" s="1348"/>
      <c r="J8456" s="1348"/>
      <c r="K8456" s="1348"/>
    </row>
    <row r="8457" spans="2:11" hidden="1">
      <c r="B8457" s="1348"/>
      <c r="C8457" s="1348"/>
      <c r="D8457" s="1348"/>
      <c r="E8457" s="1348"/>
      <c r="F8457" s="1348"/>
      <c r="G8457" s="1348"/>
      <c r="H8457" s="1348"/>
      <c r="I8457" s="1348"/>
      <c r="J8457" s="1348"/>
      <c r="K8457" s="1348"/>
    </row>
    <row r="8458" spans="2:11" hidden="1">
      <c r="B8458" s="1348"/>
      <c r="C8458" s="1348"/>
      <c r="D8458" s="1348"/>
      <c r="E8458" s="1348"/>
      <c r="F8458" s="1348"/>
      <c r="G8458" s="1348"/>
      <c r="H8458" s="1348"/>
      <c r="I8458" s="1348"/>
      <c r="J8458" s="1348"/>
      <c r="K8458" s="1348"/>
    </row>
    <row r="8459" spans="2:11" hidden="1">
      <c r="B8459" s="1348"/>
      <c r="C8459" s="1348"/>
      <c r="D8459" s="1348"/>
      <c r="E8459" s="1348"/>
      <c r="F8459" s="1348"/>
      <c r="G8459" s="1348"/>
      <c r="H8459" s="1348"/>
      <c r="I8459" s="1348"/>
      <c r="J8459" s="1348"/>
      <c r="K8459" s="1348"/>
    </row>
    <row r="8460" spans="2:11" hidden="1">
      <c r="B8460" s="1348"/>
      <c r="C8460" s="1348"/>
      <c r="D8460" s="1348"/>
      <c r="E8460" s="1348"/>
      <c r="F8460" s="1348"/>
      <c r="G8460" s="1348"/>
      <c r="H8460" s="1348"/>
      <c r="I8460" s="1348"/>
      <c r="J8460" s="1348"/>
      <c r="K8460" s="1348"/>
    </row>
    <row r="8461" spans="2:11" hidden="1">
      <c r="B8461" s="1348"/>
      <c r="C8461" s="1348"/>
      <c r="D8461" s="1348"/>
      <c r="E8461" s="1348"/>
      <c r="F8461" s="1348"/>
      <c r="G8461" s="1348"/>
      <c r="H8461" s="1348"/>
      <c r="I8461" s="1348"/>
      <c r="J8461" s="1348"/>
      <c r="K8461" s="1348"/>
    </row>
    <row r="8462" spans="2:11" hidden="1">
      <c r="B8462" s="1348"/>
      <c r="C8462" s="1348"/>
      <c r="D8462" s="1348"/>
      <c r="E8462" s="1348"/>
      <c r="F8462" s="1348"/>
      <c r="G8462" s="1348"/>
      <c r="H8462" s="1348"/>
      <c r="I8462" s="1348"/>
      <c r="J8462" s="1348"/>
      <c r="K8462" s="1348"/>
    </row>
    <row r="8463" spans="2:11" hidden="1">
      <c r="B8463" s="1348"/>
      <c r="C8463" s="1348"/>
      <c r="D8463" s="1348"/>
      <c r="E8463" s="1348"/>
      <c r="F8463" s="1348"/>
      <c r="G8463" s="1348"/>
      <c r="H8463" s="1348"/>
      <c r="I8463" s="1348"/>
      <c r="J8463" s="1348"/>
      <c r="K8463" s="1348"/>
    </row>
    <row r="8464" spans="2:11" hidden="1">
      <c r="B8464" s="1348"/>
      <c r="C8464" s="1348"/>
      <c r="D8464" s="1348"/>
      <c r="E8464" s="1348"/>
      <c r="F8464" s="1348"/>
      <c r="G8464" s="1348"/>
      <c r="H8464" s="1348"/>
      <c r="I8464" s="1348"/>
      <c r="J8464" s="1348"/>
      <c r="K8464" s="1348"/>
    </row>
    <row r="8465" spans="2:11" hidden="1">
      <c r="B8465" s="1348"/>
      <c r="C8465" s="1348"/>
      <c r="D8465" s="1348"/>
      <c r="E8465" s="1348"/>
      <c r="F8465" s="1348"/>
      <c r="G8465" s="1348"/>
      <c r="H8465" s="1348"/>
      <c r="I8465" s="1348"/>
      <c r="J8465" s="1348"/>
      <c r="K8465" s="1348"/>
    </row>
    <row r="8466" spans="2:11" hidden="1">
      <c r="B8466" s="1348"/>
      <c r="C8466" s="1348"/>
      <c r="D8466" s="1348"/>
      <c r="E8466" s="1348"/>
      <c r="F8466" s="1348"/>
      <c r="G8466" s="1348"/>
      <c r="H8466" s="1348"/>
      <c r="I8466" s="1348"/>
      <c r="J8466" s="1348"/>
      <c r="K8466" s="1348"/>
    </row>
    <row r="8467" spans="2:11" hidden="1">
      <c r="B8467" s="1348"/>
      <c r="C8467" s="1348"/>
      <c r="D8467" s="1348"/>
      <c r="E8467" s="1348"/>
      <c r="F8467" s="1348"/>
      <c r="G8467" s="1348"/>
      <c r="H8467" s="1348"/>
      <c r="I8467" s="1348"/>
      <c r="J8467" s="1348"/>
      <c r="K8467" s="1348"/>
    </row>
    <row r="8468" spans="2:11" hidden="1">
      <c r="B8468" s="1348"/>
      <c r="C8468" s="1348"/>
      <c r="D8468" s="1348"/>
      <c r="E8468" s="1348"/>
      <c r="F8468" s="1348"/>
      <c r="G8468" s="1348"/>
      <c r="H8468" s="1348"/>
      <c r="I8468" s="1348"/>
      <c r="J8468" s="1348"/>
      <c r="K8468" s="1348"/>
    </row>
    <row r="8469" spans="2:11" hidden="1">
      <c r="B8469" s="1348"/>
      <c r="C8469" s="1348"/>
      <c r="D8469" s="1348"/>
      <c r="E8469" s="1348"/>
      <c r="F8469" s="1348"/>
      <c r="G8469" s="1348"/>
      <c r="H8469" s="1348"/>
      <c r="I8469" s="1348"/>
      <c r="J8469" s="1348"/>
      <c r="K8469" s="1348"/>
    </row>
    <row r="8470" spans="2:11" hidden="1">
      <c r="B8470" s="1348"/>
      <c r="C8470" s="1348"/>
      <c r="D8470" s="1348"/>
      <c r="E8470" s="1348"/>
      <c r="F8470" s="1348"/>
      <c r="G8470" s="1348"/>
      <c r="H8470" s="1348"/>
      <c r="I8470" s="1348"/>
      <c r="J8470" s="1348"/>
      <c r="K8470" s="1348"/>
    </row>
    <row r="8471" spans="2:11" hidden="1">
      <c r="B8471" s="1348"/>
      <c r="C8471" s="1348"/>
      <c r="D8471" s="1348"/>
      <c r="E8471" s="1348"/>
      <c r="F8471" s="1348"/>
      <c r="G8471" s="1348"/>
      <c r="H8471" s="1348"/>
      <c r="I8471" s="1348"/>
      <c r="J8471" s="1348"/>
      <c r="K8471" s="1348"/>
    </row>
    <row r="8472" spans="2:11" hidden="1">
      <c r="B8472" s="1348"/>
      <c r="C8472" s="1348"/>
      <c r="D8472" s="1348"/>
      <c r="E8472" s="1348"/>
      <c r="F8472" s="1348"/>
      <c r="G8472" s="1348"/>
      <c r="H8472" s="1348"/>
      <c r="I8472" s="1348"/>
      <c r="J8472" s="1348"/>
      <c r="K8472" s="1348"/>
    </row>
    <row r="8473" spans="2:11" hidden="1">
      <c r="B8473" s="1348"/>
      <c r="C8473" s="1348"/>
      <c r="D8473" s="1348"/>
      <c r="E8473" s="1348"/>
      <c r="F8473" s="1348"/>
      <c r="G8473" s="1348"/>
      <c r="H8473" s="1348"/>
      <c r="I8473" s="1348"/>
      <c r="J8473" s="1348"/>
      <c r="K8473" s="1348"/>
    </row>
    <row r="8474" spans="2:11" hidden="1">
      <c r="B8474" s="1348"/>
      <c r="C8474" s="1348"/>
      <c r="D8474" s="1348"/>
      <c r="E8474" s="1348"/>
      <c r="F8474" s="1348"/>
      <c r="G8474" s="1348"/>
      <c r="H8474" s="1348"/>
      <c r="I8474" s="1348"/>
      <c r="J8474" s="1348"/>
      <c r="K8474" s="1348"/>
    </row>
    <row r="8475" spans="2:11" hidden="1">
      <c r="B8475" s="1348"/>
      <c r="C8475" s="1348"/>
      <c r="D8475" s="1348"/>
      <c r="E8475" s="1348"/>
      <c r="F8475" s="1348"/>
      <c r="G8475" s="1348"/>
      <c r="H8475" s="1348"/>
      <c r="I8475" s="1348"/>
      <c r="J8475" s="1348"/>
      <c r="K8475" s="1348"/>
    </row>
    <row r="8476" spans="2:11" hidden="1">
      <c r="B8476" s="1348"/>
      <c r="C8476" s="1348"/>
      <c r="D8476" s="1348"/>
      <c r="E8476" s="1348"/>
      <c r="F8476" s="1348"/>
      <c r="G8476" s="1348"/>
      <c r="H8476" s="1348"/>
      <c r="I8476" s="1348"/>
      <c r="J8476" s="1348"/>
      <c r="K8476" s="1348"/>
    </row>
    <row r="8477" spans="2:11" hidden="1">
      <c r="B8477" s="1348"/>
      <c r="C8477" s="1348"/>
      <c r="D8477" s="1348"/>
      <c r="E8477" s="1348"/>
      <c r="F8477" s="1348"/>
      <c r="G8477" s="1348"/>
      <c r="H8477" s="1348"/>
      <c r="I8477" s="1348"/>
      <c r="J8477" s="1348"/>
      <c r="K8477" s="1348"/>
    </row>
    <row r="8478" spans="2:11" hidden="1">
      <c r="B8478" s="1348"/>
      <c r="C8478" s="1348"/>
      <c r="D8478" s="1348"/>
      <c r="E8478" s="1348"/>
      <c r="F8478" s="1348"/>
      <c r="G8478" s="1348"/>
      <c r="H8478" s="1348"/>
      <c r="I8478" s="1348"/>
      <c r="J8478" s="1348"/>
      <c r="K8478" s="1348"/>
    </row>
    <row r="8479" spans="2:11" hidden="1">
      <c r="B8479" s="1348"/>
      <c r="C8479" s="1348"/>
      <c r="D8479" s="1348"/>
      <c r="E8479" s="1348"/>
      <c r="F8479" s="1348"/>
      <c r="G8479" s="1348"/>
      <c r="H8479" s="1348"/>
      <c r="I8479" s="1348"/>
      <c r="J8479" s="1348"/>
      <c r="K8479" s="1348"/>
    </row>
    <row r="8480" spans="2:11" hidden="1">
      <c r="B8480" s="1348"/>
      <c r="C8480" s="1348"/>
      <c r="D8480" s="1348"/>
      <c r="E8480" s="1348"/>
      <c r="F8480" s="1348"/>
      <c r="G8480" s="1348"/>
      <c r="H8480" s="1348"/>
      <c r="I8480" s="1348"/>
      <c r="J8480" s="1348"/>
      <c r="K8480" s="1348"/>
    </row>
    <row r="8481" spans="2:11" hidden="1">
      <c r="B8481" s="1348"/>
      <c r="C8481" s="1348"/>
      <c r="D8481" s="1348"/>
      <c r="E8481" s="1348"/>
      <c r="F8481" s="1348"/>
      <c r="G8481" s="1348"/>
      <c r="H8481" s="1348"/>
      <c r="I8481" s="1348"/>
      <c r="J8481" s="1348"/>
      <c r="K8481" s="1348"/>
    </row>
    <row r="8482" spans="2:11" hidden="1">
      <c r="B8482" s="1348"/>
      <c r="C8482" s="1348"/>
      <c r="D8482" s="1348"/>
      <c r="E8482" s="1348"/>
      <c r="F8482" s="1348"/>
      <c r="G8482" s="1348"/>
      <c r="H8482" s="1348"/>
      <c r="I8482" s="1348"/>
      <c r="J8482" s="1348"/>
      <c r="K8482" s="1348"/>
    </row>
    <row r="8483" spans="2:11" hidden="1">
      <c r="B8483" s="1348"/>
      <c r="C8483" s="1348"/>
      <c r="D8483" s="1348"/>
      <c r="E8483" s="1348"/>
      <c r="F8483" s="1348"/>
      <c r="G8483" s="1348"/>
      <c r="H8483" s="1348"/>
      <c r="I8483" s="1348"/>
      <c r="J8483" s="1348"/>
      <c r="K8483" s="1348"/>
    </row>
    <row r="8484" spans="2:11" hidden="1">
      <c r="B8484" s="1348"/>
      <c r="C8484" s="1348"/>
      <c r="D8484" s="1348"/>
      <c r="E8484" s="1348"/>
      <c r="F8484" s="1348"/>
      <c r="G8484" s="1348"/>
      <c r="H8484" s="1348"/>
      <c r="I8484" s="1348"/>
      <c r="J8484" s="1348"/>
      <c r="K8484" s="1348"/>
    </row>
    <row r="8485" spans="2:11" hidden="1">
      <c r="B8485" s="1348"/>
      <c r="C8485" s="1348"/>
      <c r="D8485" s="1348"/>
      <c r="E8485" s="1348"/>
      <c r="F8485" s="1348"/>
      <c r="G8485" s="1348"/>
      <c r="H8485" s="1348"/>
      <c r="I8485" s="1348"/>
      <c r="J8485" s="1348"/>
      <c r="K8485" s="1348"/>
    </row>
    <row r="8486" spans="2:11" hidden="1">
      <c r="B8486" s="1348"/>
      <c r="C8486" s="1348"/>
      <c r="D8486" s="1348"/>
      <c r="E8486" s="1348"/>
      <c r="F8486" s="1348"/>
      <c r="G8486" s="1348"/>
      <c r="H8486" s="1348"/>
      <c r="I8486" s="1348"/>
      <c r="J8486" s="1348"/>
      <c r="K8486" s="1348"/>
    </row>
    <row r="8487" spans="2:11" hidden="1">
      <c r="B8487" s="1348"/>
      <c r="C8487" s="1348"/>
      <c r="D8487" s="1348"/>
      <c r="E8487" s="1348"/>
      <c r="F8487" s="1348"/>
      <c r="G8487" s="1348"/>
      <c r="H8487" s="1348"/>
      <c r="I8487" s="1348"/>
      <c r="J8487" s="1348"/>
      <c r="K8487" s="1348"/>
    </row>
    <row r="8488" spans="2:11" hidden="1">
      <c r="B8488" s="1348"/>
      <c r="C8488" s="1348"/>
      <c r="D8488" s="1348"/>
      <c r="E8488" s="1348"/>
      <c r="F8488" s="1348"/>
      <c r="G8488" s="1348"/>
      <c r="H8488" s="1348"/>
      <c r="I8488" s="1348"/>
      <c r="J8488" s="1348"/>
      <c r="K8488" s="1348"/>
    </row>
    <row r="8489" spans="2:11" hidden="1">
      <c r="B8489" s="1348"/>
      <c r="C8489" s="1348"/>
      <c r="D8489" s="1348"/>
      <c r="E8489" s="1348"/>
      <c r="F8489" s="1348"/>
      <c r="G8489" s="1348"/>
      <c r="H8489" s="1348"/>
      <c r="I8489" s="1348"/>
      <c r="J8489" s="1348"/>
      <c r="K8489" s="1348"/>
    </row>
    <row r="8490" spans="2:11" hidden="1">
      <c r="B8490" s="1348"/>
      <c r="C8490" s="1348"/>
      <c r="D8490" s="1348"/>
      <c r="E8490" s="1348"/>
      <c r="F8490" s="1348"/>
      <c r="G8490" s="1348"/>
      <c r="H8490" s="1348"/>
      <c r="I8490" s="1348"/>
      <c r="J8490" s="1348"/>
      <c r="K8490" s="1348"/>
    </row>
    <row r="8491" spans="2:11" hidden="1">
      <c r="B8491" s="1348"/>
      <c r="C8491" s="1348"/>
      <c r="D8491" s="1348"/>
      <c r="E8491" s="1348"/>
      <c r="F8491" s="1348"/>
      <c r="G8491" s="1348"/>
      <c r="H8491" s="1348"/>
      <c r="I8491" s="1348"/>
      <c r="J8491" s="1348"/>
      <c r="K8491" s="1348"/>
    </row>
    <row r="8492" spans="2:11" hidden="1">
      <c r="B8492" s="1348"/>
      <c r="C8492" s="1348"/>
      <c r="D8492" s="1348"/>
      <c r="E8492" s="1348"/>
      <c r="F8492" s="1348"/>
      <c r="G8492" s="1348"/>
      <c r="H8492" s="1348"/>
      <c r="I8492" s="1348"/>
      <c r="J8492" s="1348"/>
      <c r="K8492" s="1348"/>
    </row>
    <row r="8493" spans="2:11" hidden="1">
      <c r="B8493" s="1348"/>
      <c r="C8493" s="1348"/>
      <c r="D8493" s="1348"/>
      <c r="E8493" s="1348"/>
      <c r="F8493" s="1348"/>
      <c r="G8493" s="1348"/>
      <c r="H8493" s="1348"/>
      <c r="I8493" s="1348"/>
      <c r="J8493" s="1348"/>
      <c r="K8493" s="1348"/>
    </row>
    <row r="8494" spans="2:11" hidden="1">
      <c r="B8494" s="1348"/>
      <c r="C8494" s="1348"/>
      <c r="D8494" s="1348"/>
      <c r="E8494" s="1348"/>
      <c r="F8494" s="1348"/>
      <c r="G8494" s="1348"/>
      <c r="H8494" s="1348"/>
      <c r="I8494" s="1348"/>
      <c r="J8494" s="1348"/>
      <c r="K8494" s="1348"/>
    </row>
    <row r="8495" spans="2:11" hidden="1">
      <c r="B8495" s="1348"/>
      <c r="C8495" s="1348"/>
      <c r="D8495" s="1348"/>
      <c r="E8495" s="1348"/>
      <c r="F8495" s="1348"/>
      <c r="G8495" s="1348"/>
      <c r="H8495" s="1348"/>
      <c r="I8495" s="1348"/>
      <c r="J8495" s="1348"/>
      <c r="K8495" s="1348"/>
    </row>
    <row r="8496" spans="2:11" hidden="1">
      <c r="B8496" s="1348"/>
      <c r="C8496" s="1348"/>
      <c r="D8496" s="1348"/>
      <c r="E8496" s="1348"/>
      <c r="F8496" s="1348"/>
      <c r="G8496" s="1348"/>
      <c r="H8496" s="1348"/>
      <c r="I8496" s="1348"/>
      <c r="J8496" s="1348"/>
      <c r="K8496" s="1348"/>
    </row>
    <row r="8497" spans="2:11" hidden="1">
      <c r="B8497" s="1348"/>
      <c r="C8497" s="1348"/>
      <c r="D8497" s="1348"/>
      <c r="E8497" s="1348"/>
      <c r="F8497" s="1348"/>
      <c r="G8497" s="1348"/>
      <c r="H8497" s="1348"/>
      <c r="I8497" s="1348"/>
      <c r="J8497" s="1348"/>
      <c r="K8497" s="1348"/>
    </row>
    <row r="8498" spans="2:11" hidden="1">
      <c r="B8498" s="1348"/>
      <c r="C8498" s="1348"/>
      <c r="D8498" s="1348"/>
      <c r="E8498" s="1348"/>
      <c r="F8498" s="1348"/>
      <c r="G8498" s="1348"/>
      <c r="H8498" s="1348"/>
      <c r="I8498" s="1348"/>
      <c r="J8498" s="1348"/>
      <c r="K8498" s="1348"/>
    </row>
    <row r="8499" spans="2:11" hidden="1">
      <c r="B8499" s="1348"/>
      <c r="C8499" s="1348"/>
      <c r="D8499" s="1348"/>
      <c r="E8499" s="1348"/>
      <c r="F8499" s="1348"/>
      <c r="G8499" s="1348"/>
      <c r="H8499" s="1348"/>
      <c r="I8499" s="1348"/>
      <c r="J8499" s="1348"/>
      <c r="K8499" s="1348"/>
    </row>
    <row r="8500" spans="2:11" hidden="1">
      <c r="B8500" s="1348"/>
      <c r="C8500" s="1348"/>
      <c r="D8500" s="1348"/>
      <c r="E8500" s="1348"/>
      <c r="F8500" s="1348"/>
      <c r="G8500" s="1348"/>
      <c r="H8500" s="1348"/>
      <c r="I8500" s="1348"/>
      <c r="J8500" s="1348"/>
      <c r="K8500" s="1348"/>
    </row>
    <row r="8501" spans="2:11" hidden="1">
      <c r="B8501" s="1348"/>
      <c r="C8501" s="1348"/>
      <c r="D8501" s="1348"/>
      <c r="E8501" s="1348"/>
      <c r="F8501" s="1348"/>
      <c r="G8501" s="1348"/>
      <c r="H8501" s="1348"/>
      <c r="I8501" s="1348"/>
      <c r="J8501" s="1348"/>
      <c r="K8501" s="1348"/>
    </row>
    <row r="8502" spans="2:11" hidden="1">
      <c r="B8502" s="1348"/>
      <c r="C8502" s="1348"/>
      <c r="D8502" s="1348"/>
      <c r="E8502" s="1348"/>
      <c r="F8502" s="1348"/>
      <c r="G8502" s="1348"/>
      <c r="H8502" s="1348"/>
      <c r="I8502" s="1348"/>
      <c r="J8502" s="1348"/>
      <c r="K8502" s="1348"/>
    </row>
    <row r="8503" spans="2:11" hidden="1">
      <c r="B8503" s="1348"/>
      <c r="C8503" s="1348"/>
      <c r="D8503" s="1348"/>
      <c r="E8503" s="1348"/>
      <c r="F8503" s="1348"/>
      <c r="G8503" s="1348"/>
      <c r="H8503" s="1348"/>
      <c r="I8503" s="1348"/>
      <c r="J8503" s="1348"/>
      <c r="K8503" s="1348"/>
    </row>
    <row r="8504" spans="2:11" hidden="1">
      <c r="B8504" s="1348"/>
      <c r="C8504" s="1348"/>
      <c r="D8504" s="1348"/>
      <c r="E8504" s="1348"/>
      <c r="F8504" s="1348"/>
      <c r="G8504" s="1348"/>
      <c r="H8504" s="1348"/>
      <c r="I8504" s="1348"/>
      <c r="J8504" s="1348"/>
      <c r="K8504" s="1348"/>
    </row>
    <row r="8505" spans="2:11" hidden="1">
      <c r="B8505" s="1348"/>
      <c r="C8505" s="1348"/>
      <c r="D8505" s="1348"/>
      <c r="E8505" s="1348"/>
      <c r="F8505" s="1348"/>
      <c r="G8505" s="1348"/>
      <c r="H8505" s="1348"/>
      <c r="I8505" s="1348"/>
      <c r="J8505" s="1348"/>
      <c r="K8505" s="1348"/>
    </row>
    <row r="8506" spans="2:11" hidden="1">
      <c r="B8506" s="1348"/>
      <c r="C8506" s="1348"/>
      <c r="D8506" s="1348"/>
      <c r="E8506" s="1348"/>
      <c r="F8506" s="1348"/>
      <c r="G8506" s="1348"/>
      <c r="H8506" s="1348"/>
      <c r="I8506" s="1348"/>
      <c r="J8506" s="1348"/>
      <c r="K8506" s="1348"/>
    </row>
    <row r="8507" spans="2:11" hidden="1">
      <c r="B8507" s="1348"/>
      <c r="C8507" s="1348"/>
      <c r="D8507" s="1348"/>
      <c r="E8507" s="1348"/>
      <c r="F8507" s="1348"/>
      <c r="G8507" s="1348"/>
      <c r="H8507" s="1348"/>
      <c r="I8507" s="1348"/>
      <c r="J8507" s="1348"/>
      <c r="K8507" s="1348"/>
    </row>
    <row r="8508" spans="2:11" hidden="1">
      <c r="B8508" s="1348"/>
      <c r="C8508" s="1348"/>
      <c r="D8508" s="1348"/>
      <c r="E8508" s="1348"/>
      <c r="F8508" s="1348"/>
      <c r="G8508" s="1348"/>
      <c r="H8508" s="1348"/>
      <c r="I8508" s="1348"/>
      <c r="J8508" s="1348"/>
      <c r="K8508" s="1348"/>
    </row>
    <row r="8509" spans="2:11" hidden="1">
      <c r="B8509" s="1348"/>
      <c r="C8509" s="1348"/>
      <c r="D8509" s="1348"/>
      <c r="E8509" s="1348"/>
      <c r="F8509" s="1348"/>
      <c r="G8509" s="1348"/>
      <c r="H8509" s="1348"/>
      <c r="I8509" s="1348"/>
      <c r="J8509" s="1348"/>
      <c r="K8509" s="1348"/>
    </row>
    <row r="8510" spans="2:11" hidden="1">
      <c r="B8510" s="1348"/>
      <c r="C8510" s="1348"/>
      <c r="D8510" s="1348"/>
      <c r="E8510" s="1348"/>
      <c r="F8510" s="1348"/>
      <c r="G8510" s="1348"/>
      <c r="H8510" s="1348"/>
      <c r="I8510" s="1348"/>
      <c r="J8510" s="1348"/>
      <c r="K8510" s="1348"/>
    </row>
    <row r="8511" spans="2:11" hidden="1">
      <c r="B8511" s="1348"/>
      <c r="C8511" s="1348"/>
      <c r="D8511" s="1348"/>
      <c r="E8511" s="1348"/>
      <c r="F8511" s="1348"/>
      <c r="G8511" s="1348"/>
      <c r="H8511" s="1348"/>
      <c r="I8511" s="1348"/>
      <c r="J8511" s="1348"/>
      <c r="K8511" s="1348"/>
    </row>
    <row r="8512" spans="2:11" hidden="1">
      <c r="B8512" s="1348"/>
      <c r="C8512" s="1348"/>
      <c r="D8512" s="1348"/>
      <c r="E8512" s="1348"/>
      <c r="F8512" s="1348"/>
      <c r="G8512" s="1348"/>
      <c r="H8512" s="1348"/>
      <c r="I8512" s="1348"/>
      <c r="J8512" s="1348"/>
      <c r="K8512" s="1348"/>
    </row>
    <row r="8513" spans="2:11" hidden="1">
      <c r="B8513" s="1348"/>
      <c r="C8513" s="1348"/>
      <c r="D8513" s="1348"/>
      <c r="E8513" s="1348"/>
      <c r="F8513" s="1348"/>
      <c r="G8513" s="1348"/>
      <c r="H8513" s="1348"/>
      <c r="I8513" s="1348"/>
      <c r="J8513" s="1348"/>
      <c r="K8513" s="1348"/>
    </row>
    <row r="8514" spans="2:11" hidden="1">
      <c r="B8514" s="1348"/>
      <c r="C8514" s="1348"/>
      <c r="D8514" s="1348"/>
      <c r="E8514" s="1348"/>
      <c r="F8514" s="1348"/>
      <c r="G8514" s="1348"/>
      <c r="H8514" s="1348"/>
      <c r="I8514" s="1348"/>
      <c r="J8514" s="1348"/>
      <c r="K8514" s="1348"/>
    </row>
    <row r="8515" spans="2:11" hidden="1">
      <c r="B8515" s="1348"/>
      <c r="C8515" s="1348"/>
      <c r="D8515" s="1348"/>
      <c r="E8515" s="1348"/>
      <c r="F8515" s="1348"/>
      <c r="G8515" s="1348"/>
      <c r="H8515" s="1348"/>
      <c r="I8515" s="1348"/>
      <c r="J8515" s="1348"/>
      <c r="K8515" s="1348"/>
    </row>
    <row r="8516" spans="2:11" hidden="1">
      <c r="B8516" s="1348"/>
      <c r="C8516" s="1348"/>
      <c r="D8516" s="1348"/>
      <c r="E8516" s="1348"/>
      <c r="F8516" s="1348"/>
      <c r="G8516" s="1348"/>
      <c r="H8516" s="1348"/>
      <c r="I8516" s="1348"/>
      <c r="J8516" s="1348"/>
      <c r="K8516" s="1348"/>
    </row>
    <row r="8517" spans="2:11" hidden="1">
      <c r="B8517" s="1348"/>
      <c r="C8517" s="1348"/>
      <c r="D8517" s="1348"/>
      <c r="E8517" s="1348"/>
      <c r="F8517" s="1348"/>
      <c r="G8517" s="1348"/>
      <c r="H8517" s="1348"/>
      <c r="I8517" s="1348"/>
      <c r="J8517" s="1348"/>
      <c r="K8517" s="1348"/>
    </row>
    <row r="8518" spans="2:11" hidden="1">
      <c r="B8518" s="1348"/>
      <c r="C8518" s="1348"/>
      <c r="D8518" s="1348"/>
      <c r="E8518" s="1348"/>
      <c r="F8518" s="1348"/>
      <c r="G8518" s="1348"/>
      <c r="H8518" s="1348"/>
      <c r="I8518" s="1348"/>
      <c r="J8518" s="1348"/>
      <c r="K8518" s="1348"/>
    </row>
    <row r="8519" spans="2:11" hidden="1">
      <c r="B8519" s="1348"/>
      <c r="C8519" s="1348"/>
      <c r="D8519" s="1348"/>
      <c r="E8519" s="1348"/>
      <c r="F8519" s="1348"/>
      <c r="G8519" s="1348"/>
      <c r="H8519" s="1348"/>
      <c r="I8519" s="1348"/>
      <c r="J8519" s="1348"/>
      <c r="K8519" s="1348"/>
    </row>
    <row r="8520" spans="2:11" hidden="1">
      <c r="B8520" s="1348"/>
      <c r="C8520" s="1348"/>
      <c r="D8520" s="1348"/>
      <c r="E8520" s="1348"/>
      <c r="F8520" s="1348"/>
      <c r="G8520" s="1348"/>
      <c r="H8520" s="1348"/>
      <c r="I8520" s="1348"/>
      <c r="J8520" s="1348"/>
      <c r="K8520" s="1348"/>
    </row>
    <row r="8521" spans="2:11" hidden="1">
      <c r="B8521" s="1348"/>
      <c r="C8521" s="1348"/>
      <c r="D8521" s="1348"/>
      <c r="E8521" s="1348"/>
      <c r="F8521" s="1348"/>
      <c r="G8521" s="1348"/>
      <c r="H8521" s="1348"/>
      <c r="I8521" s="1348"/>
      <c r="J8521" s="1348"/>
      <c r="K8521" s="1348"/>
    </row>
    <row r="8522" spans="2:11" hidden="1">
      <c r="B8522" s="1348"/>
      <c r="C8522" s="1348"/>
      <c r="D8522" s="1348"/>
      <c r="E8522" s="1348"/>
      <c r="F8522" s="1348"/>
      <c r="G8522" s="1348"/>
      <c r="H8522" s="1348"/>
      <c r="I8522" s="1348"/>
      <c r="J8522" s="1348"/>
      <c r="K8522" s="1348"/>
    </row>
    <row r="8523" spans="2:11" hidden="1">
      <c r="B8523" s="1348"/>
      <c r="C8523" s="1348"/>
      <c r="D8523" s="1348"/>
      <c r="E8523" s="1348"/>
      <c r="F8523" s="1348"/>
      <c r="G8523" s="1348"/>
      <c r="H8523" s="1348"/>
      <c r="I8523" s="1348"/>
      <c r="J8523" s="1348"/>
      <c r="K8523" s="1348"/>
    </row>
    <row r="8524" spans="2:11" hidden="1">
      <c r="B8524" s="1348"/>
      <c r="C8524" s="1348"/>
      <c r="D8524" s="1348"/>
      <c r="E8524" s="1348"/>
      <c r="F8524" s="1348"/>
      <c r="G8524" s="1348"/>
      <c r="H8524" s="1348"/>
      <c r="I8524" s="1348"/>
      <c r="J8524" s="1348"/>
      <c r="K8524" s="1348"/>
    </row>
    <row r="8525" spans="2:11" hidden="1">
      <c r="B8525" s="1348"/>
      <c r="C8525" s="1348"/>
      <c r="D8525" s="1348"/>
      <c r="E8525" s="1348"/>
      <c r="F8525" s="1348"/>
      <c r="G8525" s="1348"/>
      <c r="H8525" s="1348"/>
      <c r="I8525" s="1348"/>
      <c r="J8525" s="1348"/>
      <c r="K8525" s="1348"/>
    </row>
    <row r="8526" spans="2:11" hidden="1">
      <c r="B8526" s="1348"/>
      <c r="C8526" s="1348"/>
      <c r="D8526" s="1348"/>
      <c r="E8526" s="1348"/>
      <c r="F8526" s="1348"/>
      <c r="G8526" s="1348"/>
      <c r="H8526" s="1348"/>
      <c r="I8526" s="1348"/>
      <c r="J8526" s="1348"/>
      <c r="K8526" s="1348"/>
    </row>
    <row r="8527" spans="2:11" hidden="1">
      <c r="B8527" s="1348"/>
      <c r="C8527" s="1348"/>
      <c r="D8527" s="1348"/>
      <c r="E8527" s="1348"/>
      <c r="F8527" s="1348"/>
      <c r="G8527" s="1348"/>
      <c r="H8527" s="1348"/>
      <c r="I8527" s="1348"/>
      <c r="J8527" s="1348"/>
      <c r="K8527" s="1348"/>
    </row>
    <row r="8528" spans="2:11" hidden="1">
      <c r="B8528" s="1348"/>
      <c r="C8528" s="1348"/>
      <c r="D8528" s="1348"/>
      <c r="E8528" s="1348"/>
      <c r="F8528" s="1348"/>
      <c r="G8528" s="1348"/>
      <c r="H8528" s="1348"/>
      <c r="I8528" s="1348"/>
      <c r="J8528" s="1348"/>
      <c r="K8528" s="1348"/>
    </row>
    <row r="8529" spans="2:11" hidden="1">
      <c r="B8529" s="1348"/>
      <c r="C8529" s="1348"/>
      <c r="D8529" s="1348"/>
      <c r="E8529" s="1348"/>
      <c r="F8529" s="1348"/>
      <c r="G8529" s="1348"/>
      <c r="H8529" s="1348"/>
      <c r="I8529" s="1348"/>
      <c r="J8529" s="1348"/>
      <c r="K8529" s="1348"/>
    </row>
    <row r="8530" spans="2:11" hidden="1">
      <c r="B8530" s="1348"/>
      <c r="C8530" s="1348"/>
      <c r="D8530" s="1348"/>
      <c r="E8530" s="1348"/>
      <c r="F8530" s="1348"/>
      <c r="G8530" s="1348"/>
      <c r="H8530" s="1348"/>
      <c r="I8530" s="1348"/>
      <c r="J8530" s="1348"/>
      <c r="K8530" s="1348"/>
    </row>
    <row r="8531" spans="2:11" hidden="1">
      <c r="B8531" s="1348"/>
      <c r="C8531" s="1348"/>
      <c r="D8531" s="1348"/>
      <c r="E8531" s="1348"/>
      <c r="F8531" s="1348"/>
      <c r="G8531" s="1348"/>
      <c r="H8531" s="1348"/>
      <c r="I8531" s="1348"/>
      <c r="J8531" s="1348"/>
      <c r="K8531" s="1348"/>
    </row>
    <row r="8532" spans="2:11" hidden="1">
      <c r="B8532" s="1348"/>
      <c r="C8532" s="1348"/>
      <c r="D8532" s="1348"/>
      <c r="E8532" s="1348"/>
      <c r="F8532" s="1348"/>
      <c r="G8532" s="1348"/>
      <c r="H8532" s="1348"/>
      <c r="I8532" s="1348"/>
      <c r="J8532" s="1348"/>
      <c r="K8532" s="1348"/>
    </row>
    <row r="8533" spans="2:11" hidden="1">
      <c r="B8533" s="1348"/>
      <c r="C8533" s="1348"/>
      <c r="D8533" s="1348"/>
      <c r="E8533" s="1348"/>
      <c r="F8533" s="1348"/>
      <c r="G8533" s="1348"/>
      <c r="H8533" s="1348"/>
      <c r="I8533" s="1348"/>
      <c r="J8533" s="1348"/>
      <c r="K8533" s="1348"/>
    </row>
    <row r="8534" spans="2:11" hidden="1">
      <c r="B8534" s="1348"/>
      <c r="C8534" s="1348"/>
      <c r="D8534" s="1348"/>
      <c r="E8534" s="1348"/>
      <c r="F8534" s="1348"/>
      <c r="G8534" s="1348"/>
      <c r="H8534" s="1348"/>
      <c r="I8534" s="1348"/>
      <c r="J8534" s="1348"/>
      <c r="K8534" s="1348"/>
    </row>
    <row r="8535" spans="2:11" hidden="1">
      <c r="B8535" s="1348"/>
      <c r="C8535" s="1348"/>
      <c r="D8535" s="1348"/>
      <c r="E8535" s="1348"/>
      <c r="F8535" s="1348"/>
      <c r="G8535" s="1348"/>
      <c r="H8535" s="1348"/>
      <c r="I8535" s="1348"/>
      <c r="J8535" s="1348"/>
      <c r="K8535" s="1348"/>
    </row>
    <row r="8536" spans="2:11" hidden="1">
      <c r="B8536" s="1348"/>
      <c r="C8536" s="1348"/>
      <c r="D8536" s="1348"/>
      <c r="E8536" s="1348"/>
      <c r="F8536" s="1348"/>
      <c r="G8536" s="1348"/>
      <c r="H8536" s="1348"/>
      <c r="I8536" s="1348"/>
      <c r="J8536" s="1348"/>
      <c r="K8536" s="1348"/>
    </row>
    <row r="8537" spans="2:11" hidden="1">
      <c r="B8537" s="1348"/>
      <c r="C8537" s="1348"/>
      <c r="D8537" s="1348"/>
      <c r="E8537" s="1348"/>
      <c r="F8537" s="1348"/>
      <c r="G8537" s="1348"/>
      <c r="H8537" s="1348"/>
      <c r="I8537" s="1348"/>
      <c r="J8537" s="1348"/>
      <c r="K8537" s="1348"/>
    </row>
    <row r="8538" spans="2:11" hidden="1">
      <c r="B8538" s="1348"/>
      <c r="C8538" s="1348"/>
      <c r="D8538" s="1348"/>
      <c r="E8538" s="1348"/>
      <c r="F8538" s="1348"/>
      <c r="G8538" s="1348"/>
      <c r="H8538" s="1348"/>
      <c r="I8538" s="1348"/>
      <c r="J8538" s="1348"/>
      <c r="K8538" s="1348"/>
    </row>
    <row r="8539" spans="2:11" hidden="1">
      <c r="B8539" s="1348"/>
      <c r="C8539" s="1348"/>
      <c r="D8539" s="1348"/>
      <c r="E8539" s="1348"/>
      <c r="F8539" s="1348"/>
      <c r="G8539" s="1348"/>
      <c r="H8539" s="1348"/>
      <c r="I8539" s="1348"/>
      <c r="J8539" s="1348"/>
      <c r="K8539" s="1348"/>
    </row>
    <row r="8540" spans="2:11" hidden="1">
      <c r="B8540" s="1348"/>
      <c r="C8540" s="1348"/>
      <c r="D8540" s="1348"/>
      <c r="E8540" s="1348"/>
      <c r="F8540" s="1348"/>
      <c r="G8540" s="1348"/>
      <c r="H8540" s="1348"/>
      <c r="I8540" s="1348"/>
      <c r="J8540" s="1348"/>
      <c r="K8540" s="1348"/>
    </row>
    <row r="8541" spans="2:11" hidden="1">
      <c r="B8541" s="1348"/>
      <c r="C8541" s="1348"/>
      <c r="D8541" s="1348"/>
      <c r="E8541" s="1348"/>
      <c r="F8541" s="1348"/>
      <c r="G8541" s="1348"/>
      <c r="H8541" s="1348"/>
      <c r="I8541" s="1348"/>
      <c r="J8541" s="1348"/>
      <c r="K8541" s="1348"/>
    </row>
    <row r="8542" spans="2:11" hidden="1">
      <c r="B8542" s="1348"/>
      <c r="C8542" s="1348"/>
      <c r="D8542" s="1348"/>
      <c r="E8542" s="1348"/>
      <c r="F8542" s="1348"/>
      <c r="G8542" s="1348"/>
      <c r="H8542" s="1348"/>
      <c r="I8542" s="1348"/>
      <c r="J8542" s="1348"/>
      <c r="K8542" s="1348"/>
    </row>
    <row r="8543" spans="2:11" hidden="1">
      <c r="B8543" s="1348"/>
      <c r="C8543" s="1348"/>
      <c r="D8543" s="1348"/>
      <c r="E8543" s="1348"/>
      <c r="F8543" s="1348"/>
      <c r="G8543" s="1348"/>
      <c r="H8543" s="1348"/>
      <c r="I8543" s="1348"/>
      <c r="J8543" s="1348"/>
      <c r="K8543" s="1348"/>
    </row>
    <row r="8544" spans="2:11" hidden="1">
      <c r="B8544" s="1348"/>
      <c r="C8544" s="1348"/>
      <c r="D8544" s="1348"/>
      <c r="E8544" s="1348"/>
      <c r="F8544" s="1348"/>
      <c r="G8544" s="1348"/>
      <c r="H8544" s="1348"/>
      <c r="I8544" s="1348"/>
      <c r="J8544" s="1348"/>
      <c r="K8544" s="1348"/>
    </row>
    <row r="8545" spans="2:11" hidden="1">
      <c r="B8545" s="1348"/>
      <c r="C8545" s="1348"/>
      <c r="D8545" s="1348"/>
      <c r="E8545" s="1348"/>
      <c r="F8545" s="1348"/>
      <c r="G8545" s="1348"/>
      <c r="H8545" s="1348"/>
      <c r="I8545" s="1348"/>
      <c r="J8545" s="1348"/>
      <c r="K8545" s="1348"/>
    </row>
    <row r="8546" spans="2:11" hidden="1">
      <c r="B8546" s="1348"/>
      <c r="C8546" s="1348"/>
      <c r="D8546" s="1348"/>
      <c r="E8546" s="1348"/>
      <c r="F8546" s="1348"/>
      <c r="G8546" s="1348"/>
      <c r="H8546" s="1348"/>
      <c r="I8546" s="1348"/>
      <c r="J8546" s="1348"/>
      <c r="K8546" s="1348"/>
    </row>
    <row r="8547" spans="2:11" hidden="1">
      <c r="B8547" s="1348"/>
      <c r="C8547" s="1348"/>
      <c r="D8547" s="1348"/>
      <c r="E8547" s="1348"/>
      <c r="F8547" s="1348"/>
      <c r="G8547" s="1348"/>
      <c r="H8547" s="1348"/>
      <c r="I8547" s="1348"/>
      <c r="J8547" s="1348"/>
      <c r="K8547" s="1348"/>
    </row>
    <row r="8548" spans="2:11" hidden="1">
      <c r="B8548" s="1348"/>
      <c r="C8548" s="1348"/>
      <c r="D8548" s="1348"/>
      <c r="E8548" s="1348"/>
      <c r="F8548" s="1348"/>
      <c r="G8548" s="1348"/>
      <c r="H8548" s="1348"/>
      <c r="I8548" s="1348"/>
      <c r="J8548" s="1348"/>
      <c r="K8548" s="1348"/>
    </row>
    <row r="8549" spans="2:11" hidden="1">
      <c r="B8549" s="1348"/>
      <c r="C8549" s="1348"/>
      <c r="D8549" s="1348"/>
      <c r="E8549" s="1348"/>
      <c r="F8549" s="1348"/>
      <c r="G8549" s="1348"/>
      <c r="H8549" s="1348"/>
      <c r="I8549" s="1348"/>
      <c r="J8549" s="1348"/>
      <c r="K8549" s="1348"/>
    </row>
    <row r="8550" spans="2:11" hidden="1">
      <c r="B8550" s="1348"/>
      <c r="C8550" s="1348"/>
      <c r="D8550" s="1348"/>
      <c r="E8550" s="1348"/>
      <c r="F8550" s="1348"/>
      <c r="G8550" s="1348"/>
      <c r="H8550" s="1348"/>
      <c r="I8550" s="1348"/>
      <c r="J8550" s="1348"/>
      <c r="K8550" s="1348"/>
    </row>
    <row r="8551" spans="2:11" hidden="1">
      <c r="B8551" s="1348"/>
      <c r="C8551" s="1348"/>
      <c r="D8551" s="1348"/>
      <c r="E8551" s="1348"/>
      <c r="F8551" s="1348"/>
      <c r="G8551" s="1348"/>
      <c r="H8551" s="1348"/>
      <c r="I8551" s="1348"/>
      <c r="J8551" s="1348"/>
      <c r="K8551" s="1348"/>
    </row>
    <row r="8552" spans="2:11" hidden="1">
      <c r="B8552" s="1348"/>
      <c r="C8552" s="1348"/>
      <c r="D8552" s="1348"/>
      <c r="E8552" s="1348"/>
      <c r="F8552" s="1348"/>
      <c r="G8552" s="1348"/>
      <c r="H8552" s="1348"/>
      <c r="I8552" s="1348"/>
      <c r="J8552" s="1348"/>
      <c r="K8552" s="1348"/>
    </row>
    <row r="8553" spans="2:11" hidden="1">
      <c r="B8553" s="1348"/>
      <c r="C8553" s="1348"/>
      <c r="D8553" s="1348"/>
      <c r="E8553" s="1348"/>
      <c r="F8553" s="1348"/>
      <c r="G8553" s="1348"/>
      <c r="H8553" s="1348"/>
      <c r="I8553" s="1348"/>
      <c r="J8553" s="1348"/>
      <c r="K8553" s="1348"/>
    </row>
    <row r="8554" spans="2:11" hidden="1">
      <c r="B8554" s="1348"/>
      <c r="C8554" s="1348"/>
      <c r="D8554" s="1348"/>
      <c r="E8554" s="1348"/>
      <c r="F8554" s="1348"/>
      <c r="G8554" s="1348"/>
      <c r="H8554" s="1348"/>
      <c r="I8554" s="1348"/>
      <c r="J8554" s="1348"/>
      <c r="K8554" s="1348"/>
    </row>
    <row r="8555" spans="2:11" hidden="1">
      <c r="B8555" s="1348"/>
      <c r="C8555" s="1348"/>
      <c r="D8555" s="1348"/>
      <c r="E8555" s="1348"/>
      <c r="F8555" s="1348"/>
      <c r="G8555" s="1348"/>
      <c r="H8555" s="1348"/>
      <c r="I8555" s="1348"/>
      <c r="J8555" s="1348"/>
      <c r="K8555" s="1348"/>
    </row>
    <row r="8556" spans="2:11" hidden="1">
      <c r="B8556" s="1348"/>
      <c r="C8556" s="1348"/>
      <c r="D8556" s="1348"/>
      <c r="E8556" s="1348"/>
      <c r="F8556" s="1348"/>
      <c r="G8556" s="1348"/>
      <c r="H8556" s="1348"/>
      <c r="I8556" s="1348"/>
      <c r="J8556" s="1348"/>
      <c r="K8556" s="1348"/>
    </row>
    <row r="8557" spans="2:11" hidden="1">
      <c r="B8557" s="1348"/>
      <c r="C8557" s="1348"/>
      <c r="D8557" s="1348"/>
      <c r="E8557" s="1348"/>
      <c r="F8557" s="1348"/>
      <c r="G8557" s="1348"/>
      <c r="H8557" s="1348"/>
      <c r="I8557" s="1348"/>
      <c r="J8557" s="1348"/>
      <c r="K8557" s="1348"/>
    </row>
    <row r="8558" spans="2:11" hidden="1">
      <c r="B8558" s="1348"/>
      <c r="C8558" s="1348"/>
      <c r="D8558" s="1348"/>
      <c r="E8558" s="1348"/>
      <c r="F8558" s="1348"/>
      <c r="G8558" s="1348"/>
      <c r="H8558" s="1348"/>
      <c r="I8558" s="1348"/>
      <c r="J8558" s="1348"/>
      <c r="K8558" s="1348"/>
    </row>
    <row r="8559" spans="2:11" hidden="1">
      <c r="B8559" s="1348"/>
      <c r="C8559" s="1348"/>
      <c r="D8559" s="1348"/>
      <c r="E8559" s="1348"/>
      <c r="F8559" s="1348"/>
      <c r="G8559" s="1348"/>
      <c r="H8559" s="1348"/>
      <c r="I8559" s="1348"/>
      <c r="J8559" s="1348"/>
      <c r="K8559" s="1348"/>
    </row>
    <row r="8560" spans="2:11" hidden="1">
      <c r="B8560" s="1348"/>
      <c r="C8560" s="1348"/>
      <c r="D8560" s="1348"/>
      <c r="E8560" s="1348"/>
      <c r="F8560" s="1348"/>
      <c r="G8560" s="1348"/>
      <c r="H8560" s="1348"/>
      <c r="I8560" s="1348"/>
      <c r="J8560" s="1348"/>
      <c r="K8560" s="1348"/>
    </row>
    <row r="8561" spans="2:11" hidden="1">
      <c r="B8561" s="1348"/>
      <c r="C8561" s="1348"/>
      <c r="D8561" s="1348"/>
      <c r="E8561" s="1348"/>
      <c r="F8561" s="1348"/>
      <c r="G8561" s="1348"/>
      <c r="H8561" s="1348"/>
      <c r="I8561" s="1348"/>
      <c r="J8561" s="1348"/>
      <c r="K8561" s="1348"/>
    </row>
    <row r="8562" spans="2:11" hidden="1">
      <c r="B8562" s="1348"/>
      <c r="C8562" s="1348"/>
      <c r="D8562" s="1348"/>
      <c r="E8562" s="1348"/>
      <c r="F8562" s="1348"/>
      <c r="G8562" s="1348"/>
      <c r="H8562" s="1348"/>
      <c r="I8562" s="1348"/>
      <c r="J8562" s="1348"/>
      <c r="K8562" s="1348"/>
    </row>
    <row r="8563" spans="2:11" hidden="1">
      <c r="B8563" s="1348"/>
      <c r="C8563" s="1348"/>
      <c r="D8563" s="1348"/>
      <c r="E8563" s="1348"/>
      <c r="F8563" s="1348"/>
      <c r="G8563" s="1348"/>
      <c r="H8563" s="1348"/>
      <c r="I8563" s="1348"/>
      <c r="J8563" s="1348"/>
      <c r="K8563" s="1348"/>
    </row>
    <row r="8564" spans="2:11" hidden="1">
      <c r="B8564" s="1348"/>
      <c r="C8564" s="1348"/>
      <c r="D8564" s="1348"/>
      <c r="E8564" s="1348"/>
      <c r="F8564" s="1348"/>
      <c r="G8564" s="1348"/>
      <c r="H8564" s="1348"/>
      <c r="I8564" s="1348"/>
      <c r="J8564" s="1348"/>
      <c r="K8564" s="1348"/>
    </row>
    <row r="8565" spans="2:11" hidden="1">
      <c r="B8565" s="1348"/>
      <c r="C8565" s="1348"/>
      <c r="D8565" s="1348"/>
      <c r="E8565" s="1348"/>
      <c r="F8565" s="1348"/>
      <c r="G8565" s="1348"/>
      <c r="H8565" s="1348"/>
      <c r="I8565" s="1348"/>
      <c r="J8565" s="1348"/>
      <c r="K8565" s="1348"/>
    </row>
    <row r="8566" spans="2:11" hidden="1">
      <c r="B8566" s="1348"/>
      <c r="C8566" s="1348"/>
      <c r="D8566" s="1348"/>
      <c r="E8566" s="1348"/>
      <c r="F8566" s="1348"/>
      <c r="G8566" s="1348"/>
      <c r="H8566" s="1348"/>
      <c r="I8566" s="1348"/>
      <c r="J8566" s="1348"/>
      <c r="K8566" s="1348"/>
    </row>
    <row r="8567" spans="2:11" hidden="1">
      <c r="B8567" s="1348"/>
      <c r="C8567" s="1348"/>
      <c r="D8567" s="1348"/>
      <c r="E8567" s="1348"/>
      <c r="F8567" s="1348"/>
      <c r="G8567" s="1348"/>
      <c r="H8567" s="1348"/>
      <c r="I8567" s="1348"/>
      <c r="J8567" s="1348"/>
      <c r="K8567" s="1348"/>
    </row>
    <row r="8568" spans="2:11" hidden="1">
      <c r="B8568" s="1348"/>
      <c r="C8568" s="1348"/>
      <c r="D8568" s="1348"/>
      <c r="E8568" s="1348"/>
      <c r="F8568" s="1348"/>
      <c r="G8568" s="1348"/>
      <c r="H8568" s="1348"/>
      <c r="I8568" s="1348"/>
      <c r="J8568" s="1348"/>
      <c r="K8568" s="1348"/>
    </row>
    <row r="8569" spans="2:11" hidden="1">
      <c r="B8569" s="1348"/>
      <c r="C8569" s="1348"/>
      <c r="D8569" s="1348"/>
      <c r="E8569" s="1348"/>
      <c r="F8569" s="1348"/>
      <c r="G8569" s="1348"/>
      <c r="H8569" s="1348"/>
      <c r="I8569" s="1348"/>
      <c r="J8569" s="1348"/>
      <c r="K8569" s="1348"/>
    </row>
    <row r="8570" spans="2:11" hidden="1">
      <c r="B8570" s="1348"/>
      <c r="C8570" s="1348"/>
      <c r="D8570" s="1348"/>
      <c r="E8570" s="1348"/>
      <c r="F8570" s="1348"/>
      <c r="G8570" s="1348"/>
      <c r="H8570" s="1348"/>
      <c r="I8570" s="1348"/>
      <c r="J8570" s="1348"/>
      <c r="K8570" s="1348"/>
    </row>
    <row r="8571" spans="2:11" hidden="1">
      <c r="B8571" s="1348"/>
      <c r="C8571" s="1348"/>
      <c r="D8571" s="1348"/>
      <c r="E8571" s="1348"/>
      <c r="F8571" s="1348"/>
      <c r="G8571" s="1348"/>
      <c r="H8571" s="1348"/>
      <c r="I8571" s="1348"/>
      <c r="J8571" s="1348"/>
      <c r="K8571" s="1348"/>
    </row>
    <row r="8572" spans="2:11" hidden="1">
      <c r="B8572" s="1348"/>
      <c r="C8572" s="1348"/>
      <c r="D8572" s="1348"/>
      <c r="E8572" s="1348"/>
      <c r="F8572" s="1348"/>
      <c r="G8572" s="1348"/>
      <c r="H8572" s="1348"/>
      <c r="I8572" s="1348"/>
      <c r="J8572" s="1348"/>
      <c r="K8572" s="1348"/>
    </row>
    <row r="8573" spans="2:11" hidden="1">
      <c r="B8573" s="1348"/>
      <c r="C8573" s="1348"/>
      <c r="D8573" s="1348"/>
      <c r="E8573" s="1348"/>
      <c r="F8573" s="1348"/>
      <c r="G8573" s="1348"/>
      <c r="H8573" s="1348"/>
      <c r="I8573" s="1348"/>
      <c r="J8573" s="1348"/>
      <c r="K8573" s="1348"/>
    </row>
    <row r="8574" spans="2:11" hidden="1">
      <c r="B8574" s="1348"/>
      <c r="C8574" s="1348"/>
      <c r="D8574" s="1348"/>
      <c r="E8574" s="1348"/>
      <c r="F8574" s="1348"/>
      <c r="G8574" s="1348"/>
      <c r="H8574" s="1348"/>
      <c r="I8574" s="1348"/>
      <c r="J8574" s="1348"/>
      <c r="K8574" s="1348"/>
    </row>
    <row r="8575" spans="2:11" hidden="1">
      <c r="B8575" s="1348"/>
      <c r="C8575" s="1348"/>
      <c r="D8575" s="1348"/>
      <c r="E8575" s="1348"/>
      <c r="F8575" s="1348"/>
      <c r="G8575" s="1348"/>
      <c r="H8575" s="1348"/>
      <c r="I8575" s="1348"/>
      <c r="J8575" s="1348"/>
      <c r="K8575" s="1348"/>
    </row>
    <row r="8576" spans="2:11" hidden="1">
      <c r="B8576" s="1348"/>
      <c r="C8576" s="1348"/>
      <c r="D8576" s="1348"/>
      <c r="E8576" s="1348"/>
      <c r="F8576" s="1348"/>
      <c r="G8576" s="1348"/>
      <c r="H8576" s="1348"/>
      <c r="I8576" s="1348"/>
      <c r="J8576" s="1348"/>
      <c r="K8576" s="1348"/>
    </row>
    <row r="8577" spans="2:11" hidden="1">
      <c r="B8577" s="1348"/>
      <c r="C8577" s="1348"/>
      <c r="D8577" s="1348"/>
      <c r="E8577" s="1348"/>
      <c r="F8577" s="1348"/>
      <c r="G8577" s="1348"/>
      <c r="H8577" s="1348"/>
      <c r="I8577" s="1348"/>
      <c r="J8577" s="1348"/>
      <c r="K8577" s="1348"/>
    </row>
    <row r="8578" spans="2:11" hidden="1">
      <c r="B8578" s="1348"/>
      <c r="C8578" s="1348"/>
      <c r="D8578" s="1348"/>
      <c r="E8578" s="1348"/>
      <c r="F8578" s="1348"/>
      <c r="G8578" s="1348"/>
      <c r="H8578" s="1348"/>
      <c r="I8578" s="1348"/>
      <c r="J8578" s="1348"/>
      <c r="K8578" s="1348"/>
    </row>
    <row r="8579" spans="2:11" hidden="1">
      <c r="B8579" s="1348"/>
      <c r="C8579" s="1348"/>
      <c r="D8579" s="1348"/>
      <c r="E8579" s="1348"/>
      <c r="F8579" s="1348"/>
      <c r="G8579" s="1348"/>
      <c r="H8579" s="1348"/>
      <c r="I8579" s="1348"/>
      <c r="J8579" s="1348"/>
      <c r="K8579" s="1348"/>
    </row>
    <row r="8580" spans="2:11" hidden="1">
      <c r="B8580" s="1348"/>
      <c r="C8580" s="1348"/>
      <c r="D8580" s="1348"/>
      <c r="E8580" s="1348"/>
      <c r="F8580" s="1348"/>
      <c r="G8580" s="1348"/>
      <c r="H8580" s="1348"/>
      <c r="I8580" s="1348"/>
      <c r="J8580" s="1348"/>
      <c r="K8580" s="1348"/>
    </row>
    <row r="8581" spans="2:11" hidden="1">
      <c r="B8581" s="1348"/>
      <c r="C8581" s="1348"/>
      <c r="D8581" s="1348"/>
      <c r="E8581" s="1348"/>
      <c r="F8581" s="1348"/>
      <c r="G8581" s="1348"/>
      <c r="H8581" s="1348"/>
      <c r="I8581" s="1348"/>
      <c r="J8581" s="1348"/>
      <c r="K8581" s="1348"/>
    </row>
    <row r="8582" spans="2:11" hidden="1">
      <c r="B8582" s="1348"/>
      <c r="C8582" s="1348"/>
      <c r="D8582" s="1348"/>
      <c r="E8582" s="1348"/>
      <c r="F8582" s="1348"/>
      <c r="G8582" s="1348"/>
      <c r="H8582" s="1348"/>
      <c r="I8582" s="1348"/>
      <c r="J8582" s="1348"/>
      <c r="K8582" s="1348"/>
    </row>
    <row r="8583" spans="2:11" hidden="1">
      <c r="B8583" s="1348"/>
      <c r="C8583" s="1348"/>
      <c r="D8583" s="1348"/>
      <c r="E8583" s="1348"/>
      <c r="F8583" s="1348"/>
      <c r="G8583" s="1348"/>
      <c r="H8583" s="1348"/>
      <c r="I8583" s="1348"/>
      <c r="J8583" s="1348"/>
      <c r="K8583" s="1348"/>
    </row>
    <row r="8584" spans="2:11" hidden="1">
      <c r="B8584" s="1348"/>
      <c r="C8584" s="1348"/>
      <c r="D8584" s="1348"/>
      <c r="E8584" s="1348"/>
      <c r="F8584" s="1348"/>
      <c r="G8584" s="1348"/>
      <c r="H8584" s="1348"/>
      <c r="I8584" s="1348"/>
      <c r="J8584" s="1348"/>
      <c r="K8584" s="1348"/>
    </row>
    <row r="8585" spans="2:11" hidden="1">
      <c r="B8585" s="1348"/>
      <c r="C8585" s="1348"/>
      <c r="D8585" s="1348"/>
      <c r="E8585" s="1348"/>
      <c r="F8585" s="1348"/>
      <c r="G8585" s="1348"/>
      <c r="H8585" s="1348"/>
      <c r="I8585" s="1348"/>
      <c r="J8585" s="1348"/>
      <c r="K8585" s="1348"/>
    </row>
    <row r="8586" spans="2:11" hidden="1">
      <c r="B8586" s="1348"/>
      <c r="C8586" s="1348"/>
      <c r="D8586" s="1348"/>
      <c r="E8586" s="1348"/>
      <c r="F8586" s="1348"/>
      <c r="G8586" s="1348"/>
      <c r="H8586" s="1348"/>
      <c r="I8586" s="1348"/>
      <c r="J8586" s="1348"/>
      <c r="K8586" s="1348"/>
    </row>
    <row r="8587" spans="2:11" hidden="1">
      <c r="B8587" s="1348"/>
      <c r="C8587" s="1348"/>
      <c r="D8587" s="1348"/>
      <c r="E8587" s="1348"/>
      <c r="F8587" s="1348"/>
      <c r="G8587" s="1348"/>
      <c r="H8587" s="1348"/>
      <c r="I8587" s="1348"/>
      <c r="J8587" s="1348"/>
      <c r="K8587" s="1348"/>
    </row>
    <row r="8588" spans="2:11" hidden="1">
      <c r="B8588" s="1348"/>
      <c r="C8588" s="1348"/>
      <c r="D8588" s="1348"/>
      <c r="E8588" s="1348"/>
      <c r="F8588" s="1348"/>
      <c r="G8588" s="1348"/>
      <c r="H8588" s="1348"/>
      <c r="I8588" s="1348"/>
      <c r="J8588" s="1348"/>
      <c r="K8588" s="1348"/>
    </row>
    <row r="8589" spans="2:11" hidden="1">
      <c r="B8589" s="1348"/>
      <c r="C8589" s="1348"/>
      <c r="D8589" s="1348"/>
      <c r="E8589" s="1348"/>
      <c r="F8589" s="1348"/>
      <c r="G8589" s="1348"/>
      <c r="H8589" s="1348"/>
      <c r="I8589" s="1348"/>
      <c r="J8589" s="1348"/>
      <c r="K8589" s="1348"/>
    </row>
    <row r="8590" spans="2:11" hidden="1">
      <c r="B8590" s="1348"/>
      <c r="C8590" s="1348"/>
      <c r="D8590" s="1348"/>
      <c r="E8590" s="1348"/>
      <c r="F8590" s="1348"/>
      <c r="G8590" s="1348"/>
      <c r="H8590" s="1348"/>
      <c r="I8590" s="1348"/>
      <c r="J8590" s="1348"/>
      <c r="K8590" s="1348"/>
    </row>
    <row r="8591" spans="2:11" hidden="1">
      <c r="B8591" s="1348"/>
      <c r="C8591" s="1348"/>
      <c r="D8591" s="1348"/>
      <c r="E8591" s="1348"/>
      <c r="F8591" s="1348"/>
      <c r="G8591" s="1348"/>
      <c r="H8591" s="1348"/>
      <c r="I8591" s="1348"/>
      <c r="J8591" s="1348"/>
      <c r="K8591" s="1348"/>
    </row>
    <row r="8592" spans="2:11" hidden="1">
      <c r="B8592" s="1348"/>
      <c r="C8592" s="1348"/>
      <c r="D8592" s="1348"/>
      <c r="E8592" s="1348"/>
      <c r="F8592" s="1348"/>
      <c r="G8592" s="1348"/>
      <c r="H8592" s="1348"/>
      <c r="I8592" s="1348"/>
      <c r="J8592" s="1348"/>
      <c r="K8592" s="1348"/>
    </row>
    <row r="8593" spans="2:11" hidden="1">
      <c r="B8593" s="1348"/>
      <c r="C8593" s="1348"/>
      <c r="D8593" s="1348"/>
      <c r="E8593" s="1348"/>
      <c r="F8593" s="1348"/>
      <c r="G8593" s="1348"/>
      <c r="H8593" s="1348"/>
      <c r="I8593" s="1348"/>
      <c r="J8593" s="1348"/>
      <c r="K8593" s="1348"/>
    </row>
    <row r="8594" spans="2:11" hidden="1">
      <c r="B8594" s="1348"/>
      <c r="C8594" s="1348"/>
      <c r="D8594" s="1348"/>
      <c r="E8594" s="1348"/>
      <c r="F8594" s="1348"/>
      <c r="G8594" s="1348"/>
      <c r="H8594" s="1348"/>
      <c r="I8594" s="1348"/>
      <c r="J8594" s="1348"/>
      <c r="K8594" s="1348"/>
    </row>
    <row r="8595" spans="2:11" hidden="1">
      <c r="B8595" s="1348"/>
      <c r="C8595" s="1348"/>
      <c r="D8595" s="1348"/>
      <c r="E8595" s="1348"/>
      <c r="F8595" s="1348"/>
      <c r="G8595" s="1348"/>
      <c r="H8595" s="1348"/>
      <c r="I8595" s="1348"/>
      <c r="J8595" s="1348"/>
      <c r="K8595" s="1348"/>
    </row>
    <row r="8596" spans="2:11" hidden="1">
      <c r="B8596" s="1348"/>
      <c r="C8596" s="1348"/>
      <c r="D8596" s="1348"/>
      <c r="E8596" s="1348"/>
      <c r="F8596" s="1348"/>
      <c r="G8596" s="1348"/>
      <c r="H8596" s="1348"/>
      <c r="I8596" s="1348"/>
      <c r="J8596" s="1348"/>
      <c r="K8596" s="1348"/>
    </row>
    <row r="8597" spans="2:11" hidden="1">
      <c r="B8597" s="1348"/>
      <c r="C8597" s="1348"/>
      <c r="D8597" s="1348"/>
      <c r="E8597" s="1348"/>
      <c r="F8597" s="1348"/>
      <c r="G8597" s="1348"/>
      <c r="H8597" s="1348"/>
      <c r="I8597" s="1348"/>
      <c r="J8597" s="1348"/>
      <c r="K8597" s="1348"/>
    </row>
    <row r="8598" spans="2:11" hidden="1">
      <c r="B8598" s="1348"/>
      <c r="C8598" s="1348"/>
      <c r="D8598" s="1348"/>
      <c r="E8598" s="1348"/>
      <c r="F8598" s="1348"/>
      <c r="G8598" s="1348"/>
      <c r="H8598" s="1348"/>
      <c r="I8598" s="1348"/>
      <c r="J8598" s="1348"/>
      <c r="K8598" s="1348"/>
    </row>
    <row r="8599" spans="2:11" hidden="1">
      <c r="B8599" s="1348"/>
      <c r="C8599" s="1348"/>
      <c r="D8599" s="1348"/>
      <c r="E8599" s="1348"/>
      <c r="F8599" s="1348"/>
      <c r="G8599" s="1348"/>
      <c r="H8599" s="1348"/>
      <c r="I8599" s="1348"/>
      <c r="J8599" s="1348"/>
      <c r="K8599" s="1348"/>
    </row>
    <row r="8600" spans="2:11" hidden="1">
      <c r="B8600" s="1348"/>
      <c r="C8600" s="1348"/>
      <c r="D8600" s="1348"/>
      <c r="E8600" s="1348"/>
      <c r="F8600" s="1348"/>
      <c r="G8600" s="1348"/>
      <c r="H8600" s="1348"/>
      <c r="I8600" s="1348"/>
      <c r="J8600" s="1348"/>
      <c r="K8600" s="1348"/>
    </row>
    <row r="8601" spans="2:11" hidden="1">
      <c r="B8601" s="1348"/>
      <c r="C8601" s="1348"/>
      <c r="D8601" s="1348"/>
      <c r="E8601" s="1348"/>
      <c r="F8601" s="1348"/>
      <c r="G8601" s="1348"/>
      <c r="H8601" s="1348"/>
      <c r="I8601" s="1348"/>
      <c r="J8601" s="1348"/>
      <c r="K8601" s="1348"/>
    </row>
    <row r="8602" spans="2:11" hidden="1">
      <c r="B8602" s="1348"/>
      <c r="C8602" s="1348"/>
      <c r="D8602" s="1348"/>
      <c r="E8602" s="1348"/>
      <c r="F8602" s="1348"/>
      <c r="G8602" s="1348"/>
      <c r="H8602" s="1348"/>
      <c r="I8602" s="1348"/>
      <c r="J8602" s="1348"/>
      <c r="K8602" s="1348"/>
    </row>
    <row r="8603" spans="2:11" hidden="1">
      <c r="B8603" s="1348"/>
      <c r="C8603" s="1348"/>
      <c r="D8603" s="1348"/>
      <c r="E8603" s="1348"/>
      <c r="F8603" s="1348"/>
      <c r="G8603" s="1348"/>
      <c r="H8603" s="1348"/>
      <c r="I8603" s="1348"/>
      <c r="J8603" s="1348"/>
      <c r="K8603" s="1348"/>
    </row>
    <row r="8604" spans="2:11" hidden="1">
      <c r="B8604" s="1348"/>
      <c r="C8604" s="1348"/>
      <c r="D8604" s="1348"/>
      <c r="E8604" s="1348"/>
      <c r="F8604" s="1348"/>
      <c r="G8604" s="1348"/>
      <c r="H8604" s="1348"/>
      <c r="I8604" s="1348"/>
      <c r="J8604" s="1348"/>
      <c r="K8604" s="1348"/>
    </row>
    <row r="8605" spans="2:11" hidden="1">
      <c r="B8605" s="1348"/>
      <c r="C8605" s="1348"/>
      <c r="D8605" s="1348"/>
      <c r="E8605" s="1348"/>
      <c r="F8605" s="1348"/>
      <c r="G8605" s="1348"/>
      <c r="H8605" s="1348"/>
      <c r="I8605" s="1348"/>
      <c r="J8605" s="1348"/>
      <c r="K8605" s="1348"/>
    </row>
    <row r="8606" spans="2:11" hidden="1">
      <c r="B8606" s="1348"/>
      <c r="C8606" s="1348"/>
      <c r="D8606" s="1348"/>
      <c r="E8606" s="1348"/>
      <c r="F8606" s="1348"/>
      <c r="G8606" s="1348"/>
      <c r="H8606" s="1348"/>
      <c r="I8606" s="1348"/>
      <c r="J8606" s="1348"/>
      <c r="K8606" s="1348"/>
    </row>
    <row r="8607" spans="2:11" hidden="1">
      <c r="B8607" s="1348"/>
      <c r="C8607" s="1348"/>
      <c r="D8607" s="1348"/>
      <c r="E8607" s="1348"/>
      <c r="F8607" s="1348"/>
      <c r="G8607" s="1348"/>
      <c r="H8607" s="1348"/>
      <c r="I8607" s="1348"/>
      <c r="J8607" s="1348"/>
      <c r="K8607" s="1348"/>
    </row>
    <row r="8608" spans="2:11" hidden="1">
      <c r="B8608" s="1348"/>
      <c r="C8608" s="1348"/>
      <c r="D8608" s="1348"/>
      <c r="E8608" s="1348"/>
      <c r="F8608" s="1348"/>
      <c r="G8608" s="1348"/>
      <c r="H8608" s="1348"/>
      <c r="I8608" s="1348"/>
      <c r="J8608" s="1348"/>
      <c r="K8608" s="1348"/>
    </row>
    <row r="8609" spans="2:11" hidden="1">
      <c r="B8609" s="1348"/>
      <c r="C8609" s="1348"/>
      <c r="D8609" s="1348"/>
      <c r="E8609" s="1348"/>
      <c r="F8609" s="1348"/>
      <c r="G8609" s="1348"/>
      <c r="H8609" s="1348"/>
      <c r="I8609" s="1348"/>
      <c r="J8609" s="1348"/>
      <c r="K8609" s="1348"/>
    </row>
    <row r="8610" spans="2:11" hidden="1">
      <c r="B8610" s="1348"/>
      <c r="C8610" s="1348"/>
      <c r="D8610" s="1348"/>
      <c r="E8610" s="1348"/>
      <c r="F8610" s="1348"/>
      <c r="G8610" s="1348"/>
      <c r="H8610" s="1348"/>
      <c r="I8610" s="1348"/>
      <c r="J8610" s="1348"/>
      <c r="K8610" s="1348"/>
    </row>
    <row r="8611" spans="2:11" hidden="1">
      <c r="B8611" s="1348"/>
      <c r="C8611" s="1348"/>
      <c r="D8611" s="1348"/>
      <c r="E8611" s="1348"/>
      <c r="F8611" s="1348"/>
      <c r="G8611" s="1348"/>
      <c r="H8611" s="1348"/>
      <c r="I8611" s="1348"/>
      <c r="J8611" s="1348"/>
      <c r="K8611" s="1348"/>
    </row>
    <row r="8612" spans="2:11" hidden="1">
      <c r="B8612" s="1348"/>
      <c r="C8612" s="1348"/>
      <c r="D8612" s="1348"/>
      <c r="E8612" s="1348"/>
      <c r="F8612" s="1348"/>
      <c r="G8612" s="1348"/>
      <c r="H8612" s="1348"/>
      <c r="I8612" s="1348"/>
      <c r="J8612" s="1348"/>
      <c r="K8612" s="1348"/>
    </row>
    <row r="8613" spans="2:11" hidden="1">
      <c r="B8613" s="1348"/>
      <c r="C8613" s="1348"/>
      <c r="D8613" s="1348"/>
      <c r="E8613" s="1348"/>
      <c r="F8613" s="1348"/>
      <c r="G8613" s="1348"/>
      <c r="H8613" s="1348"/>
      <c r="I8613" s="1348"/>
      <c r="J8613" s="1348"/>
      <c r="K8613" s="1348"/>
    </row>
    <row r="8614" spans="2:11" hidden="1">
      <c r="B8614" s="1348"/>
      <c r="C8614" s="1348"/>
      <c r="D8614" s="1348"/>
      <c r="E8614" s="1348"/>
      <c r="F8614" s="1348"/>
      <c r="G8614" s="1348"/>
      <c r="H8614" s="1348"/>
      <c r="I8614" s="1348"/>
      <c r="J8614" s="1348"/>
      <c r="K8614" s="1348"/>
    </row>
    <row r="8615" spans="2:11" hidden="1">
      <c r="B8615" s="1348"/>
      <c r="C8615" s="1348"/>
      <c r="D8615" s="1348"/>
      <c r="E8615" s="1348"/>
      <c r="F8615" s="1348"/>
      <c r="G8615" s="1348"/>
      <c r="H8615" s="1348"/>
      <c r="I8615" s="1348"/>
      <c r="J8615" s="1348"/>
      <c r="K8615" s="1348"/>
    </row>
    <row r="8616" spans="2:11" hidden="1">
      <c r="B8616" s="1348"/>
      <c r="C8616" s="1348"/>
      <c r="D8616" s="1348"/>
      <c r="E8616" s="1348"/>
      <c r="F8616" s="1348"/>
      <c r="G8616" s="1348"/>
      <c r="H8616" s="1348"/>
      <c r="I8616" s="1348"/>
      <c r="J8616" s="1348"/>
      <c r="K8616" s="1348"/>
    </row>
    <row r="8617" spans="2:11" hidden="1">
      <c r="B8617" s="1348"/>
      <c r="C8617" s="1348"/>
      <c r="D8617" s="1348"/>
      <c r="E8617" s="1348"/>
      <c r="F8617" s="1348"/>
      <c r="G8617" s="1348"/>
      <c r="H8617" s="1348"/>
      <c r="I8617" s="1348"/>
      <c r="J8617" s="1348"/>
      <c r="K8617" s="1348"/>
    </row>
    <row r="8618" spans="2:11" hidden="1">
      <c r="B8618" s="1348"/>
      <c r="C8618" s="1348"/>
      <c r="D8618" s="1348"/>
      <c r="E8618" s="1348"/>
      <c r="F8618" s="1348"/>
      <c r="G8618" s="1348"/>
      <c r="H8618" s="1348"/>
      <c r="I8618" s="1348"/>
      <c r="J8618" s="1348"/>
      <c r="K8618" s="1348"/>
    </row>
    <row r="8619" spans="2:11" hidden="1">
      <c r="B8619" s="1348"/>
      <c r="C8619" s="1348"/>
      <c r="D8619" s="1348"/>
      <c r="E8619" s="1348"/>
      <c r="F8619" s="1348"/>
      <c r="G8619" s="1348"/>
      <c r="H8619" s="1348"/>
      <c r="I8619" s="1348"/>
      <c r="J8619" s="1348"/>
      <c r="K8619" s="1348"/>
    </row>
    <row r="8620" spans="2:11" hidden="1">
      <c r="B8620" s="1348"/>
      <c r="C8620" s="1348"/>
      <c r="D8620" s="1348"/>
      <c r="E8620" s="1348"/>
      <c r="F8620" s="1348"/>
      <c r="G8620" s="1348"/>
      <c r="H8620" s="1348"/>
      <c r="I8620" s="1348"/>
      <c r="J8620" s="1348"/>
      <c r="K8620" s="1348"/>
    </row>
    <row r="8621" spans="2:11" hidden="1">
      <c r="B8621" s="1348"/>
      <c r="C8621" s="1348"/>
      <c r="D8621" s="1348"/>
      <c r="E8621" s="1348"/>
      <c r="F8621" s="1348"/>
      <c r="G8621" s="1348"/>
      <c r="H8621" s="1348"/>
      <c r="I8621" s="1348"/>
      <c r="J8621" s="1348"/>
      <c r="K8621" s="1348"/>
    </row>
    <row r="8622" spans="2:11" hidden="1">
      <c r="B8622" s="1348"/>
      <c r="C8622" s="1348"/>
      <c r="D8622" s="1348"/>
      <c r="E8622" s="1348"/>
      <c r="F8622" s="1348"/>
      <c r="G8622" s="1348"/>
      <c r="H8622" s="1348"/>
      <c r="I8622" s="1348"/>
      <c r="J8622" s="1348"/>
      <c r="K8622" s="1348"/>
    </row>
    <row r="8623" spans="2:11" hidden="1">
      <c r="B8623" s="1348"/>
      <c r="C8623" s="1348"/>
      <c r="D8623" s="1348"/>
      <c r="E8623" s="1348"/>
      <c r="F8623" s="1348"/>
      <c r="G8623" s="1348"/>
      <c r="H8623" s="1348"/>
      <c r="I8623" s="1348"/>
      <c r="J8623" s="1348"/>
      <c r="K8623" s="1348"/>
    </row>
    <row r="8624" spans="2:11" hidden="1">
      <c r="B8624" s="1348"/>
      <c r="C8624" s="1348"/>
      <c r="D8624" s="1348"/>
      <c r="E8624" s="1348"/>
      <c r="F8624" s="1348"/>
      <c r="G8624" s="1348"/>
      <c r="H8624" s="1348"/>
      <c r="I8624" s="1348"/>
      <c r="J8624" s="1348"/>
      <c r="K8624" s="1348"/>
    </row>
    <row r="8625" spans="2:11" hidden="1">
      <c r="B8625" s="1348"/>
      <c r="C8625" s="1348"/>
      <c r="D8625" s="1348"/>
      <c r="E8625" s="1348"/>
      <c r="F8625" s="1348"/>
      <c r="G8625" s="1348"/>
      <c r="H8625" s="1348"/>
      <c r="I8625" s="1348"/>
      <c r="J8625" s="1348"/>
      <c r="K8625" s="1348"/>
    </row>
    <row r="8626" spans="2:11" hidden="1">
      <c r="B8626" s="1348"/>
      <c r="C8626" s="1348"/>
      <c r="D8626" s="1348"/>
      <c r="E8626" s="1348"/>
      <c r="F8626" s="1348"/>
      <c r="G8626" s="1348"/>
      <c r="H8626" s="1348"/>
      <c r="I8626" s="1348"/>
      <c r="J8626" s="1348"/>
      <c r="K8626" s="1348"/>
    </row>
    <row r="8627" spans="2:11" hidden="1">
      <c r="B8627" s="1348"/>
      <c r="C8627" s="1348"/>
      <c r="D8627" s="1348"/>
      <c r="E8627" s="1348"/>
      <c r="F8627" s="1348"/>
      <c r="G8627" s="1348"/>
      <c r="H8627" s="1348"/>
      <c r="I8627" s="1348"/>
      <c r="J8627" s="1348"/>
      <c r="K8627" s="1348"/>
    </row>
    <row r="8628" spans="2:11" hidden="1">
      <c r="B8628" s="1348"/>
      <c r="C8628" s="1348"/>
      <c r="D8628" s="1348"/>
      <c r="E8628" s="1348"/>
      <c r="F8628" s="1348"/>
      <c r="G8628" s="1348"/>
      <c r="H8628" s="1348"/>
      <c r="I8628" s="1348"/>
      <c r="J8628" s="1348"/>
      <c r="K8628" s="1348"/>
    </row>
    <row r="8629" spans="2:11" hidden="1">
      <c r="B8629" s="1348"/>
      <c r="C8629" s="1348"/>
      <c r="D8629" s="1348"/>
      <c r="E8629" s="1348"/>
      <c r="F8629" s="1348"/>
      <c r="G8629" s="1348"/>
      <c r="H8629" s="1348"/>
      <c r="I8629" s="1348"/>
      <c r="J8629" s="1348"/>
      <c r="K8629" s="1348"/>
    </row>
    <row r="8630" spans="2:11" hidden="1">
      <c r="B8630" s="1348"/>
      <c r="C8630" s="1348"/>
      <c r="D8630" s="1348"/>
      <c r="E8630" s="1348"/>
      <c r="F8630" s="1348"/>
      <c r="G8630" s="1348"/>
      <c r="H8630" s="1348"/>
      <c r="I8630" s="1348"/>
      <c r="J8630" s="1348"/>
      <c r="K8630" s="1348"/>
    </row>
    <row r="8631" spans="2:11" hidden="1">
      <c r="B8631" s="1348"/>
      <c r="C8631" s="1348"/>
      <c r="D8631" s="1348"/>
      <c r="E8631" s="1348"/>
      <c r="F8631" s="1348"/>
      <c r="G8631" s="1348"/>
      <c r="H8631" s="1348"/>
      <c r="I8631" s="1348"/>
      <c r="J8631" s="1348"/>
      <c r="K8631" s="1348"/>
    </row>
    <row r="8632" spans="2:11" hidden="1">
      <c r="B8632" s="1348"/>
      <c r="C8632" s="1348"/>
      <c r="D8632" s="1348"/>
      <c r="E8632" s="1348"/>
      <c r="F8632" s="1348"/>
      <c r="G8632" s="1348"/>
      <c r="H8632" s="1348"/>
      <c r="I8632" s="1348"/>
      <c r="J8632" s="1348"/>
      <c r="K8632" s="1348"/>
    </row>
    <row r="8633" spans="2:11" hidden="1">
      <c r="B8633" s="1348"/>
      <c r="C8633" s="1348"/>
      <c r="D8633" s="1348"/>
      <c r="E8633" s="1348"/>
      <c r="F8633" s="1348"/>
      <c r="G8633" s="1348"/>
      <c r="H8633" s="1348"/>
      <c r="I8633" s="1348"/>
      <c r="J8633" s="1348"/>
      <c r="K8633" s="1348"/>
    </row>
    <row r="8634" spans="2:11" hidden="1">
      <c r="B8634" s="1348"/>
      <c r="C8634" s="1348"/>
      <c r="D8634" s="1348"/>
      <c r="E8634" s="1348"/>
      <c r="F8634" s="1348"/>
      <c r="G8634" s="1348"/>
      <c r="H8634" s="1348"/>
      <c r="I8634" s="1348"/>
      <c r="J8634" s="1348"/>
      <c r="K8634" s="1348"/>
    </row>
    <row r="8635" spans="2:11" hidden="1">
      <c r="B8635" s="1348"/>
      <c r="C8635" s="1348"/>
      <c r="D8635" s="1348"/>
      <c r="E8635" s="1348"/>
      <c r="F8635" s="1348"/>
      <c r="G8635" s="1348"/>
      <c r="H8635" s="1348"/>
      <c r="I8635" s="1348"/>
      <c r="J8635" s="1348"/>
      <c r="K8635" s="1348"/>
    </row>
    <row r="8636" spans="2:11" hidden="1">
      <c r="B8636" s="1348"/>
      <c r="C8636" s="1348"/>
      <c r="D8636" s="1348"/>
      <c r="E8636" s="1348"/>
      <c r="F8636" s="1348"/>
      <c r="G8636" s="1348"/>
      <c r="H8636" s="1348"/>
      <c r="I8636" s="1348"/>
      <c r="J8636" s="1348"/>
      <c r="K8636" s="1348"/>
    </row>
    <row r="8637" spans="2:11" hidden="1">
      <c r="B8637" s="1348"/>
      <c r="C8637" s="1348"/>
      <c r="D8637" s="1348"/>
      <c r="E8637" s="1348"/>
      <c r="F8637" s="1348"/>
      <c r="G8637" s="1348"/>
      <c r="H8637" s="1348"/>
      <c r="I8637" s="1348"/>
      <c r="J8637" s="1348"/>
      <c r="K8637" s="1348"/>
    </row>
    <row r="8638" spans="2:11" hidden="1">
      <c r="B8638" s="1348"/>
      <c r="C8638" s="1348"/>
      <c r="D8638" s="1348"/>
      <c r="E8638" s="1348"/>
      <c r="F8638" s="1348"/>
      <c r="G8638" s="1348"/>
      <c r="H8638" s="1348"/>
      <c r="I8638" s="1348"/>
      <c r="J8638" s="1348"/>
      <c r="K8638" s="1348"/>
    </row>
    <row r="8639" spans="2:11" hidden="1">
      <c r="B8639" s="1348"/>
      <c r="C8639" s="1348"/>
      <c r="D8639" s="1348"/>
      <c r="E8639" s="1348"/>
      <c r="F8639" s="1348"/>
      <c r="G8639" s="1348"/>
      <c r="H8639" s="1348"/>
      <c r="I8639" s="1348"/>
      <c r="J8639" s="1348"/>
      <c r="K8639" s="1348"/>
    </row>
    <row r="8640" spans="2:11" hidden="1">
      <c r="B8640" s="1348"/>
      <c r="C8640" s="1348"/>
      <c r="D8640" s="1348"/>
      <c r="E8640" s="1348"/>
      <c r="F8640" s="1348"/>
      <c r="G8640" s="1348"/>
      <c r="H8640" s="1348"/>
      <c r="I8640" s="1348"/>
      <c r="J8640" s="1348"/>
      <c r="K8640" s="1348"/>
    </row>
    <row r="8641" spans="2:11" hidden="1">
      <c r="B8641" s="1348"/>
      <c r="C8641" s="1348"/>
      <c r="D8641" s="1348"/>
      <c r="E8641" s="1348"/>
      <c r="F8641" s="1348"/>
      <c r="G8641" s="1348"/>
      <c r="H8641" s="1348"/>
      <c r="I8641" s="1348"/>
      <c r="J8641" s="1348"/>
      <c r="K8641" s="1348"/>
    </row>
    <row r="8642" spans="2:11" hidden="1">
      <c r="B8642" s="1348"/>
      <c r="C8642" s="1348"/>
      <c r="D8642" s="1348"/>
      <c r="E8642" s="1348"/>
      <c r="F8642" s="1348"/>
      <c r="G8642" s="1348"/>
      <c r="H8642" s="1348"/>
      <c r="I8642" s="1348"/>
      <c r="J8642" s="1348"/>
      <c r="K8642" s="1348"/>
    </row>
    <row r="8643" spans="2:11" hidden="1">
      <c r="B8643" s="1348"/>
      <c r="C8643" s="1348"/>
      <c r="D8643" s="1348"/>
      <c r="E8643" s="1348"/>
      <c r="F8643" s="1348"/>
      <c r="G8643" s="1348"/>
      <c r="H8643" s="1348"/>
      <c r="I8643" s="1348"/>
      <c r="J8643" s="1348"/>
      <c r="K8643" s="1348"/>
    </row>
    <row r="8644" spans="2:11" hidden="1">
      <c r="B8644" s="1348"/>
      <c r="C8644" s="1348"/>
      <c r="D8644" s="1348"/>
      <c r="E8644" s="1348"/>
      <c r="F8644" s="1348"/>
      <c r="G8644" s="1348"/>
      <c r="H8644" s="1348"/>
      <c r="I8644" s="1348"/>
      <c r="J8644" s="1348"/>
      <c r="K8644" s="1348"/>
    </row>
    <row r="8645" spans="2:11" hidden="1">
      <c r="B8645" s="1348"/>
      <c r="C8645" s="1348"/>
      <c r="D8645" s="1348"/>
      <c r="E8645" s="1348"/>
      <c r="F8645" s="1348"/>
      <c r="G8645" s="1348"/>
      <c r="H8645" s="1348"/>
      <c r="I8645" s="1348"/>
      <c r="J8645" s="1348"/>
      <c r="K8645" s="1348"/>
    </row>
    <row r="8646" spans="2:11" hidden="1">
      <c r="B8646" s="1348"/>
      <c r="C8646" s="1348"/>
      <c r="D8646" s="1348"/>
      <c r="E8646" s="1348"/>
      <c r="F8646" s="1348"/>
      <c r="G8646" s="1348"/>
      <c r="H8646" s="1348"/>
      <c r="I8646" s="1348"/>
      <c r="J8646" s="1348"/>
      <c r="K8646" s="1348"/>
    </row>
    <row r="8647" spans="2:11" hidden="1">
      <c r="B8647" s="1348"/>
      <c r="C8647" s="1348"/>
      <c r="D8647" s="1348"/>
      <c r="E8647" s="1348"/>
      <c r="F8647" s="1348"/>
      <c r="G8647" s="1348"/>
      <c r="H8647" s="1348"/>
      <c r="I8647" s="1348"/>
      <c r="J8647" s="1348"/>
      <c r="K8647" s="1348"/>
    </row>
    <row r="8648" spans="2:11" hidden="1">
      <c r="B8648" s="1348"/>
      <c r="C8648" s="1348"/>
      <c r="D8648" s="1348"/>
      <c r="E8648" s="1348"/>
      <c r="F8648" s="1348"/>
      <c r="G8648" s="1348"/>
      <c r="H8648" s="1348"/>
      <c r="I8648" s="1348"/>
      <c r="J8648" s="1348"/>
      <c r="K8648" s="1348"/>
    </row>
    <row r="8649" spans="2:11" hidden="1">
      <c r="B8649" s="1348"/>
      <c r="C8649" s="1348"/>
      <c r="D8649" s="1348"/>
      <c r="E8649" s="1348"/>
      <c r="F8649" s="1348"/>
      <c r="G8649" s="1348"/>
      <c r="H8649" s="1348"/>
      <c r="I8649" s="1348"/>
      <c r="J8649" s="1348"/>
      <c r="K8649" s="1348"/>
    </row>
    <row r="8650" spans="2:11" hidden="1">
      <c r="B8650" s="1348"/>
      <c r="C8650" s="1348"/>
      <c r="D8650" s="1348"/>
      <c r="E8650" s="1348"/>
      <c r="F8650" s="1348"/>
      <c r="G8650" s="1348"/>
      <c r="H8650" s="1348"/>
      <c r="I8650" s="1348"/>
      <c r="J8650" s="1348"/>
      <c r="K8650" s="1348"/>
    </row>
    <row r="8651" spans="2:11" hidden="1">
      <c r="B8651" s="1348"/>
      <c r="C8651" s="1348"/>
      <c r="D8651" s="1348"/>
      <c r="E8651" s="1348"/>
      <c r="F8651" s="1348"/>
      <c r="G8651" s="1348"/>
      <c r="H8651" s="1348"/>
      <c r="I8651" s="1348"/>
      <c r="J8651" s="1348"/>
      <c r="K8651" s="1348"/>
    </row>
    <row r="8652" spans="2:11" hidden="1">
      <c r="B8652" s="1348"/>
      <c r="C8652" s="1348"/>
      <c r="D8652" s="1348"/>
      <c r="E8652" s="1348"/>
      <c r="F8652" s="1348"/>
      <c r="G8652" s="1348"/>
      <c r="H8652" s="1348"/>
      <c r="I8652" s="1348"/>
      <c r="J8652" s="1348"/>
      <c r="K8652" s="1348"/>
    </row>
    <row r="8653" spans="2:11" hidden="1">
      <c r="B8653" s="1348"/>
      <c r="C8653" s="1348"/>
      <c r="D8653" s="1348"/>
      <c r="E8653" s="1348"/>
      <c r="F8653" s="1348"/>
      <c r="G8653" s="1348"/>
      <c r="H8653" s="1348"/>
      <c r="I8653" s="1348"/>
      <c r="J8653" s="1348"/>
      <c r="K8653" s="1348"/>
    </row>
    <row r="8654" spans="2:11" hidden="1">
      <c r="B8654" s="1348"/>
      <c r="C8654" s="1348"/>
      <c r="D8654" s="1348"/>
      <c r="E8654" s="1348"/>
      <c r="F8654" s="1348"/>
      <c r="G8654" s="1348"/>
      <c r="H8654" s="1348"/>
      <c r="I8654" s="1348"/>
      <c r="J8654" s="1348"/>
      <c r="K8654" s="1348"/>
    </row>
    <row r="8655" spans="2:11" hidden="1">
      <c r="B8655" s="1348"/>
      <c r="C8655" s="1348"/>
      <c r="D8655" s="1348"/>
      <c r="E8655" s="1348"/>
      <c r="F8655" s="1348"/>
      <c r="G8655" s="1348"/>
      <c r="H8655" s="1348"/>
      <c r="I8655" s="1348"/>
      <c r="J8655" s="1348"/>
      <c r="K8655" s="1348"/>
    </row>
    <row r="8656" spans="2:11" hidden="1">
      <c r="B8656" s="1348"/>
      <c r="C8656" s="1348"/>
      <c r="D8656" s="1348"/>
      <c r="E8656" s="1348"/>
      <c r="F8656" s="1348"/>
      <c r="G8656" s="1348"/>
      <c r="H8656" s="1348"/>
      <c r="I8656" s="1348"/>
      <c r="J8656" s="1348"/>
      <c r="K8656" s="1348"/>
    </row>
    <row r="8657" spans="2:11" hidden="1">
      <c r="B8657" s="1348"/>
      <c r="C8657" s="1348"/>
      <c r="D8657" s="1348"/>
      <c r="E8657" s="1348"/>
      <c r="F8657" s="1348"/>
      <c r="G8657" s="1348"/>
      <c r="H8657" s="1348"/>
      <c r="I8657" s="1348"/>
      <c r="J8657" s="1348"/>
      <c r="K8657" s="1348"/>
    </row>
    <row r="8658" spans="2:11" hidden="1">
      <c r="B8658" s="1348"/>
      <c r="C8658" s="1348"/>
      <c r="D8658" s="1348"/>
      <c r="E8658" s="1348"/>
      <c r="F8658" s="1348"/>
      <c r="G8658" s="1348"/>
      <c r="H8658" s="1348"/>
      <c r="I8658" s="1348"/>
      <c r="J8658" s="1348"/>
      <c r="K8658" s="1348"/>
    </row>
    <row r="8659" spans="2:11" hidden="1">
      <c r="B8659" s="1348"/>
      <c r="C8659" s="1348"/>
      <c r="D8659" s="1348"/>
      <c r="E8659" s="1348"/>
      <c r="F8659" s="1348"/>
      <c r="G8659" s="1348"/>
      <c r="H8659" s="1348"/>
      <c r="I8659" s="1348"/>
      <c r="J8659" s="1348"/>
      <c r="K8659" s="1348"/>
    </row>
    <row r="8660" spans="2:11" hidden="1">
      <c r="B8660" s="1348"/>
      <c r="C8660" s="1348"/>
      <c r="D8660" s="1348"/>
      <c r="E8660" s="1348"/>
      <c r="F8660" s="1348"/>
      <c r="G8660" s="1348"/>
      <c r="H8660" s="1348"/>
      <c r="I8660" s="1348"/>
      <c r="J8660" s="1348"/>
      <c r="K8660" s="1348"/>
    </row>
    <row r="8661" spans="2:11" hidden="1">
      <c r="B8661" s="1348"/>
      <c r="C8661" s="1348"/>
      <c r="D8661" s="1348"/>
      <c r="E8661" s="1348"/>
      <c r="F8661" s="1348"/>
      <c r="G8661" s="1348"/>
      <c r="H8661" s="1348"/>
      <c r="I8661" s="1348"/>
      <c r="J8661" s="1348"/>
      <c r="K8661" s="1348"/>
    </row>
    <row r="8662" spans="2:11" hidden="1">
      <c r="B8662" s="1348"/>
      <c r="C8662" s="1348"/>
      <c r="D8662" s="1348"/>
      <c r="E8662" s="1348"/>
      <c r="F8662" s="1348"/>
      <c r="G8662" s="1348"/>
      <c r="H8662" s="1348"/>
      <c r="I8662" s="1348"/>
      <c r="J8662" s="1348"/>
      <c r="K8662" s="1348"/>
    </row>
    <row r="8663" spans="2:11" hidden="1">
      <c r="B8663" s="1348"/>
      <c r="C8663" s="1348"/>
      <c r="D8663" s="1348"/>
      <c r="E8663" s="1348"/>
      <c r="F8663" s="1348"/>
      <c r="G8663" s="1348"/>
      <c r="H8663" s="1348"/>
      <c r="I8663" s="1348"/>
      <c r="J8663" s="1348"/>
      <c r="K8663" s="1348"/>
    </row>
    <row r="8664" spans="2:11" hidden="1">
      <c r="B8664" s="1348"/>
      <c r="C8664" s="1348"/>
      <c r="D8664" s="1348"/>
      <c r="E8664" s="1348"/>
      <c r="F8664" s="1348"/>
      <c r="G8664" s="1348"/>
      <c r="H8664" s="1348"/>
      <c r="I8664" s="1348"/>
      <c r="J8664" s="1348"/>
      <c r="K8664" s="1348"/>
    </row>
    <row r="8665" spans="2:11" hidden="1">
      <c r="B8665" s="1348"/>
      <c r="C8665" s="1348"/>
      <c r="D8665" s="1348"/>
      <c r="E8665" s="1348"/>
      <c r="F8665" s="1348"/>
      <c r="G8665" s="1348"/>
      <c r="H8665" s="1348"/>
      <c r="I8665" s="1348"/>
      <c r="J8665" s="1348"/>
      <c r="K8665" s="1348"/>
    </row>
    <row r="8666" spans="2:11" hidden="1">
      <c r="B8666" s="1348"/>
      <c r="C8666" s="1348"/>
      <c r="D8666" s="1348"/>
      <c r="E8666" s="1348"/>
      <c r="F8666" s="1348"/>
      <c r="G8666" s="1348"/>
      <c r="H8666" s="1348"/>
      <c r="I8666" s="1348"/>
      <c r="J8666" s="1348"/>
      <c r="K8666" s="1348"/>
    </row>
    <row r="8667" spans="2:11" hidden="1">
      <c r="B8667" s="1348"/>
      <c r="C8667" s="1348"/>
      <c r="D8667" s="1348"/>
      <c r="E8667" s="1348"/>
      <c r="F8667" s="1348"/>
      <c r="G8667" s="1348"/>
      <c r="H8667" s="1348"/>
      <c r="I8667" s="1348"/>
      <c r="J8667" s="1348"/>
      <c r="K8667" s="1348"/>
    </row>
    <row r="8668" spans="2:11" hidden="1">
      <c r="B8668" s="1348"/>
      <c r="C8668" s="1348"/>
      <c r="D8668" s="1348"/>
      <c r="E8668" s="1348"/>
      <c r="F8668" s="1348"/>
      <c r="G8668" s="1348"/>
      <c r="H8668" s="1348"/>
      <c r="I8668" s="1348"/>
      <c r="J8668" s="1348"/>
      <c r="K8668" s="1348"/>
    </row>
    <row r="8669" spans="2:11" hidden="1">
      <c r="B8669" s="1348"/>
      <c r="C8669" s="1348"/>
      <c r="D8669" s="1348"/>
      <c r="E8669" s="1348"/>
      <c r="F8669" s="1348"/>
      <c r="G8669" s="1348"/>
      <c r="H8669" s="1348"/>
      <c r="I8669" s="1348"/>
      <c r="J8669" s="1348"/>
      <c r="K8669" s="1348"/>
    </row>
    <row r="8670" spans="2:11" hidden="1">
      <c r="B8670" s="1348"/>
      <c r="C8670" s="1348"/>
      <c r="D8670" s="1348"/>
      <c r="E8670" s="1348"/>
      <c r="F8670" s="1348"/>
      <c r="G8670" s="1348"/>
      <c r="H8670" s="1348"/>
      <c r="I8670" s="1348"/>
      <c r="J8670" s="1348"/>
      <c r="K8670" s="1348"/>
    </row>
    <row r="8671" spans="2:11" hidden="1">
      <c r="B8671" s="1348"/>
      <c r="C8671" s="1348"/>
      <c r="D8671" s="1348"/>
      <c r="E8671" s="1348"/>
      <c r="F8671" s="1348"/>
      <c r="G8671" s="1348"/>
      <c r="H8671" s="1348"/>
      <c r="I8671" s="1348"/>
      <c r="J8671" s="1348"/>
      <c r="K8671" s="1348"/>
    </row>
    <row r="8672" spans="2:11" hidden="1">
      <c r="B8672" s="1348"/>
      <c r="C8672" s="1348"/>
      <c r="D8672" s="1348"/>
      <c r="E8672" s="1348"/>
      <c r="F8672" s="1348"/>
      <c r="G8672" s="1348"/>
      <c r="H8672" s="1348"/>
      <c r="I8672" s="1348"/>
      <c r="J8672" s="1348"/>
      <c r="K8672" s="1348"/>
    </row>
    <row r="8673" spans="2:11" hidden="1">
      <c r="B8673" s="1348"/>
      <c r="C8673" s="1348"/>
      <c r="D8673" s="1348"/>
      <c r="E8673" s="1348"/>
      <c r="F8673" s="1348"/>
      <c r="G8673" s="1348"/>
      <c r="H8673" s="1348"/>
      <c r="I8673" s="1348"/>
      <c r="J8673" s="1348"/>
      <c r="K8673" s="1348"/>
    </row>
    <row r="8674" spans="2:11" hidden="1">
      <c r="B8674" s="1348"/>
      <c r="C8674" s="1348"/>
      <c r="D8674" s="1348"/>
      <c r="E8674" s="1348"/>
      <c r="F8674" s="1348"/>
      <c r="G8674" s="1348"/>
      <c r="H8674" s="1348"/>
      <c r="I8674" s="1348"/>
      <c r="J8674" s="1348"/>
      <c r="K8674" s="1348"/>
    </row>
    <row r="8675" spans="2:11" hidden="1">
      <c r="B8675" s="1348"/>
      <c r="C8675" s="1348"/>
      <c r="D8675" s="1348"/>
      <c r="E8675" s="1348"/>
      <c r="F8675" s="1348"/>
      <c r="G8675" s="1348"/>
      <c r="H8675" s="1348"/>
      <c r="I8675" s="1348"/>
      <c r="J8675" s="1348"/>
      <c r="K8675" s="1348"/>
    </row>
    <row r="8676" spans="2:11" hidden="1">
      <c r="B8676" s="1348"/>
      <c r="C8676" s="1348"/>
      <c r="D8676" s="1348"/>
      <c r="E8676" s="1348"/>
      <c r="F8676" s="1348"/>
      <c r="G8676" s="1348"/>
      <c r="H8676" s="1348"/>
      <c r="I8676" s="1348"/>
      <c r="J8676" s="1348"/>
      <c r="K8676" s="1348"/>
    </row>
    <row r="8677" spans="2:11" hidden="1">
      <c r="B8677" s="1348"/>
      <c r="C8677" s="1348"/>
      <c r="D8677" s="1348"/>
      <c r="E8677" s="1348"/>
      <c r="F8677" s="1348"/>
      <c r="G8677" s="1348"/>
      <c r="H8677" s="1348"/>
      <c r="I8677" s="1348"/>
      <c r="J8677" s="1348"/>
      <c r="K8677" s="1348"/>
    </row>
    <row r="8678" spans="2:11" hidden="1">
      <c r="B8678" s="1348"/>
      <c r="C8678" s="1348"/>
      <c r="D8678" s="1348"/>
      <c r="E8678" s="1348"/>
      <c r="F8678" s="1348"/>
      <c r="G8678" s="1348"/>
      <c r="H8678" s="1348"/>
      <c r="I8678" s="1348"/>
      <c r="J8678" s="1348"/>
      <c r="K8678" s="1348"/>
    </row>
    <row r="8679" spans="2:11" hidden="1">
      <c r="B8679" s="1348"/>
      <c r="C8679" s="1348"/>
      <c r="D8679" s="1348"/>
      <c r="E8679" s="1348"/>
      <c r="F8679" s="1348"/>
      <c r="G8679" s="1348"/>
      <c r="H8679" s="1348"/>
      <c r="I8679" s="1348"/>
      <c r="J8679" s="1348"/>
      <c r="K8679" s="1348"/>
    </row>
    <row r="8680" spans="2:11" hidden="1">
      <c r="B8680" s="1348"/>
      <c r="C8680" s="1348"/>
      <c r="D8680" s="1348"/>
      <c r="E8680" s="1348"/>
      <c r="F8680" s="1348"/>
      <c r="G8680" s="1348"/>
      <c r="H8680" s="1348"/>
      <c r="I8680" s="1348"/>
      <c r="J8680" s="1348"/>
      <c r="K8680" s="1348"/>
    </row>
    <row r="8681" spans="2:11" hidden="1">
      <c r="B8681" s="1348"/>
      <c r="C8681" s="1348"/>
      <c r="D8681" s="1348"/>
      <c r="E8681" s="1348"/>
      <c r="F8681" s="1348"/>
      <c r="G8681" s="1348"/>
      <c r="H8681" s="1348"/>
      <c r="I8681" s="1348"/>
      <c r="J8681" s="1348"/>
      <c r="K8681" s="1348"/>
    </row>
    <row r="8682" spans="2:11" hidden="1">
      <c r="B8682" s="1348"/>
      <c r="C8682" s="1348"/>
      <c r="D8682" s="1348"/>
      <c r="E8682" s="1348"/>
      <c r="F8682" s="1348"/>
      <c r="G8682" s="1348"/>
      <c r="H8682" s="1348"/>
      <c r="I8682" s="1348"/>
      <c r="J8682" s="1348"/>
      <c r="K8682" s="1348"/>
    </row>
    <row r="8683" spans="2:11" hidden="1">
      <c r="B8683" s="1348"/>
      <c r="C8683" s="1348"/>
      <c r="D8683" s="1348"/>
      <c r="E8683" s="1348"/>
      <c r="F8683" s="1348"/>
      <c r="G8683" s="1348"/>
      <c r="H8683" s="1348"/>
      <c r="I8683" s="1348"/>
      <c r="J8683" s="1348"/>
      <c r="K8683" s="1348"/>
    </row>
    <row r="8684" spans="2:11" hidden="1">
      <c r="B8684" s="1348"/>
      <c r="C8684" s="1348"/>
      <c r="D8684" s="1348"/>
      <c r="E8684" s="1348"/>
      <c r="F8684" s="1348"/>
      <c r="G8684" s="1348"/>
      <c r="H8684" s="1348"/>
      <c r="I8684" s="1348"/>
      <c r="J8684" s="1348"/>
      <c r="K8684" s="1348"/>
    </row>
    <row r="8685" spans="2:11" hidden="1">
      <c r="B8685" s="1348"/>
      <c r="C8685" s="1348"/>
      <c r="D8685" s="1348"/>
      <c r="E8685" s="1348"/>
      <c r="F8685" s="1348"/>
      <c r="G8685" s="1348"/>
      <c r="H8685" s="1348"/>
      <c r="I8685" s="1348"/>
      <c r="J8685" s="1348"/>
      <c r="K8685" s="1348"/>
    </row>
    <row r="8686" spans="2:11" hidden="1">
      <c r="B8686" s="1348"/>
      <c r="C8686" s="1348"/>
      <c r="D8686" s="1348"/>
      <c r="E8686" s="1348"/>
      <c r="F8686" s="1348"/>
      <c r="G8686" s="1348"/>
      <c r="H8686" s="1348"/>
      <c r="I8686" s="1348"/>
      <c r="J8686" s="1348"/>
      <c r="K8686" s="1348"/>
    </row>
    <row r="8687" spans="2:11" hidden="1">
      <c r="B8687" s="1348"/>
      <c r="C8687" s="1348"/>
      <c r="D8687" s="1348"/>
      <c r="E8687" s="1348"/>
      <c r="F8687" s="1348"/>
      <c r="G8687" s="1348"/>
      <c r="H8687" s="1348"/>
      <c r="I8687" s="1348"/>
      <c r="J8687" s="1348"/>
      <c r="K8687" s="1348"/>
    </row>
    <row r="8688" spans="2:11" hidden="1">
      <c r="B8688" s="1348"/>
      <c r="C8688" s="1348"/>
      <c r="D8688" s="1348"/>
      <c r="E8688" s="1348"/>
      <c r="F8688" s="1348"/>
      <c r="G8688" s="1348"/>
      <c r="H8688" s="1348"/>
      <c r="I8688" s="1348"/>
      <c r="J8688" s="1348"/>
      <c r="K8688" s="1348"/>
    </row>
    <row r="8689" spans="2:11" hidden="1">
      <c r="B8689" s="1348"/>
      <c r="C8689" s="1348"/>
      <c r="D8689" s="1348"/>
      <c r="E8689" s="1348"/>
      <c r="F8689" s="1348"/>
      <c r="G8689" s="1348"/>
      <c r="H8689" s="1348"/>
      <c r="I8689" s="1348"/>
      <c r="J8689" s="1348"/>
      <c r="K8689" s="1348"/>
    </row>
    <row r="8690" spans="2:11" hidden="1">
      <c r="B8690" s="1348"/>
      <c r="C8690" s="1348"/>
      <c r="D8690" s="1348"/>
      <c r="E8690" s="1348"/>
      <c r="F8690" s="1348"/>
      <c r="G8690" s="1348"/>
      <c r="H8690" s="1348"/>
      <c r="I8690" s="1348"/>
      <c r="J8690" s="1348"/>
      <c r="K8690" s="1348"/>
    </row>
    <row r="8691" spans="2:11" hidden="1">
      <c r="B8691" s="1348"/>
      <c r="C8691" s="1348"/>
      <c r="D8691" s="1348"/>
      <c r="E8691" s="1348"/>
      <c r="F8691" s="1348"/>
      <c r="G8691" s="1348"/>
      <c r="H8691" s="1348"/>
      <c r="I8691" s="1348"/>
      <c r="J8691" s="1348"/>
      <c r="K8691" s="1348"/>
    </row>
    <row r="8692" spans="2:11" hidden="1">
      <c r="B8692" s="1348"/>
      <c r="C8692" s="1348"/>
      <c r="D8692" s="1348"/>
      <c r="E8692" s="1348"/>
      <c r="F8692" s="1348"/>
      <c r="G8692" s="1348"/>
      <c r="H8692" s="1348"/>
      <c r="I8692" s="1348"/>
      <c r="J8692" s="1348"/>
      <c r="K8692" s="1348"/>
    </row>
    <row r="8693" spans="2:11" hidden="1">
      <c r="B8693" s="1348"/>
      <c r="C8693" s="1348"/>
      <c r="D8693" s="1348"/>
      <c r="E8693" s="1348"/>
      <c r="F8693" s="1348"/>
      <c r="G8693" s="1348"/>
      <c r="H8693" s="1348"/>
      <c r="I8693" s="1348"/>
      <c r="J8693" s="1348"/>
      <c r="K8693" s="1348"/>
    </row>
    <row r="8694" spans="2:11" hidden="1">
      <c r="B8694" s="1348"/>
      <c r="C8694" s="1348"/>
      <c r="D8694" s="1348"/>
      <c r="E8694" s="1348"/>
      <c r="F8694" s="1348"/>
      <c r="G8694" s="1348"/>
      <c r="H8694" s="1348"/>
      <c r="I8694" s="1348"/>
      <c r="J8694" s="1348"/>
      <c r="K8694" s="1348"/>
    </row>
    <row r="8695" spans="2:11" hidden="1">
      <c r="B8695" s="1348"/>
      <c r="C8695" s="1348"/>
      <c r="D8695" s="1348"/>
      <c r="E8695" s="1348"/>
      <c r="F8695" s="1348"/>
      <c r="G8695" s="1348"/>
      <c r="H8695" s="1348"/>
      <c r="I8695" s="1348"/>
      <c r="J8695" s="1348"/>
      <c r="K8695" s="1348"/>
    </row>
    <row r="8696" spans="2:11" hidden="1">
      <c r="B8696" s="1348"/>
      <c r="C8696" s="1348"/>
      <c r="D8696" s="1348"/>
      <c r="E8696" s="1348"/>
      <c r="F8696" s="1348"/>
      <c r="G8696" s="1348"/>
      <c r="H8696" s="1348"/>
      <c r="I8696" s="1348"/>
      <c r="J8696" s="1348"/>
      <c r="K8696" s="1348"/>
    </row>
    <row r="8697" spans="2:11" hidden="1">
      <c r="B8697" s="1348"/>
      <c r="C8697" s="1348"/>
      <c r="D8697" s="1348"/>
      <c r="E8697" s="1348"/>
      <c r="F8697" s="1348"/>
      <c r="G8697" s="1348"/>
      <c r="H8697" s="1348"/>
      <c r="I8697" s="1348"/>
      <c r="J8697" s="1348"/>
      <c r="K8697" s="1348"/>
    </row>
    <row r="8698" spans="2:11" hidden="1">
      <c r="B8698" s="1348"/>
      <c r="C8698" s="1348"/>
      <c r="D8698" s="1348"/>
      <c r="E8698" s="1348"/>
      <c r="F8698" s="1348"/>
      <c r="G8698" s="1348"/>
      <c r="H8698" s="1348"/>
      <c r="I8698" s="1348"/>
      <c r="J8698" s="1348"/>
      <c r="K8698" s="1348"/>
    </row>
    <row r="8699" spans="2:11" hidden="1">
      <c r="B8699" s="1348"/>
      <c r="C8699" s="1348"/>
      <c r="D8699" s="1348"/>
      <c r="E8699" s="1348"/>
      <c r="F8699" s="1348"/>
      <c r="G8699" s="1348"/>
      <c r="H8699" s="1348"/>
      <c r="I8699" s="1348"/>
      <c r="J8699" s="1348"/>
      <c r="K8699" s="1348"/>
    </row>
    <row r="8700" spans="2:11" hidden="1">
      <c r="B8700" s="1348"/>
      <c r="C8700" s="1348"/>
      <c r="D8700" s="1348"/>
      <c r="E8700" s="1348"/>
      <c r="F8700" s="1348"/>
      <c r="G8700" s="1348"/>
      <c r="H8700" s="1348"/>
      <c r="I8700" s="1348"/>
      <c r="J8700" s="1348"/>
      <c r="K8700" s="1348"/>
    </row>
    <row r="8701" spans="2:11" hidden="1">
      <c r="B8701" s="1348"/>
      <c r="C8701" s="1348"/>
      <c r="D8701" s="1348"/>
      <c r="E8701" s="1348"/>
      <c r="F8701" s="1348"/>
      <c r="G8701" s="1348"/>
      <c r="H8701" s="1348"/>
      <c r="I8701" s="1348"/>
      <c r="J8701" s="1348"/>
      <c r="K8701" s="1348"/>
    </row>
    <row r="8702" spans="2:11" hidden="1">
      <c r="B8702" s="1348"/>
      <c r="C8702" s="1348"/>
      <c r="D8702" s="1348"/>
      <c r="E8702" s="1348"/>
      <c r="F8702" s="1348"/>
      <c r="G8702" s="1348"/>
      <c r="H8702" s="1348"/>
      <c r="I8702" s="1348"/>
      <c r="J8702" s="1348"/>
      <c r="K8702" s="1348"/>
    </row>
    <row r="8703" spans="2:11" hidden="1">
      <c r="B8703" s="1348"/>
      <c r="C8703" s="1348"/>
      <c r="D8703" s="1348"/>
      <c r="E8703" s="1348"/>
      <c r="F8703" s="1348"/>
      <c r="G8703" s="1348"/>
      <c r="H8703" s="1348"/>
      <c r="I8703" s="1348"/>
      <c r="J8703" s="1348"/>
      <c r="K8703" s="1348"/>
    </row>
    <row r="8704" spans="2:11" hidden="1">
      <c r="B8704" s="1348"/>
      <c r="C8704" s="1348"/>
      <c r="D8704" s="1348"/>
      <c r="E8704" s="1348"/>
      <c r="F8704" s="1348"/>
      <c r="G8704" s="1348"/>
      <c r="H8704" s="1348"/>
      <c r="I8704" s="1348"/>
      <c r="J8704" s="1348"/>
      <c r="K8704" s="1348"/>
    </row>
    <row r="8705" spans="2:11" hidden="1">
      <c r="B8705" s="1348"/>
      <c r="C8705" s="1348"/>
      <c r="D8705" s="1348"/>
      <c r="E8705" s="1348"/>
      <c r="F8705" s="1348"/>
      <c r="G8705" s="1348"/>
      <c r="H8705" s="1348"/>
      <c r="I8705" s="1348"/>
      <c r="J8705" s="1348"/>
      <c r="K8705" s="1348"/>
    </row>
    <row r="8706" spans="2:11" hidden="1">
      <c r="B8706" s="1348"/>
      <c r="C8706" s="1348"/>
      <c r="D8706" s="1348"/>
      <c r="E8706" s="1348"/>
      <c r="F8706" s="1348"/>
      <c r="G8706" s="1348"/>
      <c r="H8706" s="1348"/>
      <c r="I8706" s="1348"/>
      <c r="J8706" s="1348"/>
      <c r="K8706" s="1348"/>
    </row>
    <row r="8707" spans="2:11" hidden="1">
      <c r="B8707" s="1348"/>
      <c r="C8707" s="1348"/>
      <c r="D8707" s="1348"/>
      <c r="E8707" s="1348"/>
      <c r="F8707" s="1348"/>
      <c r="G8707" s="1348"/>
      <c r="H8707" s="1348"/>
      <c r="I8707" s="1348"/>
      <c r="J8707" s="1348"/>
      <c r="K8707" s="1348"/>
    </row>
    <row r="8708" spans="2:11" hidden="1">
      <c r="B8708" s="1348"/>
      <c r="C8708" s="1348"/>
      <c r="D8708" s="1348"/>
      <c r="E8708" s="1348"/>
      <c r="F8708" s="1348"/>
      <c r="G8708" s="1348"/>
      <c r="H8708" s="1348"/>
      <c r="I8708" s="1348"/>
      <c r="J8708" s="1348"/>
      <c r="K8708" s="1348"/>
    </row>
    <row r="8709" spans="2:11" hidden="1">
      <c r="B8709" s="1348"/>
      <c r="C8709" s="1348"/>
      <c r="D8709" s="1348"/>
      <c r="E8709" s="1348"/>
      <c r="F8709" s="1348"/>
      <c r="G8709" s="1348"/>
      <c r="H8709" s="1348"/>
      <c r="I8709" s="1348"/>
      <c r="J8709" s="1348"/>
      <c r="K8709" s="1348"/>
    </row>
    <row r="8710" spans="2:11" hidden="1">
      <c r="B8710" s="1348"/>
      <c r="C8710" s="1348"/>
      <c r="D8710" s="1348"/>
      <c r="E8710" s="1348"/>
      <c r="F8710" s="1348"/>
      <c r="G8710" s="1348"/>
      <c r="H8710" s="1348"/>
      <c r="I8710" s="1348"/>
      <c r="J8710" s="1348"/>
      <c r="K8710" s="1348"/>
    </row>
    <row r="8711" spans="2:11" hidden="1">
      <c r="B8711" s="1348"/>
      <c r="C8711" s="1348"/>
      <c r="D8711" s="1348"/>
      <c r="E8711" s="1348"/>
      <c r="F8711" s="1348"/>
      <c r="G8711" s="1348"/>
      <c r="H8711" s="1348"/>
      <c r="I8711" s="1348"/>
      <c r="J8711" s="1348"/>
      <c r="K8711" s="1348"/>
    </row>
    <row r="8712" spans="2:11" hidden="1">
      <c r="B8712" s="1348"/>
      <c r="C8712" s="1348"/>
      <c r="D8712" s="1348"/>
      <c r="E8712" s="1348"/>
      <c r="F8712" s="1348"/>
      <c r="G8712" s="1348"/>
      <c r="H8712" s="1348"/>
      <c r="I8712" s="1348"/>
      <c r="J8712" s="1348"/>
      <c r="K8712" s="1348"/>
    </row>
    <row r="8713" spans="2:11" hidden="1">
      <c r="B8713" s="1348"/>
      <c r="C8713" s="1348"/>
      <c r="D8713" s="1348"/>
      <c r="E8713" s="1348"/>
      <c r="F8713" s="1348"/>
      <c r="G8713" s="1348"/>
      <c r="H8713" s="1348"/>
      <c r="I8713" s="1348"/>
      <c r="J8713" s="1348"/>
      <c r="K8713" s="1348"/>
    </row>
    <row r="8714" spans="2:11" hidden="1">
      <c r="B8714" s="1348"/>
      <c r="C8714" s="1348"/>
      <c r="D8714" s="1348"/>
      <c r="E8714" s="1348"/>
      <c r="F8714" s="1348"/>
      <c r="G8714" s="1348"/>
      <c r="H8714" s="1348"/>
      <c r="I8714" s="1348"/>
      <c r="J8714" s="1348"/>
      <c r="K8714" s="1348"/>
    </row>
    <row r="8715" spans="2:11" hidden="1">
      <c r="B8715" s="1348"/>
      <c r="C8715" s="1348"/>
      <c r="D8715" s="1348"/>
      <c r="E8715" s="1348"/>
      <c r="F8715" s="1348"/>
      <c r="G8715" s="1348"/>
      <c r="H8715" s="1348"/>
      <c r="I8715" s="1348"/>
      <c r="J8715" s="1348"/>
      <c r="K8715" s="1348"/>
    </row>
    <row r="8716" spans="2:11" hidden="1">
      <c r="B8716" s="1348"/>
      <c r="C8716" s="1348"/>
      <c r="D8716" s="1348"/>
      <c r="E8716" s="1348"/>
      <c r="F8716" s="1348"/>
      <c r="G8716" s="1348"/>
      <c r="H8716" s="1348"/>
      <c r="I8716" s="1348"/>
      <c r="J8716" s="1348"/>
      <c r="K8716" s="1348"/>
    </row>
    <row r="8717" spans="2:11" hidden="1">
      <c r="B8717" s="1348"/>
      <c r="C8717" s="1348"/>
      <c r="D8717" s="1348"/>
      <c r="E8717" s="1348"/>
      <c r="F8717" s="1348"/>
      <c r="G8717" s="1348"/>
      <c r="H8717" s="1348"/>
      <c r="I8717" s="1348"/>
      <c r="J8717" s="1348"/>
      <c r="K8717" s="1348"/>
    </row>
    <row r="8718" spans="2:11" hidden="1">
      <c r="B8718" s="1348"/>
      <c r="C8718" s="1348"/>
      <c r="D8718" s="1348"/>
      <c r="E8718" s="1348"/>
      <c r="F8718" s="1348"/>
      <c r="G8718" s="1348"/>
      <c r="H8718" s="1348"/>
      <c r="I8718" s="1348"/>
      <c r="J8718" s="1348"/>
      <c r="K8718" s="1348"/>
    </row>
    <row r="8719" spans="2:11" hidden="1">
      <c r="B8719" s="1348"/>
      <c r="C8719" s="1348"/>
      <c r="D8719" s="1348"/>
      <c r="E8719" s="1348"/>
      <c r="F8719" s="1348"/>
      <c r="G8719" s="1348"/>
      <c r="H8719" s="1348"/>
      <c r="I8719" s="1348"/>
      <c r="J8719" s="1348"/>
      <c r="K8719" s="1348"/>
    </row>
    <row r="8720" spans="2:11" hidden="1">
      <c r="B8720" s="1348"/>
      <c r="C8720" s="1348"/>
      <c r="D8720" s="1348"/>
      <c r="E8720" s="1348"/>
      <c r="F8720" s="1348"/>
      <c r="G8720" s="1348"/>
      <c r="H8720" s="1348"/>
      <c r="I8720" s="1348"/>
      <c r="J8720" s="1348"/>
      <c r="K8720" s="1348"/>
    </row>
    <row r="8721" spans="2:11" hidden="1">
      <c r="B8721" s="1348"/>
      <c r="C8721" s="1348"/>
      <c r="D8721" s="1348"/>
      <c r="E8721" s="1348"/>
      <c r="F8721" s="1348"/>
      <c r="G8721" s="1348"/>
      <c r="H8721" s="1348"/>
      <c r="I8721" s="1348"/>
      <c r="J8721" s="1348"/>
      <c r="K8721" s="1348"/>
    </row>
    <row r="8722" spans="2:11" hidden="1">
      <c r="B8722" s="1348"/>
      <c r="C8722" s="1348"/>
      <c r="D8722" s="1348"/>
      <c r="E8722" s="1348"/>
      <c r="F8722" s="1348"/>
      <c r="G8722" s="1348"/>
      <c r="H8722" s="1348"/>
      <c r="I8722" s="1348"/>
      <c r="J8722" s="1348"/>
      <c r="K8722" s="1348"/>
    </row>
    <row r="8723" spans="2:11" hidden="1">
      <c r="B8723" s="1348"/>
      <c r="C8723" s="1348"/>
      <c r="D8723" s="1348"/>
      <c r="E8723" s="1348"/>
      <c r="F8723" s="1348"/>
      <c r="G8723" s="1348"/>
      <c r="H8723" s="1348"/>
      <c r="I8723" s="1348"/>
      <c r="J8723" s="1348"/>
      <c r="K8723" s="1348"/>
    </row>
    <row r="8724" spans="2:11" hidden="1">
      <c r="B8724" s="1348"/>
      <c r="C8724" s="1348"/>
      <c r="D8724" s="1348"/>
      <c r="E8724" s="1348"/>
      <c r="F8724" s="1348"/>
      <c r="G8724" s="1348"/>
      <c r="H8724" s="1348"/>
      <c r="I8724" s="1348"/>
      <c r="J8724" s="1348"/>
      <c r="K8724" s="1348"/>
    </row>
    <row r="8725" spans="2:11" hidden="1">
      <c r="B8725" s="1348"/>
      <c r="C8725" s="1348"/>
      <c r="D8725" s="1348"/>
      <c r="E8725" s="1348"/>
      <c r="F8725" s="1348"/>
      <c r="G8725" s="1348"/>
      <c r="H8725" s="1348"/>
      <c r="I8725" s="1348"/>
      <c r="J8725" s="1348"/>
      <c r="K8725" s="1348"/>
    </row>
    <row r="8726" spans="2:11" hidden="1">
      <c r="B8726" s="1348"/>
      <c r="C8726" s="1348"/>
      <c r="D8726" s="1348"/>
      <c r="E8726" s="1348"/>
      <c r="F8726" s="1348"/>
      <c r="G8726" s="1348"/>
      <c r="H8726" s="1348"/>
      <c r="I8726" s="1348"/>
      <c r="J8726" s="1348"/>
      <c r="K8726" s="1348"/>
    </row>
    <row r="8727" spans="2:11" hidden="1">
      <c r="B8727" s="1348"/>
      <c r="C8727" s="1348"/>
      <c r="D8727" s="1348"/>
      <c r="E8727" s="1348"/>
      <c r="F8727" s="1348"/>
      <c r="G8727" s="1348"/>
      <c r="H8727" s="1348"/>
      <c r="I8727" s="1348"/>
      <c r="J8727" s="1348"/>
      <c r="K8727" s="1348"/>
    </row>
    <row r="8728" spans="2:11" hidden="1">
      <c r="B8728" s="1348"/>
      <c r="C8728" s="1348"/>
      <c r="D8728" s="1348"/>
      <c r="E8728" s="1348"/>
      <c r="F8728" s="1348"/>
      <c r="G8728" s="1348"/>
      <c r="H8728" s="1348"/>
      <c r="I8728" s="1348"/>
      <c r="J8728" s="1348"/>
      <c r="K8728" s="1348"/>
    </row>
    <row r="8729" spans="2:11" hidden="1">
      <c r="B8729" s="1348"/>
      <c r="C8729" s="1348"/>
      <c r="D8729" s="1348"/>
      <c r="E8729" s="1348"/>
      <c r="F8729" s="1348"/>
      <c r="G8729" s="1348"/>
      <c r="H8729" s="1348"/>
      <c r="I8729" s="1348"/>
      <c r="J8729" s="1348"/>
      <c r="K8729" s="1348"/>
    </row>
    <row r="8730" spans="2:11" hidden="1">
      <c r="B8730" s="1348"/>
      <c r="C8730" s="1348"/>
      <c r="D8730" s="1348"/>
      <c r="E8730" s="1348"/>
      <c r="F8730" s="1348"/>
      <c r="G8730" s="1348"/>
      <c r="H8730" s="1348"/>
      <c r="I8730" s="1348"/>
      <c r="J8730" s="1348"/>
      <c r="K8730" s="1348"/>
    </row>
    <row r="8731" spans="2:11" hidden="1">
      <c r="B8731" s="1348"/>
      <c r="C8731" s="1348"/>
      <c r="D8731" s="1348"/>
      <c r="E8731" s="1348"/>
      <c r="F8731" s="1348"/>
      <c r="G8731" s="1348"/>
      <c r="H8731" s="1348"/>
      <c r="I8731" s="1348"/>
      <c r="J8731" s="1348"/>
      <c r="K8731" s="1348"/>
    </row>
    <row r="8732" spans="2:11" hidden="1">
      <c r="B8732" s="1348"/>
      <c r="C8732" s="1348"/>
      <c r="D8732" s="1348"/>
      <c r="E8732" s="1348"/>
      <c r="F8732" s="1348"/>
      <c r="G8732" s="1348"/>
      <c r="H8732" s="1348"/>
      <c r="I8732" s="1348"/>
      <c r="J8732" s="1348"/>
      <c r="K8732" s="1348"/>
    </row>
    <row r="8733" spans="2:11" hidden="1">
      <c r="B8733" s="1348"/>
      <c r="C8733" s="1348"/>
      <c r="D8733" s="1348"/>
      <c r="E8733" s="1348"/>
      <c r="F8733" s="1348"/>
      <c r="G8733" s="1348"/>
      <c r="H8733" s="1348"/>
      <c r="I8733" s="1348"/>
      <c r="J8733" s="1348"/>
      <c r="K8733" s="1348"/>
    </row>
    <row r="8734" spans="2:11" hidden="1">
      <c r="B8734" s="1348"/>
      <c r="C8734" s="1348"/>
      <c r="D8734" s="1348"/>
      <c r="E8734" s="1348"/>
      <c r="F8734" s="1348"/>
      <c r="G8734" s="1348"/>
      <c r="H8734" s="1348"/>
      <c r="I8734" s="1348"/>
      <c r="J8734" s="1348"/>
      <c r="K8734" s="1348"/>
    </row>
    <row r="8735" spans="2:11" hidden="1">
      <c r="B8735" s="1348"/>
      <c r="C8735" s="1348"/>
      <c r="D8735" s="1348"/>
      <c r="E8735" s="1348"/>
      <c r="F8735" s="1348"/>
      <c r="G8735" s="1348"/>
      <c r="H8735" s="1348"/>
      <c r="I8735" s="1348"/>
      <c r="J8735" s="1348"/>
      <c r="K8735" s="1348"/>
    </row>
    <row r="8736" spans="2:11" hidden="1">
      <c r="B8736" s="1348"/>
      <c r="C8736" s="1348"/>
      <c r="D8736" s="1348"/>
      <c r="E8736" s="1348"/>
      <c r="F8736" s="1348"/>
      <c r="G8736" s="1348"/>
      <c r="H8736" s="1348"/>
      <c r="I8736" s="1348"/>
      <c r="J8736" s="1348"/>
      <c r="K8736" s="1348"/>
    </row>
    <row r="8737" spans="2:11" hidden="1">
      <c r="B8737" s="1348"/>
      <c r="C8737" s="1348"/>
      <c r="D8737" s="1348"/>
      <c r="E8737" s="1348"/>
      <c r="F8737" s="1348"/>
      <c r="G8737" s="1348"/>
      <c r="H8737" s="1348"/>
      <c r="I8737" s="1348"/>
      <c r="J8737" s="1348"/>
      <c r="K8737" s="1348"/>
    </row>
    <row r="8738" spans="2:11" hidden="1">
      <c r="B8738" s="1348"/>
      <c r="C8738" s="1348"/>
      <c r="D8738" s="1348"/>
      <c r="E8738" s="1348"/>
      <c r="F8738" s="1348"/>
      <c r="G8738" s="1348"/>
      <c r="H8738" s="1348"/>
      <c r="I8738" s="1348"/>
      <c r="J8738" s="1348"/>
      <c r="K8738" s="1348"/>
    </row>
    <row r="8739" spans="2:11" hidden="1">
      <c r="B8739" s="1348"/>
      <c r="C8739" s="1348"/>
      <c r="D8739" s="1348"/>
      <c r="E8739" s="1348"/>
      <c r="F8739" s="1348"/>
      <c r="G8739" s="1348"/>
      <c r="H8739" s="1348"/>
      <c r="I8739" s="1348"/>
      <c r="J8739" s="1348"/>
      <c r="K8739" s="1348"/>
    </row>
    <row r="8740" spans="2:11" hidden="1">
      <c r="B8740" s="1348"/>
      <c r="C8740" s="1348"/>
      <c r="D8740" s="1348"/>
      <c r="E8740" s="1348"/>
      <c r="F8740" s="1348"/>
      <c r="G8740" s="1348"/>
      <c r="H8740" s="1348"/>
      <c r="I8740" s="1348"/>
      <c r="J8740" s="1348"/>
      <c r="K8740" s="1348"/>
    </row>
    <row r="8741" spans="2:11" hidden="1">
      <c r="B8741" s="1348"/>
      <c r="C8741" s="1348"/>
      <c r="D8741" s="1348"/>
      <c r="E8741" s="1348"/>
      <c r="F8741" s="1348"/>
      <c r="G8741" s="1348"/>
      <c r="H8741" s="1348"/>
      <c r="I8741" s="1348"/>
      <c r="J8741" s="1348"/>
      <c r="K8741" s="1348"/>
    </row>
    <row r="8742" spans="2:11" hidden="1">
      <c r="B8742" s="1348"/>
      <c r="C8742" s="1348"/>
      <c r="D8742" s="1348"/>
      <c r="E8742" s="1348"/>
      <c r="F8742" s="1348"/>
      <c r="G8742" s="1348"/>
      <c r="H8742" s="1348"/>
      <c r="I8742" s="1348"/>
      <c r="J8742" s="1348"/>
      <c r="K8742" s="1348"/>
    </row>
    <row r="8743" spans="2:11" hidden="1">
      <c r="B8743" s="1348"/>
      <c r="C8743" s="1348"/>
      <c r="D8743" s="1348"/>
      <c r="E8743" s="1348"/>
      <c r="F8743" s="1348"/>
      <c r="G8743" s="1348"/>
      <c r="H8743" s="1348"/>
      <c r="I8743" s="1348"/>
      <c r="J8743" s="1348"/>
      <c r="K8743" s="1348"/>
    </row>
    <row r="8744" spans="2:11" hidden="1">
      <c r="B8744" s="1348"/>
      <c r="C8744" s="1348"/>
      <c r="D8744" s="1348"/>
      <c r="E8744" s="1348"/>
      <c r="F8744" s="1348"/>
      <c r="G8744" s="1348"/>
      <c r="H8744" s="1348"/>
      <c r="I8744" s="1348"/>
      <c r="J8744" s="1348"/>
      <c r="K8744" s="1348"/>
    </row>
    <row r="8745" spans="2:11" hidden="1">
      <c r="B8745" s="1348"/>
      <c r="C8745" s="1348"/>
      <c r="D8745" s="1348"/>
      <c r="E8745" s="1348"/>
      <c r="F8745" s="1348"/>
      <c r="G8745" s="1348"/>
      <c r="H8745" s="1348"/>
      <c r="I8745" s="1348"/>
      <c r="J8745" s="1348"/>
      <c r="K8745" s="1348"/>
    </row>
    <row r="8746" spans="2:11" hidden="1">
      <c r="B8746" s="1348"/>
      <c r="C8746" s="1348"/>
      <c r="D8746" s="1348"/>
      <c r="E8746" s="1348"/>
      <c r="F8746" s="1348"/>
      <c r="G8746" s="1348"/>
      <c r="H8746" s="1348"/>
      <c r="I8746" s="1348"/>
      <c r="J8746" s="1348"/>
      <c r="K8746" s="1348"/>
    </row>
    <row r="8747" spans="2:11" hidden="1">
      <c r="B8747" s="1348"/>
      <c r="C8747" s="1348"/>
      <c r="D8747" s="1348"/>
      <c r="E8747" s="1348"/>
      <c r="F8747" s="1348"/>
      <c r="G8747" s="1348"/>
      <c r="H8747" s="1348"/>
      <c r="I8747" s="1348"/>
      <c r="J8747" s="1348"/>
      <c r="K8747" s="1348"/>
    </row>
    <row r="8748" spans="2:11" hidden="1">
      <c r="B8748" s="1348"/>
      <c r="C8748" s="1348"/>
      <c r="D8748" s="1348"/>
      <c r="E8748" s="1348"/>
      <c r="F8748" s="1348"/>
      <c r="G8748" s="1348"/>
      <c r="H8748" s="1348"/>
      <c r="I8748" s="1348"/>
      <c r="J8748" s="1348"/>
      <c r="K8748" s="1348"/>
    </row>
    <row r="8749" spans="2:11" hidden="1">
      <c r="B8749" s="1348"/>
      <c r="C8749" s="1348"/>
      <c r="D8749" s="1348"/>
      <c r="E8749" s="1348"/>
      <c r="F8749" s="1348"/>
      <c r="G8749" s="1348"/>
      <c r="H8749" s="1348"/>
      <c r="I8749" s="1348"/>
      <c r="J8749" s="1348"/>
      <c r="K8749" s="1348"/>
    </row>
    <row r="8750" spans="2:11" hidden="1">
      <c r="B8750" s="1348"/>
      <c r="C8750" s="1348"/>
      <c r="D8750" s="1348"/>
      <c r="E8750" s="1348"/>
      <c r="F8750" s="1348"/>
      <c r="G8750" s="1348"/>
      <c r="H8750" s="1348"/>
      <c r="I8750" s="1348"/>
      <c r="J8750" s="1348"/>
      <c r="K8750" s="1348"/>
    </row>
    <row r="8751" spans="2:11" hidden="1">
      <c r="B8751" s="1348"/>
      <c r="C8751" s="1348"/>
      <c r="D8751" s="1348"/>
      <c r="E8751" s="1348"/>
      <c r="F8751" s="1348"/>
      <c r="G8751" s="1348"/>
      <c r="H8751" s="1348"/>
      <c r="I8751" s="1348"/>
      <c r="J8751" s="1348"/>
      <c r="K8751" s="1348"/>
    </row>
    <row r="8752" spans="2:11" hidden="1">
      <c r="B8752" s="1348"/>
      <c r="C8752" s="1348"/>
      <c r="D8752" s="1348"/>
      <c r="E8752" s="1348"/>
      <c r="F8752" s="1348"/>
      <c r="G8752" s="1348"/>
      <c r="H8752" s="1348"/>
      <c r="I8752" s="1348"/>
      <c r="J8752" s="1348"/>
      <c r="K8752" s="1348"/>
    </row>
    <row r="8753" spans="2:11" hidden="1">
      <c r="B8753" s="1348"/>
      <c r="C8753" s="1348"/>
      <c r="D8753" s="1348"/>
      <c r="E8753" s="1348"/>
      <c r="F8753" s="1348"/>
      <c r="G8753" s="1348"/>
      <c r="H8753" s="1348"/>
      <c r="I8753" s="1348"/>
      <c r="J8753" s="1348"/>
      <c r="K8753" s="1348"/>
    </row>
    <row r="8754" spans="2:11" hidden="1">
      <c r="B8754" s="1348"/>
      <c r="C8754" s="1348"/>
      <c r="D8754" s="1348"/>
      <c r="E8754" s="1348"/>
      <c r="F8754" s="1348"/>
      <c r="G8754" s="1348"/>
      <c r="H8754" s="1348"/>
      <c r="I8754" s="1348"/>
      <c r="J8754" s="1348"/>
      <c r="K8754" s="1348"/>
    </row>
    <row r="8755" spans="2:11" hidden="1">
      <c r="B8755" s="1348"/>
      <c r="C8755" s="1348"/>
      <c r="D8755" s="1348"/>
      <c r="E8755" s="1348"/>
      <c r="F8755" s="1348"/>
      <c r="G8755" s="1348"/>
      <c r="H8755" s="1348"/>
      <c r="I8755" s="1348"/>
      <c r="J8755" s="1348"/>
      <c r="K8755" s="1348"/>
    </row>
    <row r="8756" spans="2:11" hidden="1">
      <c r="B8756" s="1348"/>
      <c r="C8756" s="1348"/>
      <c r="D8756" s="1348"/>
      <c r="E8756" s="1348"/>
      <c r="F8756" s="1348"/>
      <c r="G8756" s="1348"/>
      <c r="H8756" s="1348"/>
      <c r="I8756" s="1348"/>
      <c r="J8756" s="1348"/>
      <c r="K8756" s="1348"/>
    </row>
    <row r="8757" spans="2:11" hidden="1">
      <c r="B8757" s="1348"/>
      <c r="C8757" s="1348"/>
      <c r="D8757" s="1348"/>
      <c r="E8757" s="1348"/>
      <c r="F8757" s="1348"/>
      <c r="G8757" s="1348"/>
      <c r="H8757" s="1348"/>
      <c r="I8757" s="1348"/>
      <c r="J8757" s="1348"/>
      <c r="K8757" s="1348"/>
    </row>
    <row r="8758" spans="2:11" hidden="1">
      <c r="B8758" s="1348"/>
      <c r="C8758" s="1348"/>
      <c r="D8758" s="1348"/>
      <c r="E8758" s="1348"/>
      <c r="F8758" s="1348"/>
      <c r="G8758" s="1348"/>
      <c r="H8758" s="1348"/>
      <c r="I8758" s="1348"/>
      <c r="J8758" s="1348"/>
      <c r="K8758" s="1348"/>
    </row>
    <row r="8759" spans="2:11" hidden="1">
      <c r="B8759" s="1348"/>
      <c r="C8759" s="1348"/>
      <c r="D8759" s="1348"/>
      <c r="E8759" s="1348"/>
      <c r="F8759" s="1348"/>
      <c r="G8759" s="1348"/>
      <c r="H8759" s="1348"/>
      <c r="I8759" s="1348"/>
      <c r="J8759" s="1348"/>
      <c r="K8759" s="1348"/>
    </row>
    <row r="8760" spans="2:11" hidden="1">
      <c r="B8760" s="1348"/>
      <c r="C8760" s="1348"/>
      <c r="D8760" s="1348"/>
      <c r="E8760" s="1348"/>
      <c r="F8760" s="1348"/>
      <c r="G8760" s="1348"/>
      <c r="H8760" s="1348"/>
      <c r="I8760" s="1348"/>
      <c r="J8760" s="1348"/>
      <c r="K8760" s="1348"/>
    </row>
    <row r="8761" spans="2:11" hidden="1">
      <c r="B8761" s="1348"/>
      <c r="C8761" s="1348"/>
      <c r="D8761" s="1348"/>
      <c r="E8761" s="1348"/>
      <c r="F8761" s="1348"/>
      <c r="G8761" s="1348"/>
      <c r="H8761" s="1348"/>
      <c r="I8761" s="1348"/>
      <c r="J8761" s="1348"/>
      <c r="K8761" s="1348"/>
    </row>
    <row r="8762" spans="2:11" hidden="1">
      <c r="B8762" s="1348"/>
      <c r="C8762" s="1348"/>
      <c r="D8762" s="1348"/>
      <c r="E8762" s="1348"/>
      <c r="F8762" s="1348"/>
      <c r="G8762" s="1348"/>
      <c r="H8762" s="1348"/>
      <c r="I8762" s="1348"/>
      <c r="J8762" s="1348"/>
      <c r="K8762" s="1348"/>
    </row>
    <row r="8763" spans="2:11" hidden="1">
      <c r="B8763" s="1348"/>
      <c r="C8763" s="1348"/>
      <c r="D8763" s="1348"/>
      <c r="E8763" s="1348"/>
      <c r="F8763" s="1348"/>
      <c r="G8763" s="1348"/>
      <c r="H8763" s="1348"/>
      <c r="I8763" s="1348"/>
      <c r="J8763" s="1348"/>
      <c r="K8763" s="1348"/>
    </row>
    <row r="8764" spans="2:11" hidden="1">
      <c r="B8764" s="1348"/>
      <c r="C8764" s="1348"/>
      <c r="D8764" s="1348"/>
      <c r="E8764" s="1348"/>
      <c r="F8764" s="1348"/>
      <c r="G8764" s="1348"/>
      <c r="H8764" s="1348"/>
      <c r="I8764" s="1348"/>
      <c r="J8764" s="1348"/>
      <c r="K8764" s="1348"/>
    </row>
    <row r="8765" spans="2:11" hidden="1">
      <c r="B8765" s="1348"/>
      <c r="C8765" s="1348"/>
      <c r="D8765" s="1348"/>
      <c r="E8765" s="1348"/>
      <c r="F8765" s="1348"/>
      <c r="G8765" s="1348"/>
      <c r="H8765" s="1348"/>
      <c r="I8765" s="1348"/>
      <c r="J8765" s="1348"/>
      <c r="K8765" s="1348"/>
    </row>
    <row r="8766" spans="2:11" hidden="1">
      <c r="B8766" s="1348"/>
      <c r="C8766" s="1348"/>
      <c r="D8766" s="1348"/>
      <c r="E8766" s="1348"/>
      <c r="F8766" s="1348"/>
      <c r="G8766" s="1348"/>
      <c r="H8766" s="1348"/>
      <c r="I8766" s="1348"/>
      <c r="J8766" s="1348"/>
      <c r="K8766" s="1348"/>
    </row>
    <row r="8767" spans="2:11" hidden="1">
      <c r="B8767" s="1348"/>
      <c r="C8767" s="1348"/>
      <c r="D8767" s="1348"/>
      <c r="E8767" s="1348"/>
      <c r="F8767" s="1348"/>
      <c r="G8767" s="1348"/>
      <c r="H8767" s="1348"/>
      <c r="I8767" s="1348"/>
      <c r="J8767" s="1348"/>
      <c r="K8767" s="1348"/>
    </row>
    <row r="8768" spans="2:11" hidden="1">
      <c r="B8768" s="1348"/>
      <c r="C8768" s="1348"/>
      <c r="D8768" s="1348"/>
      <c r="E8768" s="1348"/>
      <c r="F8768" s="1348"/>
      <c r="G8768" s="1348"/>
      <c r="H8768" s="1348"/>
      <c r="I8768" s="1348"/>
      <c r="J8768" s="1348"/>
      <c r="K8768" s="1348"/>
    </row>
    <row r="8769" spans="2:11" hidden="1">
      <c r="B8769" s="1348"/>
      <c r="C8769" s="1348"/>
      <c r="D8769" s="1348"/>
      <c r="E8769" s="1348"/>
      <c r="F8769" s="1348"/>
      <c r="G8769" s="1348"/>
      <c r="H8769" s="1348"/>
      <c r="I8769" s="1348"/>
      <c r="J8769" s="1348"/>
      <c r="K8769" s="1348"/>
    </row>
    <row r="8770" spans="2:11" hidden="1">
      <c r="B8770" s="1348"/>
      <c r="C8770" s="1348"/>
      <c r="D8770" s="1348"/>
      <c r="E8770" s="1348"/>
      <c r="F8770" s="1348"/>
      <c r="G8770" s="1348"/>
      <c r="H8770" s="1348"/>
      <c r="I8770" s="1348"/>
      <c r="J8770" s="1348"/>
      <c r="K8770" s="1348"/>
    </row>
    <row r="8771" spans="2:11" hidden="1">
      <c r="B8771" s="1348"/>
      <c r="C8771" s="1348"/>
      <c r="D8771" s="1348"/>
      <c r="E8771" s="1348"/>
      <c r="F8771" s="1348"/>
      <c r="G8771" s="1348"/>
      <c r="H8771" s="1348"/>
      <c r="I8771" s="1348"/>
      <c r="J8771" s="1348"/>
      <c r="K8771" s="1348"/>
    </row>
    <row r="8772" spans="2:11" hidden="1">
      <c r="B8772" s="1348"/>
      <c r="C8772" s="1348"/>
      <c r="D8772" s="1348"/>
      <c r="E8772" s="1348"/>
      <c r="F8772" s="1348"/>
      <c r="G8772" s="1348"/>
      <c r="H8772" s="1348"/>
      <c r="I8772" s="1348"/>
      <c r="J8772" s="1348"/>
      <c r="K8772" s="1348"/>
    </row>
    <row r="8773" spans="2:11" hidden="1">
      <c r="B8773" s="1348"/>
      <c r="C8773" s="1348"/>
      <c r="D8773" s="1348"/>
      <c r="E8773" s="1348"/>
      <c r="F8773" s="1348"/>
      <c r="G8773" s="1348"/>
      <c r="H8773" s="1348"/>
      <c r="I8773" s="1348"/>
      <c r="J8773" s="1348"/>
      <c r="K8773" s="1348"/>
    </row>
    <row r="8774" spans="2:11" hidden="1">
      <c r="B8774" s="1348"/>
      <c r="C8774" s="1348"/>
      <c r="D8774" s="1348"/>
      <c r="E8774" s="1348"/>
      <c r="F8774" s="1348"/>
      <c r="G8774" s="1348"/>
      <c r="H8774" s="1348"/>
      <c r="I8774" s="1348"/>
      <c r="J8774" s="1348"/>
      <c r="K8774" s="1348"/>
    </row>
    <row r="8775" spans="2:11" hidden="1">
      <c r="B8775" s="1348"/>
      <c r="C8775" s="1348"/>
      <c r="D8775" s="1348"/>
      <c r="E8775" s="1348"/>
      <c r="F8775" s="1348"/>
      <c r="G8775" s="1348"/>
      <c r="H8775" s="1348"/>
      <c r="I8775" s="1348"/>
      <c r="J8775" s="1348"/>
      <c r="K8775" s="1348"/>
    </row>
    <row r="8776" spans="2:11" hidden="1">
      <c r="B8776" s="1348"/>
      <c r="C8776" s="1348"/>
      <c r="D8776" s="1348"/>
      <c r="E8776" s="1348"/>
      <c r="F8776" s="1348"/>
      <c r="G8776" s="1348"/>
      <c r="H8776" s="1348"/>
      <c r="I8776" s="1348"/>
      <c r="J8776" s="1348"/>
      <c r="K8776" s="1348"/>
    </row>
    <row r="8777" spans="2:11" hidden="1">
      <c r="B8777" s="1348"/>
      <c r="C8777" s="1348"/>
      <c r="D8777" s="1348"/>
      <c r="E8777" s="1348"/>
      <c r="F8777" s="1348"/>
      <c r="G8777" s="1348"/>
      <c r="H8777" s="1348"/>
      <c r="I8777" s="1348"/>
      <c r="J8777" s="1348"/>
      <c r="K8777" s="1348"/>
    </row>
    <row r="8778" spans="2:11" hidden="1">
      <c r="B8778" s="1348"/>
      <c r="C8778" s="1348"/>
      <c r="D8778" s="1348"/>
      <c r="E8778" s="1348"/>
      <c r="F8778" s="1348"/>
      <c r="G8778" s="1348"/>
      <c r="H8778" s="1348"/>
      <c r="I8778" s="1348"/>
      <c r="J8778" s="1348"/>
      <c r="K8778" s="1348"/>
    </row>
    <row r="8779" spans="2:11" hidden="1">
      <c r="B8779" s="1348"/>
      <c r="C8779" s="1348"/>
      <c r="D8779" s="1348"/>
      <c r="E8779" s="1348"/>
      <c r="F8779" s="1348"/>
      <c r="G8779" s="1348"/>
      <c r="H8779" s="1348"/>
      <c r="I8779" s="1348"/>
      <c r="J8779" s="1348"/>
      <c r="K8779" s="1348"/>
    </row>
    <row r="8780" spans="2:11" hidden="1">
      <c r="B8780" s="1348"/>
      <c r="C8780" s="1348"/>
      <c r="D8780" s="1348"/>
      <c r="E8780" s="1348"/>
      <c r="F8780" s="1348"/>
      <c r="G8780" s="1348"/>
      <c r="H8780" s="1348"/>
      <c r="I8780" s="1348"/>
      <c r="J8780" s="1348"/>
      <c r="K8780" s="1348"/>
    </row>
    <row r="8781" spans="2:11" hidden="1">
      <c r="B8781" s="1348"/>
      <c r="C8781" s="1348"/>
      <c r="D8781" s="1348"/>
      <c r="E8781" s="1348"/>
      <c r="F8781" s="1348"/>
      <c r="G8781" s="1348"/>
      <c r="H8781" s="1348"/>
      <c r="I8781" s="1348"/>
      <c r="J8781" s="1348"/>
      <c r="K8781" s="1348"/>
    </row>
    <row r="8782" spans="2:11" hidden="1">
      <c r="B8782" s="1348"/>
      <c r="C8782" s="1348"/>
      <c r="D8782" s="1348"/>
      <c r="E8782" s="1348"/>
      <c r="F8782" s="1348"/>
      <c r="G8782" s="1348"/>
      <c r="H8782" s="1348"/>
      <c r="I8782" s="1348"/>
      <c r="J8782" s="1348"/>
      <c r="K8782" s="1348"/>
    </row>
    <row r="8783" spans="2:11" hidden="1">
      <c r="B8783" s="1348"/>
      <c r="C8783" s="1348"/>
      <c r="D8783" s="1348"/>
      <c r="E8783" s="1348"/>
      <c r="F8783" s="1348"/>
      <c r="G8783" s="1348"/>
      <c r="H8783" s="1348"/>
      <c r="I8783" s="1348"/>
      <c r="J8783" s="1348"/>
      <c r="K8783" s="1348"/>
    </row>
    <row r="8784" spans="2:11" hidden="1">
      <c r="B8784" s="1348"/>
      <c r="C8784" s="1348"/>
      <c r="D8784" s="1348"/>
      <c r="E8784" s="1348"/>
      <c r="F8784" s="1348"/>
      <c r="G8784" s="1348"/>
      <c r="H8784" s="1348"/>
      <c r="I8784" s="1348"/>
      <c r="J8784" s="1348"/>
      <c r="K8784" s="1348"/>
    </row>
    <row r="8785" spans="2:11" hidden="1">
      <c r="B8785" s="1348"/>
      <c r="C8785" s="1348"/>
      <c r="D8785" s="1348"/>
      <c r="E8785" s="1348"/>
      <c r="F8785" s="1348"/>
      <c r="G8785" s="1348"/>
      <c r="H8785" s="1348"/>
      <c r="I8785" s="1348"/>
      <c r="J8785" s="1348"/>
      <c r="K8785" s="1348"/>
    </row>
    <row r="8786" spans="2:11" hidden="1">
      <c r="B8786" s="1348"/>
      <c r="C8786" s="1348"/>
      <c r="D8786" s="1348"/>
      <c r="E8786" s="1348"/>
      <c r="F8786" s="1348"/>
      <c r="G8786" s="1348"/>
      <c r="H8786" s="1348"/>
      <c r="I8786" s="1348"/>
      <c r="J8786" s="1348"/>
      <c r="K8786" s="1348"/>
    </row>
    <row r="8787" spans="2:11" hidden="1">
      <c r="B8787" s="1348"/>
      <c r="C8787" s="1348"/>
      <c r="D8787" s="1348"/>
      <c r="E8787" s="1348"/>
      <c r="F8787" s="1348"/>
      <c r="G8787" s="1348"/>
      <c r="H8787" s="1348"/>
      <c r="I8787" s="1348"/>
      <c r="J8787" s="1348"/>
      <c r="K8787" s="1348"/>
    </row>
    <row r="8788" spans="2:11" hidden="1">
      <c r="B8788" s="1348"/>
      <c r="C8788" s="1348"/>
      <c r="D8788" s="1348"/>
      <c r="E8788" s="1348"/>
      <c r="F8788" s="1348"/>
      <c r="G8788" s="1348"/>
      <c r="H8788" s="1348"/>
      <c r="I8788" s="1348"/>
      <c r="J8788" s="1348"/>
      <c r="K8788" s="1348"/>
    </row>
    <row r="8789" spans="2:11" hidden="1">
      <c r="B8789" s="1348"/>
      <c r="C8789" s="1348"/>
      <c r="D8789" s="1348"/>
      <c r="E8789" s="1348"/>
      <c r="F8789" s="1348"/>
      <c r="G8789" s="1348"/>
      <c r="H8789" s="1348"/>
      <c r="I8789" s="1348"/>
      <c r="J8789" s="1348"/>
      <c r="K8789" s="1348"/>
    </row>
    <row r="8790" spans="2:11" hidden="1">
      <c r="B8790" s="1348"/>
      <c r="C8790" s="1348"/>
      <c r="D8790" s="1348"/>
      <c r="E8790" s="1348"/>
      <c r="F8790" s="1348"/>
      <c r="G8790" s="1348"/>
      <c r="H8790" s="1348"/>
      <c r="I8790" s="1348"/>
      <c r="J8790" s="1348"/>
      <c r="K8790" s="1348"/>
    </row>
    <row r="8791" spans="2:11" hidden="1">
      <c r="B8791" s="1348"/>
      <c r="C8791" s="1348"/>
      <c r="D8791" s="1348"/>
      <c r="E8791" s="1348"/>
      <c r="F8791" s="1348"/>
      <c r="G8791" s="1348"/>
      <c r="H8791" s="1348"/>
      <c r="I8791" s="1348"/>
      <c r="J8791" s="1348"/>
      <c r="K8791" s="1348"/>
    </row>
    <row r="8792" spans="2:11" hidden="1">
      <c r="B8792" s="1348"/>
      <c r="C8792" s="1348"/>
      <c r="D8792" s="1348"/>
      <c r="E8792" s="1348"/>
      <c r="F8792" s="1348"/>
      <c r="G8792" s="1348"/>
      <c r="H8792" s="1348"/>
      <c r="I8792" s="1348"/>
      <c r="J8792" s="1348"/>
      <c r="K8792" s="1348"/>
    </row>
    <row r="8793" spans="2:11" hidden="1">
      <c r="B8793" s="1348"/>
      <c r="C8793" s="1348"/>
      <c r="D8793" s="1348"/>
      <c r="E8793" s="1348"/>
      <c r="F8793" s="1348"/>
      <c r="G8793" s="1348"/>
      <c r="H8793" s="1348"/>
      <c r="I8793" s="1348"/>
      <c r="J8793" s="1348"/>
      <c r="K8793" s="1348"/>
    </row>
    <row r="8794" spans="2:11" hidden="1">
      <c r="B8794" s="1348"/>
      <c r="C8794" s="1348"/>
      <c r="D8794" s="1348"/>
      <c r="E8794" s="1348"/>
      <c r="F8794" s="1348"/>
      <c r="G8794" s="1348"/>
      <c r="H8794" s="1348"/>
      <c r="I8794" s="1348"/>
      <c r="J8794" s="1348"/>
      <c r="K8794" s="1348"/>
    </row>
    <row r="8795" spans="2:11" hidden="1">
      <c r="B8795" s="1348"/>
      <c r="C8795" s="1348"/>
      <c r="D8795" s="1348"/>
      <c r="E8795" s="1348"/>
      <c r="F8795" s="1348"/>
      <c r="G8795" s="1348"/>
      <c r="H8795" s="1348"/>
      <c r="I8795" s="1348"/>
      <c r="J8795" s="1348"/>
      <c r="K8795" s="1348"/>
    </row>
    <row r="8796" spans="2:11" hidden="1">
      <c r="B8796" s="1348"/>
      <c r="C8796" s="1348"/>
      <c r="D8796" s="1348"/>
      <c r="E8796" s="1348"/>
      <c r="F8796" s="1348"/>
      <c r="G8796" s="1348"/>
      <c r="H8796" s="1348"/>
      <c r="I8796" s="1348"/>
      <c r="J8796" s="1348"/>
      <c r="K8796" s="1348"/>
    </row>
    <row r="8797" spans="2:11" hidden="1">
      <c r="B8797" s="1348"/>
      <c r="C8797" s="1348"/>
      <c r="D8797" s="1348"/>
      <c r="E8797" s="1348"/>
      <c r="F8797" s="1348"/>
      <c r="G8797" s="1348"/>
      <c r="H8797" s="1348"/>
      <c r="I8797" s="1348"/>
      <c r="J8797" s="1348"/>
      <c r="K8797" s="1348"/>
    </row>
    <row r="8798" spans="2:11" hidden="1">
      <c r="B8798" s="1348"/>
      <c r="C8798" s="1348"/>
      <c r="D8798" s="1348"/>
      <c r="E8798" s="1348"/>
      <c r="F8798" s="1348"/>
      <c r="G8798" s="1348"/>
      <c r="H8798" s="1348"/>
      <c r="I8798" s="1348"/>
      <c r="J8798" s="1348"/>
      <c r="K8798" s="1348"/>
    </row>
    <row r="8799" spans="2:11" hidden="1">
      <c r="B8799" s="1348"/>
      <c r="C8799" s="1348"/>
      <c r="D8799" s="1348"/>
      <c r="E8799" s="1348"/>
      <c r="F8799" s="1348"/>
      <c r="G8799" s="1348"/>
      <c r="H8799" s="1348"/>
      <c r="I8799" s="1348"/>
      <c r="J8799" s="1348"/>
      <c r="K8799" s="1348"/>
    </row>
    <row r="8800" spans="2:11" hidden="1">
      <c r="B8800" s="1348"/>
      <c r="C8800" s="1348"/>
      <c r="D8800" s="1348"/>
      <c r="E8800" s="1348"/>
      <c r="F8800" s="1348"/>
      <c r="G8800" s="1348"/>
      <c r="H8800" s="1348"/>
      <c r="I8800" s="1348"/>
      <c r="J8800" s="1348"/>
      <c r="K8800" s="1348"/>
    </row>
    <row r="8801" spans="2:11" hidden="1">
      <c r="B8801" s="1348"/>
      <c r="C8801" s="1348"/>
      <c r="D8801" s="1348"/>
      <c r="E8801" s="1348"/>
      <c r="F8801" s="1348"/>
      <c r="G8801" s="1348"/>
      <c r="H8801" s="1348"/>
      <c r="I8801" s="1348"/>
      <c r="J8801" s="1348"/>
      <c r="K8801" s="1348"/>
    </row>
    <row r="8802" spans="2:11" hidden="1">
      <c r="B8802" s="1348"/>
      <c r="C8802" s="1348"/>
      <c r="D8802" s="1348"/>
      <c r="E8802" s="1348"/>
      <c r="F8802" s="1348"/>
      <c r="G8802" s="1348"/>
      <c r="H8802" s="1348"/>
      <c r="I8802" s="1348"/>
      <c r="J8802" s="1348"/>
      <c r="K8802" s="1348"/>
    </row>
    <row r="8803" spans="2:11" hidden="1">
      <c r="B8803" s="1348"/>
      <c r="C8803" s="1348"/>
      <c r="D8803" s="1348"/>
      <c r="E8803" s="1348"/>
      <c r="F8803" s="1348"/>
      <c r="G8803" s="1348"/>
      <c r="H8803" s="1348"/>
      <c r="I8803" s="1348"/>
      <c r="J8803" s="1348"/>
      <c r="K8803" s="1348"/>
    </row>
    <row r="8804" spans="2:11" hidden="1">
      <c r="B8804" s="1348"/>
      <c r="C8804" s="1348"/>
      <c r="D8804" s="1348"/>
      <c r="E8804" s="1348"/>
      <c r="F8804" s="1348"/>
      <c r="G8804" s="1348"/>
      <c r="H8804" s="1348"/>
      <c r="I8804" s="1348"/>
      <c r="J8804" s="1348"/>
      <c r="K8804" s="1348"/>
    </row>
    <row r="8805" spans="2:11" hidden="1">
      <c r="B8805" s="1348"/>
      <c r="C8805" s="1348"/>
      <c r="D8805" s="1348"/>
      <c r="E8805" s="1348"/>
      <c r="F8805" s="1348"/>
      <c r="G8805" s="1348"/>
      <c r="H8805" s="1348"/>
      <c r="I8805" s="1348"/>
      <c r="J8805" s="1348"/>
      <c r="K8805" s="1348"/>
    </row>
    <row r="8806" spans="2:11" hidden="1">
      <c r="B8806" s="1348"/>
      <c r="C8806" s="1348"/>
      <c r="D8806" s="1348"/>
      <c r="E8806" s="1348"/>
      <c r="F8806" s="1348"/>
      <c r="G8806" s="1348"/>
      <c r="H8806" s="1348"/>
      <c r="I8806" s="1348"/>
      <c r="J8806" s="1348"/>
      <c r="K8806" s="1348"/>
    </row>
    <row r="8807" spans="2:11" hidden="1">
      <c r="B8807" s="1348"/>
      <c r="C8807" s="1348"/>
      <c r="D8807" s="1348"/>
      <c r="E8807" s="1348"/>
      <c r="F8807" s="1348"/>
      <c r="G8807" s="1348"/>
      <c r="H8807" s="1348"/>
      <c r="I8807" s="1348"/>
      <c r="J8807" s="1348"/>
      <c r="K8807" s="1348"/>
    </row>
    <row r="8808" spans="2:11" hidden="1">
      <c r="B8808" s="1348"/>
      <c r="C8808" s="1348"/>
      <c r="D8808" s="1348"/>
      <c r="E8808" s="1348"/>
      <c r="F8808" s="1348"/>
      <c r="G8808" s="1348"/>
      <c r="H8808" s="1348"/>
      <c r="I8808" s="1348"/>
      <c r="J8808" s="1348"/>
      <c r="K8808" s="1348"/>
    </row>
    <row r="8809" spans="2:11" hidden="1">
      <c r="B8809" s="1348"/>
      <c r="C8809" s="1348"/>
      <c r="D8809" s="1348"/>
      <c r="E8809" s="1348"/>
      <c r="F8809" s="1348"/>
      <c r="G8809" s="1348"/>
      <c r="H8809" s="1348"/>
      <c r="I8809" s="1348"/>
      <c r="J8809" s="1348"/>
      <c r="K8809" s="1348"/>
    </row>
    <row r="8810" spans="2:11" hidden="1">
      <c r="B8810" s="1348"/>
      <c r="C8810" s="1348"/>
      <c r="D8810" s="1348"/>
      <c r="E8810" s="1348"/>
      <c r="F8810" s="1348"/>
      <c r="G8810" s="1348"/>
      <c r="H8810" s="1348"/>
      <c r="I8810" s="1348"/>
      <c r="J8810" s="1348"/>
      <c r="K8810" s="1348"/>
    </row>
    <row r="8811" spans="2:11" hidden="1">
      <c r="B8811" s="1348"/>
      <c r="C8811" s="1348"/>
      <c r="D8811" s="1348"/>
      <c r="E8811" s="1348"/>
      <c r="F8811" s="1348"/>
      <c r="G8811" s="1348"/>
      <c r="H8811" s="1348"/>
      <c r="I8811" s="1348"/>
      <c r="J8811" s="1348"/>
      <c r="K8811" s="1348"/>
    </row>
    <row r="8812" spans="2:11" hidden="1">
      <c r="B8812" s="1348"/>
      <c r="C8812" s="1348"/>
      <c r="D8812" s="1348"/>
      <c r="E8812" s="1348"/>
      <c r="F8812" s="1348"/>
      <c r="G8812" s="1348"/>
      <c r="H8812" s="1348"/>
      <c r="I8812" s="1348"/>
      <c r="J8812" s="1348"/>
      <c r="K8812" s="1348"/>
    </row>
    <row r="8813" spans="2:11" hidden="1">
      <c r="B8813" s="1348"/>
      <c r="C8813" s="1348"/>
      <c r="D8813" s="1348"/>
      <c r="E8813" s="1348"/>
      <c r="F8813" s="1348"/>
      <c r="G8813" s="1348"/>
      <c r="H8813" s="1348"/>
      <c r="I8813" s="1348"/>
      <c r="J8813" s="1348"/>
      <c r="K8813" s="1348"/>
    </row>
    <row r="8814" spans="2:11" hidden="1">
      <c r="B8814" s="1348"/>
      <c r="C8814" s="1348"/>
      <c r="D8814" s="1348"/>
      <c r="E8814" s="1348"/>
      <c r="F8814" s="1348"/>
      <c r="G8814" s="1348"/>
      <c r="H8814" s="1348"/>
      <c r="I8814" s="1348"/>
      <c r="J8814" s="1348"/>
      <c r="K8814" s="1348"/>
    </row>
    <row r="8815" spans="2:11" hidden="1">
      <c r="B8815" s="1348"/>
      <c r="C8815" s="1348"/>
      <c r="D8815" s="1348"/>
      <c r="E8815" s="1348"/>
      <c r="F8815" s="1348"/>
      <c r="G8815" s="1348"/>
      <c r="H8815" s="1348"/>
      <c r="I8815" s="1348"/>
      <c r="J8815" s="1348"/>
      <c r="K8815" s="1348"/>
    </row>
    <row r="8816" spans="2:11" hidden="1">
      <c r="B8816" s="1348"/>
      <c r="C8816" s="1348"/>
      <c r="D8816" s="1348"/>
      <c r="E8816" s="1348"/>
      <c r="F8816" s="1348"/>
      <c r="G8816" s="1348"/>
      <c r="H8816" s="1348"/>
      <c r="I8816" s="1348"/>
      <c r="J8816" s="1348"/>
      <c r="K8816" s="1348"/>
    </row>
    <row r="8817" spans="2:11" hidden="1">
      <c r="B8817" s="1348"/>
      <c r="C8817" s="1348"/>
      <c r="D8817" s="1348"/>
      <c r="E8817" s="1348"/>
      <c r="F8817" s="1348"/>
      <c r="G8817" s="1348"/>
      <c r="H8817" s="1348"/>
      <c r="I8817" s="1348"/>
      <c r="J8817" s="1348"/>
      <c r="K8817" s="1348"/>
    </row>
    <row r="8818" spans="2:11" hidden="1">
      <c r="B8818" s="1348"/>
      <c r="C8818" s="1348"/>
      <c r="D8818" s="1348"/>
      <c r="E8818" s="1348"/>
      <c r="F8818" s="1348"/>
      <c r="G8818" s="1348"/>
      <c r="H8818" s="1348"/>
      <c r="I8818" s="1348"/>
      <c r="J8818" s="1348"/>
      <c r="K8818" s="1348"/>
    </row>
    <row r="8819" spans="2:11" hidden="1">
      <c r="B8819" s="1348"/>
      <c r="C8819" s="1348"/>
      <c r="D8819" s="1348"/>
      <c r="E8819" s="1348"/>
      <c r="F8819" s="1348"/>
      <c r="G8819" s="1348"/>
      <c r="H8819" s="1348"/>
      <c r="I8819" s="1348"/>
      <c r="J8819" s="1348"/>
      <c r="K8819" s="1348"/>
    </row>
    <row r="8820" spans="2:11" hidden="1">
      <c r="B8820" s="1348"/>
      <c r="C8820" s="1348"/>
      <c r="D8820" s="1348"/>
      <c r="E8820" s="1348"/>
      <c r="F8820" s="1348"/>
      <c r="G8820" s="1348"/>
      <c r="H8820" s="1348"/>
      <c r="I8820" s="1348"/>
      <c r="J8820" s="1348"/>
      <c r="K8820" s="1348"/>
    </row>
    <row r="8821" spans="2:11" hidden="1">
      <c r="B8821" s="1348"/>
      <c r="C8821" s="1348"/>
      <c r="D8821" s="1348"/>
      <c r="E8821" s="1348"/>
      <c r="F8821" s="1348"/>
      <c r="G8821" s="1348"/>
      <c r="H8821" s="1348"/>
      <c r="I8821" s="1348"/>
      <c r="J8821" s="1348"/>
      <c r="K8821" s="1348"/>
    </row>
    <row r="8822" spans="2:11" hidden="1">
      <c r="B8822" s="1348"/>
      <c r="C8822" s="1348"/>
      <c r="D8822" s="1348"/>
      <c r="E8822" s="1348"/>
      <c r="F8822" s="1348"/>
      <c r="G8822" s="1348"/>
      <c r="H8822" s="1348"/>
      <c r="I8822" s="1348"/>
      <c r="J8822" s="1348"/>
      <c r="K8822" s="1348"/>
    </row>
    <row r="8823" spans="2:11" hidden="1">
      <c r="B8823" s="1348"/>
      <c r="C8823" s="1348"/>
      <c r="D8823" s="1348"/>
      <c r="E8823" s="1348"/>
      <c r="F8823" s="1348"/>
      <c r="G8823" s="1348"/>
      <c r="H8823" s="1348"/>
      <c r="I8823" s="1348"/>
      <c r="J8823" s="1348"/>
      <c r="K8823" s="1348"/>
    </row>
    <row r="8824" spans="2:11" hidden="1">
      <c r="B8824" s="1348"/>
      <c r="C8824" s="1348"/>
      <c r="D8824" s="1348"/>
      <c r="E8824" s="1348"/>
      <c r="F8824" s="1348"/>
      <c r="G8824" s="1348"/>
      <c r="H8824" s="1348"/>
      <c r="I8824" s="1348"/>
      <c r="J8824" s="1348"/>
      <c r="K8824" s="1348"/>
    </row>
    <row r="8825" spans="2:11" hidden="1">
      <c r="B8825" s="1348"/>
      <c r="C8825" s="1348"/>
      <c r="D8825" s="1348"/>
      <c r="E8825" s="1348"/>
      <c r="F8825" s="1348"/>
      <c r="G8825" s="1348"/>
      <c r="H8825" s="1348"/>
      <c r="I8825" s="1348"/>
      <c r="J8825" s="1348"/>
      <c r="K8825" s="1348"/>
    </row>
    <row r="8826" spans="2:11" hidden="1">
      <c r="B8826" s="1348"/>
      <c r="C8826" s="1348"/>
      <c r="D8826" s="1348"/>
      <c r="E8826" s="1348"/>
      <c r="F8826" s="1348"/>
      <c r="G8826" s="1348"/>
      <c r="H8826" s="1348"/>
      <c r="I8826" s="1348"/>
      <c r="J8826" s="1348"/>
      <c r="K8826" s="1348"/>
    </row>
    <row r="8827" spans="2:11" hidden="1">
      <c r="B8827" s="1348"/>
      <c r="C8827" s="1348"/>
      <c r="D8827" s="1348"/>
      <c r="E8827" s="1348"/>
      <c r="F8827" s="1348"/>
      <c r="G8827" s="1348"/>
      <c r="H8827" s="1348"/>
      <c r="I8827" s="1348"/>
      <c r="J8827" s="1348"/>
      <c r="K8827" s="1348"/>
    </row>
    <row r="8828" spans="2:11" hidden="1">
      <c r="B8828" s="1348"/>
      <c r="C8828" s="1348"/>
      <c r="D8828" s="1348"/>
      <c r="E8828" s="1348"/>
      <c r="F8828" s="1348"/>
      <c r="G8828" s="1348"/>
      <c r="H8828" s="1348"/>
      <c r="I8828" s="1348"/>
      <c r="J8828" s="1348"/>
      <c r="K8828" s="1348"/>
    </row>
    <row r="8829" spans="2:11" hidden="1">
      <c r="B8829" s="1348"/>
      <c r="C8829" s="1348"/>
      <c r="D8829" s="1348"/>
      <c r="E8829" s="1348"/>
      <c r="F8829" s="1348"/>
      <c r="G8829" s="1348"/>
      <c r="H8829" s="1348"/>
      <c r="I8829" s="1348"/>
      <c r="J8829" s="1348"/>
      <c r="K8829" s="1348"/>
    </row>
    <row r="8830" spans="2:11" hidden="1">
      <c r="B8830" s="1348"/>
      <c r="C8830" s="1348"/>
      <c r="D8830" s="1348"/>
      <c r="E8830" s="1348"/>
      <c r="F8830" s="1348"/>
      <c r="G8830" s="1348"/>
      <c r="H8830" s="1348"/>
      <c r="I8830" s="1348"/>
      <c r="J8830" s="1348"/>
      <c r="K8830" s="1348"/>
    </row>
    <row r="8831" spans="2:11" hidden="1">
      <c r="B8831" s="1348"/>
      <c r="C8831" s="1348"/>
      <c r="D8831" s="1348"/>
      <c r="E8831" s="1348"/>
      <c r="F8831" s="1348"/>
      <c r="G8831" s="1348"/>
      <c r="H8831" s="1348"/>
      <c r="I8831" s="1348"/>
      <c r="J8831" s="1348"/>
      <c r="K8831" s="1348"/>
    </row>
    <row r="8832" spans="2:11" hidden="1">
      <c r="B8832" s="1348"/>
      <c r="C8832" s="1348"/>
      <c r="D8832" s="1348"/>
      <c r="E8832" s="1348"/>
      <c r="F8832" s="1348"/>
      <c r="G8832" s="1348"/>
      <c r="H8832" s="1348"/>
      <c r="I8832" s="1348"/>
      <c r="J8832" s="1348"/>
      <c r="K8832" s="1348"/>
    </row>
    <row r="8833" spans="2:11" hidden="1">
      <c r="B8833" s="1348"/>
      <c r="C8833" s="1348"/>
      <c r="D8833" s="1348"/>
      <c r="E8833" s="1348"/>
      <c r="F8833" s="1348"/>
      <c r="G8833" s="1348"/>
      <c r="H8833" s="1348"/>
      <c r="I8833" s="1348"/>
      <c r="J8833" s="1348"/>
      <c r="K8833" s="1348"/>
    </row>
    <row r="8834" spans="2:11" hidden="1">
      <c r="B8834" s="1348"/>
      <c r="C8834" s="1348"/>
      <c r="D8834" s="1348"/>
      <c r="E8834" s="1348"/>
      <c r="F8834" s="1348"/>
      <c r="G8834" s="1348"/>
      <c r="H8834" s="1348"/>
      <c r="I8834" s="1348"/>
      <c r="J8834" s="1348"/>
      <c r="K8834" s="1348"/>
    </row>
    <row r="8835" spans="2:11" hidden="1">
      <c r="B8835" s="1348"/>
      <c r="C8835" s="1348"/>
      <c r="D8835" s="1348"/>
      <c r="E8835" s="1348"/>
      <c r="F8835" s="1348"/>
      <c r="G8835" s="1348"/>
      <c r="H8835" s="1348"/>
      <c r="I8835" s="1348"/>
      <c r="J8835" s="1348"/>
      <c r="K8835" s="1348"/>
    </row>
    <row r="8836" spans="2:11" hidden="1">
      <c r="B8836" s="1348"/>
      <c r="C8836" s="1348"/>
      <c r="D8836" s="1348"/>
      <c r="E8836" s="1348"/>
      <c r="F8836" s="1348"/>
      <c r="G8836" s="1348"/>
      <c r="H8836" s="1348"/>
      <c r="I8836" s="1348"/>
      <c r="J8836" s="1348"/>
      <c r="K8836" s="1348"/>
    </row>
    <row r="8837" spans="2:11" hidden="1">
      <c r="B8837" s="1348"/>
      <c r="C8837" s="1348"/>
      <c r="D8837" s="1348"/>
      <c r="E8837" s="1348"/>
      <c r="F8837" s="1348"/>
      <c r="G8837" s="1348"/>
      <c r="H8837" s="1348"/>
      <c r="I8837" s="1348"/>
      <c r="J8837" s="1348"/>
      <c r="K8837" s="1348"/>
    </row>
    <row r="8838" spans="2:11" hidden="1">
      <c r="B8838" s="1348"/>
      <c r="C8838" s="1348"/>
      <c r="D8838" s="1348"/>
      <c r="E8838" s="1348"/>
      <c r="F8838" s="1348"/>
      <c r="G8838" s="1348"/>
      <c r="H8838" s="1348"/>
      <c r="I8838" s="1348"/>
      <c r="J8838" s="1348"/>
      <c r="K8838" s="1348"/>
    </row>
    <row r="8839" spans="2:11" hidden="1">
      <c r="B8839" s="1348"/>
      <c r="C8839" s="1348"/>
      <c r="D8839" s="1348"/>
      <c r="E8839" s="1348"/>
      <c r="F8839" s="1348"/>
      <c r="G8839" s="1348"/>
      <c r="H8839" s="1348"/>
      <c r="I8839" s="1348"/>
      <c r="J8839" s="1348"/>
      <c r="K8839" s="1348"/>
    </row>
    <row r="8840" spans="2:11" hidden="1">
      <c r="B8840" s="1348"/>
      <c r="C8840" s="1348"/>
      <c r="D8840" s="1348"/>
      <c r="E8840" s="1348"/>
      <c r="F8840" s="1348"/>
      <c r="G8840" s="1348"/>
      <c r="H8840" s="1348"/>
      <c r="I8840" s="1348"/>
      <c r="J8840" s="1348"/>
      <c r="K8840" s="1348"/>
    </row>
    <row r="8841" spans="2:11" hidden="1">
      <c r="B8841" s="1348"/>
      <c r="C8841" s="1348"/>
      <c r="D8841" s="1348"/>
      <c r="E8841" s="1348"/>
      <c r="F8841" s="1348"/>
      <c r="G8841" s="1348"/>
      <c r="H8841" s="1348"/>
      <c r="I8841" s="1348"/>
      <c r="J8841" s="1348"/>
      <c r="K8841" s="1348"/>
    </row>
    <row r="8842" spans="2:11" hidden="1">
      <c r="B8842" s="1348"/>
      <c r="C8842" s="1348"/>
      <c r="D8842" s="1348"/>
      <c r="E8842" s="1348"/>
      <c r="F8842" s="1348"/>
      <c r="G8842" s="1348"/>
      <c r="H8842" s="1348"/>
      <c r="I8842" s="1348"/>
      <c r="J8842" s="1348"/>
      <c r="K8842" s="1348"/>
    </row>
    <row r="8843" spans="2:11" hidden="1">
      <c r="B8843" s="1348"/>
      <c r="C8843" s="1348"/>
      <c r="D8843" s="1348"/>
      <c r="E8843" s="1348"/>
      <c r="F8843" s="1348"/>
      <c r="G8843" s="1348"/>
      <c r="H8843" s="1348"/>
      <c r="I8843" s="1348"/>
      <c r="J8843" s="1348"/>
      <c r="K8843" s="1348"/>
    </row>
    <row r="8844" spans="2:11" hidden="1">
      <c r="B8844" s="1348"/>
      <c r="C8844" s="1348"/>
      <c r="D8844" s="1348"/>
      <c r="E8844" s="1348"/>
      <c r="F8844" s="1348"/>
      <c r="G8844" s="1348"/>
      <c r="H8844" s="1348"/>
      <c r="I8844" s="1348"/>
      <c r="J8844" s="1348"/>
      <c r="K8844" s="1348"/>
    </row>
    <row r="8845" spans="2:11" hidden="1">
      <c r="B8845" s="1348"/>
      <c r="C8845" s="1348"/>
      <c r="D8845" s="1348"/>
      <c r="E8845" s="1348"/>
      <c r="F8845" s="1348"/>
      <c r="G8845" s="1348"/>
      <c r="H8845" s="1348"/>
      <c r="I8845" s="1348"/>
      <c r="J8845" s="1348"/>
      <c r="K8845" s="1348"/>
    </row>
    <row r="8846" spans="2:11" hidden="1">
      <c r="B8846" s="1348"/>
      <c r="C8846" s="1348"/>
      <c r="D8846" s="1348"/>
      <c r="E8846" s="1348"/>
      <c r="F8846" s="1348"/>
      <c r="G8846" s="1348"/>
      <c r="H8846" s="1348"/>
      <c r="I8846" s="1348"/>
      <c r="J8846" s="1348"/>
      <c r="K8846" s="1348"/>
    </row>
    <row r="8847" spans="2:11" hidden="1">
      <c r="B8847" s="1348"/>
      <c r="C8847" s="1348"/>
      <c r="D8847" s="1348"/>
      <c r="E8847" s="1348"/>
      <c r="F8847" s="1348"/>
      <c r="G8847" s="1348"/>
      <c r="H8847" s="1348"/>
      <c r="I8847" s="1348"/>
      <c r="J8847" s="1348"/>
      <c r="K8847" s="1348"/>
    </row>
    <row r="8848" spans="2:11" hidden="1">
      <c r="B8848" s="1348"/>
      <c r="C8848" s="1348"/>
      <c r="D8848" s="1348"/>
      <c r="E8848" s="1348"/>
      <c r="F8848" s="1348"/>
      <c r="G8848" s="1348"/>
      <c r="H8848" s="1348"/>
      <c r="I8848" s="1348"/>
      <c r="J8848" s="1348"/>
      <c r="K8848" s="1348"/>
    </row>
    <row r="8849" spans="2:11" hidden="1">
      <c r="B8849" s="1348"/>
      <c r="C8849" s="1348"/>
      <c r="D8849" s="1348"/>
      <c r="E8849" s="1348"/>
      <c r="F8849" s="1348"/>
      <c r="G8849" s="1348"/>
      <c r="H8849" s="1348"/>
      <c r="I8849" s="1348"/>
      <c r="J8849" s="1348"/>
      <c r="K8849" s="1348"/>
    </row>
    <row r="8850" spans="2:11" hidden="1">
      <c r="B8850" s="1348"/>
      <c r="C8850" s="1348"/>
      <c r="D8850" s="1348"/>
      <c r="E8850" s="1348"/>
      <c r="F8850" s="1348"/>
      <c r="G8850" s="1348"/>
      <c r="H8850" s="1348"/>
      <c r="I8850" s="1348"/>
      <c r="J8850" s="1348"/>
      <c r="K8850" s="1348"/>
    </row>
    <row r="8851" spans="2:11" hidden="1">
      <c r="B8851" s="1348"/>
      <c r="C8851" s="1348"/>
      <c r="D8851" s="1348"/>
      <c r="E8851" s="1348"/>
      <c r="F8851" s="1348"/>
      <c r="G8851" s="1348"/>
      <c r="H8851" s="1348"/>
      <c r="I8851" s="1348"/>
      <c r="J8851" s="1348"/>
      <c r="K8851" s="1348"/>
    </row>
    <row r="8852" spans="2:11" hidden="1">
      <c r="B8852" s="1348"/>
      <c r="C8852" s="1348"/>
      <c r="D8852" s="1348"/>
      <c r="E8852" s="1348"/>
      <c r="F8852" s="1348"/>
      <c r="G8852" s="1348"/>
      <c r="H8852" s="1348"/>
      <c r="I8852" s="1348"/>
      <c r="J8852" s="1348"/>
      <c r="K8852" s="1348"/>
    </row>
    <row r="8853" spans="2:11" hidden="1">
      <c r="B8853" s="1348"/>
      <c r="C8853" s="1348"/>
      <c r="D8853" s="1348"/>
      <c r="E8853" s="1348"/>
      <c r="F8853" s="1348"/>
      <c r="G8853" s="1348"/>
      <c r="H8853" s="1348"/>
      <c r="I8853" s="1348"/>
      <c r="J8853" s="1348"/>
      <c r="K8853" s="1348"/>
    </row>
    <row r="8854" spans="2:11" hidden="1">
      <c r="B8854" s="1348"/>
      <c r="C8854" s="1348"/>
      <c r="D8854" s="1348"/>
      <c r="E8854" s="1348"/>
      <c r="F8854" s="1348"/>
      <c r="G8854" s="1348"/>
      <c r="H8854" s="1348"/>
      <c r="I8854" s="1348"/>
      <c r="J8854" s="1348"/>
      <c r="K8854" s="1348"/>
    </row>
    <row r="8855" spans="2:11" hidden="1">
      <c r="B8855" s="1348"/>
      <c r="C8855" s="1348"/>
      <c r="D8855" s="1348"/>
      <c r="E8855" s="1348"/>
      <c r="F8855" s="1348"/>
      <c r="G8855" s="1348"/>
      <c r="H8855" s="1348"/>
      <c r="I8855" s="1348"/>
      <c r="J8855" s="1348"/>
      <c r="K8855" s="1348"/>
    </row>
    <row r="8856" spans="2:11" hidden="1">
      <c r="B8856" s="1348"/>
      <c r="C8856" s="1348"/>
      <c r="D8856" s="1348"/>
      <c r="E8856" s="1348"/>
      <c r="F8856" s="1348"/>
      <c r="G8856" s="1348"/>
      <c r="H8856" s="1348"/>
      <c r="I8856" s="1348"/>
      <c r="J8856" s="1348"/>
      <c r="K8856" s="1348"/>
    </row>
    <row r="8857" spans="2:11" hidden="1">
      <c r="B8857" s="1348"/>
      <c r="C8857" s="1348"/>
      <c r="D8857" s="1348"/>
      <c r="E8857" s="1348"/>
      <c r="F8857" s="1348"/>
      <c r="G8857" s="1348"/>
      <c r="H8857" s="1348"/>
      <c r="I8857" s="1348"/>
      <c r="J8857" s="1348"/>
      <c r="K8857" s="1348"/>
    </row>
    <row r="8858" spans="2:11" hidden="1">
      <c r="B8858" s="1348"/>
      <c r="C8858" s="1348"/>
      <c r="D8858" s="1348"/>
      <c r="E8858" s="1348"/>
      <c r="F8858" s="1348"/>
      <c r="G8858" s="1348"/>
      <c r="H8858" s="1348"/>
      <c r="I8858" s="1348"/>
      <c r="J8858" s="1348"/>
      <c r="K8858" s="1348"/>
    </row>
    <row r="8859" spans="2:11" hidden="1">
      <c r="B8859" s="1348"/>
      <c r="C8859" s="1348"/>
      <c r="D8859" s="1348"/>
      <c r="E8859" s="1348"/>
      <c r="F8859" s="1348"/>
      <c r="G8859" s="1348"/>
      <c r="H8859" s="1348"/>
      <c r="I8859" s="1348"/>
      <c r="J8859" s="1348"/>
      <c r="K8859" s="1348"/>
    </row>
    <row r="8860" spans="2:11" hidden="1">
      <c r="B8860" s="1348"/>
      <c r="C8860" s="1348"/>
      <c r="D8860" s="1348"/>
      <c r="E8860" s="1348"/>
      <c r="F8860" s="1348"/>
      <c r="G8860" s="1348"/>
      <c r="H8860" s="1348"/>
      <c r="I8860" s="1348"/>
      <c r="J8860" s="1348"/>
      <c r="K8860" s="1348"/>
    </row>
    <row r="8861" spans="2:11" hidden="1">
      <c r="B8861" s="1348"/>
      <c r="C8861" s="1348"/>
      <c r="D8861" s="1348"/>
      <c r="E8861" s="1348"/>
      <c r="F8861" s="1348"/>
      <c r="G8861" s="1348"/>
      <c r="H8861" s="1348"/>
      <c r="I8861" s="1348"/>
      <c r="J8861" s="1348"/>
      <c r="K8861" s="1348"/>
    </row>
    <row r="8862" spans="2:11" hidden="1">
      <c r="B8862" s="1348"/>
      <c r="C8862" s="1348"/>
      <c r="D8862" s="1348"/>
      <c r="E8862" s="1348"/>
      <c r="F8862" s="1348"/>
      <c r="G8862" s="1348"/>
      <c r="H8862" s="1348"/>
      <c r="I8862" s="1348"/>
      <c r="J8862" s="1348"/>
      <c r="K8862" s="1348"/>
    </row>
    <row r="8863" spans="2:11" hidden="1">
      <c r="B8863" s="1348"/>
      <c r="C8863" s="1348"/>
      <c r="D8863" s="1348"/>
      <c r="E8863" s="1348"/>
      <c r="F8863" s="1348"/>
      <c r="G8863" s="1348"/>
      <c r="H8863" s="1348"/>
      <c r="I8863" s="1348"/>
      <c r="J8863" s="1348"/>
      <c r="K8863" s="1348"/>
    </row>
    <row r="8864" spans="2:11" hidden="1">
      <c r="B8864" s="1348"/>
      <c r="C8864" s="1348"/>
      <c r="D8864" s="1348"/>
      <c r="E8864" s="1348"/>
      <c r="F8864" s="1348"/>
      <c r="G8864" s="1348"/>
      <c r="H8864" s="1348"/>
      <c r="I8864" s="1348"/>
      <c r="J8864" s="1348"/>
      <c r="K8864" s="1348"/>
    </row>
    <row r="8865" spans="2:11" hidden="1">
      <c r="B8865" s="1348"/>
      <c r="C8865" s="1348"/>
      <c r="D8865" s="1348"/>
      <c r="E8865" s="1348"/>
      <c r="F8865" s="1348"/>
      <c r="G8865" s="1348"/>
      <c r="H8865" s="1348"/>
      <c r="I8865" s="1348"/>
      <c r="J8865" s="1348"/>
      <c r="K8865" s="1348"/>
    </row>
    <row r="8866" spans="2:11" hidden="1">
      <c r="B8866" s="1348"/>
      <c r="C8866" s="1348"/>
      <c r="D8866" s="1348"/>
      <c r="E8866" s="1348"/>
      <c r="F8866" s="1348"/>
      <c r="G8866" s="1348"/>
      <c r="H8866" s="1348"/>
      <c r="I8866" s="1348"/>
      <c r="J8866" s="1348"/>
      <c r="K8866" s="1348"/>
    </row>
    <row r="8867" spans="2:11" hidden="1">
      <c r="B8867" s="1348"/>
      <c r="C8867" s="1348"/>
      <c r="D8867" s="1348"/>
      <c r="E8867" s="1348"/>
      <c r="F8867" s="1348"/>
      <c r="G8867" s="1348"/>
      <c r="H8867" s="1348"/>
      <c r="I8867" s="1348"/>
      <c r="J8867" s="1348"/>
      <c r="K8867" s="1348"/>
    </row>
    <row r="8868" spans="2:11" hidden="1">
      <c r="B8868" s="1348"/>
      <c r="C8868" s="1348"/>
      <c r="D8868" s="1348"/>
      <c r="E8868" s="1348"/>
      <c r="F8868" s="1348"/>
      <c r="G8868" s="1348"/>
      <c r="H8868" s="1348"/>
      <c r="I8868" s="1348"/>
      <c r="J8868" s="1348"/>
      <c r="K8868" s="1348"/>
    </row>
    <row r="8869" spans="2:11" hidden="1">
      <c r="B8869" s="1348"/>
      <c r="C8869" s="1348"/>
      <c r="D8869" s="1348"/>
      <c r="E8869" s="1348"/>
      <c r="F8869" s="1348"/>
      <c r="G8869" s="1348"/>
      <c r="H8869" s="1348"/>
      <c r="I8869" s="1348"/>
      <c r="J8869" s="1348"/>
      <c r="K8869" s="1348"/>
    </row>
    <row r="8870" spans="2:11" hidden="1">
      <c r="B8870" s="1348"/>
      <c r="C8870" s="1348"/>
      <c r="D8870" s="1348"/>
      <c r="E8870" s="1348"/>
      <c r="F8870" s="1348"/>
      <c r="G8870" s="1348"/>
      <c r="H8870" s="1348"/>
      <c r="I8870" s="1348"/>
      <c r="J8870" s="1348"/>
      <c r="K8870" s="1348"/>
    </row>
    <row r="8871" spans="2:11" hidden="1">
      <c r="B8871" s="1348"/>
      <c r="C8871" s="1348"/>
      <c r="D8871" s="1348"/>
      <c r="E8871" s="1348"/>
      <c r="F8871" s="1348"/>
      <c r="G8871" s="1348"/>
      <c r="H8871" s="1348"/>
      <c r="I8871" s="1348"/>
      <c r="J8871" s="1348"/>
      <c r="K8871" s="1348"/>
    </row>
    <row r="8872" spans="2:11" hidden="1">
      <c r="B8872" s="1348"/>
      <c r="C8872" s="1348"/>
      <c r="D8872" s="1348"/>
      <c r="E8872" s="1348"/>
      <c r="F8872" s="1348"/>
      <c r="G8872" s="1348"/>
      <c r="H8872" s="1348"/>
      <c r="I8872" s="1348"/>
      <c r="J8872" s="1348"/>
      <c r="K8872" s="1348"/>
    </row>
    <row r="8873" spans="2:11" hidden="1">
      <c r="B8873" s="1348"/>
      <c r="C8873" s="1348"/>
      <c r="D8873" s="1348"/>
      <c r="E8873" s="1348"/>
      <c r="F8873" s="1348"/>
      <c r="G8873" s="1348"/>
      <c r="H8873" s="1348"/>
      <c r="I8873" s="1348"/>
      <c r="J8873" s="1348"/>
      <c r="K8873" s="1348"/>
    </row>
    <row r="8874" spans="2:11" hidden="1">
      <c r="B8874" s="1348"/>
      <c r="C8874" s="1348"/>
      <c r="D8874" s="1348"/>
      <c r="E8874" s="1348"/>
      <c r="F8874" s="1348"/>
      <c r="G8874" s="1348"/>
      <c r="H8874" s="1348"/>
      <c r="I8874" s="1348"/>
      <c r="J8874" s="1348"/>
      <c r="K8874" s="1348"/>
    </row>
    <row r="8875" spans="2:11" hidden="1">
      <c r="B8875" s="1348"/>
      <c r="C8875" s="1348"/>
      <c r="D8875" s="1348"/>
      <c r="E8875" s="1348"/>
      <c r="F8875" s="1348"/>
      <c r="G8875" s="1348"/>
      <c r="H8875" s="1348"/>
      <c r="I8875" s="1348"/>
      <c r="J8875" s="1348"/>
      <c r="K8875" s="1348"/>
    </row>
    <row r="8876" spans="2:11" hidden="1">
      <c r="B8876" s="1348"/>
      <c r="C8876" s="1348"/>
      <c r="D8876" s="1348"/>
      <c r="E8876" s="1348"/>
      <c r="F8876" s="1348"/>
      <c r="G8876" s="1348"/>
      <c r="H8876" s="1348"/>
      <c r="I8876" s="1348"/>
      <c r="J8876" s="1348"/>
      <c r="K8876" s="1348"/>
    </row>
    <row r="8877" spans="2:11" hidden="1">
      <c r="B8877" s="1348"/>
      <c r="C8877" s="1348"/>
      <c r="D8877" s="1348"/>
      <c r="E8877" s="1348"/>
      <c r="F8877" s="1348"/>
      <c r="G8877" s="1348"/>
      <c r="H8877" s="1348"/>
      <c r="I8877" s="1348"/>
      <c r="J8877" s="1348"/>
      <c r="K8877" s="1348"/>
    </row>
    <row r="8878" spans="2:11" hidden="1">
      <c r="B8878" s="1348"/>
      <c r="C8878" s="1348"/>
      <c r="D8878" s="1348"/>
      <c r="E8878" s="1348"/>
      <c r="F8878" s="1348"/>
      <c r="G8878" s="1348"/>
      <c r="H8878" s="1348"/>
      <c r="I8878" s="1348"/>
      <c r="J8878" s="1348"/>
      <c r="K8878" s="1348"/>
    </row>
    <row r="8879" spans="2:11" hidden="1">
      <c r="B8879" s="1348"/>
      <c r="C8879" s="1348"/>
      <c r="D8879" s="1348"/>
      <c r="E8879" s="1348"/>
      <c r="F8879" s="1348"/>
      <c r="G8879" s="1348"/>
      <c r="H8879" s="1348"/>
      <c r="I8879" s="1348"/>
      <c r="J8879" s="1348"/>
      <c r="K8879" s="1348"/>
    </row>
    <row r="8880" spans="2:11" hidden="1">
      <c r="B8880" s="1348"/>
      <c r="C8880" s="1348"/>
      <c r="D8880" s="1348"/>
      <c r="E8880" s="1348"/>
      <c r="F8880" s="1348"/>
      <c r="G8880" s="1348"/>
      <c r="H8880" s="1348"/>
      <c r="I8880" s="1348"/>
      <c r="J8880" s="1348"/>
      <c r="K8880" s="1348"/>
    </row>
    <row r="8881" spans="2:11" hidden="1">
      <c r="B8881" s="1348"/>
      <c r="C8881" s="1348"/>
      <c r="D8881" s="1348"/>
      <c r="E8881" s="1348"/>
      <c r="F8881" s="1348"/>
      <c r="G8881" s="1348"/>
      <c r="H8881" s="1348"/>
      <c r="I8881" s="1348"/>
      <c r="J8881" s="1348"/>
      <c r="K8881" s="1348"/>
    </row>
    <row r="8882" spans="2:11" hidden="1">
      <c r="B8882" s="1348"/>
      <c r="C8882" s="1348"/>
      <c r="D8882" s="1348"/>
      <c r="E8882" s="1348"/>
      <c r="F8882" s="1348"/>
      <c r="G8882" s="1348"/>
      <c r="H8882" s="1348"/>
      <c r="I8882" s="1348"/>
      <c r="J8882" s="1348"/>
      <c r="K8882" s="1348"/>
    </row>
    <row r="8883" spans="2:11" hidden="1">
      <c r="B8883" s="1348"/>
      <c r="C8883" s="1348"/>
      <c r="D8883" s="1348"/>
      <c r="E8883" s="1348"/>
      <c r="F8883" s="1348"/>
      <c r="G8883" s="1348"/>
      <c r="H8883" s="1348"/>
      <c r="I8883" s="1348"/>
      <c r="J8883" s="1348"/>
      <c r="K8883" s="1348"/>
    </row>
    <row r="8884" spans="2:11" hidden="1">
      <c r="B8884" s="1348"/>
      <c r="C8884" s="1348"/>
      <c r="D8884" s="1348"/>
      <c r="E8884" s="1348"/>
      <c r="F8884" s="1348"/>
      <c r="G8884" s="1348"/>
      <c r="H8884" s="1348"/>
      <c r="I8884" s="1348"/>
      <c r="J8884" s="1348"/>
      <c r="K8884" s="1348"/>
    </row>
    <row r="8885" spans="2:11" hidden="1">
      <c r="B8885" s="1348"/>
      <c r="C8885" s="1348"/>
      <c r="D8885" s="1348"/>
      <c r="E8885" s="1348"/>
      <c r="F8885" s="1348"/>
      <c r="G8885" s="1348"/>
      <c r="H8885" s="1348"/>
      <c r="I8885" s="1348"/>
      <c r="J8885" s="1348"/>
      <c r="K8885" s="1348"/>
    </row>
    <row r="8886" spans="2:11" hidden="1">
      <c r="B8886" s="1348"/>
      <c r="C8886" s="1348"/>
      <c r="D8886" s="1348"/>
      <c r="E8886" s="1348"/>
      <c r="F8886" s="1348"/>
      <c r="G8886" s="1348"/>
      <c r="H8886" s="1348"/>
      <c r="I8886" s="1348"/>
      <c r="J8886" s="1348"/>
      <c r="K8886" s="1348"/>
    </row>
    <row r="8887" spans="2:11" hidden="1">
      <c r="B8887" s="1348"/>
      <c r="C8887" s="1348"/>
      <c r="D8887" s="1348"/>
      <c r="E8887" s="1348"/>
      <c r="F8887" s="1348"/>
      <c r="G8887" s="1348"/>
      <c r="H8887" s="1348"/>
      <c r="I8887" s="1348"/>
      <c r="J8887" s="1348"/>
      <c r="K8887" s="1348"/>
    </row>
    <row r="8888" spans="2:11" hidden="1">
      <c r="B8888" s="1348"/>
      <c r="C8888" s="1348"/>
      <c r="D8888" s="1348"/>
      <c r="E8888" s="1348"/>
      <c r="F8888" s="1348"/>
      <c r="G8888" s="1348"/>
      <c r="H8888" s="1348"/>
      <c r="I8888" s="1348"/>
      <c r="J8888" s="1348"/>
      <c r="K8888" s="1348"/>
    </row>
    <row r="8889" spans="2:11" hidden="1">
      <c r="B8889" s="1348"/>
      <c r="C8889" s="1348"/>
      <c r="D8889" s="1348"/>
      <c r="E8889" s="1348"/>
      <c r="F8889" s="1348"/>
      <c r="G8889" s="1348"/>
      <c r="H8889" s="1348"/>
      <c r="I8889" s="1348"/>
      <c r="J8889" s="1348"/>
      <c r="K8889" s="1348"/>
    </row>
    <row r="8890" spans="2:11" hidden="1">
      <c r="B8890" s="1348"/>
      <c r="C8890" s="1348"/>
      <c r="D8890" s="1348"/>
      <c r="E8890" s="1348"/>
      <c r="F8890" s="1348"/>
      <c r="G8890" s="1348"/>
      <c r="H8890" s="1348"/>
      <c r="I8890" s="1348"/>
      <c r="J8890" s="1348"/>
      <c r="K8890" s="1348"/>
    </row>
    <row r="8891" spans="2:11" hidden="1">
      <c r="B8891" s="1348"/>
      <c r="C8891" s="1348"/>
      <c r="D8891" s="1348"/>
      <c r="E8891" s="1348"/>
      <c r="F8891" s="1348"/>
      <c r="G8891" s="1348"/>
      <c r="H8891" s="1348"/>
      <c r="I8891" s="1348"/>
      <c r="J8891" s="1348"/>
      <c r="K8891" s="1348"/>
    </row>
    <row r="8892" spans="2:11" hidden="1">
      <c r="B8892" s="1348"/>
      <c r="C8892" s="1348"/>
      <c r="D8892" s="1348"/>
      <c r="E8892" s="1348"/>
      <c r="F8892" s="1348"/>
      <c r="G8892" s="1348"/>
      <c r="H8892" s="1348"/>
      <c r="I8892" s="1348"/>
      <c r="J8892" s="1348"/>
      <c r="K8892" s="1348"/>
    </row>
    <row r="8893" spans="2:11" hidden="1">
      <c r="B8893" s="1348"/>
      <c r="C8893" s="1348"/>
      <c r="D8893" s="1348"/>
      <c r="E8893" s="1348"/>
      <c r="F8893" s="1348"/>
      <c r="G8893" s="1348"/>
      <c r="H8893" s="1348"/>
      <c r="I8893" s="1348"/>
      <c r="J8893" s="1348"/>
      <c r="K8893" s="1348"/>
    </row>
    <row r="8894" spans="2:11" hidden="1">
      <c r="B8894" s="1348"/>
      <c r="C8894" s="1348"/>
      <c r="D8894" s="1348"/>
      <c r="E8894" s="1348"/>
      <c r="F8894" s="1348"/>
      <c r="G8894" s="1348"/>
      <c r="H8894" s="1348"/>
      <c r="I8894" s="1348"/>
      <c r="J8894" s="1348"/>
      <c r="K8894" s="1348"/>
    </row>
    <row r="8895" spans="2:11" hidden="1">
      <c r="B8895" s="1348"/>
      <c r="C8895" s="1348"/>
      <c r="D8895" s="1348"/>
      <c r="E8895" s="1348"/>
      <c r="F8895" s="1348"/>
      <c r="G8895" s="1348"/>
      <c r="H8895" s="1348"/>
      <c r="I8895" s="1348"/>
      <c r="J8895" s="1348"/>
      <c r="K8895" s="1348"/>
    </row>
    <row r="8896" spans="2:11" hidden="1">
      <c r="B8896" s="1348"/>
      <c r="C8896" s="1348"/>
      <c r="D8896" s="1348"/>
      <c r="E8896" s="1348"/>
      <c r="F8896" s="1348"/>
      <c r="G8896" s="1348"/>
      <c r="H8896" s="1348"/>
      <c r="I8896" s="1348"/>
      <c r="J8896" s="1348"/>
      <c r="K8896" s="1348"/>
    </row>
    <row r="8897" spans="2:11" hidden="1">
      <c r="B8897" s="1348"/>
      <c r="C8897" s="1348"/>
      <c r="D8897" s="1348"/>
      <c r="E8897" s="1348"/>
      <c r="F8897" s="1348"/>
      <c r="G8897" s="1348"/>
      <c r="H8897" s="1348"/>
      <c r="I8897" s="1348"/>
      <c r="J8897" s="1348"/>
      <c r="K8897" s="1348"/>
    </row>
    <row r="8898" spans="2:11" hidden="1">
      <c r="B8898" s="1348"/>
      <c r="C8898" s="1348"/>
      <c r="D8898" s="1348"/>
      <c r="E8898" s="1348"/>
      <c r="F8898" s="1348"/>
      <c r="G8898" s="1348"/>
      <c r="H8898" s="1348"/>
      <c r="I8898" s="1348"/>
      <c r="J8898" s="1348"/>
      <c r="K8898" s="1348"/>
    </row>
    <row r="8899" spans="2:11" hidden="1">
      <c r="B8899" s="1348"/>
      <c r="C8899" s="1348"/>
      <c r="D8899" s="1348"/>
      <c r="E8899" s="1348"/>
      <c r="F8899" s="1348"/>
      <c r="G8899" s="1348"/>
      <c r="H8899" s="1348"/>
      <c r="I8899" s="1348"/>
      <c r="J8899" s="1348"/>
      <c r="K8899" s="1348"/>
    </row>
    <row r="8900" spans="2:11" hidden="1">
      <c r="B8900" s="1348"/>
      <c r="C8900" s="1348"/>
      <c r="D8900" s="1348"/>
      <c r="E8900" s="1348"/>
      <c r="F8900" s="1348"/>
      <c r="G8900" s="1348"/>
      <c r="H8900" s="1348"/>
      <c r="I8900" s="1348"/>
      <c r="J8900" s="1348"/>
      <c r="K8900" s="1348"/>
    </row>
    <row r="8901" spans="2:11" hidden="1">
      <c r="B8901" s="1348"/>
      <c r="C8901" s="1348"/>
      <c r="D8901" s="1348"/>
      <c r="E8901" s="1348"/>
      <c r="F8901" s="1348"/>
      <c r="G8901" s="1348"/>
      <c r="H8901" s="1348"/>
      <c r="I8901" s="1348"/>
      <c r="J8901" s="1348"/>
      <c r="K8901" s="1348"/>
    </row>
    <row r="8902" spans="2:11" hidden="1">
      <c r="B8902" s="1348"/>
      <c r="C8902" s="1348"/>
      <c r="D8902" s="1348"/>
      <c r="E8902" s="1348"/>
      <c r="F8902" s="1348"/>
      <c r="G8902" s="1348"/>
      <c r="H8902" s="1348"/>
      <c r="I8902" s="1348"/>
      <c r="J8902" s="1348"/>
      <c r="K8902" s="1348"/>
    </row>
    <row r="8903" spans="2:11" hidden="1">
      <c r="B8903" s="1348"/>
      <c r="C8903" s="1348"/>
      <c r="D8903" s="1348"/>
      <c r="E8903" s="1348"/>
      <c r="F8903" s="1348"/>
      <c r="G8903" s="1348"/>
      <c r="H8903" s="1348"/>
      <c r="I8903" s="1348"/>
      <c r="J8903" s="1348"/>
      <c r="K8903" s="1348"/>
    </row>
    <row r="8904" spans="2:11" hidden="1">
      <c r="B8904" s="1348"/>
      <c r="C8904" s="1348"/>
      <c r="D8904" s="1348"/>
      <c r="E8904" s="1348"/>
      <c r="F8904" s="1348"/>
      <c r="G8904" s="1348"/>
      <c r="H8904" s="1348"/>
      <c r="I8904" s="1348"/>
      <c r="J8904" s="1348"/>
      <c r="K8904" s="1348"/>
    </row>
    <row r="8905" spans="2:11" hidden="1">
      <c r="B8905" s="1348"/>
      <c r="C8905" s="1348"/>
      <c r="D8905" s="1348"/>
      <c r="E8905" s="1348"/>
      <c r="F8905" s="1348"/>
      <c r="G8905" s="1348"/>
      <c r="H8905" s="1348"/>
      <c r="I8905" s="1348"/>
      <c r="J8905" s="1348"/>
      <c r="K8905" s="1348"/>
    </row>
    <row r="8906" spans="2:11" hidden="1">
      <c r="B8906" s="1348"/>
      <c r="C8906" s="1348"/>
      <c r="D8906" s="1348"/>
      <c r="E8906" s="1348"/>
      <c r="F8906" s="1348"/>
      <c r="G8906" s="1348"/>
      <c r="H8906" s="1348"/>
      <c r="I8906" s="1348"/>
      <c r="J8906" s="1348"/>
      <c r="K8906" s="1348"/>
    </row>
    <row r="8907" spans="2:11" hidden="1">
      <c r="B8907" s="1348"/>
      <c r="C8907" s="1348"/>
      <c r="D8907" s="1348"/>
      <c r="E8907" s="1348"/>
      <c r="F8907" s="1348"/>
      <c r="G8907" s="1348"/>
      <c r="H8907" s="1348"/>
      <c r="I8907" s="1348"/>
      <c r="J8907" s="1348"/>
      <c r="K8907" s="1348"/>
    </row>
    <row r="8908" spans="2:11" hidden="1">
      <c r="B8908" s="1348"/>
      <c r="C8908" s="1348"/>
      <c r="D8908" s="1348"/>
      <c r="E8908" s="1348"/>
      <c r="F8908" s="1348"/>
      <c r="G8908" s="1348"/>
      <c r="H8908" s="1348"/>
      <c r="I8908" s="1348"/>
      <c r="J8908" s="1348"/>
      <c r="K8908" s="1348"/>
    </row>
    <row r="8909" spans="2:11" hidden="1">
      <c r="B8909" s="1348"/>
      <c r="C8909" s="1348"/>
      <c r="D8909" s="1348"/>
      <c r="E8909" s="1348"/>
      <c r="F8909" s="1348"/>
      <c r="G8909" s="1348"/>
      <c r="H8909" s="1348"/>
      <c r="I8909" s="1348"/>
      <c r="J8909" s="1348"/>
      <c r="K8909" s="1348"/>
    </row>
    <row r="8910" spans="2:11" hidden="1">
      <c r="B8910" s="1348"/>
      <c r="C8910" s="1348"/>
      <c r="D8910" s="1348"/>
      <c r="E8910" s="1348"/>
      <c r="F8910" s="1348"/>
      <c r="G8910" s="1348"/>
      <c r="H8910" s="1348"/>
      <c r="I8910" s="1348"/>
      <c r="J8910" s="1348"/>
      <c r="K8910" s="1348"/>
    </row>
    <row r="8911" spans="2:11" hidden="1">
      <c r="B8911" s="1348"/>
      <c r="C8911" s="1348"/>
      <c r="D8911" s="1348"/>
      <c r="E8911" s="1348"/>
      <c r="F8911" s="1348"/>
      <c r="G8911" s="1348"/>
      <c r="H8911" s="1348"/>
      <c r="I8911" s="1348"/>
      <c r="J8911" s="1348"/>
      <c r="K8911" s="1348"/>
    </row>
    <row r="8912" spans="2:11" hidden="1">
      <c r="B8912" s="1348"/>
      <c r="C8912" s="1348"/>
      <c r="D8912" s="1348"/>
      <c r="E8912" s="1348"/>
      <c r="F8912" s="1348"/>
      <c r="G8912" s="1348"/>
      <c r="H8912" s="1348"/>
      <c r="I8912" s="1348"/>
      <c r="J8912" s="1348"/>
      <c r="K8912" s="1348"/>
    </row>
    <row r="8913" spans="2:11" hidden="1">
      <c r="B8913" s="1348"/>
      <c r="C8913" s="1348"/>
      <c r="D8913" s="1348"/>
      <c r="E8913" s="1348"/>
      <c r="F8913" s="1348"/>
      <c r="G8913" s="1348"/>
      <c r="H8913" s="1348"/>
      <c r="I8913" s="1348"/>
      <c r="J8913" s="1348"/>
      <c r="K8913" s="1348"/>
    </row>
    <row r="8914" spans="2:11" hidden="1">
      <c r="B8914" s="1348"/>
      <c r="C8914" s="1348"/>
      <c r="D8914" s="1348"/>
      <c r="E8914" s="1348"/>
      <c r="F8914" s="1348"/>
      <c r="G8914" s="1348"/>
      <c r="H8914" s="1348"/>
      <c r="I8914" s="1348"/>
      <c r="J8914" s="1348"/>
      <c r="K8914" s="1348"/>
    </row>
    <row r="8915" spans="2:11" hidden="1">
      <c r="B8915" s="1348"/>
      <c r="C8915" s="1348"/>
      <c r="D8915" s="1348"/>
      <c r="E8915" s="1348"/>
      <c r="F8915" s="1348"/>
      <c r="G8915" s="1348"/>
      <c r="H8915" s="1348"/>
      <c r="I8915" s="1348"/>
      <c r="J8915" s="1348"/>
      <c r="K8915" s="1348"/>
    </row>
    <row r="8916" spans="2:11" hidden="1">
      <c r="B8916" s="1348"/>
      <c r="C8916" s="1348"/>
      <c r="D8916" s="1348"/>
      <c r="E8916" s="1348"/>
      <c r="F8916" s="1348"/>
      <c r="G8916" s="1348"/>
      <c r="H8916" s="1348"/>
      <c r="I8916" s="1348"/>
      <c r="J8916" s="1348"/>
      <c r="K8916" s="1348"/>
    </row>
    <row r="8917" spans="2:11" hidden="1">
      <c r="B8917" s="1348"/>
      <c r="C8917" s="1348"/>
      <c r="D8917" s="1348"/>
      <c r="E8917" s="1348"/>
      <c r="F8917" s="1348"/>
      <c r="G8917" s="1348"/>
      <c r="H8917" s="1348"/>
      <c r="I8917" s="1348"/>
      <c r="J8917" s="1348"/>
      <c r="K8917" s="1348"/>
    </row>
    <row r="8918" spans="2:11" hidden="1">
      <c r="B8918" s="1348"/>
      <c r="C8918" s="1348"/>
      <c r="D8918" s="1348"/>
      <c r="E8918" s="1348"/>
      <c r="F8918" s="1348"/>
      <c r="G8918" s="1348"/>
      <c r="H8918" s="1348"/>
      <c r="I8918" s="1348"/>
      <c r="J8918" s="1348"/>
      <c r="K8918" s="1348"/>
    </row>
    <row r="8919" spans="2:11" hidden="1">
      <c r="B8919" s="1348"/>
      <c r="C8919" s="1348"/>
      <c r="D8919" s="1348"/>
      <c r="E8919" s="1348"/>
      <c r="F8919" s="1348"/>
      <c r="G8919" s="1348"/>
      <c r="H8919" s="1348"/>
      <c r="I8919" s="1348"/>
      <c r="J8919" s="1348"/>
      <c r="K8919" s="1348"/>
    </row>
    <row r="8920" spans="2:11" hidden="1">
      <c r="B8920" s="1348"/>
      <c r="C8920" s="1348"/>
      <c r="D8920" s="1348"/>
      <c r="E8920" s="1348"/>
      <c r="F8920" s="1348"/>
      <c r="G8920" s="1348"/>
      <c r="H8920" s="1348"/>
      <c r="I8920" s="1348"/>
      <c r="J8920" s="1348"/>
      <c r="K8920" s="1348"/>
    </row>
    <row r="8921" spans="2:11" hidden="1">
      <c r="B8921" s="1348"/>
      <c r="C8921" s="1348"/>
      <c r="D8921" s="1348"/>
      <c r="E8921" s="1348"/>
      <c r="F8921" s="1348"/>
      <c r="G8921" s="1348"/>
      <c r="H8921" s="1348"/>
      <c r="I8921" s="1348"/>
      <c r="J8921" s="1348"/>
      <c r="K8921" s="1348"/>
    </row>
    <row r="8922" spans="2:11" hidden="1">
      <c r="B8922" s="1348"/>
      <c r="C8922" s="1348"/>
      <c r="D8922" s="1348"/>
      <c r="E8922" s="1348"/>
      <c r="F8922" s="1348"/>
      <c r="G8922" s="1348"/>
      <c r="H8922" s="1348"/>
      <c r="I8922" s="1348"/>
      <c r="J8922" s="1348"/>
      <c r="K8922" s="1348"/>
    </row>
    <row r="8923" spans="2:11" hidden="1">
      <c r="B8923" s="1348"/>
      <c r="C8923" s="1348"/>
      <c r="D8923" s="1348"/>
      <c r="E8923" s="1348"/>
      <c r="F8923" s="1348"/>
      <c r="G8923" s="1348"/>
      <c r="H8923" s="1348"/>
      <c r="I8923" s="1348"/>
      <c r="J8923" s="1348"/>
      <c r="K8923" s="1348"/>
    </row>
    <row r="8924" spans="2:11" hidden="1">
      <c r="B8924" s="1348"/>
      <c r="C8924" s="1348"/>
      <c r="D8924" s="1348"/>
      <c r="E8924" s="1348"/>
      <c r="F8924" s="1348"/>
      <c r="G8924" s="1348"/>
      <c r="H8924" s="1348"/>
      <c r="I8924" s="1348"/>
      <c r="J8924" s="1348"/>
      <c r="K8924" s="1348"/>
    </row>
    <row r="8925" spans="2:11" hidden="1">
      <c r="B8925" s="1348"/>
      <c r="C8925" s="1348"/>
      <c r="D8925" s="1348"/>
      <c r="E8925" s="1348"/>
      <c r="F8925" s="1348"/>
      <c r="G8925" s="1348"/>
      <c r="H8925" s="1348"/>
      <c r="I8925" s="1348"/>
      <c r="J8925" s="1348"/>
      <c r="K8925" s="1348"/>
    </row>
    <row r="8926" spans="2:11" hidden="1">
      <c r="B8926" s="1348"/>
      <c r="C8926" s="1348"/>
      <c r="D8926" s="1348"/>
      <c r="E8926" s="1348"/>
      <c r="F8926" s="1348"/>
      <c r="G8926" s="1348"/>
      <c r="H8926" s="1348"/>
      <c r="I8926" s="1348"/>
      <c r="J8926" s="1348"/>
      <c r="K8926" s="1348"/>
    </row>
    <row r="8927" spans="2:11" hidden="1">
      <c r="B8927" s="1348"/>
      <c r="C8927" s="1348"/>
      <c r="D8927" s="1348"/>
      <c r="E8927" s="1348"/>
      <c r="F8927" s="1348"/>
      <c r="G8927" s="1348"/>
      <c r="H8927" s="1348"/>
      <c r="I8927" s="1348"/>
      <c r="J8927" s="1348"/>
      <c r="K8927" s="1348"/>
    </row>
    <row r="8928" spans="2:11" hidden="1">
      <c r="B8928" s="1348"/>
      <c r="C8928" s="1348"/>
      <c r="D8928" s="1348"/>
      <c r="E8928" s="1348"/>
      <c r="F8928" s="1348"/>
      <c r="G8928" s="1348"/>
      <c r="H8928" s="1348"/>
      <c r="I8928" s="1348"/>
      <c r="J8928" s="1348"/>
      <c r="K8928" s="1348"/>
    </row>
    <row r="8929" spans="2:11" hidden="1">
      <c r="B8929" s="1348"/>
      <c r="C8929" s="1348"/>
      <c r="D8929" s="1348"/>
      <c r="E8929" s="1348"/>
      <c r="F8929" s="1348"/>
      <c r="G8929" s="1348"/>
      <c r="H8929" s="1348"/>
      <c r="I8929" s="1348"/>
      <c r="J8929" s="1348"/>
      <c r="K8929" s="1348"/>
    </row>
    <row r="8930" spans="2:11" hidden="1">
      <c r="B8930" s="1348"/>
      <c r="C8930" s="1348"/>
      <c r="D8930" s="1348"/>
      <c r="E8930" s="1348"/>
      <c r="F8930" s="1348"/>
      <c r="G8930" s="1348"/>
      <c r="H8930" s="1348"/>
      <c r="I8930" s="1348"/>
      <c r="J8930" s="1348"/>
      <c r="K8930" s="1348"/>
    </row>
    <row r="8931" spans="2:11" hidden="1">
      <c r="B8931" s="1348"/>
      <c r="C8931" s="1348"/>
      <c r="D8931" s="1348"/>
      <c r="E8931" s="1348"/>
      <c r="F8931" s="1348"/>
      <c r="G8931" s="1348"/>
      <c r="H8931" s="1348"/>
      <c r="I8931" s="1348"/>
      <c r="J8931" s="1348"/>
      <c r="K8931" s="1348"/>
    </row>
    <row r="8932" spans="2:11" hidden="1">
      <c r="B8932" s="1348"/>
      <c r="C8932" s="1348"/>
      <c r="D8932" s="1348"/>
      <c r="E8932" s="1348"/>
      <c r="F8932" s="1348"/>
      <c r="G8932" s="1348"/>
      <c r="H8932" s="1348"/>
      <c r="I8932" s="1348"/>
      <c r="J8932" s="1348"/>
      <c r="K8932" s="1348"/>
    </row>
    <row r="8933" spans="2:11" hidden="1">
      <c r="B8933" s="1348"/>
      <c r="C8933" s="1348"/>
      <c r="D8933" s="1348"/>
      <c r="E8933" s="1348"/>
      <c r="F8933" s="1348"/>
      <c r="G8933" s="1348"/>
      <c r="H8933" s="1348"/>
      <c r="I8933" s="1348"/>
      <c r="J8933" s="1348"/>
      <c r="K8933" s="1348"/>
    </row>
    <row r="8934" spans="2:11" hidden="1">
      <c r="B8934" s="1348"/>
      <c r="C8934" s="1348"/>
      <c r="D8934" s="1348"/>
      <c r="E8934" s="1348"/>
      <c r="F8934" s="1348"/>
      <c r="G8934" s="1348"/>
      <c r="H8934" s="1348"/>
      <c r="I8934" s="1348"/>
      <c r="J8934" s="1348"/>
      <c r="K8934" s="1348"/>
    </row>
    <row r="8935" spans="2:11" hidden="1">
      <c r="B8935" s="1348"/>
      <c r="C8935" s="1348"/>
      <c r="D8935" s="1348"/>
      <c r="E8935" s="1348"/>
      <c r="F8935" s="1348"/>
      <c r="G8935" s="1348"/>
      <c r="H8935" s="1348"/>
      <c r="I8935" s="1348"/>
      <c r="J8935" s="1348"/>
      <c r="K8935" s="1348"/>
    </row>
    <row r="8936" spans="2:11" hidden="1">
      <c r="B8936" s="1348"/>
      <c r="C8936" s="1348"/>
      <c r="D8936" s="1348"/>
      <c r="E8936" s="1348"/>
      <c r="F8936" s="1348"/>
      <c r="G8936" s="1348"/>
      <c r="H8936" s="1348"/>
      <c r="I8936" s="1348"/>
      <c r="J8936" s="1348"/>
      <c r="K8936" s="1348"/>
    </row>
    <row r="8937" spans="2:11" hidden="1">
      <c r="B8937" s="1348"/>
      <c r="C8937" s="1348"/>
      <c r="D8937" s="1348"/>
      <c r="E8937" s="1348"/>
      <c r="F8937" s="1348"/>
      <c r="G8937" s="1348"/>
      <c r="H8937" s="1348"/>
      <c r="I8937" s="1348"/>
      <c r="J8937" s="1348"/>
      <c r="K8937" s="1348"/>
    </row>
    <row r="8938" spans="2:11" hidden="1">
      <c r="B8938" s="1348"/>
      <c r="C8938" s="1348"/>
      <c r="D8938" s="1348"/>
      <c r="E8938" s="1348"/>
      <c r="F8938" s="1348"/>
      <c r="G8938" s="1348"/>
      <c r="H8938" s="1348"/>
      <c r="I8938" s="1348"/>
      <c r="J8938" s="1348"/>
      <c r="K8938" s="1348"/>
    </row>
    <row r="8939" spans="2:11" hidden="1">
      <c r="B8939" s="1348"/>
      <c r="C8939" s="1348"/>
      <c r="D8939" s="1348"/>
      <c r="E8939" s="1348"/>
      <c r="F8939" s="1348"/>
      <c r="G8939" s="1348"/>
      <c r="H8939" s="1348"/>
      <c r="I8939" s="1348"/>
      <c r="J8939" s="1348"/>
      <c r="K8939" s="1348"/>
    </row>
    <row r="8940" spans="2:11" hidden="1">
      <c r="B8940" s="1348"/>
      <c r="C8940" s="1348"/>
      <c r="D8940" s="1348"/>
      <c r="E8940" s="1348"/>
      <c r="F8940" s="1348"/>
      <c r="G8940" s="1348"/>
      <c r="H8940" s="1348"/>
      <c r="I8940" s="1348"/>
      <c r="J8940" s="1348"/>
      <c r="K8940" s="1348"/>
    </row>
    <row r="8941" spans="2:11" hidden="1">
      <c r="B8941" s="1348"/>
      <c r="C8941" s="1348"/>
      <c r="D8941" s="1348"/>
      <c r="E8941" s="1348"/>
      <c r="F8941" s="1348"/>
      <c r="G8941" s="1348"/>
      <c r="H8941" s="1348"/>
      <c r="I8941" s="1348"/>
      <c r="J8941" s="1348"/>
      <c r="K8941" s="1348"/>
    </row>
    <row r="8942" spans="2:11" hidden="1">
      <c r="B8942" s="1348"/>
      <c r="C8942" s="1348"/>
      <c r="D8942" s="1348"/>
      <c r="E8942" s="1348"/>
      <c r="F8942" s="1348"/>
      <c r="G8942" s="1348"/>
      <c r="H8942" s="1348"/>
      <c r="I8942" s="1348"/>
      <c r="J8942" s="1348"/>
      <c r="K8942" s="1348"/>
    </row>
    <row r="8943" spans="2:11" hidden="1">
      <c r="B8943" s="1348"/>
      <c r="C8943" s="1348"/>
      <c r="D8943" s="1348"/>
      <c r="E8943" s="1348"/>
      <c r="F8943" s="1348"/>
      <c r="G8943" s="1348"/>
      <c r="H8943" s="1348"/>
      <c r="I8943" s="1348"/>
      <c r="J8943" s="1348"/>
      <c r="K8943" s="1348"/>
    </row>
    <row r="8944" spans="2:11" hidden="1">
      <c r="B8944" s="1348"/>
      <c r="C8944" s="1348"/>
      <c r="D8944" s="1348"/>
      <c r="E8944" s="1348"/>
      <c r="F8944" s="1348"/>
      <c r="G8944" s="1348"/>
      <c r="H8944" s="1348"/>
      <c r="I8944" s="1348"/>
      <c r="J8944" s="1348"/>
      <c r="K8944" s="1348"/>
    </row>
    <row r="8945" spans="2:11" hidden="1">
      <c r="B8945" s="1348"/>
      <c r="C8945" s="1348"/>
      <c r="D8945" s="1348"/>
      <c r="E8945" s="1348"/>
      <c r="F8945" s="1348"/>
      <c r="G8945" s="1348"/>
      <c r="H8945" s="1348"/>
      <c r="I8945" s="1348"/>
      <c r="J8945" s="1348"/>
      <c r="K8945" s="1348"/>
    </row>
    <row r="8946" spans="2:11" hidden="1">
      <c r="B8946" s="1348"/>
      <c r="C8946" s="1348"/>
      <c r="D8946" s="1348"/>
      <c r="E8946" s="1348"/>
      <c r="F8946" s="1348"/>
      <c r="G8946" s="1348"/>
      <c r="H8946" s="1348"/>
      <c r="I8946" s="1348"/>
      <c r="J8946" s="1348"/>
      <c r="K8946" s="1348"/>
    </row>
    <row r="8947" spans="2:11" hidden="1">
      <c r="B8947" s="1348"/>
      <c r="C8947" s="1348"/>
      <c r="D8947" s="1348"/>
      <c r="E8947" s="1348"/>
      <c r="F8947" s="1348"/>
      <c r="G8947" s="1348"/>
      <c r="H8947" s="1348"/>
      <c r="I8947" s="1348"/>
      <c r="J8947" s="1348"/>
      <c r="K8947" s="1348"/>
    </row>
    <row r="8948" spans="2:11" hidden="1">
      <c r="B8948" s="1348"/>
      <c r="C8948" s="1348"/>
      <c r="D8948" s="1348"/>
      <c r="E8948" s="1348"/>
      <c r="F8948" s="1348"/>
      <c r="G8948" s="1348"/>
      <c r="H8948" s="1348"/>
      <c r="I8948" s="1348"/>
      <c r="J8948" s="1348"/>
      <c r="K8948" s="1348"/>
    </row>
    <row r="8949" spans="2:11" hidden="1">
      <c r="B8949" s="1348"/>
      <c r="C8949" s="1348"/>
      <c r="D8949" s="1348"/>
      <c r="E8949" s="1348"/>
      <c r="F8949" s="1348"/>
      <c r="G8949" s="1348"/>
      <c r="H8949" s="1348"/>
      <c r="I8949" s="1348"/>
      <c r="J8949" s="1348"/>
      <c r="K8949" s="1348"/>
    </row>
    <row r="8950" spans="2:11" hidden="1">
      <c r="B8950" s="1348"/>
      <c r="C8950" s="1348"/>
      <c r="D8950" s="1348"/>
      <c r="E8950" s="1348"/>
      <c r="F8950" s="1348"/>
      <c r="G8950" s="1348"/>
      <c r="H8950" s="1348"/>
      <c r="I8950" s="1348"/>
      <c r="J8950" s="1348"/>
      <c r="K8950" s="1348"/>
    </row>
    <row r="8951" spans="2:11" hidden="1">
      <c r="B8951" s="1348"/>
      <c r="C8951" s="1348"/>
      <c r="D8951" s="1348"/>
      <c r="E8951" s="1348"/>
      <c r="F8951" s="1348"/>
      <c r="G8951" s="1348"/>
      <c r="H8951" s="1348"/>
      <c r="I8951" s="1348"/>
      <c r="J8951" s="1348"/>
      <c r="K8951" s="1348"/>
    </row>
    <row r="8952" spans="2:11" hidden="1">
      <c r="B8952" s="1348"/>
      <c r="C8952" s="1348"/>
      <c r="D8952" s="1348"/>
      <c r="E8952" s="1348"/>
      <c r="F8952" s="1348"/>
      <c r="G8952" s="1348"/>
      <c r="H8952" s="1348"/>
      <c r="I8952" s="1348"/>
      <c r="J8952" s="1348"/>
      <c r="K8952" s="1348"/>
    </row>
    <row r="8953" spans="2:11" hidden="1">
      <c r="B8953" s="1348"/>
      <c r="C8953" s="1348"/>
      <c r="D8953" s="1348"/>
      <c r="E8953" s="1348"/>
      <c r="F8953" s="1348"/>
      <c r="G8953" s="1348"/>
      <c r="H8953" s="1348"/>
      <c r="I8953" s="1348"/>
      <c r="J8953" s="1348"/>
      <c r="K8953" s="1348"/>
    </row>
    <row r="8954" spans="2:11" hidden="1">
      <c r="B8954" s="1348"/>
      <c r="C8954" s="1348"/>
      <c r="D8954" s="1348"/>
      <c r="E8954" s="1348"/>
      <c r="F8954" s="1348"/>
      <c r="G8954" s="1348"/>
      <c r="H8954" s="1348"/>
      <c r="I8954" s="1348"/>
      <c r="J8954" s="1348"/>
      <c r="K8954" s="1348"/>
    </row>
    <row r="8955" spans="2:11" hidden="1">
      <c r="B8955" s="1348"/>
      <c r="C8955" s="1348"/>
      <c r="D8955" s="1348"/>
      <c r="E8955" s="1348"/>
      <c r="F8955" s="1348"/>
      <c r="G8955" s="1348"/>
      <c r="H8955" s="1348"/>
      <c r="I8955" s="1348"/>
      <c r="J8955" s="1348"/>
      <c r="K8955" s="1348"/>
    </row>
    <row r="8956" spans="2:11" hidden="1">
      <c r="B8956" s="1348"/>
      <c r="C8956" s="1348"/>
      <c r="D8956" s="1348"/>
      <c r="E8956" s="1348"/>
      <c r="F8956" s="1348"/>
      <c r="G8956" s="1348"/>
      <c r="H8956" s="1348"/>
      <c r="I8956" s="1348"/>
      <c r="J8956" s="1348"/>
      <c r="K8956" s="1348"/>
    </row>
    <row r="8957" spans="2:11" hidden="1">
      <c r="B8957" s="1348"/>
      <c r="C8957" s="1348"/>
      <c r="D8957" s="1348"/>
      <c r="E8957" s="1348"/>
      <c r="F8957" s="1348"/>
      <c r="G8957" s="1348"/>
      <c r="H8957" s="1348"/>
      <c r="I8957" s="1348"/>
      <c r="J8957" s="1348"/>
      <c r="K8957" s="1348"/>
    </row>
    <row r="8958" spans="2:11" hidden="1">
      <c r="B8958" s="1348"/>
      <c r="C8958" s="1348"/>
      <c r="D8958" s="1348"/>
      <c r="E8958" s="1348"/>
      <c r="F8958" s="1348"/>
      <c r="G8958" s="1348"/>
      <c r="H8958" s="1348"/>
      <c r="I8958" s="1348"/>
      <c r="J8958" s="1348"/>
      <c r="K8958" s="1348"/>
    </row>
    <row r="8959" spans="2:11" hidden="1">
      <c r="B8959" s="1348"/>
      <c r="C8959" s="1348"/>
      <c r="D8959" s="1348"/>
      <c r="E8959" s="1348"/>
      <c r="F8959" s="1348"/>
      <c r="G8959" s="1348"/>
      <c r="H8959" s="1348"/>
      <c r="I8959" s="1348"/>
      <c r="J8959" s="1348"/>
      <c r="K8959" s="1348"/>
    </row>
    <row r="8960" spans="2:11" hidden="1">
      <c r="B8960" s="1348"/>
      <c r="C8960" s="1348"/>
      <c r="D8960" s="1348"/>
      <c r="E8960" s="1348"/>
      <c r="F8960" s="1348"/>
      <c r="G8960" s="1348"/>
      <c r="H8960" s="1348"/>
      <c r="I8960" s="1348"/>
      <c r="J8960" s="1348"/>
      <c r="K8960" s="1348"/>
    </row>
    <row r="8961" spans="2:11" hidden="1">
      <c r="B8961" s="1348"/>
      <c r="C8961" s="1348"/>
      <c r="D8961" s="1348"/>
      <c r="E8961" s="1348"/>
      <c r="F8961" s="1348"/>
      <c r="G8961" s="1348"/>
      <c r="H8961" s="1348"/>
      <c r="I8961" s="1348"/>
      <c r="J8961" s="1348"/>
      <c r="K8961" s="1348"/>
    </row>
    <row r="8962" spans="2:11" hidden="1">
      <c r="B8962" s="1348"/>
      <c r="C8962" s="1348"/>
      <c r="D8962" s="1348"/>
      <c r="E8962" s="1348"/>
      <c r="F8962" s="1348"/>
      <c r="G8962" s="1348"/>
      <c r="H8962" s="1348"/>
      <c r="I8962" s="1348"/>
      <c r="J8962" s="1348"/>
      <c r="K8962" s="1348"/>
    </row>
    <row r="8963" spans="2:11" hidden="1">
      <c r="B8963" s="1348"/>
      <c r="C8963" s="1348"/>
      <c r="D8963" s="1348"/>
      <c r="E8963" s="1348"/>
      <c r="F8963" s="1348"/>
      <c r="G8963" s="1348"/>
      <c r="H8963" s="1348"/>
      <c r="I8963" s="1348"/>
      <c r="J8963" s="1348"/>
      <c r="K8963" s="1348"/>
    </row>
    <row r="8964" spans="2:11" hidden="1">
      <c r="B8964" s="1348"/>
      <c r="C8964" s="1348"/>
      <c r="D8964" s="1348"/>
      <c r="E8964" s="1348"/>
      <c r="F8964" s="1348"/>
      <c r="G8964" s="1348"/>
      <c r="H8964" s="1348"/>
      <c r="I8964" s="1348"/>
      <c r="J8964" s="1348"/>
      <c r="K8964" s="1348"/>
    </row>
    <row r="8965" spans="2:11" hidden="1">
      <c r="B8965" s="1348"/>
      <c r="C8965" s="1348"/>
      <c r="D8965" s="1348"/>
      <c r="E8965" s="1348"/>
      <c r="F8965" s="1348"/>
      <c r="G8965" s="1348"/>
      <c r="H8965" s="1348"/>
      <c r="I8965" s="1348"/>
      <c r="J8965" s="1348"/>
      <c r="K8965" s="1348"/>
    </row>
    <row r="8966" spans="2:11" hidden="1">
      <c r="B8966" s="1348"/>
      <c r="C8966" s="1348"/>
      <c r="D8966" s="1348"/>
      <c r="E8966" s="1348"/>
      <c r="F8966" s="1348"/>
      <c r="G8966" s="1348"/>
      <c r="H8966" s="1348"/>
      <c r="I8966" s="1348"/>
      <c r="J8966" s="1348"/>
      <c r="K8966" s="1348"/>
    </row>
    <row r="8967" spans="2:11" hidden="1">
      <c r="B8967" s="1348"/>
      <c r="C8967" s="1348"/>
      <c r="D8967" s="1348"/>
      <c r="E8967" s="1348"/>
      <c r="F8967" s="1348"/>
      <c r="G8967" s="1348"/>
      <c r="H8967" s="1348"/>
      <c r="I8967" s="1348"/>
      <c r="J8967" s="1348"/>
      <c r="K8967" s="1348"/>
    </row>
    <row r="8968" spans="2:11" hidden="1">
      <c r="B8968" s="1348"/>
      <c r="C8968" s="1348"/>
      <c r="D8968" s="1348"/>
      <c r="E8968" s="1348"/>
      <c r="F8968" s="1348"/>
      <c r="G8968" s="1348"/>
      <c r="H8968" s="1348"/>
      <c r="I8968" s="1348"/>
      <c r="J8968" s="1348"/>
      <c r="K8968" s="1348"/>
    </row>
    <row r="8969" spans="2:11" hidden="1">
      <c r="B8969" s="1348"/>
      <c r="C8969" s="1348"/>
      <c r="D8969" s="1348"/>
      <c r="E8969" s="1348"/>
      <c r="F8969" s="1348"/>
      <c r="G8969" s="1348"/>
      <c r="H8969" s="1348"/>
      <c r="I8969" s="1348"/>
      <c r="J8969" s="1348"/>
      <c r="K8969" s="1348"/>
    </row>
    <row r="8970" spans="2:11" hidden="1">
      <c r="B8970" s="1348"/>
      <c r="C8970" s="1348"/>
      <c r="D8970" s="1348"/>
      <c r="E8970" s="1348"/>
      <c r="F8970" s="1348"/>
      <c r="G8970" s="1348"/>
      <c r="H8970" s="1348"/>
      <c r="I8970" s="1348"/>
      <c r="J8970" s="1348"/>
      <c r="K8970" s="1348"/>
    </row>
    <row r="8971" spans="2:11" hidden="1">
      <c r="B8971" s="1348"/>
      <c r="C8971" s="1348"/>
      <c r="D8971" s="1348"/>
      <c r="E8971" s="1348"/>
      <c r="F8971" s="1348"/>
      <c r="G8971" s="1348"/>
      <c r="H8971" s="1348"/>
      <c r="I8971" s="1348"/>
      <c r="J8971" s="1348"/>
      <c r="K8971" s="1348"/>
    </row>
    <row r="8972" spans="2:11" hidden="1">
      <c r="B8972" s="1348"/>
      <c r="C8972" s="1348"/>
      <c r="D8972" s="1348"/>
      <c r="E8972" s="1348"/>
      <c r="F8972" s="1348"/>
      <c r="G8972" s="1348"/>
      <c r="H8972" s="1348"/>
      <c r="I8972" s="1348"/>
      <c r="J8972" s="1348"/>
      <c r="K8972" s="1348"/>
    </row>
    <row r="8973" spans="2:11" hidden="1">
      <c r="B8973" s="1348"/>
      <c r="C8973" s="1348"/>
      <c r="D8973" s="1348"/>
      <c r="E8973" s="1348"/>
      <c r="F8973" s="1348"/>
      <c r="G8973" s="1348"/>
      <c r="H8973" s="1348"/>
      <c r="I8973" s="1348"/>
      <c r="J8973" s="1348"/>
      <c r="K8973" s="1348"/>
    </row>
    <row r="8974" spans="2:11" hidden="1">
      <c r="B8974" s="1348"/>
      <c r="C8974" s="1348"/>
      <c r="D8974" s="1348"/>
      <c r="E8974" s="1348"/>
      <c r="F8974" s="1348"/>
      <c r="G8974" s="1348"/>
      <c r="H8974" s="1348"/>
      <c r="I8974" s="1348"/>
      <c r="J8974" s="1348"/>
      <c r="K8974" s="1348"/>
    </row>
    <row r="8975" spans="2:11" hidden="1">
      <c r="B8975" s="1348"/>
      <c r="C8975" s="1348"/>
      <c r="D8975" s="1348"/>
      <c r="E8975" s="1348"/>
      <c r="F8975" s="1348"/>
      <c r="G8975" s="1348"/>
      <c r="H8975" s="1348"/>
      <c r="I8975" s="1348"/>
      <c r="J8975" s="1348"/>
      <c r="K8975" s="1348"/>
    </row>
    <row r="8976" spans="2:11" hidden="1">
      <c r="B8976" s="1348"/>
      <c r="C8976" s="1348"/>
      <c r="D8976" s="1348"/>
      <c r="E8976" s="1348"/>
      <c r="F8976" s="1348"/>
      <c r="G8976" s="1348"/>
      <c r="H8976" s="1348"/>
      <c r="I8976" s="1348"/>
      <c r="J8976" s="1348"/>
      <c r="K8976" s="1348"/>
    </row>
    <row r="8977" spans="2:11" hidden="1">
      <c r="B8977" s="1348"/>
      <c r="C8977" s="1348"/>
      <c r="D8977" s="1348"/>
      <c r="E8977" s="1348"/>
      <c r="F8977" s="1348"/>
      <c r="G8977" s="1348"/>
      <c r="H8977" s="1348"/>
      <c r="I8977" s="1348"/>
      <c r="J8977" s="1348"/>
      <c r="K8977" s="1348"/>
    </row>
    <row r="8978" spans="2:11" hidden="1">
      <c r="B8978" s="1348"/>
      <c r="C8978" s="1348"/>
      <c r="D8978" s="1348"/>
      <c r="E8978" s="1348"/>
      <c r="F8978" s="1348"/>
      <c r="G8978" s="1348"/>
      <c r="H8978" s="1348"/>
      <c r="I8978" s="1348"/>
      <c r="J8978" s="1348"/>
      <c r="K8978" s="1348"/>
    </row>
    <row r="8979" spans="2:11" hidden="1">
      <c r="B8979" s="1348"/>
      <c r="C8979" s="1348"/>
      <c r="D8979" s="1348"/>
      <c r="E8979" s="1348"/>
      <c r="F8979" s="1348"/>
      <c r="G8979" s="1348"/>
      <c r="H8979" s="1348"/>
      <c r="I8979" s="1348"/>
      <c r="J8979" s="1348"/>
      <c r="K8979" s="1348"/>
    </row>
    <row r="8980" spans="2:11" hidden="1">
      <c r="B8980" s="1348"/>
      <c r="C8980" s="1348"/>
      <c r="D8980" s="1348"/>
      <c r="E8980" s="1348"/>
      <c r="F8980" s="1348"/>
      <c r="G8980" s="1348"/>
      <c r="H8980" s="1348"/>
      <c r="I8980" s="1348"/>
      <c r="J8980" s="1348"/>
      <c r="K8980" s="1348"/>
    </row>
    <row r="8981" spans="2:11" hidden="1">
      <c r="B8981" s="1348"/>
      <c r="C8981" s="1348"/>
      <c r="D8981" s="1348"/>
      <c r="E8981" s="1348"/>
      <c r="F8981" s="1348"/>
      <c r="G8981" s="1348"/>
      <c r="H8981" s="1348"/>
      <c r="I8981" s="1348"/>
      <c r="J8981" s="1348"/>
      <c r="K8981" s="1348"/>
    </row>
    <row r="8982" spans="2:11" hidden="1">
      <c r="B8982" s="1348"/>
      <c r="C8982" s="1348"/>
      <c r="D8982" s="1348"/>
      <c r="E8982" s="1348"/>
      <c r="F8982" s="1348"/>
      <c r="G8982" s="1348"/>
      <c r="H8982" s="1348"/>
      <c r="I8982" s="1348"/>
      <c r="J8982" s="1348"/>
      <c r="K8982" s="1348"/>
    </row>
    <row r="8983" spans="2:11" hidden="1">
      <c r="B8983" s="1348"/>
      <c r="C8983" s="1348"/>
      <c r="D8983" s="1348"/>
      <c r="E8983" s="1348"/>
      <c r="F8983" s="1348"/>
      <c r="G8983" s="1348"/>
      <c r="H8983" s="1348"/>
      <c r="I8983" s="1348"/>
      <c r="J8983" s="1348"/>
      <c r="K8983" s="1348"/>
    </row>
    <row r="8984" spans="2:11" hidden="1">
      <c r="B8984" s="1348"/>
      <c r="C8984" s="1348"/>
      <c r="D8984" s="1348"/>
      <c r="E8984" s="1348"/>
      <c r="F8984" s="1348"/>
      <c r="G8984" s="1348"/>
      <c r="H8984" s="1348"/>
      <c r="I8984" s="1348"/>
      <c r="J8984" s="1348"/>
      <c r="K8984" s="1348"/>
    </row>
    <row r="8985" spans="2:11" hidden="1">
      <c r="B8985" s="1348"/>
      <c r="C8985" s="1348"/>
      <c r="D8985" s="1348"/>
      <c r="E8985" s="1348"/>
      <c r="F8985" s="1348"/>
      <c r="G8985" s="1348"/>
      <c r="H8985" s="1348"/>
      <c r="I8985" s="1348"/>
      <c r="J8985" s="1348"/>
      <c r="K8985" s="1348"/>
    </row>
    <row r="8986" spans="2:11" hidden="1">
      <c r="B8986" s="1348"/>
      <c r="C8986" s="1348"/>
      <c r="D8986" s="1348"/>
      <c r="E8986" s="1348"/>
      <c r="F8986" s="1348"/>
      <c r="G8986" s="1348"/>
      <c r="H8986" s="1348"/>
      <c r="I8986" s="1348"/>
      <c r="J8986" s="1348"/>
      <c r="K8986" s="1348"/>
    </row>
    <row r="8987" spans="2:11" hidden="1">
      <c r="B8987" s="1348"/>
      <c r="C8987" s="1348"/>
      <c r="D8987" s="1348"/>
      <c r="E8987" s="1348"/>
      <c r="F8987" s="1348"/>
      <c r="G8987" s="1348"/>
      <c r="H8987" s="1348"/>
      <c r="I8987" s="1348"/>
      <c r="J8987" s="1348"/>
      <c r="K8987" s="1348"/>
    </row>
    <row r="8988" spans="2:11" hidden="1">
      <c r="B8988" s="1348"/>
      <c r="C8988" s="1348"/>
      <c r="D8988" s="1348"/>
      <c r="E8988" s="1348"/>
      <c r="F8988" s="1348"/>
      <c r="G8988" s="1348"/>
      <c r="H8988" s="1348"/>
      <c r="I8988" s="1348"/>
      <c r="J8988" s="1348"/>
      <c r="K8988" s="1348"/>
    </row>
    <row r="8989" spans="2:11" hidden="1">
      <c r="B8989" s="1348"/>
      <c r="C8989" s="1348"/>
      <c r="D8989" s="1348"/>
      <c r="E8989" s="1348"/>
      <c r="F8989" s="1348"/>
      <c r="G8989" s="1348"/>
      <c r="H8989" s="1348"/>
      <c r="I8989" s="1348"/>
      <c r="J8989" s="1348"/>
      <c r="K8989" s="1348"/>
    </row>
    <row r="8990" spans="2:11" hidden="1">
      <c r="B8990" s="1348"/>
      <c r="C8990" s="1348"/>
      <c r="D8990" s="1348"/>
      <c r="E8990" s="1348"/>
      <c r="F8990" s="1348"/>
      <c r="G8990" s="1348"/>
      <c r="H8990" s="1348"/>
      <c r="I8990" s="1348"/>
      <c r="J8990" s="1348"/>
      <c r="K8990" s="1348"/>
    </row>
    <row r="8991" spans="2:11" hidden="1">
      <c r="B8991" s="1348"/>
      <c r="C8991" s="1348"/>
      <c r="D8991" s="1348"/>
      <c r="E8991" s="1348"/>
      <c r="F8991" s="1348"/>
      <c r="G8991" s="1348"/>
      <c r="H8991" s="1348"/>
      <c r="I8991" s="1348"/>
      <c r="J8991" s="1348"/>
      <c r="K8991" s="1348"/>
    </row>
    <row r="8992" spans="2:11" hidden="1">
      <c r="B8992" s="1348"/>
      <c r="C8992" s="1348"/>
      <c r="D8992" s="1348"/>
      <c r="E8992" s="1348"/>
      <c r="F8992" s="1348"/>
      <c r="G8992" s="1348"/>
      <c r="H8992" s="1348"/>
      <c r="I8992" s="1348"/>
      <c r="J8992" s="1348"/>
      <c r="K8992" s="1348"/>
    </row>
    <row r="8993" spans="2:11" hidden="1">
      <c r="B8993" s="1348"/>
      <c r="C8993" s="1348"/>
      <c r="D8993" s="1348"/>
      <c r="E8993" s="1348"/>
      <c r="F8993" s="1348"/>
      <c r="G8993" s="1348"/>
      <c r="H8993" s="1348"/>
      <c r="I8993" s="1348"/>
      <c r="J8993" s="1348"/>
      <c r="K8993" s="1348"/>
    </row>
    <row r="8994" spans="2:11" hidden="1">
      <c r="B8994" s="1348"/>
      <c r="C8994" s="1348"/>
      <c r="D8994" s="1348"/>
      <c r="E8994" s="1348"/>
      <c r="F8994" s="1348"/>
      <c r="G8994" s="1348"/>
      <c r="H8994" s="1348"/>
      <c r="I8994" s="1348"/>
      <c r="J8994" s="1348"/>
      <c r="K8994" s="1348"/>
    </row>
    <row r="8995" spans="2:11" hidden="1">
      <c r="B8995" s="1348"/>
      <c r="C8995" s="1348"/>
      <c r="D8995" s="1348"/>
      <c r="E8995" s="1348"/>
      <c r="F8995" s="1348"/>
      <c r="G8995" s="1348"/>
      <c r="H8995" s="1348"/>
      <c r="I8995" s="1348"/>
      <c r="J8995" s="1348"/>
      <c r="K8995" s="1348"/>
    </row>
    <row r="8996" spans="2:11" hidden="1">
      <c r="B8996" s="1348"/>
      <c r="C8996" s="1348"/>
      <c r="D8996" s="1348"/>
      <c r="E8996" s="1348"/>
      <c r="F8996" s="1348"/>
      <c r="G8996" s="1348"/>
      <c r="H8996" s="1348"/>
      <c r="I8996" s="1348"/>
      <c r="J8996" s="1348"/>
      <c r="K8996" s="1348"/>
    </row>
    <row r="8997" spans="2:11" hidden="1">
      <c r="B8997" s="1348"/>
      <c r="C8997" s="1348"/>
      <c r="D8997" s="1348"/>
      <c r="E8997" s="1348"/>
      <c r="F8997" s="1348"/>
      <c r="G8997" s="1348"/>
      <c r="H8997" s="1348"/>
      <c r="I8997" s="1348"/>
      <c r="J8997" s="1348"/>
      <c r="K8997" s="1348"/>
    </row>
    <row r="8998" spans="2:11" hidden="1">
      <c r="B8998" s="1348"/>
      <c r="C8998" s="1348"/>
      <c r="D8998" s="1348"/>
      <c r="E8998" s="1348"/>
      <c r="F8998" s="1348"/>
      <c r="G8998" s="1348"/>
      <c r="H8998" s="1348"/>
      <c r="I8998" s="1348"/>
      <c r="J8998" s="1348"/>
      <c r="K8998" s="1348"/>
    </row>
    <row r="8999" spans="2:11" hidden="1">
      <c r="B8999" s="1348"/>
      <c r="C8999" s="1348"/>
      <c r="D8999" s="1348"/>
      <c r="E8999" s="1348"/>
      <c r="F8999" s="1348"/>
      <c r="G8999" s="1348"/>
      <c r="H8999" s="1348"/>
      <c r="I8999" s="1348"/>
      <c r="J8999" s="1348"/>
      <c r="K8999" s="1348"/>
    </row>
    <row r="9000" spans="2:11" hidden="1">
      <c r="B9000" s="1348"/>
      <c r="C9000" s="1348"/>
      <c r="D9000" s="1348"/>
      <c r="E9000" s="1348"/>
      <c r="F9000" s="1348"/>
      <c r="G9000" s="1348"/>
      <c r="H9000" s="1348"/>
      <c r="I9000" s="1348"/>
      <c r="J9000" s="1348"/>
      <c r="K9000" s="1348"/>
    </row>
    <row r="9001" spans="2:11" hidden="1">
      <c r="B9001" s="1348"/>
      <c r="C9001" s="1348"/>
      <c r="D9001" s="1348"/>
      <c r="E9001" s="1348"/>
      <c r="F9001" s="1348"/>
      <c r="G9001" s="1348"/>
      <c r="H9001" s="1348"/>
      <c r="I9001" s="1348"/>
      <c r="J9001" s="1348"/>
      <c r="K9001" s="1348"/>
    </row>
    <row r="9002" spans="2:11" hidden="1">
      <c r="B9002" s="1348"/>
      <c r="C9002" s="1348"/>
      <c r="D9002" s="1348"/>
      <c r="E9002" s="1348"/>
      <c r="F9002" s="1348"/>
      <c r="G9002" s="1348"/>
      <c r="H9002" s="1348"/>
      <c r="I9002" s="1348"/>
      <c r="J9002" s="1348"/>
      <c r="K9002" s="1348"/>
    </row>
    <row r="9003" spans="2:11" hidden="1">
      <c r="B9003" s="1348"/>
      <c r="C9003" s="1348"/>
      <c r="D9003" s="1348"/>
      <c r="E9003" s="1348"/>
      <c r="F9003" s="1348"/>
      <c r="G9003" s="1348"/>
      <c r="H9003" s="1348"/>
      <c r="I9003" s="1348"/>
      <c r="J9003" s="1348"/>
      <c r="K9003" s="1348"/>
    </row>
    <row r="9004" spans="2:11" hidden="1">
      <c r="B9004" s="1348"/>
      <c r="C9004" s="1348"/>
      <c r="D9004" s="1348"/>
      <c r="E9004" s="1348"/>
      <c r="F9004" s="1348"/>
      <c r="G9004" s="1348"/>
      <c r="H9004" s="1348"/>
      <c r="I9004" s="1348"/>
      <c r="J9004" s="1348"/>
      <c r="K9004" s="1348"/>
    </row>
    <row r="9005" spans="2:11" hidden="1">
      <c r="B9005" s="1348"/>
      <c r="C9005" s="1348"/>
      <c r="D9005" s="1348"/>
      <c r="E9005" s="1348"/>
      <c r="F9005" s="1348"/>
      <c r="G9005" s="1348"/>
      <c r="H9005" s="1348"/>
      <c r="I9005" s="1348"/>
      <c r="J9005" s="1348"/>
      <c r="K9005" s="1348"/>
    </row>
    <row r="9006" spans="2:11" hidden="1">
      <c r="B9006" s="1348"/>
      <c r="C9006" s="1348"/>
      <c r="D9006" s="1348"/>
      <c r="E9006" s="1348"/>
      <c r="F9006" s="1348"/>
      <c r="G9006" s="1348"/>
      <c r="H9006" s="1348"/>
      <c r="I9006" s="1348"/>
      <c r="J9006" s="1348"/>
      <c r="K9006" s="1348"/>
    </row>
    <row r="9007" spans="2:11" hidden="1">
      <c r="B9007" s="1348"/>
      <c r="C9007" s="1348"/>
      <c r="D9007" s="1348"/>
      <c r="E9007" s="1348"/>
      <c r="F9007" s="1348"/>
      <c r="G9007" s="1348"/>
      <c r="H9007" s="1348"/>
      <c r="I9007" s="1348"/>
      <c r="J9007" s="1348"/>
      <c r="K9007" s="1348"/>
    </row>
    <row r="9008" spans="2:11" hidden="1">
      <c r="B9008" s="1348"/>
      <c r="C9008" s="1348"/>
      <c r="D9008" s="1348"/>
      <c r="E9008" s="1348"/>
      <c r="F9008" s="1348"/>
      <c r="G9008" s="1348"/>
      <c r="H9008" s="1348"/>
      <c r="I9008" s="1348"/>
      <c r="J9008" s="1348"/>
      <c r="K9008" s="1348"/>
    </row>
    <row r="9009" spans="2:11" hidden="1">
      <c r="B9009" s="1348"/>
      <c r="C9009" s="1348"/>
      <c r="D9009" s="1348"/>
      <c r="E9009" s="1348"/>
      <c r="F9009" s="1348"/>
      <c r="G9009" s="1348"/>
      <c r="H9009" s="1348"/>
      <c r="I9009" s="1348"/>
      <c r="J9009" s="1348"/>
      <c r="K9009" s="1348"/>
    </row>
    <row r="9010" spans="2:11" hidden="1">
      <c r="B9010" s="1348"/>
      <c r="C9010" s="1348"/>
      <c r="D9010" s="1348"/>
      <c r="E9010" s="1348"/>
      <c r="F9010" s="1348"/>
      <c r="G9010" s="1348"/>
      <c r="H9010" s="1348"/>
      <c r="I9010" s="1348"/>
      <c r="J9010" s="1348"/>
      <c r="K9010" s="1348"/>
    </row>
    <row r="9011" spans="2:11" hidden="1">
      <c r="B9011" s="1348"/>
      <c r="C9011" s="1348"/>
      <c r="D9011" s="1348"/>
      <c r="E9011" s="1348"/>
      <c r="F9011" s="1348"/>
      <c r="G9011" s="1348"/>
      <c r="H9011" s="1348"/>
      <c r="I9011" s="1348"/>
      <c r="J9011" s="1348"/>
      <c r="K9011" s="1348"/>
    </row>
    <row r="9012" spans="2:11" hidden="1">
      <c r="B9012" s="1348"/>
      <c r="C9012" s="1348"/>
      <c r="D9012" s="1348"/>
      <c r="E9012" s="1348"/>
      <c r="F9012" s="1348"/>
      <c r="G9012" s="1348"/>
      <c r="H9012" s="1348"/>
      <c r="I9012" s="1348"/>
      <c r="J9012" s="1348"/>
      <c r="K9012" s="1348"/>
    </row>
    <row r="9013" spans="2:11" hidden="1">
      <c r="B9013" s="1348"/>
      <c r="C9013" s="1348"/>
      <c r="D9013" s="1348"/>
      <c r="E9013" s="1348"/>
      <c r="F9013" s="1348"/>
      <c r="G9013" s="1348"/>
      <c r="H9013" s="1348"/>
      <c r="I9013" s="1348"/>
      <c r="J9013" s="1348"/>
      <c r="K9013" s="1348"/>
    </row>
    <row r="9014" spans="2:11" hidden="1">
      <c r="B9014" s="1348"/>
      <c r="C9014" s="1348"/>
      <c r="D9014" s="1348"/>
      <c r="E9014" s="1348"/>
      <c r="F9014" s="1348"/>
      <c r="G9014" s="1348"/>
      <c r="H9014" s="1348"/>
      <c r="I9014" s="1348"/>
      <c r="J9014" s="1348"/>
      <c r="K9014" s="1348"/>
    </row>
    <row r="9015" spans="2:11" hidden="1">
      <c r="B9015" s="1348"/>
      <c r="C9015" s="1348"/>
      <c r="D9015" s="1348"/>
      <c r="E9015" s="1348"/>
      <c r="F9015" s="1348"/>
      <c r="G9015" s="1348"/>
      <c r="H9015" s="1348"/>
      <c r="I9015" s="1348"/>
      <c r="J9015" s="1348"/>
      <c r="K9015" s="1348"/>
    </row>
    <row r="9016" spans="2:11" hidden="1">
      <c r="B9016" s="1348"/>
      <c r="C9016" s="1348"/>
      <c r="D9016" s="1348"/>
      <c r="E9016" s="1348"/>
      <c r="F9016" s="1348"/>
      <c r="G9016" s="1348"/>
      <c r="H9016" s="1348"/>
      <c r="I9016" s="1348"/>
      <c r="J9016" s="1348"/>
      <c r="K9016" s="1348"/>
    </row>
    <row r="9017" spans="2:11" hidden="1">
      <c r="B9017" s="1348"/>
      <c r="C9017" s="1348"/>
      <c r="D9017" s="1348"/>
      <c r="E9017" s="1348"/>
      <c r="F9017" s="1348"/>
      <c r="G9017" s="1348"/>
      <c r="H9017" s="1348"/>
      <c r="I9017" s="1348"/>
      <c r="J9017" s="1348"/>
      <c r="K9017" s="1348"/>
    </row>
    <row r="9018" spans="2:11" hidden="1">
      <c r="B9018" s="1348"/>
      <c r="C9018" s="1348"/>
      <c r="D9018" s="1348"/>
      <c r="E9018" s="1348"/>
      <c r="F9018" s="1348"/>
      <c r="G9018" s="1348"/>
      <c r="H9018" s="1348"/>
      <c r="I9018" s="1348"/>
      <c r="J9018" s="1348"/>
      <c r="K9018" s="1348"/>
    </row>
    <row r="9019" spans="2:11" hidden="1">
      <c r="B9019" s="1348"/>
      <c r="C9019" s="1348"/>
      <c r="D9019" s="1348"/>
      <c r="E9019" s="1348"/>
      <c r="F9019" s="1348"/>
      <c r="G9019" s="1348"/>
      <c r="H9019" s="1348"/>
      <c r="I9019" s="1348"/>
      <c r="J9019" s="1348"/>
      <c r="K9019" s="1348"/>
    </row>
    <row r="9020" spans="2:11" hidden="1">
      <c r="B9020" s="1348"/>
      <c r="C9020" s="1348"/>
      <c r="D9020" s="1348"/>
      <c r="E9020" s="1348"/>
      <c r="F9020" s="1348"/>
      <c r="G9020" s="1348"/>
      <c r="H9020" s="1348"/>
      <c r="I9020" s="1348"/>
      <c r="J9020" s="1348"/>
      <c r="K9020" s="1348"/>
    </row>
    <row r="9021" spans="2:11" hidden="1">
      <c r="B9021" s="1348"/>
      <c r="C9021" s="1348"/>
      <c r="D9021" s="1348"/>
      <c r="E9021" s="1348"/>
      <c r="F9021" s="1348"/>
      <c r="G9021" s="1348"/>
      <c r="H9021" s="1348"/>
      <c r="I9021" s="1348"/>
      <c r="J9021" s="1348"/>
      <c r="K9021" s="1348"/>
    </row>
    <row r="9022" spans="2:11" hidden="1">
      <c r="B9022" s="1348"/>
      <c r="C9022" s="1348"/>
      <c r="D9022" s="1348"/>
      <c r="E9022" s="1348"/>
      <c r="F9022" s="1348"/>
      <c r="G9022" s="1348"/>
      <c r="H9022" s="1348"/>
      <c r="I9022" s="1348"/>
      <c r="J9022" s="1348"/>
      <c r="K9022" s="1348"/>
    </row>
    <row r="9023" spans="2:11" hidden="1">
      <c r="B9023" s="1348"/>
      <c r="C9023" s="1348"/>
      <c r="D9023" s="1348"/>
      <c r="E9023" s="1348"/>
      <c r="F9023" s="1348"/>
      <c r="G9023" s="1348"/>
      <c r="H9023" s="1348"/>
      <c r="I9023" s="1348"/>
      <c r="J9023" s="1348"/>
      <c r="K9023" s="1348"/>
    </row>
    <row r="9024" spans="2:11" hidden="1">
      <c r="B9024" s="1348"/>
      <c r="C9024" s="1348"/>
      <c r="D9024" s="1348"/>
      <c r="E9024" s="1348"/>
      <c r="F9024" s="1348"/>
      <c r="G9024" s="1348"/>
      <c r="H9024" s="1348"/>
      <c r="I9024" s="1348"/>
      <c r="J9024" s="1348"/>
      <c r="K9024" s="1348"/>
    </row>
    <row r="9025" spans="2:11" hidden="1">
      <c r="B9025" s="1348"/>
      <c r="C9025" s="1348"/>
      <c r="D9025" s="1348"/>
      <c r="E9025" s="1348"/>
      <c r="F9025" s="1348"/>
      <c r="G9025" s="1348"/>
      <c r="H9025" s="1348"/>
      <c r="I9025" s="1348"/>
      <c r="J9025" s="1348"/>
      <c r="K9025" s="1348"/>
    </row>
    <row r="9026" spans="2:11" hidden="1">
      <c r="B9026" s="1348"/>
      <c r="C9026" s="1348"/>
      <c r="D9026" s="1348"/>
      <c r="E9026" s="1348"/>
      <c r="F9026" s="1348"/>
      <c r="G9026" s="1348"/>
      <c r="H9026" s="1348"/>
      <c r="I9026" s="1348"/>
      <c r="J9026" s="1348"/>
      <c r="K9026" s="1348"/>
    </row>
    <row r="9027" spans="2:11" hidden="1">
      <c r="B9027" s="1348"/>
      <c r="C9027" s="1348"/>
      <c r="D9027" s="1348"/>
      <c r="E9027" s="1348"/>
      <c r="F9027" s="1348"/>
      <c r="G9027" s="1348"/>
      <c r="H9027" s="1348"/>
      <c r="I9027" s="1348"/>
      <c r="J9027" s="1348"/>
      <c r="K9027" s="1348"/>
    </row>
    <row r="9028" spans="2:11" hidden="1">
      <c r="B9028" s="1348"/>
      <c r="C9028" s="1348"/>
      <c r="D9028" s="1348"/>
      <c r="E9028" s="1348"/>
      <c r="F9028" s="1348"/>
      <c r="G9028" s="1348"/>
      <c r="H9028" s="1348"/>
      <c r="I9028" s="1348"/>
      <c r="J9028" s="1348"/>
      <c r="K9028" s="1348"/>
    </row>
    <row r="9029" spans="2:11" hidden="1">
      <c r="B9029" s="1348"/>
      <c r="C9029" s="1348"/>
      <c r="D9029" s="1348"/>
      <c r="E9029" s="1348"/>
      <c r="F9029" s="1348"/>
      <c r="G9029" s="1348"/>
      <c r="H9029" s="1348"/>
      <c r="I9029" s="1348"/>
      <c r="J9029" s="1348"/>
      <c r="K9029" s="1348"/>
    </row>
    <row r="9030" spans="2:11" hidden="1">
      <c r="B9030" s="1348"/>
      <c r="C9030" s="1348"/>
      <c r="D9030" s="1348"/>
      <c r="E9030" s="1348"/>
      <c r="F9030" s="1348"/>
      <c r="G9030" s="1348"/>
      <c r="H9030" s="1348"/>
      <c r="I9030" s="1348"/>
      <c r="J9030" s="1348"/>
      <c r="K9030" s="1348"/>
    </row>
    <row r="9031" spans="2:11" hidden="1">
      <c r="B9031" s="1348"/>
      <c r="C9031" s="1348"/>
      <c r="D9031" s="1348"/>
      <c r="E9031" s="1348"/>
      <c r="F9031" s="1348"/>
      <c r="G9031" s="1348"/>
      <c r="H9031" s="1348"/>
      <c r="I9031" s="1348"/>
      <c r="J9031" s="1348"/>
      <c r="K9031" s="1348"/>
    </row>
    <row r="9032" spans="2:11" hidden="1">
      <c r="B9032" s="1348"/>
      <c r="C9032" s="1348"/>
      <c r="D9032" s="1348"/>
      <c r="E9032" s="1348"/>
      <c r="F9032" s="1348"/>
      <c r="G9032" s="1348"/>
      <c r="H9032" s="1348"/>
      <c r="I9032" s="1348"/>
      <c r="J9032" s="1348"/>
      <c r="K9032" s="1348"/>
    </row>
    <row r="9033" spans="2:11" hidden="1">
      <c r="B9033" s="1348"/>
      <c r="C9033" s="1348"/>
      <c r="D9033" s="1348"/>
      <c r="E9033" s="1348"/>
      <c r="F9033" s="1348"/>
      <c r="G9033" s="1348"/>
      <c r="H9033" s="1348"/>
      <c r="I9033" s="1348"/>
      <c r="J9033" s="1348"/>
      <c r="K9033" s="1348"/>
    </row>
    <row r="9034" spans="2:11" hidden="1">
      <c r="B9034" s="1348"/>
      <c r="C9034" s="1348"/>
      <c r="D9034" s="1348"/>
      <c r="E9034" s="1348"/>
      <c r="F9034" s="1348"/>
      <c r="G9034" s="1348"/>
      <c r="H9034" s="1348"/>
      <c r="I9034" s="1348"/>
      <c r="J9034" s="1348"/>
      <c r="K9034" s="1348"/>
    </row>
    <row r="9035" spans="2:11" hidden="1">
      <c r="B9035" s="1348"/>
      <c r="C9035" s="1348"/>
      <c r="D9035" s="1348"/>
      <c r="E9035" s="1348"/>
      <c r="F9035" s="1348"/>
      <c r="G9035" s="1348"/>
      <c r="H9035" s="1348"/>
      <c r="I9035" s="1348"/>
      <c r="J9035" s="1348"/>
      <c r="K9035" s="1348"/>
    </row>
    <row r="9036" spans="2:11" hidden="1">
      <c r="B9036" s="1348"/>
      <c r="C9036" s="1348"/>
      <c r="D9036" s="1348"/>
      <c r="E9036" s="1348"/>
      <c r="F9036" s="1348"/>
      <c r="G9036" s="1348"/>
      <c r="H9036" s="1348"/>
      <c r="I9036" s="1348"/>
      <c r="J9036" s="1348"/>
      <c r="K9036" s="1348"/>
    </row>
    <row r="9037" spans="2:11" hidden="1">
      <c r="B9037" s="1348"/>
      <c r="C9037" s="1348"/>
      <c r="D9037" s="1348"/>
      <c r="E9037" s="1348"/>
      <c r="F9037" s="1348"/>
      <c r="G9037" s="1348"/>
      <c r="H9037" s="1348"/>
      <c r="I9037" s="1348"/>
      <c r="J9037" s="1348"/>
      <c r="K9037" s="1348"/>
    </row>
    <row r="9038" spans="2:11" hidden="1">
      <c r="B9038" s="1348"/>
      <c r="C9038" s="1348"/>
      <c r="D9038" s="1348"/>
      <c r="E9038" s="1348"/>
      <c r="F9038" s="1348"/>
      <c r="G9038" s="1348"/>
      <c r="H9038" s="1348"/>
      <c r="I9038" s="1348"/>
      <c r="J9038" s="1348"/>
      <c r="K9038" s="1348"/>
    </row>
    <row r="9039" spans="2:11" hidden="1">
      <c r="B9039" s="1348"/>
      <c r="C9039" s="1348"/>
      <c r="D9039" s="1348"/>
      <c r="E9039" s="1348"/>
      <c r="F9039" s="1348"/>
      <c r="G9039" s="1348"/>
      <c r="H9039" s="1348"/>
      <c r="I9039" s="1348"/>
      <c r="J9039" s="1348"/>
      <c r="K9039" s="1348"/>
    </row>
    <row r="9040" spans="2:11" hidden="1">
      <c r="B9040" s="1348"/>
      <c r="C9040" s="1348"/>
      <c r="D9040" s="1348"/>
      <c r="E9040" s="1348"/>
      <c r="F9040" s="1348"/>
      <c r="G9040" s="1348"/>
      <c r="H9040" s="1348"/>
      <c r="I9040" s="1348"/>
      <c r="J9040" s="1348"/>
      <c r="K9040" s="1348"/>
    </row>
    <row r="9041" spans="2:11" hidden="1">
      <c r="B9041" s="1348"/>
      <c r="C9041" s="1348"/>
      <c r="D9041" s="1348"/>
      <c r="E9041" s="1348"/>
      <c r="F9041" s="1348"/>
      <c r="G9041" s="1348"/>
      <c r="H9041" s="1348"/>
      <c r="I9041" s="1348"/>
      <c r="J9041" s="1348"/>
      <c r="K9041" s="1348"/>
    </row>
    <row r="9042" spans="2:11" hidden="1">
      <c r="B9042" s="1348"/>
      <c r="C9042" s="1348"/>
      <c r="D9042" s="1348"/>
      <c r="E9042" s="1348"/>
      <c r="F9042" s="1348"/>
      <c r="G9042" s="1348"/>
      <c r="H9042" s="1348"/>
      <c r="I9042" s="1348"/>
      <c r="J9042" s="1348"/>
      <c r="K9042" s="1348"/>
    </row>
    <row r="9043" spans="2:11" hidden="1">
      <c r="B9043" s="1348"/>
      <c r="C9043" s="1348"/>
      <c r="D9043" s="1348"/>
      <c r="E9043" s="1348"/>
      <c r="F9043" s="1348"/>
      <c r="G9043" s="1348"/>
      <c r="H9043" s="1348"/>
      <c r="I9043" s="1348"/>
      <c r="J9043" s="1348"/>
      <c r="K9043" s="1348"/>
    </row>
    <row r="9044" spans="2:11" hidden="1">
      <c r="B9044" s="1348"/>
      <c r="C9044" s="1348"/>
      <c r="D9044" s="1348"/>
      <c r="E9044" s="1348"/>
      <c r="F9044" s="1348"/>
      <c r="G9044" s="1348"/>
      <c r="H9044" s="1348"/>
      <c r="I9044" s="1348"/>
      <c r="J9044" s="1348"/>
      <c r="K9044" s="1348"/>
    </row>
    <row r="9045" spans="2:11" hidden="1">
      <c r="B9045" s="1348"/>
      <c r="C9045" s="1348"/>
      <c r="D9045" s="1348"/>
      <c r="E9045" s="1348"/>
      <c r="F9045" s="1348"/>
      <c r="G9045" s="1348"/>
      <c r="H9045" s="1348"/>
      <c r="I9045" s="1348"/>
      <c r="J9045" s="1348"/>
      <c r="K9045" s="1348"/>
    </row>
    <row r="9046" spans="2:11" hidden="1">
      <c r="B9046" s="1348"/>
      <c r="C9046" s="1348"/>
      <c r="D9046" s="1348"/>
      <c r="E9046" s="1348"/>
      <c r="F9046" s="1348"/>
      <c r="G9046" s="1348"/>
      <c r="H9046" s="1348"/>
      <c r="I9046" s="1348"/>
      <c r="J9046" s="1348"/>
      <c r="K9046" s="1348"/>
    </row>
    <row r="9047" spans="2:11" hidden="1">
      <c r="B9047" s="1348"/>
      <c r="C9047" s="1348"/>
      <c r="D9047" s="1348"/>
      <c r="E9047" s="1348"/>
      <c r="F9047" s="1348"/>
      <c r="G9047" s="1348"/>
      <c r="H9047" s="1348"/>
      <c r="I9047" s="1348"/>
      <c r="J9047" s="1348"/>
      <c r="K9047" s="1348"/>
    </row>
    <row r="9048" spans="2:11" hidden="1">
      <c r="B9048" s="1348"/>
      <c r="C9048" s="1348"/>
      <c r="D9048" s="1348"/>
      <c r="E9048" s="1348"/>
      <c r="F9048" s="1348"/>
      <c r="G9048" s="1348"/>
      <c r="H9048" s="1348"/>
      <c r="I9048" s="1348"/>
      <c r="J9048" s="1348"/>
      <c r="K9048" s="1348"/>
    </row>
    <row r="9049" spans="2:11" hidden="1">
      <c r="B9049" s="1348"/>
      <c r="C9049" s="1348"/>
      <c r="D9049" s="1348"/>
      <c r="E9049" s="1348"/>
      <c r="F9049" s="1348"/>
      <c r="G9049" s="1348"/>
      <c r="H9049" s="1348"/>
      <c r="I9049" s="1348"/>
      <c r="J9049" s="1348"/>
      <c r="K9049" s="1348"/>
    </row>
    <row r="9050" spans="2:11" hidden="1">
      <c r="B9050" s="1348"/>
      <c r="C9050" s="1348"/>
      <c r="D9050" s="1348"/>
      <c r="E9050" s="1348"/>
      <c r="F9050" s="1348"/>
      <c r="G9050" s="1348"/>
      <c r="H9050" s="1348"/>
      <c r="I9050" s="1348"/>
      <c r="J9050" s="1348"/>
      <c r="K9050" s="1348"/>
    </row>
    <row r="9051" spans="2:11" hidden="1">
      <c r="B9051" s="1348"/>
      <c r="C9051" s="1348"/>
      <c r="D9051" s="1348"/>
      <c r="E9051" s="1348"/>
      <c r="F9051" s="1348"/>
      <c r="G9051" s="1348"/>
      <c r="H9051" s="1348"/>
      <c r="I9051" s="1348"/>
      <c r="J9051" s="1348"/>
      <c r="K9051" s="1348"/>
    </row>
    <row r="9052" spans="2:11" hidden="1">
      <c r="B9052" s="1348"/>
      <c r="C9052" s="1348"/>
      <c r="D9052" s="1348"/>
      <c r="E9052" s="1348"/>
      <c r="F9052" s="1348"/>
      <c r="G9052" s="1348"/>
      <c r="H9052" s="1348"/>
      <c r="I9052" s="1348"/>
      <c r="J9052" s="1348"/>
      <c r="K9052" s="1348"/>
    </row>
    <row r="9053" spans="2:11" hidden="1">
      <c r="B9053" s="1348"/>
      <c r="C9053" s="1348"/>
      <c r="D9053" s="1348"/>
      <c r="E9053" s="1348"/>
      <c r="F9053" s="1348"/>
      <c r="G9053" s="1348"/>
      <c r="H9053" s="1348"/>
      <c r="I9053" s="1348"/>
      <c r="J9053" s="1348"/>
      <c r="K9053" s="1348"/>
    </row>
    <row r="9054" spans="2:11" hidden="1">
      <c r="B9054" s="1348"/>
      <c r="C9054" s="1348"/>
      <c r="D9054" s="1348"/>
      <c r="E9054" s="1348"/>
      <c r="F9054" s="1348"/>
      <c r="G9054" s="1348"/>
      <c r="H9054" s="1348"/>
      <c r="I9054" s="1348"/>
      <c r="J9054" s="1348"/>
      <c r="K9054" s="1348"/>
    </row>
    <row r="9055" spans="2:11" hidden="1">
      <c r="B9055" s="1348"/>
      <c r="C9055" s="1348"/>
      <c r="D9055" s="1348"/>
      <c r="E9055" s="1348"/>
      <c r="F9055" s="1348"/>
      <c r="G9055" s="1348"/>
      <c r="H9055" s="1348"/>
      <c r="I9055" s="1348"/>
      <c r="J9055" s="1348"/>
      <c r="K9055" s="1348"/>
    </row>
    <row r="9056" spans="2:11" hidden="1">
      <c r="B9056" s="1348"/>
      <c r="C9056" s="1348"/>
      <c r="D9056" s="1348"/>
      <c r="E9056" s="1348"/>
      <c r="F9056" s="1348"/>
      <c r="G9056" s="1348"/>
      <c r="H9056" s="1348"/>
      <c r="I9056" s="1348"/>
      <c r="J9056" s="1348"/>
      <c r="K9056" s="1348"/>
    </row>
    <row r="9057" spans="2:11" hidden="1">
      <c r="B9057" s="1348"/>
      <c r="C9057" s="1348"/>
      <c r="D9057" s="1348"/>
      <c r="E9057" s="1348"/>
      <c r="F9057" s="1348"/>
      <c r="G9057" s="1348"/>
      <c r="H9057" s="1348"/>
      <c r="I9057" s="1348"/>
      <c r="J9057" s="1348"/>
      <c r="K9057" s="1348"/>
    </row>
    <row r="9058" spans="2:11" hidden="1">
      <c r="B9058" s="1348"/>
      <c r="C9058" s="1348"/>
      <c r="D9058" s="1348"/>
      <c r="E9058" s="1348"/>
      <c r="F9058" s="1348"/>
      <c r="G9058" s="1348"/>
      <c r="H9058" s="1348"/>
      <c r="I9058" s="1348"/>
      <c r="J9058" s="1348"/>
      <c r="K9058" s="1348"/>
    </row>
    <row r="9059" spans="2:11" hidden="1">
      <c r="B9059" s="1348"/>
      <c r="C9059" s="1348"/>
      <c r="D9059" s="1348"/>
      <c r="E9059" s="1348"/>
      <c r="F9059" s="1348"/>
      <c r="G9059" s="1348"/>
      <c r="H9059" s="1348"/>
      <c r="I9059" s="1348"/>
      <c r="J9059" s="1348"/>
      <c r="K9059" s="1348"/>
    </row>
    <row r="9060" spans="2:11" hidden="1">
      <c r="B9060" s="1348"/>
      <c r="C9060" s="1348"/>
      <c r="D9060" s="1348"/>
      <c r="E9060" s="1348"/>
      <c r="F9060" s="1348"/>
      <c r="G9060" s="1348"/>
      <c r="H9060" s="1348"/>
      <c r="I9060" s="1348"/>
      <c r="J9060" s="1348"/>
      <c r="K9060" s="1348"/>
    </row>
    <row r="9061" spans="2:11" hidden="1">
      <c r="B9061" s="1348"/>
      <c r="C9061" s="1348"/>
      <c r="D9061" s="1348"/>
      <c r="E9061" s="1348"/>
      <c r="F9061" s="1348"/>
      <c r="G9061" s="1348"/>
      <c r="H9061" s="1348"/>
      <c r="I9061" s="1348"/>
      <c r="J9061" s="1348"/>
      <c r="K9061" s="1348"/>
    </row>
    <row r="9062" spans="2:11" hidden="1">
      <c r="B9062" s="1348"/>
      <c r="C9062" s="1348"/>
      <c r="D9062" s="1348"/>
      <c r="E9062" s="1348"/>
      <c r="F9062" s="1348"/>
      <c r="G9062" s="1348"/>
      <c r="H9062" s="1348"/>
      <c r="I9062" s="1348"/>
      <c r="J9062" s="1348"/>
      <c r="K9062" s="1348"/>
    </row>
    <row r="9063" spans="2:11" hidden="1">
      <c r="B9063" s="1348"/>
      <c r="C9063" s="1348"/>
      <c r="D9063" s="1348"/>
      <c r="E9063" s="1348"/>
      <c r="F9063" s="1348"/>
      <c r="G9063" s="1348"/>
      <c r="H9063" s="1348"/>
      <c r="I9063" s="1348"/>
      <c r="J9063" s="1348"/>
      <c r="K9063" s="1348"/>
    </row>
    <row r="9064" spans="2:11" hidden="1">
      <c r="B9064" s="1348"/>
      <c r="C9064" s="1348"/>
      <c r="D9064" s="1348"/>
      <c r="E9064" s="1348"/>
      <c r="F9064" s="1348"/>
      <c r="G9064" s="1348"/>
      <c r="H9064" s="1348"/>
      <c r="I9064" s="1348"/>
      <c r="J9064" s="1348"/>
      <c r="K9064" s="1348"/>
    </row>
    <row r="9065" spans="2:11" hidden="1">
      <c r="B9065" s="1348"/>
      <c r="C9065" s="1348"/>
      <c r="D9065" s="1348"/>
      <c r="E9065" s="1348"/>
      <c r="F9065" s="1348"/>
      <c r="G9065" s="1348"/>
      <c r="H9065" s="1348"/>
      <c r="I9065" s="1348"/>
      <c r="J9065" s="1348"/>
      <c r="K9065" s="1348"/>
    </row>
    <row r="9066" spans="2:11" hidden="1">
      <c r="B9066" s="1348"/>
      <c r="C9066" s="1348"/>
      <c r="D9066" s="1348"/>
      <c r="E9066" s="1348"/>
      <c r="F9066" s="1348"/>
      <c r="G9066" s="1348"/>
      <c r="H9066" s="1348"/>
      <c r="I9066" s="1348"/>
      <c r="J9066" s="1348"/>
      <c r="K9066" s="1348"/>
    </row>
    <row r="9067" spans="2:11" hidden="1">
      <c r="B9067" s="1348"/>
      <c r="C9067" s="1348"/>
      <c r="D9067" s="1348"/>
      <c r="E9067" s="1348"/>
      <c r="F9067" s="1348"/>
      <c r="G9067" s="1348"/>
      <c r="H9067" s="1348"/>
      <c r="I9067" s="1348"/>
      <c r="J9067" s="1348"/>
      <c r="K9067" s="1348"/>
    </row>
    <row r="9068" spans="2:11" hidden="1">
      <c r="B9068" s="1348"/>
      <c r="C9068" s="1348"/>
      <c r="D9068" s="1348"/>
      <c r="E9068" s="1348"/>
      <c r="F9068" s="1348"/>
      <c r="G9068" s="1348"/>
      <c r="H9068" s="1348"/>
      <c r="I9068" s="1348"/>
      <c r="J9068" s="1348"/>
      <c r="K9068" s="1348"/>
    </row>
    <row r="9069" spans="2:11" hidden="1">
      <c r="B9069" s="1348"/>
      <c r="C9069" s="1348"/>
      <c r="D9069" s="1348"/>
      <c r="E9069" s="1348"/>
      <c r="F9069" s="1348"/>
      <c r="G9069" s="1348"/>
      <c r="H9069" s="1348"/>
      <c r="I9069" s="1348"/>
      <c r="J9069" s="1348"/>
      <c r="K9069" s="1348"/>
    </row>
    <row r="9070" spans="2:11" hidden="1">
      <c r="B9070" s="1348"/>
      <c r="C9070" s="1348"/>
      <c r="D9070" s="1348"/>
      <c r="E9070" s="1348"/>
      <c r="F9070" s="1348"/>
      <c r="G9070" s="1348"/>
      <c r="H9070" s="1348"/>
      <c r="I9070" s="1348"/>
      <c r="J9070" s="1348"/>
      <c r="K9070" s="1348"/>
    </row>
    <row r="9071" spans="2:11" hidden="1">
      <c r="B9071" s="1348"/>
      <c r="C9071" s="1348"/>
      <c r="D9071" s="1348"/>
      <c r="E9071" s="1348"/>
      <c r="F9071" s="1348"/>
      <c r="G9071" s="1348"/>
      <c r="H9071" s="1348"/>
      <c r="I9071" s="1348"/>
      <c r="J9071" s="1348"/>
      <c r="K9071" s="1348"/>
    </row>
    <row r="9072" spans="2:11" hidden="1">
      <c r="B9072" s="1348"/>
      <c r="C9072" s="1348"/>
      <c r="D9072" s="1348"/>
      <c r="E9072" s="1348"/>
      <c r="F9072" s="1348"/>
      <c r="G9072" s="1348"/>
      <c r="H9072" s="1348"/>
      <c r="I9072" s="1348"/>
      <c r="J9072" s="1348"/>
      <c r="K9072" s="1348"/>
    </row>
    <row r="9073" spans="2:11" hidden="1">
      <c r="B9073" s="1348"/>
      <c r="C9073" s="1348"/>
      <c r="D9073" s="1348"/>
      <c r="E9073" s="1348"/>
      <c r="F9073" s="1348"/>
      <c r="G9073" s="1348"/>
      <c r="H9073" s="1348"/>
      <c r="I9073" s="1348"/>
      <c r="J9073" s="1348"/>
      <c r="K9073" s="1348"/>
    </row>
    <row r="9074" spans="2:11" hidden="1">
      <c r="B9074" s="1348"/>
      <c r="C9074" s="1348"/>
      <c r="D9074" s="1348"/>
      <c r="E9074" s="1348"/>
      <c r="F9074" s="1348"/>
      <c r="G9074" s="1348"/>
      <c r="H9074" s="1348"/>
      <c r="I9074" s="1348"/>
      <c r="J9074" s="1348"/>
      <c r="K9074" s="1348"/>
    </row>
    <row r="9075" spans="2:11" hidden="1">
      <c r="B9075" s="1348"/>
      <c r="C9075" s="1348"/>
      <c r="D9075" s="1348"/>
      <c r="E9075" s="1348"/>
      <c r="F9075" s="1348"/>
      <c r="G9075" s="1348"/>
      <c r="H9075" s="1348"/>
      <c r="I9075" s="1348"/>
      <c r="J9075" s="1348"/>
      <c r="K9075" s="1348"/>
    </row>
    <row r="9076" spans="2:11" hidden="1">
      <c r="B9076" s="1348"/>
      <c r="C9076" s="1348"/>
      <c r="D9076" s="1348"/>
      <c r="E9076" s="1348"/>
      <c r="F9076" s="1348"/>
      <c r="G9076" s="1348"/>
      <c r="H9076" s="1348"/>
      <c r="I9076" s="1348"/>
      <c r="J9076" s="1348"/>
      <c r="K9076" s="1348"/>
    </row>
    <row r="9077" spans="2:11" hidden="1">
      <c r="B9077" s="1348"/>
      <c r="C9077" s="1348"/>
      <c r="D9077" s="1348"/>
      <c r="E9077" s="1348"/>
      <c r="F9077" s="1348"/>
      <c r="G9077" s="1348"/>
      <c r="H9077" s="1348"/>
      <c r="I9077" s="1348"/>
      <c r="J9077" s="1348"/>
      <c r="K9077" s="1348"/>
    </row>
    <row r="9078" spans="2:11" hidden="1">
      <c r="B9078" s="1348"/>
      <c r="C9078" s="1348"/>
      <c r="D9078" s="1348"/>
      <c r="E9078" s="1348"/>
      <c r="F9078" s="1348"/>
      <c r="G9078" s="1348"/>
      <c r="H9078" s="1348"/>
      <c r="I9078" s="1348"/>
      <c r="J9078" s="1348"/>
      <c r="K9078" s="1348"/>
    </row>
    <row r="9079" spans="2:11" hidden="1">
      <c r="B9079" s="1348"/>
      <c r="C9079" s="1348"/>
      <c r="D9079" s="1348"/>
      <c r="E9079" s="1348"/>
      <c r="F9079" s="1348"/>
      <c r="G9079" s="1348"/>
      <c r="H9079" s="1348"/>
      <c r="I9079" s="1348"/>
      <c r="J9079" s="1348"/>
      <c r="K9079" s="1348"/>
    </row>
    <row r="9080" spans="2:11" hidden="1">
      <c r="B9080" s="1348"/>
      <c r="C9080" s="1348"/>
      <c r="D9080" s="1348"/>
      <c r="E9080" s="1348"/>
      <c r="F9080" s="1348"/>
      <c r="G9080" s="1348"/>
      <c r="H9080" s="1348"/>
      <c r="I9080" s="1348"/>
      <c r="J9080" s="1348"/>
      <c r="K9080" s="1348"/>
    </row>
    <row r="9081" spans="2:11" hidden="1">
      <c r="B9081" s="1348"/>
      <c r="C9081" s="1348"/>
      <c r="D9081" s="1348"/>
      <c r="E9081" s="1348"/>
      <c r="F9081" s="1348"/>
      <c r="G9081" s="1348"/>
      <c r="H9081" s="1348"/>
      <c r="I9081" s="1348"/>
      <c r="J9081" s="1348"/>
      <c r="K9081" s="1348"/>
    </row>
    <row r="9082" spans="2:11" hidden="1">
      <c r="B9082" s="1348"/>
      <c r="C9082" s="1348"/>
      <c r="D9082" s="1348"/>
      <c r="E9082" s="1348"/>
      <c r="F9082" s="1348"/>
      <c r="G9082" s="1348"/>
      <c r="H9082" s="1348"/>
      <c r="I9082" s="1348"/>
      <c r="J9082" s="1348"/>
      <c r="K9082" s="1348"/>
    </row>
    <row r="9083" spans="2:11" hidden="1">
      <c r="B9083" s="1348"/>
      <c r="C9083" s="1348"/>
      <c r="D9083" s="1348"/>
      <c r="E9083" s="1348"/>
      <c r="F9083" s="1348"/>
      <c r="G9083" s="1348"/>
      <c r="H9083" s="1348"/>
      <c r="I9083" s="1348"/>
      <c r="J9083" s="1348"/>
      <c r="K9083" s="1348"/>
    </row>
    <row r="9084" spans="2:11" hidden="1">
      <c r="B9084" s="1348"/>
      <c r="C9084" s="1348"/>
      <c r="D9084" s="1348"/>
      <c r="E9084" s="1348"/>
      <c r="F9084" s="1348"/>
      <c r="G9084" s="1348"/>
      <c r="H9084" s="1348"/>
      <c r="I9084" s="1348"/>
      <c r="J9084" s="1348"/>
      <c r="K9084" s="1348"/>
    </row>
    <row r="9085" spans="2:11" hidden="1">
      <c r="B9085" s="1348"/>
      <c r="C9085" s="1348"/>
      <c r="D9085" s="1348"/>
      <c r="E9085" s="1348"/>
      <c r="F9085" s="1348"/>
      <c r="G9085" s="1348"/>
      <c r="H9085" s="1348"/>
      <c r="I9085" s="1348"/>
      <c r="J9085" s="1348"/>
      <c r="K9085" s="1348"/>
    </row>
    <row r="9086" spans="2:11" hidden="1">
      <c r="B9086" s="1348"/>
      <c r="C9086" s="1348"/>
      <c r="D9086" s="1348"/>
      <c r="E9086" s="1348"/>
      <c r="F9086" s="1348"/>
      <c r="G9086" s="1348"/>
      <c r="H9086" s="1348"/>
      <c r="I9086" s="1348"/>
      <c r="J9086" s="1348"/>
      <c r="K9086" s="1348"/>
    </row>
    <row r="9087" spans="2:11" hidden="1">
      <c r="B9087" s="1348"/>
      <c r="C9087" s="1348"/>
      <c r="D9087" s="1348"/>
      <c r="E9087" s="1348"/>
      <c r="F9087" s="1348"/>
      <c r="G9087" s="1348"/>
      <c r="H9087" s="1348"/>
      <c r="I9087" s="1348"/>
      <c r="J9087" s="1348"/>
      <c r="K9087" s="1348"/>
    </row>
    <row r="9088" spans="2:11" hidden="1">
      <c r="B9088" s="1348"/>
      <c r="C9088" s="1348"/>
      <c r="D9088" s="1348"/>
      <c r="E9088" s="1348"/>
      <c r="F9088" s="1348"/>
      <c r="G9088" s="1348"/>
      <c r="H9088" s="1348"/>
      <c r="I9088" s="1348"/>
      <c r="J9088" s="1348"/>
      <c r="K9088" s="1348"/>
    </row>
    <row r="9089" spans="2:11" hidden="1">
      <c r="B9089" s="1348"/>
      <c r="C9089" s="1348"/>
      <c r="D9089" s="1348"/>
      <c r="E9089" s="1348"/>
      <c r="F9089" s="1348"/>
      <c r="G9089" s="1348"/>
      <c r="H9089" s="1348"/>
      <c r="I9089" s="1348"/>
      <c r="J9089" s="1348"/>
      <c r="K9089" s="1348"/>
    </row>
    <row r="9090" spans="2:11" hidden="1">
      <c r="B9090" s="1348"/>
      <c r="C9090" s="1348"/>
      <c r="D9090" s="1348"/>
      <c r="E9090" s="1348"/>
      <c r="F9090" s="1348"/>
      <c r="G9090" s="1348"/>
      <c r="H9090" s="1348"/>
      <c r="I9090" s="1348"/>
      <c r="J9090" s="1348"/>
      <c r="K9090" s="1348"/>
    </row>
    <row r="9091" spans="2:11" hidden="1">
      <c r="B9091" s="1348"/>
      <c r="C9091" s="1348"/>
      <c r="D9091" s="1348"/>
      <c r="E9091" s="1348"/>
      <c r="F9091" s="1348"/>
      <c r="G9091" s="1348"/>
      <c r="H9091" s="1348"/>
      <c r="I9091" s="1348"/>
      <c r="J9091" s="1348"/>
      <c r="K9091" s="1348"/>
    </row>
    <row r="9092" spans="2:11" hidden="1">
      <c r="B9092" s="1348"/>
      <c r="C9092" s="1348"/>
      <c r="D9092" s="1348"/>
      <c r="E9092" s="1348"/>
      <c r="F9092" s="1348"/>
      <c r="G9092" s="1348"/>
      <c r="H9092" s="1348"/>
      <c r="I9092" s="1348"/>
      <c r="J9092" s="1348"/>
      <c r="K9092" s="1348"/>
    </row>
    <row r="9093" spans="2:11" hidden="1">
      <c r="B9093" s="1348"/>
      <c r="C9093" s="1348"/>
      <c r="D9093" s="1348"/>
      <c r="E9093" s="1348"/>
      <c r="F9093" s="1348"/>
      <c r="G9093" s="1348"/>
      <c r="H9093" s="1348"/>
      <c r="I9093" s="1348"/>
      <c r="J9093" s="1348"/>
      <c r="K9093" s="1348"/>
    </row>
    <row r="9094" spans="2:11" hidden="1">
      <c r="B9094" s="1348"/>
      <c r="C9094" s="1348"/>
      <c r="D9094" s="1348"/>
      <c r="E9094" s="1348"/>
      <c r="F9094" s="1348"/>
      <c r="G9094" s="1348"/>
      <c r="H9094" s="1348"/>
      <c r="I9094" s="1348"/>
      <c r="J9094" s="1348"/>
      <c r="K9094" s="1348"/>
    </row>
    <row r="9095" spans="2:11" hidden="1">
      <c r="B9095" s="1348"/>
      <c r="C9095" s="1348"/>
      <c r="D9095" s="1348"/>
      <c r="E9095" s="1348"/>
      <c r="F9095" s="1348"/>
      <c r="G9095" s="1348"/>
      <c r="H9095" s="1348"/>
      <c r="I9095" s="1348"/>
      <c r="J9095" s="1348"/>
      <c r="K9095" s="1348"/>
    </row>
    <row r="9096" spans="2:11" hidden="1">
      <c r="B9096" s="1348"/>
      <c r="C9096" s="1348"/>
      <c r="D9096" s="1348"/>
      <c r="E9096" s="1348"/>
      <c r="F9096" s="1348"/>
      <c r="G9096" s="1348"/>
      <c r="H9096" s="1348"/>
      <c r="I9096" s="1348"/>
      <c r="J9096" s="1348"/>
      <c r="K9096" s="1348"/>
    </row>
    <row r="9097" spans="2:11" hidden="1">
      <c r="B9097" s="1348"/>
      <c r="C9097" s="1348"/>
      <c r="D9097" s="1348"/>
      <c r="E9097" s="1348"/>
      <c r="F9097" s="1348"/>
      <c r="G9097" s="1348"/>
      <c r="H9097" s="1348"/>
      <c r="I9097" s="1348"/>
      <c r="J9097" s="1348"/>
      <c r="K9097" s="1348"/>
    </row>
    <row r="9098" spans="2:11" hidden="1">
      <c r="B9098" s="1348"/>
      <c r="C9098" s="1348"/>
      <c r="D9098" s="1348"/>
      <c r="E9098" s="1348"/>
      <c r="F9098" s="1348"/>
      <c r="G9098" s="1348"/>
      <c r="H9098" s="1348"/>
      <c r="I9098" s="1348"/>
      <c r="J9098" s="1348"/>
      <c r="K9098" s="1348"/>
    </row>
    <row r="9099" spans="2:11" hidden="1">
      <c r="B9099" s="1348"/>
      <c r="C9099" s="1348"/>
      <c r="D9099" s="1348"/>
      <c r="E9099" s="1348"/>
      <c r="F9099" s="1348"/>
      <c r="G9099" s="1348"/>
      <c r="H9099" s="1348"/>
      <c r="I9099" s="1348"/>
      <c r="J9099" s="1348"/>
      <c r="K9099" s="1348"/>
    </row>
    <row r="9100" spans="2:11" hidden="1">
      <c r="B9100" s="1348"/>
      <c r="C9100" s="1348"/>
      <c r="D9100" s="1348"/>
      <c r="E9100" s="1348"/>
      <c r="F9100" s="1348"/>
      <c r="G9100" s="1348"/>
      <c r="H9100" s="1348"/>
      <c r="I9100" s="1348"/>
      <c r="J9100" s="1348"/>
      <c r="K9100" s="1348"/>
    </row>
    <row r="9101" spans="2:11" hidden="1">
      <c r="B9101" s="1348"/>
      <c r="C9101" s="1348"/>
      <c r="D9101" s="1348"/>
      <c r="E9101" s="1348"/>
      <c r="F9101" s="1348"/>
      <c r="G9101" s="1348"/>
      <c r="H9101" s="1348"/>
      <c r="I9101" s="1348"/>
      <c r="J9101" s="1348"/>
      <c r="K9101" s="1348"/>
    </row>
    <row r="9102" spans="2:11" hidden="1">
      <c r="B9102" s="1348"/>
      <c r="C9102" s="1348"/>
      <c r="D9102" s="1348"/>
      <c r="E9102" s="1348"/>
      <c r="F9102" s="1348"/>
      <c r="G9102" s="1348"/>
      <c r="H9102" s="1348"/>
      <c r="I9102" s="1348"/>
      <c r="J9102" s="1348"/>
      <c r="K9102" s="1348"/>
    </row>
    <row r="9103" spans="2:11" hidden="1">
      <c r="B9103" s="1348"/>
      <c r="C9103" s="1348"/>
      <c r="D9103" s="1348"/>
      <c r="E9103" s="1348"/>
      <c r="F9103" s="1348"/>
      <c r="G9103" s="1348"/>
      <c r="H9103" s="1348"/>
      <c r="I9103" s="1348"/>
      <c r="J9103" s="1348"/>
      <c r="K9103" s="1348"/>
    </row>
    <row r="9104" spans="2:11" hidden="1">
      <c r="B9104" s="1348"/>
      <c r="C9104" s="1348"/>
      <c r="D9104" s="1348"/>
      <c r="E9104" s="1348"/>
      <c r="F9104" s="1348"/>
      <c r="G9104" s="1348"/>
      <c r="H9104" s="1348"/>
      <c r="I9104" s="1348"/>
      <c r="J9104" s="1348"/>
      <c r="K9104" s="1348"/>
    </row>
    <row r="9105" spans="2:11" hidden="1">
      <c r="B9105" s="1348"/>
      <c r="C9105" s="1348"/>
      <c r="D9105" s="1348"/>
      <c r="E9105" s="1348"/>
      <c r="F9105" s="1348"/>
      <c r="G9105" s="1348"/>
      <c r="H9105" s="1348"/>
      <c r="I9105" s="1348"/>
      <c r="J9105" s="1348"/>
      <c r="K9105" s="1348"/>
    </row>
    <row r="9106" spans="2:11" hidden="1">
      <c r="B9106" s="1348"/>
      <c r="C9106" s="1348"/>
      <c r="D9106" s="1348"/>
      <c r="E9106" s="1348"/>
      <c r="F9106" s="1348"/>
      <c r="G9106" s="1348"/>
      <c r="H9106" s="1348"/>
      <c r="I9106" s="1348"/>
      <c r="J9106" s="1348"/>
      <c r="K9106" s="1348"/>
    </row>
    <row r="9107" spans="2:11" hidden="1">
      <c r="B9107" s="1348"/>
      <c r="C9107" s="1348"/>
      <c r="D9107" s="1348"/>
      <c r="E9107" s="1348"/>
      <c r="F9107" s="1348"/>
      <c r="G9107" s="1348"/>
      <c r="H9107" s="1348"/>
      <c r="I9107" s="1348"/>
      <c r="J9107" s="1348"/>
      <c r="K9107" s="1348"/>
    </row>
    <row r="9108" spans="2:11" hidden="1">
      <c r="B9108" s="1348"/>
      <c r="C9108" s="1348"/>
      <c r="D9108" s="1348"/>
      <c r="E9108" s="1348"/>
      <c r="F9108" s="1348"/>
      <c r="G9108" s="1348"/>
      <c r="H9108" s="1348"/>
      <c r="I9108" s="1348"/>
      <c r="J9108" s="1348"/>
      <c r="K9108" s="1348"/>
    </row>
    <row r="9109" spans="2:11" hidden="1">
      <c r="B9109" s="1348"/>
      <c r="C9109" s="1348"/>
      <c r="D9109" s="1348"/>
      <c r="E9109" s="1348"/>
      <c r="F9109" s="1348"/>
      <c r="G9109" s="1348"/>
      <c r="H9109" s="1348"/>
      <c r="I9109" s="1348"/>
      <c r="J9109" s="1348"/>
      <c r="K9109" s="1348"/>
    </row>
    <row r="9110" spans="2:11" hidden="1">
      <c r="B9110" s="1348"/>
      <c r="C9110" s="1348"/>
      <c r="D9110" s="1348"/>
      <c r="E9110" s="1348"/>
      <c r="F9110" s="1348"/>
      <c r="G9110" s="1348"/>
      <c r="H9110" s="1348"/>
      <c r="I9110" s="1348"/>
      <c r="J9110" s="1348"/>
      <c r="K9110" s="1348"/>
    </row>
    <row r="9111" spans="2:11" hidden="1">
      <c r="B9111" s="1348"/>
      <c r="C9111" s="1348"/>
      <c r="D9111" s="1348"/>
      <c r="E9111" s="1348"/>
      <c r="F9111" s="1348"/>
      <c r="G9111" s="1348"/>
      <c r="H9111" s="1348"/>
      <c r="I9111" s="1348"/>
      <c r="J9111" s="1348"/>
      <c r="K9111" s="1348"/>
    </row>
    <row r="9112" spans="2:11" hidden="1">
      <c r="B9112" s="1348"/>
      <c r="C9112" s="1348"/>
      <c r="D9112" s="1348"/>
      <c r="E9112" s="1348"/>
      <c r="F9112" s="1348"/>
      <c r="G9112" s="1348"/>
      <c r="H9112" s="1348"/>
      <c r="I9112" s="1348"/>
      <c r="J9112" s="1348"/>
      <c r="K9112" s="1348"/>
    </row>
    <row r="9113" spans="2:11" hidden="1">
      <c r="B9113" s="1348"/>
      <c r="C9113" s="1348"/>
      <c r="D9113" s="1348"/>
      <c r="E9113" s="1348"/>
      <c r="F9113" s="1348"/>
      <c r="G9113" s="1348"/>
      <c r="H9113" s="1348"/>
      <c r="I9113" s="1348"/>
      <c r="J9113" s="1348"/>
      <c r="K9113" s="1348"/>
    </row>
    <row r="9114" spans="2:11" hidden="1">
      <c r="B9114" s="1348"/>
      <c r="C9114" s="1348"/>
      <c r="D9114" s="1348"/>
      <c r="E9114" s="1348"/>
      <c r="F9114" s="1348"/>
      <c r="G9114" s="1348"/>
      <c r="H9114" s="1348"/>
      <c r="I9114" s="1348"/>
      <c r="J9114" s="1348"/>
      <c r="K9114" s="1348"/>
    </row>
    <row r="9115" spans="2:11" hidden="1">
      <c r="B9115" s="1348"/>
      <c r="C9115" s="1348"/>
      <c r="D9115" s="1348"/>
      <c r="E9115" s="1348"/>
      <c r="F9115" s="1348"/>
      <c r="G9115" s="1348"/>
      <c r="H9115" s="1348"/>
      <c r="I9115" s="1348"/>
      <c r="J9115" s="1348"/>
      <c r="K9115" s="1348"/>
    </row>
    <row r="9116" spans="2:11" hidden="1">
      <c r="B9116" s="1348"/>
      <c r="C9116" s="1348"/>
      <c r="D9116" s="1348"/>
      <c r="E9116" s="1348"/>
      <c r="F9116" s="1348"/>
      <c r="G9116" s="1348"/>
      <c r="H9116" s="1348"/>
      <c r="I9116" s="1348"/>
      <c r="J9116" s="1348"/>
      <c r="K9116" s="1348"/>
    </row>
    <row r="9117" spans="2:11" hidden="1">
      <c r="B9117" s="1348"/>
      <c r="C9117" s="1348"/>
      <c r="D9117" s="1348"/>
      <c r="E9117" s="1348"/>
      <c r="F9117" s="1348"/>
      <c r="G9117" s="1348"/>
      <c r="H9117" s="1348"/>
      <c r="I9117" s="1348"/>
      <c r="J9117" s="1348"/>
      <c r="K9117" s="1348"/>
    </row>
    <row r="9118" spans="2:11" hidden="1">
      <c r="B9118" s="1348"/>
      <c r="C9118" s="1348"/>
      <c r="D9118" s="1348"/>
      <c r="E9118" s="1348"/>
      <c r="F9118" s="1348"/>
      <c r="G9118" s="1348"/>
      <c r="H9118" s="1348"/>
      <c r="I9118" s="1348"/>
      <c r="J9118" s="1348"/>
      <c r="K9118" s="1348"/>
    </row>
    <row r="9119" spans="2:11" hidden="1">
      <c r="B9119" s="1348"/>
      <c r="C9119" s="1348"/>
      <c r="D9119" s="1348"/>
      <c r="E9119" s="1348"/>
      <c r="F9119" s="1348"/>
      <c r="G9119" s="1348"/>
      <c r="H9119" s="1348"/>
      <c r="I9119" s="1348"/>
      <c r="J9119" s="1348"/>
      <c r="K9119" s="1348"/>
    </row>
    <row r="9120" spans="2:11" hidden="1">
      <c r="B9120" s="1348"/>
      <c r="C9120" s="1348"/>
      <c r="D9120" s="1348"/>
      <c r="E9120" s="1348"/>
      <c r="F9120" s="1348"/>
      <c r="G9120" s="1348"/>
      <c r="H9120" s="1348"/>
      <c r="I9120" s="1348"/>
      <c r="J9120" s="1348"/>
      <c r="K9120" s="1348"/>
    </row>
    <row r="9121" spans="2:11" hidden="1">
      <c r="B9121" s="1348"/>
      <c r="C9121" s="1348"/>
      <c r="D9121" s="1348"/>
      <c r="E9121" s="1348"/>
      <c r="F9121" s="1348"/>
      <c r="G9121" s="1348"/>
      <c r="H9121" s="1348"/>
      <c r="I9121" s="1348"/>
      <c r="J9121" s="1348"/>
      <c r="K9121" s="1348"/>
    </row>
    <row r="9122" spans="2:11" hidden="1">
      <c r="B9122" s="1348"/>
      <c r="C9122" s="1348"/>
      <c r="D9122" s="1348"/>
      <c r="E9122" s="1348"/>
      <c r="F9122" s="1348"/>
      <c r="G9122" s="1348"/>
      <c r="H9122" s="1348"/>
      <c r="I9122" s="1348"/>
      <c r="J9122" s="1348"/>
      <c r="K9122" s="1348"/>
    </row>
    <row r="9123" spans="2:11" hidden="1">
      <c r="B9123" s="1348"/>
      <c r="C9123" s="1348"/>
      <c r="D9123" s="1348"/>
      <c r="E9123" s="1348"/>
      <c r="F9123" s="1348"/>
      <c r="G9123" s="1348"/>
      <c r="H9123" s="1348"/>
      <c r="I9123" s="1348"/>
      <c r="J9123" s="1348"/>
      <c r="K9123" s="1348"/>
    </row>
    <row r="9124" spans="2:11" hidden="1">
      <c r="B9124" s="1348"/>
      <c r="C9124" s="1348"/>
      <c r="D9124" s="1348"/>
      <c r="E9124" s="1348"/>
      <c r="F9124" s="1348"/>
      <c r="G9124" s="1348"/>
      <c r="H9124" s="1348"/>
      <c r="I9124" s="1348"/>
      <c r="J9124" s="1348"/>
      <c r="K9124" s="1348"/>
    </row>
    <row r="9125" spans="2:11" hidden="1">
      <c r="B9125" s="1348"/>
      <c r="C9125" s="1348"/>
      <c r="D9125" s="1348"/>
      <c r="E9125" s="1348"/>
      <c r="F9125" s="1348"/>
      <c r="G9125" s="1348"/>
      <c r="H9125" s="1348"/>
      <c r="I9125" s="1348"/>
      <c r="J9125" s="1348"/>
      <c r="K9125" s="1348"/>
    </row>
    <row r="9126" spans="2:11" hidden="1">
      <c r="B9126" s="1348"/>
      <c r="C9126" s="1348"/>
      <c r="D9126" s="1348"/>
      <c r="E9126" s="1348"/>
      <c r="F9126" s="1348"/>
      <c r="G9126" s="1348"/>
      <c r="H9126" s="1348"/>
      <c r="I9126" s="1348"/>
      <c r="J9126" s="1348"/>
      <c r="K9126" s="1348"/>
    </row>
    <row r="9127" spans="2:11" hidden="1">
      <c r="B9127" s="1348"/>
      <c r="C9127" s="1348"/>
      <c r="D9127" s="1348"/>
      <c r="E9127" s="1348"/>
      <c r="F9127" s="1348"/>
      <c r="G9127" s="1348"/>
      <c r="H9127" s="1348"/>
      <c r="I9127" s="1348"/>
      <c r="J9127" s="1348"/>
      <c r="K9127" s="1348"/>
    </row>
    <row r="9128" spans="2:11" hidden="1">
      <c r="B9128" s="1348"/>
      <c r="C9128" s="1348"/>
      <c r="D9128" s="1348"/>
      <c r="E9128" s="1348"/>
      <c r="F9128" s="1348"/>
      <c r="G9128" s="1348"/>
      <c r="H9128" s="1348"/>
      <c r="I9128" s="1348"/>
      <c r="J9128" s="1348"/>
      <c r="K9128" s="1348"/>
    </row>
    <row r="9129" spans="2:11" hidden="1">
      <c r="B9129" s="1348"/>
      <c r="C9129" s="1348"/>
      <c r="D9129" s="1348"/>
      <c r="E9129" s="1348"/>
      <c r="F9129" s="1348"/>
      <c r="G9129" s="1348"/>
      <c r="H9129" s="1348"/>
      <c r="I9129" s="1348"/>
      <c r="J9129" s="1348"/>
      <c r="K9129" s="1348"/>
    </row>
    <row r="9130" spans="2:11" hidden="1">
      <c r="B9130" s="1348"/>
      <c r="C9130" s="1348"/>
      <c r="D9130" s="1348"/>
      <c r="E9130" s="1348"/>
      <c r="F9130" s="1348"/>
      <c r="G9130" s="1348"/>
      <c r="H9130" s="1348"/>
      <c r="I9130" s="1348"/>
      <c r="J9130" s="1348"/>
      <c r="K9130" s="1348"/>
    </row>
    <row r="9131" spans="2:11" hidden="1">
      <c r="B9131" s="1348"/>
      <c r="C9131" s="1348"/>
      <c r="D9131" s="1348"/>
      <c r="E9131" s="1348"/>
      <c r="F9131" s="1348"/>
      <c r="G9131" s="1348"/>
      <c r="H9131" s="1348"/>
      <c r="I9131" s="1348"/>
      <c r="J9131" s="1348"/>
      <c r="K9131" s="1348"/>
    </row>
    <row r="9132" spans="2:11" hidden="1">
      <c r="B9132" s="1348"/>
      <c r="C9132" s="1348"/>
      <c r="D9132" s="1348"/>
      <c r="E9132" s="1348"/>
      <c r="F9132" s="1348"/>
      <c r="G9132" s="1348"/>
      <c r="H9132" s="1348"/>
      <c r="I9132" s="1348"/>
      <c r="J9132" s="1348"/>
      <c r="K9132" s="1348"/>
    </row>
    <row r="9133" spans="2:11" hidden="1">
      <c r="B9133" s="1348"/>
      <c r="C9133" s="1348"/>
      <c r="D9133" s="1348"/>
      <c r="E9133" s="1348"/>
      <c r="F9133" s="1348"/>
      <c r="G9133" s="1348"/>
      <c r="H9133" s="1348"/>
      <c r="I9133" s="1348"/>
      <c r="J9133" s="1348"/>
      <c r="K9133" s="1348"/>
    </row>
    <row r="9134" spans="2:11" hidden="1">
      <c r="B9134" s="1348"/>
      <c r="C9134" s="1348"/>
      <c r="D9134" s="1348"/>
      <c r="E9134" s="1348"/>
      <c r="F9134" s="1348"/>
      <c r="G9134" s="1348"/>
      <c r="H9134" s="1348"/>
      <c r="I9134" s="1348"/>
      <c r="J9134" s="1348"/>
      <c r="K9134" s="1348"/>
    </row>
    <row r="9135" spans="2:11" hidden="1">
      <c r="B9135" s="1348"/>
      <c r="C9135" s="1348"/>
      <c r="D9135" s="1348"/>
      <c r="E9135" s="1348"/>
      <c r="F9135" s="1348"/>
      <c r="G9135" s="1348"/>
      <c r="H9135" s="1348"/>
      <c r="I9135" s="1348"/>
      <c r="J9135" s="1348"/>
      <c r="K9135" s="1348"/>
    </row>
    <row r="9136" spans="2:11" hidden="1">
      <c r="B9136" s="1348"/>
      <c r="C9136" s="1348"/>
      <c r="D9136" s="1348"/>
      <c r="E9136" s="1348"/>
      <c r="F9136" s="1348"/>
      <c r="G9136" s="1348"/>
      <c r="H9136" s="1348"/>
      <c r="I9136" s="1348"/>
      <c r="J9136" s="1348"/>
      <c r="K9136" s="1348"/>
    </row>
    <row r="9137" spans="2:11" hidden="1">
      <c r="B9137" s="1348"/>
      <c r="C9137" s="1348"/>
      <c r="D9137" s="1348"/>
      <c r="E9137" s="1348"/>
      <c r="F9137" s="1348"/>
      <c r="G9137" s="1348"/>
      <c r="H9137" s="1348"/>
      <c r="I9137" s="1348"/>
      <c r="J9137" s="1348"/>
      <c r="K9137" s="1348"/>
    </row>
    <row r="9138" spans="2:11" hidden="1">
      <c r="B9138" s="1348"/>
      <c r="C9138" s="1348"/>
      <c r="D9138" s="1348"/>
      <c r="E9138" s="1348"/>
      <c r="F9138" s="1348"/>
      <c r="G9138" s="1348"/>
      <c r="H9138" s="1348"/>
      <c r="I9138" s="1348"/>
      <c r="J9138" s="1348"/>
      <c r="K9138" s="1348"/>
    </row>
    <row r="9139" spans="2:11" hidden="1">
      <c r="B9139" s="1348"/>
      <c r="C9139" s="1348"/>
      <c r="D9139" s="1348"/>
      <c r="E9139" s="1348"/>
      <c r="F9139" s="1348"/>
      <c r="G9139" s="1348"/>
      <c r="H9139" s="1348"/>
      <c r="I9139" s="1348"/>
      <c r="J9139" s="1348"/>
      <c r="K9139" s="1348"/>
    </row>
    <row r="9140" spans="2:11" hidden="1">
      <c r="B9140" s="1348"/>
      <c r="C9140" s="1348"/>
      <c r="D9140" s="1348"/>
      <c r="E9140" s="1348"/>
      <c r="F9140" s="1348"/>
      <c r="G9140" s="1348"/>
      <c r="H9140" s="1348"/>
      <c r="I9140" s="1348"/>
      <c r="J9140" s="1348"/>
      <c r="K9140" s="1348"/>
    </row>
    <row r="9141" spans="2:11" hidden="1">
      <c r="B9141" s="1348"/>
      <c r="C9141" s="1348"/>
      <c r="D9141" s="1348"/>
      <c r="E9141" s="1348"/>
      <c r="F9141" s="1348"/>
      <c r="G9141" s="1348"/>
      <c r="H9141" s="1348"/>
      <c r="I9141" s="1348"/>
      <c r="J9141" s="1348"/>
      <c r="K9141" s="1348"/>
    </row>
    <row r="9142" spans="2:11" hidden="1">
      <c r="B9142" s="1348"/>
      <c r="C9142" s="1348"/>
      <c r="D9142" s="1348"/>
      <c r="E9142" s="1348"/>
      <c r="F9142" s="1348"/>
      <c r="G9142" s="1348"/>
      <c r="H9142" s="1348"/>
      <c r="I9142" s="1348"/>
      <c r="J9142" s="1348"/>
      <c r="K9142" s="1348"/>
    </row>
    <row r="9143" spans="2:11" hidden="1">
      <c r="B9143" s="1348"/>
      <c r="C9143" s="1348"/>
      <c r="D9143" s="1348"/>
      <c r="E9143" s="1348"/>
      <c r="F9143" s="1348"/>
      <c r="G9143" s="1348"/>
      <c r="H9143" s="1348"/>
      <c r="I9143" s="1348"/>
      <c r="J9143" s="1348"/>
      <c r="K9143" s="1348"/>
    </row>
    <row r="9144" spans="2:11" hidden="1">
      <c r="B9144" s="1348"/>
      <c r="C9144" s="1348"/>
      <c r="D9144" s="1348"/>
      <c r="E9144" s="1348"/>
      <c r="F9144" s="1348"/>
      <c r="G9144" s="1348"/>
      <c r="H9144" s="1348"/>
      <c r="I9144" s="1348"/>
      <c r="J9144" s="1348"/>
      <c r="K9144" s="1348"/>
    </row>
    <row r="9145" spans="2:11" hidden="1">
      <c r="B9145" s="1348"/>
      <c r="C9145" s="1348"/>
      <c r="D9145" s="1348"/>
      <c r="E9145" s="1348"/>
      <c r="F9145" s="1348"/>
      <c r="G9145" s="1348"/>
      <c r="H9145" s="1348"/>
      <c r="I9145" s="1348"/>
      <c r="J9145" s="1348"/>
      <c r="K9145" s="1348"/>
    </row>
    <row r="9146" spans="2:11" hidden="1">
      <c r="B9146" s="1348"/>
      <c r="C9146" s="1348"/>
      <c r="D9146" s="1348"/>
      <c r="E9146" s="1348"/>
      <c r="F9146" s="1348"/>
      <c r="G9146" s="1348"/>
      <c r="H9146" s="1348"/>
      <c r="I9146" s="1348"/>
      <c r="J9146" s="1348"/>
      <c r="K9146" s="1348"/>
    </row>
    <row r="9147" spans="2:11" hidden="1">
      <c r="B9147" s="1348"/>
      <c r="C9147" s="1348"/>
      <c r="D9147" s="1348"/>
      <c r="E9147" s="1348"/>
      <c r="F9147" s="1348"/>
      <c r="G9147" s="1348"/>
      <c r="H9147" s="1348"/>
      <c r="I9147" s="1348"/>
      <c r="J9147" s="1348"/>
      <c r="K9147" s="1348"/>
    </row>
    <row r="9148" spans="2:11" hidden="1">
      <c r="B9148" s="1348"/>
      <c r="C9148" s="1348"/>
      <c r="D9148" s="1348"/>
      <c r="E9148" s="1348"/>
      <c r="F9148" s="1348"/>
      <c r="G9148" s="1348"/>
      <c r="H9148" s="1348"/>
      <c r="I9148" s="1348"/>
      <c r="J9148" s="1348"/>
      <c r="K9148" s="1348"/>
    </row>
    <row r="9149" spans="2:11" hidden="1">
      <c r="B9149" s="1348"/>
      <c r="C9149" s="1348"/>
      <c r="D9149" s="1348"/>
      <c r="E9149" s="1348"/>
      <c r="F9149" s="1348"/>
      <c r="G9149" s="1348"/>
      <c r="H9149" s="1348"/>
      <c r="I9149" s="1348"/>
      <c r="J9149" s="1348"/>
      <c r="K9149" s="1348"/>
    </row>
    <row r="9150" spans="2:11" hidden="1">
      <c r="B9150" s="1348"/>
      <c r="C9150" s="1348"/>
      <c r="D9150" s="1348"/>
      <c r="E9150" s="1348"/>
      <c r="F9150" s="1348"/>
      <c r="G9150" s="1348"/>
      <c r="H9150" s="1348"/>
      <c r="I9150" s="1348"/>
      <c r="J9150" s="1348"/>
      <c r="K9150" s="1348"/>
    </row>
    <row r="9151" spans="2:11" hidden="1">
      <c r="B9151" s="1348"/>
      <c r="C9151" s="1348"/>
      <c r="D9151" s="1348"/>
      <c r="E9151" s="1348"/>
      <c r="F9151" s="1348"/>
      <c r="G9151" s="1348"/>
      <c r="H9151" s="1348"/>
      <c r="I9151" s="1348"/>
      <c r="J9151" s="1348"/>
      <c r="K9151" s="1348"/>
    </row>
    <row r="9152" spans="2:11" hidden="1">
      <c r="B9152" s="1348"/>
      <c r="C9152" s="1348"/>
      <c r="D9152" s="1348"/>
      <c r="E9152" s="1348"/>
      <c r="F9152" s="1348"/>
      <c r="G9152" s="1348"/>
      <c r="H9152" s="1348"/>
      <c r="I9152" s="1348"/>
      <c r="J9152" s="1348"/>
      <c r="K9152" s="1348"/>
    </row>
    <row r="9153" spans="2:11" hidden="1">
      <c r="B9153" s="1348"/>
      <c r="C9153" s="1348"/>
      <c r="D9153" s="1348"/>
      <c r="E9153" s="1348"/>
      <c r="F9153" s="1348"/>
      <c r="G9153" s="1348"/>
      <c r="H9153" s="1348"/>
      <c r="I9153" s="1348"/>
      <c r="J9153" s="1348"/>
      <c r="K9153" s="1348"/>
    </row>
    <row r="9154" spans="2:11" hidden="1">
      <c r="B9154" s="1348"/>
      <c r="C9154" s="1348"/>
      <c r="D9154" s="1348"/>
      <c r="E9154" s="1348"/>
      <c r="F9154" s="1348"/>
      <c r="G9154" s="1348"/>
      <c r="H9154" s="1348"/>
      <c r="I9154" s="1348"/>
      <c r="J9154" s="1348"/>
      <c r="K9154" s="1348"/>
    </row>
    <row r="9155" spans="2:11" hidden="1">
      <c r="B9155" s="1348"/>
      <c r="C9155" s="1348"/>
      <c r="D9155" s="1348"/>
      <c r="E9155" s="1348"/>
      <c r="F9155" s="1348"/>
      <c r="G9155" s="1348"/>
      <c r="H9155" s="1348"/>
      <c r="I9155" s="1348"/>
      <c r="J9155" s="1348"/>
      <c r="K9155" s="1348"/>
    </row>
    <row r="9156" spans="2:11" hidden="1">
      <c r="B9156" s="1348"/>
      <c r="C9156" s="1348"/>
      <c r="D9156" s="1348"/>
      <c r="E9156" s="1348"/>
      <c r="F9156" s="1348"/>
      <c r="G9156" s="1348"/>
      <c r="H9156" s="1348"/>
      <c r="I9156" s="1348"/>
      <c r="J9156" s="1348"/>
      <c r="K9156" s="1348"/>
    </row>
    <row r="9157" spans="2:11" hidden="1">
      <c r="B9157" s="1348"/>
      <c r="C9157" s="1348"/>
      <c r="D9157" s="1348"/>
      <c r="E9157" s="1348"/>
      <c r="F9157" s="1348"/>
      <c r="G9157" s="1348"/>
      <c r="H9157" s="1348"/>
      <c r="I9157" s="1348"/>
      <c r="J9157" s="1348"/>
      <c r="K9157" s="1348"/>
    </row>
    <row r="9158" spans="2:11" hidden="1">
      <c r="B9158" s="1348"/>
      <c r="C9158" s="1348"/>
      <c r="D9158" s="1348"/>
      <c r="E9158" s="1348"/>
      <c r="F9158" s="1348"/>
      <c r="G9158" s="1348"/>
      <c r="H9158" s="1348"/>
      <c r="I9158" s="1348"/>
      <c r="J9158" s="1348"/>
      <c r="K9158" s="1348"/>
    </row>
    <row r="9159" spans="2:11" hidden="1">
      <c r="B9159" s="1348"/>
      <c r="C9159" s="1348"/>
      <c r="D9159" s="1348"/>
      <c r="E9159" s="1348"/>
      <c r="F9159" s="1348"/>
      <c r="G9159" s="1348"/>
      <c r="H9159" s="1348"/>
      <c r="I9159" s="1348"/>
      <c r="J9159" s="1348"/>
      <c r="K9159" s="1348"/>
    </row>
    <row r="9160" spans="2:11" hidden="1">
      <c r="B9160" s="1348"/>
      <c r="C9160" s="1348"/>
      <c r="D9160" s="1348"/>
      <c r="E9160" s="1348"/>
      <c r="F9160" s="1348"/>
      <c r="G9160" s="1348"/>
      <c r="H9160" s="1348"/>
      <c r="I9160" s="1348"/>
      <c r="J9160" s="1348"/>
      <c r="K9160" s="1348"/>
    </row>
    <row r="9161" spans="2:11" hidden="1">
      <c r="B9161" s="1348"/>
      <c r="C9161" s="1348"/>
      <c r="D9161" s="1348"/>
      <c r="E9161" s="1348"/>
      <c r="F9161" s="1348"/>
      <c r="G9161" s="1348"/>
      <c r="H9161" s="1348"/>
      <c r="I9161" s="1348"/>
      <c r="J9161" s="1348"/>
      <c r="K9161" s="1348"/>
    </row>
    <row r="9162" spans="2:11" hidden="1">
      <c r="B9162" s="1348"/>
      <c r="C9162" s="1348"/>
      <c r="D9162" s="1348"/>
      <c r="E9162" s="1348"/>
      <c r="F9162" s="1348"/>
      <c r="G9162" s="1348"/>
      <c r="H9162" s="1348"/>
      <c r="I9162" s="1348"/>
      <c r="J9162" s="1348"/>
      <c r="K9162" s="1348"/>
    </row>
    <row r="9163" spans="2:11" hidden="1">
      <c r="B9163" s="1348"/>
      <c r="C9163" s="1348"/>
      <c r="D9163" s="1348"/>
      <c r="E9163" s="1348"/>
      <c r="F9163" s="1348"/>
      <c r="G9163" s="1348"/>
      <c r="H9163" s="1348"/>
      <c r="I9163" s="1348"/>
      <c r="J9163" s="1348"/>
      <c r="K9163" s="1348"/>
    </row>
    <row r="9164" spans="2:11" hidden="1">
      <c r="B9164" s="1348"/>
      <c r="C9164" s="1348"/>
      <c r="D9164" s="1348"/>
      <c r="E9164" s="1348"/>
      <c r="F9164" s="1348"/>
      <c r="G9164" s="1348"/>
      <c r="H9164" s="1348"/>
      <c r="I9164" s="1348"/>
      <c r="J9164" s="1348"/>
      <c r="K9164" s="1348"/>
    </row>
    <row r="9165" spans="2:11" hidden="1">
      <c r="B9165" s="1348"/>
      <c r="C9165" s="1348"/>
      <c r="D9165" s="1348"/>
      <c r="E9165" s="1348"/>
      <c r="F9165" s="1348"/>
      <c r="G9165" s="1348"/>
      <c r="H9165" s="1348"/>
      <c r="I9165" s="1348"/>
      <c r="J9165" s="1348"/>
      <c r="K9165" s="1348"/>
    </row>
    <row r="9166" spans="2:11" hidden="1">
      <c r="B9166" s="1348"/>
      <c r="C9166" s="1348"/>
      <c r="D9166" s="1348"/>
      <c r="E9166" s="1348"/>
      <c r="F9166" s="1348"/>
      <c r="G9166" s="1348"/>
      <c r="H9166" s="1348"/>
      <c r="I9166" s="1348"/>
      <c r="J9166" s="1348"/>
      <c r="K9166" s="1348"/>
    </row>
    <row r="9167" spans="2:11" hidden="1">
      <c r="B9167" s="1348"/>
      <c r="C9167" s="1348"/>
      <c r="D9167" s="1348"/>
      <c r="E9167" s="1348"/>
      <c r="F9167" s="1348"/>
      <c r="G9167" s="1348"/>
      <c r="H9167" s="1348"/>
      <c r="I9167" s="1348"/>
      <c r="J9167" s="1348"/>
      <c r="K9167" s="1348"/>
    </row>
    <row r="9168" spans="2:11" hidden="1">
      <c r="B9168" s="1348"/>
      <c r="C9168" s="1348"/>
      <c r="D9168" s="1348"/>
      <c r="E9168" s="1348"/>
      <c r="F9168" s="1348"/>
      <c r="G9168" s="1348"/>
      <c r="H9168" s="1348"/>
      <c r="I9168" s="1348"/>
      <c r="J9168" s="1348"/>
      <c r="K9168" s="1348"/>
    </row>
    <row r="9169" spans="2:11" hidden="1">
      <c r="B9169" s="1348"/>
      <c r="C9169" s="1348"/>
      <c r="D9169" s="1348"/>
      <c r="E9169" s="1348"/>
      <c r="F9169" s="1348"/>
      <c r="G9169" s="1348"/>
      <c r="H9169" s="1348"/>
      <c r="I9169" s="1348"/>
      <c r="J9169" s="1348"/>
      <c r="K9169" s="1348"/>
    </row>
    <row r="9170" spans="2:11" hidden="1">
      <c r="B9170" s="1348"/>
      <c r="C9170" s="1348"/>
      <c r="D9170" s="1348"/>
      <c r="E9170" s="1348"/>
      <c r="F9170" s="1348"/>
      <c r="G9170" s="1348"/>
      <c r="H9170" s="1348"/>
      <c r="I9170" s="1348"/>
      <c r="J9170" s="1348"/>
      <c r="K9170" s="1348"/>
    </row>
    <row r="9171" spans="2:11" hidden="1">
      <c r="B9171" s="1348"/>
      <c r="C9171" s="1348"/>
      <c r="D9171" s="1348"/>
      <c r="E9171" s="1348"/>
      <c r="F9171" s="1348"/>
      <c r="G9171" s="1348"/>
      <c r="H9171" s="1348"/>
      <c r="I9171" s="1348"/>
      <c r="J9171" s="1348"/>
      <c r="K9171" s="1348"/>
    </row>
    <row r="9172" spans="2:11" hidden="1">
      <c r="B9172" s="1348"/>
      <c r="C9172" s="1348"/>
      <c r="D9172" s="1348"/>
      <c r="E9172" s="1348"/>
      <c r="F9172" s="1348"/>
      <c r="G9172" s="1348"/>
      <c r="H9172" s="1348"/>
      <c r="I9172" s="1348"/>
      <c r="J9172" s="1348"/>
      <c r="K9172" s="1348"/>
    </row>
    <row r="9173" spans="2:11" hidden="1">
      <c r="B9173" s="1348"/>
      <c r="C9173" s="1348"/>
      <c r="D9173" s="1348"/>
      <c r="E9173" s="1348"/>
      <c r="F9173" s="1348"/>
      <c r="G9173" s="1348"/>
      <c r="H9173" s="1348"/>
      <c r="I9173" s="1348"/>
      <c r="J9173" s="1348"/>
      <c r="K9173" s="1348"/>
    </row>
    <row r="9174" spans="2:11" hidden="1">
      <c r="B9174" s="1348"/>
      <c r="C9174" s="1348"/>
      <c r="D9174" s="1348"/>
      <c r="E9174" s="1348"/>
      <c r="F9174" s="1348"/>
      <c r="G9174" s="1348"/>
      <c r="H9174" s="1348"/>
      <c r="I9174" s="1348"/>
      <c r="J9174" s="1348"/>
      <c r="K9174" s="1348"/>
    </row>
    <row r="9175" spans="2:11" hidden="1">
      <c r="B9175" s="1348"/>
      <c r="C9175" s="1348"/>
      <c r="D9175" s="1348"/>
      <c r="E9175" s="1348"/>
      <c r="F9175" s="1348"/>
      <c r="G9175" s="1348"/>
      <c r="H9175" s="1348"/>
      <c r="I9175" s="1348"/>
      <c r="J9175" s="1348"/>
      <c r="K9175" s="1348"/>
    </row>
    <row r="9176" spans="2:11" hidden="1">
      <c r="B9176" s="1348"/>
      <c r="C9176" s="1348"/>
      <c r="D9176" s="1348"/>
      <c r="E9176" s="1348"/>
      <c r="F9176" s="1348"/>
      <c r="G9176" s="1348"/>
      <c r="H9176" s="1348"/>
      <c r="I9176" s="1348"/>
      <c r="J9176" s="1348"/>
      <c r="K9176" s="1348"/>
    </row>
    <row r="9177" spans="2:11" hidden="1">
      <c r="B9177" s="1348"/>
      <c r="C9177" s="1348"/>
      <c r="D9177" s="1348"/>
      <c r="E9177" s="1348"/>
      <c r="F9177" s="1348"/>
      <c r="G9177" s="1348"/>
      <c r="H9177" s="1348"/>
      <c r="I9177" s="1348"/>
      <c r="J9177" s="1348"/>
      <c r="K9177" s="1348"/>
    </row>
    <row r="9178" spans="2:11" hidden="1">
      <c r="B9178" s="1348"/>
      <c r="C9178" s="1348"/>
      <c r="D9178" s="1348"/>
      <c r="E9178" s="1348"/>
      <c r="F9178" s="1348"/>
      <c r="G9178" s="1348"/>
      <c r="H9178" s="1348"/>
      <c r="I9178" s="1348"/>
      <c r="J9178" s="1348"/>
      <c r="K9178" s="1348"/>
    </row>
    <row r="9179" spans="2:11" hidden="1">
      <c r="B9179" s="1348"/>
      <c r="C9179" s="1348"/>
      <c r="D9179" s="1348"/>
      <c r="E9179" s="1348"/>
      <c r="F9179" s="1348"/>
      <c r="G9179" s="1348"/>
      <c r="H9179" s="1348"/>
      <c r="I9179" s="1348"/>
      <c r="J9179" s="1348"/>
      <c r="K9179" s="1348"/>
    </row>
    <row r="9180" spans="2:11" hidden="1">
      <c r="B9180" s="1348"/>
      <c r="C9180" s="1348"/>
      <c r="D9180" s="1348"/>
      <c r="E9180" s="1348"/>
      <c r="F9180" s="1348"/>
      <c r="G9180" s="1348"/>
      <c r="H9180" s="1348"/>
      <c r="I9180" s="1348"/>
      <c r="J9180" s="1348"/>
      <c r="K9180" s="1348"/>
    </row>
    <row r="9181" spans="2:11" hidden="1">
      <c r="B9181" s="1348"/>
      <c r="C9181" s="1348"/>
      <c r="D9181" s="1348"/>
      <c r="E9181" s="1348"/>
      <c r="F9181" s="1348"/>
      <c r="G9181" s="1348"/>
      <c r="H9181" s="1348"/>
      <c r="I9181" s="1348"/>
      <c r="J9181" s="1348"/>
      <c r="K9181" s="1348"/>
    </row>
    <row r="9182" spans="2:11" hidden="1">
      <c r="B9182" s="1348"/>
      <c r="C9182" s="1348"/>
      <c r="D9182" s="1348"/>
      <c r="E9182" s="1348"/>
      <c r="F9182" s="1348"/>
      <c r="G9182" s="1348"/>
      <c r="H9182" s="1348"/>
      <c r="I9182" s="1348"/>
      <c r="J9182" s="1348"/>
      <c r="K9182" s="1348"/>
    </row>
    <row r="9183" spans="2:11" hidden="1">
      <c r="B9183" s="1348"/>
      <c r="C9183" s="1348"/>
      <c r="D9183" s="1348"/>
      <c r="E9183" s="1348"/>
      <c r="F9183" s="1348"/>
      <c r="G9183" s="1348"/>
      <c r="H9183" s="1348"/>
      <c r="I9183" s="1348"/>
      <c r="J9183" s="1348"/>
      <c r="K9183" s="1348"/>
    </row>
    <row r="9184" spans="2:11" hidden="1">
      <c r="B9184" s="1348"/>
      <c r="C9184" s="1348"/>
      <c r="D9184" s="1348"/>
      <c r="E9184" s="1348"/>
      <c r="F9184" s="1348"/>
      <c r="G9184" s="1348"/>
      <c r="H9184" s="1348"/>
      <c r="I9184" s="1348"/>
      <c r="J9184" s="1348"/>
      <c r="K9184" s="1348"/>
    </row>
    <row r="9185" spans="2:11" hidden="1">
      <c r="B9185" s="1348"/>
      <c r="C9185" s="1348"/>
      <c r="D9185" s="1348"/>
      <c r="E9185" s="1348"/>
      <c r="F9185" s="1348"/>
      <c r="G9185" s="1348"/>
      <c r="H9185" s="1348"/>
      <c r="I9185" s="1348"/>
      <c r="J9185" s="1348"/>
      <c r="K9185" s="1348"/>
    </row>
    <row r="9186" spans="2:11" hidden="1">
      <c r="B9186" s="1348"/>
      <c r="C9186" s="1348"/>
      <c r="D9186" s="1348"/>
      <c r="E9186" s="1348"/>
      <c r="F9186" s="1348"/>
      <c r="G9186" s="1348"/>
      <c r="H9186" s="1348"/>
      <c r="I9186" s="1348"/>
      <c r="J9186" s="1348"/>
      <c r="K9186" s="1348"/>
    </row>
    <row r="9187" spans="2:11" hidden="1">
      <c r="B9187" s="1348"/>
      <c r="C9187" s="1348"/>
      <c r="D9187" s="1348"/>
      <c r="E9187" s="1348"/>
      <c r="F9187" s="1348"/>
      <c r="G9187" s="1348"/>
      <c r="H9187" s="1348"/>
      <c r="I9187" s="1348"/>
      <c r="J9187" s="1348"/>
      <c r="K9187" s="1348"/>
    </row>
    <row r="9188" spans="2:11" hidden="1">
      <c r="B9188" s="1348"/>
      <c r="C9188" s="1348"/>
      <c r="D9188" s="1348"/>
      <c r="E9188" s="1348"/>
      <c r="F9188" s="1348"/>
      <c r="G9188" s="1348"/>
      <c r="H9188" s="1348"/>
      <c r="I9188" s="1348"/>
      <c r="J9188" s="1348"/>
      <c r="K9188" s="1348"/>
    </row>
    <row r="9189" spans="2:11" hidden="1">
      <c r="B9189" s="1348"/>
      <c r="C9189" s="1348"/>
      <c r="D9189" s="1348"/>
      <c r="E9189" s="1348"/>
      <c r="F9189" s="1348"/>
      <c r="G9189" s="1348"/>
      <c r="H9189" s="1348"/>
      <c r="I9189" s="1348"/>
      <c r="J9189" s="1348"/>
      <c r="K9189" s="1348"/>
    </row>
    <row r="9190" spans="2:11" hidden="1">
      <c r="B9190" s="1348"/>
      <c r="C9190" s="1348"/>
      <c r="D9190" s="1348"/>
      <c r="E9190" s="1348"/>
      <c r="F9190" s="1348"/>
      <c r="G9190" s="1348"/>
      <c r="H9190" s="1348"/>
      <c r="I9190" s="1348"/>
      <c r="J9190" s="1348"/>
      <c r="K9190" s="1348"/>
    </row>
    <row r="9191" spans="2:11" hidden="1">
      <c r="B9191" s="1348"/>
      <c r="C9191" s="1348"/>
      <c r="D9191" s="1348"/>
      <c r="E9191" s="1348"/>
      <c r="F9191" s="1348"/>
      <c r="G9191" s="1348"/>
      <c r="H9191" s="1348"/>
      <c r="I9191" s="1348"/>
      <c r="J9191" s="1348"/>
      <c r="K9191" s="1348"/>
    </row>
    <row r="9192" spans="2:11" hidden="1">
      <c r="B9192" s="1348"/>
      <c r="C9192" s="1348"/>
      <c r="D9192" s="1348"/>
      <c r="E9192" s="1348"/>
      <c r="F9192" s="1348"/>
      <c r="G9192" s="1348"/>
      <c r="H9192" s="1348"/>
      <c r="I9192" s="1348"/>
      <c r="J9192" s="1348"/>
      <c r="K9192" s="1348"/>
    </row>
    <row r="9193" spans="2:11" hidden="1">
      <c r="B9193" s="1348"/>
      <c r="C9193" s="1348"/>
      <c r="D9193" s="1348"/>
      <c r="E9193" s="1348"/>
      <c r="F9193" s="1348"/>
      <c r="G9193" s="1348"/>
      <c r="H9193" s="1348"/>
      <c r="I9193" s="1348"/>
      <c r="J9193" s="1348"/>
      <c r="K9193" s="1348"/>
    </row>
    <row r="9194" spans="2:11" hidden="1">
      <c r="B9194" s="1348"/>
      <c r="C9194" s="1348"/>
      <c r="D9194" s="1348"/>
      <c r="E9194" s="1348"/>
      <c r="F9194" s="1348"/>
      <c r="G9194" s="1348"/>
      <c r="H9194" s="1348"/>
      <c r="I9194" s="1348"/>
      <c r="J9194" s="1348"/>
      <c r="K9194" s="1348"/>
    </row>
    <row r="9195" spans="2:11" hidden="1">
      <c r="B9195" s="1348"/>
      <c r="C9195" s="1348"/>
      <c r="D9195" s="1348"/>
      <c r="E9195" s="1348"/>
      <c r="F9195" s="1348"/>
      <c r="G9195" s="1348"/>
      <c r="H9195" s="1348"/>
      <c r="I9195" s="1348"/>
      <c r="J9195" s="1348"/>
      <c r="K9195" s="1348"/>
    </row>
    <row r="9196" spans="2:11" hidden="1">
      <c r="B9196" s="1348"/>
      <c r="C9196" s="1348"/>
      <c r="D9196" s="1348"/>
      <c r="E9196" s="1348"/>
      <c r="F9196" s="1348"/>
      <c r="G9196" s="1348"/>
      <c r="H9196" s="1348"/>
      <c r="I9196" s="1348"/>
      <c r="J9196" s="1348"/>
      <c r="K9196" s="1348"/>
    </row>
    <row r="9197" spans="2:11" hidden="1">
      <c r="B9197" s="1348"/>
      <c r="C9197" s="1348"/>
      <c r="D9197" s="1348"/>
      <c r="E9197" s="1348"/>
      <c r="F9197" s="1348"/>
      <c r="G9197" s="1348"/>
      <c r="H9197" s="1348"/>
      <c r="I9197" s="1348"/>
      <c r="J9197" s="1348"/>
      <c r="K9197" s="1348"/>
    </row>
    <row r="9198" spans="2:11" hidden="1">
      <c r="B9198" s="1348"/>
      <c r="C9198" s="1348"/>
      <c r="D9198" s="1348"/>
      <c r="E9198" s="1348"/>
      <c r="F9198" s="1348"/>
      <c r="G9198" s="1348"/>
      <c r="H9198" s="1348"/>
      <c r="I9198" s="1348"/>
      <c r="J9198" s="1348"/>
      <c r="K9198" s="1348"/>
    </row>
    <row r="9199" spans="2:11" hidden="1">
      <c r="B9199" s="1348"/>
      <c r="C9199" s="1348"/>
      <c r="D9199" s="1348"/>
      <c r="E9199" s="1348"/>
      <c r="F9199" s="1348"/>
      <c r="G9199" s="1348"/>
      <c r="H9199" s="1348"/>
      <c r="I9199" s="1348"/>
      <c r="J9199" s="1348"/>
      <c r="K9199" s="1348"/>
    </row>
    <row r="9200" spans="2:11" hidden="1">
      <c r="B9200" s="1348"/>
      <c r="C9200" s="1348"/>
      <c r="D9200" s="1348"/>
      <c r="E9200" s="1348"/>
      <c r="F9200" s="1348"/>
      <c r="G9200" s="1348"/>
      <c r="H9200" s="1348"/>
      <c r="I9200" s="1348"/>
      <c r="J9200" s="1348"/>
      <c r="K9200" s="1348"/>
    </row>
    <row r="9201" spans="2:11" hidden="1">
      <c r="B9201" s="1348"/>
      <c r="C9201" s="1348"/>
      <c r="D9201" s="1348"/>
      <c r="E9201" s="1348"/>
      <c r="F9201" s="1348"/>
      <c r="G9201" s="1348"/>
      <c r="H9201" s="1348"/>
      <c r="I9201" s="1348"/>
      <c r="J9201" s="1348"/>
      <c r="K9201" s="1348"/>
    </row>
    <row r="9202" spans="2:11" hidden="1">
      <c r="B9202" s="1348"/>
      <c r="C9202" s="1348"/>
      <c r="D9202" s="1348"/>
      <c r="E9202" s="1348"/>
      <c r="F9202" s="1348"/>
      <c r="G9202" s="1348"/>
      <c r="H9202" s="1348"/>
      <c r="I9202" s="1348"/>
      <c r="J9202" s="1348"/>
      <c r="K9202" s="1348"/>
    </row>
    <row r="9203" spans="2:11" hidden="1">
      <c r="B9203" s="1348"/>
      <c r="C9203" s="1348"/>
      <c r="D9203" s="1348"/>
      <c r="E9203" s="1348"/>
      <c r="F9203" s="1348"/>
      <c r="G9203" s="1348"/>
      <c r="H9203" s="1348"/>
      <c r="I9203" s="1348"/>
      <c r="J9203" s="1348"/>
      <c r="K9203" s="1348"/>
    </row>
    <row r="9204" spans="2:11" hidden="1">
      <c r="B9204" s="1348"/>
      <c r="C9204" s="1348"/>
      <c r="D9204" s="1348"/>
      <c r="E9204" s="1348"/>
      <c r="F9204" s="1348"/>
      <c r="G9204" s="1348"/>
      <c r="H9204" s="1348"/>
      <c r="I9204" s="1348"/>
      <c r="J9204" s="1348"/>
      <c r="K9204" s="1348"/>
    </row>
    <row r="9205" spans="2:11" hidden="1">
      <c r="B9205" s="1348"/>
      <c r="C9205" s="1348"/>
      <c r="D9205" s="1348"/>
      <c r="E9205" s="1348"/>
      <c r="F9205" s="1348"/>
      <c r="G9205" s="1348"/>
      <c r="H9205" s="1348"/>
      <c r="I9205" s="1348"/>
      <c r="J9205" s="1348"/>
      <c r="K9205" s="1348"/>
    </row>
    <row r="9206" spans="2:11" hidden="1">
      <c r="B9206" s="1348"/>
      <c r="C9206" s="1348"/>
      <c r="D9206" s="1348"/>
      <c r="E9206" s="1348"/>
      <c r="F9206" s="1348"/>
      <c r="G9206" s="1348"/>
      <c r="H9206" s="1348"/>
      <c r="I9206" s="1348"/>
      <c r="J9206" s="1348"/>
      <c r="K9206" s="1348"/>
    </row>
    <row r="9207" spans="2:11" hidden="1">
      <c r="B9207" s="1348"/>
      <c r="C9207" s="1348"/>
      <c r="D9207" s="1348"/>
      <c r="E9207" s="1348"/>
      <c r="F9207" s="1348"/>
      <c r="G9207" s="1348"/>
      <c r="H9207" s="1348"/>
      <c r="I9207" s="1348"/>
      <c r="J9207" s="1348"/>
      <c r="K9207" s="1348"/>
    </row>
    <row r="9208" spans="2:11" hidden="1">
      <c r="B9208" s="1348"/>
      <c r="C9208" s="1348"/>
      <c r="D9208" s="1348"/>
      <c r="E9208" s="1348"/>
      <c r="F9208" s="1348"/>
      <c r="G9208" s="1348"/>
      <c r="H9208" s="1348"/>
      <c r="I9208" s="1348"/>
      <c r="J9208" s="1348"/>
      <c r="K9208" s="1348"/>
    </row>
    <row r="9209" spans="2:11" hidden="1">
      <c r="B9209" s="1348"/>
      <c r="C9209" s="1348"/>
      <c r="D9209" s="1348"/>
      <c r="E9209" s="1348"/>
      <c r="F9209" s="1348"/>
      <c r="G9209" s="1348"/>
      <c r="H9209" s="1348"/>
      <c r="I9209" s="1348"/>
      <c r="J9209" s="1348"/>
      <c r="K9209" s="1348"/>
    </row>
    <row r="9210" spans="2:11" hidden="1">
      <c r="B9210" s="1348"/>
      <c r="C9210" s="1348"/>
      <c r="D9210" s="1348"/>
      <c r="E9210" s="1348"/>
      <c r="F9210" s="1348"/>
      <c r="G9210" s="1348"/>
      <c r="H9210" s="1348"/>
      <c r="I9210" s="1348"/>
      <c r="J9210" s="1348"/>
      <c r="K9210" s="1348"/>
    </row>
    <row r="9211" spans="2:11" hidden="1">
      <c r="B9211" s="1348"/>
      <c r="C9211" s="1348"/>
      <c r="D9211" s="1348"/>
      <c r="E9211" s="1348"/>
      <c r="F9211" s="1348"/>
      <c r="G9211" s="1348"/>
      <c r="H9211" s="1348"/>
      <c r="I9211" s="1348"/>
      <c r="J9211" s="1348"/>
      <c r="K9211" s="1348"/>
    </row>
    <row r="9212" spans="2:11" hidden="1">
      <c r="B9212" s="1348"/>
      <c r="C9212" s="1348"/>
      <c r="D9212" s="1348"/>
      <c r="E9212" s="1348"/>
      <c r="F9212" s="1348"/>
      <c r="G9212" s="1348"/>
      <c r="H9212" s="1348"/>
      <c r="I9212" s="1348"/>
      <c r="J9212" s="1348"/>
      <c r="K9212" s="1348"/>
    </row>
    <row r="9213" spans="2:11" hidden="1">
      <c r="B9213" s="1348"/>
      <c r="C9213" s="1348"/>
      <c r="D9213" s="1348"/>
      <c r="E9213" s="1348"/>
      <c r="F9213" s="1348"/>
      <c r="G9213" s="1348"/>
      <c r="H9213" s="1348"/>
      <c r="I9213" s="1348"/>
      <c r="J9213" s="1348"/>
      <c r="K9213" s="1348"/>
    </row>
    <row r="9214" spans="2:11" hidden="1">
      <c r="B9214" s="1348"/>
      <c r="C9214" s="1348"/>
      <c r="D9214" s="1348"/>
      <c r="E9214" s="1348"/>
      <c r="F9214" s="1348"/>
      <c r="G9214" s="1348"/>
      <c r="H9214" s="1348"/>
      <c r="I9214" s="1348"/>
      <c r="J9214" s="1348"/>
      <c r="K9214" s="1348"/>
    </row>
    <row r="9215" spans="2:11" hidden="1">
      <c r="B9215" s="1348"/>
      <c r="C9215" s="1348"/>
      <c r="D9215" s="1348"/>
      <c r="E9215" s="1348"/>
      <c r="F9215" s="1348"/>
      <c r="G9215" s="1348"/>
      <c r="H9215" s="1348"/>
      <c r="I9215" s="1348"/>
      <c r="J9215" s="1348"/>
      <c r="K9215" s="1348"/>
    </row>
    <row r="9216" spans="2:11" hidden="1">
      <c r="B9216" s="1348"/>
      <c r="C9216" s="1348"/>
      <c r="D9216" s="1348"/>
      <c r="E9216" s="1348"/>
      <c r="F9216" s="1348"/>
      <c r="G9216" s="1348"/>
      <c r="H9216" s="1348"/>
      <c r="I9216" s="1348"/>
      <c r="J9216" s="1348"/>
      <c r="K9216" s="1348"/>
    </row>
    <row r="9217" spans="2:11" hidden="1">
      <c r="B9217" s="1348"/>
      <c r="C9217" s="1348"/>
      <c r="D9217" s="1348"/>
      <c r="E9217" s="1348"/>
      <c r="F9217" s="1348"/>
      <c r="G9217" s="1348"/>
      <c r="H9217" s="1348"/>
      <c r="I9217" s="1348"/>
      <c r="J9217" s="1348"/>
      <c r="K9217" s="1348"/>
    </row>
    <row r="9218" spans="2:11" hidden="1">
      <c r="B9218" s="1348"/>
      <c r="C9218" s="1348"/>
      <c r="D9218" s="1348"/>
      <c r="E9218" s="1348"/>
      <c r="F9218" s="1348"/>
      <c r="G9218" s="1348"/>
      <c r="H9218" s="1348"/>
      <c r="I9218" s="1348"/>
      <c r="J9218" s="1348"/>
      <c r="K9218" s="1348"/>
    </row>
    <row r="9219" spans="2:11" hidden="1">
      <c r="B9219" s="1348"/>
      <c r="C9219" s="1348"/>
      <c r="D9219" s="1348"/>
      <c r="E9219" s="1348"/>
      <c r="F9219" s="1348"/>
      <c r="G9219" s="1348"/>
      <c r="H9219" s="1348"/>
      <c r="I9219" s="1348"/>
      <c r="J9219" s="1348"/>
      <c r="K9219" s="1348"/>
    </row>
    <row r="9220" spans="2:11" hidden="1">
      <c r="B9220" s="1348"/>
      <c r="C9220" s="1348"/>
      <c r="D9220" s="1348"/>
      <c r="E9220" s="1348"/>
      <c r="F9220" s="1348"/>
      <c r="G9220" s="1348"/>
      <c r="H9220" s="1348"/>
      <c r="I9220" s="1348"/>
      <c r="J9220" s="1348"/>
      <c r="K9220" s="1348"/>
    </row>
    <row r="9221" spans="2:11" hidden="1">
      <c r="B9221" s="1348"/>
      <c r="C9221" s="1348"/>
      <c r="D9221" s="1348"/>
      <c r="E9221" s="1348"/>
      <c r="F9221" s="1348"/>
      <c r="G9221" s="1348"/>
      <c r="H9221" s="1348"/>
      <c r="I9221" s="1348"/>
      <c r="J9221" s="1348"/>
      <c r="K9221" s="1348"/>
    </row>
    <row r="9222" spans="2:11" hidden="1">
      <c r="B9222" s="1348"/>
      <c r="C9222" s="1348"/>
      <c r="D9222" s="1348"/>
      <c r="E9222" s="1348"/>
      <c r="F9222" s="1348"/>
      <c r="G9222" s="1348"/>
      <c r="H9222" s="1348"/>
      <c r="I9222" s="1348"/>
      <c r="J9222" s="1348"/>
      <c r="K9222" s="1348"/>
    </row>
    <row r="9223" spans="2:11" hidden="1">
      <c r="B9223" s="1348"/>
      <c r="C9223" s="1348"/>
      <c r="D9223" s="1348"/>
      <c r="E9223" s="1348"/>
      <c r="F9223" s="1348"/>
      <c r="G9223" s="1348"/>
      <c r="H9223" s="1348"/>
      <c r="I9223" s="1348"/>
      <c r="J9223" s="1348"/>
      <c r="K9223" s="1348"/>
    </row>
    <row r="9224" spans="2:11" hidden="1">
      <c r="B9224" s="1348"/>
      <c r="C9224" s="1348"/>
      <c r="D9224" s="1348"/>
      <c r="E9224" s="1348"/>
      <c r="F9224" s="1348"/>
      <c r="G9224" s="1348"/>
      <c r="H9224" s="1348"/>
      <c r="I9224" s="1348"/>
      <c r="J9224" s="1348"/>
      <c r="K9224" s="1348"/>
    </row>
    <row r="9225" spans="2:11" hidden="1">
      <c r="B9225" s="1348"/>
      <c r="C9225" s="1348"/>
      <c r="D9225" s="1348"/>
      <c r="E9225" s="1348"/>
      <c r="F9225" s="1348"/>
      <c r="G9225" s="1348"/>
      <c r="H9225" s="1348"/>
      <c r="I9225" s="1348"/>
      <c r="J9225" s="1348"/>
      <c r="K9225" s="1348"/>
    </row>
    <row r="9226" spans="2:11" hidden="1">
      <c r="B9226" s="1348"/>
      <c r="C9226" s="1348"/>
      <c r="D9226" s="1348"/>
      <c r="E9226" s="1348"/>
      <c r="F9226" s="1348"/>
      <c r="G9226" s="1348"/>
      <c r="H9226" s="1348"/>
      <c r="I9226" s="1348"/>
      <c r="J9226" s="1348"/>
      <c r="K9226" s="1348"/>
    </row>
    <row r="9227" spans="2:11" hidden="1">
      <c r="B9227" s="1348"/>
      <c r="C9227" s="1348"/>
      <c r="D9227" s="1348"/>
      <c r="E9227" s="1348"/>
      <c r="F9227" s="1348"/>
      <c r="G9227" s="1348"/>
      <c r="H9227" s="1348"/>
      <c r="I9227" s="1348"/>
      <c r="J9227" s="1348"/>
      <c r="K9227" s="1348"/>
    </row>
    <row r="9228" spans="2:11" hidden="1">
      <c r="B9228" s="1348"/>
      <c r="C9228" s="1348"/>
      <c r="D9228" s="1348"/>
      <c r="E9228" s="1348"/>
      <c r="F9228" s="1348"/>
      <c r="G9228" s="1348"/>
      <c r="H9228" s="1348"/>
      <c r="I9228" s="1348"/>
      <c r="J9228" s="1348"/>
      <c r="K9228" s="1348"/>
    </row>
    <row r="9229" spans="2:11" hidden="1">
      <c r="B9229" s="1348"/>
      <c r="C9229" s="1348"/>
      <c r="D9229" s="1348"/>
      <c r="E9229" s="1348"/>
      <c r="F9229" s="1348"/>
      <c r="G9229" s="1348"/>
      <c r="H9229" s="1348"/>
      <c r="I9229" s="1348"/>
      <c r="J9229" s="1348"/>
      <c r="K9229" s="1348"/>
    </row>
    <row r="9230" spans="2:11" hidden="1">
      <c r="B9230" s="1348"/>
      <c r="C9230" s="1348"/>
      <c r="D9230" s="1348"/>
      <c r="E9230" s="1348"/>
      <c r="F9230" s="1348"/>
      <c r="G9230" s="1348"/>
      <c r="H9230" s="1348"/>
      <c r="I9230" s="1348"/>
      <c r="J9230" s="1348"/>
      <c r="K9230" s="1348"/>
    </row>
    <row r="9231" spans="2:11" hidden="1">
      <c r="B9231" s="1348"/>
      <c r="C9231" s="1348"/>
      <c r="D9231" s="1348"/>
      <c r="E9231" s="1348"/>
      <c r="F9231" s="1348"/>
      <c r="G9231" s="1348"/>
      <c r="H9231" s="1348"/>
      <c r="I9231" s="1348"/>
      <c r="J9231" s="1348"/>
      <c r="K9231" s="1348"/>
    </row>
    <row r="9232" spans="2:11" hidden="1">
      <c r="B9232" s="1348"/>
      <c r="C9232" s="1348"/>
      <c r="D9232" s="1348"/>
      <c r="E9232" s="1348"/>
      <c r="F9232" s="1348"/>
      <c r="G9232" s="1348"/>
      <c r="H9232" s="1348"/>
      <c r="I9232" s="1348"/>
      <c r="J9232" s="1348"/>
      <c r="K9232" s="1348"/>
    </row>
    <row r="9233" spans="2:11" hidden="1">
      <c r="B9233" s="1348"/>
      <c r="C9233" s="1348"/>
      <c r="D9233" s="1348"/>
      <c r="E9233" s="1348"/>
      <c r="F9233" s="1348"/>
      <c r="G9233" s="1348"/>
      <c r="H9233" s="1348"/>
      <c r="I9233" s="1348"/>
      <c r="J9233" s="1348"/>
      <c r="K9233" s="1348"/>
    </row>
    <row r="9234" spans="2:11" hidden="1">
      <c r="B9234" s="1348"/>
      <c r="C9234" s="1348"/>
      <c r="D9234" s="1348"/>
      <c r="E9234" s="1348"/>
      <c r="F9234" s="1348"/>
      <c r="G9234" s="1348"/>
      <c r="H9234" s="1348"/>
      <c r="I9234" s="1348"/>
      <c r="J9234" s="1348"/>
      <c r="K9234" s="1348"/>
    </row>
    <row r="9235" spans="2:11" hidden="1">
      <c r="B9235" s="1348"/>
      <c r="C9235" s="1348"/>
      <c r="D9235" s="1348"/>
      <c r="E9235" s="1348"/>
      <c r="F9235" s="1348"/>
      <c r="G9235" s="1348"/>
      <c r="H9235" s="1348"/>
      <c r="I9235" s="1348"/>
      <c r="J9235" s="1348"/>
      <c r="K9235" s="1348"/>
    </row>
    <row r="9236" spans="2:11" hidden="1">
      <c r="B9236" s="1348"/>
      <c r="C9236" s="1348"/>
      <c r="D9236" s="1348"/>
      <c r="E9236" s="1348"/>
      <c r="F9236" s="1348"/>
      <c r="G9236" s="1348"/>
      <c r="H9236" s="1348"/>
      <c r="I9236" s="1348"/>
      <c r="J9236" s="1348"/>
      <c r="K9236" s="1348"/>
    </row>
    <row r="9237" spans="2:11" hidden="1">
      <c r="B9237" s="1348"/>
      <c r="C9237" s="1348"/>
      <c r="D9237" s="1348"/>
      <c r="E9237" s="1348"/>
      <c r="F9237" s="1348"/>
      <c r="G9237" s="1348"/>
      <c r="H9237" s="1348"/>
      <c r="I9237" s="1348"/>
      <c r="J9237" s="1348"/>
      <c r="K9237" s="1348"/>
    </row>
    <row r="9238" spans="2:11" hidden="1">
      <c r="B9238" s="1348"/>
      <c r="C9238" s="1348"/>
      <c r="D9238" s="1348"/>
      <c r="E9238" s="1348"/>
      <c r="F9238" s="1348"/>
      <c r="G9238" s="1348"/>
      <c r="H9238" s="1348"/>
      <c r="I9238" s="1348"/>
      <c r="J9238" s="1348"/>
      <c r="K9238" s="1348"/>
    </row>
    <row r="9239" spans="2:11" hidden="1">
      <c r="B9239" s="1348"/>
      <c r="C9239" s="1348"/>
      <c r="D9239" s="1348"/>
      <c r="E9239" s="1348"/>
      <c r="F9239" s="1348"/>
      <c r="G9239" s="1348"/>
      <c r="H9239" s="1348"/>
      <c r="I9239" s="1348"/>
      <c r="J9239" s="1348"/>
      <c r="K9239" s="1348"/>
    </row>
    <row r="9240" spans="2:11" hidden="1">
      <c r="B9240" s="1348"/>
      <c r="C9240" s="1348"/>
      <c r="D9240" s="1348"/>
      <c r="E9240" s="1348"/>
      <c r="F9240" s="1348"/>
      <c r="G9240" s="1348"/>
      <c r="H9240" s="1348"/>
      <c r="I9240" s="1348"/>
      <c r="J9240" s="1348"/>
      <c r="K9240" s="1348"/>
    </row>
    <row r="9241" spans="2:11" hidden="1">
      <c r="B9241" s="1348"/>
      <c r="C9241" s="1348"/>
      <c r="D9241" s="1348"/>
      <c r="E9241" s="1348"/>
      <c r="F9241" s="1348"/>
      <c r="G9241" s="1348"/>
      <c r="H9241" s="1348"/>
      <c r="I9241" s="1348"/>
      <c r="J9241" s="1348"/>
      <c r="K9241" s="1348"/>
    </row>
    <row r="9242" spans="2:11" hidden="1">
      <c r="B9242" s="1348"/>
      <c r="C9242" s="1348"/>
      <c r="D9242" s="1348"/>
      <c r="E9242" s="1348"/>
      <c r="F9242" s="1348"/>
      <c r="G9242" s="1348"/>
      <c r="H9242" s="1348"/>
      <c r="I9242" s="1348"/>
      <c r="J9242" s="1348"/>
      <c r="K9242" s="1348"/>
    </row>
    <row r="9243" spans="2:11" hidden="1">
      <c r="B9243" s="1348"/>
      <c r="C9243" s="1348"/>
      <c r="D9243" s="1348"/>
      <c r="E9243" s="1348"/>
      <c r="F9243" s="1348"/>
      <c r="G9243" s="1348"/>
      <c r="H9243" s="1348"/>
      <c r="I9243" s="1348"/>
      <c r="J9243" s="1348"/>
      <c r="K9243" s="1348"/>
    </row>
    <row r="9244" spans="2:11" hidden="1">
      <c r="B9244" s="1348"/>
      <c r="C9244" s="1348"/>
      <c r="D9244" s="1348"/>
      <c r="E9244" s="1348"/>
      <c r="F9244" s="1348"/>
      <c r="G9244" s="1348"/>
      <c r="H9244" s="1348"/>
      <c r="I9244" s="1348"/>
      <c r="J9244" s="1348"/>
      <c r="K9244" s="1348"/>
    </row>
    <row r="9245" spans="2:11" hidden="1">
      <c r="B9245" s="1348"/>
      <c r="C9245" s="1348"/>
      <c r="D9245" s="1348"/>
      <c r="E9245" s="1348"/>
      <c r="F9245" s="1348"/>
      <c r="G9245" s="1348"/>
      <c r="H9245" s="1348"/>
      <c r="I9245" s="1348"/>
      <c r="J9245" s="1348"/>
      <c r="K9245" s="1348"/>
    </row>
    <row r="9246" spans="2:11" hidden="1">
      <c r="B9246" s="1348"/>
      <c r="C9246" s="1348"/>
      <c r="D9246" s="1348"/>
      <c r="E9246" s="1348"/>
      <c r="F9246" s="1348"/>
      <c r="G9246" s="1348"/>
      <c r="H9246" s="1348"/>
      <c r="I9246" s="1348"/>
      <c r="J9246" s="1348"/>
      <c r="K9246" s="1348"/>
    </row>
    <row r="9247" spans="2:11" hidden="1">
      <c r="B9247" s="1348"/>
      <c r="C9247" s="1348"/>
      <c r="D9247" s="1348"/>
      <c r="E9247" s="1348"/>
      <c r="F9247" s="1348"/>
      <c r="G9247" s="1348"/>
      <c r="H9247" s="1348"/>
      <c r="I9247" s="1348"/>
      <c r="J9247" s="1348"/>
      <c r="K9247" s="1348"/>
    </row>
    <row r="9248" spans="2:11" hidden="1">
      <c r="B9248" s="1348"/>
      <c r="C9248" s="1348"/>
      <c r="D9248" s="1348"/>
      <c r="E9248" s="1348"/>
      <c r="F9248" s="1348"/>
      <c r="G9248" s="1348"/>
      <c r="H9248" s="1348"/>
      <c r="I9248" s="1348"/>
      <c r="J9248" s="1348"/>
      <c r="K9248" s="1348"/>
    </row>
    <row r="9249" spans="2:11" hidden="1">
      <c r="B9249" s="1348"/>
      <c r="C9249" s="1348"/>
      <c r="D9249" s="1348"/>
      <c r="E9249" s="1348"/>
      <c r="F9249" s="1348"/>
      <c r="G9249" s="1348"/>
      <c r="H9249" s="1348"/>
      <c r="I9249" s="1348"/>
      <c r="J9249" s="1348"/>
      <c r="K9249" s="1348"/>
    </row>
    <row r="9250" spans="2:11" hidden="1">
      <c r="B9250" s="1348"/>
      <c r="C9250" s="1348"/>
      <c r="D9250" s="1348"/>
      <c r="E9250" s="1348"/>
      <c r="F9250" s="1348"/>
      <c r="G9250" s="1348"/>
      <c r="H9250" s="1348"/>
      <c r="I9250" s="1348"/>
      <c r="J9250" s="1348"/>
      <c r="K9250" s="1348"/>
    </row>
    <row r="9251" spans="2:11" hidden="1">
      <c r="B9251" s="1348"/>
      <c r="C9251" s="1348"/>
      <c r="D9251" s="1348"/>
      <c r="E9251" s="1348"/>
      <c r="F9251" s="1348"/>
      <c r="G9251" s="1348"/>
      <c r="H9251" s="1348"/>
      <c r="I9251" s="1348"/>
      <c r="J9251" s="1348"/>
      <c r="K9251" s="1348"/>
    </row>
    <row r="9252" spans="2:11" hidden="1">
      <c r="B9252" s="1348"/>
      <c r="C9252" s="1348"/>
      <c r="D9252" s="1348"/>
      <c r="E9252" s="1348"/>
      <c r="F9252" s="1348"/>
      <c r="G9252" s="1348"/>
      <c r="H9252" s="1348"/>
      <c r="I9252" s="1348"/>
      <c r="J9252" s="1348"/>
      <c r="K9252" s="1348"/>
    </row>
    <row r="9253" spans="2:11" hidden="1">
      <c r="B9253" s="1348"/>
      <c r="C9253" s="1348"/>
      <c r="D9253" s="1348"/>
      <c r="E9253" s="1348"/>
      <c r="F9253" s="1348"/>
      <c r="G9253" s="1348"/>
      <c r="H9253" s="1348"/>
      <c r="I9253" s="1348"/>
      <c r="J9253" s="1348"/>
      <c r="K9253" s="1348"/>
    </row>
    <row r="9254" spans="2:11" hidden="1">
      <c r="B9254" s="1348"/>
      <c r="C9254" s="1348"/>
      <c r="D9254" s="1348"/>
      <c r="E9254" s="1348"/>
      <c r="F9254" s="1348"/>
      <c r="G9254" s="1348"/>
      <c r="H9254" s="1348"/>
      <c r="I9254" s="1348"/>
      <c r="J9254" s="1348"/>
      <c r="K9254" s="1348"/>
    </row>
    <row r="9255" spans="2:11" hidden="1">
      <c r="B9255" s="1348"/>
      <c r="C9255" s="1348"/>
      <c r="D9255" s="1348"/>
      <c r="E9255" s="1348"/>
      <c r="F9255" s="1348"/>
      <c r="G9255" s="1348"/>
      <c r="H9255" s="1348"/>
      <c r="I9255" s="1348"/>
      <c r="J9255" s="1348"/>
      <c r="K9255" s="1348"/>
    </row>
    <row r="9256" spans="2:11" hidden="1">
      <c r="B9256" s="1348"/>
      <c r="C9256" s="1348"/>
      <c r="D9256" s="1348"/>
      <c r="E9256" s="1348"/>
      <c r="F9256" s="1348"/>
      <c r="G9256" s="1348"/>
      <c r="H9256" s="1348"/>
      <c r="I9256" s="1348"/>
      <c r="J9256" s="1348"/>
      <c r="K9256" s="1348"/>
    </row>
    <row r="9257" spans="2:11" hidden="1">
      <c r="B9257" s="1348"/>
      <c r="C9257" s="1348"/>
      <c r="D9257" s="1348"/>
      <c r="E9257" s="1348"/>
      <c r="F9257" s="1348"/>
      <c r="G9257" s="1348"/>
      <c r="H9257" s="1348"/>
      <c r="I9257" s="1348"/>
      <c r="J9257" s="1348"/>
      <c r="K9257" s="1348"/>
    </row>
    <row r="9258" spans="2:11" hidden="1">
      <c r="B9258" s="1348"/>
      <c r="C9258" s="1348"/>
      <c r="D9258" s="1348"/>
      <c r="E9258" s="1348"/>
      <c r="F9258" s="1348"/>
      <c r="G9258" s="1348"/>
      <c r="H9258" s="1348"/>
      <c r="I9258" s="1348"/>
      <c r="J9258" s="1348"/>
      <c r="K9258" s="1348"/>
    </row>
    <row r="9259" spans="2:11" hidden="1">
      <c r="B9259" s="1348"/>
      <c r="C9259" s="1348"/>
      <c r="D9259" s="1348"/>
      <c r="E9259" s="1348"/>
      <c r="F9259" s="1348"/>
      <c r="G9259" s="1348"/>
      <c r="H9259" s="1348"/>
      <c r="I9259" s="1348"/>
      <c r="J9259" s="1348"/>
      <c r="K9259" s="1348"/>
    </row>
    <row r="9260" spans="2:11" hidden="1">
      <c r="B9260" s="1348"/>
      <c r="C9260" s="1348"/>
      <c r="D9260" s="1348"/>
      <c r="E9260" s="1348"/>
      <c r="F9260" s="1348"/>
      <c r="G9260" s="1348"/>
      <c r="H9260" s="1348"/>
      <c r="I9260" s="1348"/>
      <c r="J9260" s="1348"/>
      <c r="K9260" s="1348"/>
    </row>
    <row r="9261" spans="2:11" hidden="1">
      <c r="B9261" s="1348"/>
      <c r="C9261" s="1348"/>
      <c r="D9261" s="1348"/>
      <c r="E9261" s="1348"/>
      <c r="F9261" s="1348"/>
      <c r="G9261" s="1348"/>
      <c r="H9261" s="1348"/>
      <c r="I9261" s="1348"/>
      <c r="J9261" s="1348"/>
      <c r="K9261" s="1348"/>
    </row>
    <row r="9262" spans="2:11" hidden="1">
      <c r="B9262" s="1348"/>
      <c r="C9262" s="1348"/>
      <c r="D9262" s="1348"/>
      <c r="E9262" s="1348"/>
      <c r="F9262" s="1348"/>
      <c r="G9262" s="1348"/>
      <c r="H9262" s="1348"/>
      <c r="I9262" s="1348"/>
      <c r="J9262" s="1348"/>
      <c r="K9262" s="1348"/>
    </row>
    <row r="9263" spans="2:11" hidden="1">
      <c r="B9263" s="1348"/>
      <c r="C9263" s="1348"/>
      <c r="D9263" s="1348"/>
      <c r="E9263" s="1348"/>
      <c r="F9263" s="1348"/>
      <c r="G9263" s="1348"/>
      <c r="H9263" s="1348"/>
      <c r="I9263" s="1348"/>
      <c r="J9263" s="1348"/>
      <c r="K9263" s="1348"/>
    </row>
    <row r="9264" spans="2:11" hidden="1">
      <c r="B9264" s="1348"/>
      <c r="C9264" s="1348"/>
      <c r="D9264" s="1348"/>
      <c r="E9264" s="1348"/>
      <c r="F9264" s="1348"/>
      <c r="G9264" s="1348"/>
      <c r="H9264" s="1348"/>
      <c r="I9264" s="1348"/>
      <c r="J9264" s="1348"/>
      <c r="K9264" s="1348"/>
    </row>
    <row r="9265" spans="2:11" hidden="1">
      <c r="B9265" s="1348"/>
      <c r="C9265" s="1348"/>
      <c r="D9265" s="1348"/>
      <c r="E9265" s="1348"/>
      <c r="F9265" s="1348"/>
      <c r="G9265" s="1348"/>
      <c r="H9265" s="1348"/>
      <c r="I9265" s="1348"/>
      <c r="J9265" s="1348"/>
      <c r="K9265" s="1348"/>
    </row>
    <row r="9266" spans="2:11" hidden="1">
      <c r="B9266" s="1348"/>
      <c r="C9266" s="1348"/>
      <c r="D9266" s="1348"/>
      <c r="E9266" s="1348"/>
      <c r="F9266" s="1348"/>
      <c r="G9266" s="1348"/>
      <c r="H9266" s="1348"/>
      <c r="I9266" s="1348"/>
      <c r="J9266" s="1348"/>
      <c r="K9266" s="1348"/>
    </row>
    <row r="9267" spans="2:11" hidden="1">
      <c r="B9267" s="1348"/>
      <c r="C9267" s="1348"/>
      <c r="D9267" s="1348"/>
      <c r="E9267" s="1348"/>
      <c r="F9267" s="1348"/>
      <c r="G9267" s="1348"/>
      <c r="H9267" s="1348"/>
      <c r="I9267" s="1348"/>
      <c r="J9267" s="1348"/>
      <c r="K9267" s="1348"/>
    </row>
    <row r="9268" spans="2:11" hidden="1">
      <c r="B9268" s="1348"/>
      <c r="C9268" s="1348"/>
      <c r="D9268" s="1348"/>
      <c r="E9268" s="1348"/>
      <c r="F9268" s="1348"/>
      <c r="G9268" s="1348"/>
      <c r="H9268" s="1348"/>
      <c r="I9268" s="1348"/>
      <c r="J9268" s="1348"/>
      <c r="K9268" s="1348"/>
    </row>
    <row r="9269" spans="2:11" hidden="1">
      <c r="B9269" s="1348"/>
      <c r="C9269" s="1348"/>
      <c r="D9269" s="1348"/>
      <c r="E9269" s="1348"/>
      <c r="F9269" s="1348"/>
      <c r="G9269" s="1348"/>
      <c r="H9269" s="1348"/>
      <c r="I9269" s="1348"/>
      <c r="J9269" s="1348"/>
      <c r="K9269" s="1348"/>
    </row>
    <row r="9270" spans="2:11" hidden="1">
      <c r="B9270" s="1348"/>
      <c r="C9270" s="1348"/>
      <c r="D9270" s="1348"/>
      <c r="E9270" s="1348"/>
      <c r="F9270" s="1348"/>
      <c r="G9270" s="1348"/>
      <c r="H9270" s="1348"/>
      <c r="I9270" s="1348"/>
      <c r="J9270" s="1348"/>
      <c r="K9270" s="1348"/>
    </row>
    <row r="9271" spans="2:11" hidden="1">
      <c r="B9271" s="1348"/>
      <c r="C9271" s="1348"/>
      <c r="D9271" s="1348"/>
      <c r="E9271" s="1348"/>
      <c r="F9271" s="1348"/>
      <c r="G9271" s="1348"/>
      <c r="H9271" s="1348"/>
      <c r="I9271" s="1348"/>
      <c r="J9271" s="1348"/>
      <c r="K9271" s="1348"/>
    </row>
    <row r="9272" spans="2:11" hidden="1">
      <c r="B9272" s="1348"/>
      <c r="C9272" s="1348"/>
      <c r="D9272" s="1348"/>
      <c r="E9272" s="1348"/>
      <c r="F9272" s="1348"/>
      <c r="G9272" s="1348"/>
      <c r="H9272" s="1348"/>
      <c r="I9272" s="1348"/>
      <c r="J9272" s="1348"/>
      <c r="K9272" s="1348"/>
    </row>
    <row r="9273" spans="2:11" hidden="1">
      <c r="B9273" s="1348"/>
      <c r="C9273" s="1348"/>
      <c r="D9273" s="1348"/>
      <c r="E9273" s="1348"/>
      <c r="F9273" s="1348"/>
      <c r="G9273" s="1348"/>
      <c r="H9273" s="1348"/>
      <c r="I9273" s="1348"/>
      <c r="J9273" s="1348"/>
      <c r="K9273" s="1348"/>
    </row>
    <row r="9274" spans="2:11" hidden="1">
      <c r="B9274" s="1348"/>
      <c r="C9274" s="1348"/>
      <c r="D9274" s="1348"/>
      <c r="E9274" s="1348"/>
      <c r="F9274" s="1348"/>
      <c r="G9274" s="1348"/>
      <c r="H9274" s="1348"/>
      <c r="I9274" s="1348"/>
      <c r="J9274" s="1348"/>
      <c r="K9274" s="1348"/>
    </row>
    <row r="9275" spans="2:11" hidden="1">
      <c r="B9275" s="1348"/>
      <c r="C9275" s="1348"/>
      <c r="D9275" s="1348"/>
      <c r="E9275" s="1348"/>
      <c r="F9275" s="1348"/>
      <c r="G9275" s="1348"/>
      <c r="H9275" s="1348"/>
      <c r="I9275" s="1348"/>
      <c r="J9275" s="1348"/>
      <c r="K9275" s="1348"/>
    </row>
    <row r="9276" spans="2:11" hidden="1">
      <c r="B9276" s="1348"/>
      <c r="C9276" s="1348"/>
      <c r="D9276" s="1348"/>
      <c r="E9276" s="1348"/>
      <c r="F9276" s="1348"/>
      <c r="G9276" s="1348"/>
      <c r="H9276" s="1348"/>
      <c r="I9276" s="1348"/>
      <c r="J9276" s="1348"/>
      <c r="K9276" s="1348"/>
    </row>
    <row r="9277" spans="2:11" hidden="1">
      <c r="B9277" s="1348"/>
      <c r="C9277" s="1348"/>
      <c r="D9277" s="1348"/>
      <c r="E9277" s="1348"/>
      <c r="F9277" s="1348"/>
      <c r="G9277" s="1348"/>
      <c r="H9277" s="1348"/>
      <c r="I9277" s="1348"/>
      <c r="J9277" s="1348"/>
      <c r="K9277" s="1348"/>
    </row>
    <row r="9278" spans="2:11" hidden="1">
      <c r="B9278" s="1348"/>
      <c r="C9278" s="1348"/>
      <c r="D9278" s="1348"/>
      <c r="E9278" s="1348"/>
      <c r="F9278" s="1348"/>
      <c r="G9278" s="1348"/>
      <c r="H9278" s="1348"/>
      <c r="I9278" s="1348"/>
      <c r="J9278" s="1348"/>
      <c r="K9278" s="1348"/>
    </row>
    <row r="9279" spans="2:11" hidden="1">
      <c r="B9279" s="1348"/>
      <c r="C9279" s="1348"/>
      <c r="D9279" s="1348"/>
      <c r="E9279" s="1348"/>
      <c r="F9279" s="1348"/>
      <c r="G9279" s="1348"/>
      <c r="H9279" s="1348"/>
      <c r="I9279" s="1348"/>
      <c r="J9279" s="1348"/>
      <c r="K9279" s="1348"/>
    </row>
    <row r="9280" spans="2:11" hidden="1">
      <c r="B9280" s="1348"/>
      <c r="C9280" s="1348"/>
      <c r="D9280" s="1348"/>
      <c r="E9280" s="1348"/>
      <c r="F9280" s="1348"/>
      <c r="G9280" s="1348"/>
      <c r="H9280" s="1348"/>
      <c r="I9280" s="1348"/>
      <c r="J9280" s="1348"/>
      <c r="K9280" s="1348"/>
    </row>
    <row r="9281" spans="2:11" hidden="1">
      <c r="B9281" s="1348"/>
      <c r="C9281" s="1348"/>
      <c r="D9281" s="1348"/>
      <c r="E9281" s="1348"/>
      <c r="F9281" s="1348"/>
      <c r="G9281" s="1348"/>
      <c r="H9281" s="1348"/>
      <c r="I9281" s="1348"/>
      <c r="J9281" s="1348"/>
      <c r="K9281" s="1348"/>
    </row>
    <row r="9282" spans="2:11" hidden="1">
      <c r="B9282" s="1348"/>
      <c r="C9282" s="1348"/>
      <c r="D9282" s="1348"/>
      <c r="E9282" s="1348"/>
      <c r="F9282" s="1348"/>
      <c r="G9282" s="1348"/>
      <c r="H9282" s="1348"/>
      <c r="I9282" s="1348"/>
      <c r="J9282" s="1348"/>
      <c r="K9282" s="1348"/>
    </row>
    <row r="9283" spans="2:11" hidden="1">
      <c r="B9283" s="1348"/>
      <c r="C9283" s="1348"/>
      <c r="D9283" s="1348"/>
      <c r="E9283" s="1348"/>
      <c r="F9283" s="1348"/>
      <c r="G9283" s="1348"/>
      <c r="H9283" s="1348"/>
      <c r="I9283" s="1348"/>
      <c r="J9283" s="1348"/>
      <c r="K9283" s="1348"/>
    </row>
    <row r="9284" spans="2:11" hidden="1">
      <c r="B9284" s="1348"/>
      <c r="C9284" s="1348"/>
      <c r="D9284" s="1348"/>
      <c r="E9284" s="1348"/>
      <c r="F9284" s="1348"/>
      <c r="G9284" s="1348"/>
      <c r="H9284" s="1348"/>
      <c r="I9284" s="1348"/>
      <c r="J9284" s="1348"/>
      <c r="K9284" s="1348"/>
    </row>
    <row r="9285" spans="2:11" hidden="1">
      <c r="B9285" s="1348"/>
      <c r="C9285" s="1348"/>
      <c r="D9285" s="1348"/>
      <c r="E9285" s="1348"/>
      <c r="F9285" s="1348"/>
      <c r="G9285" s="1348"/>
      <c r="H9285" s="1348"/>
      <c r="I9285" s="1348"/>
      <c r="J9285" s="1348"/>
      <c r="K9285" s="1348"/>
    </row>
    <row r="9286" spans="2:11" hidden="1">
      <c r="B9286" s="1348"/>
      <c r="C9286" s="1348"/>
      <c r="D9286" s="1348"/>
      <c r="E9286" s="1348"/>
      <c r="F9286" s="1348"/>
      <c r="G9286" s="1348"/>
      <c r="H9286" s="1348"/>
      <c r="I9286" s="1348"/>
      <c r="J9286" s="1348"/>
      <c r="K9286" s="1348"/>
    </row>
    <row r="9287" spans="2:11" hidden="1">
      <c r="B9287" s="1348"/>
      <c r="C9287" s="1348"/>
      <c r="D9287" s="1348"/>
      <c r="E9287" s="1348"/>
      <c r="F9287" s="1348"/>
      <c r="G9287" s="1348"/>
      <c r="H9287" s="1348"/>
      <c r="I9287" s="1348"/>
      <c r="J9287" s="1348"/>
      <c r="K9287" s="1348"/>
    </row>
    <row r="9288" spans="2:11" hidden="1">
      <c r="B9288" s="1348"/>
      <c r="C9288" s="1348"/>
      <c r="D9288" s="1348"/>
      <c r="E9288" s="1348"/>
      <c r="F9288" s="1348"/>
      <c r="G9288" s="1348"/>
      <c r="H9288" s="1348"/>
      <c r="I9288" s="1348"/>
      <c r="J9288" s="1348"/>
      <c r="K9288" s="1348"/>
    </row>
    <row r="9289" spans="2:11" hidden="1">
      <c r="B9289" s="1348"/>
      <c r="C9289" s="1348"/>
      <c r="D9289" s="1348"/>
      <c r="E9289" s="1348"/>
      <c r="F9289" s="1348"/>
      <c r="G9289" s="1348"/>
      <c r="H9289" s="1348"/>
      <c r="I9289" s="1348"/>
      <c r="J9289" s="1348"/>
      <c r="K9289" s="1348"/>
    </row>
    <row r="9290" spans="2:11" hidden="1">
      <c r="B9290" s="1348"/>
      <c r="C9290" s="1348"/>
      <c r="D9290" s="1348"/>
      <c r="E9290" s="1348"/>
      <c r="F9290" s="1348"/>
      <c r="G9290" s="1348"/>
      <c r="H9290" s="1348"/>
      <c r="I9290" s="1348"/>
      <c r="J9290" s="1348"/>
      <c r="K9290" s="1348"/>
    </row>
    <row r="9291" spans="2:11" hidden="1">
      <c r="B9291" s="1348"/>
      <c r="C9291" s="1348"/>
      <c r="D9291" s="1348"/>
      <c r="E9291" s="1348"/>
      <c r="F9291" s="1348"/>
      <c r="G9291" s="1348"/>
      <c r="H9291" s="1348"/>
      <c r="I9291" s="1348"/>
      <c r="J9291" s="1348"/>
      <c r="K9291" s="1348"/>
    </row>
    <row r="9292" spans="2:11" hidden="1">
      <c r="B9292" s="1348"/>
      <c r="C9292" s="1348"/>
      <c r="D9292" s="1348"/>
      <c r="E9292" s="1348"/>
      <c r="F9292" s="1348"/>
      <c r="G9292" s="1348"/>
      <c r="H9292" s="1348"/>
      <c r="I9292" s="1348"/>
      <c r="J9292" s="1348"/>
      <c r="K9292" s="1348"/>
    </row>
    <row r="9293" spans="2:11" hidden="1">
      <c r="B9293" s="1348"/>
      <c r="C9293" s="1348"/>
      <c r="D9293" s="1348"/>
      <c r="E9293" s="1348"/>
      <c r="F9293" s="1348"/>
      <c r="G9293" s="1348"/>
      <c r="H9293" s="1348"/>
      <c r="I9293" s="1348"/>
      <c r="J9293" s="1348"/>
      <c r="K9293" s="1348"/>
    </row>
    <row r="9294" spans="2:11" hidden="1">
      <c r="B9294" s="1348"/>
      <c r="C9294" s="1348"/>
      <c r="D9294" s="1348"/>
      <c r="E9294" s="1348"/>
      <c r="F9294" s="1348"/>
      <c r="G9294" s="1348"/>
      <c r="H9294" s="1348"/>
      <c r="I9294" s="1348"/>
      <c r="J9294" s="1348"/>
      <c r="K9294" s="1348"/>
    </row>
    <row r="9295" spans="2:11" hidden="1">
      <c r="B9295" s="1348"/>
      <c r="C9295" s="1348"/>
      <c r="D9295" s="1348"/>
      <c r="E9295" s="1348"/>
      <c r="F9295" s="1348"/>
      <c r="G9295" s="1348"/>
      <c r="H9295" s="1348"/>
      <c r="I9295" s="1348"/>
      <c r="J9295" s="1348"/>
      <c r="K9295" s="1348"/>
    </row>
    <row r="9296" spans="2:11" hidden="1">
      <c r="B9296" s="1348"/>
      <c r="C9296" s="1348"/>
      <c r="D9296" s="1348"/>
      <c r="E9296" s="1348"/>
      <c r="F9296" s="1348"/>
      <c r="G9296" s="1348"/>
      <c r="H9296" s="1348"/>
      <c r="I9296" s="1348"/>
      <c r="J9296" s="1348"/>
      <c r="K9296" s="1348"/>
    </row>
    <row r="9297" spans="2:11" hidden="1">
      <c r="B9297" s="1348"/>
      <c r="C9297" s="1348"/>
      <c r="D9297" s="1348"/>
      <c r="E9297" s="1348"/>
      <c r="F9297" s="1348"/>
      <c r="G9297" s="1348"/>
      <c r="H9297" s="1348"/>
      <c r="I9297" s="1348"/>
      <c r="J9297" s="1348"/>
      <c r="K9297" s="1348"/>
    </row>
    <row r="9298" spans="2:11" hidden="1">
      <c r="B9298" s="1348"/>
      <c r="C9298" s="1348"/>
      <c r="D9298" s="1348"/>
      <c r="E9298" s="1348"/>
      <c r="F9298" s="1348"/>
      <c r="G9298" s="1348"/>
      <c r="H9298" s="1348"/>
      <c r="I9298" s="1348"/>
      <c r="J9298" s="1348"/>
      <c r="K9298" s="1348"/>
    </row>
    <row r="9299" spans="2:11" hidden="1">
      <c r="B9299" s="1348"/>
      <c r="C9299" s="1348"/>
      <c r="D9299" s="1348"/>
      <c r="E9299" s="1348"/>
      <c r="F9299" s="1348"/>
      <c r="G9299" s="1348"/>
      <c r="H9299" s="1348"/>
      <c r="I9299" s="1348"/>
      <c r="J9299" s="1348"/>
      <c r="K9299" s="1348"/>
    </row>
    <row r="9300" spans="2:11" hidden="1">
      <c r="B9300" s="1348"/>
      <c r="C9300" s="1348"/>
      <c r="D9300" s="1348"/>
      <c r="E9300" s="1348"/>
      <c r="F9300" s="1348"/>
      <c r="G9300" s="1348"/>
      <c r="H9300" s="1348"/>
      <c r="I9300" s="1348"/>
      <c r="J9300" s="1348"/>
      <c r="K9300" s="1348"/>
    </row>
    <row r="9301" spans="2:11" hidden="1">
      <c r="B9301" s="1348"/>
      <c r="C9301" s="1348"/>
      <c r="D9301" s="1348"/>
      <c r="E9301" s="1348"/>
      <c r="F9301" s="1348"/>
      <c r="G9301" s="1348"/>
      <c r="H9301" s="1348"/>
      <c r="I9301" s="1348"/>
      <c r="J9301" s="1348"/>
      <c r="K9301" s="1348"/>
    </row>
    <row r="9302" spans="2:11" hidden="1">
      <c r="B9302" s="1348"/>
      <c r="C9302" s="1348"/>
      <c r="D9302" s="1348"/>
      <c r="E9302" s="1348"/>
      <c r="F9302" s="1348"/>
      <c r="G9302" s="1348"/>
      <c r="H9302" s="1348"/>
      <c r="I9302" s="1348"/>
      <c r="J9302" s="1348"/>
      <c r="K9302" s="1348"/>
    </row>
    <row r="9303" spans="2:11" hidden="1">
      <c r="B9303" s="1348"/>
      <c r="C9303" s="1348"/>
      <c r="D9303" s="1348"/>
      <c r="E9303" s="1348"/>
      <c r="F9303" s="1348"/>
      <c r="G9303" s="1348"/>
      <c r="H9303" s="1348"/>
      <c r="I9303" s="1348"/>
      <c r="J9303" s="1348"/>
      <c r="K9303" s="1348"/>
    </row>
    <row r="9304" spans="2:11" hidden="1">
      <c r="B9304" s="1348"/>
      <c r="C9304" s="1348"/>
      <c r="D9304" s="1348"/>
      <c r="E9304" s="1348"/>
      <c r="F9304" s="1348"/>
      <c r="G9304" s="1348"/>
      <c r="H9304" s="1348"/>
      <c r="I9304" s="1348"/>
      <c r="J9304" s="1348"/>
      <c r="K9304" s="1348"/>
    </row>
    <row r="9305" spans="2:11" hidden="1">
      <c r="B9305" s="1348"/>
      <c r="C9305" s="1348"/>
      <c r="D9305" s="1348"/>
      <c r="E9305" s="1348"/>
      <c r="F9305" s="1348"/>
      <c r="G9305" s="1348"/>
      <c r="H9305" s="1348"/>
      <c r="I9305" s="1348"/>
      <c r="J9305" s="1348"/>
      <c r="K9305" s="1348"/>
    </row>
    <row r="9306" spans="2:11" hidden="1">
      <c r="B9306" s="1348"/>
      <c r="C9306" s="1348"/>
      <c r="D9306" s="1348"/>
      <c r="E9306" s="1348"/>
      <c r="F9306" s="1348"/>
      <c r="G9306" s="1348"/>
      <c r="H9306" s="1348"/>
      <c r="I9306" s="1348"/>
      <c r="J9306" s="1348"/>
      <c r="K9306" s="1348"/>
    </row>
    <row r="9307" spans="2:11" hidden="1">
      <c r="B9307" s="1348"/>
      <c r="C9307" s="1348"/>
      <c r="D9307" s="1348"/>
      <c r="E9307" s="1348"/>
      <c r="F9307" s="1348"/>
      <c r="G9307" s="1348"/>
      <c r="H9307" s="1348"/>
      <c r="I9307" s="1348"/>
      <c r="J9307" s="1348"/>
      <c r="K9307" s="1348"/>
    </row>
    <row r="9308" spans="2:11" hidden="1">
      <c r="B9308" s="1348"/>
      <c r="C9308" s="1348"/>
      <c r="D9308" s="1348"/>
      <c r="E9308" s="1348"/>
      <c r="F9308" s="1348"/>
      <c r="G9308" s="1348"/>
      <c r="H9308" s="1348"/>
      <c r="I9308" s="1348"/>
      <c r="J9308" s="1348"/>
      <c r="K9308" s="1348"/>
    </row>
    <row r="9309" spans="2:11" hidden="1">
      <c r="B9309" s="1348"/>
      <c r="C9309" s="1348"/>
      <c r="D9309" s="1348"/>
      <c r="E9309" s="1348"/>
      <c r="F9309" s="1348"/>
      <c r="G9309" s="1348"/>
      <c r="H9309" s="1348"/>
      <c r="I9309" s="1348"/>
      <c r="J9309" s="1348"/>
      <c r="K9309" s="1348"/>
    </row>
    <row r="9310" spans="2:11" hidden="1">
      <c r="B9310" s="1348"/>
      <c r="C9310" s="1348"/>
      <c r="D9310" s="1348"/>
      <c r="E9310" s="1348"/>
      <c r="F9310" s="1348"/>
      <c r="G9310" s="1348"/>
      <c r="H9310" s="1348"/>
      <c r="I9310" s="1348"/>
      <c r="J9310" s="1348"/>
      <c r="K9310" s="1348"/>
    </row>
    <row r="9311" spans="2:11" hidden="1">
      <c r="B9311" s="1348"/>
      <c r="C9311" s="1348"/>
      <c r="D9311" s="1348"/>
      <c r="E9311" s="1348"/>
      <c r="F9311" s="1348"/>
      <c r="G9311" s="1348"/>
      <c r="H9311" s="1348"/>
      <c r="I9311" s="1348"/>
      <c r="J9311" s="1348"/>
      <c r="K9311" s="1348"/>
    </row>
    <row r="9312" spans="2:11" hidden="1">
      <c r="B9312" s="1348"/>
      <c r="C9312" s="1348"/>
      <c r="D9312" s="1348"/>
      <c r="E9312" s="1348"/>
      <c r="F9312" s="1348"/>
      <c r="G9312" s="1348"/>
      <c r="H9312" s="1348"/>
      <c r="I9312" s="1348"/>
      <c r="J9312" s="1348"/>
      <c r="K9312" s="1348"/>
    </row>
    <row r="9313" spans="2:11" hidden="1">
      <c r="B9313" s="1348"/>
      <c r="C9313" s="1348"/>
      <c r="D9313" s="1348"/>
      <c r="E9313" s="1348"/>
      <c r="F9313" s="1348"/>
      <c r="G9313" s="1348"/>
      <c r="H9313" s="1348"/>
      <c r="I9313" s="1348"/>
      <c r="J9313" s="1348"/>
      <c r="K9313" s="1348"/>
    </row>
    <row r="9314" spans="2:11" hidden="1">
      <c r="B9314" s="1348"/>
      <c r="C9314" s="1348"/>
      <c r="D9314" s="1348"/>
      <c r="E9314" s="1348"/>
      <c r="F9314" s="1348"/>
      <c r="G9314" s="1348"/>
      <c r="H9314" s="1348"/>
      <c r="I9314" s="1348"/>
      <c r="J9314" s="1348"/>
      <c r="K9314" s="1348"/>
    </row>
    <row r="9315" spans="2:11" hidden="1">
      <c r="B9315" s="1348"/>
      <c r="C9315" s="1348"/>
      <c r="D9315" s="1348"/>
      <c r="E9315" s="1348"/>
      <c r="F9315" s="1348"/>
      <c r="G9315" s="1348"/>
      <c r="H9315" s="1348"/>
      <c r="I9315" s="1348"/>
      <c r="J9315" s="1348"/>
      <c r="K9315" s="1348"/>
    </row>
    <row r="9316" spans="2:11" hidden="1">
      <c r="B9316" s="1348"/>
      <c r="C9316" s="1348"/>
      <c r="D9316" s="1348"/>
      <c r="E9316" s="1348"/>
      <c r="F9316" s="1348"/>
      <c r="G9316" s="1348"/>
      <c r="H9316" s="1348"/>
      <c r="I9316" s="1348"/>
      <c r="J9316" s="1348"/>
      <c r="K9316" s="1348"/>
    </row>
    <row r="9317" spans="2:11" hidden="1">
      <c r="B9317" s="1348"/>
      <c r="C9317" s="1348"/>
      <c r="D9317" s="1348"/>
      <c r="E9317" s="1348"/>
      <c r="F9317" s="1348"/>
      <c r="G9317" s="1348"/>
      <c r="H9317" s="1348"/>
      <c r="I9317" s="1348"/>
      <c r="J9317" s="1348"/>
      <c r="K9317" s="1348"/>
    </row>
    <row r="9318" spans="2:11" hidden="1">
      <c r="B9318" s="1348"/>
      <c r="C9318" s="1348"/>
      <c r="D9318" s="1348"/>
      <c r="E9318" s="1348"/>
      <c r="F9318" s="1348"/>
      <c r="G9318" s="1348"/>
      <c r="H9318" s="1348"/>
      <c r="I9318" s="1348"/>
      <c r="J9318" s="1348"/>
      <c r="K9318" s="1348"/>
    </row>
    <row r="9319" spans="2:11" hidden="1">
      <c r="B9319" s="1348"/>
      <c r="C9319" s="1348"/>
      <c r="D9319" s="1348"/>
      <c r="E9319" s="1348"/>
      <c r="F9319" s="1348"/>
      <c r="G9319" s="1348"/>
      <c r="H9319" s="1348"/>
      <c r="I9319" s="1348"/>
      <c r="J9319" s="1348"/>
      <c r="K9319" s="1348"/>
    </row>
    <row r="9320" spans="2:11" hidden="1">
      <c r="B9320" s="1348"/>
      <c r="C9320" s="1348"/>
      <c r="D9320" s="1348"/>
      <c r="E9320" s="1348"/>
      <c r="F9320" s="1348"/>
      <c r="G9320" s="1348"/>
      <c r="H9320" s="1348"/>
      <c r="I9320" s="1348"/>
      <c r="J9320" s="1348"/>
      <c r="K9320" s="1348"/>
    </row>
    <row r="9321" spans="2:11" hidden="1">
      <c r="B9321" s="1348"/>
      <c r="C9321" s="1348"/>
      <c r="D9321" s="1348"/>
      <c r="E9321" s="1348"/>
      <c r="F9321" s="1348"/>
      <c r="G9321" s="1348"/>
      <c r="H9321" s="1348"/>
      <c r="I9321" s="1348"/>
      <c r="J9321" s="1348"/>
      <c r="K9321" s="1348"/>
    </row>
    <row r="9322" spans="2:11" hidden="1">
      <c r="B9322" s="1348"/>
      <c r="C9322" s="1348"/>
      <c r="D9322" s="1348"/>
      <c r="E9322" s="1348"/>
      <c r="F9322" s="1348"/>
      <c r="G9322" s="1348"/>
      <c r="H9322" s="1348"/>
      <c r="I9322" s="1348"/>
      <c r="J9322" s="1348"/>
      <c r="K9322" s="1348"/>
    </row>
    <row r="9323" spans="2:11" hidden="1">
      <c r="B9323" s="1348"/>
      <c r="C9323" s="1348"/>
      <c r="D9323" s="1348"/>
      <c r="E9323" s="1348"/>
      <c r="F9323" s="1348"/>
      <c r="G9323" s="1348"/>
      <c r="H9323" s="1348"/>
      <c r="I9323" s="1348"/>
      <c r="J9323" s="1348"/>
      <c r="K9323" s="1348"/>
    </row>
    <row r="9324" spans="2:11" hidden="1">
      <c r="B9324" s="1348"/>
      <c r="C9324" s="1348"/>
      <c r="D9324" s="1348"/>
      <c r="E9324" s="1348"/>
      <c r="F9324" s="1348"/>
      <c r="G9324" s="1348"/>
      <c r="H9324" s="1348"/>
      <c r="I9324" s="1348"/>
      <c r="J9324" s="1348"/>
      <c r="K9324" s="1348"/>
    </row>
    <row r="9325" spans="2:11" hidden="1">
      <c r="B9325" s="1348"/>
      <c r="C9325" s="1348"/>
      <c r="D9325" s="1348"/>
      <c r="E9325" s="1348"/>
      <c r="F9325" s="1348"/>
      <c r="G9325" s="1348"/>
      <c r="H9325" s="1348"/>
      <c r="I9325" s="1348"/>
      <c r="J9325" s="1348"/>
      <c r="K9325" s="1348"/>
    </row>
    <row r="9326" spans="2:11" hidden="1">
      <c r="B9326" s="1348"/>
      <c r="C9326" s="1348"/>
      <c r="D9326" s="1348"/>
      <c r="E9326" s="1348"/>
      <c r="F9326" s="1348"/>
      <c r="G9326" s="1348"/>
      <c r="H9326" s="1348"/>
      <c r="I9326" s="1348"/>
      <c r="J9326" s="1348"/>
      <c r="K9326" s="1348"/>
    </row>
    <row r="9327" spans="2:11" hidden="1">
      <c r="B9327" s="1348"/>
      <c r="C9327" s="1348"/>
      <c r="D9327" s="1348"/>
      <c r="E9327" s="1348"/>
      <c r="F9327" s="1348"/>
      <c r="G9327" s="1348"/>
      <c r="H9327" s="1348"/>
      <c r="I9327" s="1348"/>
      <c r="J9327" s="1348"/>
      <c r="K9327" s="1348"/>
    </row>
    <row r="9328" spans="2:11" hidden="1">
      <c r="B9328" s="1348"/>
      <c r="C9328" s="1348"/>
      <c r="D9328" s="1348"/>
      <c r="E9328" s="1348"/>
      <c r="F9328" s="1348"/>
      <c r="G9328" s="1348"/>
      <c r="H9328" s="1348"/>
      <c r="I9328" s="1348"/>
      <c r="J9328" s="1348"/>
      <c r="K9328" s="1348"/>
    </row>
    <row r="9329" spans="2:11" hidden="1">
      <c r="B9329" s="1348"/>
      <c r="C9329" s="1348"/>
      <c r="D9329" s="1348"/>
      <c r="E9329" s="1348"/>
      <c r="F9329" s="1348"/>
      <c r="G9329" s="1348"/>
      <c r="H9329" s="1348"/>
      <c r="I9329" s="1348"/>
      <c r="J9329" s="1348"/>
      <c r="K9329" s="1348"/>
    </row>
    <row r="9330" spans="2:11" hidden="1">
      <c r="B9330" s="1348"/>
      <c r="C9330" s="1348"/>
      <c r="D9330" s="1348"/>
      <c r="E9330" s="1348"/>
      <c r="F9330" s="1348"/>
      <c r="G9330" s="1348"/>
      <c r="H9330" s="1348"/>
      <c r="I9330" s="1348"/>
      <c r="J9330" s="1348"/>
      <c r="K9330" s="1348"/>
    </row>
    <row r="9331" spans="2:11" hidden="1">
      <c r="B9331" s="1348"/>
      <c r="C9331" s="1348"/>
      <c r="D9331" s="1348"/>
      <c r="E9331" s="1348"/>
      <c r="F9331" s="1348"/>
      <c r="G9331" s="1348"/>
      <c r="H9331" s="1348"/>
      <c r="I9331" s="1348"/>
      <c r="J9331" s="1348"/>
      <c r="K9331" s="1348"/>
    </row>
    <row r="9332" spans="2:11" hidden="1">
      <c r="B9332" s="1348"/>
      <c r="C9332" s="1348"/>
      <c r="D9332" s="1348"/>
      <c r="E9332" s="1348"/>
      <c r="F9332" s="1348"/>
      <c r="G9332" s="1348"/>
      <c r="H9332" s="1348"/>
      <c r="I9332" s="1348"/>
      <c r="J9332" s="1348"/>
      <c r="K9332" s="1348"/>
    </row>
    <row r="9333" spans="2:11" hidden="1">
      <c r="B9333" s="1348"/>
      <c r="C9333" s="1348"/>
      <c r="D9333" s="1348"/>
      <c r="E9333" s="1348"/>
      <c r="F9333" s="1348"/>
      <c r="G9333" s="1348"/>
      <c r="H9333" s="1348"/>
      <c r="I9333" s="1348"/>
      <c r="J9333" s="1348"/>
      <c r="K9333" s="1348"/>
    </row>
    <row r="9334" spans="2:11" hidden="1">
      <c r="B9334" s="1348"/>
      <c r="C9334" s="1348"/>
      <c r="D9334" s="1348"/>
      <c r="E9334" s="1348"/>
      <c r="F9334" s="1348"/>
      <c r="G9334" s="1348"/>
      <c r="H9334" s="1348"/>
      <c r="I9334" s="1348"/>
      <c r="J9334" s="1348"/>
      <c r="K9334" s="1348"/>
    </row>
    <row r="9335" spans="2:11" hidden="1">
      <c r="B9335" s="1348"/>
      <c r="C9335" s="1348"/>
      <c r="D9335" s="1348"/>
      <c r="E9335" s="1348"/>
      <c r="F9335" s="1348"/>
      <c r="G9335" s="1348"/>
      <c r="H9335" s="1348"/>
      <c r="I9335" s="1348"/>
      <c r="J9335" s="1348"/>
      <c r="K9335" s="1348"/>
    </row>
    <row r="9336" spans="2:11" hidden="1">
      <c r="B9336" s="1348"/>
      <c r="C9336" s="1348"/>
      <c r="D9336" s="1348"/>
      <c r="E9336" s="1348"/>
      <c r="F9336" s="1348"/>
      <c r="G9336" s="1348"/>
      <c r="H9336" s="1348"/>
      <c r="I9336" s="1348"/>
      <c r="J9336" s="1348"/>
      <c r="K9336" s="1348"/>
    </row>
    <row r="9337" spans="2:11" hidden="1">
      <c r="B9337" s="1348"/>
      <c r="C9337" s="1348"/>
      <c r="D9337" s="1348"/>
      <c r="E9337" s="1348"/>
      <c r="F9337" s="1348"/>
      <c r="G9337" s="1348"/>
      <c r="H9337" s="1348"/>
      <c r="I9337" s="1348"/>
      <c r="J9337" s="1348"/>
      <c r="K9337" s="1348"/>
    </row>
    <row r="9338" spans="2:11" hidden="1">
      <c r="B9338" s="1348"/>
      <c r="C9338" s="1348"/>
      <c r="D9338" s="1348"/>
      <c r="E9338" s="1348"/>
      <c r="F9338" s="1348"/>
      <c r="G9338" s="1348"/>
      <c r="H9338" s="1348"/>
      <c r="I9338" s="1348"/>
      <c r="J9338" s="1348"/>
      <c r="K9338" s="1348"/>
    </row>
    <row r="9339" spans="2:11" hidden="1">
      <c r="B9339" s="1348"/>
      <c r="C9339" s="1348"/>
      <c r="D9339" s="1348"/>
      <c r="E9339" s="1348"/>
      <c r="F9339" s="1348"/>
      <c r="G9339" s="1348"/>
      <c r="H9339" s="1348"/>
      <c r="I9339" s="1348"/>
      <c r="J9339" s="1348"/>
      <c r="K9339" s="1348"/>
    </row>
    <row r="9340" spans="2:11" hidden="1">
      <c r="B9340" s="1348"/>
      <c r="C9340" s="1348"/>
      <c r="D9340" s="1348"/>
      <c r="E9340" s="1348"/>
      <c r="F9340" s="1348"/>
      <c r="G9340" s="1348"/>
      <c r="H9340" s="1348"/>
      <c r="I9340" s="1348"/>
      <c r="J9340" s="1348"/>
      <c r="K9340" s="1348"/>
    </row>
    <row r="9341" spans="2:11" hidden="1">
      <c r="B9341" s="1348"/>
      <c r="C9341" s="1348"/>
      <c r="D9341" s="1348"/>
      <c r="E9341" s="1348"/>
      <c r="F9341" s="1348"/>
      <c r="G9341" s="1348"/>
      <c r="H9341" s="1348"/>
      <c r="I9341" s="1348"/>
      <c r="J9341" s="1348"/>
      <c r="K9341" s="1348"/>
    </row>
    <row r="9342" spans="2:11" hidden="1">
      <c r="B9342" s="1348"/>
      <c r="C9342" s="1348"/>
      <c r="D9342" s="1348"/>
      <c r="E9342" s="1348"/>
      <c r="F9342" s="1348"/>
      <c r="G9342" s="1348"/>
      <c r="H9342" s="1348"/>
      <c r="I9342" s="1348"/>
      <c r="J9342" s="1348"/>
      <c r="K9342" s="1348"/>
    </row>
    <row r="9343" spans="2:11" hidden="1">
      <c r="B9343" s="1348"/>
      <c r="C9343" s="1348"/>
      <c r="D9343" s="1348"/>
      <c r="E9343" s="1348"/>
      <c r="F9343" s="1348"/>
      <c r="G9343" s="1348"/>
      <c r="H9343" s="1348"/>
      <c r="I9343" s="1348"/>
      <c r="J9343" s="1348"/>
      <c r="K9343" s="1348"/>
    </row>
    <row r="9344" spans="2:11" hidden="1">
      <c r="B9344" s="1348"/>
      <c r="C9344" s="1348"/>
      <c r="D9344" s="1348"/>
      <c r="E9344" s="1348"/>
      <c r="F9344" s="1348"/>
      <c r="G9344" s="1348"/>
      <c r="H9344" s="1348"/>
      <c r="I9344" s="1348"/>
      <c r="J9344" s="1348"/>
      <c r="K9344" s="1348"/>
    </row>
    <row r="9345" spans="2:11" hidden="1">
      <c r="B9345" s="1348"/>
      <c r="C9345" s="1348"/>
      <c r="D9345" s="1348"/>
      <c r="E9345" s="1348"/>
      <c r="F9345" s="1348"/>
      <c r="G9345" s="1348"/>
      <c r="H9345" s="1348"/>
      <c r="I9345" s="1348"/>
      <c r="J9345" s="1348"/>
      <c r="K9345" s="1348"/>
    </row>
    <row r="9346" spans="2:11" hidden="1">
      <c r="B9346" s="1348"/>
      <c r="C9346" s="1348"/>
      <c r="D9346" s="1348"/>
      <c r="E9346" s="1348"/>
      <c r="F9346" s="1348"/>
      <c r="G9346" s="1348"/>
      <c r="H9346" s="1348"/>
      <c r="I9346" s="1348"/>
      <c r="J9346" s="1348"/>
      <c r="K9346" s="1348"/>
    </row>
    <row r="9347" spans="2:11" hidden="1">
      <c r="B9347" s="1348"/>
      <c r="C9347" s="1348"/>
      <c r="D9347" s="1348"/>
      <c r="E9347" s="1348"/>
      <c r="F9347" s="1348"/>
      <c r="G9347" s="1348"/>
      <c r="H9347" s="1348"/>
      <c r="I9347" s="1348"/>
      <c r="J9347" s="1348"/>
      <c r="K9347" s="1348"/>
    </row>
    <row r="9348" spans="2:11" hidden="1">
      <c r="B9348" s="1348"/>
      <c r="C9348" s="1348"/>
      <c r="D9348" s="1348"/>
      <c r="E9348" s="1348"/>
      <c r="F9348" s="1348"/>
      <c r="G9348" s="1348"/>
      <c r="H9348" s="1348"/>
      <c r="I9348" s="1348"/>
      <c r="J9348" s="1348"/>
      <c r="K9348" s="1348"/>
    </row>
    <row r="9349" spans="2:11" hidden="1">
      <c r="B9349" s="1348"/>
      <c r="C9349" s="1348"/>
      <c r="D9349" s="1348"/>
      <c r="E9349" s="1348"/>
      <c r="F9349" s="1348"/>
      <c r="G9349" s="1348"/>
      <c r="H9349" s="1348"/>
      <c r="I9349" s="1348"/>
      <c r="J9349" s="1348"/>
      <c r="K9349" s="1348"/>
    </row>
    <row r="9350" spans="2:11" hidden="1">
      <c r="B9350" s="1348"/>
      <c r="C9350" s="1348"/>
      <c r="D9350" s="1348"/>
      <c r="E9350" s="1348"/>
      <c r="F9350" s="1348"/>
      <c r="G9350" s="1348"/>
      <c r="H9350" s="1348"/>
      <c r="I9350" s="1348"/>
      <c r="J9350" s="1348"/>
      <c r="K9350" s="1348"/>
    </row>
    <row r="9351" spans="2:11" hidden="1">
      <c r="B9351" s="1348"/>
      <c r="C9351" s="1348"/>
      <c r="D9351" s="1348"/>
      <c r="E9351" s="1348"/>
      <c r="F9351" s="1348"/>
      <c r="G9351" s="1348"/>
      <c r="H9351" s="1348"/>
      <c r="I9351" s="1348"/>
      <c r="J9351" s="1348"/>
      <c r="K9351" s="1348"/>
    </row>
    <row r="9352" spans="2:11" hidden="1">
      <c r="B9352" s="1348"/>
      <c r="C9352" s="1348"/>
      <c r="D9352" s="1348"/>
      <c r="E9352" s="1348"/>
      <c r="F9352" s="1348"/>
      <c r="G9352" s="1348"/>
      <c r="H9352" s="1348"/>
      <c r="I9352" s="1348"/>
      <c r="J9352" s="1348"/>
      <c r="K9352" s="1348"/>
    </row>
    <row r="9353" spans="2:11" hidden="1">
      <c r="B9353" s="1348"/>
      <c r="C9353" s="1348"/>
      <c r="D9353" s="1348"/>
      <c r="E9353" s="1348"/>
      <c r="F9353" s="1348"/>
      <c r="G9353" s="1348"/>
      <c r="H9353" s="1348"/>
      <c r="I9353" s="1348"/>
      <c r="J9353" s="1348"/>
      <c r="K9353" s="1348"/>
    </row>
    <row r="9354" spans="2:11" hidden="1">
      <c r="B9354" s="1348"/>
      <c r="C9354" s="1348"/>
      <c r="D9354" s="1348"/>
      <c r="E9354" s="1348"/>
      <c r="F9354" s="1348"/>
      <c r="G9354" s="1348"/>
      <c r="H9354" s="1348"/>
      <c r="I9354" s="1348"/>
      <c r="J9354" s="1348"/>
      <c r="K9354" s="1348"/>
    </row>
    <row r="9355" spans="2:11" hidden="1">
      <c r="B9355" s="1348"/>
      <c r="C9355" s="1348"/>
      <c r="D9355" s="1348"/>
      <c r="E9355" s="1348"/>
      <c r="F9355" s="1348"/>
      <c r="G9355" s="1348"/>
      <c r="H9355" s="1348"/>
      <c r="I9355" s="1348"/>
      <c r="J9355" s="1348"/>
      <c r="K9355" s="1348"/>
    </row>
    <row r="9356" spans="2:11" hidden="1">
      <c r="B9356" s="1348"/>
      <c r="C9356" s="1348"/>
      <c r="D9356" s="1348"/>
      <c r="E9356" s="1348"/>
      <c r="F9356" s="1348"/>
      <c r="G9356" s="1348"/>
      <c r="H9356" s="1348"/>
      <c r="I9356" s="1348"/>
      <c r="J9356" s="1348"/>
      <c r="K9356" s="1348"/>
    </row>
    <row r="9357" spans="2:11" hidden="1">
      <c r="B9357" s="1348"/>
      <c r="C9357" s="1348"/>
      <c r="D9357" s="1348"/>
      <c r="E9357" s="1348"/>
      <c r="F9357" s="1348"/>
      <c r="G9357" s="1348"/>
      <c r="H9357" s="1348"/>
      <c r="I9357" s="1348"/>
      <c r="J9357" s="1348"/>
      <c r="K9357" s="1348"/>
    </row>
    <row r="9358" spans="2:11" hidden="1">
      <c r="B9358" s="1348"/>
      <c r="C9358" s="1348"/>
      <c r="D9358" s="1348"/>
      <c r="E9358" s="1348"/>
      <c r="F9358" s="1348"/>
      <c r="G9358" s="1348"/>
      <c r="H9358" s="1348"/>
      <c r="I9358" s="1348"/>
      <c r="J9358" s="1348"/>
      <c r="K9358" s="1348"/>
    </row>
    <row r="9359" spans="2:11" hidden="1">
      <c r="B9359" s="1348"/>
      <c r="C9359" s="1348"/>
      <c r="D9359" s="1348"/>
      <c r="E9359" s="1348"/>
      <c r="F9359" s="1348"/>
      <c r="G9359" s="1348"/>
      <c r="H9359" s="1348"/>
      <c r="I9359" s="1348"/>
      <c r="J9359" s="1348"/>
      <c r="K9359" s="1348"/>
    </row>
    <row r="9360" spans="2:11" hidden="1">
      <c r="B9360" s="1348"/>
      <c r="C9360" s="1348"/>
      <c r="D9360" s="1348"/>
      <c r="E9360" s="1348"/>
      <c r="F9360" s="1348"/>
      <c r="G9360" s="1348"/>
      <c r="H9360" s="1348"/>
      <c r="I9360" s="1348"/>
      <c r="J9360" s="1348"/>
      <c r="K9360" s="1348"/>
    </row>
    <row r="9361" spans="2:11" hidden="1">
      <c r="B9361" s="1348"/>
      <c r="C9361" s="1348"/>
      <c r="D9361" s="1348"/>
      <c r="E9361" s="1348"/>
      <c r="F9361" s="1348"/>
      <c r="G9361" s="1348"/>
      <c r="H9361" s="1348"/>
      <c r="I9361" s="1348"/>
      <c r="J9361" s="1348"/>
      <c r="K9361" s="1348"/>
    </row>
    <row r="9362" spans="2:11" hidden="1">
      <c r="B9362" s="1348"/>
      <c r="C9362" s="1348"/>
      <c r="D9362" s="1348"/>
      <c r="E9362" s="1348"/>
      <c r="F9362" s="1348"/>
      <c r="G9362" s="1348"/>
      <c r="H9362" s="1348"/>
      <c r="I9362" s="1348"/>
      <c r="J9362" s="1348"/>
      <c r="K9362" s="1348"/>
    </row>
    <row r="9363" spans="2:11" hidden="1">
      <c r="B9363" s="1348"/>
      <c r="C9363" s="1348"/>
      <c r="D9363" s="1348"/>
      <c r="E9363" s="1348"/>
      <c r="F9363" s="1348"/>
      <c r="G9363" s="1348"/>
      <c r="H9363" s="1348"/>
      <c r="I9363" s="1348"/>
      <c r="J9363" s="1348"/>
      <c r="K9363" s="1348"/>
    </row>
    <row r="9364" spans="2:11" hidden="1">
      <c r="B9364" s="1348"/>
      <c r="C9364" s="1348"/>
      <c r="D9364" s="1348"/>
      <c r="E9364" s="1348"/>
      <c r="F9364" s="1348"/>
      <c r="G9364" s="1348"/>
      <c r="H9364" s="1348"/>
      <c r="I9364" s="1348"/>
      <c r="J9364" s="1348"/>
      <c r="K9364" s="1348"/>
    </row>
    <row r="9365" spans="2:11" hidden="1">
      <c r="B9365" s="1348"/>
      <c r="C9365" s="1348"/>
      <c r="D9365" s="1348"/>
      <c r="E9365" s="1348"/>
      <c r="F9365" s="1348"/>
      <c r="G9365" s="1348"/>
      <c r="H9365" s="1348"/>
      <c r="I9365" s="1348"/>
      <c r="J9365" s="1348"/>
      <c r="K9365" s="1348"/>
    </row>
    <row r="9366" spans="2:11" hidden="1">
      <c r="B9366" s="1348"/>
      <c r="C9366" s="1348"/>
      <c r="D9366" s="1348"/>
      <c r="E9366" s="1348"/>
      <c r="F9366" s="1348"/>
      <c r="G9366" s="1348"/>
      <c r="H9366" s="1348"/>
      <c r="I9366" s="1348"/>
      <c r="J9366" s="1348"/>
      <c r="K9366" s="1348"/>
    </row>
    <row r="9367" spans="2:11" hidden="1">
      <c r="B9367" s="1348"/>
      <c r="C9367" s="1348"/>
      <c r="D9367" s="1348"/>
      <c r="E9367" s="1348"/>
      <c r="F9367" s="1348"/>
      <c r="G9367" s="1348"/>
      <c r="H9367" s="1348"/>
      <c r="I9367" s="1348"/>
      <c r="J9367" s="1348"/>
      <c r="K9367" s="1348"/>
    </row>
    <row r="9368" spans="2:11" hidden="1">
      <c r="B9368" s="1348"/>
      <c r="C9368" s="1348"/>
      <c r="D9368" s="1348"/>
      <c r="E9368" s="1348"/>
      <c r="F9368" s="1348"/>
      <c r="G9368" s="1348"/>
      <c r="H9368" s="1348"/>
      <c r="I9368" s="1348"/>
      <c r="J9368" s="1348"/>
      <c r="K9368" s="1348"/>
    </row>
    <row r="9369" spans="2:11" hidden="1">
      <c r="B9369" s="1348"/>
      <c r="C9369" s="1348"/>
      <c r="D9369" s="1348"/>
      <c r="E9369" s="1348"/>
      <c r="F9369" s="1348"/>
      <c r="G9369" s="1348"/>
      <c r="H9369" s="1348"/>
      <c r="I9369" s="1348"/>
      <c r="J9369" s="1348"/>
      <c r="K9369" s="1348"/>
    </row>
    <row r="9370" spans="2:11" hidden="1">
      <c r="B9370" s="1348"/>
      <c r="C9370" s="1348"/>
      <c r="D9370" s="1348"/>
      <c r="E9370" s="1348"/>
      <c r="F9370" s="1348"/>
      <c r="G9370" s="1348"/>
      <c r="H9370" s="1348"/>
      <c r="I9370" s="1348"/>
      <c r="J9370" s="1348"/>
      <c r="K9370" s="1348"/>
    </row>
    <row r="9371" spans="2:11" hidden="1">
      <c r="B9371" s="1348"/>
      <c r="C9371" s="1348"/>
      <c r="D9371" s="1348"/>
      <c r="E9371" s="1348"/>
      <c r="F9371" s="1348"/>
      <c r="G9371" s="1348"/>
      <c r="H9371" s="1348"/>
      <c r="I9371" s="1348"/>
      <c r="J9371" s="1348"/>
      <c r="K9371" s="1348"/>
    </row>
    <row r="9372" spans="2:11" hidden="1">
      <c r="B9372" s="1348"/>
      <c r="C9372" s="1348"/>
      <c r="D9372" s="1348"/>
      <c r="E9372" s="1348"/>
      <c r="F9372" s="1348"/>
      <c r="G9372" s="1348"/>
      <c r="H9372" s="1348"/>
      <c r="I9372" s="1348"/>
      <c r="J9372" s="1348"/>
      <c r="K9372" s="1348"/>
    </row>
    <row r="9373" spans="2:11" hidden="1">
      <c r="B9373" s="1348"/>
      <c r="C9373" s="1348"/>
      <c r="D9373" s="1348"/>
      <c r="E9373" s="1348"/>
      <c r="F9373" s="1348"/>
      <c r="G9373" s="1348"/>
      <c r="H9373" s="1348"/>
      <c r="I9373" s="1348"/>
      <c r="J9373" s="1348"/>
      <c r="K9373" s="1348"/>
    </row>
    <row r="9374" spans="2:11" hidden="1">
      <c r="B9374" s="1348"/>
      <c r="C9374" s="1348"/>
      <c r="D9374" s="1348"/>
      <c r="E9374" s="1348"/>
      <c r="F9374" s="1348"/>
      <c r="G9374" s="1348"/>
      <c r="H9374" s="1348"/>
      <c r="I9374" s="1348"/>
      <c r="J9374" s="1348"/>
      <c r="K9374" s="1348"/>
    </row>
    <row r="9375" spans="2:11" hidden="1">
      <c r="B9375" s="1348"/>
      <c r="C9375" s="1348"/>
      <c r="D9375" s="1348"/>
      <c r="E9375" s="1348"/>
      <c r="F9375" s="1348"/>
      <c r="G9375" s="1348"/>
      <c r="H9375" s="1348"/>
      <c r="I9375" s="1348"/>
      <c r="J9375" s="1348"/>
      <c r="K9375" s="1348"/>
    </row>
    <row r="9376" spans="2:11" hidden="1">
      <c r="B9376" s="1348"/>
      <c r="C9376" s="1348"/>
      <c r="D9376" s="1348"/>
      <c r="E9376" s="1348"/>
      <c r="F9376" s="1348"/>
      <c r="G9376" s="1348"/>
      <c r="H9376" s="1348"/>
      <c r="I9376" s="1348"/>
      <c r="J9376" s="1348"/>
      <c r="K9376" s="1348"/>
    </row>
    <row r="9377" spans="2:11" hidden="1">
      <c r="B9377" s="1348"/>
      <c r="C9377" s="1348"/>
      <c r="D9377" s="1348"/>
      <c r="E9377" s="1348"/>
      <c r="F9377" s="1348"/>
      <c r="G9377" s="1348"/>
      <c r="H9377" s="1348"/>
      <c r="I9377" s="1348"/>
      <c r="J9377" s="1348"/>
      <c r="K9377" s="1348"/>
    </row>
    <row r="9378" spans="2:11" hidden="1">
      <c r="B9378" s="1348"/>
      <c r="C9378" s="1348"/>
      <c r="D9378" s="1348"/>
      <c r="E9378" s="1348"/>
      <c r="F9378" s="1348"/>
      <c r="G9378" s="1348"/>
      <c r="H9378" s="1348"/>
      <c r="I9378" s="1348"/>
      <c r="J9378" s="1348"/>
      <c r="K9378" s="1348"/>
    </row>
    <row r="9379" spans="2:11" hidden="1">
      <c r="B9379" s="1348"/>
      <c r="C9379" s="1348"/>
      <c r="D9379" s="1348"/>
      <c r="E9379" s="1348"/>
      <c r="F9379" s="1348"/>
      <c r="G9379" s="1348"/>
      <c r="H9379" s="1348"/>
      <c r="I9379" s="1348"/>
      <c r="J9379" s="1348"/>
      <c r="K9379" s="1348"/>
    </row>
    <row r="9380" spans="2:11" hidden="1">
      <c r="B9380" s="1348"/>
      <c r="C9380" s="1348"/>
      <c r="D9380" s="1348"/>
      <c r="E9380" s="1348"/>
      <c r="F9380" s="1348"/>
      <c r="G9380" s="1348"/>
      <c r="H9380" s="1348"/>
      <c r="I9380" s="1348"/>
      <c r="J9380" s="1348"/>
      <c r="K9380" s="1348"/>
    </row>
    <row r="9381" spans="2:11" hidden="1">
      <c r="B9381" s="1348"/>
      <c r="C9381" s="1348"/>
      <c r="D9381" s="1348"/>
      <c r="E9381" s="1348"/>
      <c r="F9381" s="1348"/>
      <c r="G9381" s="1348"/>
      <c r="H9381" s="1348"/>
      <c r="I9381" s="1348"/>
      <c r="J9381" s="1348"/>
      <c r="K9381" s="1348"/>
    </row>
    <row r="9382" spans="2:11" hidden="1">
      <c r="B9382" s="1348"/>
      <c r="C9382" s="1348"/>
      <c r="D9382" s="1348"/>
      <c r="E9382" s="1348"/>
      <c r="F9382" s="1348"/>
      <c r="G9382" s="1348"/>
      <c r="H9382" s="1348"/>
      <c r="I9382" s="1348"/>
      <c r="J9382" s="1348"/>
      <c r="K9382" s="1348"/>
    </row>
    <row r="9383" spans="2:11" hidden="1">
      <c r="B9383" s="1348"/>
      <c r="C9383" s="1348"/>
      <c r="D9383" s="1348"/>
      <c r="E9383" s="1348"/>
      <c r="F9383" s="1348"/>
      <c r="G9383" s="1348"/>
      <c r="H9383" s="1348"/>
      <c r="I9383" s="1348"/>
      <c r="J9383" s="1348"/>
      <c r="K9383" s="1348"/>
    </row>
    <row r="9384" spans="2:11" hidden="1">
      <c r="B9384" s="1348"/>
      <c r="C9384" s="1348"/>
      <c r="D9384" s="1348"/>
      <c r="E9384" s="1348"/>
      <c r="F9384" s="1348"/>
      <c r="G9384" s="1348"/>
      <c r="H9384" s="1348"/>
      <c r="I9384" s="1348"/>
      <c r="J9384" s="1348"/>
      <c r="K9384" s="1348"/>
    </row>
    <row r="9385" spans="2:11" hidden="1">
      <c r="B9385" s="1348"/>
      <c r="C9385" s="1348"/>
      <c r="D9385" s="1348"/>
      <c r="E9385" s="1348"/>
      <c r="F9385" s="1348"/>
      <c r="G9385" s="1348"/>
      <c r="H9385" s="1348"/>
      <c r="I9385" s="1348"/>
      <c r="J9385" s="1348"/>
      <c r="K9385" s="1348"/>
    </row>
    <row r="9386" spans="2:11" hidden="1">
      <c r="B9386" s="1348"/>
      <c r="C9386" s="1348"/>
      <c r="D9386" s="1348"/>
      <c r="E9386" s="1348"/>
      <c r="F9386" s="1348"/>
      <c r="G9386" s="1348"/>
      <c r="H9386" s="1348"/>
      <c r="I9386" s="1348"/>
      <c r="J9386" s="1348"/>
      <c r="K9386" s="1348"/>
    </row>
    <row r="9387" spans="2:11" hidden="1">
      <c r="B9387" s="1348"/>
      <c r="C9387" s="1348"/>
      <c r="D9387" s="1348"/>
      <c r="E9387" s="1348"/>
      <c r="F9387" s="1348"/>
      <c r="G9387" s="1348"/>
      <c r="H9387" s="1348"/>
      <c r="I9387" s="1348"/>
      <c r="J9387" s="1348"/>
      <c r="K9387" s="1348"/>
    </row>
    <row r="9388" spans="2:11" hidden="1">
      <c r="B9388" s="1348"/>
      <c r="C9388" s="1348"/>
      <c r="D9388" s="1348"/>
      <c r="E9388" s="1348"/>
      <c r="F9388" s="1348"/>
      <c r="G9388" s="1348"/>
      <c r="H9388" s="1348"/>
      <c r="I9388" s="1348"/>
      <c r="J9388" s="1348"/>
      <c r="K9388" s="1348"/>
    </row>
    <row r="9389" spans="2:11" hidden="1">
      <c r="B9389" s="1348"/>
      <c r="C9389" s="1348"/>
      <c r="D9389" s="1348"/>
      <c r="E9389" s="1348"/>
      <c r="F9389" s="1348"/>
      <c r="G9389" s="1348"/>
      <c r="H9389" s="1348"/>
      <c r="I9389" s="1348"/>
      <c r="J9389" s="1348"/>
      <c r="K9389" s="1348"/>
    </row>
    <row r="9390" spans="2:11" hidden="1">
      <c r="B9390" s="1348"/>
      <c r="C9390" s="1348"/>
      <c r="D9390" s="1348"/>
      <c r="E9390" s="1348"/>
      <c r="F9390" s="1348"/>
      <c r="G9390" s="1348"/>
      <c r="H9390" s="1348"/>
      <c r="I9390" s="1348"/>
      <c r="J9390" s="1348"/>
      <c r="K9390" s="1348"/>
    </row>
    <row r="9391" spans="2:11" hidden="1">
      <c r="B9391" s="1348"/>
      <c r="C9391" s="1348"/>
      <c r="D9391" s="1348"/>
      <c r="E9391" s="1348"/>
      <c r="F9391" s="1348"/>
      <c r="G9391" s="1348"/>
      <c r="H9391" s="1348"/>
      <c r="I9391" s="1348"/>
      <c r="J9391" s="1348"/>
      <c r="K9391" s="1348"/>
    </row>
    <row r="9392" spans="2:11" hidden="1">
      <c r="B9392" s="1348"/>
      <c r="C9392" s="1348"/>
      <c r="D9392" s="1348"/>
      <c r="E9392" s="1348"/>
      <c r="F9392" s="1348"/>
      <c r="G9392" s="1348"/>
      <c r="H9392" s="1348"/>
      <c r="I9392" s="1348"/>
      <c r="J9392" s="1348"/>
      <c r="K9392" s="1348"/>
    </row>
    <row r="9393" spans="2:11" hidden="1">
      <c r="B9393" s="1348"/>
      <c r="C9393" s="1348"/>
      <c r="D9393" s="1348"/>
      <c r="E9393" s="1348"/>
      <c r="F9393" s="1348"/>
      <c r="G9393" s="1348"/>
      <c r="H9393" s="1348"/>
      <c r="I9393" s="1348"/>
      <c r="J9393" s="1348"/>
      <c r="K9393" s="1348"/>
    </row>
    <row r="9394" spans="2:11" hidden="1">
      <c r="B9394" s="1348"/>
      <c r="C9394" s="1348"/>
      <c r="D9394" s="1348"/>
      <c r="E9394" s="1348"/>
      <c r="F9394" s="1348"/>
      <c r="G9394" s="1348"/>
      <c r="H9394" s="1348"/>
      <c r="I9394" s="1348"/>
      <c r="J9394" s="1348"/>
      <c r="K9394" s="1348"/>
    </row>
    <row r="9395" spans="2:11" hidden="1">
      <c r="B9395" s="1348"/>
      <c r="C9395" s="1348"/>
      <c r="D9395" s="1348"/>
      <c r="E9395" s="1348"/>
      <c r="F9395" s="1348"/>
      <c r="G9395" s="1348"/>
      <c r="H9395" s="1348"/>
      <c r="I9395" s="1348"/>
      <c r="J9395" s="1348"/>
      <c r="K9395" s="1348"/>
    </row>
    <row r="9396" spans="2:11" hidden="1">
      <c r="B9396" s="1348"/>
      <c r="C9396" s="1348"/>
      <c r="D9396" s="1348"/>
      <c r="E9396" s="1348"/>
      <c r="F9396" s="1348"/>
      <c r="G9396" s="1348"/>
      <c r="H9396" s="1348"/>
      <c r="I9396" s="1348"/>
      <c r="J9396" s="1348"/>
      <c r="K9396" s="1348"/>
    </row>
    <row r="9397" spans="2:11" hidden="1">
      <c r="B9397" s="1348"/>
      <c r="C9397" s="1348"/>
      <c r="D9397" s="1348"/>
      <c r="E9397" s="1348"/>
      <c r="F9397" s="1348"/>
      <c r="G9397" s="1348"/>
      <c r="H9397" s="1348"/>
      <c r="I9397" s="1348"/>
      <c r="J9397" s="1348"/>
      <c r="K9397" s="1348"/>
    </row>
    <row r="9398" spans="2:11" hidden="1">
      <c r="B9398" s="1348"/>
      <c r="C9398" s="1348"/>
      <c r="D9398" s="1348"/>
      <c r="E9398" s="1348"/>
      <c r="F9398" s="1348"/>
      <c r="G9398" s="1348"/>
      <c r="H9398" s="1348"/>
      <c r="I9398" s="1348"/>
      <c r="J9398" s="1348"/>
      <c r="K9398" s="1348"/>
    </row>
    <row r="9399" spans="2:11" hidden="1">
      <c r="B9399" s="1348"/>
      <c r="C9399" s="1348"/>
      <c r="D9399" s="1348"/>
      <c r="E9399" s="1348"/>
      <c r="F9399" s="1348"/>
      <c r="G9399" s="1348"/>
      <c r="H9399" s="1348"/>
      <c r="I9399" s="1348"/>
      <c r="J9399" s="1348"/>
      <c r="K9399" s="1348"/>
    </row>
    <row r="9400" spans="2:11" hidden="1">
      <c r="B9400" s="1348"/>
      <c r="C9400" s="1348"/>
      <c r="D9400" s="1348"/>
      <c r="E9400" s="1348"/>
      <c r="F9400" s="1348"/>
      <c r="G9400" s="1348"/>
      <c r="H9400" s="1348"/>
      <c r="I9400" s="1348"/>
      <c r="J9400" s="1348"/>
      <c r="K9400" s="1348"/>
    </row>
    <row r="9401" spans="2:11" hidden="1">
      <c r="B9401" s="1348"/>
      <c r="C9401" s="1348"/>
      <c r="D9401" s="1348"/>
      <c r="E9401" s="1348"/>
      <c r="F9401" s="1348"/>
      <c r="G9401" s="1348"/>
      <c r="H9401" s="1348"/>
      <c r="I9401" s="1348"/>
      <c r="J9401" s="1348"/>
      <c r="K9401" s="1348"/>
    </row>
    <row r="9402" spans="2:11" hidden="1">
      <c r="B9402" s="1348"/>
      <c r="C9402" s="1348"/>
      <c r="D9402" s="1348"/>
      <c r="E9402" s="1348"/>
      <c r="F9402" s="1348"/>
      <c r="G9402" s="1348"/>
      <c r="H9402" s="1348"/>
      <c r="I9402" s="1348"/>
      <c r="J9402" s="1348"/>
      <c r="K9402" s="1348"/>
    </row>
    <row r="9403" spans="2:11" hidden="1">
      <c r="B9403" s="1348"/>
      <c r="C9403" s="1348"/>
      <c r="D9403" s="1348"/>
      <c r="E9403" s="1348"/>
      <c r="F9403" s="1348"/>
      <c r="G9403" s="1348"/>
      <c r="H9403" s="1348"/>
      <c r="I9403" s="1348"/>
      <c r="J9403" s="1348"/>
      <c r="K9403" s="1348"/>
    </row>
    <row r="9404" spans="2:11" hidden="1">
      <c r="B9404" s="1348"/>
      <c r="C9404" s="1348"/>
      <c r="D9404" s="1348"/>
      <c r="E9404" s="1348"/>
      <c r="F9404" s="1348"/>
      <c r="G9404" s="1348"/>
      <c r="H9404" s="1348"/>
      <c r="I9404" s="1348"/>
      <c r="J9404" s="1348"/>
      <c r="K9404" s="1348"/>
    </row>
    <row r="9405" spans="2:11" hidden="1">
      <c r="B9405" s="1348"/>
      <c r="C9405" s="1348"/>
      <c r="D9405" s="1348"/>
      <c r="E9405" s="1348"/>
      <c r="F9405" s="1348"/>
      <c r="G9405" s="1348"/>
      <c r="H9405" s="1348"/>
      <c r="I9405" s="1348"/>
      <c r="J9405" s="1348"/>
      <c r="K9405" s="1348"/>
    </row>
    <row r="9406" spans="2:11" hidden="1">
      <c r="B9406" s="1348"/>
      <c r="C9406" s="1348"/>
      <c r="D9406" s="1348"/>
      <c r="E9406" s="1348"/>
      <c r="F9406" s="1348"/>
      <c r="G9406" s="1348"/>
      <c r="H9406" s="1348"/>
      <c r="I9406" s="1348"/>
      <c r="J9406" s="1348"/>
      <c r="K9406" s="1348"/>
    </row>
    <row r="9407" spans="2:11" hidden="1">
      <c r="B9407" s="1348"/>
      <c r="C9407" s="1348"/>
      <c r="D9407" s="1348"/>
      <c r="E9407" s="1348"/>
      <c r="F9407" s="1348"/>
      <c r="G9407" s="1348"/>
      <c r="H9407" s="1348"/>
      <c r="I9407" s="1348"/>
      <c r="J9407" s="1348"/>
      <c r="K9407" s="1348"/>
    </row>
    <row r="9408" spans="2:11" hidden="1">
      <c r="B9408" s="1348"/>
      <c r="C9408" s="1348"/>
      <c r="D9408" s="1348"/>
      <c r="E9408" s="1348"/>
      <c r="F9408" s="1348"/>
      <c r="G9408" s="1348"/>
      <c r="H9408" s="1348"/>
      <c r="I9408" s="1348"/>
      <c r="J9408" s="1348"/>
      <c r="K9408" s="1348"/>
    </row>
    <row r="9409" spans="2:11" hidden="1">
      <c r="B9409" s="1348"/>
      <c r="C9409" s="1348"/>
      <c r="D9409" s="1348"/>
      <c r="E9409" s="1348"/>
      <c r="F9409" s="1348"/>
      <c r="G9409" s="1348"/>
      <c r="H9409" s="1348"/>
      <c r="I9409" s="1348"/>
      <c r="J9409" s="1348"/>
      <c r="K9409" s="1348"/>
    </row>
    <row r="9410" spans="2:11" hidden="1">
      <c r="B9410" s="1348"/>
      <c r="C9410" s="1348"/>
      <c r="D9410" s="1348"/>
      <c r="E9410" s="1348"/>
      <c r="F9410" s="1348"/>
      <c r="G9410" s="1348"/>
      <c r="H9410" s="1348"/>
      <c r="I9410" s="1348"/>
      <c r="J9410" s="1348"/>
      <c r="K9410" s="1348"/>
    </row>
    <row r="9411" spans="2:11" hidden="1">
      <c r="B9411" s="1348"/>
      <c r="C9411" s="1348"/>
      <c r="D9411" s="1348"/>
      <c r="E9411" s="1348"/>
      <c r="F9411" s="1348"/>
      <c r="G9411" s="1348"/>
      <c r="H9411" s="1348"/>
      <c r="I9411" s="1348"/>
      <c r="J9411" s="1348"/>
      <c r="K9411" s="1348"/>
    </row>
    <row r="9412" spans="2:11" hidden="1">
      <c r="B9412" s="1348"/>
      <c r="C9412" s="1348"/>
      <c r="D9412" s="1348"/>
      <c r="E9412" s="1348"/>
      <c r="F9412" s="1348"/>
      <c r="G9412" s="1348"/>
      <c r="H9412" s="1348"/>
      <c r="I9412" s="1348"/>
      <c r="J9412" s="1348"/>
      <c r="K9412" s="1348"/>
    </row>
    <row r="9413" spans="2:11" hidden="1">
      <c r="B9413" s="1348"/>
      <c r="C9413" s="1348"/>
      <c r="D9413" s="1348"/>
      <c r="E9413" s="1348"/>
      <c r="F9413" s="1348"/>
      <c r="G9413" s="1348"/>
      <c r="H9413" s="1348"/>
      <c r="I9413" s="1348"/>
      <c r="J9413" s="1348"/>
      <c r="K9413" s="1348"/>
    </row>
    <row r="9414" spans="2:11" hidden="1">
      <c r="B9414" s="1348"/>
      <c r="C9414" s="1348"/>
      <c r="D9414" s="1348"/>
      <c r="E9414" s="1348"/>
      <c r="F9414" s="1348"/>
      <c r="G9414" s="1348"/>
      <c r="H9414" s="1348"/>
      <c r="I9414" s="1348"/>
      <c r="J9414" s="1348"/>
      <c r="K9414" s="1348"/>
    </row>
    <row r="9415" spans="2:11" hidden="1">
      <c r="B9415" s="1348"/>
      <c r="C9415" s="1348"/>
      <c r="D9415" s="1348"/>
      <c r="E9415" s="1348"/>
      <c r="F9415" s="1348"/>
      <c r="G9415" s="1348"/>
      <c r="H9415" s="1348"/>
      <c r="I9415" s="1348"/>
      <c r="J9415" s="1348"/>
      <c r="K9415" s="1348"/>
    </row>
    <row r="9416" spans="2:11" hidden="1">
      <c r="B9416" s="1348"/>
      <c r="C9416" s="1348"/>
      <c r="D9416" s="1348"/>
      <c r="E9416" s="1348"/>
      <c r="F9416" s="1348"/>
      <c r="G9416" s="1348"/>
      <c r="H9416" s="1348"/>
      <c r="I9416" s="1348"/>
      <c r="J9416" s="1348"/>
      <c r="K9416" s="1348"/>
    </row>
    <row r="9417" spans="2:11" hidden="1">
      <c r="B9417" s="1348"/>
      <c r="C9417" s="1348"/>
      <c r="D9417" s="1348"/>
      <c r="E9417" s="1348"/>
      <c r="F9417" s="1348"/>
      <c r="G9417" s="1348"/>
      <c r="H9417" s="1348"/>
      <c r="I9417" s="1348"/>
      <c r="J9417" s="1348"/>
      <c r="K9417" s="1348"/>
    </row>
    <row r="9418" spans="2:11" hidden="1">
      <c r="B9418" s="1348"/>
      <c r="C9418" s="1348"/>
      <c r="D9418" s="1348"/>
      <c r="E9418" s="1348"/>
      <c r="F9418" s="1348"/>
      <c r="G9418" s="1348"/>
      <c r="H9418" s="1348"/>
      <c r="I9418" s="1348"/>
      <c r="J9418" s="1348"/>
      <c r="K9418" s="1348"/>
    </row>
    <row r="9419" spans="2:11" hidden="1">
      <c r="B9419" s="1348"/>
      <c r="C9419" s="1348"/>
      <c r="D9419" s="1348"/>
      <c r="E9419" s="1348"/>
      <c r="F9419" s="1348"/>
      <c r="G9419" s="1348"/>
      <c r="H9419" s="1348"/>
      <c r="I9419" s="1348"/>
      <c r="J9419" s="1348"/>
      <c r="K9419" s="1348"/>
    </row>
    <row r="9420" spans="2:11" hidden="1">
      <c r="B9420" s="1348"/>
      <c r="C9420" s="1348"/>
      <c r="D9420" s="1348"/>
      <c r="E9420" s="1348"/>
      <c r="F9420" s="1348"/>
      <c r="G9420" s="1348"/>
      <c r="H9420" s="1348"/>
      <c r="I9420" s="1348"/>
      <c r="J9420" s="1348"/>
      <c r="K9420" s="1348"/>
    </row>
    <row r="9421" spans="2:11" hidden="1">
      <c r="B9421" s="1348"/>
      <c r="C9421" s="1348"/>
      <c r="D9421" s="1348"/>
      <c r="E9421" s="1348"/>
      <c r="F9421" s="1348"/>
      <c r="G9421" s="1348"/>
      <c r="H9421" s="1348"/>
      <c r="I9421" s="1348"/>
      <c r="J9421" s="1348"/>
      <c r="K9421" s="1348"/>
    </row>
    <row r="9422" spans="2:11" hidden="1">
      <c r="B9422" s="1348"/>
      <c r="C9422" s="1348"/>
      <c r="D9422" s="1348"/>
      <c r="E9422" s="1348"/>
      <c r="F9422" s="1348"/>
      <c r="G9422" s="1348"/>
      <c r="H9422" s="1348"/>
      <c r="I9422" s="1348"/>
      <c r="J9422" s="1348"/>
      <c r="K9422" s="1348"/>
    </row>
    <row r="9423" spans="2:11" hidden="1">
      <c r="B9423" s="1348"/>
      <c r="C9423" s="1348"/>
      <c r="D9423" s="1348"/>
      <c r="E9423" s="1348"/>
      <c r="F9423" s="1348"/>
      <c r="G9423" s="1348"/>
      <c r="H9423" s="1348"/>
      <c r="I9423" s="1348"/>
      <c r="J9423" s="1348"/>
      <c r="K9423" s="1348"/>
    </row>
    <row r="9424" spans="2:11" hidden="1">
      <c r="B9424" s="1348"/>
      <c r="C9424" s="1348"/>
      <c r="D9424" s="1348"/>
      <c r="E9424" s="1348"/>
      <c r="F9424" s="1348"/>
      <c r="G9424" s="1348"/>
      <c r="H9424" s="1348"/>
      <c r="I9424" s="1348"/>
      <c r="J9424" s="1348"/>
      <c r="K9424" s="1348"/>
    </row>
    <row r="9425" spans="2:11" hidden="1">
      <c r="B9425" s="1348"/>
      <c r="C9425" s="1348"/>
      <c r="D9425" s="1348"/>
      <c r="E9425" s="1348"/>
      <c r="F9425" s="1348"/>
      <c r="G9425" s="1348"/>
      <c r="H9425" s="1348"/>
      <c r="I9425" s="1348"/>
      <c r="J9425" s="1348"/>
      <c r="K9425" s="1348"/>
    </row>
    <row r="9426" spans="2:11" hidden="1">
      <c r="B9426" s="1348"/>
      <c r="C9426" s="1348"/>
      <c r="D9426" s="1348"/>
      <c r="E9426" s="1348"/>
      <c r="F9426" s="1348"/>
      <c r="G9426" s="1348"/>
      <c r="H9426" s="1348"/>
      <c r="I9426" s="1348"/>
      <c r="J9426" s="1348"/>
      <c r="K9426" s="1348"/>
    </row>
    <row r="9427" spans="2:11" hidden="1">
      <c r="B9427" s="1348"/>
      <c r="C9427" s="1348"/>
      <c r="D9427" s="1348"/>
      <c r="E9427" s="1348"/>
      <c r="F9427" s="1348"/>
      <c r="G9427" s="1348"/>
      <c r="H9427" s="1348"/>
      <c r="I9427" s="1348"/>
      <c r="J9427" s="1348"/>
      <c r="K9427" s="1348"/>
    </row>
    <row r="9428" spans="2:11" hidden="1">
      <c r="B9428" s="1348"/>
      <c r="C9428" s="1348"/>
      <c r="D9428" s="1348"/>
      <c r="E9428" s="1348"/>
      <c r="F9428" s="1348"/>
      <c r="G9428" s="1348"/>
      <c r="H9428" s="1348"/>
      <c r="I9428" s="1348"/>
      <c r="J9428" s="1348"/>
      <c r="K9428" s="1348"/>
    </row>
    <row r="9429" spans="2:11" hidden="1">
      <c r="B9429" s="1348"/>
      <c r="C9429" s="1348"/>
      <c r="D9429" s="1348"/>
      <c r="E9429" s="1348"/>
      <c r="F9429" s="1348"/>
      <c r="G9429" s="1348"/>
      <c r="H9429" s="1348"/>
      <c r="I9429" s="1348"/>
      <c r="J9429" s="1348"/>
      <c r="K9429" s="1348"/>
    </row>
    <row r="9430" spans="2:11" hidden="1">
      <c r="B9430" s="1348"/>
      <c r="C9430" s="1348"/>
      <c r="D9430" s="1348"/>
      <c r="E9430" s="1348"/>
      <c r="F9430" s="1348"/>
      <c r="G9430" s="1348"/>
      <c r="H9430" s="1348"/>
      <c r="I9430" s="1348"/>
      <c r="J9430" s="1348"/>
      <c r="K9430" s="1348"/>
    </row>
    <row r="9431" spans="2:11" hidden="1">
      <c r="B9431" s="1348"/>
      <c r="C9431" s="1348"/>
      <c r="D9431" s="1348"/>
      <c r="E9431" s="1348"/>
      <c r="F9431" s="1348"/>
      <c r="G9431" s="1348"/>
      <c r="H9431" s="1348"/>
      <c r="I9431" s="1348"/>
      <c r="J9431" s="1348"/>
      <c r="K9431" s="1348"/>
    </row>
    <row r="9432" spans="2:11" hidden="1">
      <c r="B9432" s="1348"/>
      <c r="C9432" s="1348"/>
      <c r="D9432" s="1348"/>
      <c r="E9432" s="1348"/>
      <c r="F9432" s="1348"/>
      <c r="G9432" s="1348"/>
      <c r="H9432" s="1348"/>
      <c r="I9432" s="1348"/>
      <c r="J9432" s="1348"/>
      <c r="K9432" s="1348"/>
    </row>
    <row r="9433" spans="2:11" hidden="1">
      <c r="B9433" s="1348"/>
      <c r="C9433" s="1348"/>
      <c r="D9433" s="1348"/>
      <c r="E9433" s="1348"/>
      <c r="F9433" s="1348"/>
      <c r="G9433" s="1348"/>
      <c r="H9433" s="1348"/>
      <c r="I9433" s="1348"/>
      <c r="J9433" s="1348"/>
      <c r="K9433" s="1348"/>
    </row>
    <row r="9434" spans="2:11" hidden="1">
      <c r="B9434" s="1348"/>
      <c r="C9434" s="1348"/>
      <c r="D9434" s="1348"/>
      <c r="E9434" s="1348"/>
      <c r="F9434" s="1348"/>
      <c r="G9434" s="1348"/>
      <c r="H9434" s="1348"/>
      <c r="I9434" s="1348"/>
      <c r="J9434" s="1348"/>
      <c r="K9434" s="1348"/>
    </row>
    <row r="9435" spans="2:11" hidden="1">
      <c r="B9435" s="1348"/>
      <c r="C9435" s="1348"/>
      <c r="D9435" s="1348"/>
      <c r="E9435" s="1348"/>
      <c r="F9435" s="1348"/>
      <c r="G9435" s="1348"/>
      <c r="H9435" s="1348"/>
      <c r="I9435" s="1348"/>
      <c r="J9435" s="1348"/>
      <c r="K9435" s="1348"/>
    </row>
    <row r="9436" spans="2:11" hidden="1">
      <c r="B9436" s="1348"/>
      <c r="C9436" s="1348"/>
      <c r="D9436" s="1348"/>
      <c r="E9436" s="1348"/>
      <c r="F9436" s="1348"/>
      <c r="G9436" s="1348"/>
      <c r="H9436" s="1348"/>
      <c r="I9436" s="1348"/>
      <c r="J9436" s="1348"/>
      <c r="K9436" s="1348"/>
    </row>
    <row r="9437" spans="2:11" hidden="1">
      <c r="B9437" s="1348"/>
      <c r="C9437" s="1348"/>
      <c r="D9437" s="1348"/>
      <c r="E9437" s="1348"/>
      <c r="F9437" s="1348"/>
      <c r="G9437" s="1348"/>
      <c r="H9437" s="1348"/>
      <c r="I9437" s="1348"/>
      <c r="J9437" s="1348"/>
      <c r="K9437" s="1348"/>
    </row>
    <row r="9438" spans="2:11" hidden="1">
      <c r="B9438" s="1348"/>
      <c r="C9438" s="1348"/>
      <c r="D9438" s="1348"/>
      <c r="E9438" s="1348"/>
      <c r="F9438" s="1348"/>
      <c r="G9438" s="1348"/>
      <c r="H9438" s="1348"/>
      <c r="I9438" s="1348"/>
      <c r="J9438" s="1348"/>
      <c r="K9438" s="1348"/>
    </row>
    <row r="9439" spans="2:11" hidden="1">
      <c r="B9439" s="1348"/>
      <c r="C9439" s="1348"/>
      <c r="D9439" s="1348"/>
      <c r="E9439" s="1348"/>
      <c r="F9439" s="1348"/>
      <c r="G9439" s="1348"/>
      <c r="H9439" s="1348"/>
      <c r="I9439" s="1348"/>
      <c r="J9439" s="1348"/>
      <c r="K9439" s="1348"/>
    </row>
    <row r="9440" spans="2:11" hidden="1">
      <c r="B9440" s="1348"/>
      <c r="C9440" s="1348"/>
      <c r="D9440" s="1348"/>
      <c r="E9440" s="1348"/>
      <c r="F9440" s="1348"/>
      <c r="G9440" s="1348"/>
      <c r="H9440" s="1348"/>
      <c r="I9440" s="1348"/>
      <c r="J9440" s="1348"/>
      <c r="K9440" s="1348"/>
    </row>
    <row r="9441" spans="2:11" hidden="1">
      <c r="B9441" s="1348"/>
      <c r="C9441" s="1348"/>
      <c r="D9441" s="1348"/>
      <c r="E9441" s="1348"/>
      <c r="F9441" s="1348"/>
      <c r="G9441" s="1348"/>
      <c r="H9441" s="1348"/>
      <c r="I9441" s="1348"/>
      <c r="J9441" s="1348"/>
      <c r="K9441" s="1348"/>
    </row>
    <row r="9442" spans="2:11" hidden="1">
      <c r="B9442" s="1348"/>
      <c r="C9442" s="1348"/>
      <c r="D9442" s="1348"/>
      <c r="E9442" s="1348"/>
      <c r="F9442" s="1348"/>
      <c r="G9442" s="1348"/>
      <c r="H9442" s="1348"/>
      <c r="I9442" s="1348"/>
      <c r="J9442" s="1348"/>
      <c r="K9442" s="1348"/>
    </row>
    <row r="9443" spans="2:11" hidden="1">
      <c r="B9443" s="1348"/>
      <c r="C9443" s="1348"/>
      <c r="D9443" s="1348"/>
      <c r="E9443" s="1348"/>
      <c r="F9443" s="1348"/>
      <c r="G9443" s="1348"/>
      <c r="H9443" s="1348"/>
      <c r="I9443" s="1348"/>
      <c r="J9443" s="1348"/>
      <c r="K9443" s="1348"/>
    </row>
    <row r="9444" spans="2:11" hidden="1">
      <c r="B9444" s="1348"/>
      <c r="C9444" s="1348"/>
      <c r="D9444" s="1348"/>
      <c r="E9444" s="1348"/>
      <c r="F9444" s="1348"/>
      <c r="G9444" s="1348"/>
      <c r="H9444" s="1348"/>
      <c r="I9444" s="1348"/>
      <c r="J9444" s="1348"/>
      <c r="K9444" s="1348"/>
    </row>
    <row r="9445" spans="2:11" hidden="1">
      <c r="B9445" s="1348"/>
      <c r="C9445" s="1348"/>
      <c r="D9445" s="1348"/>
      <c r="E9445" s="1348"/>
      <c r="F9445" s="1348"/>
      <c r="G9445" s="1348"/>
      <c r="H9445" s="1348"/>
      <c r="I9445" s="1348"/>
      <c r="J9445" s="1348"/>
      <c r="K9445" s="1348"/>
    </row>
    <row r="9446" spans="2:11" hidden="1">
      <c r="B9446" s="1348"/>
      <c r="C9446" s="1348"/>
      <c r="D9446" s="1348"/>
      <c r="E9446" s="1348"/>
      <c r="F9446" s="1348"/>
      <c r="G9446" s="1348"/>
      <c r="H9446" s="1348"/>
      <c r="I9446" s="1348"/>
      <c r="J9446" s="1348"/>
      <c r="K9446" s="1348"/>
    </row>
    <row r="9447" spans="2:11" hidden="1">
      <c r="B9447" s="1348"/>
      <c r="C9447" s="1348"/>
      <c r="D9447" s="1348"/>
      <c r="E9447" s="1348"/>
      <c r="F9447" s="1348"/>
      <c r="G9447" s="1348"/>
      <c r="H9447" s="1348"/>
      <c r="I9447" s="1348"/>
      <c r="J9447" s="1348"/>
      <c r="K9447" s="1348"/>
    </row>
    <row r="9448" spans="2:11" hidden="1">
      <c r="B9448" s="1348"/>
      <c r="C9448" s="1348"/>
      <c r="D9448" s="1348"/>
      <c r="E9448" s="1348"/>
      <c r="F9448" s="1348"/>
      <c r="G9448" s="1348"/>
      <c r="H9448" s="1348"/>
      <c r="I9448" s="1348"/>
      <c r="J9448" s="1348"/>
      <c r="K9448" s="1348"/>
    </row>
    <row r="9449" spans="2:11" hidden="1">
      <c r="B9449" s="1348"/>
      <c r="C9449" s="1348"/>
      <c r="D9449" s="1348"/>
      <c r="E9449" s="1348"/>
      <c r="F9449" s="1348"/>
      <c r="G9449" s="1348"/>
      <c r="H9449" s="1348"/>
      <c r="I9449" s="1348"/>
      <c r="J9449" s="1348"/>
      <c r="K9449" s="1348"/>
    </row>
    <row r="9450" spans="2:11" hidden="1">
      <c r="B9450" s="1348"/>
      <c r="C9450" s="1348"/>
      <c r="D9450" s="1348"/>
      <c r="E9450" s="1348"/>
      <c r="F9450" s="1348"/>
      <c r="G9450" s="1348"/>
      <c r="H9450" s="1348"/>
      <c r="I9450" s="1348"/>
      <c r="J9450" s="1348"/>
      <c r="K9450" s="1348"/>
    </row>
    <row r="9451" spans="2:11" hidden="1">
      <c r="B9451" s="1348"/>
      <c r="C9451" s="1348"/>
      <c r="D9451" s="1348"/>
      <c r="E9451" s="1348"/>
      <c r="F9451" s="1348"/>
      <c r="G9451" s="1348"/>
      <c r="H9451" s="1348"/>
      <c r="I9451" s="1348"/>
      <c r="J9451" s="1348"/>
      <c r="K9451" s="1348"/>
    </row>
    <row r="9452" spans="2:11" hidden="1">
      <c r="B9452" s="1348"/>
      <c r="C9452" s="1348"/>
      <c r="D9452" s="1348"/>
      <c r="E9452" s="1348"/>
      <c r="F9452" s="1348"/>
      <c r="G9452" s="1348"/>
      <c r="H9452" s="1348"/>
      <c r="I9452" s="1348"/>
      <c r="J9452" s="1348"/>
      <c r="K9452" s="1348"/>
    </row>
    <row r="9453" spans="2:11" hidden="1">
      <c r="B9453" s="1348"/>
      <c r="C9453" s="1348"/>
      <c r="D9453" s="1348"/>
      <c r="E9453" s="1348"/>
      <c r="F9453" s="1348"/>
      <c r="G9453" s="1348"/>
      <c r="H9453" s="1348"/>
      <c r="I9453" s="1348"/>
      <c r="J9453" s="1348"/>
      <c r="K9453" s="1348"/>
    </row>
    <row r="9454" spans="2:11" hidden="1">
      <c r="B9454" s="1348"/>
      <c r="C9454" s="1348"/>
      <c r="D9454" s="1348"/>
      <c r="E9454" s="1348"/>
      <c r="F9454" s="1348"/>
      <c r="G9454" s="1348"/>
      <c r="H9454" s="1348"/>
      <c r="I9454" s="1348"/>
      <c r="J9454" s="1348"/>
      <c r="K9454" s="1348"/>
    </row>
    <row r="9455" spans="2:11" hidden="1">
      <c r="B9455" s="1348"/>
      <c r="C9455" s="1348"/>
      <c r="D9455" s="1348"/>
      <c r="E9455" s="1348"/>
      <c r="F9455" s="1348"/>
      <c r="G9455" s="1348"/>
      <c r="H9455" s="1348"/>
      <c r="I9455" s="1348"/>
      <c r="J9455" s="1348"/>
      <c r="K9455" s="1348"/>
    </row>
    <row r="9456" spans="2:11" hidden="1">
      <c r="B9456" s="1348"/>
      <c r="C9456" s="1348"/>
      <c r="D9456" s="1348"/>
      <c r="E9456" s="1348"/>
      <c r="F9456" s="1348"/>
      <c r="G9456" s="1348"/>
      <c r="H9456" s="1348"/>
      <c r="I9456" s="1348"/>
      <c r="J9456" s="1348"/>
      <c r="K9456" s="1348"/>
    </row>
    <row r="9457" spans="2:11" hidden="1">
      <c r="B9457" s="1348"/>
      <c r="C9457" s="1348"/>
      <c r="D9457" s="1348"/>
      <c r="E9457" s="1348"/>
      <c r="F9457" s="1348"/>
      <c r="G9457" s="1348"/>
      <c r="H9457" s="1348"/>
      <c r="I9457" s="1348"/>
      <c r="J9457" s="1348"/>
      <c r="K9457" s="1348"/>
    </row>
    <row r="9458" spans="2:11" hidden="1">
      <c r="B9458" s="1348"/>
      <c r="C9458" s="1348"/>
      <c r="D9458" s="1348"/>
      <c r="E9458" s="1348"/>
      <c r="F9458" s="1348"/>
      <c r="G9458" s="1348"/>
      <c r="H9458" s="1348"/>
      <c r="I9458" s="1348"/>
      <c r="J9458" s="1348"/>
      <c r="K9458" s="1348"/>
    </row>
    <row r="9459" spans="2:11" hidden="1">
      <c r="B9459" s="1348"/>
      <c r="C9459" s="1348"/>
      <c r="D9459" s="1348"/>
      <c r="E9459" s="1348"/>
      <c r="F9459" s="1348"/>
      <c r="G9459" s="1348"/>
      <c r="H9459" s="1348"/>
      <c r="I9459" s="1348"/>
      <c r="J9459" s="1348"/>
      <c r="K9459" s="1348"/>
    </row>
    <row r="9460" spans="2:11" hidden="1">
      <c r="B9460" s="1348"/>
      <c r="C9460" s="1348"/>
      <c r="D9460" s="1348"/>
      <c r="E9460" s="1348"/>
      <c r="F9460" s="1348"/>
      <c r="G9460" s="1348"/>
      <c r="H9460" s="1348"/>
      <c r="I9460" s="1348"/>
      <c r="J9460" s="1348"/>
      <c r="K9460" s="1348"/>
    </row>
    <row r="9461" spans="2:11" hidden="1">
      <c r="B9461" s="1348"/>
      <c r="C9461" s="1348"/>
      <c r="D9461" s="1348"/>
      <c r="E9461" s="1348"/>
      <c r="F9461" s="1348"/>
      <c r="G9461" s="1348"/>
      <c r="H9461" s="1348"/>
      <c r="I9461" s="1348"/>
      <c r="J9461" s="1348"/>
      <c r="K9461" s="1348"/>
    </row>
    <row r="9462" spans="2:11" hidden="1">
      <c r="B9462" s="1348"/>
      <c r="C9462" s="1348"/>
      <c r="D9462" s="1348"/>
      <c r="E9462" s="1348"/>
      <c r="F9462" s="1348"/>
      <c r="G9462" s="1348"/>
      <c r="H9462" s="1348"/>
      <c r="I9462" s="1348"/>
      <c r="J9462" s="1348"/>
      <c r="K9462" s="1348"/>
    </row>
    <row r="9463" spans="2:11" hidden="1">
      <c r="B9463" s="1348"/>
      <c r="C9463" s="1348"/>
      <c r="D9463" s="1348"/>
      <c r="E9463" s="1348"/>
      <c r="F9463" s="1348"/>
      <c r="G9463" s="1348"/>
      <c r="H9463" s="1348"/>
      <c r="I9463" s="1348"/>
      <c r="J9463" s="1348"/>
      <c r="K9463" s="1348"/>
    </row>
    <row r="9464" spans="2:11" hidden="1">
      <c r="B9464" s="1348"/>
      <c r="C9464" s="1348"/>
      <c r="D9464" s="1348"/>
      <c r="E9464" s="1348"/>
      <c r="F9464" s="1348"/>
      <c r="G9464" s="1348"/>
      <c r="H9464" s="1348"/>
      <c r="I9464" s="1348"/>
      <c r="J9464" s="1348"/>
      <c r="K9464" s="1348"/>
    </row>
    <row r="9465" spans="2:11" hidden="1">
      <c r="B9465" s="1348"/>
      <c r="C9465" s="1348"/>
      <c r="D9465" s="1348"/>
      <c r="E9465" s="1348"/>
      <c r="F9465" s="1348"/>
      <c r="G9465" s="1348"/>
      <c r="H9465" s="1348"/>
      <c r="I9465" s="1348"/>
      <c r="J9465" s="1348"/>
      <c r="K9465" s="1348"/>
    </row>
    <row r="9466" spans="2:11" hidden="1">
      <c r="B9466" s="1348"/>
      <c r="C9466" s="1348"/>
      <c r="D9466" s="1348"/>
      <c r="E9466" s="1348"/>
      <c r="F9466" s="1348"/>
      <c r="G9466" s="1348"/>
      <c r="H9466" s="1348"/>
      <c r="I9466" s="1348"/>
      <c r="J9466" s="1348"/>
      <c r="K9466" s="1348"/>
    </row>
    <row r="9467" spans="2:11" hidden="1">
      <c r="B9467" s="1348"/>
      <c r="C9467" s="1348"/>
      <c r="D9467" s="1348"/>
      <c r="E9467" s="1348"/>
      <c r="F9467" s="1348"/>
      <c r="G9467" s="1348"/>
      <c r="H9467" s="1348"/>
      <c r="I9467" s="1348"/>
      <c r="J9467" s="1348"/>
      <c r="K9467" s="1348"/>
    </row>
    <row r="9468" spans="2:11" hidden="1">
      <c r="B9468" s="1348"/>
      <c r="C9468" s="1348"/>
      <c r="D9468" s="1348"/>
      <c r="E9468" s="1348"/>
      <c r="F9468" s="1348"/>
      <c r="G9468" s="1348"/>
      <c r="H9468" s="1348"/>
      <c r="I9468" s="1348"/>
      <c r="J9468" s="1348"/>
      <c r="K9468" s="1348"/>
    </row>
    <row r="9469" spans="2:11" hidden="1">
      <c r="B9469" s="1348"/>
      <c r="C9469" s="1348"/>
      <c r="D9469" s="1348"/>
      <c r="E9469" s="1348"/>
      <c r="F9469" s="1348"/>
      <c r="G9469" s="1348"/>
      <c r="H9469" s="1348"/>
      <c r="I9469" s="1348"/>
      <c r="J9469" s="1348"/>
      <c r="K9469" s="1348"/>
    </row>
    <row r="9470" spans="2:11" hidden="1">
      <c r="B9470" s="1348"/>
      <c r="C9470" s="1348"/>
      <c r="D9470" s="1348"/>
      <c r="E9470" s="1348"/>
      <c r="F9470" s="1348"/>
      <c r="G9470" s="1348"/>
      <c r="H9470" s="1348"/>
      <c r="I9470" s="1348"/>
      <c r="J9470" s="1348"/>
      <c r="K9470" s="1348"/>
    </row>
    <row r="9471" spans="2:11" hidden="1">
      <c r="B9471" s="1348"/>
      <c r="C9471" s="1348"/>
      <c r="D9471" s="1348"/>
      <c r="E9471" s="1348"/>
      <c r="F9471" s="1348"/>
      <c r="G9471" s="1348"/>
      <c r="H9471" s="1348"/>
      <c r="I9471" s="1348"/>
      <c r="J9471" s="1348"/>
      <c r="K9471" s="1348"/>
    </row>
    <row r="9472" spans="2:11" hidden="1">
      <c r="B9472" s="1348"/>
      <c r="C9472" s="1348"/>
      <c r="D9472" s="1348"/>
      <c r="E9472" s="1348"/>
      <c r="F9472" s="1348"/>
      <c r="G9472" s="1348"/>
      <c r="H9472" s="1348"/>
      <c r="I9472" s="1348"/>
      <c r="J9472" s="1348"/>
      <c r="K9472" s="1348"/>
    </row>
    <row r="9473" spans="2:11" hidden="1">
      <c r="B9473" s="1348"/>
      <c r="C9473" s="1348"/>
      <c r="D9473" s="1348"/>
      <c r="E9473" s="1348"/>
      <c r="F9473" s="1348"/>
      <c r="G9473" s="1348"/>
      <c r="H9473" s="1348"/>
      <c r="I9473" s="1348"/>
      <c r="J9473" s="1348"/>
      <c r="K9473" s="1348"/>
    </row>
    <row r="9474" spans="2:11" hidden="1">
      <c r="B9474" s="1348"/>
      <c r="C9474" s="1348"/>
      <c r="D9474" s="1348"/>
      <c r="E9474" s="1348"/>
      <c r="F9474" s="1348"/>
      <c r="G9474" s="1348"/>
      <c r="H9474" s="1348"/>
      <c r="I9474" s="1348"/>
      <c r="J9474" s="1348"/>
      <c r="K9474" s="1348"/>
    </row>
    <row r="9475" spans="2:11" hidden="1">
      <c r="B9475" s="1348"/>
      <c r="C9475" s="1348"/>
      <c r="D9475" s="1348"/>
      <c r="E9475" s="1348"/>
      <c r="F9475" s="1348"/>
      <c r="G9475" s="1348"/>
      <c r="H9475" s="1348"/>
      <c r="I9475" s="1348"/>
      <c r="J9475" s="1348"/>
      <c r="K9475" s="1348"/>
    </row>
    <row r="9476" spans="2:11" hidden="1">
      <c r="B9476" s="1348"/>
      <c r="C9476" s="1348"/>
      <c r="D9476" s="1348"/>
      <c r="E9476" s="1348"/>
      <c r="F9476" s="1348"/>
      <c r="G9476" s="1348"/>
      <c r="H9476" s="1348"/>
      <c r="I9476" s="1348"/>
      <c r="J9476" s="1348"/>
      <c r="K9476" s="1348"/>
    </row>
    <row r="9477" spans="2:11" hidden="1">
      <c r="B9477" s="1348"/>
      <c r="C9477" s="1348"/>
      <c r="D9477" s="1348"/>
      <c r="E9477" s="1348"/>
      <c r="F9477" s="1348"/>
      <c r="G9477" s="1348"/>
      <c r="H9477" s="1348"/>
      <c r="I9477" s="1348"/>
      <c r="J9477" s="1348"/>
      <c r="K9477" s="1348"/>
    </row>
    <row r="9478" spans="2:11" hidden="1">
      <c r="B9478" s="1348"/>
      <c r="C9478" s="1348"/>
      <c r="D9478" s="1348"/>
      <c r="E9478" s="1348"/>
      <c r="F9478" s="1348"/>
      <c r="G9478" s="1348"/>
      <c r="H9478" s="1348"/>
      <c r="I9478" s="1348"/>
      <c r="J9478" s="1348"/>
      <c r="K9478" s="1348"/>
    </row>
    <row r="9479" spans="2:11" hidden="1">
      <c r="B9479" s="1348"/>
      <c r="C9479" s="1348"/>
      <c r="D9479" s="1348"/>
      <c r="E9479" s="1348"/>
      <c r="F9479" s="1348"/>
      <c r="G9479" s="1348"/>
      <c r="H9479" s="1348"/>
      <c r="I9479" s="1348"/>
      <c r="J9479" s="1348"/>
      <c r="K9479" s="1348"/>
    </row>
    <row r="9480" spans="2:11" hidden="1">
      <c r="B9480" s="1348"/>
      <c r="C9480" s="1348"/>
      <c r="D9480" s="1348"/>
      <c r="E9480" s="1348"/>
      <c r="F9480" s="1348"/>
      <c r="G9480" s="1348"/>
      <c r="H9480" s="1348"/>
      <c r="I9480" s="1348"/>
      <c r="J9480" s="1348"/>
      <c r="K9480" s="1348"/>
    </row>
    <row r="9481" spans="2:11" hidden="1">
      <c r="B9481" s="1348"/>
      <c r="C9481" s="1348"/>
      <c r="D9481" s="1348"/>
      <c r="E9481" s="1348"/>
      <c r="F9481" s="1348"/>
      <c r="G9481" s="1348"/>
      <c r="H9481" s="1348"/>
      <c r="I9481" s="1348"/>
      <c r="J9481" s="1348"/>
      <c r="K9481" s="1348"/>
    </row>
    <row r="9482" spans="2:11" hidden="1">
      <c r="B9482" s="1348"/>
      <c r="C9482" s="1348"/>
      <c r="D9482" s="1348"/>
      <c r="E9482" s="1348"/>
      <c r="F9482" s="1348"/>
      <c r="G9482" s="1348"/>
      <c r="H9482" s="1348"/>
      <c r="I9482" s="1348"/>
      <c r="J9482" s="1348"/>
      <c r="K9482" s="1348"/>
    </row>
    <row r="9483" spans="2:11" hidden="1">
      <c r="B9483" s="1348"/>
      <c r="C9483" s="1348"/>
      <c r="D9483" s="1348"/>
      <c r="E9483" s="1348"/>
      <c r="F9483" s="1348"/>
      <c r="G9483" s="1348"/>
      <c r="H9483" s="1348"/>
      <c r="I9483" s="1348"/>
      <c r="J9483" s="1348"/>
      <c r="K9483" s="1348"/>
    </row>
    <row r="9484" spans="2:11" hidden="1">
      <c r="B9484" s="1348"/>
      <c r="C9484" s="1348"/>
      <c r="D9484" s="1348"/>
      <c r="E9484" s="1348"/>
      <c r="F9484" s="1348"/>
      <c r="G9484" s="1348"/>
      <c r="H9484" s="1348"/>
      <c r="I9484" s="1348"/>
      <c r="J9484" s="1348"/>
      <c r="K9484" s="1348"/>
    </row>
    <row r="9485" spans="2:11" hidden="1">
      <c r="B9485" s="1348"/>
      <c r="C9485" s="1348"/>
      <c r="D9485" s="1348"/>
      <c r="E9485" s="1348"/>
      <c r="F9485" s="1348"/>
      <c r="G9485" s="1348"/>
      <c r="H9485" s="1348"/>
      <c r="I9485" s="1348"/>
      <c r="J9485" s="1348"/>
      <c r="K9485" s="1348"/>
    </row>
    <row r="9486" spans="2:11" hidden="1">
      <c r="B9486" s="1348"/>
      <c r="C9486" s="1348"/>
      <c r="D9486" s="1348"/>
      <c r="E9486" s="1348"/>
      <c r="F9486" s="1348"/>
      <c r="G9486" s="1348"/>
      <c r="H9486" s="1348"/>
      <c r="I9486" s="1348"/>
      <c r="J9486" s="1348"/>
      <c r="K9486" s="1348"/>
    </row>
    <row r="9487" spans="2:11" hidden="1">
      <c r="B9487" s="1348"/>
      <c r="C9487" s="1348"/>
      <c r="D9487" s="1348"/>
      <c r="E9487" s="1348"/>
      <c r="F9487" s="1348"/>
      <c r="G9487" s="1348"/>
      <c r="H9487" s="1348"/>
      <c r="I9487" s="1348"/>
      <c r="J9487" s="1348"/>
      <c r="K9487" s="1348"/>
    </row>
    <row r="9488" spans="2:11" hidden="1">
      <c r="B9488" s="1348"/>
      <c r="C9488" s="1348"/>
      <c r="D9488" s="1348"/>
      <c r="E9488" s="1348"/>
      <c r="F9488" s="1348"/>
      <c r="G9488" s="1348"/>
      <c r="H9488" s="1348"/>
      <c r="I9488" s="1348"/>
      <c r="J9488" s="1348"/>
      <c r="K9488" s="1348"/>
    </row>
    <row r="9489" spans="2:11" hidden="1">
      <c r="B9489" s="1348"/>
      <c r="C9489" s="1348"/>
      <c r="D9489" s="1348"/>
      <c r="E9489" s="1348"/>
      <c r="F9489" s="1348"/>
      <c r="G9489" s="1348"/>
      <c r="H9489" s="1348"/>
      <c r="I9489" s="1348"/>
      <c r="J9489" s="1348"/>
      <c r="K9489" s="1348"/>
    </row>
    <row r="9490" spans="2:11" hidden="1">
      <c r="B9490" s="1348"/>
      <c r="C9490" s="1348"/>
      <c r="D9490" s="1348"/>
      <c r="E9490" s="1348"/>
      <c r="F9490" s="1348"/>
      <c r="G9490" s="1348"/>
      <c r="H9490" s="1348"/>
      <c r="I9490" s="1348"/>
      <c r="J9490" s="1348"/>
      <c r="K9490" s="1348"/>
    </row>
    <row r="9491" spans="2:11" hidden="1">
      <c r="B9491" s="1348"/>
      <c r="C9491" s="1348"/>
      <c r="D9491" s="1348"/>
      <c r="E9491" s="1348"/>
      <c r="F9491" s="1348"/>
      <c r="G9491" s="1348"/>
      <c r="H9491" s="1348"/>
      <c r="I9491" s="1348"/>
      <c r="J9491" s="1348"/>
      <c r="K9491" s="1348"/>
    </row>
    <row r="9492" spans="2:11" hidden="1">
      <c r="B9492" s="1348"/>
      <c r="C9492" s="1348"/>
      <c r="D9492" s="1348"/>
      <c r="E9492" s="1348"/>
      <c r="F9492" s="1348"/>
      <c r="G9492" s="1348"/>
      <c r="H9492" s="1348"/>
      <c r="I9492" s="1348"/>
      <c r="J9492" s="1348"/>
      <c r="K9492" s="1348"/>
    </row>
    <row r="9493" spans="2:11" hidden="1">
      <c r="B9493" s="1348"/>
      <c r="C9493" s="1348"/>
      <c r="D9493" s="1348"/>
      <c r="E9493" s="1348"/>
      <c r="F9493" s="1348"/>
      <c r="G9493" s="1348"/>
      <c r="H9493" s="1348"/>
      <c r="I9493" s="1348"/>
      <c r="J9493" s="1348"/>
      <c r="K9493" s="1348"/>
    </row>
    <row r="9494" spans="2:11" hidden="1">
      <c r="B9494" s="1348"/>
      <c r="C9494" s="1348"/>
      <c r="D9494" s="1348"/>
      <c r="E9494" s="1348"/>
      <c r="F9494" s="1348"/>
      <c r="G9494" s="1348"/>
      <c r="H9494" s="1348"/>
      <c r="I9494" s="1348"/>
      <c r="J9494" s="1348"/>
      <c r="K9494" s="1348"/>
    </row>
    <row r="9495" spans="2:11" hidden="1">
      <c r="B9495" s="1348"/>
      <c r="C9495" s="1348"/>
      <c r="D9495" s="1348"/>
      <c r="E9495" s="1348"/>
      <c r="F9495" s="1348"/>
      <c r="G9495" s="1348"/>
      <c r="H9495" s="1348"/>
      <c r="I9495" s="1348"/>
      <c r="J9495" s="1348"/>
      <c r="K9495" s="1348"/>
    </row>
    <row r="9496" spans="2:11" hidden="1">
      <c r="B9496" s="1348"/>
      <c r="C9496" s="1348"/>
      <c r="D9496" s="1348"/>
      <c r="E9496" s="1348"/>
      <c r="F9496" s="1348"/>
      <c r="G9496" s="1348"/>
      <c r="H9496" s="1348"/>
      <c r="I9496" s="1348"/>
      <c r="J9496" s="1348"/>
      <c r="K9496" s="1348"/>
    </row>
    <row r="9497" spans="2:11" hidden="1">
      <c r="B9497" s="1348"/>
      <c r="C9497" s="1348"/>
      <c r="D9497" s="1348"/>
      <c r="E9497" s="1348"/>
      <c r="F9497" s="1348"/>
      <c r="G9497" s="1348"/>
      <c r="H9497" s="1348"/>
      <c r="I9497" s="1348"/>
      <c r="J9497" s="1348"/>
      <c r="K9497" s="1348"/>
    </row>
    <row r="9498" spans="2:11" hidden="1">
      <c r="B9498" s="1348"/>
      <c r="C9498" s="1348"/>
      <c r="D9498" s="1348"/>
      <c r="E9498" s="1348"/>
      <c r="F9498" s="1348"/>
      <c r="G9498" s="1348"/>
      <c r="H9498" s="1348"/>
      <c r="I9498" s="1348"/>
      <c r="J9498" s="1348"/>
      <c r="K9498" s="1348"/>
    </row>
    <row r="9499" spans="2:11" hidden="1">
      <c r="B9499" s="1348"/>
      <c r="C9499" s="1348"/>
      <c r="D9499" s="1348"/>
      <c r="E9499" s="1348"/>
      <c r="F9499" s="1348"/>
      <c r="G9499" s="1348"/>
      <c r="H9499" s="1348"/>
      <c r="I9499" s="1348"/>
      <c r="J9499" s="1348"/>
      <c r="K9499" s="1348"/>
    </row>
    <row r="9500" spans="2:11" hidden="1">
      <c r="B9500" s="1348"/>
      <c r="C9500" s="1348"/>
      <c r="D9500" s="1348"/>
      <c r="E9500" s="1348"/>
      <c r="F9500" s="1348"/>
      <c r="G9500" s="1348"/>
      <c r="H9500" s="1348"/>
      <c r="I9500" s="1348"/>
      <c r="J9500" s="1348"/>
      <c r="K9500" s="1348"/>
    </row>
    <row r="9501" spans="2:11" hidden="1">
      <c r="B9501" s="1348"/>
      <c r="C9501" s="1348"/>
      <c r="D9501" s="1348"/>
      <c r="E9501" s="1348"/>
      <c r="F9501" s="1348"/>
      <c r="G9501" s="1348"/>
      <c r="H9501" s="1348"/>
      <c r="I9501" s="1348"/>
      <c r="J9501" s="1348"/>
      <c r="K9501" s="1348"/>
    </row>
    <row r="9502" spans="2:11" hidden="1">
      <c r="B9502" s="1348"/>
      <c r="C9502" s="1348"/>
      <c r="D9502" s="1348"/>
      <c r="E9502" s="1348"/>
      <c r="F9502" s="1348"/>
      <c r="G9502" s="1348"/>
      <c r="H9502" s="1348"/>
      <c r="I9502" s="1348"/>
      <c r="J9502" s="1348"/>
      <c r="K9502" s="1348"/>
    </row>
    <row r="9503" spans="2:11" hidden="1">
      <c r="B9503" s="1348"/>
      <c r="C9503" s="1348"/>
      <c r="D9503" s="1348"/>
      <c r="E9503" s="1348"/>
      <c r="F9503" s="1348"/>
      <c r="G9503" s="1348"/>
      <c r="H9503" s="1348"/>
      <c r="I9503" s="1348"/>
      <c r="J9503" s="1348"/>
      <c r="K9503" s="1348"/>
    </row>
    <row r="9504" spans="2:11" hidden="1">
      <c r="B9504" s="1348"/>
      <c r="C9504" s="1348"/>
      <c r="D9504" s="1348"/>
      <c r="E9504" s="1348"/>
      <c r="F9504" s="1348"/>
      <c r="G9504" s="1348"/>
      <c r="H9504" s="1348"/>
      <c r="I9504" s="1348"/>
      <c r="J9504" s="1348"/>
      <c r="K9504" s="1348"/>
    </row>
    <row r="9505" spans="2:11" hidden="1">
      <c r="B9505" s="1348"/>
      <c r="C9505" s="1348"/>
      <c r="D9505" s="1348"/>
      <c r="E9505" s="1348"/>
      <c r="F9505" s="1348"/>
      <c r="G9505" s="1348"/>
      <c r="H9505" s="1348"/>
      <c r="I9505" s="1348"/>
      <c r="J9505" s="1348"/>
      <c r="K9505" s="1348"/>
    </row>
    <row r="9506" spans="2:11" hidden="1">
      <c r="B9506" s="1348"/>
      <c r="C9506" s="1348"/>
      <c r="D9506" s="1348"/>
      <c r="E9506" s="1348"/>
      <c r="F9506" s="1348"/>
      <c r="G9506" s="1348"/>
      <c r="H9506" s="1348"/>
      <c r="I9506" s="1348"/>
      <c r="J9506" s="1348"/>
      <c r="K9506" s="1348"/>
    </row>
    <row r="9507" spans="2:11" hidden="1">
      <c r="B9507" s="1348"/>
      <c r="C9507" s="1348"/>
      <c r="D9507" s="1348"/>
      <c r="E9507" s="1348"/>
      <c r="F9507" s="1348"/>
      <c r="G9507" s="1348"/>
      <c r="H9507" s="1348"/>
      <c r="I9507" s="1348"/>
      <c r="J9507" s="1348"/>
      <c r="K9507" s="1348"/>
    </row>
    <row r="9508" spans="2:11" hidden="1">
      <c r="B9508" s="1348"/>
      <c r="C9508" s="1348"/>
      <c r="D9508" s="1348"/>
      <c r="E9508" s="1348"/>
      <c r="F9508" s="1348"/>
      <c r="G9508" s="1348"/>
      <c r="H9508" s="1348"/>
      <c r="I9508" s="1348"/>
      <c r="J9508" s="1348"/>
      <c r="K9508" s="1348"/>
    </row>
    <row r="9509" spans="2:11" hidden="1">
      <c r="B9509" s="1348"/>
      <c r="C9509" s="1348"/>
      <c r="D9509" s="1348"/>
      <c r="E9509" s="1348"/>
      <c r="F9509" s="1348"/>
      <c r="G9509" s="1348"/>
      <c r="H9509" s="1348"/>
      <c r="I9509" s="1348"/>
      <c r="J9509" s="1348"/>
      <c r="K9509" s="1348"/>
    </row>
    <row r="9510" spans="2:11" hidden="1">
      <c r="B9510" s="1348"/>
      <c r="C9510" s="1348"/>
      <c r="D9510" s="1348"/>
      <c r="E9510" s="1348"/>
      <c r="F9510" s="1348"/>
      <c r="G9510" s="1348"/>
      <c r="H9510" s="1348"/>
      <c r="I9510" s="1348"/>
      <c r="J9510" s="1348"/>
      <c r="K9510" s="1348"/>
    </row>
    <row r="9511" spans="2:11" hidden="1">
      <c r="B9511" s="1348"/>
      <c r="C9511" s="1348"/>
      <c r="D9511" s="1348"/>
      <c r="E9511" s="1348"/>
      <c r="F9511" s="1348"/>
      <c r="G9511" s="1348"/>
      <c r="H9511" s="1348"/>
      <c r="I9511" s="1348"/>
      <c r="J9511" s="1348"/>
      <c r="K9511" s="1348"/>
    </row>
    <row r="9512" spans="2:11" hidden="1">
      <c r="B9512" s="1348"/>
      <c r="C9512" s="1348"/>
      <c r="D9512" s="1348"/>
      <c r="E9512" s="1348"/>
      <c r="F9512" s="1348"/>
      <c r="G9512" s="1348"/>
      <c r="H9512" s="1348"/>
      <c r="I9512" s="1348"/>
      <c r="J9512" s="1348"/>
      <c r="K9512" s="1348"/>
    </row>
    <row r="9513" spans="2:11" hidden="1">
      <c r="B9513" s="1348"/>
      <c r="C9513" s="1348"/>
      <c r="D9513" s="1348"/>
      <c r="E9513" s="1348"/>
      <c r="F9513" s="1348"/>
      <c r="G9513" s="1348"/>
      <c r="H9513" s="1348"/>
      <c r="I9513" s="1348"/>
      <c r="J9513" s="1348"/>
      <c r="K9513" s="1348"/>
    </row>
    <row r="9514" spans="2:11" hidden="1">
      <c r="B9514" s="1348"/>
      <c r="C9514" s="1348"/>
      <c r="D9514" s="1348"/>
      <c r="E9514" s="1348"/>
      <c r="F9514" s="1348"/>
      <c r="G9514" s="1348"/>
      <c r="H9514" s="1348"/>
      <c r="I9514" s="1348"/>
      <c r="J9514" s="1348"/>
      <c r="K9514" s="1348"/>
    </row>
    <row r="9515" spans="2:11" hidden="1">
      <c r="B9515" s="1348"/>
      <c r="C9515" s="1348"/>
      <c r="D9515" s="1348"/>
      <c r="E9515" s="1348"/>
      <c r="F9515" s="1348"/>
      <c r="G9515" s="1348"/>
      <c r="H9515" s="1348"/>
      <c r="I9515" s="1348"/>
      <c r="J9515" s="1348"/>
      <c r="K9515" s="1348"/>
    </row>
    <row r="9516" spans="2:11" hidden="1">
      <c r="B9516" s="1348"/>
      <c r="C9516" s="1348"/>
      <c r="D9516" s="1348"/>
      <c r="E9516" s="1348"/>
      <c r="F9516" s="1348"/>
      <c r="G9516" s="1348"/>
      <c r="H9516" s="1348"/>
      <c r="I9516" s="1348"/>
      <c r="J9516" s="1348"/>
      <c r="K9516" s="1348"/>
    </row>
    <row r="9517" spans="2:11" hidden="1">
      <c r="B9517" s="1348"/>
      <c r="C9517" s="1348"/>
      <c r="D9517" s="1348"/>
      <c r="E9517" s="1348"/>
      <c r="F9517" s="1348"/>
      <c r="G9517" s="1348"/>
      <c r="H9517" s="1348"/>
      <c r="I9517" s="1348"/>
      <c r="J9517" s="1348"/>
      <c r="K9517" s="1348"/>
    </row>
    <row r="9518" spans="2:11" hidden="1">
      <c r="B9518" s="1348"/>
      <c r="C9518" s="1348"/>
      <c r="D9518" s="1348"/>
      <c r="E9518" s="1348"/>
      <c r="F9518" s="1348"/>
      <c r="G9518" s="1348"/>
      <c r="H9518" s="1348"/>
      <c r="I9518" s="1348"/>
      <c r="J9518" s="1348"/>
      <c r="K9518" s="1348"/>
    </row>
    <row r="9519" spans="2:11" hidden="1">
      <c r="B9519" s="1348"/>
      <c r="C9519" s="1348"/>
      <c r="D9519" s="1348"/>
      <c r="E9519" s="1348"/>
      <c r="F9519" s="1348"/>
      <c r="G9519" s="1348"/>
      <c r="H9519" s="1348"/>
      <c r="I9519" s="1348"/>
      <c r="J9519" s="1348"/>
      <c r="K9519" s="1348"/>
    </row>
    <row r="9520" spans="2:11" hidden="1">
      <c r="B9520" s="1348"/>
      <c r="C9520" s="1348"/>
      <c r="D9520" s="1348"/>
      <c r="E9520" s="1348"/>
      <c r="F9520" s="1348"/>
      <c r="G9520" s="1348"/>
      <c r="H9520" s="1348"/>
      <c r="I9520" s="1348"/>
      <c r="J9520" s="1348"/>
      <c r="K9520" s="1348"/>
    </row>
    <row r="9521" spans="2:11" hidden="1">
      <c r="B9521" s="1348"/>
      <c r="C9521" s="1348"/>
      <c r="D9521" s="1348"/>
      <c r="E9521" s="1348"/>
      <c r="F9521" s="1348"/>
      <c r="G9521" s="1348"/>
      <c r="H9521" s="1348"/>
      <c r="I9521" s="1348"/>
      <c r="J9521" s="1348"/>
      <c r="K9521" s="1348"/>
    </row>
    <row r="9522" spans="2:11" hidden="1">
      <c r="B9522" s="1348"/>
      <c r="C9522" s="1348"/>
      <c r="D9522" s="1348"/>
      <c r="E9522" s="1348"/>
      <c r="F9522" s="1348"/>
      <c r="G9522" s="1348"/>
      <c r="H9522" s="1348"/>
      <c r="I9522" s="1348"/>
      <c r="J9522" s="1348"/>
      <c r="K9522" s="1348"/>
    </row>
    <row r="9523" spans="2:11" hidden="1">
      <c r="B9523" s="1348"/>
      <c r="C9523" s="1348"/>
      <c r="D9523" s="1348"/>
      <c r="E9523" s="1348"/>
      <c r="F9523" s="1348"/>
      <c r="G9523" s="1348"/>
      <c r="H9523" s="1348"/>
      <c r="I9523" s="1348"/>
      <c r="J9523" s="1348"/>
      <c r="K9523" s="1348"/>
    </row>
    <row r="9524" spans="2:11" hidden="1">
      <c r="B9524" s="1348"/>
      <c r="C9524" s="1348"/>
      <c r="D9524" s="1348"/>
      <c r="E9524" s="1348"/>
      <c r="F9524" s="1348"/>
      <c r="G9524" s="1348"/>
      <c r="H9524" s="1348"/>
      <c r="I9524" s="1348"/>
      <c r="J9524" s="1348"/>
      <c r="K9524" s="1348"/>
    </row>
    <row r="9525" spans="2:11" hidden="1">
      <c r="B9525" s="1348"/>
      <c r="C9525" s="1348"/>
      <c r="D9525" s="1348"/>
      <c r="E9525" s="1348"/>
      <c r="F9525" s="1348"/>
      <c r="G9525" s="1348"/>
      <c r="H9525" s="1348"/>
      <c r="I9525" s="1348"/>
      <c r="J9525" s="1348"/>
      <c r="K9525" s="1348"/>
    </row>
    <row r="9526" spans="2:11" hidden="1">
      <c r="B9526" s="1348"/>
      <c r="C9526" s="1348"/>
      <c r="D9526" s="1348"/>
      <c r="E9526" s="1348"/>
      <c r="F9526" s="1348"/>
      <c r="G9526" s="1348"/>
      <c r="H9526" s="1348"/>
      <c r="I9526" s="1348"/>
      <c r="J9526" s="1348"/>
      <c r="K9526" s="1348"/>
    </row>
    <row r="9527" spans="2:11" hidden="1">
      <c r="B9527" s="1348"/>
      <c r="C9527" s="1348"/>
      <c r="D9527" s="1348"/>
      <c r="E9527" s="1348"/>
      <c r="F9527" s="1348"/>
      <c r="G9527" s="1348"/>
      <c r="H9527" s="1348"/>
      <c r="I9527" s="1348"/>
      <c r="J9527" s="1348"/>
      <c r="K9527" s="1348"/>
    </row>
    <row r="9528" spans="2:11" hidden="1">
      <c r="B9528" s="1348"/>
      <c r="C9528" s="1348"/>
      <c r="D9528" s="1348"/>
      <c r="E9528" s="1348"/>
      <c r="F9528" s="1348"/>
      <c r="G9528" s="1348"/>
      <c r="H9528" s="1348"/>
      <c r="I9528" s="1348"/>
      <c r="J9528" s="1348"/>
      <c r="K9528" s="1348"/>
    </row>
    <row r="9529" spans="2:11" hidden="1">
      <c r="B9529" s="1348"/>
      <c r="C9529" s="1348"/>
      <c r="D9529" s="1348"/>
      <c r="E9529" s="1348"/>
      <c r="F9529" s="1348"/>
      <c r="G9529" s="1348"/>
      <c r="H9529" s="1348"/>
      <c r="I9529" s="1348"/>
      <c r="J9529" s="1348"/>
      <c r="K9529" s="1348"/>
    </row>
    <row r="9530" spans="2:11" hidden="1">
      <c r="B9530" s="1348"/>
      <c r="C9530" s="1348"/>
      <c r="D9530" s="1348"/>
      <c r="E9530" s="1348"/>
      <c r="F9530" s="1348"/>
      <c r="G9530" s="1348"/>
      <c r="H9530" s="1348"/>
      <c r="I9530" s="1348"/>
      <c r="J9530" s="1348"/>
      <c r="K9530" s="1348"/>
    </row>
    <row r="9531" spans="2:11" hidden="1">
      <c r="B9531" s="1348"/>
      <c r="C9531" s="1348"/>
      <c r="D9531" s="1348"/>
      <c r="E9531" s="1348"/>
      <c r="F9531" s="1348"/>
      <c r="G9531" s="1348"/>
      <c r="H9531" s="1348"/>
      <c r="I9531" s="1348"/>
      <c r="J9531" s="1348"/>
      <c r="K9531" s="1348"/>
    </row>
    <row r="9532" spans="2:11" hidden="1">
      <c r="B9532" s="1348"/>
      <c r="C9532" s="1348"/>
      <c r="D9532" s="1348"/>
      <c r="E9532" s="1348"/>
      <c r="F9532" s="1348"/>
      <c r="G9532" s="1348"/>
      <c r="H9532" s="1348"/>
      <c r="I9532" s="1348"/>
      <c r="J9532" s="1348"/>
      <c r="K9532" s="1348"/>
    </row>
    <row r="9533" spans="2:11" hidden="1">
      <c r="B9533" s="1348"/>
      <c r="C9533" s="1348"/>
      <c r="D9533" s="1348"/>
      <c r="E9533" s="1348"/>
      <c r="F9533" s="1348"/>
      <c r="G9533" s="1348"/>
      <c r="H9533" s="1348"/>
      <c r="I9533" s="1348"/>
      <c r="J9533" s="1348"/>
      <c r="K9533" s="1348"/>
    </row>
    <row r="9534" spans="2:11" hidden="1">
      <c r="B9534" s="1348"/>
      <c r="C9534" s="1348"/>
      <c r="D9534" s="1348"/>
      <c r="E9534" s="1348"/>
      <c r="F9534" s="1348"/>
      <c r="G9534" s="1348"/>
      <c r="H9534" s="1348"/>
      <c r="I9534" s="1348"/>
      <c r="J9534" s="1348"/>
      <c r="K9534" s="1348"/>
    </row>
    <row r="9535" spans="2:11" hidden="1">
      <c r="B9535" s="1348"/>
      <c r="C9535" s="1348"/>
      <c r="D9535" s="1348"/>
      <c r="E9535" s="1348"/>
      <c r="F9535" s="1348"/>
      <c r="G9535" s="1348"/>
      <c r="H9535" s="1348"/>
      <c r="I9535" s="1348"/>
      <c r="J9535" s="1348"/>
      <c r="K9535" s="1348"/>
    </row>
    <row r="9536" spans="2:11" hidden="1">
      <c r="B9536" s="1348"/>
      <c r="C9536" s="1348"/>
      <c r="D9536" s="1348"/>
      <c r="E9536" s="1348"/>
      <c r="F9536" s="1348"/>
      <c r="G9536" s="1348"/>
      <c r="H9536" s="1348"/>
      <c r="I9536" s="1348"/>
      <c r="J9536" s="1348"/>
      <c r="K9536" s="1348"/>
    </row>
    <row r="9537" spans="2:11" hidden="1">
      <c r="B9537" s="1348"/>
      <c r="C9537" s="1348"/>
      <c r="D9537" s="1348"/>
      <c r="E9537" s="1348"/>
      <c r="F9537" s="1348"/>
      <c r="G9537" s="1348"/>
      <c r="H9537" s="1348"/>
      <c r="I9537" s="1348"/>
      <c r="J9537" s="1348"/>
      <c r="K9537" s="1348"/>
    </row>
    <row r="9538" spans="2:11" hidden="1">
      <c r="B9538" s="1348"/>
      <c r="C9538" s="1348"/>
      <c r="D9538" s="1348"/>
      <c r="E9538" s="1348"/>
      <c r="F9538" s="1348"/>
      <c r="G9538" s="1348"/>
      <c r="H9538" s="1348"/>
      <c r="I9538" s="1348"/>
      <c r="J9538" s="1348"/>
      <c r="K9538" s="1348"/>
    </row>
    <row r="9539" spans="2:11" hidden="1">
      <c r="B9539" s="1348"/>
      <c r="C9539" s="1348"/>
      <c r="D9539" s="1348"/>
      <c r="E9539" s="1348"/>
      <c r="F9539" s="1348"/>
      <c r="G9539" s="1348"/>
      <c r="H9539" s="1348"/>
      <c r="I9539" s="1348"/>
      <c r="J9539" s="1348"/>
      <c r="K9539" s="1348"/>
    </row>
    <row r="9540" spans="2:11" hidden="1">
      <c r="B9540" s="1348"/>
      <c r="C9540" s="1348"/>
      <c r="D9540" s="1348"/>
      <c r="E9540" s="1348"/>
      <c r="F9540" s="1348"/>
      <c r="G9540" s="1348"/>
      <c r="H9540" s="1348"/>
      <c r="I9540" s="1348"/>
      <c r="J9540" s="1348"/>
      <c r="K9540" s="1348"/>
    </row>
    <row r="9541" spans="2:11" hidden="1">
      <c r="B9541" s="1348"/>
      <c r="C9541" s="1348"/>
      <c r="D9541" s="1348"/>
      <c r="E9541" s="1348"/>
      <c r="F9541" s="1348"/>
      <c r="G9541" s="1348"/>
      <c r="H9541" s="1348"/>
      <c r="I9541" s="1348"/>
      <c r="J9541" s="1348"/>
      <c r="K9541" s="1348"/>
    </row>
    <row r="9542" spans="2:11" hidden="1">
      <c r="B9542" s="1348"/>
      <c r="C9542" s="1348"/>
      <c r="D9542" s="1348"/>
      <c r="E9542" s="1348"/>
      <c r="F9542" s="1348"/>
      <c r="G9542" s="1348"/>
      <c r="H9542" s="1348"/>
      <c r="I9542" s="1348"/>
      <c r="J9542" s="1348"/>
      <c r="K9542" s="1348"/>
    </row>
    <row r="9543" spans="2:11" hidden="1">
      <c r="B9543" s="1348"/>
      <c r="C9543" s="1348"/>
      <c r="D9543" s="1348"/>
      <c r="E9543" s="1348"/>
      <c r="F9543" s="1348"/>
      <c r="G9543" s="1348"/>
      <c r="H9543" s="1348"/>
      <c r="I9543" s="1348"/>
      <c r="J9543" s="1348"/>
      <c r="K9543" s="1348"/>
    </row>
    <row r="9544" spans="2:11" hidden="1">
      <c r="B9544" s="1348"/>
      <c r="C9544" s="1348"/>
      <c r="D9544" s="1348"/>
      <c r="E9544" s="1348"/>
      <c r="F9544" s="1348"/>
      <c r="G9544" s="1348"/>
      <c r="H9544" s="1348"/>
      <c r="I9544" s="1348"/>
      <c r="J9544" s="1348"/>
      <c r="K9544" s="1348"/>
    </row>
    <row r="9545" spans="2:11" hidden="1">
      <c r="B9545" s="1348"/>
      <c r="C9545" s="1348"/>
      <c r="D9545" s="1348"/>
      <c r="E9545" s="1348"/>
      <c r="F9545" s="1348"/>
      <c r="G9545" s="1348"/>
      <c r="H9545" s="1348"/>
      <c r="I9545" s="1348"/>
      <c r="J9545" s="1348"/>
      <c r="K9545" s="1348"/>
    </row>
    <row r="9546" spans="2:11" hidden="1">
      <c r="B9546" s="1348"/>
      <c r="C9546" s="1348"/>
      <c r="D9546" s="1348"/>
      <c r="E9546" s="1348"/>
      <c r="F9546" s="1348"/>
      <c r="G9546" s="1348"/>
      <c r="H9546" s="1348"/>
      <c r="I9546" s="1348"/>
      <c r="J9546" s="1348"/>
      <c r="K9546" s="1348"/>
    </row>
    <row r="9547" spans="2:11" hidden="1">
      <c r="B9547" s="1348"/>
      <c r="C9547" s="1348"/>
      <c r="D9547" s="1348"/>
      <c r="E9547" s="1348"/>
      <c r="F9547" s="1348"/>
      <c r="G9547" s="1348"/>
      <c r="H9547" s="1348"/>
      <c r="I9547" s="1348"/>
      <c r="J9547" s="1348"/>
      <c r="K9547" s="1348"/>
    </row>
    <row r="9548" spans="2:11" hidden="1">
      <c r="B9548" s="1348"/>
      <c r="C9548" s="1348"/>
      <c r="D9548" s="1348"/>
      <c r="E9548" s="1348"/>
      <c r="F9548" s="1348"/>
      <c r="G9548" s="1348"/>
      <c r="H9548" s="1348"/>
      <c r="I9548" s="1348"/>
      <c r="J9548" s="1348"/>
      <c r="K9548" s="1348"/>
    </row>
    <row r="9549" spans="2:11" hidden="1">
      <c r="B9549" s="1348"/>
      <c r="C9549" s="1348"/>
      <c r="D9549" s="1348"/>
      <c r="E9549" s="1348"/>
      <c r="F9549" s="1348"/>
      <c r="G9549" s="1348"/>
      <c r="H9549" s="1348"/>
      <c r="I9549" s="1348"/>
      <c r="J9549" s="1348"/>
      <c r="K9549" s="1348"/>
    </row>
    <row r="9550" spans="2:11" hidden="1">
      <c r="B9550" s="1348"/>
      <c r="C9550" s="1348"/>
      <c r="D9550" s="1348"/>
      <c r="E9550" s="1348"/>
      <c r="F9550" s="1348"/>
      <c r="G9550" s="1348"/>
      <c r="H9550" s="1348"/>
      <c r="I9550" s="1348"/>
      <c r="J9550" s="1348"/>
      <c r="K9550" s="1348"/>
    </row>
    <row r="9551" spans="2:11" hidden="1">
      <c r="B9551" s="1348"/>
      <c r="C9551" s="1348"/>
      <c r="D9551" s="1348"/>
      <c r="E9551" s="1348"/>
      <c r="F9551" s="1348"/>
      <c r="G9551" s="1348"/>
      <c r="H9551" s="1348"/>
      <c r="I9551" s="1348"/>
      <c r="J9551" s="1348"/>
      <c r="K9551" s="1348"/>
    </row>
    <row r="9552" spans="2:11" hidden="1">
      <c r="B9552" s="1348"/>
      <c r="C9552" s="1348"/>
      <c r="D9552" s="1348"/>
      <c r="E9552" s="1348"/>
      <c r="F9552" s="1348"/>
      <c r="G9552" s="1348"/>
      <c r="H9552" s="1348"/>
      <c r="I9552" s="1348"/>
      <c r="J9552" s="1348"/>
      <c r="K9552" s="1348"/>
    </row>
    <row r="9553" spans="2:11" hidden="1">
      <c r="B9553" s="1348"/>
      <c r="C9553" s="1348"/>
      <c r="D9553" s="1348"/>
      <c r="E9553" s="1348"/>
      <c r="F9553" s="1348"/>
      <c r="G9553" s="1348"/>
      <c r="H9553" s="1348"/>
      <c r="I9553" s="1348"/>
      <c r="J9553" s="1348"/>
      <c r="K9553" s="1348"/>
    </row>
    <row r="9554" spans="2:11" hidden="1">
      <c r="B9554" s="1348"/>
      <c r="C9554" s="1348"/>
      <c r="D9554" s="1348"/>
      <c r="E9554" s="1348"/>
      <c r="F9554" s="1348"/>
      <c r="G9554" s="1348"/>
      <c r="H9554" s="1348"/>
      <c r="I9554" s="1348"/>
      <c r="J9554" s="1348"/>
      <c r="K9554" s="1348"/>
    </row>
    <row r="9555" spans="2:11" hidden="1">
      <c r="B9555" s="1348"/>
      <c r="C9555" s="1348"/>
      <c r="D9555" s="1348"/>
      <c r="E9555" s="1348"/>
      <c r="F9555" s="1348"/>
      <c r="G9555" s="1348"/>
      <c r="H9555" s="1348"/>
      <c r="I9555" s="1348"/>
      <c r="J9555" s="1348"/>
      <c r="K9555" s="1348"/>
    </row>
    <row r="9556" spans="2:11" hidden="1">
      <c r="B9556" s="1348"/>
      <c r="C9556" s="1348"/>
      <c r="D9556" s="1348"/>
      <c r="E9556" s="1348"/>
      <c r="F9556" s="1348"/>
      <c r="G9556" s="1348"/>
      <c r="H9556" s="1348"/>
      <c r="I9556" s="1348"/>
      <c r="J9556" s="1348"/>
      <c r="K9556" s="1348"/>
    </row>
    <row r="9557" spans="2:11" hidden="1">
      <c r="B9557" s="1348"/>
      <c r="C9557" s="1348"/>
      <c r="D9557" s="1348"/>
      <c r="E9557" s="1348"/>
      <c r="F9557" s="1348"/>
      <c r="G9557" s="1348"/>
      <c r="H9557" s="1348"/>
      <c r="I9557" s="1348"/>
      <c r="J9557" s="1348"/>
      <c r="K9557" s="1348"/>
    </row>
    <row r="9558" spans="2:11" hidden="1">
      <c r="B9558" s="1348"/>
      <c r="C9558" s="1348"/>
      <c r="D9558" s="1348"/>
      <c r="E9558" s="1348"/>
      <c r="F9558" s="1348"/>
      <c r="G9558" s="1348"/>
      <c r="H9558" s="1348"/>
      <c r="I9558" s="1348"/>
      <c r="J9558" s="1348"/>
      <c r="K9558" s="1348"/>
    </row>
    <row r="9559" spans="2:11" hidden="1">
      <c r="B9559" s="1348"/>
      <c r="C9559" s="1348"/>
      <c r="D9559" s="1348"/>
      <c r="E9559" s="1348"/>
      <c r="F9559" s="1348"/>
      <c r="G9559" s="1348"/>
      <c r="H9559" s="1348"/>
      <c r="I9559" s="1348"/>
      <c r="J9559" s="1348"/>
      <c r="K9559" s="1348"/>
    </row>
    <row r="9560" spans="2:11" hidden="1">
      <c r="B9560" s="1348"/>
      <c r="C9560" s="1348"/>
      <c r="D9560" s="1348"/>
      <c r="E9560" s="1348"/>
      <c r="F9560" s="1348"/>
      <c r="G9560" s="1348"/>
      <c r="H9560" s="1348"/>
      <c r="I9560" s="1348"/>
      <c r="J9560" s="1348"/>
      <c r="K9560" s="1348"/>
    </row>
    <row r="9561" spans="2:11" hidden="1">
      <c r="B9561" s="1348"/>
      <c r="C9561" s="1348"/>
      <c r="D9561" s="1348"/>
      <c r="E9561" s="1348"/>
      <c r="F9561" s="1348"/>
      <c r="G9561" s="1348"/>
      <c r="H9561" s="1348"/>
      <c r="I9561" s="1348"/>
      <c r="J9561" s="1348"/>
      <c r="K9561" s="1348"/>
    </row>
    <row r="9562" spans="2:11" hidden="1">
      <c r="B9562" s="1348"/>
      <c r="C9562" s="1348"/>
      <c r="D9562" s="1348"/>
      <c r="E9562" s="1348"/>
      <c r="F9562" s="1348"/>
      <c r="G9562" s="1348"/>
      <c r="H9562" s="1348"/>
      <c r="I9562" s="1348"/>
      <c r="J9562" s="1348"/>
      <c r="K9562" s="1348"/>
    </row>
    <row r="9563" spans="2:11" hidden="1">
      <c r="B9563" s="1348"/>
      <c r="C9563" s="1348"/>
      <c r="D9563" s="1348"/>
      <c r="E9563" s="1348"/>
      <c r="F9563" s="1348"/>
      <c r="G9563" s="1348"/>
      <c r="H9563" s="1348"/>
      <c r="I9563" s="1348"/>
      <c r="J9563" s="1348"/>
      <c r="K9563" s="1348"/>
    </row>
    <row r="9564" spans="2:11" hidden="1">
      <c r="B9564" s="1348"/>
      <c r="C9564" s="1348"/>
      <c r="D9564" s="1348"/>
      <c r="E9564" s="1348"/>
      <c r="F9564" s="1348"/>
      <c r="G9564" s="1348"/>
      <c r="H9564" s="1348"/>
      <c r="I9564" s="1348"/>
      <c r="J9564" s="1348"/>
      <c r="K9564" s="1348"/>
    </row>
    <row r="9565" spans="2:11" hidden="1">
      <c r="B9565" s="1348"/>
      <c r="C9565" s="1348"/>
      <c r="D9565" s="1348"/>
      <c r="E9565" s="1348"/>
      <c r="F9565" s="1348"/>
      <c r="G9565" s="1348"/>
      <c r="H9565" s="1348"/>
      <c r="I9565" s="1348"/>
      <c r="J9565" s="1348"/>
      <c r="K9565" s="1348"/>
    </row>
    <row r="9566" spans="2:11" hidden="1">
      <c r="B9566" s="1348"/>
      <c r="C9566" s="1348"/>
      <c r="D9566" s="1348"/>
      <c r="E9566" s="1348"/>
      <c r="F9566" s="1348"/>
      <c r="G9566" s="1348"/>
      <c r="H9566" s="1348"/>
      <c r="I9566" s="1348"/>
      <c r="J9566" s="1348"/>
      <c r="K9566" s="1348"/>
    </row>
    <row r="9567" spans="2:11" hidden="1">
      <c r="B9567" s="1348"/>
      <c r="C9567" s="1348"/>
      <c r="D9567" s="1348"/>
      <c r="E9567" s="1348"/>
      <c r="F9567" s="1348"/>
      <c r="G9567" s="1348"/>
      <c r="H9567" s="1348"/>
      <c r="I9567" s="1348"/>
      <c r="J9567" s="1348"/>
      <c r="K9567" s="1348"/>
    </row>
    <row r="9568" spans="2:11" hidden="1">
      <c r="B9568" s="1348"/>
      <c r="C9568" s="1348"/>
      <c r="D9568" s="1348"/>
      <c r="E9568" s="1348"/>
      <c r="F9568" s="1348"/>
      <c r="G9568" s="1348"/>
      <c r="H9568" s="1348"/>
      <c r="I9568" s="1348"/>
      <c r="J9568" s="1348"/>
      <c r="K9568" s="1348"/>
    </row>
    <row r="9569" spans="2:11" hidden="1">
      <c r="B9569" s="1348"/>
      <c r="C9569" s="1348"/>
      <c r="D9569" s="1348"/>
      <c r="E9569" s="1348"/>
      <c r="F9569" s="1348"/>
      <c r="G9569" s="1348"/>
      <c r="H9569" s="1348"/>
      <c r="I9569" s="1348"/>
      <c r="J9569" s="1348"/>
      <c r="K9569" s="1348"/>
    </row>
    <row r="9570" spans="2:11" hidden="1">
      <c r="B9570" s="1348"/>
      <c r="C9570" s="1348"/>
      <c r="D9570" s="1348"/>
      <c r="E9570" s="1348"/>
      <c r="F9570" s="1348"/>
      <c r="G9570" s="1348"/>
      <c r="H9570" s="1348"/>
      <c r="I9570" s="1348"/>
      <c r="J9570" s="1348"/>
      <c r="K9570" s="1348"/>
    </row>
    <row r="9571" spans="2:11" hidden="1">
      <c r="B9571" s="1348"/>
      <c r="C9571" s="1348"/>
      <c r="D9571" s="1348"/>
      <c r="E9571" s="1348"/>
      <c r="F9571" s="1348"/>
      <c r="G9571" s="1348"/>
      <c r="H9571" s="1348"/>
      <c r="I9571" s="1348"/>
      <c r="J9571" s="1348"/>
      <c r="K9571" s="1348"/>
    </row>
    <row r="9572" spans="2:11" hidden="1">
      <c r="B9572" s="1348"/>
      <c r="C9572" s="1348"/>
      <c r="D9572" s="1348"/>
      <c r="E9572" s="1348"/>
      <c r="F9572" s="1348"/>
      <c r="G9572" s="1348"/>
      <c r="H9572" s="1348"/>
      <c r="I9572" s="1348"/>
      <c r="J9572" s="1348"/>
      <c r="K9572" s="1348"/>
    </row>
    <row r="9573" spans="2:11" hidden="1">
      <c r="B9573" s="1348"/>
      <c r="C9573" s="1348"/>
      <c r="D9573" s="1348"/>
      <c r="E9573" s="1348"/>
      <c r="F9573" s="1348"/>
      <c r="G9573" s="1348"/>
      <c r="H9573" s="1348"/>
      <c r="I9573" s="1348"/>
      <c r="J9573" s="1348"/>
      <c r="K9573" s="1348"/>
    </row>
    <row r="9574" spans="2:11" hidden="1">
      <c r="B9574" s="1348"/>
      <c r="C9574" s="1348"/>
      <c r="D9574" s="1348"/>
      <c r="E9574" s="1348"/>
      <c r="F9574" s="1348"/>
      <c r="G9574" s="1348"/>
      <c r="H9574" s="1348"/>
      <c r="I9574" s="1348"/>
      <c r="J9574" s="1348"/>
      <c r="K9574" s="1348"/>
    </row>
    <row r="9575" spans="2:11" hidden="1">
      <c r="B9575" s="1348"/>
      <c r="C9575" s="1348"/>
      <c r="D9575" s="1348"/>
      <c r="E9575" s="1348"/>
      <c r="F9575" s="1348"/>
      <c r="G9575" s="1348"/>
      <c r="H9575" s="1348"/>
      <c r="I9575" s="1348"/>
      <c r="J9575" s="1348"/>
      <c r="K9575" s="1348"/>
    </row>
    <row r="9576" spans="2:11" hidden="1">
      <c r="B9576" s="1348"/>
      <c r="C9576" s="1348"/>
      <c r="D9576" s="1348"/>
      <c r="E9576" s="1348"/>
      <c r="F9576" s="1348"/>
      <c r="G9576" s="1348"/>
      <c r="H9576" s="1348"/>
      <c r="I9576" s="1348"/>
      <c r="J9576" s="1348"/>
      <c r="K9576" s="1348"/>
    </row>
    <row r="9577" spans="2:11" hidden="1">
      <c r="B9577" s="1348"/>
      <c r="C9577" s="1348"/>
      <c r="D9577" s="1348"/>
      <c r="E9577" s="1348"/>
      <c r="F9577" s="1348"/>
      <c r="G9577" s="1348"/>
      <c r="H9577" s="1348"/>
      <c r="I9577" s="1348"/>
      <c r="J9577" s="1348"/>
      <c r="K9577" s="1348"/>
    </row>
    <row r="9578" spans="2:11" hidden="1">
      <c r="B9578" s="1348"/>
      <c r="C9578" s="1348"/>
      <c r="D9578" s="1348"/>
      <c r="E9578" s="1348"/>
      <c r="F9578" s="1348"/>
      <c r="G9578" s="1348"/>
      <c r="H9578" s="1348"/>
      <c r="I9578" s="1348"/>
      <c r="J9578" s="1348"/>
      <c r="K9578" s="1348"/>
    </row>
    <row r="9579" spans="2:11" hidden="1">
      <c r="B9579" s="1348"/>
      <c r="C9579" s="1348"/>
      <c r="D9579" s="1348"/>
      <c r="E9579" s="1348"/>
      <c r="F9579" s="1348"/>
      <c r="G9579" s="1348"/>
      <c r="H9579" s="1348"/>
      <c r="I9579" s="1348"/>
      <c r="J9579" s="1348"/>
      <c r="K9579" s="1348"/>
    </row>
    <row r="9580" spans="2:11" hidden="1">
      <c r="B9580" s="1348"/>
      <c r="C9580" s="1348"/>
      <c r="D9580" s="1348"/>
      <c r="E9580" s="1348"/>
      <c r="F9580" s="1348"/>
      <c r="G9580" s="1348"/>
      <c r="H9580" s="1348"/>
      <c r="I9580" s="1348"/>
      <c r="J9580" s="1348"/>
      <c r="K9580" s="1348"/>
    </row>
    <row r="9581" spans="2:11" hidden="1">
      <c r="B9581" s="1348"/>
      <c r="C9581" s="1348"/>
      <c r="D9581" s="1348"/>
      <c r="E9581" s="1348"/>
      <c r="F9581" s="1348"/>
      <c r="G9581" s="1348"/>
      <c r="H9581" s="1348"/>
      <c r="I9581" s="1348"/>
      <c r="J9581" s="1348"/>
      <c r="K9581" s="1348"/>
    </row>
    <row r="9582" spans="2:11" hidden="1">
      <c r="B9582" s="1348"/>
      <c r="C9582" s="1348"/>
      <c r="D9582" s="1348"/>
      <c r="E9582" s="1348"/>
      <c r="F9582" s="1348"/>
      <c r="G9582" s="1348"/>
      <c r="H9582" s="1348"/>
      <c r="I9582" s="1348"/>
      <c r="J9582" s="1348"/>
      <c r="K9582" s="1348"/>
    </row>
    <row r="9583" spans="2:11" hidden="1">
      <c r="B9583" s="1348"/>
      <c r="C9583" s="1348"/>
      <c r="D9583" s="1348"/>
      <c r="E9583" s="1348"/>
      <c r="F9583" s="1348"/>
      <c r="G9583" s="1348"/>
      <c r="H9583" s="1348"/>
      <c r="I9583" s="1348"/>
      <c r="J9583" s="1348"/>
      <c r="K9583" s="1348"/>
    </row>
    <row r="9584" spans="2:11" hidden="1">
      <c r="B9584" s="1348"/>
      <c r="C9584" s="1348"/>
      <c r="D9584" s="1348"/>
      <c r="E9584" s="1348"/>
      <c r="F9584" s="1348"/>
      <c r="G9584" s="1348"/>
      <c r="H9584" s="1348"/>
      <c r="I9584" s="1348"/>
      <c r="J9584" s="1348"/>
      <c r="K9584" s="1348"/>
    </row>
    <row r="9585" spans="2:11" hidden="1">
      <c r="B9585" s="1348"/>
      <c r="C9585" s="1348"/>
      <c r="D9585" s="1348"/>
      <c r="E9585" s="1348"/>
      <c r="F9585" s="1348"/>
      <c r="G9585" s="1348"/>
      <c r="H9585" s="1348"/>
      <c r="I9585" s="1348"/>
      <c r="J9585" s="1348"/>
      <c r="K9585" s="1348"/>
    </row>
    <row r="9586" spans="2:11" hidden="1">
      <c r="B9586" s="1348"/>
      <c r="C9586" s="1348"/>
      <c r="D9586" s="1348"/>
      <c r="E9586" s="1348"/>
      <c r="F9586" s="1348"/>
      <c r="G9586" s="1348"/>
      <c r="H9586" s="1348"/>
      <c r="I9586" s="1348"/>
      <c r="J9586" s="1348"/>
      <c r="K9586" s="1348"/>
    </row>
    <row r="9587" spans="2:11" hidden="1">
      <c r="B9587" s="1348"/>
      <c r="C9587" s="1348"/>
      <c r="D9587" s="1348"/>
      <c r="E9587" s="1348"/>
      <c r="F9587" s="1348"/>
      <c r="G9587" s="1348"/>
      <c r="H9587" s="1348"/>
      <c r="I9587" s="1348"/>
      <c r="J9587" s="1348"/>
      <c r="K9587" s="1348"/>
    </row>
    <row r="9588" spans="2:11" hidden="1">
      <c r="B9588" s="1348"/>
      <c r="C9588" s="1348"/>
      <c r="D9588" s="1348"/>
      <c r="E9588" s="1348"/>
      <c r="F9588" s="1348"/>
      <c r="G9588" s="1348"/>
      <c r="H9588" s="1348"/>
      <c r="I9588" s="1348"/>
      <c r="J9588" s="1348"/>
      <c r="K9588" s="1348"/>
    </row>
    <row r="9589" spans="2:11" hidden="1">
      <c r="B9589" s="1348"/>
      <c r="C9589" s="1348"/>
      <c r="D9589" s="1348"/>
      <c r="E9589" s="1348"/>
      <c r="F9589" s="1348"/>
      <c r="G9589" s="1348"/>
      <c r="H9589" s="1348"/>
      <c r="I9589" s="1348"/>
      <c r="J9589" s="1348"/>
      <c r="K9589" s="1348"/>
    </row>
    <row r="9590" spans="2:11" hidden="1">
      <c r="B9590" s="1348"/>
      <c r="C9590" s="1348"/>
      <c r="D9590" s="1348"/>
      <c r="E9590" s="1348"/>
      <c r="F9590" s="1348"/>
      <c r="G9590" s="1348"/>
      <c r="H9590" s="1348"/>
      <c r="I9590" s="1348"/>
      <c r="J9590" s="1348"/>
      <c r="K9590" s="1348"/>
    </row>
    <row r="9591" spans="2:11" hidden="1">
      <c r="B9591" s="1348"/>
      <c r="C9591" s="1348"/>
      <c r="D9591" s="1348"/>
      <c r="E9591" s="1348"/>
      <c r="F9591" s="1348"/>
      <c r="G9591" s="1348"/>
      <c r="H9591" s="1348"/>
      <c r="I9591" s="1348"/>
      <c r="J9591" s="1348"/>
      <c r="K9591" s="1348"/>
    </row>
    <row r="9592" spans="2:11" hidden="1">
      <c r="B9592" s="1348"/>
      <c r="C9592" s="1348"/>
      <c r="D9592" s="1348"/>
      <c r="E9592" s="1348"/>
      <c r="F9592" s="1348"/>
      <c r="G9592" s="1348"/>
      <c r="H9592" s="1348"/>
      <c r="I9592" s="1348"/>
      <c r="J9592" s="1348"/>
      <c r="K9592" s="1348"/>
    </row>
    <row r="9593" spans="2:11" hidden="1">
      <c r="B9593" s="1348"/>
      <c r="C9593" s="1348"/>
      <c r="D9593" s="1348"/>
      <c r="E9593" s="1348"/>
      <c r="F9593" s="1348"/>
      <c r="G9593" s="1348"/>
      <c r="H9593" s="1348"/>
      <c r="I9593" s="1348"/>
      <c r="J9593" s="1348"/>
      <c r="K9593" s="1348"/>
    </row>
    <row r="9594" spans="2:11" hidden="1">
      <c r="B9594" s="1348"/>
      <c r="C9594" s="1348"/>
      <c r="D9594" s="1348"/>
      <c r="E9594" s="1348"/>
      <c r="F9594" s="1348"/>
      <c r="G9594" s="1348"/>
      <c r="H9594" s="1348"/>
      <c r="I9594" s="1348"/>
      <c r="J9594" s="1348"/>
      <c r="K9594" s="1348"/>
    </row>
    <row r="9595" spans="2:11" hidden="1">
      <c r="B9595" s="1348"/>
      <c r="C9595" s="1348"/>
      <c r="D9595" s="1348"/>
      <c r="E9595" s="1348"/>
      <c r="F9595" s="1348"/>
      <c r="G9595" s="1348"/>
      <c r="H9595" s="1348"/>
      <c r="I9595" s="1348"/>
      <c r="J9595" s="1348"/>
      <c r="K9595" s="1348"/>
    </row>
    <row r="9596" spans="2:11" hidden="1">
      <c r="B9596" s="1348"/>
      <c r="C9596" s="1348"/>
      <c r="D9596" s="1348"/>
      <c r="E9596" s="1348"/>
      <c r="F9596" s="1348"/>
      <c r="G9596" s="1348"/>
      <c r="H9596" s="1348"/>
      <c r="I9596" s="1348"/>
      <c r="J9596" s="1348"/>
      <c r="K9596" s="1348"/>
    </row>
    <row r="9597" spans="2:11" hidden="1">
      <c r="B9597" s="1348"/>
      <c r="C9597" s="1348"/>
      <c r="D9597" s="1348"/>
      <c r="E9597" s="1348"/>
      <c r="F9597" s="1348"/>
      <c r="G9597" s="1348"/>
      <c r="H9597" s="1348"/>
      <c r="I9597" s="1348"/>
      <c r="J9597" s="1348"/>
      <c r="K9597" s="1348"/>
    </row>
    <row r="9598" spans="2:11" hidden="1">
      <c r="B9598" s="1348"/>
      <c r="C9598" s="1348"/>
      <c r="D9598" s="1348"/>
      <c r="E9598" s="1348"/>
      <c r="F9598" s="1348"/>
      <c r="G9598" s="1348"/>
      <c r="H9598" s="1348"/>
      <c r="I9598" s="1348"/>
      <c r="J9598" s="1348"/>
      <c r="K9598" s="1348"/>
    </row>
    <row r="9599" spans="2:11" hidden="1">
      <c r="B9599" s="1348"/>
      <c r="C9599" s="1348"/>
      <c r="D9599" s="1348"/>
      <c r="E9599" s="1348"/>
      <c r="F9599" s="1348"/>
      <c r="G9599" s="1348"/>
      <c r="H9599" s="1348"/>
      <c r="I9599" s="1348"/>
      <c r="J9599" s="1348"/>
      <c r="K9599" s="1348"/>
    </row>
    <row r="9600" spans="2:11" hidden="1">
      <c r="B9600" s="1348"/>
      <c r="C9600" s="1348"/>
      <c r="D9600" s="1348"/>
      <c r="E9600" s="1348"/>
      <c r="F9600" s="1348"/>
      <c r="G9600" s="1348"/>
      <c r="H9600" s="1348"/>
      <c r="I9600" s="1348"/>
      <c r="J9600" s="1348"/>
      <c r="K9600" s="1348"/>
    </row>
    <row r="9601" spans="2:11" hidden="1">
      <c r="B9601" s="1348"/>
      <c r="C9601" s="1348"/>
      <c r="D9601" s="1348"/>
      <c r="E9601" s="1348"/>
      <c r="F9601" s="1348"/>
      <c r="G9601" s="1348"/>
      <c r="H9601" s="1348"/>
      <c r="I9601" s="1348"/>
      <c r="J9601" s="1348"/>
      <c r="K9601" s="1348"/>
    </row>
    <row r="9602" spans="2:11" hidden="1">
      <c r="B9602" s="1348"/>
      <c r="C9602" s="1348"/>
      <c r="D9602" s="1348"/>
      <c r="E9602" s="1348"/>
      <c r="F9602" s="1348"/>
      <c r="G9602" s="1348"/>
      <c r="H9602" s="1348"/>
      <c r="I9602" s="1348"/>
      <c r="J9602" s="1348"/>
      <c r="K9602" s="1348"/>
    </row>
    <row r="9603" spans="2:11" hidden="1">
      <c r="B9603" s="1348"/>
      <c r="C9603" s="1348"/>
      <c r="D9603" s="1348"/>
      <c r="E9603" s="1348"/>
      <c r="F9603" s="1348"/>
      <c r="G9603" s="1348"/>
      <c r="H9603" s="1348"/>
      <c r="I9603" s="1348"/>
      <c r="J9603" s="1348"/>
      <c r="K9603" s="1348"/>
    </row>
    <row r="9604" spans="2:11" hidden="1">
      <c r="B9604" s="1348"/>
      <c r="C9604" s="1348"/>
      <c r="D9604" s="1348"/>
      <c r="E9604" s="1348"/>
      <c r="F9604" s="1348"/>
      <c r="G9604" s="1348"/>
      <c r="H9604" s="1348"/>
      <c r="I9604" s="1348"/>
      <c r="J9604" s="1348"/>
      <c r="K9604" s="1348"/>
    </row>
    <row r="9605" spans="2:11" hidden="1">
      <c r="B9605" s="1348"/>
      <c r="C9605" s="1348"/>
      <c r="D9605" s="1348"/>
      <c r="E9605" s="1348"/>
      <c r="F9605" s="1348"/>
      <c r="G9605" s="1348"/>
      <c r="H9605" s="1348"/>
      <c r="I9605" s="1348"/>
      <c r="J9605" s="1348"/>
      <c r="K9605" s="1348"/>
    </row>
    <row r="9606" spans="2:11" hidden="1">
      <c r="B9606" s="1348"/>
      <c r="C9606" s="1348"/>
      <c r="D9606" s="1348"/>
      <c r="E9606" s="1348"/>
      <c r="F9606" s="1348"/>
      <c r="G9606" s="1348"/>
      <c r="H9606" s="1348"/>
      <c r="I9606" s="1348"/>
      <c r="J9606" s="1348"/>
      <c r="K9606" s="1348"/>
    </row>
    <row r="9607" spans="2:11" hidden="1">
      <c r="B9607" s="1348"/>
      <c r="C9607" s="1348"/>
      <c r="D9607" s="1348"/>
      <c r="E9607" s="1348"/>
      <c r="F9607" s="1348"/>
      <c r="G9607" s="1348"/>
      <c r="H9607" s="1348"/>
      <c r="I9607" s="1348"/>
      <c r="J9607" s="1348"/>
      <c r="K9607" s="1348"/>
    </row>
    <row r="9608" spans="2:11" hidden="1">
      <c r="B9608" s="1348"/>
      <c r="C9608" s="1348"/>
      <c r="D9608" s="1348"/>
      <c r="E9608" s="1348"/>
      <c r="F9608" s="1348"/>
      <c r="G9608" s="1348"/>
      <c r="H9608" s="1348"/>
      <c r="I9608" s="1348"/>
      <c r="J9608" s="1348"/>
      <c r="K9608" s="1348"/>
    </row>
    <row r="9609" spans="2:11" hidden="1">
      <c r="B9609" s="1348"/>
      <c r="C9609" s="1348"/>
      <c r="D9609" s="1348"/>
      <c r="E9609" s="1348"/>
      <c r="F9609" s="1348"/>
      <c r="G9609" s="1348"/>
      <c r="H9609" s="1348"/>
      <c r="I9609" s="1348"/>
      <c r="J9609" s="1348"/>
      <c r="K9609" s="1348"/>
    </row>
    <row r="9610" spans="2:11" hidden="1">
      <c r="B9610" s="1348"/>
      <c r="C9610" s="1348"/>
      <c r="D9610" s="1348"/>
      <c r="E9610" s="1348"/>
      <c r="F9610" s="1348"/>
      <c r="G9610" s="1348"/>
      <c r="H9610" s="1348"/>
      <c r="I9610" s="1348"/>
      <c r="J9610" s="1348"/>
      <c r="K9610" s="1348"/>
    </row>
    <row r="9611" spans="2:11" hidden="1">
      <c r="B9611" s="1348"/>
      <c r="C9611" s="1348"/>
      <c r="D9611" s="1348"/>
      <c r="E9611" s="1348"/>
      <c r="F9611" s="1348"/>
      <c r="G9611" s="1348"/>
      <c r="H9611" s="1348"/>
      <c r="I9611" s="1348"/>
      <c r="J9611" s="1348"/>
      <c r="K9611" s="1348"/>
    </row>
    <row r="9612" spans="2:11" hidden="1">
      <c r="B9612" s="1348"/>
      <c r="C9612" s="1348"/>
      <c r="D9612" s="1348"/>
      <c r="E9612" s="1348"/>
      <c r="F9612" s="1348"/>
      <c r="G9612" s="1348"/>
      <c r="H9612" s="1348"/>
      <c r="I9612" s="1348"/>
      <c r="J9612" s="1348"/>
      <c r="K9612" s="1348"/>
    </row>
    <row r="9613" spans="2:11" hidden="1">
      <c r="B9613" s="1348"/>
      <c r="C9613" s="1348"/>
      <c r="D9613" s="1348"/>
      <c r="E9613" s="1348"/>
      <c r="F9613" s="1348"/>
      <c r="G9613" s="1348"/>
      <c r="H9613" s="1348"/>
      <c r="I9613" s="1348"/>
      <c r="J9613" s="1348"/>
      <c r="K9613" s="1348"/>
    </row>
    <row r="9614" spans="2:11" hidden="1">
      <c r="B9614" s="1348"/>
      <c r="C9614" s="1348"/>
      <c r="D9614" s="1348"/>
      <c r="E9614" s="1348"/>
      <c r="F9614" s="1348"/>
      <c r="G9614" s="1348"/>
      <c r="H9614" s="1348"/>
      <c r="I9614" s="1348"/>
      <c r="J9614" s="1348"/>
      <c r="K9614" s="1348"/>
    </row>
    <row r="9615" spans="2:11" hidden="1">
      <c r="B9615" s="1348"/>
      <c r="C9615" s="1348"/>
      <c r="D9615" s="1348"/>
      <c r="E9615" s="1348"/>
      <c r="F9615" s="1348"/>
      <c r="G9615" s="1348"/>
      <c r="H9615" s="1348"/>
      <c r="I9615" s="1348"/>
      <c r="J9615" s="1348"/>
      <c r="K9615" s="1348"/>
    </row>
    <row r="9616" spans="2:11" hidden="1">
      <c r="B9616" s="1348"/>
      <c r="C9616" s="1348"/>
      <c r="D9616" s="1348"/>
      <c r="E9616" s="1348"/>
      <c r="F9616" s="1348"/>
      <c r="G9616" s="1348"/>
      <c r="H9616" s="1348"/>
      <c r="I9616" s="1348"/>
      <c r="J9616" s="1348"/>
      <c r="K9616" s="1348"/>
    </row>
    <row r="9617" spans="2:11" hidden="1">
      <c r="B9617" s="1348"/>
      <c r="C9617" s="1348"/>
      <c r="D9617" s="1348"/>
      <c r="E9617" s="1348"/>
      <c r="F9617" s="1348"/>
      <c r="G9617" s="1348"/>
      <c r="H9617" s="1348"/>
      <c r="I9617" s="1348"/>
      <c r="J9617" s="1348"/>
      <c r="K9617" s="1348"/>
    </row>
    <row r="9618" spans="2:11" hidden="1">
      <c r="B9618" s="1348"/>
      <c r="C9618" s="1348"/>
      <c r="D9618" s="1348"/>
      <c r="E9618" s="1348"/>
      <c r="F9618" s="1348"/>
      <c r="G9618" s="1348"/>
      <c r="H9618" s="1348"/>
      <c r="I9618" s="1348"/>
      <c r="J9618" s="1348"/>
      <c r="K9618" s="1348"/>
    </row>
    <row r="9619" spans="2:11" hidden="1">
      <c r="B9619" s="1348"/>
      <c r="C9619" s="1348"/>
      <c r="D9619" s="1348"/>
      <c r="E9619" s="1348"/>
      <c r="F9619" s="1348"/>
      <c r="G9619" s="1348"/>
      <c r="H9619" s="1348"/>
      <c r="I9619" s="1348"/>
      <c r="J9619" s="1348"/>
      <c r="K9619" s="1348"/>
    </row>
    <row r="9620" spans="2:11" hidden="1">
      <c r="B9620" s="1348"/>
      <c r="C9620" s="1348"/>
      <c r="D9620" s="1348"/>
      <c r="E9620" s="1348"/>
      <c r="F9620" s="1348"/>
      <c r="G9620" s="1348"/>
      <c r="H9620" s="1348"/>
      <c r="I9620" s="1348"/>
      <c r="J9620" s="1348"/>
      <c r="K9620" s="1348"/>
    </row>
    <row r="9621" spans="2:11" hidden="1">
      <c r="B9621" s="1348"/>
      <c r="C9621" s="1348"/>
      <c r="D9621" s="1348"/>
      <c r="E9621" s="1348"/>
      <c r="F9621" s="1348"/>
      <c r="G9621" s="1348"/>
      <c r="H9621" s="1348"/>
      <c r="I9621" s="1348"/>
      <c r="J9621" s="1348"/>
      <c r="K9621" s="1348"/>
    </row>
    <row r="9622" spans="2:11" hidden="1">
      <c r="B9622" s="1348"/>
      <c r="C9622" s="1348"/>
      <c r="D9622" s="1348"/>
      <c r="E9622" s="1348"/>
      <c r="F9622" s="1348"/>
      <c r="G9622" s="1348"/>
      <c r="H9622" s="1348"/>
      <c r="I9622" s="1348"/>
      <c r="J9622" s="1348"/>
      <c r="K9622" s="1348"/>
    </row>
    <row r="9623" spans="2:11" hidden="1">
      <c r="B9623" s="1348"/>
      <c r="C9623" s="1348"/>
      <c r="D9623" s="1348"/>
      <c r="E9623" s="1348"/>
      <c r="F9623" s="1348"/>
      <c r="G9623" s="1348"/>
      <c r="H9623" s="1348"/>
      <c r="I9623" s="1348"/>
      <c r="J9623" s="1348"/>
      <c r="K9623" s="1348"/>
    </row>
    <row r="9624" spans="2:11" hidden="1">
      <c r="B9624" s="1348"/>
      <c r="C9624" s="1348"/>
      <c r="D9624" s="1348"/>
      <c r="E9624" s="1348"/>
      <c r="F9624" s="1348"/>
      <c r="G9624" s="1348"/>
      <c r="H9624" s="1348"/>
      <c r="I9624" s="1348"/>
      <c r="J9624" s="1348"/>
      <c r="K9624" s="1348"/>
    </row>
    <row r="9625" spans="2:11" hidden="1">
      <c r="B9625" s="1348"/>
      <c r="C9625" s="1348"/>
      <c r="D9625" s="1348"/>
      <c r="E9625" s="1348"/>
      <c r="F9625" s="1348"/>
      <c r="G9625" s="1348"/>
      <c r="H9625" s="1348"/>
      <c r="I9625" s="1348"/>
      <c r="J9625" s="1348"/>
      <c r="K9625" s="1348"/>
    </row>
    <row r="9626" spans="2:11" hidden="1">
      <c r="B9626" s="1348"/>
      <c r="C9626" s="1348"/>
      <c r="D9626" s="1348"/>
      <c r="E9626" s="1348"/>
      <c r="F9626" s="1348"/>
      <c r="G9626" s="1348"/>
      <c r="H9626" s="1348"/>
      <c r="I9626" s="1348"/>
      <c r="J9626" s="1348"/>
      <c r="K9626" s="1348"/>
    </row>
    <row r="9627" spans="2:11" hidden="1">
      <c r="B9627" s="1348"/>
      <c r="C9627" s="1348"/>
      <c r="D9627" s="1348"/>
      <c r="E9627" s="1348"/>
      <c r="F9627" s="1348"/>
      <c r="G9627" s="1348"/>
      <c r="H9627" s="1348"/>
      <c r="I9627" s="1348"/>
      <c r="J9627" s="1348"/>
      <c r="K9627" s="1348"/>
    </row>
    <row r="9628" spans="2:11" hidden="1">
      <c r="B9628" s="1348"/>
      <c r="C9628" s="1348"/>
      <c r="D9628" s="1348"/>
      <c r="E9628" s="1348"/>
      <c r="F9628" s="1348"/>
      <c r="G9628" s="1348"/>
      <c r="H9628" s="1348"/>
      <c r="I9628" s="1348"/>
      <c r="J9628" s="1348"/>
      <c r="K9628" s="1348"/>
    </row>
    <row r="9629" spans="2:11" hidden="1">
      <c r="B9629" s="1348"/>
      <c r="C9629" s="1348"/>
      <c r="D9629" s="1348"/>
      <c r="E9629" s="1348"/>
      <c r="F9629" s="1348"/>
      <c r="G9629" s="1348"/>
      <c r="H9629" s="1348"/>
      <c r="I9629" s="1348"/>
      <c r="J9629" s="1348"/>
      <c r="K9629" s="1348"/>
    </row>
    <row r="9630" spans="2:11" hidden="1">
      <c r="B9630" s="1348"/>
      <c r="C9630" s="1348"/>
      <c r="D9630" s="1348"/>
      <c r="E9630" s="1348"/>
      <c r="F9630" s="1348"/>
      <c r="G9630" s="1348"/>
      <c r="H9630" s="1348"/>
      <c r="I9630" s="1348"/>
      <c r="J9630" s="1348"/>
      <c r="K9630" s="1348"/>
    </row>
    <row r="9631" spans="2:11" hidden="1">
      <c r="B9631" s="1348"/>
      <c r="C9631" s="1348"/>
      <c r="D9631" s="1348"/>
      <c r="E9631" s="1348"/>
      <c r="F9631" s="1348"/>
      <c r="G9631" s="1348"/>
      <c r="H9631" s="1348"/>
      <c r="I9631" s="1348"/>
      <c r="J9631" s="1348"/>
      <c r="K9631" s="1348"/>
    </row>
    <row r="9632" spans="2:11" hidden="1">
      <c r="B9632" s="1348"/>
      <c r="C9632" s="1348"/>
      <c r="D9632" s="1348"/>
      <c r="E9632" s="1348"/>
      <c r="F9632" s="1348"/>
      <c r="G9632" s="1348"/>
      <c r="H9632" s="1348"/>
      <c r="I9632" s="1348"/>
      <c r="J9632" s="1348"/>
      <c r="K9632" s="1348"/>
    </row>
    <row r="9633" spans="2:11" hidden="1">
      <c r="B9633" s="1348"/>
      <c r="C9633" s="1348"/>
      <c r="D9633" s="1348"/>
      <c r="E9633" s="1348"/>
      <c r="F9633" s="1348"/>
      <c r="G9633" s="1348"/>
      <c r="H9633" s="1348"/>
      <c r="I9633" s="1348"/>
      <c r="J9633" s="1348"/>
      <c r="K9633" s="1348"/>
    </row>
    <row r="9634" spans="2:11" hidden="1">
      <c r="B9634" s="1348"/>
      <c r="C9634" s="1348"/>
      <c r="D9634" s="1348"/>
      <c r="E9634" s="1348"/>
      <c r="F9634" s="1348"/>
      <c r="G9634" s="1348"/>
      <c r="H9634" s="1348"/>
      <c r="I9634" s="1348"/>
      <c r="J9634" s="1348"/>
      <c r="K9634" s="1348"/>
    </row>
    <row r="9635" spans="2:11" hidden="1">
      <c r="B9635" s="1348"/>
      <c r="C9635" s="1348"/>
      <c r="D9635" s="1348"/>
      <c r="E9635" s="1348"/>
      <c r="F9635" s="1348"/>
      <c r="G9635" s="1348"/>
      <c r="H9635" s="1348"/>
      <c r="I9635" s="1348"/>
      <c r="J9635" s="1348"/>
      <c r="K9635" s="1348"/>
    </row>
    <row r="9636" spans="2:11" hidden="1">
      <c r="B9636" s="1348"/>
      <c r="C9636" s="1348"/>
      <c r="D9636" s="1348"/>
      <c r="E9636" s="1348"/>
      <c r="F9636" s="1348"/>
      <c r="G9636" s="1348"/>
      <c r="H9636" s="1348"/>
      <c r="I9636" s="1348"/>
      <c r="J9636" s="1348"/>
      <c r="K9636" s="1348"/>
    </row>
    <row r="9637" spans="2:11" hidden="1">
      <c r="B9637" s="1348"/>
      <c r="C9637" s="1348"/>
      <c r="D9637" s="1348"/>
      <c r="E9637" s="1348"/>
      <c r="F9637" s="1348"/>
      <c r="G9637" s="1348"/>
      <c r="H9637" s="1348"/>
      <c r="I9637" s="1348"/>
      <c r="J9637" s="1348"/>
      <c r="K9637" s="1348"/>
    </row>
    <row r="9638" spans="2:11" hidden="1">
      <c r="B9638" s="1348"/>
      <c r="C9638" s="1348"/>
      <c r="D9638" s="1348"/>
      <c r="E9638" s="1348"/>
      <c r="F9638" s="1348"/>
      <c r="G9638" s="1348"/>
      <c r="H9638" s="1348"/>
      <c r="I9638" s="1348"/>
      <c r="J9638" s="1348"/>
      <c r="K9638" s="1348"/>
    </row>
    <row r="9639" spans="2:11" hidden="1">
      <c r="B9639" s="1348"/>
      <c r="C9639" s="1348"/>
      <c r="D9639" s="1348"/>
      <c r="E9639" s="1348"/>
      <c r="F9639" s="1348"/>
      <c r="G9639" s="1348"/>
      <c r="H9639" s="1348"/>
      <c r="I9639" s="1348"/>
      <c r="J9639" s="1348"/>
      <c r="K9639" s="1348"/>
    </row>
    <row r="9640" spans="2:11" hidden="1">
      <c r="B9640" s="1348"/>
      <c r="C9640" s="1348"/>
      <c r="D9640" s="1348"/>
      <c r="E9640" s="1348"/>
      <c r="F9640" s="1348"/>
      <c r="G9640" s="1348"/>
      <c r="H9640" s="1348"/>
      <c r="I9640" s="1348"/>
      <c r="J9640" s="1348"/>
      <c r="K9640" s="1348"/>
    </row>
    <row r="9641" spans="2:11" hidden="1">
      <c r="B9641" s="1348"/>
      <c r="C9641" s="1348"/>
      <c r="D9641" s="1348"/>
      <c r="E9641" s="1348"/>
      <c r="F9641" s="1348"/>
      <c r="G9641" s="1348"/>
      <c r="H9641" s="1348"/>
      <c r="I9641" s="1348"/>
      <c r="J9641" s="1348"/>
      <c r="K9641" s="1348"/>
    </row>
    <row r="9642" spans="2:11" hidden="1">
      <c r="B9642" s="1348"/>
      <c r="C9642" s="1348"/>
      <c r="D9642" s="1348"/>
      <c r="E9642" s="1348"/>
      <c r="F9642" s="1348"/>
      <c r="G9642" s="1348"/>
      <c r="H9642" s="1348"/>
      <c r="I9642" s="1348"/>
      <c r="J9642" s="1348"/>
      <c r="K9642" s="1348"/>
    </row>
    <row r="9643" spans="2:11" hidden="1">
      <c r="B9643" s="1348"/>
      <c r="C9643" s="1348"/>
      <c r="D9643" s="1348"/>
      <c r="E9643" s="1348"/>
      <c r="F9643" s="1348"/>
      <c r="G9643" s="1348"/>
      <c r="H9643" s="1348"/>
      <c r="I9643" s="1348"/>
      <c r="J9643" s="1348"/>
      <c r="K9643" s="1348"/>
    </row>
    <row r="9644" spans="2:11" hidden="1">
      <c r="B9644" s="1348"/>
      <c r="C9644" s="1348"/>
      <c r="D9644" s="1348"/>
      <c r="E9644" s="1348"/>
      <c r="F9644" s="1348"/>
      <c r="G9644" s="1348"/>
      <c r="H9644" s="1348"/>
      <c r="I9644" s="1348"/>
      <c r="J9644" s="1348"/>
      <c r="K9644" s="1348"/>
    </row>
    <row r="9645" spans="2:11" hidden="1">
      <c r="B9645" s="1348"/>
      <c r="C9645" s="1348"/>
      <c r="D9645" s="1348"/>
      <c r="E9645" s="1348"/>
      <c r="F9645" s="1348"/>
      <c r="G9645" s="1348"/>
      <c r="H9645" s="1348"/>
      <c r="I9645" s="1348"/>
      <c r="J9645" s="1348"/>
      <c r="K9645" s="1348"/>
    </row>
    <row r="9646" spans="2:11" hidden="1">
      <c r="B9646" s="1348"/>
      <c r="C9646" s="1348"/>
      <c r="D9646" s="1348"/>
      <c r="E9646" s="1348"/>
      <c r="F9646" s="1348"/>
      <c r="G9646" s="1348"/>
      <c r="H9646" s="1348"/>
      <c r="I9646" s="1348"/>
      <c r="J9646" s="1348"/>
      <c r="K9646" s="1348"/>
    </row>
    <row r="9647" spans="2:11" hidden="1">
      <c r="B9647" s="1348"/>
      <c r="C9647" s="1348"/>
      <c r="D9647" s="1348"/>
      <c r="E9647" s="1348"/>
      <c r="F9647" s="1348"/>
      <c r="G9647" s="1348"/>
      <c r="H9647" s="1348"/>
      <c r="I9647" s="1348"/>
      <c r="J9647" s="1348"/>
      <c r="K9647" s="1348"/>
    </row>
    <row r="9648" spans="2:11" hidden="1">
      <c r="B9648" s="1348"/>
      <c r="C9648" s="1348"/>
      <c r="D9648" s="1348"/>
      <c r="E9648" s="1348"/>
      <c r="F9648" s="1348"/>
      <c r="G9648" s="1348"/>
      <c r="H9648" s="1348"/>
      <c r="I9648" s="1348"/>
      <c r="J9648" s="1348"/>
      <c r="K9648" s="1348"/>
    </row>
    <row r="9649" spans="2:11" hidden="1">
      <c r="B9649" s="1348"/>
      <c r="C9649" s="1348"/>
      <c r="D9649" s="1348"/>
      <c r="E9649" s="1348"/>
      <c r="F9649" s="1348"/>
      <c r="G9649" s="1348"/>
      <c r="H9649" s="1348"/>
      <c r="I9649" s="1348"/>
      <c r="J9649" s="1348"/>
      <c r="K9649" s="1348"/>
    </row>
    <row r="9650" spans="2:11" hidden="1">
      <c r="B9650" s="1348"/>
      <c r="C9650" s="1348"/>
      <c r="D9650" s="1348"/>
      <c r="E9650" s="1348"/>
      <c r="F9650" s="1348"/>
      <c r="G9650" s="1348"/>
      <c r="H9650" s="1348"/>
      <c r="I9650" s="1348"/>
      <c r="J9650" s="1348"/>
      <c r="K9650" s="1348"/>
    </row>
    <row r="9651" spans="2:11" hidden="1">
      <c r="B9651" s="1348"/>
      <c r="C9651" s="1348"/>
      <c r="D9651" s="1348"/>
      <c r="E9651" s="1348"/>
      <c r="F9651" s="1348"/>
      <c r="G9651" s="1348"/>
      <c r="H9651" s="1348"/>
      <c r="I9651" s="1348"/>
      <c r="J9651" s="1348"/>
      <c r="K9651" s="1348"/>
    </row>
    <row r="9652" spans="2:11" hidden="1">
      <c r="B9652" s="1348"/>
      <c r="C9652" s="1348"/>
      <c r="D9652" s="1348"/>
      <c r="E9652" s="1348"/>
      <c r="F9652" s="1348"/>
      <c r="G9652" s="1348"/>
      <c r="H9652" s="1348"/>
      <c r="I9652" s="1348"/>
      <c r="J9652" s="1348"/>
      <c r="K9652" s="1348"/>
    </row>
    <row r="9653" spans="2:11" hidden="1">
      <c r="B9653" s="1348"/>
      <c r="C9653" s="1348"/>
      <c r="D9653" s="1348"/>
      <c r="E9653" s="1348"/>
      <c r="F9653" s="1348"/>
      <c r="G9653" s="1348"/>
      <c r="H9653" s="1348"/>
      <c r="I9653" s="1348"/>
      <c r="J9653" s="1348"/>
      <c r="K9653" s="1348"/>
    </row>
    <row r="9654" spans="2:11" hidden="1">
      <c r="B9654" s="1348"/>
      <c r="C9654" s="1348"/>
      <c r="D9654" s="1348"/>
      <c r="E9654" s="1348"/>
      <c r="F9654" s="1348"/>
      <c r="G9654" s="1348"/>
      <c r="H9654" s="1348"/>
      <c r="I9654" s="1348"/>
      <c r="J9654" s="1348"/>
      <c r="K9654" s="1348"/>
    </row>
    <row r="9655" spans="2:11" hidden="1">
      <c r="B9655" s="1348"/>
      <c r="C9655" s="1348"/>
      <c r="D9655" s="1348"/>
      <c r="E9655" s="1348"/>
      <c r="F9655" s="1348"/>
      <c r="G9655" s="1348"/>
      <c r="H9655" s="1348"/>
      <c r="I9655" s="1348"/>
      <c r="J9655" s="1348"/>
      <c r="K9655" s="1348"/>
    </row>
    <row r="9656" spans="2:11" hidden="1">
      <c r="B9656" s="1348"/>
      <c r="C9656" s="1348"/>
      <c r="D9656" s="1348"/>
      <c r="E9656" s="1348"/>
      <c r="F9656" s="1348"/>
      <c r="G9656" s="1348"/>
      <c r="H9656" s="1348"/>
      <c r="I9656" s="1348"/>
      <c r="J9656" s="1348"/>
      <c r="K9656" s="1348"/>
    </row>
    <row r="9657" spans="2:11" hidden="1">
      <c r="B9657" s="1348"/>
      <c r="C9657" s="1348"/>
      <c r="D9657" s="1348"/>
      <c r="E9657" s="1348"/>
      <c r="F9657" s="1348"/>
      <c r="G9657" s="1348"/>
      <c r="H9657" s="1348"/>
      <c r="I9657" s="1348"/>
      <c r="J9657" s="1348"/>
      <c r="K9657" s="1348"/>
    </row>
    <row r="9658" spans="2:11" hidden="1">
      <c r="B9658" s="1348"/>
      <c r="C9658" s="1348"/>
      <c r="D9658" s="1348"/>
      <c r="E9658" s="1348"/>
      <c r="F9658" s="1348"/>
      <c r="G9658" s="1348"/>
      <c r="H9658" s="1348"/>
      <c r="I9658" s="1348"/>
      <c r="J9658" s="1348"/>
      <c r="K9658" s="1348"/>
    </row>
    <row r="9659" spans="2:11" hidden="1">
      <c r="B9659" s="1348"/>
      <c r="C9659" s="1348"/>
      <c r="D9659" s="1348"/>
      <c r="E9659" s="1348"/>
      <c r="F9659" s="1348"/>
      <c r="G9659" s="1348"/>
      <c r="H9659" s="1348"/>
      <c r="I9659" s="1348"/>
      <c r="J9659" s="1348"/>
      <c r="K9659" s="1348"/>
    </row>
    <row r="9660" spans="2:11" hidden="1">
      <c r="B9660" s="1348"/>
      <c r="C9660" s="1348"/>
      <c r="D9660" s="1348"/>
      <c r="E9660" s="1348"/>
      <c r="F9660" s="1348"/>
      <c r="G9660" s="1348"/>
      <c r="H9660" s="1348"/>
      <c r="I9660" s="1348"/>
      <c r="J9660" s="1348"/>
      <c r="K9660" s="1348"/>
    </row>
    <row r="9661" spans="2:11" hidden="1">
      <c r="B9661" s="1348"/>
      <c r="C9661" s="1348"/>
      <c r="D9661" s="1348"/>
      <c r="E9661" s="1348"/>
      <c r="F9661" s="1348"/>
      <c r="G9661" s="1348"/>
      <c r="H9661" s="1348"/>
      <c r="I9661" s="1348"/>
      <c r="J9661" s="1348"/>
      <c r="K9661" s="1348"/>
    </row>
    <row r="9662" spans="2:11" hidden="1">
      <c r="B9662" s="1348"/>
      <c r="C9662" s="1348"/>
      <c r="D9662" s="1348"/>
      <c r="E9662" s="1348"/>
      <c r="F9662" s="1348"/>
      <c r="G9662" s="1348"/>
      <c r="H9662" s="1348"/>
      <c r="I9662" s="1348"/>
      <c r="J9662" s="1348"/>
      <c r="K9662" s="1348"/>
    </row>
    <row r="9663" spans="2:11" hidden="1">
      <c r="B9663" s="1348"/>
      <c r="C9663" s="1348"/>
      <c r="D9663" s="1348"/>
      <c r="E9663" s="1348"/>
      <c r="F9663" s="1348"/>
      <c r="G9663" s="1348"/>
      <c r="H9663" s="1348"/>
      <c r="I9663" s="1348"/>
      <c r="J9663" s="1348"/>
      <c r="K9663" s="1348"/>
    </row>
    <row r="9664" spans="2:11" hidden="1">
      <c r="B9664" s="1348"/>
      <c r="C9664" s="1348"/>
      <c r="D9664" s="1348"/>
      <c r="E9664" s="1348"/>
      <c r="F9664" s="1348"/>
      <c r="G9664" s="1348"/>
      <c r="H9664" s="1348"/>
      <c r="I9664" s="1348"/>
      <c r="J9664" s="1348"/>
      <c r="K9664" s="1348"/>
    </row>
    <row r="9665" spans="2:11" hidden="1">
      <c r="B9665" s="1348"/>
      <c r="C9665" s="1348"/>
      <c r="D9665" s="1348"/>
      <c r="E9665" s="1348"/>
      <c r="F9665" s="1348"/>
      <c r="G9665" s="1348"/>
      <c r="H9665" s="1348"/>
      <c r="I9665" s="1348"/>
      <c r="J9665" s="1348"/>
      <c r="K9665" s="1348"/>
    </row>
    <row r="9666" spans="2:11" hidden="1">
      <c r="B9666" s="1348"/>
      <c r="C9666" s="1348"/>
      <c r="D9666" s="1348"/>
      <c r="E9666" s="1348"/>
      <c r="F9666" s="1348"/>
      <c r="G9666" s="1348"/>
      <c r="H9666" s="1348"/>
      <c r="I9666" s="1348"/>
      <c r="J9666" s="1348"/>
      <c r="K9666" s="1348"/>
    </row>
    <row r="9667" spans="2:11" hidden="1">
      <c r="B9667" s="1348"/>
      <c r="C9667" s="1348"/>
      <c r="D9667" s="1348"/>
      <c r="E9667" s="1348"/>
      <c r="F9667" s="1348"/>
      <c r="G9667" s="1348"/>
      <c r="H9667" s="1348"/>
      <c r="I9667" s="1348"/>
      <c r="J9667" s="1348"/>
      <c r="K9667" s="1348"/>
    </row>
    <row r="9668" spans="2:11" hidden="1">
      <c r="B9668" s="1348"/>
      <c r="C9668" s="1348"/>
      <c r="D9668" s="1348"/>
      <c r="E9668" s="1348"/>
      <c r="F9668" s="1348"/>
      <c r="G9668" s="1348"/>
      <c r="H9668" s="1348"/>
      <c r="I9668" s="1348"/>
      <c r="J9668" s="1348"/>
      <c r="K9668" s="1348"/>
    </row>
    <row r="9669" spans="2:11" hidden="1">
      <c r="B9669" s="1348"/>
      <c r="C9669" s="1348"/>
      <c r="D9669" s="1348"/>
      <c r="E9669" s="1348"/>
      <c r="F9669" s="1348"/>
      <c r="G9669" s="1348"/>
      <c r="H9669" s="1348"/>
      <c r="I9669" s="1348"/>
      <c r="J9669" s="1348"/>
      <c r="K9669" s="1348"/>
    </row>
    <row r="9670" spans="2:11" hidden="1">
      <c r="B9670" s="1348"/>
      <c r="C9670" s="1348"/>
      <c r="D9670" s="1348"/>
      <c r="E9670" s="1348"/>
      <c r="F9670" s="1348"/>
      <c r="G9670" s="1348"/>
      <c r="H9670" s="1348"/>
      <c r="I9670" s="1348"/>
      <c r="J9670" s="1348"/>
      <c r="K9670" s="1348"/>
    </row>
    <row r="9671" spans="2:11" hidden="1">
      <c r="B9671" s="1348"/>
      <c r="C9671" s="1348"/>
      <c r="D9671" s="1348"/>
      <c r="E9671" s="1348"/>
      <c r="F9671" s="1348"/>
      <c r="G9671" s="1348"/>
      <c r="H9671" s="1348"/>
      <c r="I9671" s="1348"/>
      <c r="J9671" s="1348"/>
      <c r="K9671" s="1348"/>
    </row>
    <row r="9672" spans="2:11" hidden="1">
      <c r="B9672" s="1348"/>
      <c r="C9672" s="1348"/>
      <c r="D9672" s="1348"/>
      <c r="E9672" s="1348"/>
      <c r="F9672" s="1348"/>
      <c r="G9672" s="1348"/>
      <c r="H9672" s="1348"/>
      <c r="I9672" s="1348"/>
      <c r="J9672" s="1348"/>
      <c r="K9672" s="1348"/>
    </row>
    <row r="9673" spans="2:11" hidden="1">
      <c r="B9673" s="1348"/>
      <c r="C9673" s="1348"/>
      <c r="D9673" s="1348"/>
      <c r="E9673" s="1348"/>
      <c r="F9673" s="1348"/>
      <c r="G9673" s="1348"/>
      <c r="H9673" s="1348"/>
      <c r="I9673" s="1348"/>
      <c r="J9673" s="1348"/>
      <c r="K9673" s="1348"/>
    </row>
    <row r="9674" spans="2:11" hidden="1">
      <c r="B9674" s="1348"/>
      <c r="C9674" s="1348"/>
      <c r="D9674" s="1348"/>
      <c r="E9674" s="1348"/>
      <c r="F9674" s="1348"/>
      <c r="G9674" s="1348"/>
      <c r="H9674" s="1348"/>
      <c r="I9674" s="1348"/>
      <c r="J9674" s="1348"/>
      <c r="K9674" s="1348"/>
    </row>
    <row r="9675" spans="2:11" hidden="1">
      <c r="B9675" s="1348"/>
      <c r="C9675" s="1348"/>
      <c r="D9675" s="1348"/>
      <c r="E9675" s="1348"/>
      <c r="F9675" s="1348"/>
      <c r="G9675" s="1348"/>
      <c r="H9675" s="1348"/>
      <c r="I9675" s="1348"/>
      <c r="J9675" s="1348"/>
      <c r="K9675" s="1348"/>
    </row>
    <row r="9676" spans="2:11" hidden="1">
      <c r="B9676" s="1348"/>
      <c r="C9676" s="1348"/>
      <c r="D9676" s="1348"/>
      <c r="E9676" s="1348"/>
      <c r="F9676" s="1348"/>
      <c r="G9676" s="1348"/>
      <c r="H9676" s="1348"/>
      <c r="I9676" s="1348"/>
      <c r="J9676" s="1348"/>
      <c r="K9676" s="1348"/>
    </row>
    <row r="9677" spans="2:11" hidden="1">
      <c r="B9677" s="1348"/>
      <c r="C9677" s="1348"/>
      <c r="D9677" s="1348"/>
      <c r="E9677" s="1348"/>
      <c r="F9677" s="1348"/>
      <c r="G9677" s="1348"/>
      <c r="H9677" s="1348"/>
      <c r="I9677" s="1348"/>
      <c r="J9677" s="1348"/>
      <c r="K9677" s="1348"/>
    </row>
    <row r="9678" spans="2:11" hidden="1">
      <c r="B9678" s="1348"/>
      <c r="C9678" s="1348"/>
      <c r="D9678" s="1348"/>
      <c r="E9678" s="1348"/>
      <c r="F9678" s="1348"/>
      <c r="G9678" s="1348"/>
      <c r="H9678" s="1348"/>
      <c r="I9678" s="1348"/>
      <c r="J9678" s="1348"/>
      <c r="K9678" s="1348"/>
    </row>
    <row r="9679" spans="2:11" hidden="1">
      <c r="B9679" s="1348"/>
      <c r="C9679" s="1348"/>
      <c r="D9679" s="1348"/>
      <c r="E9679" s="1348"/>
      <c r="F9679" s="1348"/>
      <c r="G9679" s="1348"/>
      <c r="H9679" s="1348"/>
      <c r="I9679" s="1348"/>
      <c r="J9679" s="1348"/>
      <c r="K9679" s="1348"/>
    </row>
    <row r="9680" spans="2:11" hidden="1">
      <c r="B9680" s="1348"/>
      <c r="C9680" s="1348"/>
      <c r="D9680" s="1348"/>
      <c r="E9680" s="1348"/>
      <c r="F9680" s="1348"/>
      <c r="G9680" s="1348"/>
      <c r="H9680" s="1348"/>
      <c r="I9680" s="1348"/>
      <c r="J9680" s="1348"/>
      <c r="K9680" s="1348"/>
    </row>
    <row r="9681" spans="2:11" hidden="1">
      <c r="B9681" s="1348"/>
      <c r="C9681" s="1348"/>
      <c r="D9681" s="1348"/>
      <c r="E9681" s="1348"/>
      <c r="F9681" s="1348"/>
      <c r="G9681" s="1348"/>
      <c r="H9681" s="1348"/>
      <c r="I9681" s="1348"/>
      <c r="J9681" s="1348"/>
      <c r="K9681" s="1348"/>
    </row>
    <row r="9682" spans="2:11" hidden="1">
      <c r="B9682" s="1348"/>
      <c r="C9682" s="1348"/>
      <c r="D9682" s="1348"/>
      <c r="E9682" s="1348"/>
      <c r="F9682" s="1348"/>
      <c r="G9682" s="1348"/>
      <c r="H9682" s="1348"/>
      <c r="I9682" s="1348"/>
      <c r="J9682" s="1348"/>
      <c r="K9682" s="1348"/>
    </row>
    <row r="9683" spans="2:11" hidden="1">
      <c r="B9683" s="1348"/>
      <c r="C9683" s="1348"/>
      <c r="D9683" s="1348"/>
      <c r="E9683" s="1348"/>
      <c r="F9683" s="1348"/>
      <c r="G9683" s="1348"/>
      <c r="H9683" s="1348"/>
      <c r="I9683" s="1348"/>
      <c r="J9683" s="1348"/>
      <c r="K9683" s="1348"/>
    </row>
    <row r="9684" spans="2:11" hidden="1">
      <c r="B9684" s="1348"/>
      <c r="C9684" s="1348"/>
      <c r="D9684" s="1348"/>
      <c r="E9684" s="1348"/>
      <c r="F9684" s="1348"/>
      <c r="G9684" s="1348"/>
      <c r="H9684" s="1348"/>
      <c r="I9684" s="1348"/>
      <c r="J9684" s="1348"/>
      <c r="K9684" s="1348"/>
    </row>
    <row r="9685" spans="2:11" hidden="1">
      <c r="B9685" s="1348"/>
      <c r="C9685" s="1348"/>
      <c r="D9685" s="1348"/>
      <c r="E9685" s="1348"/>
      <c r="F9685" s="1348"/>
      <c r="G9685" s="1348"/>
      <c r="H9685" s="1348"/>
      <c r="I9685" s="1348"/>
      <c r="J9685" s="1348"/>
      <c r="K9685" s="1348"/>
    </row>
    <row r="9686" spans="2:11" hidden="1">
      <c r="B9686" s="1348"/>
      <c r="C9686" s="1348"/>
      <c r="D9686" s="1348"/>
      <c r="E9686" s="1348"/>
      <c r="F9686" s="1348"/>
      <c r="G9686" s="1348"/>
      <c r="H9686" s="1348"/>
      <c r="I9686" s="1348"/>
      <c r="J9686" s="1348"/>
      <c r="K9686" s="1348"/>
    </row>
    <row r="9687" spans="2:11" hidden="1">
      <c r="B9687" s="1348"/>
      <c r="C9687" s="1348"/>
      <c r="D9687" s="1348"/>
      <c r="E9687" s="1348"/>
      <c r="F9687" s="1348"/>
      <c r="G9687" s="1348"/>
      <c r="H9687" s="1348"/>
      <c r="I9687" s="1348"/>
      <c r="J9687" s="1348"/>
      <c r="K9687" s="1348"/>
    </row>
    <row r="9688" spans="2:11" hidden="1">
      <c r="B9688" s="1348"/>
      <c r="C9688" s="1348"/>
      <c r="D9688" s="1348"/>
      <c r="E9688" s="1348"/>
      <c r="F9688" s="1348"/>
      <c r="G9688" s="1348"/>
      <c r="H9688" s="1348"/>
      <c r="I9688" s="1348"/>
      <c r="J9688" s="1348"/>
      <c r="K9688" s="1348"/>
    </row>
    <row r="9689" spans="2:11" hidden="1">
      <c r="B9689" s="1348"/>
      <c r="C9689" s="1348"/>
      <c r="D9689" s="1348"/>
      <c r="E9689" s="1348"/>
      <c r="F9689" s="1348"/>
      <c r="G9689" s="1348"/>
      <c r="H9689" s="1348"/>
      <c r="I9689" s="1348"/>
      <c r="J9689" s="1348"/>
      <c r="K9689" s="1348"/>
    </row>
    <row r="9690" spans="2:11" hidden="1">
      <c r="B9690" s="1348"/>
      <c r="C9690" s="1348"/>
      <c r="D9690" s="1348"/>
      <c r="E9690" s="1348"/>
      <c r="F9690" s="1348"/>
      <c r="G9690" s="1348"/>
      <c r="H9690" s="1348"/>
      <c r="I9690" s="1348"/>
      <c r="J9690" s="1348"/>
      <c r="K9690" s="1348"/>
    </row>
    <row r="9691" spans="2:11" hidden="1">
      <c r="B9691" s="1348"/>
      <c r="C9691" s="1348"/>
      <c r="D9691" s="1348"/>
      <c r="E9691" s="1348"/>
      <c r="F9691" s="1348"/>
      <c r="G9691" s="1348"/>
      <c r="H9691" s="1348"/>
      <c r="I9691" s="1348"/>
      <c r="J9691" s="1348"/>
      <c r="K9691" s="1348"/>
    </row>
    <row r="9692" spans="2:11" hidden="1">
      <c r="B9692" s="1348"/>
      <c r="C9692" s="1348"/>
      <c r="D9692" s="1348"/>
      <c r="E9692" s="1348"/>
      <c r="F9692" s="1348"/>
      <c r="G9692" s="1348"/>
      <c r="H9692" s="1348"/>
      <c r="I9692" s="1348"/>
      <c r="J9692" s="1348"/>
      <c r="K9692" s="1348"/>
    </row>
    <row r="9693" spans="2:11" hidden="1">
      <c r="B9693" s="1348"/>
      <c r="C9693" s="1348"/>
      <c r="D9693" s="1348"/>
      <c r="E9693" s="1348"/>
      <c r="F9693" s="1348"/>
      <c r="G9693" s="1348"/>
      <c r="H9693" s="1348"/>
      <c r="I9693" s="1348"/>
      <c r="J9693" s="1348"/>
      <c r="K9693" s="1348"/>
    </row>
    <row r="9694" spans="2:11" hidden="1">
      <c r="B9694" s="1348"/>
      <c r="C9694" s="1348"/>
      <c r="D9694" s="1348"/>
      <c r="E9694" s="1348"/>
      <c r="F9694" s="1348"/>
      <c r="G9694" s="1348"/>
      <c r="H9694" s="1348"/>
      <c r="I9694" s="1348"/>
      <c r="J9694" s="1348"/>
      <c r="K9694" s="1348"/>
    </row>
    <row r="9695" spans="2:11" hidden="1">
      <c r="B9695" s="1348"/>
      <c r="C9695" s="1348"/>
      <c r="D9695" s="1348"/>
      <c r="E9695" s="1348"/>
      <c r="F9695" s="1348"/>
      <c r="G9695" s="1348"/>
      <c r="H9695" s="1348"/>
      <c r="I9695" s="1348"/>
      <c r="J9695" s="1348"/>
      <c r="K9695" s="1348"/>
    </row>
    <row r="9696" spans="2:11" hidden="1">
      <c r="B9696" s="1348"/>
      <c r="C9696" s="1348"/>
      <c r="D9696" s="1348"/>
      <c r="E9696" s="1348"/>
      <c r="F9696" s="1348"/>
      <c r="G9696" s="1348"/>
      <c r="H9696" s="1348"/>
      <c r="I9696" s="1348"/>
      <c r="J9696" s="1348"/>
      <c r="K9696" s="1348"/>
    </row>
    <row r="9697" spans="2:11" hidden="1">
      <c r="B9697" s="1348"/>
      <c r="C9697" s="1348"/>
      <c r="D9697" s="1348"/>
      <c r="E9697" s="1348"/>
      <c r="F9697" s="1348"/>
      <c r="G9697" s="1348"/>
      <c r="H9697" s="1348"/>
      <c r="I9697" s="1348"/>
      <c r="J9697" s="1348"/>
      <c r="K9697" s="1348"/>
    </row>
    <row r="9698" spans="2:11" hidden="1">
      <c r="B9698" s="1348"/>
      <c r="C9698" s="1348"/>
      <c r="D9698" s="1348"/>
      <c r="E9698" s="1348"/>
      <c r="F9698" s="1348"/>
      <c r="G9698" s="1348"/>
      <c r="H9698" s="1348"/>
      <c r="I9698" s="1348"/>
      <c r="J9698" s="1348"/>
      <c r="K9698" s="1348"/>
    </row>
    <row r="9699" spans="2:11" hidden="1">
      <c r="B9699" s="1348"/>
      <c r="C9699" s="1348"/>
      <c r="D9699" s="1348"/>
      <c r="E9699" s="1348"/>
      <c r="F9699" s="1348"/>
      <c r="G9699" s="1348"/>
      <c r="H9699" s="1348"/>
      <c r="I9699" s="1348"/>
      <c r="J9699" s="1348"/>
      <c r="K9699" s="1348"/>
    </row>
    <row r="9700" spans="2:11" hidden="1">
      <c r="B9700" s="1348"/>
      <c r="C9700" s="1348"/>
      <c r="D9700" s="1348"/>
      <c r="E9700" s="1348"/>
      <c r="F9700" s="1348"/>
      <c r="G9700" s="1348"/>
      <c r="H9700" s="1348"/>
      <c r="I9700" s="1348"/>
      <c r="J9700" s="1348"/>
      <c r="K9700" s="1348"/>
    </row>
    <row r="9701" spans="2:11" hidden="1">
      <c r="B9701" s="1348"/>
      <c r="C9701" s="1348"/>
      <c r="D9701" s="1348"/>
      <c r="E9701" s="1348"/>
      <c r="F9701" s="1348"/>
      <c r="G9701" s="1348"/>
      <c r="H9701" s="1348"/>
      <c r="I9701" s="1348"/>
      <c r="J9701" s="1348"/>
      <c r="K9701" s="1348"/>
    </row>
    <row r="9702" spans="2:11" hidden="1">
      <c r="B9702" s="1348"/>
      <c r="C9702" s="1348"/>
      <c r="D9702" s="1348"/>
      <c r="E9702" s="1348"/>
      <c r="F9702" s="1348"/>
      <c r="G9702" s="1348"/>
      <c r="H9702" s="1348"/>
      <c r="I9702" s="1348"/>
      <c r="J9702" s="1348"/>
      <c r="K9702" s="1348"/>
    </row>
    <row r="9703" spans="2:11" hidden="1">
      <c r="B9703" s="1348"/>
      <c r="C9703" s="1348"/>
      <c r="D9703" s="1348"/>
      <c r="E9703" s="1348"/>
      <c r="F9703" s="1348"/>
      <c r="G9703" s="1348"/>
      <c r="H9703" s="1348"/>
      <c r="I9703" s="1348"/>
      <c r="J9703" s="1348"/>
      <c r="K9703" s="1348"/>
    </row>
    <row r="9704" spans="2:11" hidden="1">
      <c r="B9704" s="1348"/>
      <c r="C9704" s="1348"/>
      <c r="D9704" s="1348"/>
      <c r="E9704" s="1348"/>
      <c r="F9704" s="1348"/>
      <c r="G9704" s="1348"/>
      <c r="H9704" s="1348"/>
      <c r="I9704" s="1348"/>
      <c r="J9704" s="1348"/>
      <c r="K9704" s="1348"/>
    </row>
    <row r="9705" spans="2:11" hidden="1">
      <c r="B9705" s="1348"/>
      <c r="C9705" s="1348"/>
      <c r="D9705" s="1348"/>
      <c r="E9705" s="1348"/>
      <c r="F9705" s="1348"/>
      <c r="G9705" s="1348"/>
      <c r="H9705" s="1348"/>
      <c r="I9705" s="1348"/>
      <c r="J9705" s="1348"/>
      <c r="K9705" s="1348"/>
    </row>
    <row r="9706" spans="2:11" hidden="1">
      <c r="B9706" s="1348"/>
      <c r="C9706" s="1348"/>
      <c r="D9706" s="1348"/>
      <c r="E9706" s="1348"/>
      <c r="F9706" s="1348"/>
      <c r="G9706" s="1348"/>
      <c r="H9706" s="1348"/>
      <c r="I9706" s="1348"/>
      <c r="J9706" s="1348"/>
      <c r="K9706" s="1348"/>
    </row>
    <row r="9707" spans="2:11" hidden="1">
      <c r="B9707" s="1348"/>
      <c r="C9707" s="1348"/>
      <c r="D9707" s="1348"/>
      <c r="E9707" s="1348"/>
      <c r="F9707" s="1348"/>
      <c r="G9707" s="1348"/>
      <c r="H9707" s="1348"/>
      <c r="I9707" s="1348"/>
      <c r="J9707" s="1348"/>
      <c r="K9707" s="1348"/>
    </row>
    <row r="9708" spans="2:11" hidden="1">
      <c r="B9708" s="1348"/>
      <c r="C9708" s="1348"/>
      <c r="D9708" s="1348"/>
      <c r="E9708" s="1348"/>
      <c r="F9708" s="1348"/>
      <c r="G9708" s="1348"/>
      <c r="H9708" s="1348"/>
      <c r="I9708" s="1348"/>
      <c r="J9708" s="1348"/>
      <c r="K9708" s="1348"/>
    </row>
    <row r="9709" spans="2:11" hidden="1">
      <c r="B9709" s="1348"/>
      <c r="C9709" s="1348"/>
      <c r="D9709" s="1348"/>
      <c r="E9709" s="1348"/>
      <c r="F9709" s="1348"/>
      <c r="G9709" s="1348"/>
      <c r="H9709" s="1348"/>
      <c r="I9709" s="1348"/>
      <c r="J9709" s="1348"/>
      <c r="K9709" s="1348"/>
    </row>
    <row r="9710" spans="2:11" hidden="1">
      <c r="B9710" s="1348"/>
      <c r="C9710" s="1348"/>
      <c r="D9710" s="1348"/>
      <c r="E9710" s="1348"/>
      <c r="F9710" s="1348"/>
      <c r="G9710" s="1348"/>
      <c r="H9710" s="1348"/>
      <c r="I9710" s="1348"/>
      <c r="J9710" s="1348"/>
      <c r="K9710" s="1348"/>
    </row>
    <row r="9711" spans="2:11" hidden="1">
      <c r="B9711" s="1348"/>
      <c r="C9711" s="1348"/>
      <c r="D9711" s="1348"/>
      <c r="E9711" s="1348"/>
      <c r="F9711" s="1348"/>
      <c r="G9711" s="1348"/>
      <c r="H9711" s="1348"/>
      <c r="I9711" s="1348"/>
      <c r="J9711" s="1348"/>
      <c r="K9711" s="1348"/>
    </row>
    <row r="9712" spans="2:11" hidden="1">
      <c r="B9712" s="1348"/>
      <c r="C9712" s="1348"/>
      <c r="D9712" s="1348"/>
      <c r="E9712" s="1348"/>
      <c r="F9712" s="1348"/>
      <c r="G9712" s="1348"/>
      <c r="H9712" s="1348"/>
      <c r="I9712" s="1348"/>
      <c r="J9712" s="1348"/>
      <c r="K9712" s="1348"/>
    </row>
    <row r="9713" spans="2:11" hidden="1">
      <c r="B9713" s="1348"/>
      <c r="C9713" s="1348"/>
      <c r="D9713" s="1348"/>
      <c r="E9713" s="1348"/>
      <c r="F9713" s="1348"/>
      <c r="G9713" s="1348"/>
      <c r="H9713" s="1348"/>
      <c r="I9713" s="1348"/>
      <c r="J9713" s="1348"/>
      <c r="K9713" s="1348"/>
    </row>
    <row r="9714" spans="2:11" hidden="1">
      <c r="B9714" s="1348"/>
      <c r="C9714" s="1348"/>
      <c r="D9714" s="1348"/>
      <c r="E9714" s="1348"/>
      <c r="F9714" s="1348"/>
      <c r="G9714" s="1348"/>
      <c r="H9714" s="1348"/>
      <c r="I9714" s="1348"/>
      <c r="J9714" s="1348"/>
      <c r="K9714" s="1348"/>
    </row>
    <row r="9715" spans="2:11" hidden="1">
      <c r="B9715" s="1348"/>
      <c r="C9715" s="1348"/>
      <c r="D9715" s="1348"/>
      <c r="E9715" s="1348"/>
      <c r="F9715" s="1348"/>
      <c r="G9715" s="1348"/>
      <c r="H9715" s="1348"/>
      <c r="I9715" s="1348"/>
      <c r="J9715" s="1348"/>
      <c r="K9715" s="1348"/>
    </row>
    <row r="9716" spans="2:11" hidden="1">
      <c r="B9716" s="1348"/>
      <c r="C9716" s="1348"/>
      <c r="D9716" s="1348"/>
      <c r="E9716" s="1348"/>
      <c r="F9716" s="1348"/>
      <c r="G9716" s="1348"/>
      <c r="H9716" s="1348"/>
      <c r="I9716" s="1348"/>
      <c r="J9716" s="1348"/>
      <c r="K9716" s="1348"/>
    </row>
    <row r="9717" spans="2:11" hidden="1">
      <c r="B9717" s="1348"/>
      <c r="C9717" s="1348"/>
      <c r="D9717" s="1348"/>
      <c r="E9717" s="1348"/>
      <c r="F9717" s="1348"/>
      <c r="G9717" s="1348"/>
      <c r="H9717" s="1348"/>
      <c r="I9717" s="1348"/>
      <c r="J9717" s="1348"/>
      <c r="K9717" s="1348"/>
    </row>
    <row r="9718" spans="2:11" hidden="1">
      <c r="B9718" s="1348"/>
      <c r="C9718" s="1348"/>
      <c r="D9718" s="1348"/>
      <c r="E9718" s="1348"/>
      <c r="F9718" s="1348"/>
      <c r="G9718" s="1348"/>
      <c r="H9718" s="1348"/>
      <c r="I9718" s="1348"/>
      <c r="J9718" s="1348"/>
      <c r="K9718" s="1348"/>
    </row>
    <row r="9719" spans="2:11" hidden="1">
      <c r="B9719" s="1348"/>
      <c r="C9719" s="1348"/>
      <c r="D9719" s="1348"/>
      <c r="E9719" s="1348"/>
      <c r="F9719" s="1348"/>
      <c r="G9719" s="1348"/>
      <c r="H9719" s="1348"/>
      <c r="I9719" s="1348"/>
      <c r="J9719" s="1348"/>
      <c r="K9719" s="1348"/>
    </row>
    <row r="9720" spans="2:11" hidden="1">
      <c r="B9720" s="1348"/>
      <c r="C9720" s="1348"/>
      <c r="D9720" s="1348"/>
      <c r="E9720" s="1348"/>
      <c r="F9720" s="1348"/>
      <c r="G9720" s="1348"/>
      <c r="H9720" s="1348"/>
      <c r="I9720" s="1348"/>
      <c r="J9720" s="1348"/>
      <c r="K9720" s="1348"/>
    </row>
    <row r="9721" spans="2:11" hidden="1">
      <c r="B9721" s="1348"/>
      <c r="C9721" s="1348"/>
      <c r="D9721" s="1348"/>
      <c r="E9721" s="1348"/>
      <c r="F9721" s="1348"/>
      <c r="G9721" s="1348"/>
      <c r="H9721" s="1348"/>
      <c r="I9721" s="1348"/>
      <c r="J9721" s="1348"/>
      <c r="K9721" s="1348"/>
    </row>
    <row r="9722" spans="2:11" hidden="1">
      <c r="B9722" s="1348"/>
      <c r="C9722" s="1348"/>
      <c r="D9722" s="1348"/>
      <c r="E9722" s="1348"/>
      <c r="F9722" s="1348"/>
      <c r="G9722" s="1348"/>
      <c r="H9722" s="1348"/>
      <c r="I9722" s="1348"/>
      <c r="J9722" s="1348"/>
      <c r="K9722" s="1348"/>
    </row>
    <row r="9723" spans="2:11" hidden="1">
      <c r="B9723" s="1348"/>
      <c r="C9723" s="1348"/>
      <c r="D9723" s="1348"/>
      <c r="E9723" s="1348"/>
      <c r="F9723" s="1348"/>
      <c r="G9723" s="1348"/>
      <c r="H9723" s="1348"/>
      <c r="I9723" s="1348"/>
      <c r="J9723" s="1348"/>
      <c r="K9723" s="1348"/>
    </row>
    <row r="9724" spans="2:11" hidden="1">
      <c r="B9724" s="1348"/>
      <c r="C9724" s="1348"/>
      <c r="D9724" s="1348"/>
      <c r="E9724" s="1348"/>
      <c r="F9724" s="1348"/>
      <c r="G9724" s="1348"/>
      <c r="H9724" s="1348"/>
      <c r="I9724" s="1348"/>
      <c r="J9724" s="1348"/>
      <c r="K9724" s="1348"/>
    </row>
    <row r="9725" spans="2:11" hidden="1">
      <c r="B9725" s="1348"/>
      <c r="C9725" s="1348"/>
      <c r="D9725" s="1348"/>
      <c r="E9725" s="1348"/>
      <c r="F9725" s="1348"/>
      <c r="G9725" s="1348"/>
      <c r="H9725" s="1348"/>
      <c r="I9725" s="1348"/>
      <c r="J9725" s="1348"/>
      <c r="K9725" s="1348"/>
    </row>
    <row r="9726" spans="2:11" hidden="1">
      <c r="B9726" s="1348"/>
      <c r="C9726" s="1348"/>
      <c r="D9726" s="1348"/>
      <c r="E9726" s="1348"/>
      <c r="F9726" s="1348"/>
      <c r="G9726" s="1348"/>
      <c r="H9726" s="1348"/>
      <c r="I9726" s="1348"/>
      <c r="J9726" s="1348"/>
      <c r="K9726" s="1348"/>
    </row>
    <row r="9727" spans="2:11" hidden="1">
      <c r="B9727" s="1348"/>
      <c r="C9727" s="1348"/>
      <c r="D9727" s="1348"/>
      <c r="E9727" s="1348"/>
      <c r="F9727" s="1348"/>
      <c r="G9727" s="1348"/>
      <c r="H9727" s="1348"/>
      <c r="I9727" s="1348"/>
      <c r="J9727" s="1348"/>
      <c r="K9727" s="1348"/>
    </row>
    <row r="9728" spans="2:11" hidden="1">
      <c r="B9728" s="1348"/>
      <c r="C9728" s="1348"/>
      <c r="D9728" s="1348"/>
      <c r="E9728" s="1348"/>
      <c r="F9728" s="1348"/>
      <c r="G9728" s="1348"/>
      <c r="H9728" s="1348"/>
      <c r="I9728" s="1348"/>
      <c r="J9728" s="1348"/>
      <c r="K9728" s="1348"/>
    </row>
    <row r="9729" spans="2:11" hidden="1">
      <c r="B9729" s="1348"/>
      <c r="C9729" s="1348"/>
      <c r="D9729" s="1348"/>
      <c r="E9729" s="1348"/>
      <c r="F9729" s="1348"/>
      <c r="G9729" s="1348"/>
      <c r="H9729" s="1348"/>
      <c r="I9729" s="1348"/>
      <c r="J9729" s="1348"/>
      <c r="K9729" s="1348"/>
    </row>
    <row r="9730" spans="2:11" hidden="1">
      <c r="B9730" s="1348"/>
      <c r="C9730" s="1348"/>
      <c r="D9730" s="1348"/>
      <c r="E9730" s="1348"/>
      <c r="F9730" s="1348"/>
      <c r="G9730" s="1348"/>
      <c r="H9730" s="1348"/>
      <c r="I9730" s="1348"/>
      <c r="J9730" s="1348"/>
      <c r="K9730" s="1348"/>
    </row>
    <row r="9731" spans="2:11" hidden="1">
      <c r="B9731" s="1348"/>
      <c r="C9731" s="1348"/>
      <c r="D9731" s="1348"/>
      <c r="E9731" s="1348"/>
      <c r="F9731" s="1348"/>
      <c r="G9731" s="1348"/>
      <c r="H9731" s="1348"/>
      <c r="I9731" s="1348"/>
      <c r="J9731" s="1348"/>
      <c r="K9731" s="1348"/>
    </row>
    <row r="9732" spans="2:11" hidden="1">
      <c r="B9732" s="1348"/>
      <c r="C9732" s="1348"/>
      <c r="D9732" s="1348"/>
      <c r="E9732" s="1348"/>
      <c r="F9732" s="1348"/>
      <c r="G9732" s="1348"/>
      <c r="H9732" s="1348"/>
      <c r="I9732" s="1348"/>
      <c r="J9732" s="1348"/>
      <c r="K9732" s="1348"/>
    </row>
    <row r="9733" spans="2:11" hidden="1">
      <c r="B9733" s="1348"/>
      <c r="C9733" s="1348"/>
      <c r="D9733" s="1348"/>
      <c r="E9733" s="1348"/>
      <c r="F9733" s="1348"/>
      <c r="G9733" s="1348"/>
      <c r="H9733" s="1348"/>
      <c r="I9733" s="1348"/>
      <c r="J9733" s="1348"/>
      <c r="K9733" s="1348"/>
    </row>
    <row r="9734" spans="2:11" hidden="1">
      <c r="B9734" s="1348"/>
      <c r="C9734" s="1348"/>
      <c r="D9734" s="1348"/>
      <c r="E9734" s="1348"/>
      <c r="F9734" s="1348"/>
      <c r="G9734" s="1348"/>
      <c r="H9734" s="1348"/>
      <c r="I9734" s="1348"/>
      <c r="J9734" s="1348"/>
      <c r="K9734" s="1348"/>
    </row>
    <row r="9735" spans="2:11" hidden="1">
      <c r="B9735" s="1348"/>
      <c r="C9735" s="1348"/>
      <c r="D9735" s="1348"/>
      <c r="E9735" s="1348"/>
      <c r="F9735" s="1348"/>
      <c r="G9735" s="1348"/>
      <c r="H9735" s="1348"/>
      <c r="I9735" s="1348"/>
      <c r="J9735" s="1348"/>
      <c r="K9735" s="1348"/>
    </row>
    <row r="9736" spans="2:11" hidden="1">
      <c r="B9736" s="1348"/>
      <c r="C9736" s="1348"/>
      <c r="D9736" s="1348"/>
      <c r="E9736" s="1348"/>
      <c r="F9736" s="1348"/>
      <c r="G9736" s="1348"/>
      <c r="H9736" s="1348"/>
      <c r="I9736" s="1348"/>
      <c r="J9736" s="1348"/>
      <c r="K9736" s="1348"/>
    </row>
    <row r="9737" spans="2:11" hidden="1">
      <c r="B9737" s="1348"/>
      <c r="C9737" s="1348"/>
      <c r="D9737" s="1348"/>
      <c r="E9737" s="1348"/>
      <c r="F9737" s="1348"/>
      <c r="G9737" s="1348"/>
      <c r="H9737" s="1348"/>
      <c r="I9737" s="1348"/>
      <c r="J9737" s="1348"/>
      <c r="K9737" s="1348"/>
    </row>
    <row r="9738" spans="2:11" hidden="1">
      <c r="B9738" s="1348"/>
      <c r="C9738" s="1348"/>
      <c r="D9738" s="1348"/>
      <c r="E9738" s="1348"/>
      <c r="F9738" s="1348"/>
      <c r="G9738" s="1348"/>
      <c r="H9738" s="1348"/>
      <c r="I9738" s="1348"/>
      <c r="J9738" s="1348"/>
      <c r="K9738" s="1348"/>
    </row>
    <row r="9739" spans="2:11" hidden="1">
      <c r="B9739" s="1348"/>
      <c r="C9739" s="1348"/>
      <c r="D9739" s="1348"/>
      <c r="E9739" s="1348"/>
      <c r="F9739" s="1348"/>
      <c r="G9739" s="1348"/>
      <c r="H9739" s="1348"/>
      <c r="I9739" s="1348"/>
      <c r="J9739" s="1348"/>
      <c r="K9739" s="1348"/>
    </row>
    <row r="9740" spans="2:11" hidden="1">
      <c r="B9740" s="1348"/>
      <c r="C9740" s="1348"/>
      <c r="D9740" s="1348"/>
      <c r="E9740" s="1348"/>
      <c r="F9740" s="1348"/>
      <c r="G9740" s="1348"/>
      <c r="H9740" s="1348"/>
      <c r="I9740" s="1348"/>
      <c r="J9740" s="1348"/>
      <c r="K9740" s="1348"/>
    </row>
    <row r="9741" spans="2:11" hidden="1">
      <c r="B9741" s="1348"/>
      <c r="C9741" s="1348"/>
      <c r="D9741" s="1348"/>
      <c r="E9741" s="1348"/>
      <c r="F9741" s="1348"/>
      <c r="G9741" s="1348"/>
      <c r="H9741" s="1348"/>
      <c r="I9741" s="1348"/>
      <c r="J9741" s="1348"/>
      <c r="K9741" s="1348"/>
    </row>
    <row r="9742" spans="2:11" hidden="1">
      <c r="B9742" s="1348"/>
      <c r="C9742" s="1348"/>
      <c r="D9742" s="1348"/>
      <c r="E9742" s="1348"/>
      <c r="F9742" s="1348"/>
      <c r="G9742" s="1348"/>
      <c r="H9742" s="1348"/>
      <c r="I9742" s="1348"/>
      <c r="J9742" s="1348"/>
      <c r="K9742" s="1348"/>
    </row>
    <row r="9743" spans="2:11" hidden="1">
      <c r="B9743" s="1348"/>
      <c r="C9743" s="1348"/>
      <c r="D9743" s="1348"/>
      <c r="E9743" s="1348"/>
      <c r="F9743" s="1348"/>
      <c r="G9743" s="1348"/>
      <c r="H9743" s="1348"/>
      <c r="I9743" s="1348"/>
      <c r="J9743" s="1348"/>
      <c r="K9743" s="1348"/>
    </row>
    <row r="9744" spans="2:11" hidden="1">
      <c r="B9744" s="1348"/>
      <c r="C9744" s="1348"/>
      <c r="D9744" s="1348"/>
      <c r="E9744" s="1348"/>
      <c r="F9744" s="1348"/>
      <c r="G9744" s="1348"/>
      <c r="H9744" s="1348"/>
      <c r="I9744" s="1348"/>
      <c r="J9744" s="1348"/>
      <c r="K9744" s="1348"/>
    </row>
    <row r="9745" spans="2:11" hidden="1">
      <c r="B9745" s="1348"/>
      <c r="C9745" s="1348"/>
      <c r="D9745" s="1348"/>
      <c r="E9745" s="1348"/>
      <c r="F9745" s="1348"/>
      <c r="G9745" s="1348"/>
      <c r="H9745" s="1348"/>
      <c r="I9745" s="1348"/>
      <c r="J9745" s="1348"/>
      <c r="K9745" s="1348"/>
    </row>
    <row r="9746" spans="2:11" hidden="1">
      <c r="B9746" s="1348"/>
      <c r="C9746" s="1348"/>
      <c r="D9746" s="1348"/>
      <c r="E9746" s="1348"/>
      <c r="F9746" s="1348"/>
      <c r="G9746" s="1348"/>
      <c r="H9746" s="1348"/>
      <c r="I9746" s="1348"/>
      <c r="J9746" s="1348"/>
      <c r="K9746" s="1348"/>
    </row>
    <row r="9747" spans="2:11" hidden="1">
      <c r="B9747" s="1348"/>
      <c r="C9747" s="1348"/>
      <c r="D9747" s="1348"/>
      <c r="E9747" s="1348"/>
      <c r="F9747" s="1348"/>
      <c r="G9747" s="1348"/>
      <c r="H9747" s="1348"/>
      <c r="I9747" s="1348"/>
      <c r="J9747" s="1348"/>
      <c r="K9747" s="1348"/>
    </row>
    <row r="9748" spans="2:11" hidden="1">
      <c r="B9748" s="1348"/>
      <c r="C9748" s="1348"/>
      <c r="D9748" s="1348"/>
      <c r="E9748" s="1348"/>
      <c r="F9748" s="1348"/>
      <c r="G9748" s="1348"/>
      <c r="H9748" s="1348"/>
      <c r="I9748" s="1348"/>
      <c r="J9748" s="1348"/>
      <c r="K9748" s="1348"/>
    </row>
    <row r="9749" spans="2:11" hidden="1">
      <c r="B9749" s="1348"/>
      <c r="C9749" s="1348"/>
      <c r="D9749" s="1348"/>
      <c r="E9749" s="1348"/>
      <c r="F9749" s="1348"/>
      <c r="G9749" s="1348"/>
      <c r="H9749" s="1348"/>
      <c r="I9749" s="1348"/>
      <c r="J9749" s="1348"/>
      <c r="K9749" s="1348"/>
    </row>
    <row r="9750" spans="2:11" hidden="1">
      <c r="B9750" s="1348"/>
      <c r="C9750" s="1348"/>
      <c r="D9750" s="1348"/>
      <c r="E9750" s="1348"/>
      <c r="F9750" s="1348"/>
      <c r="G9750" s="1348"/>
      <c r="H9750" s="1348"/>
      <c r="I9750" s="1348"/>
      <c r="J9750" s="1348"/>
      <c r="K9750" s="1348"/>
    </row>
    <row r="9751" spans="2:11" hidden="1">
      <c r="B9751" s="1348"/>
      <c r="C9751" s="1348"/>
      <c r="D9751" s="1348"/>
      <c r="E9751" s="1348"/>
      <c r="F9751" s="1348"/>
      <c r="G9751" s="1348"/>
      <c r="H9751" s="1348"/>
      <c r="I9751" s="1348"/>
      <c r="J9751" s="1348"/>
      <c r="K9751" s="1348"/>
    </row>
    <row r="9752" spans="2:11" hidden="1">
      <c r="B9752" s="1348"/>
      <c r="C9752" s="1348"/>
      <c r="D9752" s="1348"/>
      <c r="E9752" s="1348"/>
      <c r="F9752" s="1348"/>
      <c r="G9752" s="1348"/>
      <c r="H9752" s="1348"/>
      <c r="I9752" s="1348"/>
      <c r="J9752" s="1348"/>
      <c r="K9752" s="1348"/>
    </row>
    <row r="9753" spans="2:11" hidden="1">
      <c r="B9753" s="1348"/>
      <c r="C9753" s="1348"/>
      <c r="D9753" s="1348"/>
      <c r="E9753" s="1348"/>
      <c r="F9753" s="1348"/>
      <c r="G9753" s="1348"/>
      <c r="H9753" s="1348"/>
      <c r="I9753" s="1348"/>
      <c r="J9753" s="1348"/>
      <c r="K9753" s="1348"/>
    </row>
    <row r="9754" spans="2:11" hidden="1">
      <c r="B9754" s="1348"/>
      <c r="C9754" s="1348"/>
      <c r="D9754" s="1348"/>
      <c r="E9754" s="1348"/>
      <c r="F9754" s="1348"/>
      <c r="G9754" s="1348"/>
      <c r="H9754" s="1348"/>
      <c r="I9754" s="1348"/>
      <c r="J9754" s="1348"/>
      <c r="K9754" s="1348"/>
    </row>
    <row r="9755" spans="2:11" hidden="1">
      <c r="B9755" s="1348"/>
      <c r="C9755" s="1348"/>
      <c r="D9755" s="1348"/>
      <c r="E9755" s="1348"/>
      <c r="F9755" s="1348"/>
      <c r="G9755" s="1348"/>
      <c r="H9755" s="1348"/>
      <c r="I9755" s="1348"/>
      <c r="J9755" s="1348"/>
      <c r="K9755" s="1348"/>
    </row>
    <row r="9756" spans="2:11" hidden="1">
      <c r="B9756" s="1348"/>
      <c r="C9756" s="1348"/>
      <c r="D9756" s="1348"/>
      <c r="E9756" s="1348"/>
      <c r="F9756" s="1348"/>
      <c r="G9756" s="1348"/>
      <c r="H9756" s="1348"/>
      <c r="I9756" s="1348"/>
      <c r="J9756" s="1348"/>
      <c r="K9756" s="1348"/>
    </row>
    <row r="9757" spans="2:11" hidden="1">
      <c r="B9757" s="1348"/>
      <c r="C9757" s="1348"/>
      <c r="D9757" s="1348"/>
      <c r="E9757" s="1348"/>
      <c r="F9757" s="1348"/>
      <c r="G9757" s="1348"/>
      <c r="H9757" s="1348"/>
      <c r="I9757" s="1348"/>
      <c r="J9757" s="1348"/>
      <c r="K9757" s="1348"/>
    </row>
    <row r="9758" spans="2:11" hidden="1">
      <c r="B9758" s="1348"/>
      <c r="C9758" s="1348"/>
      <c r="D9758" s="1348"/>
      <c r="E9758" s="1348"/>
      <c r="F9758" s="1348"/>
      <c r="G9758" s="1348"/>
      <c r="H9758" s="1348"/>
      <c r="I9758" s="1348"/>
      <c r="J9758" s="1348"/>
      <c r="K9758" s="1348"/>
    </row>
    <row r="9759" spans="2:11" hidden="1">
      <c r="B9759" s="1348"/>
      <c r="C9759" s="1348"/>
      <c r="D9759" s="1348"/>
      <c r="E9759" s="1348"/>
      <c r="F9759" s="1348"/>
      <c r="G9759" s="1348"/>
      <c r="H9759" s="1348"/>
      <c r="I9759" s="1348"/>
      <c r="J9759" s="1348"/>
      <c r="K9759" s="1348"/>
    </row>
    <row r="9760" spans="2:11" hidden="1">
      <c r="B9760" s="1348"/>
      <c r="C9760" s="1348"/>
      <c r="D9760" s="1348"/>
      <c r="E9760" s="1348"/>
      <c r="F9760" s="1348"/>
      <c r="G9760" s="1348"/>
      <c r="H9760" s="1348"/>
      <c r="I9760" s="1348"/>
      <c r="J9760" s="1348"/>
      <c r="K9760" s="1348"/>
    </row>
    <row r="9761" spans="2:11" hidden="1">
      <c r="B9761" s="1348"/>
      <c r="C9761" s="1348"/>
      <c r="D9761" s="1348"/>
      <c r="E9761" s="1348"/>
      <c r="F9761" s="1348"/>
      <c r="G9761" s="1348"/>
      <c r="H9761" s="1348"/>
      <c r="I9761" s="1348"/>
      <c r="J9761" s="1348"/>
      <c r="K9761" s="1348"/>
    </row>
    <row r="9762" spans="2:11" hidden="1">
      <c r="B9762" s="1348"/>
      <c r="C9762" s="1348"/>
      <c r="D9762" s="1348"/>
      <c r="E9762" s="1348"/>
      <c r="F9762" s="1348"/>
      <c r="G9762" s="1348"/>
      <c r="H9762" s="1348"/>
      <c r="I9762" s="1348"/>
      <c r="J9762" s="1348"/>
      <c r="K9762" s="1348"/>
    </row>
    <row r="9763" spans="2:11" hidden="1">
      <c r="B9763" s="1348"/>
      <c r="C9763" s="1348"/>
      <c r="D9763" s="1348"/>
      <c r="E9763" s="1348"/>
      <c r="F9763" s="1348"/>
      <c r="G9763" s="1348"/>
      <c r="H9763" s="1348"/>
      <c r="I9763" s="1348"/>
      <c r="J9763" s="1348"/>
      <c r="K9763" s="1348"/>
    </row>
    <row r="9764" spans="2:11" hidden="1">
      <c r="B9764" s="1348"/>
      <c r="C9764" s="1348"/>
      <c r="D9764" s="1348"/>
      <c r="E9764" s="1348"/>
      <c r="F9764" s="1348"/>
      <c r="G9764" s="1348"/>
      <c r="H9764" s="1348"/>
      <c r="I9764" s="1348"/>
      <c r="J9764" s="1348"/>
      <c r="K9764" s="1348"/>
    </row>
    <row r="9765" spans="2:11" hidden="1">
      <c r="B9765" s="1348"/>
      <c r="C9765" s="1348"/>
      <c r="D9765" s="1348"/>
      <c r="E9765" s="1348"/>
      <c r="F9765" s="1348"/>
      <c r="G9765" s="1348"/>
      <c r="H9765" s="1348"/>
      <c r="I9765" s="1348"/>
      <c r="J9765" s="1348"/>
      <c r="K9765" s="1348"/>
    </row>
    <row r="9766" spans="2:11" hidden="1">
      <c r="B9766" s="1348"/>
      <c r="C9766" s="1348"/>
      <c r="D9766" s="1348"/>
      <c r="E9766" s="1348"/>
      <c r="F9766" s="1348"/>
      <c r="G9766" s="1348"/>
      <c r="H9766" s="1348"/>
      <c r="I9766" s="1348"/>
      <c r="J9766" s="1348"/>
      <c r="K9766" s="1348"/>
    </row>
    <row r="9767" spans="2:11" hidden="1">
      <c r="B9767" s="1348"/>
      <c r="C9767" s="1348"/>
      <c r="D9767" s="1348"/>
      <c r="E9767" s="1348"/>
      <c r="F9767" s="1348"/>
      <c r="G9767" s="1348"/>
      <c r="H9767" s="1348"/>
      <c r="I9767" s="1348"/>
      <c r="J9767" s="1348"/>
      <c r="K9767" s="1348"/>
    </row>
    <row r="9768" spans="2:11" hidden="1">
      <c r="B9768" s="1348"/>
      <c r="C9768" s="1348"/>
      <c r="D9768" s="1348"/>
      <c r="E9768" s="1348"/>
      <c r="F9768" s="1348"/>
      <c r="G9768" s="1348"/>
      <c r="H9768" s="1348"/>
      <c r="I9768" s="1348"/>
      <c r="J9768" s="1348"/>
      <c r="K9768" s="1348"/>
    </row>
    <row r="9769" spans="2:11" hidden="1">
      <c r="B9769" s="1348"/>
      <c r="C9769" s="1348"/>
      <c r="D9769" s="1348"/>
      <c r="E9769" s="1348"/>
      <c r="F9769" s="1348"/>
      <c r="G9769" s="1348"/>
      <c r="H9769" s="1348"/>
      <c r="I9769" s="1348"/>
      <c r="J9769" s="1348"/>
      <c r="K9769" s="1348"/>
    </row>
    <row r="9770" spans="2:11" hidden="1">
      <c r="B9770" s="1348"/>
      <c r="C9770" s="1348"/>
      <c r="D9770" s="1348"/>
      <c r="E9770" s="1348"/>
      <c r="F9770" s="1348"/>
      <c r="G9770" s="1348"/>
      <c r="H9770" s="1348"/>
      <c r="I9770" s="1348"/>
      <c r="J9770" s="1348"/>
      <c r="K9770" s="1348"/>
    </row>
    <row r="9771" spans="2:11" hidden="1">
      <c r="B9771" s="1348"/>
      <c r="C9771" s="1348"/>
      <c r="D9771" s="1348"/>
      <c r="E9771" s="1348"/>
      <c r="F9771" s="1348"/>
      <c r="G9771" s="1348"/>
      <c r="H9771" s="1348"/>
      <c r="I9771" s="1348"/>
      <c r="J9771" s="1348"/>
      <c r="K9771" s="1348"/>
    </row>
    <row r="9772" spans="2:11" hidden="1">
      <c r="B9772" s="1348"/>
      <c r="C9772" s="1348"/>
      <c r="D9772" s="1348"/>
      <c r="E9772" s="1348"/>
      <c r="F9772" s="1348"/>
      <c r="G9772" s="1348"/>
      <c r="H9772" s="1348"/>
      <c r="I9772" s="1348"/>
      <c r="J9772" s="1348"/>
      <c r="K9772" s="1348"/>
    </row>
    <row r="9773" spans="2:11" hidden="1">
      <c r="B9773" s="1348"/>
      <c r="C9773" s="1348"/>
      <c r="D9773" s="1348"/>
      <c r="E9773" s="1348"/>
      <c r="F9773" s="1348"/>
      <c r="G9773" s="1348"/>
      <c r="H9773" s="1348"/>
      <c r="I9773" s="1348"/>
      <c r="J9773" s="1348"/>
      <c r="K9773" s="1348"/>
    </row>
    <row r="9774" spans="2:11" hidden="1">
      <c r="B9774" s="1348"/>
      <c r="C9774" s="1348"/>
      <c r="D9774" s="1348"/>
      <c r="E9774" s="1348"/>
      <c r="F9774" s="1348"/>
      <c r="G9774" s="1348"/>
      <c r="H9774" s="1348"/>
      <c r="I9774" s="1348"/>
      <c r="J9774" s="1348"/>
      <c r="K9774" s="1348"/>
    </row>
    <row r="9775" spans="2:11" hidden="1">
      <c r="B9775" s="1348"/>
      <c r="C9775" s="1348"/>
      <c r="D9775" s="1348"/>
      <c r="E9775" s="1348"/>
      <c r="F9775" s="1348"/>
      <c r="G9775" s="1348"/>
      <c r="H9775" s="1348"/>
      <c r="I9775" s="1348"/>
      <c r="J9775" s="1348"/>
      <c r="K9775" s="1348"/>
    </row>
    <row r="9776" spans="2:11" hidden="1">
      <c r="B9776" s="1348"/>
      <c r="C9776" s="1348"/>
      <c r="D9776" s="1348"/>
      <c r="E9776" s="1348"/>
      <c r="F9776" s="1348"/>
      <c r="G9776" s="1348"/>
      <c r="H9776" s="1348"/>
      <c r="I9776" s="1348"/>
      <c r="J9776" s="1348"/>
      <c r="K9776" s="1348"/>
    </row>
    <row r="9777" spans="2:11" hidden="1">
      <c r="B9777" s="1348"/>
      <c r="C9777" s="1348"/>
      <c r="D9777" s="1348"/>
      <c r="E9777" s="1348"/>
      <c r="F9777" s="1348"/>
      <c r="G9777" s="1348"/>
      <c r="H9777" s="1348"/>
      <c r="I9777" s="1348"/>
      <c r="J9777" s="1348"/>
      <c r="K9777" s="1348"/>
    </row>
    <row r="9778" spans="2:11" hidden="1">
      <c r="B9778" s="1348"/>
      <c r="C9778" s="1348"/>
      <c r="D9778" s="1348"/>
      <c r="E9778" s="1348"/>
      <c r="F9778" s="1348"/>
      <c r="G9778" s="1348"/>
      <c r="H9778" s="1348"/>
      <c r="I9778" s="1348"/>
      <c r="J9778" s="1348"/>
      <c r="K9778" s="1348"/>
    </row>
    <row r="9779" spans="2:11" hidden="1">
      <c r="B9779" s="1348"/>
      <c r="C9779" s="1348"/>
      <c r="D9779" s="1348"/>
      <c r="E9779" s="1348"/>
      <c r="F9779" s="1348"/>
      <c r="G9779" s="1348"/>
      <c r="H9779" s="1348"/>
      <c r="I9779" s="1348"/>
      <c r="J9779" s="1348"/>
      <c r="K9779" s="1348"/>
    </row>
    <row r="9780" spans="2:11" hidden="1">
      <c r="B9780" s="1348"/>
      <c r="C9780" s="1348"/>
      <c r="D9780" s="1348"/>
      <c r="E9780" s="1348"/>
      <c r="F9780" s="1348"/>
      <c r="G9780" s="1348"/>
      <c r="H9780" s="1348"/>
      <c r="I9780" s="1348"/>
      <c r="J9780" s="1348"/>
      <c r="K9780" s="1348"/>
    </row>
    <row r="9781" spans="2:11" hidden="1">
      <c r="B9781" s="1348"/>
      <c r="C9781" s="1348"/>
      <c r="D9781" s="1348"/>
      <c r="E9781" s="1348"/>
      <c r="F9781" s="1348"/>
      <c r="G9781" s="1348"/>
      <c r="H9781" s="1348"/>
      <c r="I9781" s="1348"/>
      <c r="J9781" s="1348"/>
      <c r="K9781" s="1348"/>
    </row>
    <row r="9782" spans="2:11" hidden="1">
      <c r="B9782" s="1348"/>
      <c r="C9782" s="1348"/>
      <c r="D9782" s="1348"/>
      <c r="E9782" s="1348"/>
      <c r="F9782" s="1348"/>
      <c r="G9782" s="1348"/>
      <c r="H9782" s="1348"/>
      <c r="I9782" s="1348"/>
      <c r="J9782" s="1348"/>
      <c r="K9782" s="1348"/>
    </row>
    <row r="9783" spans="2:11" hidden="1">
      <c r="B9783" s="1348"/>
      <c r="C9783" s="1348"/>
      <c r="D9783" s="1348"/>
      <c r="E9783" s="1348"/>
      <c r="F9783" s="1348"/>
      <c r="G9783" s="1348"/>
      <c r="H9783" s="1348"/>
      <c r="I9783" s="1348"/>
      <c r="J9783" s="1348"/>
      <c r="K9783" s="1348"/>
    </row>
    <row r="9784" spans="2:11" hidden="1">
      <c r="B9784" s="1348"/>
      <c r="C9784" s="1348"/>
      <c r="D9784" s="1348"/>
      <c r="E9784" s="1348"/>
      <c r="F9784" s="1348"/>
      <c r="G9784" s="1348"/>
      <c r="H9784" s="1348"/>
      <c r="I9784" s="1348"/>
      <c r="J9784" s="1348"/>
      <c r="K9784" s="1348"/>
    </row>
    <row r="9785" spans="2:11" hidden="1">
      <c r="B9785" s="1348"/>
      <c r="C9785" s="1348"/>
      <c r="D9785" s="1348"/>
      <c r="E9785" s="1348"/>
      <c r="F9785" s="1348"/>
      <c r="G9785" s="1348"/>
      <c r="H9785" s="1348"/>
      <c r="I9785" s="1348"/>
      <c r="J9785" s="1348"/>
      <c r="K9785" s="1348"/>
    </row>
    <row r="9786" spans="2:11" hidden="1">
      <c r="B9786" s="1348"/>
      <c r="C9786" s="1348"/>
      <c r="D9786" s="1348"/>
      <c r="E9786" s="1348"/>
      <c r="F9786" s="1348"/>
      <c r="G9786" s="1348"/>
      <c r="H9786" s="1348"/>
      <c r="I9786" s="1348"/>
      <c r="J9786" s="1348"/>
      <c r="K9786" s="1348"/>
    </row>
    <row r="9787" spans="2:11" hidden="1">
      <c r="B9787" s="1348"/>
      <c r="C9787" s="1348"/>
      <c r="D9787" s="1348"/>
      <c r="E9787" s="1348"/>
      <c r="F9787" s="1348"/>
      <c r="G9787" s="1348"/>
      <c r="H9787" s="1348"/>
      <c r="I9787" s="1348"/>
      <c r="J9787" s="1348"/>
      <c r="K9787" s="1348"/>
    </row>
    <row r="9788" spans="2:11" hidden="1">
      <c r="B9788" s="1348"/>
      <c r="C9788" s="1348"/>
      <c r="D9788" s="1348"/>
      <c r="E9788" s="1348"/>
      <c r="F9788" s="1348"/>
      <c r="G9788" s="1348"/>
      <c r="H9788" s="1348"/>
      <c r="I9788" s="1348"/>
      <c r="J9788" s="1348"/>
      <c r="K9788" s="1348"/>
    </row>
    <row r="9789" spans="2:11" hidden="1">
      <c r="B9789" s="1348"/>
      <c r="C9789" s="1348"/>
      <c r="D9789" s="1348"/>
      <c r="E9789" s="1348"/>
      <c r="F9789" s="1348"/>
      <c r="G9789" s="1348"/>
      <c r="H9789" s="1348"/>
      <c r="I9789" s="1348"/>
      <c r="J9789" s="1348"/>
      <c r="K9789" s="1348"/>
    </row>
    <row r="9790" spans="2:11" hidden="1">
      <c r="B9790" s="1348"/>
      <c r="C9790" s="1348"/>
      <c r="D9790" s="1348"/>
      <c r="E9790" s="1348"/>
      <c r="F9790" s="1348"/>
      <c r="G9790" s="1348"/>
      <c r="H9790" s="1348"/>
      <c r="I9790" s="1348"/>
      <c r="J9790" s="1348"/>
      <c r="K9790" s="1348"/>
    </row>
    <row r="9791" spans="2:11" hidden="1">
      <c r="B9791" s="1348"/>
      <c r="C9791" s="1348"/>
      <c r="D9791" s="1348"/>
      <c r="E9791" s="1348"/>
      <c r="F9791" s="1348"/>
      <c r="G9791" s="1348"/>
      <c r="H9791" s="1348"/>
      <c r="I9791" s="1348"/>
      <c r="J9791" s="1348"/>
      <c r="K9791" s="1348"/>
    </row>
    <row r="9792" spans="2:11" hidden="1">
      <c r="B9792" s="1348"/>
      <c r="C9792" s="1348"/>
      <c r="D9792" s="1348"/>
      <c r="E9792" s="1348"/>
      <c r="F9792" s="1348"/>
      <c r="G9792" s="1348"/>
      <c r="H9792" s="1348"/>
      <c r="I9792" s="1348"/>
      <c r="J9792" s="1348"/>
      <c r="K9792" s="1348"/>
    </row>
    <row r="9793" spans="2:11" hidden="1">
      <c r="B9793" s="1348"/>
      <c r="C9793" s="1348"/>
      <c r="D9793" s="1348"/>
      <c r="E9793" s="1348"/>
      <c r="F9793" s="1348"/>
      <c r="G9793" s="1348"/>
      <c r="H9793" s="1348"/>
      <c r="I9793" s="1348"/>
      <c r="J9793" s="1348"/>
      <c r="K9793" s="1348"/>
    </row>
    <row r="9794" spans="2:11" hidden="1">
      <c r="B9794" s="1348"/>
      <c r="C9794" s="1348"/>
      <c r="D9794" s="1348"/>
      <c r="E9794" s="1348"/>
      <c r="F9794" s="1348"/>
      <c r="G9794" s="1348"/>
      <c r="H9794" s="1348"/>
      <c r="I9794" s="1348"/>
      <c r="J9794" s="1348"/>
      <c r="K9794" s="1348"/>
    </row>
    <row r="9795" spans="2:11" hidden="1">
      <c r="B9795" s="1348"/>
      <c r="C9795" s="1348"/>
      <c r="D9795" s="1348"/>
      <c r="E9795" s="1348"/>
      <c r="F9795" s="1348"/>
      <c r="G9795" s="1348"/>
      <c r="H9795" s="1348"/>
      <c r="I9795" s="1348"/>
      <c r="J9795" s="1348"/>
      <c r="K9795" s="1348"/>
    </row>
    <row r="9796" spans="2:11" hidden="1">
      <c r="B9796" s="1348"/>
      <c r="C9796" s="1348"/>
      <c r="D9796" s="1348"/>
      <c r="E9796" s="1348"/>
      <c r="F9796" s="1348"/>
      <c r="G9796" s="1348"/>
      <c r="H9796" s="1348"/>
      <c r="I9796" s="1348"/>
      <c r="J9796" s="1348"/>
      <c r="K9796" s="1348"/>
    </row>
    <row r="9797" spans="2:11" hidden="1">
      <c r="B9797" s="1348"/>
      <c r="C9797" s="1348"/>
      <c r="D9797" s="1348"/>
      <c r="E9797" s="1348"/>
      <c r="F9797" s="1348"/>
      <c r="G9797" s="1348"/>
      <c r="H9797" s="1348"/>
      <c r="I9797" s="1348"/>
      <c r="J9797" s="1348"/>
      <c r="K9797" s="1348"/>
    </row>
    <row r="9798" spans="2:11" hidden="1">
      <c r="B9798" s="1348"/>
      <c r="C9798" s="1348"/>
      <c r="D9798" s="1348"/>
      <c r="E9798" s="1348"/>
      <c r="F9798" s="1348"/>
      <c r="G9798" s="1348"/>
      <c r="H9798" s="1348"/>
      <c r="I9798" s="1348"/>
      <c r="J9798" s="1348"/>
      <c r="K9798" s="1348"/>
    </row>
    <row r="9799" spans="2:11" hidden="1">
      <c r="B9799" s="1348"/>
      <c r="C9799" s="1348"/>
      <c r="D9799" s="1348"/>
      <c r="E9799" s="1348"/>
      <c r="F9799" s="1348"/>
      <c r="G9799" s="1348"/>
      <c r="H9799" s="1348"/>
      <c r="I9799" s="1348"/>
      <c r="J9799" s="1348"/>
      <c r="K9799" s="1348"/>
    </row>
    <row r="9800" spans="2:11" hidden="1">
      <c r="B9800" s="1348"/>
      <c r="C9800" s="1348"/>
      <c r="D9800" s="1348"/>
      <c r="E9800" s="1348"/>
      <c r="F9800" s="1348"/>
      <c r="G9800" s="1348"/>
      <c r="H9800" s="1348"/>
      <c r="I9800" s="1348"/>
      <c r="J9800" s="1348"/>
      <c r="K9800" s="1348"/>
    </row>
    <row r="9801" spans="2:11" hidden="1">
      <c r="B9801" s="1348"/>
      <c r="C9801" s="1348"/>
      <c r="D9801" s="1348"/>
      <c r="E9801" s="1348"/>
      <c r="F9801" s="1348"/>
      <c r="G9801" s="1348"/>
      <c r="H9801" s="1348"/>
      <c r="I9801" s="1348"/>
      <c r="J9801" s="1348"/>
      <c r="K9801" s="1348"/>
    </row>
    <row r="9802" spans="2:11" hidden="1">
      <c r="B9802" s="1348"/>
      <c r="C9802" s="1348"/>
      <c r="D9802" s="1348"/>
      <c r="E9802" s="1348"/>
      <c r="F9802" s="1348"/>
      <c r="G9802" s="1348"/>
      <c r="H9802" s="1348"/>
      <c r="I9802" s="1348"/>
      <c r="J9802" s="1348"/>
      <c r="K9802" s="1348"/>
    </row>
    <row r="9803" spans="2:11" hidden="1">
      <c r="B9803" s="1348"/>
      <c r="C9803" s="1348"/>
      <c r="D9803" s="1348"/>
      <c r="E9803" s="1348"/>
      <c r="F9803" s="1348"/>
      <c r="G9803" s="1348"/>
      <c r="H9803" s="1348"/>
      <c r="I9803" s="1348"/>
      <c r="J9803" s="1348"/>
      <c r="K9803" s="1348"/>
    </row>
    <row r="9804" spans="2:11" hidden="1">
      <c r="B9804" s="1348"/>
      <c r="C9804" s="1348"/>
      <c r="D9804" s="1348"/>
      <c r="E9804" s="1348"/>
      <c r="F9804" s="1348"/>
      <c r="G9804" s="1348"/>
      <c r="H9804" s="1348"/>
      <c r="I9804" s="1348"/>
      <c r="J9804" s="1348"/>
      <c r="K9804" s="1348"/>
    </row>
    <row r="9805" spans="2:11" hidden="1">
      <c r="B9805" s="1348"/>
      <c r="C9805" s="1348"/>
      <c r="D9805" s="1348"/>
      <c r="E9805" s="1348"/>
      <c r="F9805" s="1348"/>
      <c r="G9805" s="1348"/>
      <c r="H9805" s="1348"/>
      <c r="I9805" s="1348"/>
      <c r="J9805" s="1348"/>
      <c r="K9805" s="1348"/>
    </row>
    <row r="9806" spans="2:11" hidden="1">
      <c r="B9806" s="1348"/>
      <c r="C9806" s="1348"/>
      <c r="D9806" s="1348"/>
      <c r="E9806" s="1348"/>
      <c r="F9806" s="1348"/>
      <c r="G9806" s="1348"/>
      <c r="H9806" s="1348"/>
      <c r="I9806" s="1348"/>
      <c r="J9806" s="1348"/>
      <c r="K9806" s="1348"/>
    </row>
    <row r="9807" spans="2:11" hidden="1">
      <c r="B9807" s="1348"/>
      <c r="C9807" s="1348"/>
      <c r="D9807" s="1348"/>
      <c r="E9807" s="1348"/>
      <c r="F9807" s="1348"/>
      <c r="G9807" s="1348"/>
      <c r="H9807" s="1348"/>
      <c r="I9807" s="1348"/>
      <c r="J9807" s="1348"/>
      <c r="K9807" s="1348"/>
    </row>
    <row r="9808" spans="2:11" hidden="1">
      <c r="B9808" s="1348"/>
      <c r="C9808" s="1348"/>
      <c r="D9808" s="1348"/>
      <c r="E9808" s="1348"/>
      <c r="F9808" s="1348"/>
      <c r="G9808" s="1348"/>
      <c r="H9808" s="1348"/>
      <c r="I9808" s="1348"/>
      <c r="J9808" s="1348"/>
      <c r="K9808" s="1348"/>
    </row>
    <row r="9809" spans="2:11" hidden="1">
      <c r="B9809" s="1348"/>
      <c r="C9809" s="1348"/>
      <c r="D9809" s="1348"/>
      <c r="E9809" s="1348"/>
      <c r="F9809" s="1348"/>
      <c r="G9809" s="1348"/>
      <c r="H9809" s="1348"/>
      <c r="I9809" s="1348"/>
      <c r="J9809" s="1348"/>
      <c r="K9809" s="1348"/>
    </row>
    <row r="9810" spans="2:11" hidden="1">
      <c r="B9810" s="1348"/>
      <c r="C9810" s="1348"/>
      <c r="D9810" s="1348"/>
      <c r="E9810" s="1348"/>
      <c r="F9810" s="1348"/>
      <c r="G9810" s="1348"/>
      <c r="H9810" s="1348"/>
      <c r="I9810" s="1348"/>
      <c r="J9810" s="1348"/>
      <c r="K9810" s="1348"/>
    </row>
    <row r="9811" spans="2:11" hidden="1">
      <c r="B9811" s="1348"/>
      <c r="C9811" s="1348"/>
      <c r="D9811" s="1348"/>
      <c r="E9811" s="1348"/>
      <c r="F9811" s="1348"/>
      <c r="G9811" s="1348"/>
      <c r="H9811" s="1348"/>
      <c r="I9811" s="1348"/>
      <c r="J9811" s="1348"/>
      <c r="K9811" s="1348"/>
    </row>
    <row r="9812" spans="2:11" hidden="1">
      <c r="B9812" s="1348"/>
      <c r="C9812" s="1348"/>
      <c r="D9812" s="1348"/>
      <c r="E9812" s="1348"/>
      <c r="F9812" s="1348"/>
      <c r="G9812" s="1348"/>
      <c r="H9812" s="1348"/>
      <c r="I9812" s="1348"/>
      <c r="J9812" s="1348"/>
      <c r="K9812" s="1348"/>
    </row>
    <row r="9813" spans="2:11" hidden="1">
      <c r="B9813" s="1348"/>
      <c r="C9813" s="1348"/>
      <c r="D9813" s="1348"/>
      <c r="E9813" s="1348"/>
      <c r="F9813" s="1348"/>
      <c r="G9813" s="1348"/>
      <c r="H9813" s="1348"/>
      <c r="I9813" s="1348"/>
      <c r="J9813" s="1348"/>
      <c r="K9813" s="1348"/>
    </row>
    <row r="9814" spans="2:11" hidden="1">
      <c r="B9814" s="1348"/>
      <c r="C9814" s="1348"/>
      <c r="D9814" s="1348"/>
      <c r="E9814" s="1348"/>
      <c r="F9814" s="1348"/>
      <c r="G9814" s="1348"/>
      <c r="H9814" s="1348"/>
      <c r="I9814" s="1348"/>
      <c r="J9814" s="1348"/>
      <c r="K9814" s="1348"/>
    </row>
    <row r="9815" spans="2:11" hidden="1">
      <c r="B9815" s="1348"/>
      <c r="C9815" s="1348"/>
      <c r="D9815" s="1348"/>
      <c r="E9815" s="1348"/>
      <c r="F9815" s="1348"/>
      <c r="G9815" s="1348"/>
      <c r="H9815" s="1348"/>
      <c r="I9815" s="1348"/>
      <c r="J9815" s="1348"/>
      <c r="K9815" s="1348"/>
    </row>
    <row r="9816" spans="2:11" hidden="1">
      <c r="B9816" s="1348"/>
      <c r="C9816" s="1348"/>
      <c r="D9816" s="1348"/>
      <c r="E9816" s="1348"/>
      <c r="F9816" s="1348"/>
      <c r="G9816" s="1348"/>
      <c r="H9816" s="1348"/>
      <c r="I9816" s="1348"/>
      <c r="J9816" s="1348"/>
      <c r="K9816" s="1348"/>
    </row>
    <row r="9817" spans="2:11" hidden="1">
      <c r="B9817" s="1348"/>
      <c r="C9817" s="1348"/>
      <c r="D9817" s="1348"/>
      <c r="E9817" s="1348"/>
      <c r="F9817" s="1348"/>
      <c r="G9817" s="1348"/>
      <c r="H9817" s="1348"/>
      <c r="I9817" s="1348"/>
      <c r="J9817" s="1348"/>
      <c r="K9817" s="1348"/>
    </row>
    <row r="9818" spans="2:11" hidden="1">
      <c r="B9818" s="1348"/>
      <c r="C9818" s="1348"/>
      <c r="D9818" s="1348"/>
      <c r="E9818" s="1348"/>
      <c r="F9818" s="1348"/>
      <c r="G9818" s="1348"/>
      <c r="H9818" s="1348"/>
      <c r="I9818" s="1348"/>
      <c r="J9818" s="1348"/>
      <c r="K9818" s="1348"/>
    </row>
    <row r="9819" spans="2:11" hidden="1">
      <c r="B9819" s="1348"/>
      <c r="C9819" s="1348"/>
      <c r="D9819" s="1348"/>
      <c r="E9819" s="1348"/>
      <c r="F9819" s="1348"/>
      <c r="G9819" s="1348"/>
      <c r="H9819" s="1348"/>
      <c r="I9819" s="1348"/>
      <c r="J9819" s="1348"/>
      <c r="K9819" s="1348"/>
    </row>
    <row r="9820" spans="2:11" hidden="1">
      <c r="B9820" s="1348"/>
      <c r="C9820" s="1348"/>
      <c r="D9820" s="1348"/>
      <c r="E9820" s="1348"/>
      <c r="F9820" s="1348"/>
      <c r="G9820" s="1348"/>
      <c r="H9820" s="1348"/>
      <c r="I9820" s="1348"/>
      <c r="J9820" s="1348"/>
      <c r="K9820" s="1348"/>
    </row>
    <row r="9821" spans="2:11" hidden="1">
      <c r="B9821" s="1348"/>
      <c r="C9821" s="1348"/>
      <c r="D9821" s="1348"/>
      <c r="E9821" s="1348"/>
      <c r="F9821" s="1348"/>
      <c r="G9821" s="1348"/>
      <c r="H9821" s="1348"/>
      <c r="I9821" s="1348"/>
      <c r="J9821" s="1348"/>
      <c r="K9821" s="1348"/>
    </row>
    <row r="9822" spans="2:11" hidden="1">
      <c r="B9822" s="1348"/>
      <c r="C9822" s="1348"/>
      <c r="D9822" s="1348"/>
      <c r="E9822" s="1348"/>
      <c r="F9822" s="1348"/>
      <c r="G9822" s="1348"/>
      <c r="H9822" s="1348"/>
      <c r="I9822" s="1348"/>
      <c r="J9822" s="1348"/>
      <c r="K9822" s="1348"/>
    </row>
    <row r="9823" spans="2:11" hidden="1">
      <c r="B9823" s="1348"/>
      <c r="C9823" s="1348"/>
      <c r="D9823" s="1348"/>
      <c r="E9823" s="1348"/>
      <c r="F9823" s="1348"/>
      <c r="G9823" s="1348"/>
      <c r="H9823" s="1348"/>
      <c r="I9823" s="1348"/>
      <c r="J9823" s="1348"/>
      <c r="K9823" s="1348"/>
    </row>
    <row r="9824" spans="2:11" hidden="1">
      <c r="B9824" s="1348"/>
      <c r="C9824" s="1348"/>
      <c r="D9824" s="1348"/>
      <c r="E9824" s="1348"/>
      <c r="F9824" s="1348"/>
      <c r="G9824" s="1348"/>
      <c r="H9824" s="1348"/>
      <c r="I9824" s="1348"/>
      <c r="J9824" s="1348"/>
      <c r="K9824" s="1348"/>
    </row>
    <row r="9825" spans="2:11" hidden="1">
      <c r="B9825" s="1348"/>
      <c r="C9825" s="1348"/>
      <c r="D9825" s="1348"/>
      <c r="E9825" s="1348"/>
      <c r="F9825" s="1348"/>
      <c r="G9825" s="1348"/>
      <c r="H9825" s="1348"/>
      <c r="I9825" s="1348"/>
      <c r="J9825" s="1348"/>
      <c r="K9825" s="1348"/>
    </row>
    <row r="9826" spans="2:11" hidden="1">
      <c r="B9826" s="1348"/>
      <c r="C9826" s="1348"/>
      <c r="D9826" s="1348"/>
      <c r="E9826" s="1348"/>
      <c r="F9826" s="1348"/>
      <c r="G9826" s="1348"/>
      <c r="H9826" s="1348"/>
      <c r="I9826" s="1348"/>
      <c r="J9826" s="1348"/>
      <c r="K9826" s="1348"/>
    </row>
    <row r="9827" spans="2:11" hidden="1">
      <c r="B9827" s="1348"/>
      <c r="C9827" s="1348"/>
      <c r="D9827" s="1348"/>
      <c r="E9827" s="1348"/>
      <c r="F9827" s="1348"/>
      <c r="G9827" s="1348"/>
      <c r="H9827" s="1348"/>
      <c r="I9827" s="1348"/>
      <c r="J9827" s="1348"/>
      <c r="K9827" s="1348"/>
    </row>
    <row r="9828" spans="2:11" hidden="1">
      <c r="B9828" s="1348"/>
      <c r="C9828" s="1348"/>
      <c r="D9828" s="1348"/>
      <c r="E9828" s="1348"/>
      <c r="F9828" s="1348"/>
      <c r="G9828" s="1348"/>
      <c r="H9828" s="1348"/>
      <c r="I9828" s="1348"/>
      <c r="J9828" s="1348"/>
      <c r="K9828" s="1348"/>
    </row>
    <row r="9829" spans="2:11" hidden="1">
      <c r="B9829" s="1348"/>
      <c r="C9829" s="1348"/>
      <c r="D9829" s="1348"/>
      <c r="E9829" s="1348"/>
      <c r="F9829" s="1348"/>
      <c r="G9829" s="1348"/>
      <c r="H9829" s="1348"/>
      <c r="I9829" s="1348"/>
      <c r="J9829" s="1348"/>
      <c r="K9829" s="1348"/>
    </row>
    <row r="9830" spans="2:11" hidden="1">
      <c r="B9830" s="1348"/>
      <c r="C9830" s="1348"/>
      <c r="D9830" s="1348"/>
      <c r="E9830" s="1348"/>
      <c r="F9830" s="1348"/>
      <c r="G9830" s="1348"/>
      <c r="H9830" s="1348"/>
      <c r="I9830" s="1348"/>
      <c r="J9830" s="1348"/>
      <c r="K9830" s="1348"/>
    </row>
    <row r="9831" spans="2:11" hidden="1">
      <c r="B9831" s="1348"/>
      <c r="C9831" s="1348"/>
      <c r="D9831" s="1348"/>
      <c r="E9831" s="1348"/>
      <c r="F9831" s="1348"/>
      <c r="G9831" s="1348"/>
      <c r="H9831" s="1348"/>
      <c r="I9831" s="1348"/>
      <c r="J9831" s="1348"/>
      <c r="K9831" s="1348"/>
    </row>
    <row r="9832" spans="2:11" hidden="1">
      <c r="B9832" s="1348"/>
      <c r="C9832" s="1348"/>
      <c r="D9832" s="1348"/>
      <c r="E9832" s="1348"/>
      <c r="F9832" s="1348"/>
      <c r="G9832" s="1348"/>
      <c r="H9832" s="1348"/>
      <c r="I9832" s="1348"/>
      <c r="J9832" s="1348"/>
      <c r="K9832" s="1348"/>
    </row>
    <row r="9833" spans="2:11" hidden="1">
      <c r="B9833" s="1348"/>
      <c r="C9833" s="1348"/>
      <c r="D9833" s="1348"/>
      <c r="E9833" s="1348"/>
      <c r="F9833" s="1348"/>
      <c r="G9833" s="1348"/>
      <c r="H9833" s="1348"/>
      <c r="I9833" s="1348"/>
      <c r="J9833" s="1348"/>
      <c r="K9833" s="1348"/>
    </row>
    <row r="9834" spans="2:11" hidden="1">
      <c r="B9834" s="1348"/>
      <c r="C9834" s="1348"/>
      <c r="D9834" s="1348"/>
      <c r="E9834" s="1348"/>
      <c r="F9834" s="1348"/>
      <c r="G9834" s="1348"/>
      <c r="H9834" s="1348"/>
      <c r="I9834" s="1348"/>
      <c r="J9834" s="1348"/>
      <c r="K9834" s="1348"/>
    </row>
    <row r="9835" spans="2:11" hidden="1">
      <c r="B9835" s="1348"/>
      <c r="C9835" s="1348"/>
      <c r="D9835" s="1348"/>
      <c r="E9835" s="1348"/>
      <c r="F9835" s="1348"/>
      <c r="G9835" s="1348"/>
      <c r="H9835" s="1348"/>
      <c r="I9835" s="1348"/>
      <c r="J9835" s="1348"/>
      <c r="K9835" s="1348"/>
    </row>
    <row r="9836" spans="2:11" hidden="1">
      <c r="B9836" s="1348"/>
      <c r="C9836" s="1348"/>
      <c r="D9836" s="1348"/>
      <c r="E9836" s="1348"/>
      <c r="F9836" s="1348"/>
      <c r="G9836" s="1348"/>
      <c r="H9836" s="1348"/>
      <c r="I9836" s="1348"/>
      <c r="J9836" s="1348"/>
      <c r="K9836" s="1348"/>
    </row>
    <row r="9837" spans="2:11" hidden="1">
      <c r="B9837" s="1348"/>
      <c r="C9837" s="1348"/>
      <c r="D9837" s="1348"/>
      <c r="E9837" s="1348"/>
      <c r="F9837" s="1348"/>
      <c r="G9837" s="1348"/>
      <c r="H9837" s="1348"/>
      <c r="I9837" s="1348"/>
      <c r="J9837" s="1348"/>
      <c r="K9837" s="1348"/>
    </row>
    <row r="9838" spans="2:11" hidden="1">
      <c r="B9838" s="1348"/>
      <c r="C9838" s="1348"/>
      <c r="D9838" s="1348"/>
      <c r="E9838" s="1348"/>
      <c r="F9838" s="1348"/>
      <c r="G9838" s="1348"/>
      <c r="H9838" s="1348"/>
      <c r="I9838" s="1348"/>
      <c r="J9838" s="1348"/>
      <c r="K9838" s="1348"/>
    </row>
    <row r="9839" spans="2:11" hidden="1">
      <c r="B9839" s="1348"/>
      <c r="C9839" s="1348"/>
      <c r="D9839" s="1348"/>
      <c r="E9839" s="1348"/>
      <c r="F9839" s="1348"/>
      <c r="G9839" s="1348"/>
      <c r="H9839" s="1348"/>
      <c r="I9839" s="1348"/>
      <c r="J9839" s="1348"/>
      <c r="K9839" s="1348"/>
    </row>
    <row r="9840" spans="2:11" hidden="1">
      <c r="B9840" s="1348"/>
      <c r="C9840" s="1348"/>
      <c r="D9840" s="1348"/>
      <c r="E9840" s="1348"/>
      <c r="F9840" s="1348"/>
      <c r="G9840" s="1348"/>
      <c r="H9840" s="1348"/>
      <c r="I9840" s="1348"/>
      <c r="J9840" s="1348"/>
      <c r="K9840" s="1348"/>
    </row>
    <row r="9841" spans="2:11" hidden="1">
      <c r="B9841" s="1348"/>
      <c r="C9841" s="1348"/>
      <c r="D9841" s="1348"/>
      <c r="E9841" s="1348"/>
      <c r="F9841" s="1348"/>
      <c r="G9841" s="1348"/>
      <c r="H9841" s="1348"/>
      <c r="I9841" s="1348"/>
      <c r="J9841" s="1348"/>
      <c r="K9841" s="1348"/>
    </row>
    <row r="9842" spans="2:11" hidden="1">
      <c r="B9842" s="1348"/>
      <c r="C9842" s="1348"/>
      <c r="D9842" s="1348"/>
      <c r="E9842" s="1348"/>
      <c r="F9842" s="1348"/>
      <c r="G9842" s="1348"/>
      <c r="H9842" s="1348"/>
      <c r="I9842" s="1348"/>
      <c r="J9842" s="1348"/>
      <c r="K9842" s="1348"/>
    </row>
    <row r="9843" spans="2:11" hidden="1">
      <c r="B9843" s="1348"/>
      <c r="C9843" s="1348"/>
      <c r="D9843" s="1348"/>
      <c r="E9843" s="1348"/>
      <c r="F9843" s="1348"/>
      <c r="G9843" s="1348"/>
      <c r="H9843" s="1348"/>
      <c r="I9843" s="1348"/>
      <c r="J9843" s="1348"/>
      <c r="K9843" s="1348"/>
    </row>
    <row r="9844" spans="2:11" hidden="1">
      <c r="B9844" s="1348"/>
      <c r="C9844" s="1348"/>
      <c r="D9844" s="1348"/>
      <c r="E9844" s="1348"/>
      <c r="F9844" s="1348"/>
      <c r="G9844" s="1348"/>
      <c r="H9844" s="1348"/>
      <c r="I9844" s="1348"/>
      <c r="J9844" s="1348"/>
      <c r="K9844" s="1348"/>
    </row>
    <row r="9845" spans="2:11" hidden="1">
      <c r="B9845" s="1348"/>
      <c r="C9845" s="1348"/>
      <c r="D9845" s="1348"/>
      <c r="E9845" s="1348"/>
      <c r="F9845" s="1348"/>
      <c r="G9845" s="1348"/>
      <c r="H9845" s="1348"/>
      <c r="I9845" s="1348"/>
      <c r="J9845" s="1348"/>
      <c r="K9845" s="1348"/>
    </row>
    <row r="9846" spans="2:11" hidden="1">
      <c r="B9846" s="1348"/>
      <c r="C9846" s="1348"/>
      <c r="D9846" s="1348"/>
      <c r="E9846" s="1348"/>
      <c r="F9846" s="1348"/>
      <c r="G9846" s="1348"/>
      <c r="H9846" s="1348"/>
      <c r="I9846" s="1348"/>
      <c r="J9846" s="1348"/>
      <c r="K9846" s="1348"/>
    </row>
    <row r="9847" spans="2:11" hidden="1">
      <c r="B9847" s="1348"/>
      <c r="C9847" s="1348"/>
      <c r="D9847" s="1348"/>
      <c r="E9847" s="1348"/>
      <c r="F9847" s="1348"/>
      <c r="G9847" s="1348"/>
      <c r="H9847" s="1348"/>
      <c r="I9847" s="1348"/>
      <c r="J9847" s="1348"/>
      <c r="K9847" s="1348"/>
    </row>
    <row r="9848" spans="2:11" hidden="1">
      <c r="B9848" s="1348"/>
      <c r="C9848" s="1348"/>
      <c r="D9848" s="1348"/>
      <c r="E9848" s="1348"/>
      <c r="F9848" s="1348"/>
      <c r="G9848" s="1348"/>
      <c r="H9848" s="1348"/>
      <c r="I9848" s="1348"/>
      <c r="J9848" s="1348"/>
      <c r="K9848" s="1348"/>
    </row>
    <row r="9849" spans="2:11" hidden="1">
      <c r="B9849" s="1348"/>
      <c r="C9849" s="1348"/>
      <c r="D9849" s="1348"/>
      <c r="E9849" s="1348"/>
      <c r="F9849" s="1348"/>
      <c r="G9849" s="1348"/>
      <c r="H9849" s="1348"/>
      <c r="I9849" s="1348"/>
      <c r="J9849" s="1348"/>
      <c r="K9849" s="1348"/>
    </row>
    <row r="9850" spans="2:11" hidden="1">
      <c r="B9850" s="1348"/>
      <c r="C9850" s="1348"/>
      <c r="D9850" s="1348"/>
      <c r="E9850" s="1348"/>
      <c r="F9850" s="1348"/>
      <c r="G9850" s="1348"/>
      <c r="H9850" s="1348"/>
      <c r="I9850" s="1348"/>
      <c r="J9850" s="1348"/>
      <c r="K9850" s="1348"/>
    </row>
    <row r="9851" spans="2:11" hidden="1">
      <c r="B9851" s="1348"/>
      <c r="C9851" s="1348"/>
      <c r="D9851" s="1348"/>
      <c r="E9851" s="1348"/>
      <c r="F9851" s="1348"/>
      <c r="G9851" s="1348"/>
      <c r="H9851" s="1348"/>
      <c r="I9851" s="1348"/>
      <c r="J9851" s="1348"/>
      <c r="K9851" s="1348"/>
    </row>
    <row r="9852" spans="2:11" hidden="1">
      <c r="B9852" s="1348"/>
      <c r="C9852" s="1348"/>
      <c r="D9852" s="1348"/>
      <c r="E9852" s="1348"/>
      <c r="F9852" s="1348"/>
      <c r="G9852" s="1348"/>
      <c r="H9852" s="1348"/>
      <c r="I9852" s="1348"/>
      <c r="J9852" s="1348"/>
      <c r="K9852" s="1348"/>
    </row>
    <row r="9853" spans="2:11" hidden="1">
      <c r="B9853" s="1348"/>
      <c r="C9853" s="1348"/>
      <c r="D9853" s="1348"/>
      <c r="E9853" s="1348"/>
      <c r="F9853" s="1348"/>
      <c r="G9853" s="1348"/>
      <c r="H9853" s="1348"/>
      <c r="I9853" s="1348"/>
      <c r="J9853" s="1348"/>
      <c r="K9853" s="1348"/>
    </row>
    <row r="9854" spans="2:11" hidden="1">
      <c r="B9854" s="1348"/>
      <c r="C9854" s="1348"/>
      <c r="D9854" s="1348"/>
      <c r="E9854" s="1348"/>
      <c r="F9854" s="1348"/>
      <c r="G9854" s="1348"/>
      <c r="H9854" s="1348"/>
      <c r="I9854" s="1348"/>
      <c r="J9854" s="1348"/>
      <c r="K9854" s="1348"/>
    </row>
    <row r="9855" spans="2:11" hidden="1">
      <c r="B9855" s="1348"/>
      <c r="C9855" s="1348"/>
      <c r="D9855" s="1348"/>
      <c r="E9855" s="1348"/>
      <c r="F9855" s="1348"/>
      <c r="G9855" s="1348"/>
      <c r="H9855" s="1348"/>
      <c r="I9855" s="1348"/>
      <c r="J9855" s="1348"/>
      <c r="K9855" s="1348"/>
    </row>
    <row r="9856" spans="2:11" hidden="1">
      <c r="B9856" s="1348"/>
      <c r="C9856" s="1348"/>
      <c r="D9856" s="1348"/>
      <c r="E9856" s="1348"/>
      <c r="F9856" s="1348"/>
      <c r="G9856" s="1348"/>
      <c r="H9856" s="1348"/>
      <c r="I9856" s="1348"/>
      <c r="J9856" s="1348"/>
      <c r="K9856" s="1348"/>
    </row>
    <row r="9857" spans="2:11" hidden="1">
      <c r="B9857" s="1348"/>
      <c r="C9857" s="1348"/>
      <c r="D9857" s="1348"/>
      <c r="E9857" s="1348"/>
      <c r="F9857" s="1348"/>
      <c r="G9857" s="1348"/>
      <c r="H9857" s="1348"/>
      <c r="I9857" s="1348"/>
      <c r="J9857" s="1348"/>
      <c r="K9857" s="1348"/>
    </row>
    <row r="9858" spans="2:11" hidden="1">
      <c r="B9858" s="1348"/>
      <c r="C9858" s="1348"/>
      <c r="D9858" s="1348"/>
      <c r="E9858" s="1348"/>
      <c r="F9858" s="1348"/>
      <c r="G9858" s="1348"/>
      <c r="H9858" s="1348"/>
      <c r="I9858" s="1348"/>
      <c r="J9858" s="1348"/>
      <c r="K9858" s="1348"/>
    </row>
    <row r="9859" spans="2:11" hidden="1">
      <c r="B9859" s="1348"/>
      <c r="C9859" s="1348"/>
      <c r="D9859" s="1348"/>
      <c r="E9859" s="1348"/>
      <c r="F9859" s="1348"/>
      <c r="G9859" s="1348"/>
      <c r="H9859" s="1348"/>
      <c r="I9859" s="1348"/>
      <c r="J9859" s="1348"/>
      <c r="K9859" s="1348"/>
    </row>
    <row r="9860" spans="2:11" hidden="1">
      <c r="B9860" s="1348"/>
      <c r="C9860" s="1348"/>
      <c r="D9860" s="1348"/>
      <c r="E9860" s="1348"/>
      <c r="F9860" s="1348"/>
      <c r="G9860" s="1348"/>
      <c r="H9860" s="1348"/>
      <c r="I9860" s="1348"/>
      <c r="J9860" s="1348"/>
      <c r="K9860" s="1348"/>
    </row>
    <row r="9861" spans="2:11" hidden="1">
      <c r="B9861" s="1348"/>
      <c r="C9861" s="1348"/>
      <c r="D9861" s="1348"/>
      <c r="E9861" s="1348"/>
      <c r="F9861" s="1348"/>
      <c r="G9861" s="1348"/>
      <c r="H9861" s="1348"/>
      <c r="I9861" s="1348"/>
      <c r="J9861" s="1348"/>
      <c r="K9861" s="1348"/>
    </row>
    <row r="9862" spans="2:11" hidden="1">
      <c r="B9862" s="1348"/>
      <c r="C9862" s="1348"/>
      <c r="D9862" s="1348"/>
      <c r="E9862" s="1348"/>
      <c r="F9862" s="1348"/>
      <c r="G9862" s="1348"/>
      <c r="H9862" s="1348"/>
      <c r="I9862" s="1348"/>
      <c r="J9862" s="1348"/>
      <c r="K9862" s="1348"/>
    </row>
    <row r="9863" spans="2:11" hidden="1">
      <c r="B9863" s="1348"/>
      <c r="C9863" s="1348"/>
      <c r="D9863" s="1348"/>
      <c r="E9863" s="1348"/>
      <c r="F9863" s="1348"/>
      <c r="G9863" s="1348"/>
      <c r="H9863" s="1348"/>
      <c r="I9863" s="1348"/>
      <c r="J9863" s="1348"/>
      <c r="K9863" s="1348"/>
    </row>
    <row r="9864" spans="2:11" hidden="1">
      <c r="B9864" s="1348"/>
      <c r="C9864" s="1348"/>
      <c r="D9864" s="1348"/>
      <c r="E9864" s="1348"/>
      <c r="F9864" s="1348"/>
      <c r="G9864" s="1348"/>
      <c r="H9864" s="1348"/>
      <c r="I9864" s="1348"/>
      <c r="J9864" s="1348"/>
      <c r="K9864" s="1348"/>
    </row>
    <row r="9865" spans="2:11" hidden="1">
      <c r="B9865" s="1348"/>
      <c r="C9865" s="1348"/>
      <c r="D9865" s="1348"/>
      <c r="E9865" s="1348"/>
      <c r="F9865" s="1348"/>
      <c r="G9865" s="1348"/>
      <c r="H9865" s="1348"/>
      <c r="I9865" s="1348"/>
      <c r="J9865" s="1348"/>
      <c r="K9865" s="1348"/>
    </row>
    <row r="9866" spans="2:11" hidden="1">
      <c r="B9866" s="1348"/>
      <c r="C9866" s="1348"/>
      <c r="D9866" s="1348"/>
      <c r="E9866" s="1348"/>
      <c r="F9866" s="1348"/>
      <c r="G9866" s="1348"/>
      <c r="H9866" s="1348"/>
      <c r="I9866" s="1348"/>
      <c r="J9866" s="1348"/>
      <c r="K9866" s="1348"/>
    </row>
    <row r="9867" spans="2:11" hidden="1">
      <c r="B9867" s="1348"/>
      <c r="C9867" s="1348"/>
      <c r="D9867" s="1348"/>
      <c r="E9867" s="1348"/>
      <c r="F9867" s="1348"/>
      <c r="G9867" s="1348"/>
      <c r="H9867" s="1348"/>
      <c r="I9867" s="1348"/>
      <c r="J9867" s="1348"/>
      <c r="K9867" s="1348"/>
    </row>
    <row r="9868" spans="2:11" hidden="1">
      <c r="B9868" s="1348"/>
      <c r="C9868" s="1348"/>
      <c r="D9868" s="1348"/>
      <c r="E9868" s="1348"/>
      <c r="F9868" s="1348"/>
      <c r="G9868" s="1348"/>
      <c r="H9868" s="1348"/>
      <c r="I9868" s="1348"/>
      <c r="J9868" s="1348"/>
      <c r="K9868" s="1348"/>
    </row>
    <row r="9869" spans="2:11" hidden="1">
      <c r="B9869" s="1348"/>
      <c r="C9869" s="1348"/>
      <c r="D9869" s="1348"/>
      <c r="E9869" s="1348"/>
      <c r="F9869" s="1348"/>
      <c r="G9869" s="1348"/>
      <c r="H9869" s="1348"/>
      <c r="I9869" s="1348"/>
      <c r="J9869" s="1348"/>
      <c r="K9869" s="1348"/>
    </row>
    <row r="9870" spans="2:11" hidden="1">
      <c r="B9870" s="1348"/>
      <c r="C9870" s="1348"/>
      <c r="D9870" s="1348"/>
      <c r="E9870" s="1348"/>
      <c r="F9870" s="1348"/>
      <c r="G9870" s="1348"/>
      <c r="H9870" s="1348"/>
      <c r="I9870" s="1348"/>
      <c r="J9870" s="1348"/>
      <c r="K9870" s="1348"/>
    </row>
    <row r="9871" spans="2:11" hidden="1">
      <c r="B9871" s="1348"/>
      <c r="C9871" s="1348"/>
      <c r="D9871" s="1348"/>
      <c r="E9871" s="1348"/>
      <c r="F9871" s="1348"/>
      <c r="G9871" s="1348"/>
      <c r="H9871" s="1348"/>
      <c r="I9871" s="1348"/>
      <c r="J9871" s="1348"/>
      <c r="K9871" s="1348"/>
    </row>
    <row r="9872" spans="2:11" hidden="1">
      <c r="B9872" s="1348"/>
      <c r="C9872" s="1348"/>
      <c r="D9872" s="1348"/>
      <c r="E9872" s="1348"/>
      <c r="F9872" s="1348"/>
      <c r="G9872" s="1348"/>
      <c r="H9872" s="1348"/>
      <c r="I9872" s="1348"/>
      <c r="J9872" s="1348"/>
      <c r="K9872" s="1348"/>
    </row>
    <row r="9873" spans="2:11" hidden="1">
      <c r="B9873" s="1348"/>
      <c r="C9873" s="1348"/>
      <c r="D9873" s="1348"/>
      <c r="E9873" s="1348"/>
      <c r="F9873" s="1348"/>
      <c r="G9873" s="1348"/>
      <c r="H9873" s="1348"/>
      <c r="I9873" s="1348"/>
      <c r="J9873" s="1348"/>
      <c r="K9873" s="1348"/>
    </row>
    <row r="9874" spans="2:11" hidden="1">
      <c r="B9874" s="1348"/>
      <c r="C9874" s="1348"/>
      <c r="D9874" s="1348"/>
      <c r="E9874" s="1348"/>
      <c r="F9874" s="1348"/>
      <c r="G9874" s="1348"/>
      <c r="H9874" s="1348"/>
      <c r="I9874" s="1348"/>
      <c r="J9874" s="1348"/>
      <c r="K9874" s="1348"/>
    </row>
    <row r="9875" spans="2:11" hidden="1">
      <c r="B9875" s="1348"/>
      <c r="C9875" s="1348"/>
      <c r="D9875" s="1348"/>
      <c r="E9875" s="1348"/>
      <c r="F9875" s="1348"/>
      <c r="G9875" s="1348"/>
      <c r="H9875" s="1348"/>
      <c r="I9875" s="1348"/>
      <c r="J9875" s="1348"/>
      <c r="K9875" s="1348"/>
    </row>
    <row r="9876" spans="2:11" hidden="1">
      <c r="B9876" s="1348"/>
      <c r="C9876" s="1348"/>
      <c r="D9876" s="1348"/>
      <c r="E9876" s="1348"/>
      <c r="F9876" s="1348"/>
      <c r="G9876" s="1348"/>
      <c r="H9876" s="1348"/>
      <c r="I9876" s="1348"/>
      <c r="J9876" s="1348"/>
      <c r="K9876" s="1348"/>
    </row>
    <row r="9877" spans="2:11" hidden="1">
      <c r="B9877" s="1348"/>
      <c r="C9877" s="1348"/>
      <c r="D9877" s="1348"/>
      <c r="E9877" s="1348"/>
      <c r="F9877" s="1348"/>
      <c r="G9877" s="1348"/>
      <c r="H9877" s="1348"/>
      <c r="I9877" s="1348"/>
      <c r="J9877" s="1348"/>
      <c r="K9877" s="1348"/>
    </row>
    <row r="9878" spans="2:11" hidden="1">
      <c r="B9878" s="1348"/>
      <c r="C9878" s="1348"/>
      <c r="D9878" s="1348"/>
      <c r="E9878" s="1348"/>
      <c r="F9878" s="1348"/>
      <c r="G9878" s="1348"/>
      <c r="H9878" s="1348"/>
      <c r="I9878" s="1348"/>
      <c r="J9878" s="1348"/>
      <c r="K9878" s="1348"/>
    </row>
    <row r="9879" spans="2:11" hidden="1">
      <c r="B9879" s="1348"/>
      <c r="C9879" s="1348"/>
      <c r="D9879" s="1348"/>
      <c r="E9879" s="1348"/>
      <c r="F9879" s="1348"/>
      <c r="G9879" s="1348"/>
      <c r="H9879" s="1348"/>
      <c r="I9879" s="1348"/>
      <c r="J9879" s="1348"/>
      <c r="K9879" s="1348"/>
    </row>
    <row r="9880" spans="2:11" hidden="1">
      <c r="B9880" s="1348"/>
      <c r="C9880" s="1348"/>
      <c r="D9880" s="1348"/>
      <c r="E9880" s="1348"/>
      <c r="F9880" s="1348"/>
      <c r="G9880" s="1348"/>
      <c r="H9880" s="1348"/>
      <c r="I9880" s="1348"/>
      <c r="J9880" s="1348"/>
      <c r="K9880" s="1348"/>
    </row>
    <row r="9881" spans="2:11" hidden="1">
      <c r="B9881" s="1348"/>
      <c r="C9881" s="1348"/>
      <c r="D9881" s="1348"/>
      <c r="E9881" s="1348"/>
      <c r="F9881" s="1348"/>
      <c r="G9881" s="1348"/>
      <c r="H9881" s="1348"/>
      <c r="I9881" s="1348"/>
      <c r="J9881" s="1348"/>
      <c r="K9881" s="1348"/>
    </row>
    <row r="9882" spans="2:11" hidden="1">
      <c r="B9882" s="1348"/>
      <c r="C9882" s="1348"/>
      <c r="D9882" s="1348"/>
      <c r="E9882" s="1348"/>
      <c r="F9882" s="1348"/>
      <c r="G9882" s="1348"/>
      <c r="H9882" s="1348"/>
      <c r="I9882" s="1348"/>
      <c r="J9882" s="1348"/>
      <c r="K9882" s="1348"/>
    </row>
    <row r="9883" spans="2:11" hidden="1">
      <c r="B9883" s="1348"/>
      <c r="C9883" s="1348"/>
      <c r="D9883" s="1348"/>
      <c r="E9883" s="1348"/>
      <c r="F9883" s="1348"/>
      <c r="G9883" s="1348"/>
      <c r="H9883" s="1348"/>
      <c r="I9883" s="1348"/>
      <c r="J9883" s="1348"/>
      <c r="K9883" s="1348"/>
    </row>
    <row r="9884" spans="2:11" hidden="1">
      <c r="B9884" s="1348"/>
      <c r="C9884" s="1348"/>
      <c r="D9884" s="1348"/>
      <c r="E9884" s="1348"/>
      <c r="F9884" s="1348"/>
      <c r="G9884" s="1348"/>
      <c r="H9884" s="1348"/>
      <c r="I9884" s="1348"/>
      <c r="J9884" s="1348"/>
      <c r="K9884" s="1348"/>
    </row>
    <row r="9885" spans="2:11" hidden="1">
      <c r="B9885" s="1348"/>
      <c r="C9885" s="1348"/>
      <c r="D9885" s="1348"/>
      <c r="E9885" s="1348"/>
      <c r="F9885" s="1348"/>
      <c r="G9885" s="1348"/>
      <c r="H9885" s="1348"/>
      <c r="I9885" s="1348"/>
      <c r="J9885" s="1348"/>
      <c r="K9885" s="1348"/>
    </row>
    <row r="9886" spans="2:11" hidden="1">
      <c r="B9886" s="1348"/>
      <c r="C9886" s="1348"/>
      <c r="D9886" s="1348"/>
      <c r="E9886" s="1348"/>
      <c r="F9886" s="1348"/>
      <c r="G9886" s="1348"/>
      <c r="H9886" s="1348"/>
      <c r="I9886" s="1348"/>
      <c r="J9886" s="1348"/>
      <c r="K9886" s="1348"/>
    </row>
    <row r="9887" spans="2:11" hidden="1">
      <c r="B9887" s="1348"/>
      <c r="C9887" s="1348"/>
      <c r="D9887" s="1348"/>
      <c r="E9887" s="1348"/>
      <c r="F9887" s="1348"/>
      <c r="G9887" s="1348"/>
      <c r="H9887" s="1348"/>
      <c r="I9887" s="1348"/>
      <c r="J9887" s="1348"/>
      <c r="K9887" s="1348"/>
    </row>
    <row r="9888" spans="2:11" hidden="1">
      <c r="B9888" s="1348"/>
      <c r="C9888" s="1348"/>
      <c r="D9888" s="1348"/>
      <c r="E9888" s="1348"/>
      <c r="F9888" s="1348"/>
      <c r="G9888" s="1348"/>
      <c r="H9888" s="1348"/>
      <c r="I9888" s="1348"/>
      <c r="J9888" s="1348"/>
      <c r="K9888" s="1348"/>
    </row>
    <row r="9889" spans="2:11" hidden="1">
      <c r="B9889" s="1348"/>
      <c r="C9889" s="1348"/>
      <c r="D9889" s="1348"/>
      <c r="E9889" s="1348"/>
      <c r="F9889" s="1348"/>
      <c r="G9889" s="1348"/>
      <c r="H9889" s="1348"/>
      <c r="I9889" s="1348"/>
      <c r="J9889" s="1348"/>
      <c r="K9889" s="1348"/>
    </row>
    <row r="9890" spans="2:11" hidden="1">
      <c r="B9890" s="1348"/>
      <c r="C9890" s="1348"/>
      <c r="D9890" s="1348"/>
      <c r="E9890" s="1348"/>
      <c r="F9890" s="1348"/>
      <c r="G9890" s="1348"/>
      <c r="H9890" s="1348"/>
      <c r="I9890" s="1348"/>
      <c r="J9890" s="1348"/>
      <c r="K9890" s="1348"/>
    </row>
    <row r="9891" spans="2:11" hidden="1">
      <c r="B9891" s="1348"/>
      <c r="C9891" s="1348"/>
      <c r="D9891" s="1348"/>
      <c r="E9891" s="1348"/>
      <c r="F9891" s="1348"/>
      <c r="G9891" s="1348"/>
      <c r="H9891" s="1348"/>
      <c r="I9891" s="1348"/>
      <c r="J9891" s="1348"/>
      <c r="K9891" s="1348"/>
    </row>
    <row r="9892" spans="2:11" hidden="1">
      <c r="B9892" s="1348"/>
      <c r="C9892" s="1348"/>
      <c r="D9892" s="1348"/>
      <c r="E9892" s="1348"/>
      <c r="F9892" s="1348"/>
      <c r="G9892" s="1348"/>
      <c r="H9892" s="1348"/>
      <c r="I9892" s="1348"/>
      <c r="J9892" s="1348"/>
      <c r="K9892" s="1348"/>
    </row>
    <row r="9893" spans="2:11" hidden="1">
      <c r="B9893" s="1348"/>
      <c r="C9893" s="1348"/>
      <c r="D9893" s="1348"/>
      <c r="E9893" s="1348"/>
      <c r="F9893" s="1348"/>
      <c r="G9893" s="1348"/>
      <c r="H9893" s="1348"/>
      <c r="I9893" s="1348"/>
      <c r="J9893" s="1348"/>
      <c r="K9893" s="1348"/>
    </row>
    <row r="9894" spans="2:11" hidden="1">
      <c r="B9894" s="1348"/>
      <c r="C9894" s="1348"/>
      <c r="D9894" s="1348"/>
      <c r="E9894" s="1348"/>
      <c r="F9894" s="1348"/>
      <c r="G9894" s="1348"/>
      <c r="H9894" s="1348"/>
      <c r="I9894" s="1348"/>
      <c r="J9894" s="1348"/>
      <c r="K9894" s="1348"/>
    </row>
    <row r="9895" spans="2:11" hidden="1">
      <c r="B9895" s="1348"/>
      <c r="C9895" s="1348"/>
      <c r="D9895" s="1348"/>
      <c r="E9895" s="1348"/>
      <c r="F9895" s="1348"/>
      <c r="G9895" s="1348"/>
      <c r="H9895" s="1348"/>
      <c r="I9895" s="1348"/>
      <c r="J9895" s="1348"/>
      <c r="K9895" s="1348"/>
    </row>
    <row r="9896" spans="2:11" hidden="1">
      <c r="B9896" s="1348"/>
      <c r="C9896" s="1348"/>
      <c r="D9896" s="1348"/>
      <c r="E9896" s="1348"/>
      <c r="F9896" s="1348"/>
      <c r="G9896" s="1348"/>
      <c r="H9896" s="1348"/>
      <c r="I9896" s="1348"/>
      <c r="J9896" s="1348"/>
      <c r="K9896" s="1348"/>
    </row>
    <row r="9897" spans="2:11" hidden="1">
      <c r="B9897" s="1348"/>
      <c r="C9897" s="1348"/>
      <c r="D9897" s="1348"/>
      <c r="E9897" s="1348"/>
      <c r="F9897" s="1348"/>
      <c r="G9897" s="1348"/>
      <c r="H9897" s="1348"/>
      <c r="I9897" s="1348"/>
      <c r="J9897" s="1348"/>
      <c r="K9897" s="1348"/>
    </row>
    <row r="9898" spans="2:11" hidden="1">
      <c r="B9898" s="1348"/>
      <c r="C9898" s="1348"/>
      <c r="D9898" s="1348"/>
      <c r="E9898" s="1348"/>
      <c r="F9898" s="1348"/>
      <c r="G9898" s="1348"/>
      <c r="H9898" s="1348"/>
      <c r="I9898" s="1348"/>
      <c r="J9898" s="1348"/>
      <c r="K9898" s="1348"/>
    </row>
    <row r="9899" spans="2:11" hidden="1">
      <c r="B9899" s="1348"/>
      <c r="C9899" s="1348"/>
      <c r="D9899" s="1348"/>
      <c r="E9899" s="1348"/>
      <c r="F9899" s="1348"/>
      <c r="G9899" s="1348"/>
      <c r="H9899" s="1348"/>
      <c r="I9899" s="1348"/>
      <c r="J9899" s="1348"/>
      <c r="K9899" s="1348"/>
    </row>
    <row r="9900" spans="2:11" hidden="1">
      <c r="B9900" s="1348"/>
      <c r="C9900" s="1348"/>
      <c r="D9900" s="1348"/>
      <c r="E9900" s="1348"/>
      <c r="F9900" s="1348"/>
      <c r="G9900" s="1348"/>
      <c r="H9900" s="1348"/>
      <c r="I9900" s="1348"/>
      <c r="J9900" s="1348"/>
      <c r="K9900" s="1348"/>
    </row>
    <row r="9901" spans="2:11" hidden="1">
      <c r="B9901" s="1348"/>
      <c r="C9901" s="1348"/>
      <c r="D9901" s="1348"/>
      <c r="E9901" s="1348"/>
      <c r="F9901" s="1348"/>
      <c r="G9901" s="1348"/>
      <c r="H9901" s="1348"/>
      <c r="I9901" s="1348"/>
      <c r="J9901" s="1348"/>
      <c r="K9901" s="1348"/>
    </row>
    <row r="9902" spans="2:11" hidden="1">
      <c r="B9902" s="1348"/>
      <c r="C9902" s="1348"/>
      <c r="D9902" s="1348"/>
      <c r="E9902" s="1348"/>
      <c r="F9902" s="1348"/>
      <c r="G9902" s="1348"/>
      <c r="H9902" s="1348"/>
      <c r="I9902" s="1348"/>
      <c r="J9902" s="1348"/>
      <c r="K9902" s="1348"/>
    </row>
    <row r="9903" spans="2:11" hidden="1">
      <c r="B9903" s="1348"/>
      <c r="C9903" s="1348"/>
      <c r="D9903" s="1348"/>
      <c r="E9903" s="1348"/>
      <c r="F9903" s="1348"/>
      <c r="G9903" s="1348"/>
      <c r="H9903" s="1348"/>
      <c r="I9903" s="1348"/>
      <c r="J9903" s="1348"/>
      <c r="K9903" s="1348"/>
    </row>
    <row r="9904" spans="2:11" hidden="1">
      <c r="B9904" s="1348"/>
      <c r="C9904" s="1348"/>
      <c r="D9904" s="1348"/>
      <c r="E9904" s="1348"/>
      <c r="F9904" s="1348"/>
      <c r="G9904" s="1348"/>
      <c r="H9904" s="1348"/>
      <c r="I9904" s="1348"/>
      <c r="J9904" s="1348"/>
      <c r="K9904" s="1348"/>
    </row>
    <row r="9905" spans="2:11" hidden="1">
      <c r="B9905" s="1348"/>
      <c r="C9905" s="1348"/>
      <c r="D9905" s="1348"/>
      <c r="E9905" s="1348"/>
      <c r="F9905" s="1348"/>
      <c r="G9905" s="1348"/>
      <c r="H9905" s="1348"/>
      <c r="I9905" s="1348"/>
      <c r="J9905" s="1348"/>
      <c r="K9905" s="1348"/>
    </row>
    <row r="9906" spans="2:11" hidden="1">
      <c r="B9906" s="1348"/>
      <c r="C9906" s="1348"/>
      <c r="D9906" s="1348"/>
      <c r="E9906" s="1348"/>
      <c r="F9906" s="1348"/>
      <c r="G9906" s="1348"/>
      <c r="H9906" s="1348"/>
      <c r="I9906" s="1348"/>
      <c r="J9906" s="1348"/>
      <c r="K9906" s="1348"/>
    </row>
    <row r="9907" spans="2:11" hidden="1">
      <c r="B9907" s="1348"/>
      <c r="C9907" s="1348"/>
      <c r="D9907" s="1348"/>
      <c r="E9907" s="1348"/>
      <c r="F9907" s="1348"/>
      <c r="G9907" s="1348"/>
      <c r="H9907" s="1348"/>
      <c r="I9907" s="1348"/>
      <c r="J9907" s="1348"/>
      <c r="K9907" s="1348"/>
    </row>
    <row r="9908" spans="2:11" hidden="1">
      <c r="B9908" s="1348"/>
      <c r="C9908" s="1348"/>
      <c r="D9908" s="1348"/>
      <c r="E9908" s="1348"/>
      <c r="F9908" s="1348"/>
      <c r="G9908" s="1348"/>
      <c r="H9908" s="1348"/>
      <c r="I9908" s="1348"/>
      <c r="J9908" s="1348"/>
      <c r="K9908" s="1348"/>
    </row>
    <row r="9909" spans="2:11" hidden="1">
      <c r="B9909" s="1348"/>
      <c r="C9909" s="1348"/>
      <c r="D9909" s="1348"/>
      <c r="E9909" s="1348"/>
      <c r="F9909" s="1348"/>
      <c r="G9909" s="1348"/>
      <c r="H9909" s="1348"/>
      <c r="I9909" s="1348"/>
      <c r="J9909" s="1348"/>
      <c r="K9909" s="1348"/>
    </row>
    <row r="9910" spans="2:11" hidden="1">
      <c r="B9910" s="1348"/>
      <c r="C9910" s="1348"/>
      <c r="D9910" s="1348"/>
      <c r="E9910" s="1348"/>
      <c r="F9910" s="1348"/>
      <c r="G9910" s="1348"/>
      <c r="H9910" s="1348"/>
      <c r="I9910" s="1348"/>
      <c r="J9910" s="1348"/>
      <c r="K9910" s="1348"/>
    </row>
    <row r="9911" spans="2:11" hidden="1">
      <c r="B9911" s="1348"/>
      <c r="C9911" s="1348"/>
      <c r="D9911" s="1348"/>
      <c r="E9911" s="1348"/>
      <c r="F9911" s="1348"/>
      <c r="G9911" s="1348"/>
      <c r="H9911" s="1348"/>
      <c r="I9911" s="1348"/>
      <c r="J9911" s="1348"/>
      <c r="K9911" s="1348"/>
    </row>
    <row r="9912" spans="2:11" hidden="1">
      <c r="B9912" s="1348"/>
      <c r="C9912" s="1348"/>
      <c r="D9912" s="1348"/>
      <c r="E9912" s="1348"/>
      <c r="F9912" s="1348"/>
      <c r="G9912" s="1348"/>
      <c r="H9912" s="1348"/>
      <c r="I9912" s="1348"/>
      <c r="J9912" s="1348"/>
      <c r="K9912" s="1348"/>
    </row>
    <row r="9913" spans="2:11" hidden="1">
      <c r="B9913" s="1348"/>
      <c r="C9913" s="1348"/>
      <c r="D9913" s="1348"/>
      <c r="E9913" s="1348"/>
      <c r="F9913" s="1348"/>
      <c r="G9913" s="1348"/>
      <c r="H9913" s="1348"/>
      <c r="I9913" s="1348"/>
      <c r="J9913" s="1348"/>
      <c r="K9913" s="1348"/>
    </row>
    <row r="9914" spans="2:11" hidden="1">
      <c r="B9914" s="1348"/>
      <c r="C9914" s="1348"/>
      <c r="D9914" s="1348"/>
      <c r="E9914" s="1348"/>
      <c r="F9914" s="1348"/>
      <c r="G9914" s="1348"/>
      <c r="H9914" s="1348"/>
      <c r="I9914" s="1348"/>
      <c r="J9914" s="1348"/>
      <c r="K9914" s="1348"/>
    </row>
    <row r="9915" spans="2:11" hidden="1">
      <c r="B9915" s="1348"/>
      <c r="C9915" s="1348"/>
      <c r="D9915" s="1348"/>
      <c r="E9915" s="1348"/>
      <c r="F9915" s="1348"/>
      <c r="G9915" s="1348"/>
      <c r="H9915" s="1348"/>
      <c r="I9915" s="1348"/>
      <c r="J9915" s="1348"/>
      <c r="K9915" s="1348"/>
    </row>
    <row r="9916" spans="2:11" hidden="1">
      <c r="B9916" s="1348"/>
      <c r="C9916" s="1348"/>
      <c r="D9916" s="1348"/>
      <c r="E9916" s="1348"/>
      <c r="F9916" s="1348"/>
      <c r="G9916" s="1348"/>
      <c r="H9916" s="1348"/>
      <c r="I9916" s="1348"/>
      <c r="J9916" s="1348"/>
      <c r="K9916" s="1348"/>
    </row>
    <row r="9917" spans="2:11" hidden="1">
      <c r="B9917" s="1348"/>
      <c r="C9917" s="1348"/>
      <c r="D9917" s="1348"/>
      <c r="E9917" s="1348"/>
      <c r="F9917" s="1348"/>
      <c r="G9917" s="1348"/>
      <c r="H9917" s="1348"/>
      <c r="I9917" s="1348"/>
      <c r="J9917" s="1348"/>
      <c r="K9917" s="1348"/>
    </row>
    <row r="9918" spans="2:11" hidden="1">
      <c r="B9918" s="1348"/>
      <c r="C9918" s="1348"/>
      <c r="D9918" s="1348"/>
      <c r="E9918" s="1348"/>
      <c r="F9918" s="1348"/>
      <c r="G9918" s="1348"/>
      <c r="H9918" s="1348"/>
      <c r="I9918" s="1348"/>
      <c r="J9918" s="1348"/>
      <c r="K9918" s="1348"/>
    </row>
    <row r="9919" spans="2:11" hidden="1">
      <c r="B9919" s="1348"/>
      <c r="C9919" s="1348"/>
      <c r="D9919" s="1348"/>
      <c r="E9919" s="1348"/>
      <c r="F9919" s="1348"/>
      <c r="G9919" s="1348"/>
      <c r="H9919" s="1348"/>
      <c r="I9919" s="1348"/>
      <c r="J9919" s="1348"/>
      <c r="K9919" s="1348"/>
    </row>
    <row r="9920" spans="2:11" hidden="1">
      <c r="B9920" s="1348"/>
      <c r="C9920" s="1348"/>
      <c r="D9920" s="1348"/>
      <c r="E9920" s="1348"/>
      <c r="F9920" s="1348"/>
      <c r="G9920" s="1348"/>
      <c r="H9920" s="1348"/>
      <c r="I9920" s="1348"/>
      <c r="J9920" s="1348"/>
      <c r="K9920" s="1348"/>
    </row>
    <row r="9921" spans="2:11" hidden="1">
      <c r="B9921" s="1348"/>
      <c r="C9921" s="1348"/>
      <c r="D9921" s="1348"/>
      <c r="E9921" s="1348"/>
      <c r="F9921" s="1348"/>
      <c r="G9921" s="1348"/>
      <c r="H9921" s="1348"/>
      <c r="I9921" s="1348"/>
      <c r="J9921" s="1348"/>
      <c r="K9921" s="1348"/>
    </row>
    <row r="9922" spans="2:11" hidden="1">
      <c r="B9922" s="1348"/>
      <c r="C9922" s="1348"/>
      <c r="D9922" s="1348"/>
      <c r="E9922" s="1348"/>
      <c r="F9922" s="1348"/>
      <c r="G9922" s="1348"/>
      <c r="H9922" s="1348"/>
      <c r="I9922" s="1348"/>
      <c r="J9922" s="1348"/>
      <c r="K9922" s="1348"/>
    </row>
    <row r="9923" spans="2:11" hidden="1">
      <c r="B9923" s="1348"/>
      <c r="C9923" s="1348"/>
      <c r="D9923" s="1348"/>
      <c r="E9923" s="1348"/>
      <c r="F9923" s="1348"/>
      <c r="G9923" s="1348"/>
      <c r="H9923" s="1348"/>
      <c r="I9923" s="1348"/>
      <c r="J9923" s="1348"/>
      <c r="K9923" s="1348"/>
    </row>
    <row r="9924" spans="2:11" hidden="1">
      <c r="B9924" s="1348"/>
      <c r="C9924" s="1348"/>
      <c r="D9924" s="1348"/>
      <c r="E9924" s="1348"/>
      <c r="F9924" s="1348"/>
      <c r="G9924" s="1348"/>
      <c r="H9924" s="1348"/>
      <c r="I9924" s="1348"/>
      <c r="J9924" s="1348"/>
      <c r="K9924" s="1348"/>
    </row>
    <row r="9925" spans="2:11" hidden="1">
      <c r="B9925" s="1348"/>
      <c r="C9925" s="1348"/>
      <c r="D9925" s="1348"/>
      <c r="E9925" s="1348"/>
      <c r="F9925" s="1348"/>
      <c r="G9925" s="1348"/>
      <c r="H9925" s="1348"/>
      <c r="I9925" s="1348"/>
      <c r="J9925" s="1348"/>
      <c r="K9925" s="1348"/>
    </row>
    <row r="9926" spans="2:11" hidden="1">
      <c r="B9926" s="1348"/>
      <c r="C9926" s="1348"/>
      <c r="D9926" s="1348"/>
      <c r="E9926" s="1348"/>
      <c r="F9926" s="1348"/>
      <c r="G9926" s="1348"/>
      <c r="H9926" s="1348"/>
      <c r="I9926" s="1348"/>
      <c r="J9926" s="1348"/>
      <c r="K9926" s="1348"/>
    </row>
    <row r="9927" spans="2:11" hidden="1">
      <c r="B9927" s="1348"/>
      <c r="C9927" s="1348"/>
      <c r="D9927" s="1348"/>
      <c r="E9927" s="1348"/>
      <c r="F9927" s="1348"/>
      <c r="G9927" s="1348"/>
      <c r="H9927" s="1348"/>
      <c r="I9927" s="1348"/>
      <c r="J9927" s="1348"/>
      <c r="K9927" s="1348"/>
    </row>
    <row r="9928" spans="2:11" hidden="1">
      <c r="B9928" s="1348"/>
      <c r="C9928" s="1348"/>
      <c r="D9928" s="1348"/>
      <c r="E9928" s="1348"/>
      <c r="F9928" s="1348"/>
      <c r="G9928" s="1348"/>
      <c r="H9928" s="1348"/>
      <c r="I9928" s="1348"/>
      <c r="J9928" s="1348"/>
      <c r="K9928" s="1348"/>
    </row>
    <row r="9929" spans="2:11" hidden="1">
      <c r="B9929" s="1348"/>
      <c r="C9929" s="1348"/>
      <c r="D9929" s="1348"/>
      <c r="E9929" s="1348"/>
      <c r="F9929" s="1348"/>
      <c r="G9929" s="1348"/>
      <c r="H9929" s="1348"/>
      <c r="I9929" s="1348"/>
      <c r="J9929" s="1348"/>
      <c r="K9929" s="1348"/>
    </row>
    <row r="9930" spans="2:11" hidden="1">
      <c r="B9930" s="1348"/>
      <c r="C9930" s="1348"/>
      <c r="D9930" s="1348"/>
      <c r="E9930" s="1348"/>
      <c r="F9930" s="1348"/>
      <c r="G9930" s="1348"/>
      <c r="H9930" s="1348"/>
      <c r="I9930" s="1348"/>
      <c r="J9930" s="1348"/>
      <c r="K9930" s="1348"/>
    </row>
    <row r="9931" spans="2:11" hidden="1">
      <c r="B9931" s="1348"/>
      <c r="C9931" s="1348"/>
      <c r="D9931" s="1348"/>
      <c r="E9931" s="1348"/>
      <c r="F9931" s="1348"/>
      <c r="G9931" s="1348"/>
      <c r="H9931" s="1348"/>
      <c r="I9931" s="1348"/>
      <c r="J9931" s="1348"/>
      <c r="K9931" s="1348"/>
    </row>
    <row r="9932" spans="2:11" hidden="1">
      <c r="B9932" s="1348"/>
      <c r="C9932" s="1348"/>
      <c r="D9932" s="1348"/>
      <c r="E9932" s="1348"/>
      <c r="F9932" s="1348"/>
      <c r="G9932" s="1348"/>
      <c r="H9932" s="1348"/>
      <c r="I9932" s="1348"/>
      <c r="J9932" s="1348"/>
      <c r="K9932" s="1348"/>
    </row>
    <row r="9933" spans="2:11" hidden="1">
      <c r="B9933" s="1348"/>
      <c r="C9933" s="1348"/>
      <c r="D9933" s="1348"/>
      <c r="E9933" s="1348"/>
      <c r="F9933" s="1348"/>
      <c r="G9933" s="1348"/>
      <c r="H9933" s="1348"/>
      <c r="I9933" s="1348"/>
      <c r="J9933" s="1348"/>
      <c r="K9933" s="1348"/>
    </row>
    <row r="9934" spans="2:11" hidden="1">
      <c r="B9934" s="1348"/>
      <c r="C9934" s="1348"/>
      <c r="D9934" s="1348"/>
      <c r="E9934" s="1348"/>
      <c r="F9934" s="1348"/>
      <c r="G9934" s="1348"/>
      <c r="H9934" s="1348"/>
      <c r="I9934" s="1348"/>
      <c r="J9934" s="1348"/>
      <c r="K9934" s="1348"/>
    </row>
    <row r="9935" spans="2:11" hidden="1">
      <c r="B9935" s="1348"/>
      <c r="C9935" s="1348"/>
      <c r="D9935" s="1348"/>
      <c r="E9935" s="1348"/>
      <c r="F9935" s="1348"/>
      <c r="G9935" s="1348"/>
      <c r="H9935" s="1348"/>
      <c r="I9935" s="1348"/>
      <c r="J9935" s="1348"/>
      <c r="K9935" s="1348"/>
    </row>
    <row r="9936" spans="2:11" hidden="1">
      <c r="B9936" s="1348"/>
      <c r="C9936" s="1348"/>
      <c r="D9936" s="1348"/>
      <c r="E9936" s="1348"/>
      <c r="F9936" s="1348"/>
      <c r="G9936" s="1348"/>
      <c r="H9936" s="1348"/>
      <c r="I9936" s="1348"/>
      <c r="J9936" s="1348"/>
      <c r="K9936" s="1348"/>
    </row>
    <row r="9937" spans="2:11" hidden="1">
      <c r="B9937" s="1348"/>
      <c r="C9937" s="1348"/>
      <c r="D9937" s="1348"/>
      <c r="E9937" s="1348"/>
      <c r="F9937" s="1348"/>
      <c r="G9937" s="1348"/>
      <c r="H9937" s="1348"/>
      <c r="I9937" s="1348"/>
      <c r="J9937" s="1348"/>
      <c r="K9937" s="1348"/>
    </row>
    <row r="9938" spans="2:11" hidden="1">
      <c r="B9938" s="1348"/>
      <c r="C9938" s="1348"/>
      <c r="D9938" s="1348"/>
      <c r="E9938" s="1348"/>
      <c r="F9938" s="1348"/>
      <c r="G9938" s="1348"/>
      <c r="H9938" s="1348"/>
      <c r="I9938" s="1348"/>
      <c r="J9938" s="1348"/>
      <c r="K9938" s="1348"/>
    </row>
    <row r="9939" spans="2:11" hidden="1">
      <c r="B9939" s="1348"/>
      <c r="C9939" s="1348"/>
      <c r="D9939" s="1348"/>
      <c r="E9939" s="1348"/>
      <c r="F9939" s="1348"/>
      <c r="G9939" s="1348"/>
      <c r="H9939" s="1348"/>
      <c r="I9939" s="1348"/>
      <c r="J9939" s="1348"/>
      <c r="K9939" s="1348"/>
    </row>
    <row r="9940" spans="2:11" hidden="1">
      <c r="B9940" s="1348"/>
      <c r="C9940" s="1348"/>
      <c r="D9940" s="1348"/>
      <c r="E9940" s="1348"/>
      <c r="F9940" s="1348"/>
      <c r="G9940" s="1348"/>
      <c r="H9940" s="1348"/>
      <c r="I9940" s="1348"/>
      <c r="J9940" s="1348"/>
      <c r="K9940" s="1348"/>
    </row>
    <row r="9941" spans="2:11" hidden="1">
      <c r="B9941" s="1348"/>
      <c r="C9941" s="1348"/>
      <c r="D9941" s="1348"/>
      <c r="E9941" s="1348"/>
      <c r="F9941" s="1348"/>
      <c r="G9941" s="1348"/>
      <c r="H9941" s="1348"/>
      <c r="I9941" s="1348"/>
      <c r="J9941" s="1348"/>
      <c r="K9941" s="1348"/>
    </row>
    <row r="9942" spans="2:11" hidden="1">
      <c r="B9942" s="1348"/>
      <c r="C9942" s="1348"/>
      <c r="D9942" s="1348"/>
      <c r="E9942" s="1348"/>
      <c r="F9942" s="1348"/>
      <c r="G9942" s="1348"/>
      <c r="H9942" s="1348"/>
      <c r="I9942" s="1348"/>
      <c r="J9942" s="1348"/>
      <c r="K9942" s="1348"/>
    </row>
    <row r="9943" spans="2:11" hidden="1">
      <c r="B9943" s="1348"/>
      <c r="C9943" s="1348"/>
      <c r="D9943" s="1348"/>
      <c r="E9943" s="1348"/>
      <c r="F9943" s="1348"/>
      <c r="G9943" s="1348"/>
      <c r="H9943" s="1348"/>
      <c r="I9943" s="1348"/>
      <c r="J9943" s="1348"/>
      <c r="K9943" s="1348"/>
    </row>
    <row r="9944" spans="2:11" hidden="1">
      <c r="B9944" s="1348"/>
      <c r="C9944" s="1348"/>
      <c r="D9944" s="1348"/>
      <c r="E9944" s="1348"/>
      <c r="F9944" s="1348"/>
      <c r="G9944" s="1348"/>
      <c r="H9944" s="1348"/>
      <c r="I9944" s="1348"/>
      <c r="J9944" s="1348"/>
      <c r="K9944" s="1348"/>
    </row>
    <row r="9945" spans="2:11" hidden="1">
      <c r="B9945" s="1348"/>
      <c r="C9945" s="1348"/>
      <c r="D9945" s="1348"/>
      <c r="E9945" s="1348"/>
      <c r="F9945" s="1348"/>
      <c r="G9945" s="1348"/>
      <c r="H9945" s="1348"/>
      <c r="I9945" s="1348"/>
      <c r="J9945" s="1348"/>
      <c r="K9945" s="1348"/>
    </row>
    <row r="9946" spans="2:11" hidden="1">
      <c r="B9946" s="1348"/>
      <c r="C9946" s="1348"/>
      <c r="D9946" s="1348"/>
      <c r="E9946" s="1348"/>
      <c r="F9946" s="1348"/>
      <c r="G9946" s="1348"/>
      <c r="H9946" s="1348"/>
      <c r="I9946" s="1348"/>
      <c r="J9946" s="1348"/>
      <c r="K9946" s="1348"/>
    </row>
    <row r="9947" spans="2:11" hidden="1">
      <c r="B9947" s="1348"/>
      <c r="C9947" s="1348"/>
      <c r="D9947" s="1348"/>
      <c r="E9947" s="1348"/>
      <c r="F9947" s="1348"/>
      <c r="G9947" s="1348"/>
      <c r="H9947" s="1348"/>
      <c r="I9947" s="1348"/>
      <c r="J9947" s="1348"/>
      <c r="K9947" s="1348"/>
    </row>
    <row r="9948" spans="2:11" hidden="1">
      <c r="B9948" s="1348"/>
      <c r="C9948" s="1348"/>
      <c r="D9948" s="1348"/>
      <c r="E9948" s="1348"/>
      <c r="F9948" s="1348"/>
      <c r="G9948" s="1348"/>
      <c r="H9948" s="1348"/>
      <c r="I9948" s="1348"/>
      <c r="J9948" s="1348"/>
      <c r="K9948" s="1348"/>
    </row>
    <row r="9949" spans="2:11" hidden="1">
      <c r="B9949" s="1348"/>
      <c r="C9949" s="1348"/>
      <c r="D9949" s="1348"/>
      <c r="E9949" s="1348"/>
      <c r="F9949" s="1348"/>
      <c r="G9949" s="1348"/>
      <c r="H9949" s="1348"/>
      <c r="I9949" s="1348"/>
      <c r="J9949" s="1348"/>
      <c r="K9949" s="1348"/>
    </row>
    <row r="9950" spans="2:11" hidden="1">
      <c r="B9950" s="1348"/>
      <c r="C9950" s="1348"/>
      <c r="D9950" s="1348"/>
      <c r="E9950" s="1348"/>
      <c r="F9950" s="1348"/>
      <c r="G9950" s="1348"/>
      <c r="H9950" s="1348"/>
      <c r="I9950" s="1348"/>
      <c r="J9950" s="1348"/>
      <c r="K9950" s="1348"/>
    </row>
    <row r="9951" spans="2:11" hidden="1">
      <c r="B9951" s="1348"/>
      <c r="C9951" s="1348"/>
      <c r="D9951" s="1348"/>
      <c r="E9951" s="1348"/>
      <c r="F9951" s="1348"/>
      <c r="G9951" s="1348"/>
      <c r="H9951" s="1348"/>
      <c r="I9951" s="1348"/>
      <c r="J9951" s="1348"/>
      <c r="K9951" s="1348"/>
    </row>
    <row r="9952" spans="2:11" hidden="1">
      <c r="B9952" s="1348"/>
      <c r="C9952" s="1348"/>
      <c r="D9952" s="1348"/>
      <c r="E9952" s="1348"/>
      <c r="F9952" s="1348"/>
      <c r="G9952" s="1348"/>
      <c r="H9952" s="1348"/>
      <c r="I9952" s="1348"/>
      <c r="J9952" s="1348"/>
      <c r="K9952" s="1348"/>
    </row>
    <row r="9953" spans="2:11" hidden="1">
      <c r="B9953" s="1348"/>
      <c r="C9953" s="1348"/>
      <c r="D9953" s="1348"/>
      <c r="E9953" s="1348"/>
      <c r="F9953" s="1348"/>
      <c r="G9953" s="1348"/>
      <c r="H9953" s="1348"/>
      <c r="I9953" s="1348"/>
      <c r="J9953" s="1348"/>
      <c r="K9953" s="1348"/>
    </row>
    <row r="9954" spans="2:11" hidden="1">
      <c r="B9954" s="1348"/>
      <c r="C9954" s="1348"/>
      <c r="D9954" s="1348"/>
      <c r="E9954" s="1348"/>
      <c r="F9954" s="1348"/>
      <c r="G9954" s="1348"/>
      <c r="H9954" s="1348"/>
      <c r="I9954" s="1348"/>
      <c r="J9954" s="1348"/>
      <c r="K9954" s="1348"/>
    </row>
    <row r="9955" spans="2:11" hidden="1">
      <c r="B9955" s="1348"/>
      <c r="C9955" s="1348"/>
      <c r="D9955" s="1348"/>
      <c r="E9955" s="1348"/>
      <c r="F9955" s="1348"/>
      <c r="G9955" s="1348"/>
      <c r="H9955" s="1348"/>
      <c r="I9955" s="1348"/>
      <c r="J9955" s="1348"/>
      <c r="K9955" s="1348"/>
    </row>
    <row r="9956" spans="2:11" hidden="1">
      <c r="B9956" s="1348"/>
      <c r="C9956" s="1348"/>
      <c r="D9956" s="1348"/>
      <c r="E9956" s="1348"/>
      <c r="F9956" s="1348"/>
      <c r="G9956" s="1348"/>
      <c r="H9956" s="1348"/>
      <c r="I9956" s="1348"/>
      <c r="J9956" s="1348"/>
      <c r="K9956" s="1348"/>
    </row>
    <row r="9957" spans="2:11" hidden="1">
      <c r="B9957" s="1348"/>
      <c r="C9957" s="1348"/>
      <c r="D9957" s="1348"/>
      <c r="E9957" s="1348"/>
      <c r="F9957" s="1348"/>
      <c r="G9957" s="1348"/>
      <c r="H9957" s="1348"/>
      <c r="I9957" s="1348"/>
      <c r="J9957" s="1348"/>
      <c r="K9957" s="1348"/>
    </row>
    <row r="9958" spans="2:11" hidden="1">
      <c r="B9958" s="1348"/>
      <c r="C9958" s="1348"/>
      <c r="D9958" s="1348"/>
      <c r="E9958" s="1348"/>
      <c r="F9958" s="1348"/>
      <c r="G9958" s="1348"/>
      <c r="H9958" s="1348"/>
      <c r="I9958" s="1348"/>
      <c r="J9958" s="1348"/>
      <c r="K9958" s="1348"/>
    </row>
    <row r="9959" spans="2:11" hidden="1">
      <c r="B9959" s="1348"/>
      <c r="C9959" s="1348"/>
      <c r="D9959" s="1348"/>
      <c r="E9959" s="1348"/>
      <c r="F9959" s="1348"/>
      <c r="G9959" s="1348"/>
      <c r="H9959" s="1348"/>
      <c r="I9959" s="1348"/>
      <c r="J9959" s="1348"/>
      <c r="K9959" s="1348"/>
    </row>
    <row r="9960" spans="2:11" hidden="1">
      <c r="B9960" s="1348"/>
      <c r="C9960" s="1348"/>
      <c r="D9960" s="1348"/>
      <c r="E9960" s="1348"/>
      <c r="F9960" s="1348"/>
      <c r="G9960" s="1348"/>
      <c r="H9960" s="1348"/>
      <c r="I9960" s="1348"/>
      <c r="J9960" s="1348"/>
      <c r="K9960" s="1348"/>
    </row>
    <row r="9961" spans="2:11" hidden="1">
      <c r="B9961" s="1348"/>
      <c r="C9961" s="1348"/>
      <c r="D9961" s="1348"/>
      <c r="E9961" s="1348"/>
      <c r="F9961" s="1348"/>
      <c r="G9961" s="1348"/>
      <c r="H9961" s="1348"/>
      <c r="I9961" s="1348"/>
      <c r="J9961" s="1348"/>
      <c r="K9961" s="1348"/>
    </row>
    <row r="9962" spans="2:11" hidden="1">
      <c r="B9962" s="1348"/>
      <c r="C9962" s="1348"/>
      <c r="D9962" s="1348"/>
      <c r="E9962" s="1348"/>
      <c r="F9962" s="1348"/>
      <c r="G9962" s="1348"/>
      <c r="H9962" s="1348"/>
      <c r="I9962" s="1348"/>
      <c r="J9962" s="1348"/>
      <c r="K9962" s="1348"/>
    </row>
    <row r="9963" spans="2:11" hidden="1">
      <c r="B9963" s="1348"/>
      <c r="C9963" s="1348"/>
      <c r="D9963" s="1348"/>
      <c r="E9963" s="1348"/>
      <c r="F9963" s="1348"/>
      <c r="G9963" s="1348"/>
      <c r="H9963" s="1348"/>
      <c r="I9963" s="1348"/>
      <c r="J9963" s="1348"/>
      <c r="K9963" s="1348"/>
    </row>
    <row r="9964" spans="2:11" hidden="1">
      <c r="B9964" s="1348"/>
      <c r="C9964" s="1348"/>
      <c r="D9964" s="1348"/>
      <c r="E9964" s="1348"/>
      <c r="F9964" s="1348"/>
      <c r="G9964" s="1348"/>
      <c r="H9964" s="1348"/>
      <c r="I9964" s="1348"/>
      <c r="J9964" s="1348"/>
      <c r="K9964" s="1348"/>
    </row>
    <row r="9965" spans="2:11" hidden="1">
      <c r="B9965" s="1348"/>
      <c r="C9965" s="1348"/>
      <c r="D9965" s="1348"/>
      <c r="E9965" s="1348"/>
      <c r="F9965" s="1348"/>
      <c r="G9965" s="1348"/>
      <c r="H9965" s="1348"/>
      <c r="I9965" s="1348"/>
      <c r="J9965" s="1348"/>
      <c r="K9965" s="1348"/>
    </row>
    <row r="9966" spans="2:11" hidden="1">
      <c r="B9966" s="1348"/>
      <c r="C9966" s="1348"/>
      <c r="D9966" s="1348"/>
      <c r="E9966" s="1348"/>
      <c r="F9966" s="1348"/>
      <c r="G9966" s="1348"/>
      <c r="H9966" s="1348"/>
      <c r="I9966" s="1348"/>
      <c r="J9966" s="1348"/>
      <c r="K9966" s="1348"/>
    </row>
    <row r="9967" spans="2:11" hidden="1">
      <c r="B9967" s="1348"/>
      <c r="C9967" s="1348"/>
      <c r="D9967" s="1348"/>
      <c r="E9967" s="1348"/>
      <c r="F9967" s="1348"/>
      <c r="G9967" s="1348"/>
      <c r="H9967" s="1348"/>
      <c r="I9967" s="1348"/>
      <c r="J9967" s="1348"/>
      <c r="K9967" s="1348"/>
    </row>
    <row r="9968" spans="2:11" hidden="1">
      <c r="B9968" s="1348"/>
      <c r="C9968" s="1348"/>
      <c r="D9968" s="1348"/>
      <c r="E9968" s="1348"/>
      <c r="F9968" s="1348"/>
      <c r="G9968" s="1348"/>
      <c r="H9968" s="1348"/>
      <c r="I9968" s="1348"/>
      <c r="J9968" s="1348"/>
      <c r="K9968" s="1348"/>
    </row>
    <row r="9969" spans="2:11" hidden="1">
      <c r="B9969" s="1348"/>
      <c r="C9969" s="1348"/>
      <c r="D9969" s="1348"/>
      <c r="E9969" s="1348"/>
      <c r="F9969" s="1348"/>
      <c r="G9969" s="1348"/>
      <c r="H9969" s="1348"/>
      <c r="I9969" s="1348"/>
      <c r="J9969" s="1348"/>
      <c r="K9969" s="1348"/>
    </row>
    <row r="9970" spans="2:11" hidden="1">
      <c r="B9970" s="1348"/>
      <c r="C9970" s="1348"/>
      <c r="D9970" s="1348"/>
      <c r="E9970" s="1348"/>
      <c r="F9970" s="1348"/>
      <c r="G9970" s="1348"/>
      <c r="H9970" s="1348"/>
      <c r="I9970" s="1348"/>
      <c r="J9970" s="1348"/>
      <c r="K9970" s="1348"/>
    </row>
    <row r="9971" spans="2:11" hidden="1">
      <c r="B9971" s="1348"/>
      <c r="C9971" s="1348"/>
      <c r="D9971" s="1348"/>
      <c r="E9971" s="1348"/>
      <c r="F9971" s="1348"/>
      <c r="G9971" s="1348"/>
      <c r="H9971" s="1348"/>
      <c r="I9971" s="1348"/>
      <c r="J9971" s="1348"/>
      <c r="K9971" s="1348"/>
    </row>
    <row r="9972" spans="2:11" hidden="1">
      <c r="B9972" s="1348"/>
      <c r="C9972" s="1348"/>
      <c r="D9972" s="1348"/>
      <c r="E9972" s="1348"/>
      <c r="F9972" s="1348"/>
      <c r="G9972" s="1348"/>
      <c r="H9972" s="1348"/>
      <c r="I9972" s="1348"/>
      <c r="J9972" s="1348"/>
      <c r="K9972" s="1348"/>
    </row>
    <row r="9973" spans="2:11" hidden="1">
      <c r="B9973" s="1348"/>
      <c r="C9973" s="1348"/>
      <c r="D9973" s="1348"/>
      <c r="E9973" s="1348"/>
      <c r="F9973" s="1348"/>
      <c r="G9973" s="1348"/>
      <c r="H9973" s="1348"/>
      <c r="I9973" s="1348"/>
      <c r="J9973" s="1348"/>
      <c r="K9973" s="1348"/>
    </row>
    <row r="9974" spans="2:11" hidden="1">
      <c r="B9974" s="1348"/>
      <c r="C9974" s="1348"/>
      <c r="D9974" s="1348"/>
      <c r="E9974" s="1348"/>
      <c r="F9974" s="1348"/>
      <c r="G9974" s="1348"/>
      <c r="H9974" s="1348"/>
      <c r="I9974" s="1348"/>
      <c r="J9974" s="1348"/>
      <c r="K9974" s="1348"/>
    </row>
    <row r="9975" spans="2:11" hidden="1">
      <c r="B9975" s="1348"/>
      <c r="C9975" s="1348"/>
      <c r="D9975" s="1348"/>
      <c r="E9975" s="1348"/>
      <c r="F9975" s="1348"/>
      <c r="G9975" s="1348"/>
      <c r="H9975" s="1348"/>
      <c r="I9975" s="1348"/>
      <c r="J9975" s="1348"/>
      <c r="K9975" s="1348"/>
    </row>
    <row r="9976" spans="2:11" hidden="1">
      <c r="B9976" s="1348"/>
      <c r="C9976" s="1348"/>
      <c r="D9976" s="1348"/>
      <c r="E9976" s="1348"/>
      <c r="F9976" s="1348"/>
      <c r="G9976" s="1348"/>
      <c r="H9976" s="1348"/>
      <c r="I9976" s="1348"/>
      <c r="J9976" s="1348"/>
      <c r="K9976" s="1348"/>
    </row>
    <row r="9977" spans="2:11" hidden="1">
      <c r="B9977" s="1348"/>
      <c r="C9977" s="1348"/>
      <c r="D9977" s="1348"/>
      <c r="E9977" s="1348"/>
      <c r="F9977" s="1348"/>
      <c r="G9977" s="1348"/>
      <c r="H9977" s="1348"/>
      <c r="I9977" s="1348"/>
      <c r="J9977" s="1348"/>
      <c r="K9977" s="1348"/>
    </row>
    <row r="9978" spans="2:11" hidden="1">
      <c r="B9978" s="1348"/>
      <c r="C9978" s="1348"/>
      <c r="D9978" s="1348"/>
      <c r="E9978" s="1348"/>
      <c r="F9978" s="1348"/>
      <c r="G9978" s="1348"/>
      <c r="H9978" s="1348"/>
      <c r="I9978" s="1348"/>
      <c r="J9978" s="1348"/>
      <c r="K9978" s="1348"/>
    </row>
    <row r="9979" spans="2:11" hidden="1">
      <c r="B9979" s="1348"/>
      <c r="C9979" s="1348"/>
      <c r="D9979" s="1348"/>
      <c r="E9979" s="1348"/>
      <c r="F9979" s="1348"/>
      <c r="G9979" s="1348"/>
      <c r="H9979" s="1348"/>
      <c r="I9979" s="1348"/>
      <c r="J9979" s="1348"/>
      <c r="K9979" s="1348"/>
    </row>
    <row r="9980" spans="2:11" hidden="1">
      <c r="B9980" s="1348"/>
      <c r="C9980" s="1348"/>
      <c r="D9980" s="1348"/>
      <c r="E9980" s="1348"/>
      <c r="F9980" s="1348"/>
      <c r="G9980" s="1348"/>
      <c r="H9980" s="1348"/>
      <c r="I9980" s="1348"/>
      <c r="J9980" s="1348"/>
      <c r="K9980" s="1348"/>
    </row>
    <row r="9981" spans="2:11" hidden="1">
      <c r="B9981" s="1348"/>
      <c r="C9981" s="1348"/>
      <c r="D9981" s="1348"/>
      <c r="E9981" s="1348"/>
      <c r="F9981" s="1348"/>
      <c r="G9981" s="1348"/>
      <c r="H9981" s="1348"/>
      <c r="I9981" s="1348"/>
      <c r="J9981" s="1348"/>
      <c r="K9981" s="1348"/>
    </row>
    <row r="9982" spans="2:11" hidden="1">
      <c r="B9982" s="1348"/>
      <c r="C9982" s="1348"/>
      <c r="D9982" s="1348"/>
      <c r="E9982" s="1348"/>
      <c r="F9982" s="1348"/>
      <c r="G9982" s="1348"/>
      <c r="H9982" s="1348"/>
      <c r="I9982" s="1348"/>
      <c r="J9982" s="1348"/>
      <c r="K9982" s="1348"/>
    </row>
    <row r="9983" spans="2:11" hidden="1">
      <c r="B9983" s="1348"/>
      <c r="C9983" s="1348"/>
      <c r="D9983" s="1348"/>
      <c r="E9983" s="1348"/>
      <c r="F9983" s="1348"/>
      <c r="G9983" s="1348"/>
      <c r="H9983" s="1348"/>
      <c r="I9983" s="1348"/>
      <c r="J9983" s="1348"/>
      <c r="K9983" s="1348"/>
    </row>
    <row r="9984" spans="2:11" hidden="1">
      <c r="B9984" s="1348"/>
      <c r="C9984" s="1348"/>
      <c r="D9984" s="1348"/>
      <c r="E9984" s="1348"/>
      <c r="F9984" s="1348"/>
      <c r="G9984" s="1348"/>
      <c r="H9984" s="1348"/>
      <c r="I9984" s="1348"/>
      <c r="J9984" s="1348"/>
      <c r="K9984" s="1348"/>
    </row>
    <row r="9985" spans="2:11" hidden="1">
      <c r="B9985" s="1348"/>
      <c r="C9985" s="1348"/>
      <c r="D9985" s="1348"/>
      <c r="E9985" s="1348"/>
      <c r="F9985" s="1348"/>
      <c r="G9985" s="1348"/>
      <c r="H9985" s="1348"/>
      <c r="I9985" s="1348"/>
      <c r="J9985" s="1348"/>
      <c r="K9985" s="1348"/>
    </row>
    <row r="9986" spans="2:11" hidden="1">
      <c r="B9986" s="1348"/>
      <c r="C9986" s="1348"/>
      <c r="D9986" s="1348"/>
      <c r="E9986" s="1348"/>
      <c r="F9986" s="1348"/>
      <c r="G9986" s="1348"/>
      <c r="H9986" s="1348"/>
      <c r="I9986" s="1348"/>
      <c r="J9986" s="1348"/>
      <c r="K9986" s="1348"/>
    </row>
    <row r="9987" spans="2:11" hidden="1">
      <c r="B9987" s="1348"/>
      <c r="C9987" s="1348"/>
      <c r="D9987" s="1348"/>
      <c r="E9987" s="1348"/>
      <c r="F9987" s="1348"/>
      <c r="G9987" s="1348"/>
      <c r="H9987" s="1348"/>
      <c r="I9987" s="1348"/>
      <c r="J9987" s="1348"/>
      <c r="K9987" s="1348"/>
    </row>
    <row r="9988" spans="2:11" hidden="1">
      <c r="B9988" s="1348"/>
      <c r="C9988" s="1348"/>
      <c r="D9988" s="1348"/>
      <c r="E9988" s="1348"/>
      <c r="F9988" s="1348"/>
      <c r="G9988" s="1348"/>
      <c r="H9988" s="1348"/>
      <c r="I9988" s="1348"/>
      <c r="J9988" s="1348"/>
      <c r="K9988" s="1348"/>
    </row>
    <row r="9989" spans="2:11" hidden="1">
      <c r="B9989" s="1348"/>
      <c r="C9989" s="1348"/>
      <c r="D9989" s="1348"/>
      <c r="E9989" s="1348"/>
      <c r="F9989" s="1348"/>
      <c r="G9989" s="1348"/>
      <c r="H9989" s="1348"/>
      <c r="I9989" s="1348"/>
      <c r="J9989" s="1348"/>
      <c r="K9989" s="1348"/>
    </row>
    <row r="9990" spans="2:11" hidden="1">
      <c r="B9990" s="1348"/>
      <c r="C9990" s="1348"/>
      <c r="D9990" s="1348"/>
      <c r="E9990" s="1348"/>
      <c r="F9990" s="1348"/>
      <c r="G9990" s="1348"/>
      <c r="H9990" s="1348"/>
      <c r="I9990" s="1348"/>
      <c r="J9990" s="1348"/>
      <c r="K9990" s="1348"/>
    </row>
    <row r="9991" spans="2:11" hidden="1">
      <c r="B9991" s="1348"/>
      <c r="C9991" s="1348"/>
      <c r="D9991" s="1348"/>
      <c r="E9991" s="1348"/>
      <c r="F9991" s="1348"/>
      <c r="G9991" s="1348"/>
      <c r="H9991" s="1348"/>
      <c r="I9991" s="1348"/>
      <c r="J9991" s="1348"/>
      <c r="K9991" s="1348"/>
    </row>
    <row r="9992" spans="2:11" hidden="1">
      <c r="B9992" s="1348"/>
      <c r="C9992" s="1348"/>
      <c r="D9992" s="1348"/>
      <c r="E9992" s="1348"/>
      <c r="F9992" s="1348"/>
      <c r="G9992" s="1348"/>
      <c r="H9992" s="1348"/>
      <c r="I9992" s="1348"/>
      <c r="J9992" s="1348"/>
      <c r="K9992" s="1348"/>
    </row>
    <row r="9993" spans="2:11" hidden="1">
      <c r="B9993" s="1348"/>
      <c r="C9993" s="1348"/>
      <c r="D9993" s="1348"/>
      <c r="E9993" s="1348"/>
      <c r="F9993" s="1348"/>
      <c r="G9993" s="1348"/>
      <c r="H9993" s="1348"/>
      <c r="I9993" s="1348"/>
      <c r="J9993" s="1348"/>
      <c r="K9993" s="1348"/>
    </row>
    <row r="9994" spans="2:11" hidden="1">
      <c r="B9994" s="1348"/>
      <c r="C9994" s="1348"/>
      <c r="D9994" s="1348"/>
      <c r="E9994" s="1348"/>
      <c r="F9994" s="1348"/>
      <c r="G9994" s="1348"/>
      <c r="H9994" s="1348"/>
      <c r="I9994" s="1348"/>
      <c r="J9994" s="1348"/>
      <c r="K9994" s="1348"/>
    </row>
    <row r="9995" spans="2:11" hidden="1">
      <c r="B9995" s="1348"/>
      <c r="C9995" s="1348"/>
      <c r="D9995" s="1348"/>
      <c r="E9995" s="1348"/>
      <c r="F9995" s="1348"/>
      <c r="G9995" s="1348"/>
      <c r="H9995" s="1348"/>
      <c r="I9995" s="1348"/>
      <c r="J9995" s="1348"/>
      <c r="K9995" s="1348"/>
    </row>
    <row r="9996" spans="2:11" hidden="1">
      <c r="B9996" s="1348"/>
      <c r="C9996" s="1348"/>
      <c r="D9996" s="1348"/>
      <c r="E9996" s="1348"/>
      <c r="F9996" s="1348"/>
      <c r="G9996" s="1348"/>
      <c r="H9996" s="1348"/>
      <c r="I9996" s="1348"/>
      <c r="J9996" s="1348"/>
      <c r="K9996" s="1348"/>
    </row>
    <row r="9997" spans="2:11" hidden="1">
      <c r="B9997" s="1348"/>
      <c r="C9997" s="1348"/>
      <c r="D9997" s="1348"/>
      <c r="E9997" s="1348"/>
      <c r="F9997" s="1348"/>
      <c r="G9997" s="1348"/>
      <c r="H9997" s="1348"/>
      <c r="I9997" s="1348"/>
      <c r="J9997" s="1348"/>
      <c r="K9997" s="1348"/>
    </row>
    <row r="9998" spans="2:11" hidden="1">
      <c r="B9998" s="1348"/>
      <c r="C9998" s="1348"/>
      <c r="D9998" s="1348"/>
      <c r="E9998" s="1348"/>
      <c r="F9998" s="1348"/>
      <c r="G9998" s="1348"/>
      <c r="H9998" s="1348"/>
      <c r="I9998" s="1348"/>
      <c r="J9998" s="1348"/>
      <c r="K9998" s="1348"/>
    </row>
    <row r="9999" spans="2:11" hidden="1">
      <c r="B9999" s="1348"/>
      <c r="C9999" s="1348"/>
      <c r="D9999" s="1348"/>
      <c r="E9999" s="1348"/>
      <c r="F9999" s="1348"/>
      <c r="G9999" s="1348"/>
      <c r="H9999" s="1348"/>
      <c r="I9999" s="1348"/>
      <c r="J9999" s="1348"/>
      <c r="K9999" s="1348"/>
    </row>
    <row r="10000" spans="2:11" hidden="1">
      <c r="B10000" s="1348"/>
      <c r="C10000" s="1348"/>
      <c r="D10000" s="1348"/>
      <c r="E10000" s="1348"/>
      <c r="F10000" s="1348"/>
      <c r="G10000" s="1348"/>
      <c r="H10000" s="1348"/>
      <c r="I10000" s="1348"/>
      <c r="J10000" s="1348"/>
      <c r="K10000" s="1348"/>
    </row>
    <row r="10001" spans="2:11" hidden="1">
      <c r="B10001" s="1348"/>
      <c r="C10001" s="1348"/>
      <c r="D10001" s="1348"/>
      <c r="E10001" s="1348"/>
      <c r="F10001" s="1348"/>
      <c r="G10001" s="1348"/>
      <c r="H10001" s="1348"/>
      <c r="I10001" s="1348"/>
      <c r="J10001" s="1348"/>
      <c r="K10001" s="1348"/>
    </row>
    <row r="10002" spans="2:11" hidden="1">
      <c r="B10002" s="1348"/>
      <c r="C10002" s="1348"/>
      <c r="D10002" s="1348"/>
      <c r="E10002" s="1348"/>
      <c r="F10002" s="1348"/>
      <c r="G10002" s="1348"/>
      <c r="H10002" s="1348"/>
      <c r="I10002" s="1348"/>
      <c r="J10002" s="1348"/>
      <c r="K10002" s="1348"/>
    </row>
    <row r="10003" spans="2:11" hidden="1">
      <c r="B10003" s="1348"/>
      <c r="C10003" s="1348"/>
      <c r="D10003" s="1348"/>
      <c r="E10003" s="1348"/>
      <c r="F10003" s="1348"/>
      <c r="G10003" s="1348"/>
      <c r="H10003" s="1348"/>
      <c r="I10003" s="1348"/>
      <c r="J10003" s="1348"/>
      <c r="K10003" s="1348"/>
    </row>
    <row r="10004" spans="2:11" hidden="1">
      <c r="B10004" s="1348"/>
      <c r="C10004" s="1348"/>
      <c r="D10004" s="1348"/>
      <c r="E10004" s="1348"/>
      <c r="F10004" s="1348"/>
      <c r="G10004" s="1348"/>
      <c r="H10004" s="1348"/>
      <c r="I10004" s="1348"/>
      <c r="J10004" s="1348"/>
      <c r="K10004" s="1348"/>
    </row>
    <row r="10005" spans="2:11" hidden="1">
      <c r="B10005" s="1348"/>
      <c r="C10005" s="1348"/>
      <c r="D10005" s="1348"/>
      <c r="E10005" s="1348"/>
      <c r="F10005" s="1348"/>
      <c r="G10005" s="1348"/>
      <c r="H10005" s="1348"/>
      <c r="I10005" s="1348"/>
      <c r="J10005" s="1348"/>
      <c r="K10005" s="1348"/>
    </row>
    <row r="10006" spans="2:11" hidden="1">
      <c r="B10006" s="1348"/>
      <c r="C10006" s="1348"/>
      <c r="D10006" s="1348"/>
      <c r="E10006" s="1348"/>
      <c r="F10006" s="1348"/>
      <c r="G10006" s="1348"/>
      <c r="H10006" s="1348"/>
      <c r="I10006" s="1348"/>
      <c r="J10006" s="1348"/>
      <c r="K10006" s="1348"/>
    </row>
    <row r="10007" spans="2:11" hidden="1">
      <c r="B10007" s="1348"/>
      <c r="C10007" s="1348"/>
      <c r="D10007" s="1348"/>
      <c r="E10007" s="1348"/>
      <c r="F10007" s="1348"/>
      <c r="G10007" s="1348"/>
      <c r="H10007" s="1348"/>
      <c r="I10007" s="1348"/>
      <c r="J10007" s="1348"/>
      <c r="K10007" s="1348"/>
    </row>
    <row r="10008" spans="2:11" hidden="1">
      <c r="B10008" s="1348"/>
      <c r="C10008" s="1348"/>
      <c r="D10008" s="1348"/>
      <c r="E10008" s="1348"/>
      <c r="F10008" s="1348"/>
      <c r="G10008" s="1348"/>
      <c r="H10008" s="1348"/>
      <c r="I10008" s="1348"/>
      <c r="J10008" s="1348"/>
      <c r="K10008" s="1348"/>
    </row>
    <row r="10009" spans="2:11" hidden="1">
      <c r="B10009" s="1348"/>
      <c r="C10009" s="1348"/>
      <c r="D10009" s="1348"/>
      <c r="E10009" s="1348"/>
      <c r="F10009" s="1348"/>
      <c r="G10009" s="1348"/>
      <c r="H10009" s="1348"/>
      <c r="I10009" s="1348"/>
      <c r="J10009" s="1348"/>
      <c r="K10009" s="1348"/>
    </row>
    <row r="10010" spans="2:11" hidden="1">
      <c r="B10010" s="1348"/>
      <c r="C10010" s="1348"/>
      <c r="D10010" s="1348"/>
      <c r="E10010" s="1348"/>
      <c r="F10010" s="1348"/>
      <c r="G10010" s="1348"/>
      <c r="H10010" s="1348"/>
      <c r="I10010" s="1348"/>
      <c r="J10010" s="1348"/>
      <c r="K10010" s="1348"/>
    </row>
    <row r="10011" spans="2:11" hidden="1">
      <c r="B10011" s="1348"/>
      <c r="C10011" s="1348"/>
      <c r="D10011" s="1348"/>
      <c r="E10011" s="1348"/>
      <c r="F10011" s="1348"/>
      <c r="G10011" s="1348"/>
      <c r="H10011" s="1348"/>
      <c r="I10011" s="1348"/>
      <c r="J10011" s="1348"/>
      <c r="K10011" s="1348"/>
    </row>
    <row r="10012" spans="2:11" hidden="1">
      <c r="B10012" s="1348"/>
      <c r="C10012" s="1348"/>
      <c r="D10012" s="1348"/>
      <c r="E10012" s="1348"/>
      <c r="F10012" s="1348"/>
      <c r="G10012" s="1348"/>
      <c r="H10012" s="1348"/>
      <c r="I10012" s="1348"/>
      <c r="J10012" s="1348"/>
      <c r="K10012" s="1348"/>
    </row>
    <row r="10013" spans="2:11" hidden="1">
      <c r="B10013" s="1348"/>
      <c r="C10013" s="1348"/>
      <c r="D10013" s="1348"/>
      <c r="E10013" s="1348"/>
      <c r="F10013" s="1348"/>
      <c r="G10013" s="1348"/>
      <c r="H10013" s="1348"/>
      <c r="I10013" s="1348"/>
      <c r="J10013" s="1348"/>
      <c r="K10013" s="1348"/>
    </row>
    <row r="10014" spans="2:11" hidden="1">
      <c r="B10014" s="1348"/>
      <c r="C10014" s="1348"/>
      <c r="D10014" s="1348"/>
      <c r="E10014" s="1348"/>
      <c r="F10014" s="1348"/>
      <c r="G10014" s="1348"/>
      <c r="H10014" s="1348"/>
      <c r="I10014" s="1348"/>
      <c r="J10014" s="1348"/>
      <c r="K10014" s="1348"/>
    </row>
    <row r="10015" spans="2:11" hidden="1">
      <c r="B10015" s="1348"/>
      <c r="C10015" s="1348"/>
      <c r="D10015" s="1348"/>
      <c r="E10015" s="1348"/>
      <c r="F10015" s="1348"/>
      <c r="G10015" s="1348"/>
      <c r="H10015" s="1348"/>
      <c r="I10015" s="1348"/>
      <c r="J10015" s="1348"/>
      <c r="K10015" s="1348"/>
    </row>
    <row r="10016" spans="2:11" hidden="1">
      <c r="B10016" s="1348"/>
      <c r="C10016" s="1348"/>
      <c r="D10016" s="1348"/>
      <c r="E10016" s="1348"/>
      <c r="F10016" s="1348"/>
      <c r="G10016" s="1348"/>
      <c r="H10016" s="1348"/>
      <c r="I10016" s="1348"/>
      <c r="J10016" s="1348"/>
      <c r="K10016" s="1348"/>
    </row>
    <row r="10017" spans="2:11" hidden="1">
      <c r="B10017" s="1348"/>
      <c r="C10017" s="1348"/>
      <c r="D10017" s="1348"/>
      <c r="E10017" s="1348"/>
      <c r="F10017" s="1348"/>
      <c r="G10017" s="1348"/>
      <c r="H10017" s="1348"/>
      <c r="I10017" s="1348"/>
      <c r="J10017" s="1348"/>
      <c r="K10017" s="1348"/>
    </row>
    <row r="10018" spans="2:11" hidden="1">
      <c r="B10018" s="1348"/>
      <c r="C10018" s="1348"/>
      <c r="D10018" s="1348"/>
      <c r="E10018" s="1348"/>
      <c r="F10018" s="1348"/>
      <c r="G10018" s="1348"/>
      <c r="H10018" s="1348"/>
      <c r="I10018" s="1348"/>
      <c r="J10018" s="1348"/>
      <c r="K10018" s="1348"/>
    </row>
    <row r="10019" spans="2:11" hidden="1">
      <c r="B10019" s="1348"/>
      <c r="C10019" s="1348"/>
      <c r="D10019" s="1348"/>
      <c r="E10019" s="1348"/>
      <c r="F10019" s="1348"/>
      <c r="G10019" s="1348"/>
      <c r="H10019" s="1348"/>
      <c r="I10019" s="1348"/>
      <c r="J10019" s="1348"/>
      <c r="K10019" s="1348"/>
    </row>
    <row r="10020" spans="2:11" hidden="1">
      <c r="B10020" s="1348"/>
      <c r="C10020" s="1348"/>
      <c r="D10020" s="1348"/>
      <c r="E10020" s="1348"/>
      <c r="F10020" s="1348"/>
      <c r="G10020" s="1348"/>
      <c r="H10020" s="1348"/>
      <c r="I10020" s="1348"/>
      <c r="J10020" s="1348"/>
      <c r="K10020" s="1348"/>
    </row>
    <row r="10021" spans="2:11" hidden="1">
      <c r="B10021" s="1348"/>
      <c r="C10021" s="1348"/>
      <c r="D10021" s="1348"/>
      <c r="E10021" s="1348"/>
      <c r="F10021" s="1348"/>
      <c r="G10021" s="1348"/>
      <c r="H10021" s="1348"/>
      <c r="I10021" s="1348"/>
      <c r="J10021" s="1348"/>
      <c r="K10021" s="1348"/>
    </row>
    <row r="10022" spans="2:11" hidden="1">
      <c r="B10022" s="1348"/>
      <c r="C10022" s="1348"/>
      <c r="D10022" s="1348"/>
      <c r="E10022" s="1348"/>
      <c r="F10022" s="1348"/>
      <c r="G10022" s="1348"/>
      <c r="H10022" s="1348"/>
      <c r="I10022" s="1348"/>
      <c r="J10022" s="1348"/>
      <c r="K10022" s="1348"/>
    </row>
    <row r="10023" spans="2:11" hidden="1">
      <c r="B10023" s="1348"/>
      <c r="C10023" s="1348"/>
      <c r="D10023" s="1348"/>
      <c r="E10023" s="1348"/>
      <c r="F10023" s="1348"/>
      <c r="G10023" s="1348"/>
      <c r="H10023" s="1348"/>
      <c r="I10023" s="1348"/>
      <c r="J10023" s="1348"/>
      <c r="K10023" s="1348"/>
    </row>
    <row r="10024" spans="2:11" hidden="1">
      <c r="B10024" s="1348"/>
      <c r="C10024" s="1348"/>
      <c r="D10024" s="1348"/>
      <c r="E10024" s="1348"/>
      <c r="F10024" s="1348"/>
      <c r="G10024" s="1348"/>
      <c r="H10024" s="1348"/>
      <c r="I10024" s="1348"/>
      <c r="J10024" s="1348"/>
      <c r="K10024" s="1348"/>
    </row>
    <row r="10025" spans="2:11" hidden="1">
      <c r="B10025" s="1348"/>
      <c r="C10025" s="1348"/>
      <c r="D10025" s="1348"/>
      <c r="E10025" s="1348"/>
      <c r="F10025" s="1348"/>
      <c r="G10025" s="1348"/>
      <c r="H10025" s="1348"/>
      <c r="I10025" s="1348"/>
      <c r="J10025" s="1348"/>
      <c r="K10025" s="1348"/>
    </row>
    <row r="10026" spans="2:11" hidden="1">
      <c r="B10026" s="1348"/>
      <c r="C10026" s="1348"/>
      <c r="D10026" s="1348"/>
      <c r="E10026" s="1348"/>
      <c r="F10026" s="1348"/>
      <c r="G10026" s="1348"/>
      <c r="H10026" s="1348"/>
      <c r="I10026" s="1348"/>
      <c r="J10026" s="1348"/>
      <c r="K10026" s="1348"/>
    </row>
    <row r="10027" spans="2:11" hidden="1">
      <c r="B10027" s="1348"/>
      <c r="C10027" s="1348"/>
      <c r="D10027" s="1348"/>
      <c r="E10027" s="1348"/>
      <c r="F10027" s="1348"/>
      <c r="G10027" s="1348"/>
      <c r="H10027" s="1348"/>
      <c r="I10027" s="1348"/>
      <c r="J10027" s="1348"/>
      <c r="K10027" s="1348"/>
    </row>
    <row r="10028" spans="2:11" hidden="1">
      <c r="B10028" s="1348"/>
      <c r="C10028" s="1348"/>
      <c r="D10028" s="1348"/>
      <c r="E10028" s="1348"/>
      <c r="F10028" s="1348"/>
      <c r="G10028" s="1348"/>
      <c r="H10028" s="1348"/>
      <c r="I10028" s="1348"/>
      <c r="J10028" s="1348"/>
      <c r="K10028" s="1348"/>
    </row>
    <row r="10029" spans="2:11" hidden="1">
      <c r="B10029" s="1348"/>
      <c r="C10029" s="1348"/>
      <c r="D10029" s="1348"/>
      <c r="E10029" s="1348"/>
      <c r="F10029" s="1348"/>
      <c r="G10029" s="1348"/>
      <c r="H10029" s="1348"/>
      <c r="I10029" s="1348"/>
      <c r="J10029" s="1348"/>
      <c r="K10029" s="1348"/>
    </row>
    <row r="10030" spans="2:11" hidden="1">
      <c r="B10030" s="1348"/>
      <c r="C10030" s="1348"/>
      <c r="D10030" s="1348"/>
      <c r="E10030" s="1348"/>
      <c r="F10030" s="1348"/>
      <c r="G10030" s="1348"/>
      <c r="H10030" s="1348"/>
      <c r="I10030" s="1348"/>
      <c r="J10030" s="1348"/>
      <c r="K10030" s="1348"/>
    </row>
    <row r="10031" spans="2:11" hidden="1">
      <c r="B10031" s="1348"/>
      <c r="C10031" s="1348"/>
      <c r="D10031" s="1348"/>
      <c r="E10031" s="1348"/>
      <c r="F10031" s="1348"/>
      <c r="G10031" s="1348"/>
      <c r="H10031" s="1348"/>
      <c r="I10031" s="1348"/>
      <c r="J10031" s="1348"/>
      <c r="K10031" s="1348"/>
    </row>
    <row r="10032" spans="2:11" hidden="1">
      <c r="B10032" s="1348"/>
      <c r="C10032" s="1348"/>
      <c r="D10032" s="1348"/>
      <c r="E10032" s="1348"/>
      <c r="F10032" s="1348"/>
      <c r="G10032" s="1348"/>
      <c r="H10032" s="1348"/>
      <c r="I10032" s="1348"/>
      <c r="J10032" s="1348"/>
      <c r="K10032" s="1348"/>
    </row>
    <row r="10033" spans="2:11" hidden="1">
      <c r="B10033" s="1348"/>
      <c r="C10033" s="1348"/>
      <c r="D10033" s="1348"/>
      <c r="E10033" s="1348"/>
      <c r="F10033" s="1348"/>
      <c r="G10033" s="1348"/>
      <c r="H10033" s="1348"/>
      <c r="I10033" s="1348"/>
      <c r="J10033" s="1348"/>
      <c r="K10033" s="1348"/>
    </row>
    <row r="10034" spans="2:11" hidden="1">
      <c r="B10034" s="1348"/>
      <c r="C10034" s="1348"/>
      <c r="D10034" s="1348"/>
      <c r="E10034" s="1348"/>
      <c r="F10034" s="1348"/>
      <c r="G10034" s="1348"/>
      <c r="H10034" s="1348"/>
      <c r="I10034" s="1348"/>
      <c r="J10034" s="1348"/>
      <c r="K10034" s="1348"/>
    </row>
    <row r="10035" spans="2:11" hidden="1">
      <c r="B10035" s="1348"/>
      <c r="C10035" s="1348"/>
      <c r="D10035" s="1348"/>
      <c r="E10035" s="1348"/>
      <c r="F10035" s="1348"/>
      <c r="G10035" s="1348"/>
      <c r="H10035" s="1348"/>
      <c r="I10035" s="1348"/>
      <c r="J10035" s="1348"/>
      <c r="K10035" s="1348"/>
    </row>
    <row r="10036" spans="2:11" hidden="1">
      <c r="B10036" s="1348"/>
      <c r="C10036" s="1348"/>
      <c r="D10036" s="1348"/>
      <c r="E10036" s="1348"/>
      <c r="F10036" s="1348"/>
      <c r="G10036" s="1348"/>
      <c r="H10036" s="1348"/>
      <c r="I10036" s="1348"/>
      <c r="J10036" s="1348"/>
      <c r="K10036" s="1348"/>
    </row>
    <row r="10037" spans="2:11" hidden="1">
      <c r="B10037" s="1348"/>
      <c r="C10037" s="1348"/>
      <c r="D10037" s="1348"/>
      <c r="E10037" s="1348"/>
      <c r="F10037" s="1348"/>
      <c r="G10037" s="1348"/>
      <c r="H10037" s="1348"/>
      <c r="I10037" s="1348"/>
      <c r="J10037" s="1348"/>
      <c r="K10037" s="1348"/>
    </row>
    <row r="10038" spans="2:11" hidden="1">
      <c r="B10038" s="1348"/>
      <c r="C10038" s="1348"/>
      <c r="D10038" s="1348"/>
      <c r="E10038" s="1348"/>
      <c r="F10038" s="1348"/>
      <c r="G10038" s="1348"/>
      <c r="H10038" s="1348"/>
      <c r="I10038" s="1348"/>
      <c r="J10038" s="1348"/>
      <c r="K10038" s="1348"/>
    </row>
    <row r="10039" spans="2:11" hidden="1">
      <c r="B10039" s="1348"/>
      <c r="C10039" s="1348"/>
      <c r="D10039" s="1348"/>
      <c r="E10039" s="1348"/>
      <c r="F10039" s="1348"/>
      <c r="G10039" s="1348"/>
      <c r="H10039" s="1348"/>
      <c r="I10039" s="1348"/>
      <c r="J10039" s="1348"/>
      <c r="K10039" s="1348"/>
    </row>
    <row r="10040" spans="2:11" hidden="1">
      <c r="B10040" s="1348"/>
      <c r="C10040" s="1348"/>
      <c r="D10040" s="1348"/>
      <c r="E10040" s="1348"/>
      <c r="F10040" s="1348"/>
      <c r="G10040" s="1348"/>
      <c r="H10040" s="1348"/>
      <c r="I10040" s="1348"/>
      <c r="J10040" s="1348"/>
      <c r="K10040" s="1348"/>
    </row>
    <row r="10041" spans="2:11" hidden="1">
      <c r="B10041" s="1348"/>
      <c r="C10041" s="1348"/>
      <c r="D10041" s="1348"/>
      <c r="E10041" s="1348"/>
      <c r="F10041" s="1348"/>
      <c r="G10041" s="1348"/>
      <c r="H10041" s="1348"/>
      <c r="I10041" s="1348"/>
      <c r="J10041" s="1348"/>
      <c r="K10041" s="1348"/>
    </row>
    <row r="10042" spans="2:11" hidden="1">
      <c r="B10042" s="1348"/>
      <c r="C10042" s="1348"/>
      <c r="D10042" s="1348"/>
      <c r="E10042" s="1348"/>
      <c r="F10042" s="1348"/>
      <c r="G10042" s="1348"/>
      <c r="H10042" s="1348"/>
      <c r="I10042" s="1348"/>
      <c r="J10042" s="1348"/>
      <c r="K10042" s="1348"/>
    </row>
    <row r="10043" spans="2:11" hidden="1">
      <c r="B10043" s="1348"/>
      <c r="C10043" s="1348"/>
      <c r="D10043" s="1348"/>
      <c r="E10043" s="1348"/>
      <c r="F10043" s="1348"/>
      <c r="G10043" s="1348"/>
      <c r="H10043" s="1348"/>
      <c r="I10043" s="1348"/>
      <c r="J10043" s="1348"/>
      <c r="K10043" s="1348"/>
    </row>
    <row r="10044" spans="2:11" hidden="1">
      <c r="B10044" s="1348"/>
      <c r="C10044" s="1348"/>
      <c r="D10044" s="1348"/>
      <c r="E10044" s="1348"/>
      <c r="F10044" s="1348"/>
      <c r="G10044" s="1348"/>
      <c r="H10044" s="1348"/>
      <c r="I10044" s="1348"/>
      <c r="J10044" s="1348"/>
      <c r="K10044" s="1348"/>
    </row>
    <row r="10045" spans="2:11" hidden="1">
      <c r="B10045" s="1348"/>
      <c r="C10045" s="1348"/>
      <c r="D10045" s="1348"/>
      <c r="E10045" s="1348"/>
      <c r="F10045" s="1348"/>
      <c r="G10045" s="1348"/>
      <c r="H10045" s="1348"/>
      <c r="I10045" s="1348"/>
      <c r="J10045" s="1348"/>
      <c r="K10045" s="1348"/>
    </row>
    <row r="10046" spans="2:11" hidden="1">
      <c r="B10046" s="1348"/>
      <c r="C10046" s="1348"/>
      <c r="D10046" s="1348"/>
      <c r="E10046" s="1348"/>
      <c r="F10046" s="1348"/>
      <c r="G10046" s="1348"/>
      <c r="H10046" s="1348"/>
      <c r="I10046" s="1348"/>
      <c r="J10046" s="1348"/>
      <c r="K10046" s="1348"/>
    </row>
    <row r="10047" spans="2:11" hidden="1">
      <c r="B10047" s="1348"/>
      <c r="C10047" s="1348"/>
      <c r="D10047" s="1348"/>
      <c r="E10047" s="1348"/>
      <c r="F10047" s="1348"/>
      <c r="G10047" s="1348"/>
      <c r="H10047" s="1348"/>
      <c r="I10047" s="1348"/>
      <c r="J10047" s="1348"/>
      <c r="K10047" s="1348"/>
    </row>
    <row r="10048" spans="2:11" hidden="1">
      <c r="B10048" s="1348"/>
      <c r="C10048" s="1348"/>
      <c r="D10048" s="1348"/>
      <c r="E10048" s="1348"/>
      <c r="F10048" s="1348"/>
      <c r="G10048" s="1348"/>
      <c r="H10048" s="1348"/>
      <c r="I10048" s="1348"/>
      <c r="J10048" s="1348"/>
      <c r="K10048" s="1348"/>
    </row>
    <row r="10049" spans="2:11" hidden="1">
      <c r="B10049" s="1348"/>
      <c r="C10049" s="1348"/>
      <c r="D10049" s="1348"/>
      <c r="E10049" s="1348"/>
      <c r="F10049" s="1348"/>
      <c r="G10049" s="1348"/>
      <c r="H10049" s="1348"/>
      <c r="I10049" s="1348"/>
      <c r="J10049" s="1348"/>
      <c r="K10049" s="1348"/>
    </row>
    <row r="10050" spans="2:11" hidden="1">
      <c r="B10050" s="1348"/>
      <c r="C10050" s="1348"/>
      <c r="D10050" s="1348"/>
      <c r="E10050" s="1348"/>
      <c r="F10050" s="1348"/>
      <c r="G10050" s="1348"/>
      <c r="H10050" s="1348"/>
      <c r="I10050" s="1348"/>
      <c r="J10050" s="1348"/>
      <c r="K10050" s="1348"/>
    </row>
    <row r="10051" spans="2:11" hidden="1">
      <c r="B10051" s="1348"/>
      <c r="C10051" s="1348"/>
      <c r="D10051" s="1348"/>
      <c r="E10051" s="1348"/>
      <c r="F10051" s="1348"/>
      <c r="G10051" s="1348"/>
      <c r="H10051" s="1348"/>
      <c r="I10051" s="1348"/>
      <c r="J10051" s="1348"/>
      <c r="K10051" s="1348"/>
    </row>
    <row r="10052" spans="2:11" hidden="1">
      <c r="B10052" s="1348"/>
      <c r="C10052" s="1348"/>
      <c r="D10052" s="1348"/>
      <c r="E10052" s="1348"/>
      <c r="F10052" s="1348"/>
      <c r="G10052" s="1348"/>
      <c r="H10052" s="1348"/>
      <c r="I10052" s="1348"/>
      <c r="J10052" s="1348"/>
      <c r="K10052" s="1348"/>
    </row>
    <row r="10053" spans="2:11" hidden="1">
      <c r="B10053" s="1348"/>
      <c r="C10053" s="1348"/>
      <c r="D10053" s="1348"/>
      <c r="E10053" s="1348"/>
      <c r="F10053" s="1348"/>
      <c r="G10053" s="1348"/>
      <c r="H10053" s="1348"/>
      <c r="I10053" s="1348"/>
      <c r="J10053" s="1348"/>
      <c r="K10053" s="1348"/>
    </row>
    <row r="10054" spans="2:11" hidden="1">
      <c r="B10054" s="1348"/>
      <c r="C10054" s="1348"/>
      <c r="D10054" s="1348"/>
      <c r="E10054" s="1348"/>
      <c r="F10054" s="1348"/>
      <c r="G10054" s="1348"/>
      <c r="H10054" s="1348"/>
      <c r="I10054" s="1348"/>
      <c r="J10054" s="1348"/>
      <c r="K10054" s="1348"/>
    </row>
    <row r="10055" spans="2:11" hidden="1">
      <c r="B10055" s="1348"/>
      <c r="C10055" s="1348"/>
      <c r="D10055" s="1348"/>
      <c r="E10055" s="1348"/>
      <c r="F10055" s="1348"/>
      <c r="G10055" s="1348"/>
      <c r="H10055" s="1348"/>
      <c r="I10055" s="1348"/>
      <c r="J10055" s="1348"/>
      <c r="K10055" s="1348"/>
    </row>
    <row r="10056" spans="2:11" hidden="1">
      <c r="B10056" s="1348"/>
      <c r="C10056" s="1348"/>
      <c r="D10056" s="1348"/>
      <c r="E10056" s="1348"/>
      <c r="F10056" s="1348"/>
      <c r="G10056" s="1348"/>
      <c r="H10056" s="1348"/>
      <c r="I10056" s="1348"/>
      <c r="J10056" s="1348"/>
      <c r="K10056" s="1348"/>
    </row>
    <row r="10057" spans="2:11" hidden="1">
      <c r="B10057" s="1348"/>
      <c r="C10057" s="1348"/>
      <c r="D10057" s="1348"/>
      <c r="E10057" s="1348"/>
      <c r="F10057" s="1348"/>
      <c r="G10057" s="1348"/>
      <c r="H10057" s="1348"/>
      <c r="I10057" s="1348"/>
      <c r="J10057" s="1348"/>
      <c r="K10057" s="1348"/>
    </row>
    <row r="10058" spans="2:11" hidden="1">
      <c r="B10058" s="1348"/>
      <c r="C10058" s="1348"/>
      <c r="D10058" s="1348"/>
      <c r="E10058" s="1348"/>
      <c r="F10058" s="1348"/>
      <c r="G10058" s="1348"/>
      <c r="H10058" s="1348"/>
      <c r="I10058" s="1348"/>
      <c r="J10058" s="1348"/>
      <c r="K10058" s="1348"/>
    </row>
    <row r="10059" spans="2:11" hidden="1">
      <c r="B10059" s="1348"/>
      <c r="C10059" s="1348"/>
      <c r="D10059" s="1348"/>
      <c r="E10059" s="1348"/>
      <c r="F10059" s="1348"/>
      <c r="G10059" s="1348"/>
      <c r="H10059" s="1348"/>
      <c r="I10059" s="1348"/>
      <c r="J10059" s="1348"/>
      <c r="K10059" s="1348"/>
    </row>
    <row r="10060" spans="2:11" hidden="1">
      <c r="B10060" s="1348"/>
      <c r="C10060" s="1348"/>
      <c r="D10060" s="1348"/>
      <c r="E10060" s="1348"/>
      <c r="F10060" s="1348"/>
      <c r="G10060" s="1348"/>
      <c r="H10060" s="1348"/>
      <c r="I10060" s="1348"/>
      <c r="J10060" s="1348"/>
      <c r="K10060" s="1348"/>
    </row>
    <row r="10061" spans="2:11" hidden="1">
      <c r="B10061" s="1348"/>
      <c r="C10061" s="1348"/>
      <c r="D10061" s="1348"/>
      <c r="E10061" s="1348"/>
      <c r="F10061" s="1348"/>
      <c r="G10061" s="1348"/>
      <c r="H10061" s="1348"/>
      <c r="I10061" s="1348"/>
      <c r="J10061" s="1348"/>
      <c r="K10061" s="1348"/>
    </row>
    <row r="10062" spans="2:11" hidden="1">
      <c r="B10062" s="1348"/>
      <c r="C10062" s="1348"/>
      <c r="D10062" s="1348"/>
      <c r="E10062" s="1348"/>
      <c r="F10062" s="1348"/>
      <c r="G10062" s="1348"/>
      <c r="H10062" s="1348"/>
      <c r="I10062" s="1348"/>
      <c r="J10062" s="1348"/>
      <c r="K10062" s="1348"/>
    </row>
    <row r="10063" spans="2:11" hidden="1">
      <c r="B10063" s="1348"/>
      <c r="C10063" s="1348"/>
      <c r="D10063" s="1348"/>
      <c r="E10063" s="1348"/>
      <c r="F10063" s="1348"/>
      <c r="G10063" s="1348"/>
      <c r="H10063" s="1348"/>
      <c r="I10063" s="1348"/>
      <c r="J10063" s="1348"/>
      <c r="K10063" s="1348"/>
    </row>
    <row r="10064" spans="2:11" hidden="1">
      <c r="B10064" s="1348"/>
      <c r="C10064" s="1348"/>
      <c r="D10064" s="1348"/>
      <c r="E10064" s="1348"/>
      <c r="F10064" s="1348"/>
      <c r="G10064" s="1348"/>
      <c r="H10064" s="1348"/>
      <c r="I10064" s="1348"/>
      <c r="J10064" s="1348"/>
      <c r="K10064" s="1348"/>
    </row>
    <row r="10065" spans="2:11" hidden="1">
      <c r="B10065" s="1348"/>
      <c r="C10065" s="1348"/>
      <c r="D10065" s="1348"/>
      <c r="E10065" s="1348"/>
      <c r="F10065" s="1348"/>
      <c r="G10065" s="1348"/>
      <c r="H10065" s="1348"/>
      <c r="I10065" s="1348"/>
      <c r="J10065" s="1348"/>
      <c r="K10065" s="1348"/>
    </row>
    <row r="10066" spans="2:11" hidden="1">
      <c r="B10066" s="1348"/>
      <c r="C10066" s="1348"/>
      <c r="D10066" s="1348"/>
      <c r="E10066" s="1348"/>
      <c r="F10066" s="1348"/>
      <c r="G10066" s="1348"/>
      <c r="H10066" s="1348"/>
      <c r="I10066" s="1348"/>
      <c r="J10066" s="1348"/>
      <c r="K10066" s="1348"/>
    </row>
    <row r="10067" spans="2:11" hidden="1">
      <c r="B10067" s="1348"/>
      <c r="C10067" s="1348"/>
      <c r="D10067" s="1348"/>
      <c r="E10067" s="1348"/>
      <c r="F10067" s="1348"/>
      <c r="G10067" s="1348"/>
      <c r="H10067" s="1348"/>
      <c r="I10067" s="1348"/>
      <c r="J10067" s="1348"/>
      <c r="K10067" s="1348"/>
    </row>
    <row r="10068" spans="2:11" hidden="1">
      <c r="B10068" s="1348"/>
      <c r="C10068" s="1348"/>
      <c r="D10068" s="1348"/>
      <c r="E10068" s="1348"/>
      <c r="F10068" s="1348"/>
      <c r="G10068" s="1348"/>
      <c r="H10068" s="1348"/>
      <c r="I10068" s="1348"/>
      <c r="J10068" s="1348"/>
      <c r="K10068" s="1348"/>
    </row>
    <row r="10069" spans="2:11" hidden="1">
      <c r="B10069" s="1348"/>
      <c r="C10069" s="1348"/>
      <c r="D10069" s="1348"/>
      <c r="E10069" s="1348"/>
      <c r="F10069" s="1348"/>
      <c r="G10069" s="1348"/>
      <c r="H10069" s="1348"/>
      <c r="I10069" s="1348"/>
      <c r="J10069" s="1348"/>
      <c r="K10069" s="1348"/>
    </row>
    <row r="10070" spans="2:11" hidden="1">
      <c r="B10070" s="1348"/>
      <c r="C10070" s="1348"/>
      <c r="D10070" s="1348"/>
      <c r="E10070" s="1348"/>
      <c r="F10070" s="1348"/>
      <c r="G10070" s="1348"/>
      <c r="H10070" s="1348"/>
      <c r="I10070" s="1348"/>
      <c r="J10070" s="1348"/>
      <c r="K10070" s="1348"/>
    </row>
    <row r="10071" spans="2:11" hidden="1">
      <c r="B10071" s="1348"/>
      <c r="C10071" s="1348"/>
      <c r="D10071" s="1348"/>
      <c r="E10071" s="1348"/>
      <c r="F10071" s="1348"/>
      <c r="G10071" s="1348"/>
      <c r="H10071" s="1348"/>
      <c r="I10071" s="1348"/>
      <c r="J10071" s="1348"/>
      <c r="K10071" s="1348"/>
    </row>
    <row r="10072" spans="2:11" hidden="1">
      <c r="B10072" s="1348"/>
      <c r="C10072" s="1348"/>
      <c r="D10072" s="1348"/>
      <c r="E10072" s="1348"/>
      <c r="F10072" s="1348"/>
      <c r="G10072" s="1348"/>
      <c r="H10072" s="1348"/>
      <c r="I10072" s="1348"/>
      <c r="J10072" s="1348"/>
      <c r="K10072" s="1348"/>
    </row>
    <row r="10073" spans="2:11" hidden="1">
      <c r="B10073" s="1348"/>
      <c r="C10073" s="1348"/>
      <c r="D10073" s="1348"/>
      <c r="E10073" s="1348"/>
      <c r="F10073" s="1348"/>
      <c r="G10073" s="1348"/>
      <c r="H10073" s="1348"/>
      <c r="I10073" s="1348"/>
      <c r="J10073" s="1348"/>
      <c r="K10073" s="1348"/>
    </row>
    <row r="10074" spans="2:11" hidden="1">
      <c r="B10074" s="1348"/>
      <c r="C10074" s="1348"/>
      <c r="D10074" s="1348"/>
      <c r="E10074" s="1348"/>
      <c r="F10074" s="1348"/>
      <c r="G10074" s="1348"/>
      <c r="H10074" s="1348"/>
      <c r="I10074" s="1348"/>
      <c r="J10074" s="1348"/>
      <c r="K10074" s="1348"/>
    </row>
    <row r="10075" spans="2:11" hidden="1">
      <c r="B10075" s="1348"/>
      <c r="C10075" s="1348"/>
      <c r="D10075" s="1348"/>
      <c r="E10075" s="1348"/>
      <c r="F10075" s="1348"/>
      <c r="G10075" s="1348"/>
      <c r="H10075" s="1348"/>
      <c r="I10075" s="1348"/>
      <c r="J10075" s="1348"/>
      <c r="K10075" s="1348"/>
    </row>
    <row r="10076" spans="2:11" hidden="1">
      <c r="B10076" s="1348"/>
      <c r="C10076" s="1348"/>
      <c r="D10076" s="1348"/>
      <c r="E10076" s="1348"/>
      <c r="F10076" s="1348"/>
      <c r="G10076" s="1348"/>
      <c r="H10076" s="1348"/>
      <c r="I10076" s="1348"/>
      <c r="J10076" s="1348"/>
      <c r="K10076" s="1348"/>
    </row>
    <row r="10077" spans="2:11" hidden="1">
      <c r="B10077" s="1348"/>
      <c r="C10077" s="1348"/>
      <c r="D10077" s="1348"/>
      <c r="E10077" s="1348"/>
      <c r="F10077" s="1348"/>
      <c r="G10077" s="1348"/>
      <c r="H10077" s="1348"/>
      <c r="I10077" s="1348"/>
      <c r="J10077" s="1348"/>
      <c r="K10077" s="1348"/>
    </row>
    <row r="10078" spans="2:11" hidden="1">
      <c r="B10078" s="1348"/>
      <c r="C10078" s="1348"/>
      <c r="D10078" s="1348"/>
      <c r="E10078" s="1348"/>
      <c r="F10078" s="1348"/>
      <c r="G10078" s="1348"/>
      <c r="H10078" s="1348"/>
      <c r="I10078" s="1348"/>
      <c r="J10078" s="1348"/>
      <c r="K10078" s="1348"/>
    </row>
    <row r="10079" spans="2:11" hidden="1">
      <c r="B10079" s="1348"/>
      <c r="C10079" s="1348"/>
      <c r="D10079" s="1348"/>
      <c r="E10079" s="1348"/>
      <c r="F10079" s="1348"/>
      <c r="G10079" s="1348"/>
      <c r="H10079" s="1348"/>
      <c r="I10079" s="1348"/>
      <c r="J10079" s="1348"/>
      <c r="K10079" s="1348"/>
    </row>
    <row r="10080" spans="2:11" hidden="1">
      <c r="B10080" s="1348"/>
      <c r="C10080" s="1348"/>
      <c r="D10080" s="1348"/>
      <c r="E10080" s="1348"/>
      <c r="F10080" s="1348"/>
      <c r="G10080" s="1348"/>
      <c r="H10080" s="1348"/>
      <c r="I10080" s="1348"/>
      <c r="J10080" s="1348"/>
      <c r="K10080" s="1348"/>
    </row>
    <row r="10081" spans="2:11" hidden="1">
      <c r="B10081" s="1348"/>
      <c r="C10081" s="1348"/>
      <c r="D10081" s="1348"/>
      <c r="E10081" s="1348"/>
      <c r="F10081" s="1348"/>
      <c r="G10081" s="1348"/>
      <c r="H10081" s="1348"/>
      <c r="I10081" s="1348"/>
      <c r="J10081" s="1348"/>
      <c r="K10081" s="1348"/>
    </row>
    <row r="10082" spans="2:11" hidden="1">
      <c r="B10082" s="1348"/>
      <c r="C10082" s="1348"/>
      <c r="D10082" s="1348"/>
      <c r="E10082" s="1348"/>
      <c r="F10082" s="1348"/>
      <c r="G10082" s="1348"/>
      <c r="H10082" s="1348"/>
      <c r="I10082" s="1348"/>
      <c r="J10082" s="1348"/>
      <c r="K10082" s="1348"/>
    </row>
    <row r="10083" spans="2:11" hidden="1">
      <c r="B10083" s="1348"/>
      <c r="C10083" s="1348"/>
      <c r="D10083" s="1348"/>
      <c r="E10083" s="1348"/>
      <c r="F10083" s="1348"/>
      <c r="G10083" s="1348"/>
      <c r="H10083" s="1348"/>
      <c r="I10083" s="1348"/>
      <c r="J10083" s="1348"/>
      <c r="K10083" s="1348"/>
    </row>
    <row r="10084" spans="2:11" hidden="1">
      <c r="B10084" s="1348"/>
      <c r="C10084" s="1348"/>
      <c r="D10084" s="1348"/>
      <c r="E10084" s="1348"/>
      <c r="F10084" s="1348"/>
      <c r="G10084" s="1348"/>
      <c r="H10084" s="1348"/>
      <c r="I10084" s="1348"/>
      <c r="J10084" s="1348"/>
      <c r="K10084" s="1348"/>
    </row>
    <row r="10085" spans="2:11" hidden="1">
      <c r="B10085" s="1348"/>
      <c r="C10085" s="1348"/>
      <c r="D10085" s="1348"/>
      <c r="E10085" s="1348"/>
      <c r="F10085" s="1348"/>
      <c r="G10085" s="1348"/>
      <c r="H10085" s="1348"/>
      <c r="I10085" s="1348"/>
      <c r="J10085" s="1348"/>
      <c r="K10085" s="1348"/>
    </row>
    <row r="10086" spans="2:11" hidden="1">
      <c r="B10086" s="1348"/>
      <c r="C10086" s="1348"/>
      <c r="D10086" s="1348"/>
      <c r="E10086" s="1348"/>
      <c r="F10086" s="1348"/>
      <c r="G10086" s="1348"/>
      <c r="H10086" s="1348"/>
      <c r="I10086" s="1348"/>
      <c r="J10086" s="1348"/>
      <c r="K10086" s="1348"/>
    </row>
    <row r="10087" spans="2:11" hidden="1">
      <c r="B10087" s="1348"/>
      <c r="C10087" s="1348"/>
      <c r="D10087" s="1348"/>
      <c r="E10087" s="1348"/>
      <c r="F10087" s="1348"/>
      <c r="G10087" s="1348"/>
      <c r="H10087" s="1348"/>
      <c r="I10087" s="1348"/>
      <c r="J10087" s="1348"/>
      <c r="K10087" s="1348"/>
    </row>
    <row r="10088" spans="2:11" hidden="1">
      <c r="B10088" s="1348"/>
      <c r="C10088" s="1348"/>
      <c r="D10088" s="1348"/>
      <c r="E10088" s="1348"/>
      <c r="F10088" s="1348"/>
      <c r="G10088" s="1348"/>
      <c r="H10088" s="1348"/>
      <c r="I10088" s="1348"/>
      <c r="J10088" s="1348"/>
      <c r="K10088" s="1348"/>
    </row>
    <row r="10089" spans="2:11" hidden="1">
      <c r="B10089" s="1348"/>
      <c r="C10089" s="1348"/>
      <c r="D10089" s="1348"/>
      <c r="E10089" s="1348"/>
      <c r="F10089" s="1348"/>
      <c r="G10089" s="1348"/>
      <c r="H10089" s="1348"/>
      <c r="I10089" s="1348"/>
      <c r="J10089" s="1348"/>
      <c r="K10089" s="1348"/>
    </row>
    <row r="10090" spans="2:11" hidden="1">
      <c r="B10090" s="1348"/>
      <c r="C10090" s="1348"/>
      <c r="D10090" s="1348"/>
      <c r="E10090" s="1348"/>
      <c r="F10090" s="1348"/>
      <c r="G10090" s="1348"/>
      <c r="H10090" s="1348"/>
      <c r="I10090" s="1348"/>
      <c r="J10090" s="1348"/>
      <c r="K10090" s="1348"/>
    </row>
    <row r="10091" spans="2:11" hidden="1">
      <c r="B10091" s="1348"/>
      <c r="C10091" s="1348"/>
      <c r="D10091" s="1348"/>
      <c r="E10091" s="1348"/>
      <c r="F10091" s="1348"/>
      <c r="G10091" s="1348"/>
      <c r="H10091" s="1348"/>
      <c r="I10091" s="1348"/>
      <c r="J10091" s="1348"/>
      <c r="K10091" s="1348"/>
    </row>
    <row r="10092" spans="2:11" hidden="1">
      <c r="B10092" s="1348"/>
      <c r="C10092" s="1348"/>
      <c r="D10092" s="1348"/>
      <c r="E10092" s="1348"/>
      <c r="F10092" s="1348"/>
      <c r="G10092" s="1348"/>
      <c r="H10092" s="1348"/>
      <c r="I10092" s="1348"/>
      <c r="J10092" s="1348"/>
      <c r="K10092" s="1348"/>
    </row>
    <row r="10093" spans="2:11" hidden="1">
      <c r="B10093" s="1348"/>
      <c r="C10093" s="1348"/>
      <c r="D10093" s="1348"/>
      <c r="E10093" s="1348"/>
      <c r="F10093" s="1348"/>
      <c r="G10093" s="1348"/>
      <c r="H10093" s="1348"/>
      <c r="I10093" s="1348"/>
      <c r="J10093" s="1348"/>
      <c r="K10093" s="1348"/>
    </row>
    <row r="10094" spans="2:11" hidden="1">
      <c r="B10094" s="1348"/>
      <c r="C10094" s="1348"/>
      <c r="D10094" s="1348"/>
      <c r="E10094" s="1348"/>
      <c r="F10094" s="1348"/>
      <c r="G10094" s="1348"/>
      <c r="H10094" s="1348"/>
      <c r="I10094" s="1348"/>
      <c r="J10094" s="1348"/>
      <c r="K10094" s="1348"/>
    </row>
    <row r="10095" spans="2:11" hidden="1">
      <c r="B10095" s="1348"/>
      <c r="C10095" s="1348"/>
      <c r="D10095" s="1348"/>
      <c r="E10095" s="1348"/>
      <c r="F10095" s="1348"/>
      <c r="G10095" s="1348"/>
      <c r="H10095" s="1348"/>
      <c r="I10095" s="1348"/>
      <c r="J10095" s="1348"/>
      <c r="K10095" s="1348"/>
    </row>
    <row r="10096" spans="2:11" hidden="1">
      <c r="B10096" s="1348"/>
      <c r="C10096" s="1348"/>
      <c r="D10096" s="1348"/>
      <c r="E10096" s="1348"/>
      <c r="F10096" s="1348"/>
      <c r="G10096" s="1348"/>
      <c r="H10096" s="1348"/>
      <c r="I10096" s="1348"/>
      <c r="J10096" s="1348"/>
      <c r="K10096" s="1348"/>
    </row>
    <row r="10097" spans="2:11" hidden="1">
      <c r="B10097" s="1348"/>
      <c r="C10097" s="1348"/>
      <c r="D10097" s="1348"/>
      <c r="E10097" s="1348"/>
      <c r="F10097" s="1348"/>
      <c r="G10097" s="1348"/>
      <c r="H10097" s="1348"/>
      <c r="I10097" s="1348"/>
      <c r="J10097" s="1348"/>
      <c r="K10097" s="1348"/>
    </row>
    <row r="10098" spans="2:11" hidden="1">
      <c r="B10098" s="1348"/>
      <c r="C10098" s="1348"/>
      <c r="D10098" s="1348"/>
      <c r="E10098" s="1348"/>
      <c r="F10098" s="1348"/>
      <c r="G10098" s="1348"/>
      <c r="H10098" s="1348"/>
      <c r="I10098" s="1348"/>
      <c r="J10098" s="1348"/>
      <c r="K10098" s="1348"/>
    </row>
    <row r="10099" spans="2:11" hidden="1">
      <c r="B10099" s="1348"/>
      <c r="C10099" s="1348"/>
      <c r="D10099" s="1348"/>
      <c r="E10099" s="1348"/>
      <c r="F10099" s="1348"/>
      <c r="G10099" s="1348"/>
      <c r="H10099" s="1348"/>
      <c r="I10099" s="1348"/>
      <c r="J10099" s="1348"/>
      <c r="K10099" s="1348"/>
    </row>
    <row r="10100" spans="2:11" hidden="1">
      <c r="B10100" s="1348"/>
      <c r="C10100" s="1348"/>
      <c r="D10100" s="1348"/>
      <c r="E10100" s="1348"/>
      <c r="F10100" s="1348"/>
      <c r="G10100" s="1348"/>
      <c r="H10100" s="1348"/>
      <c r="I10100" s="1348"/>
      <c r="J10100" s="1348"/>
      <c r="K10100" s="1348"/>
    </row>
    <row r="10101" spans="2:11" hidden="1">
      <c r="B10101" s="1348"/>
      <c r="C10101" s="1348"/>
      <c r="D10101" s="1348"/>
      <c r="E10101" s="1348"/>
      <c r="F10101" s="1348"/>
      <c r="G10101" s="1348"/>
      <c r="H10101" s="1348"/>
      <c r="I10101" s="1348"/>
      <c r="J10101" s="1348"/>
      <c r="K10101" s="1348"/>
    </row>
    <row r="10102" spans="2:11" hidden="1">
      <c r="B10102" s="1348"/>
      <c r="C10102" s="1348"/>
      <c r="D10102" s="1348"/>
      <c r="E10102" s="1348"/>
      <c r="F10102" s="1348"/>
      <c r="G10102" s="1348"/>
      <c r="H10102" s="1348"/>
      <c r="I10102" s="1348"/>
      <c r="J10102" s="1348"/>
      <c r="K10102" s="1348"/>
    </row>
    <row r="10103" spans="2:11" hidden="1">
      <c r="B10103" s="1348"/>
      <c r="C10103" s="1348"/>
      <c r="D10103" s="1348"/>
      <c r="E10103" s="1348"/>
      <c r="F10103" s="1348"/>
      <c r="G10103" s="1348"/>
      <c r="H10103" s="1348"/>
      <c r="I10103" s="1348"/>
      <c r="J10103" s="1348"/>
      <c r="K10103" s="1348"/>
    </row>
    <row r="10104" spans="2:11" hidden="1">
      <c r="B10104" s="1348"/>
      <c r="C10104" s="1348"/>
      <c r="D10104" s="1348"/>
      <c r="E10104" s="1348"/>
      <c r="F10104" s="1348"/>
      <c r="G10104" s="1348"/>
      <c r="H10104" s="1348"/>
      <c r="I10104" s="1348"/>
      <c r="J10104" s="1348"/>
      <c r="K10104" s="1348"/>
    </row>
    <row r="10105" spans="2:11" hidden="1">
      <c r="B10105" s="1348"/>
      <c r="C10105" s="1348"/>
      <c r="D10105" s="1348"/>
      <c r="E10105" s="1348"/>
      <c r="F10105" s="1348"/>
      <c r="G10105" s="1348"/>
      <c r="H10105" s="1348"/>
      <c r="I10105" s="1348"/>
      <c r="J10105" s="1348"/>
      <c r="K10105" s="1348"/>
    </row>
    <row r="10106" spans="2:11" hidden="1">
      <c r="B10106" s="1348"/>
      <c r="C10106" s="1348"/>
      <c r="D10106" s="1348"/>
      <c r="E10106" s="1348"/>
      <c r="F10106" s="1348"/>
      <c r="G10106" s="1348"/>
      <c r="H10106" s="1348"/>
      <c r="I10106" s="1348"/>
      <c r="J10106" s="1348"/>
      <c r="K10106" s="1348"/>
    </row>
    <row r="10107" spans="2:11" hidden="1">
      <c r="B10107" s="1348"/>
      <c r="C10107" s="1348"/>
      <c r="D10107" s="1348"/>
      <c r="E10107" s="1348"/>
      <c r="F10107" s="1348"/>
      <c r="G10107" s="1348"/>
      <c r="H10107" s="1348"/>
      <c r="I10107" s="1348"/>
      <c r="J10107" s="1348"/>
      <c r="K10107" s="1348"/>
    </row>
    <row r="10108" spans="2:11" hidden="1">
      <c r="B10108" s="1348"/>
      <c r="C10108" s="1348"/>
      <c r="D10108" s="1348"/>
      <c r="E10108" s="1348"/>
      <c r="F10108" s="1348"/>
      <c r="G10108" s="1348"/>
      <c r="H10108" s="1348"/>
      <c r="I10108" s="1348"/>
      <c r="J10108" s="1348"/>
      <c r="K10108" s="1348"/>
    </row>
    <row r="10109" spans="2:11" hidden="1">
      <c r="B10109" s="1348"/>
      <c r="C10109" s="1348"/>
      <c r="D10109" s="1348"/>
      <c r="E10109" s="1348"/>
      <c r="F10109" s="1348"/>
      <c r="G10109" s="1348"/>
      <c r="H10109" s="1348"/>
      <c r="I10109" s="1348"/>
      <c r="J10109" s="1348"/>
      <c r="K10109" s="1348"/>
    </row>
    <row r="10110" spans="2:11" hidden="1">
      <c r="B10110" s="1348"/>
      <c r="C10110" s="1348"/>
      <c r="D10110" s="1348"/>
      <c r="E10110" s="1348"/>
      <c r="F10110" s="1348"/>
      <c r="G10110" s="1348"/>
      <c r="H10110" s="1348"/>
      <c r="I10110" s="1348"/>
      <c r="J10110" s="1348"/>
      <c r="K10110" s="1348"/>
    </row>
    <row r="10111" spans="2:11" hidden="1">
      <c r="B10111" s="1348"/>
      <c r="C10111" s="1348"/>
      <c r="D10111" s="1348"/>
      <c r="E10111" s="1348"/>
      <c r="F10111" s="1348"/>
      <c r="G10111" s="1348"/>
      <c r="H10111" s="1348"/>
      <c r="I10111" s="1348"/>
      <c r="J10111" s="1348"/>
      <c r="K10111" s="1348"/>
    </row>
    <row r="10112" spans="2:11" hidden="1">
      <c r="B10112" s="1348"/>
      <c r="C10112" s="1348"/>
      <c r="D10112" s="1348"/>
      <c r="E10112" s="1348"/>
      <c r="F10112" s="1348"/>
      <c r="G10112" s="1348"/>
      <c r="H10112" s="1348"/>
      <c r="I10112" s="1348"/>
      <c r="J10112" s="1348"/>
      <c r="K10112" s="1348"/>
    </row>
    <row r="10113" spans="2:11" hidden="1">
      <c r="B10113" s="1348"/>
      <c r="C10113" s="1348"/>
      <c r="D10113" s="1348"/>
      <c r="E10113" s="1348"/>
      <c r="F10113" s="1348"/>
      <c r="G10113" s="1348"/>
      <c r="H10113" s="1348"/>
      <c r="I10113" s="1348"/>
      <c r="J10113" s="1348"/>
      <c r="K10113" s="1348"/>
    </row>
    <row r="10114" spans="2:11" hidden="1">
      <c r="B10114" s="1348"/>
      <c r="C10114" s="1348"/>
      <c r="D10114" s="1348"/>
      <c r="E10114" s="1348"/>
      <c r="F10114" s="1348"/>
      <c r="G10114" s="1348"/>
      <c r="H10114" s="1348"/>
      <c r="I10114" s="1348"/>
      <c r="J10114" s="1348"/>
      <c r="K10114" s="1348"/>
    </row>
    <row r="10115" spans="2:11" hidden="1">
      <c r="B10115" s="1348"/>
      <c r="C10115" s="1348"/>
      <c r="D10115" s="1348"/>
      <c r="E10115" s="1348"/>
      <c r="F10115" s="1348"/>
      <c r="G10115" s="1348"/>
      <c r="H10115" s="1348"/>
      <c r="I10115" s="1348"/>
      <c r="J10115" s="1348"/>
      <c r="K10115" s="1348"/>
    </row>
    <row r="10116" spans="2:11" hidden="1">
      <c r="B10116" s="1348"/>
      <c r="C10116" s="1348"/>
      <c r="D10116" s="1348"/>
      <c r="E10116" s="1348"/>
      <c r="F10116" s="1348"/>
      <c r="G10116" s="1348"/>
      <c r="H10116" s="1348"/>
      <c r="I10116" s="1348"/>
      <c r="J10116" s="1348"/>
      <c r="K10116" s="1348"/>
    </row>
    <row r="10117" spans="2:11" hidden="1">
      <c r="B10117" s="1348"/>
      <c r="C10117" s="1348"/>
      <c r="D10117" s="1348"/>
      <c r="E10117" s="1348"/>
      <c r="F10117" s="1348"/>
      <c r="G10117" s="1348"/>
      <c r="H10117" s="1348"/>
      <c r="I10117" s="1348"/>
      <c r="J10117" s="1348"/>
      <c r="K10117" s="1348"/>
    </row>
    <row r="10118" spans="2:11" hidden="1">
      <c r="B10118" s="1348"/>
      <c r="C10118" s="1348"/>
      <c r="D10118" s="1348"/>
      <c r="E10118" s="1348"/>
      <c r="F10118" s="1348"/>
      <c r="G10118" s="1348"/>
      <c r="H10118" s="1348"/>
      <c r="I10118" s="1348"/>
      <c r="J10118" s="1348"/>
      <c r="K10118" s="1348"/>
    </row>
    <row r="10119" spans="2:11" hidden="1">
      <c r="B10119" s="1348"/>
      <c r="C10119" s="1348"/>
      <c r="D10119" s="1348"/>
      <c r="E10119" s="1348"/>
      <c r="F10119" s="1348"/>
      <c r="G10119" s="1348"/>
      <c r="H10119" s="1348"/>
      <c r="I10119" s="1348"/>
      <c r="J10119" s="1348"/>
      <c r="K10119" s="1348"/>
    </row>
    <row r="10120" spans="2:11" hidden="1">
      <c r="B10120" s="1348"/>
      <c r="C10120" s="1348"/>
      <c r="D10120" s="1348"/>
      <c r="E10120" s="1348"/>
      <c r="F10120" s="1348"/>
      <c r="G10120" s="1348"/>
      <c r="H10120" s="1348"/>
      <c r="I10120" s="1348"/>
      <c r="J10120" s="1348"/>
      <c r="K10120" s="1348"/>
    </row>
    <row r="10121" spans="2:11" hidden="1">
      <c r="B10121" s="1348"/>
      <c r="C10121" s="1348"/>
      <c r="D10121" s="1348"/>
      <c r="E10121" s="1348"/>
      <c r="F10121" s="1348"/>
      <c r="G10121" s="1348"/>
      <c r="H10121" s="1348"/>
      <c r="I10121" s="1348"/>
      <c r="J10121" s="1348"/>
      <c r="K10121" s="1348"/>
    </row>
    <row r="10122" spans="2:11" hidden="1">
      <c r="B10122" s="1348"/>
      <c r="C10122" s="1348"/>
      <c r="D10122" s="1348"/>
      <c r="E10122" s="1348"/>
      <c r="F10122" s="1348"/>
      <c r="G10122" s="1348"/>
      <c r="H10122" s="1348"/>
      <c r="I10122" s="1348"/>
      <c r="J10122" s="1348"/>
      <c r="K10122" s="1348"/>
    </row>
    <row r="10123" spans="2:11" hidden="1">
      <c r="B10123" s="1348"/>
      <c r="C10123" s="1348"/>
      <c r="D10123" s="1348"/>
      <c r="E10123" s="1348"/>
      <c r="F10123" s="1348"/>
      <c r="G10123" s="1348"/>
      <c r="H10123" s="1348"/>
      <c r="I10123" s="1348"/>
      <c r="J10123" s="1348"/>
      <c r="K10123" s="1348"/>
    </row>
    <row r="10124" spans="2:11" hidden="1">
      <c r="B10124" s="1348"/>
      <c r="C10124" s="1348"/>
      <c r="D10124" s="1348"/>
      <c r="E10124" s="1348"/>
      <c r="F10124" s="1348"/>
      <c r="G10124" s="1348"/>
      <c r="H10124" s="1348"/>
      <c r="I10124" s="1348"/>
      <c r="J10124" s="1348"/>
      <c r="K10124" s="1348"/>
    </row>
    <row r="10125" spans="2:11" hidden="1">
      <c r="B10125" s="1348"/>
      <c r="C10125" s="1348"/>
      <c r="D10125" s="1348"/>
      <c r="E10125" s="1348"/>
      <c r="F10125" s="1348"/>
      <c r="G10125" s="1348"/>
      <c r="H10125" s="1348"/>
      <c r="I10125" s="1348"/>
      <c r="J10125" s="1348"/>
      <c r="K10125" s="1348"/>
    </row>
    <row r="10126" spans="2:11" hidden="1">
      <c r="B10126" s="1348"/>
      <c r="C10126" s="1348"/>
      <c r="D10126" s="1348"/>
      <c r="E10126" s="1348"/>
      <c r="F10126" s="1348"/>
      <c r="G10126" s="1348"/>
      <c r="H10126" s="1348"/>
      <c r="I10126" s="1348"/>
      <c r="J10126" s="1348"/>
      <c r="K10126" s="1348"/>
    </row>
    <row r="10127" spans="2:11" hidden="1">
      <c r="B10127" s="1348"/>
      <c r="C10127" s="1348"/>
      <c r="D10127" s="1348"/>
      <c r="E10127" s="1348"/>
      <c r="F10127" s="1348"/>
      <c r="G10127" s="1348"/>
      <c r="H10127" s="1348"/>
      <c r="I10127" s="1348"/>
      <c r="J10127" s="1348"/>
      <c r="K10127" s="1348"/>
    </row>
    <row r="10128" spans="2:11" hidden="1">
      <c r="B10128" s="1348"/>
      <c r="C10128" s="1348"/>
      <c r="D10128" s="1348"/>
      <c r="E10128" s="1348"/>
      <c r="F10128" s="1348"/>
      <c r="G10128" s="1348"/>
      <c r="H10128" s="1348"/>
      <c r="I10128" s="1348"/>
      <c r="J10128" s="1348"/>
      <c r="K10128" s="1348"/>
    </row>
    <row r="10129" spans="2:11" hidden="1">
      <c r="B10129" s="1348"/>
      <c r="C10129" s="1348"/>
      <c r="D10129" s="1348"/>
      <c r="E10129" s="1348"/>
      <c r="F10129" s="1348"/>
      <c r="G10129" s="1348"/>
      <c r="H10129" s="1348"/>
      <c r="I10129" s="1348"/>
      <c r="J10129" s="1348"/>
      <c r="K10129" s="1348"/>
    </row>
    <row r="10130" spans="2:11" hidden="1">
      <c r="B10130" s="1348"/>
      <c r="C10130" s="1348"/>
      <c r="D10130" s="1348"/>
      <c r="E10130" s="1348"/>
      <c r="F10130" s="1348"/>
      <c r="G10130" s="1348"/>
      <c r="H10130" s="1348"/>
      <c r="I10130" s="1348"/>
      <c r="J10130" s="1348"/>
      <c r="K10130" s="1348"/>
    </row>
    <row r="10131" spans="2:11" hidden="1">
      <c r="B10131" s="1348"/>
      <c r="C10131" s="1348"/>
      <c r="D10131" s="1348"/>
      <c r="E10131" s="1348"/>
      <c r="F10131" s="1348"/>
      <c r="G10131" s="1348"/>
      <c r="H10131" s="1348"/>
      <c r="I10131" s="1348"/>
      <c r="J10131" s="1348"/>
      <c r="K10131" s="1348"/>
    </row>
    <row r="10132" spans="2:11" hidden="1">
      <c r="B10132" s="1348"/>
      <c r="C10132" s="1348"/>
      <c r="D10132" s="1348"/>
      <c r="E10132" s="1348"/>
      <c r="F10132" s="1348"/>
      <c r="G10132" s="1348"/>
      <c r="H10132" s="1348"/>
      <c r="I10132" s="1348"/>
      <c r="J10132" s="1348"/>
      <c r="K10132" s="1348"/>
    </row>
    <row r="10133" spans="2:11" hidden="1">
      <c r="B10133" s="1348"/>
      <c r="C10133" s="1348"/>
      <c r="D10133" s="1348"/>
      <c r="E10133" s="1348"/>
      <c r="F10133" s="1348"/>
      <c r="G10133" s="1348"/>
      <c r="H10133" s="1348"/>
      <c r="I10133" s="1348"/>
      <c r="J10133" s="1348"/>
      <c r="K10133" s="1348"/>
    </row>
    <row r="10134" spans="2:11" hidden="1">
      <c r="B10134" s="1348"/>
      <c r="C10134" s="1348"/>
      <c r="D10134" s="1348"/>
      <c r="E10134" s="1348"/>
      <c r="F10134" s="1348"/>
      <c r="G10134" s="1348"/>
      <c r="H10134" s="1348"/>
      <c r="I10134" s="1348"/>
      <c r="J10134" s="1348"/>
      <c r="K10134" s="1348"/>
    </row>
    <row r="10135" spans="2:11" hidden="1">
      <c r="B10135" s="1348"/>
      <c r="C10135" s="1348"/>
      <c r="D10135" s="1348"/>
      <c r="E10135" s="1348"/>
      <c r="F10135" s="1348"/>
      <c r="G10135" s="1348"/>
      <c r="H10135" s="1348"/>
      <c r="I10135" s="1348"/>
      <c r="J10135" s="1348"/>
      <c r="K10135" s="1348"/>
    </row>
    <row r="10136" spans="2:11" hidden="1">
      <c r="B10136" s="1348"/>
      <c r="C10136" s="1348"/>
      <c r="D10136" s="1348"/>
      <c r="E10136" s="1348"/>
      <c r="F10136" s="1348"/>
      <c r="G10136" s="1348"/>
      <c r="H10136" s="1348"/>
      <c r="I10136" s="1348"/>
      <c r="J10136" s="1348"/>
      <c r="K10136" s="1348"/>
    </row>
    <row r="10137" spans="2:11" hidden="1">
      <c r="B10137" s="1348"/>
      <c r="C10137" s="1348"/>
      <c r="D10137" s="1348"/>
      <c r="E10137" s="1348"/>
      <c r="F10137" s="1348"/>
      <c r="G10137" s="1348"/>
      <c r="H10137" s="1348"/>
      <c r="I10137" s="1348"/>
      <c r="J10137" s="1348"/>
      <c r="K10137" s="1348"/>
    </row>
    <row r="10138" spans="2:11" hidden="1">
      <c r="B10138" s="1348"/>
      <c r="C10138" s="1348"/>
      <c r="D10138" s="1348"/>
      <c r="E10138" s="1348"/>
      <c r="F10138" s="1348"/>
      <c r="G10138" s="1348"/>
      <c r="H10138" s="1348"/>
      <c r="I10138" s="1348"/>
      <c r="J10138" s="1348"/>
      <c r="K10138" s="1348"/>
    </row>
    <row r="10139" spans="2:11" hidden="1">
      <c r="B10139" s="1348"/>
      <c r="C10139" s="1348"/>
      <c r="D10139" s="1348"/>
      <c r="E10139" s="1348"/>
      <c r="F10139" s="1348"/>
      <c r="G10139" s="1348"/>
      <c r="H10139" s="1348"/>
      <c r="I10139" s="1348"/>
      <c r="J10139" s="1348"/>
      <c r="K10139" s="1348"/>
    </row>
    <row r="10140" spans="2:11" hidden="1">
      <c r="B10140" s="1348"/>
      <c r="C10140" s="1348"/>
      <c r="D10140" s="1348"/>
      <c r="E10140" s="1348"/>
      <c r="F10140" s="1348"/>
      <c r="G10140" s="1348"/>
      <c r="H10140" s="1348"/>
      <c r="I10140" s="1348"/>
      <c r="J10140" s="1348"/>
      <c r="K10140" s="1348"/>
    </row>
    <row r="10141" spans="2:11" hidden="1">
      <c r="B10141" s="1348"/>
      <c r="C10141" s="1348"/>
      <c r="D10141" s="1348"/>
      <c r="E10141" s="1348"/>
      <c r="F10141" s="1348"/>
      <c r="G10141" s="1348"/>
      <c r="H10141" s="1348"/>
      <c r="I10141" s="1348"/>
      <c r="J10141" s="1348"/>
      <c r="K10141" s="1348"/>
    </row>
    <row r="10142" spans="2:11" hidden="1">
      <c r="B10142" s="1348"/>
      <c r="C10142" s="1348"/>
      <c r="D10142" s="1348"/>
      <c r="E10142" s="1348"/>
      <c r="F10142" s="1348"/>
      <c r="G10142" s="1348"/>
      <c r="H10142" s="1348"/>
      <c r="I10142" s="1348"/>
      <c r="J10142" s="1348"/>
      <c r="K10142" s="1348"/>
    </row>
    <row r="10143" spans="2:11" hidden="1">
      <c r="B10143" s="1348"/>
      <c r="C10143" s="1348"/>
      <c r="D10143" s="1348"/>
      <c r="E10143" s="1348"/>
      <c r="F10143" s="1348"/>
      <c r="G10143" s="1348"/>
      <c r="H10143" s="1348"/>
      <c r="I10143" s="1348"/>
      <c r="J10143" s="1348"/>
      <c r="K10143" s="1348"/>
    </row>
    <row r="10144" spans="2:11" hidden="1">
      <c r="B10144" s="1348"/>
      <c r="C10144" s="1348"/>
      <c r="D10144" s="1348"/>
      <c r="E10144" s="1348"/>
      <c r="F10144" s="1348"/>
      <c r="G10144" s="1348"/>
      <c r="H10144" s="1348"/>
      <c r="I10144" s="1348"/>
      <c r="J10144" s="1348"/>
      <c r="K10144" s="1348"/>
    </row>
    <row r="10145" spans="2:11" hidden="1">
      <c r="B10145" s="1348"/>
      <c r="C10145" s="1348"/>
      <c r="D10145" s="1348"/>
      <c r="E10145" s="1348"/>
      <c r="F10145" s="1348"/>
      <c r="G10145" s="1348"/>
      <c r="H10145" s="1348"/>
      <c r="I10145" s="1348"/>
      <c r="J10145" s="1348"/>
      <c r="K10145" s="1348"/>
    </row>
    <row r="10146" spans="2:11" hidden="1">
      <c r="B10146" s="1348"/>
      <c r="C10146" s="1348"/>
      <c r="D10146" s="1348"/>
      <c r="E10146" s="1348"/>
      <c r="F10146" s="1348"/>
      <c r="G10146" s="1348"/>
      <c r="H10146" s="1348"/>
      <c r="I10146" s="1348"/>
      <c r="J10146" s="1348"/>
      <c r="K10146" s="1348"/>
    </row>
    <row r="10147" spans="2:11" hidden="1">
      <c r="B10147" s="1348"/>
      <c r="C10147" s="1348"/>
      <c r="D10147" s="1348"/>
      <c r="E10147" s="1348"/>
      <c r="F10147" s="1348"/>
      <c r="G10147" s="1348"/>
      <c r="H10147" s="1348"/>
      <c r="I10147" s="1348"/>
      <c r="J10147" s="1348"/>
      <c r="K10147" s="1348"/>
    </row>
    <row r="10148" spans="2:11" hidden="1">
      <c r="B10148" s="1348"/>
      <c r="C10148" s="1348"/>
      <c r="D10148" s="1348"/>
      <c r="E10148" s="1348"/>
      <c r="F10148" s="1348"/>
      <c r="G10148" s="1348"/>
      <c r="H10148" s="1348"/>
      <c r="I10148" s="1348"/>
      <c r="J10148" s="1348"/>
      <c r="K10148" s="1348"/>
    </row>
    <row r="10149" spans="2:11" hidden="1">
      <c r="B10149" s="1348"/>
      <c r="C10149" s="1348"/>
      <c r="D10149" s="1348"/>
      <c r="E10149" s="1348"/>
      <c r="F10149" s="1348"/>
      <c r="G10149" s="1348"/>
      <c r="H10149" s="1348"/>
      <c r="I10149" s="1348"/>
      <c r="J10149" s="1348"/>
      <c r="K10149" s="1348"/>
    </row>
    <row r="10150" spans="2:11" hidden="1">
      <c r="B10150" s="1348"/>
      <c r="C10150" s="1348"/>
      <c r="D10150" s="1348"/>
      <c r="E10150" s="1348"/>
      <c r="F10150" s="1348"/>
      <c r="G10150" s="1348"/>
      <c r="H10150" s="1348"/>
      <c r="I10150" s="1348"/>
      <c r="J10150" s="1348"/>
      <c r="K10150" s="1348"/>
    </row>
    <row r="10151" spans="2:11" hidden="1">
      <c r="B10151" s="1348"/>
      <c r="C10151" s="1348"/>
      <c r="D10151" s="1348"/>
      <c r="E10151" s="1348"/>
      <c r="F10151" s="1348"/>
      <c r="G10151" s="1348"/>
      <c r="H10151" s="1348"/>
      <c r="I10151" s="1348"/>
      <c r="J10151" s="1348"/>
      <c r="K10151" s="1348"/>
    </row>
    <row r="10152" spans="2:11" hidden="1">
      <c r="B10152" s="1348"/>
      <c r="C10152" s="1348"/>
      <c r="D10152" s="1348"/>
      <c r="E10152" s="1348"/>
      <c r="F10152" s="1348"/>
      <c r="G10152" s="1348"/>
      <c r="H10152" s="1348"/>
      <c r="I10152" s="1348"/>
      <c r="J10152" s="1348"/>
      <c r="K10152" s="1348"/>
    </row>
    <row r="10153" spans="2:11" hidden="1">
      <c r="B10153" s="1348"/>
      <c r="C10153" s="1348"/>
      <c r="D10153" s="1348"/>
      <c r="E10153" s="1348"/>
      <c r="F10153" s="1348"/>
      <c r="G10153" s="1348"/>
      <c r="H10153" s="1348"/>
      <c r="I10153" s="1348"/>
      <c r="J10153" s="1348"/>
      <c r="K10153" s="1348"/>
    </row>
    <row r="10154" spans="2:11" hidden="1">
      <c r="B10154" s="1348"/>
      <c r="C10154" s="1348"/>
      <c r="D10154" s="1348"/>
      <c r="E10154" s="1348"/>
      <c r="F10154" s="1348"/>
      <c r="G10154" s="1348"/>
      <c r="H10154" s="1348"/>
      <c r="I10154" s="1348"/>
      <c r="J10154" s="1348"/>
      <c r="K10154" s="1348"/>
    </row>
    <row r="10155" spans="2:11" hidden="1">
      <c r="B10155" s="1348"/>
      <c r="C10155" s="1348"/>
      <c r="D10155" s="1348"/>
      <c r="E10155" s="1348"/>
      <c r="F10155" s="1348"/>
      <c r="G10155" s="1348"/>
      <c r="H10155" s="1348"/>
      <c r="I10155" s="1348"/>
      <c r="J10155" s="1348"/>
      <c r="K10155" s="1348"/>
    </row>
    <row r="10156" spans="2:11" hidden="1">
      <c r="B10156" s="1348"/>
      <c r="C10156" s="1348"/>
      <c r="D10156" s="1348"/>
      <c r="E10156" s="1348"/>
      <c r="F10156" s="1348"/>
      <c r="G10156" s="1348"/>
      <c r="H10156" s="1348"/>
      <c r="I10156" s="1348"/>
      <c r="J10156" s="1348"/>
      <c r="K10156" s="1348"/>
    </row>
    <row r="10157" spans="2:11" hidden="1">
      <c r="B10157" s="1348"/>
      <c r="C10157" s="1348"/>
      <c r="D10157" s="1348"/>
      <c r="E10157" s="1348"/>
      <c r="F10157" s="1348"/>
      <c r="G10157" s="1348"/>
      <c r="H10157" s="1348"/>
      <c r="I10157" s="1348"/>
      <c r="J10157" s="1348"/>
      <c r="K10157" s="1348"/>
    </row>
    <row r="10158" spans="2:11" hidden="1">
      <c r="B10158" s="1348"/>
      <c r="C10158" s="1348"/>
      <c r="D10158" s="1348"/>
      <c r="E10158" s="1348"/>
      <c r="F10158" s="1348"/>
      <c r="G10158" s="1348"/>
      <c r="H10158" s="1348"/>
      <c r="I10158" s="1348"/>
      <c r="J10158" s="1348"/>
      <c r="K10158" s="1348"/>
    </row>
    <row r="10159" spans="2:11" hidden="1">
      <c r="B10159" s="1348"/>
      <c r="C10159" s="1348"/>
      <c r="D10159" s="1348"/>
      <c r="E10159" s="1348"/>
      <c r="F10159" s="1348"/>
      <c r="G10159" s="1348"/>
      <c r="H10159" s="1348"/>
      <c r="I10159" s="1348"/>
      <c r="J10159" s="1348"/>
      <c r="K10159" s="1348"/>
    </row>
    <row r="10160" spans="2:11" hidden="1">
      <c r="B10160" s="1348"/>
      <c r="C10160" s="1348"/>
      <c r="D10160" s="1348"/>
      <c r="E10160" s="1348"/>
      <c r="F10160" s="1348"/>
      <c r="G10160" s="1348"/>
      <c r="H10160" s="1348"/>
      <c r="I10160" s="1348"/>
      <c r="J10160" s="1348"/>
      <c r="K10160" s="1348"/>
    </row>
    <row r="10161" spans="2:11" hidden="1">
      <c r="B10161" s="1348"/>
      <c r="C10161" s="1348"/>
      <c r="D10161" s="1348"/>
      <c r="E10161" s="1348"/>
      <c r="F10161" s="1348"/>
      <c r="G10161" s="1348"/>
      <c r="H10161" s="1348"/>
      <c r="I10161" s="1348"/>
      <c r="J10161" s="1348"/>
      <c r="K10161" s="1348"/>
    </row>
    <row r="10162" spans="2:11" hidden="1">
      <c r="B10162" s="1348"/>
      <c r="C10162" s="1348"/>
      <c r="D10162" s="1348"/>
      <c r="E10162" s="1348"/>
      <c r="F10162" s="1348"/>
      <c r="G10162" s="1348"/>
      <c r="H10162" s="1348"/>
      <c r="I10162" s="1348"/>
      <c r="J10162" s="1348"/>
      <c r="K10162" s="1348"/>
    </row>
    <row r="10163" spans="2:11" hidden="1">
      <c r="B10163" s="1348"/>
      <c r="C10163" s="1348"/>
      <c r="D10163" s="1348"/>
      <c r="E10163" s="1348"/>
      <c r="F10163" s="1348"/>
      <c r="G10163" s="1348"/>
      <c r="H10163" s="1348"/>
      <c r="I10163" s="1348"/>
      <c r="J10163" s="1348"/>
      <c r="K10163" s="1348"/>
    </row>
    <row r="10164" spans="2:11" hidden="1">
      <c r="B10164" s="1348"/>
      <c r="C10164" s="1348"/>
      <c r="D10164" s="1348"/>
      <c r="E10164" s="1348"/>
      <c r="F10164" s="1348"/>
      <c r="G10164" s="1348"/>
      <c r="H10164" s="1348"/>
      <c r="I10164" s="1348"/>
      <c r="J10164" s="1348"/>
      <c r="K10164" s="1348"/>
    </row>
    <row r="10165" spans="2:11" hidden="1">
      <c r="B10165" s="1348"/>
      <c r="C10165" s="1348"/>
      <c r="D10165" s="1348"/>
      <c r="E10165" s="1348"/>
      <c r="F10165" s="1348"/>
      <c r="G10165" s="1348"/>
      <c r="H10165" s="1348"/>
      <c r="I10165" s="1348"/>
      <c r="J10165" s="1348"/>
      <c r="K10165" s="1348"/>
    </row>
    <row r="10166" spans="2:11" hidden="1">
      <c r="B10166" s="1348"/>
      <c r="C10166" s="1348"/>
      <c r="D10166" s="1348"/>
      <c r="E10166" s="1348"/>
      <c r="F10166" s="1348"/>
      <c r="G10166" s="1348"/>
      <c r="H10166" s="1348"/>
      <c r="I10166" s="1348"/>
      <c r="J10166" s="1348"/>
      <c r="K10166" s="1348"/>
    </row>
    <row r="10167" spans="2:11" hidden="1">
      <c r="B10167" s="1348"/>
      <c r="C10167" s="1348"/>
      <c r="D10167" s="1348"/>
      <c r="E10167" s="1348"/>
      <c r="F10167" s="1348"/>
      <c r="G10167" s="1348"/>
      <c r="H10167" s="1348"/>
      <c r="I10167" s="1348"/>
      <c r="J10167" s="1348"/>
      <c r="K10167" s="1348"/>
    </row>
    <row r="10168" spans="2:11" hidden="1">
      <c r="B10168" s="1348"/>
      <c r="C10168" s="1348"/>
      <c r="D10168" s="1348"/>
      <c r="E10168" s="1348"/>
      <c r="F10168" s="1348"/>
      <c r="G10168" s="1348"/>
      <c r="H10168" s="1348"/>
      <c r="I10168" s="1348"/>
      <c r="J10168" s="1348"/>
      <c r="K10168" s="1348"/>
    </row>
    <row r="10169" spans="2:11" hidden="1">
      <c r="B10169" s="1348"/>
      <c r="C10169" s="1348"/>
      <c r="D10169" s="1348"/>
      <c r="E10169" s="1348"/>
      <c r="F10169" s="1348"/>
      <c r="G10169" s="1348"/>
      <c r="H10169" s="1348"/>
      <c r="I10169" s="1348"/>
      <c r="J10169" s="1348"/>
      <c r="K10169" s="1348"/>
    </row>
    <row r="10170" spans="2:11" hidden="1">
      <c r="B10170" s="1348"/>
      <c r="C10170" s="1348"/>
      <c r="D10170" s="1348"/>
      <c r="E10170" s="1348"/>
      <c r="F10170" s="1348"/>
      <c r="G10170" s="1348"/>
      <c r="H10170" s="1348"/>
      <c r="I10170" s="1348"/>
      <c r="J10170" s="1348"/>
      <c r="K10170" s="1348"/>
    </row>
    <row r="10171" spans="2:11" hidden="1">
      <c r="B10171" s="1348"/>
      <c r="C10171" s="1348"/>
      <c r="D10171" s="1348"/>
      <c r="E10171" s="1348"/>
      <c r="F10171" s="1348"/>
      <c r="G10171" s="1348"/>
      <c r="H10171" s="1348"/>
      <c r="I10171" s="1348"/>
      <c r="J10171" s="1348"/>
      <c r="K10171" s="1348"/>
    </row>
    <row r="10172" spans="2:11" hidden="1">
      <c r="B10172" s="1348"/>
      <c r="C10172" s="1348"/>
      <c r="D10172" s="1348"/>
      <c r="E10172" s="1348"/>
      <c r="F10172" s="1348"/>
      <c r="G10172" s="1348"/>
      <c r="H10172" s="1348"/>
      <c r="I10172" s="1348"/>
      <c r="J10172" s="1348"/>
      <c r="K10172" s="1348"/>
    </row>
    <row r="10173" spans="2:11" hidden="1">
      <c r="B10173" s="1348"/>
      <c r="C10173" s="1348"/>
      <c r="D10173" s="1348"/>
      <c r="E10173" s="1348"/>
      <c r="F10173" s="1348"/>
      <c r="G10173" s="1348"/>
      <c r="H10173" s="1348"/>
      <c r="I10173" s="1348"/>
      <c r="J10173" s="1348"/>
      <c r="K10173" s="1348"/>
    </row>
    <row r="10174" spans="2:11" hidden="1">
      <c r="B10174" s="1348"/>
      <c r="C10174" s="1348"/>
      <c r="D10174" s="1348"/>
      <c r="E10174" s="1348"/>
      <c r="F10174" s="1348"/>
      <c r="G10174" s="1348"/>
      <c r="H10174" s="1348"/>
      <c r="I10174" s="1348"/>
      <c r="J10174" s="1348"/>
      <c r="K10174" s="1348"/>
    </row>
    <row r="10175" spans="2:11" hidden="1">
      <c r="B10175" s="1348"/>
      <c r="C10175" s="1348"/>
      <c r="D10175" s="1348"/>
      <c r="E10175" s="1348"/>
      <c r="F10175" s="1348"/>
      <c r="G10175" s="1348"/>
      <c r="H10175" s="1348"/>
      <c r="I10175" s="1348"/>
      <c r="J10175" s="1348"/>
      <c r="K10175" s="1348"/>
    </row>
    <row r="10176" spans="2:11" hidden="1">
      <c r="B10176" s="1348"/>
      <c r="C10176" s="1348"/>
      <c r="D10176" s="1348"/>
      <c r="E10176" s="1348"/>
      <c r="F10176" s="1348"/>
      <c r="G10176" s="1348"/>
      <c r="H10176" s="1348"/>
      <c r="I10176" s="1348"/>
      <c r="J10176" s="1348"/>
      <c r="K10176" s="1348"/>
    </row>
    <row r="10177" spans="2:11" hidden="1">
      <c r="B10177" s="1348"/>
      <c r="C10177" s="1348"/>
      <c r="D10177" s="1348"/>
      <c r="E10177" s="1348"/>
      <c r="F10177" s="1348"/>
      <c r="G10177" s="1348"/>
      <c r="H10177" s="1348"/>
      <c r="I10177" s="1348"/>
      <c r="J10177" s="1348"/>
      <c r="K10177" s="1348"/>
    </row>
    <row r="10178" spans="2:11" hidden="1">
      <c r="B10178" s="1348"/>
      <c r="C10178" s="1348"/>
      <c r="D10178" s="1348"/>
      <c r="E10178" s="1348"/>
      <c r="F10178" s="1348"/>
      <c r="G10178" s="1348"/>
      <c r="H10178" s="1348"/>
      <c r="I10178" s="1348"/>
      <c r="J10178" s="1348"/>
      <c r="K10178" s="1348"/>
    </row>
    <row r="10179" spans="2:11" hidden="1">
      <c r="B10179" s="1348"/>
      <c r="C10179" s="1348"/>
      <c r="D10179" s="1348"/>
      <c r="E10179" s="1348"/>
      <c r="F10179" s="1348"/>
      <c r="G10179" s="1348"/>
      <c r="H10179" s="1348"/>
      <c r="I10179" s="1348"/>
      <c r="J10179" s="1348"/>
      <c r="K10179" s="1348"/>
    </row>
    <row r="10180" spans="2:11" hidden="1">
      <c r="B10180" s="1348"/>
      <c r="C10180" s="1348"/>
      <c r="D10180" s="1348"/>
      <c r="E10180" s="1348"/>
      <c r="F10180" s="1348"/>
      <c r="G10180" s="1348"/>
      <c r="H10180" s="1348"/>
      <c r="I10180" s="1348"/>
      <c r="J10180" s="1348"/>
      <c r="K10180" s="1348"/>
    </row>
    <row r="10181" spans="2:11" hidden="1">
      <c r="B10181" s="1348"/>
      <c r="C10181" s="1348"/>
      <c r="D10181" s="1348"/>
      <c r="E10181" s="1348"/>
      <c r="F10181" s="1348"/>
      <c r="G10181" s="1348"/>
      <c r="H10181" s="1348"/>
      <c r="I10181" s="1348"/>
      <c r="J10181" s="1348"/>
      <c r="K10181" s="1348"/>
    </row>
    <row r="10182" spans="2:11" hidden="1">
      <c r="B10182" s="1348"/>
      <c r="C10182" s="1348"/>
      <c r="D10182" s="1348"/>
      <c r="E10182" s="1348"/>
      <c r="F10182" s="1348"/>
      <c r="G10182" s="1348"/>
      <c r="H10182" s="1348"/>
      <c r="I10182" s="1348"/>
      <c r="J10182" s="1348"/>
      <c r="K10182" s="1348"/>
    </row>
    <row r="10183" spans="2:11" hidden="1">
      <c r="B10183" s="1348"/>
      <c r="C10183" s="1348"/>
      <c r="D10183" s="1348"/>
      <c r="E10183" s="1348"/>
      <c r="F10183" s="1348"/>
      <c r="G10183" s="1348"/>
      <c r="H10183" s="1348"/>
      <c r="I10183" s="1348"/>
      <c r="J10183" s="1348"/>
      <c r="K10183" s="1348"/>
    </row>
    <row r="10184" spans="2:11" hidden="1">
      <c r="B10184" s="1348"/>
      <c r="C10184" s="1348"/>
      <c r="D10184" s="1348"/>
      <c r="E10184" s="1348"/>
      <c r="F10184" s="1348"/>
      <c r="G10184" s="1348"/>
      <c r="H10184" s="1348"/>
      <c r="I10184" s="1348"/>
      <c r="J10184" s="1348"/>
      <c r="K10184" s="1348"/>
    </row>
    <row r="10185" spans="2:11" hidden="1">
      <c r="B10185" s="1348"/>
      <c r="C10185" s="1348"/>
      <c r="D10185" s="1348"/>
      <c r="E10185" s="1348"/>
      <c r="F10185" s="1348"/>
      <c r="G10185" s="1348"/>
      <c r="H10185" s="1348"/>
      <c r="I10185" s="1348"/>
      <c r="J10185" s="1348"/>
      <c r="K10185" s="1348"/>
    </row>
    <row r="10186" spans="2:11" hidden="1">
      <c r="B10186" s="1348"/>
      <c r="C10186" s="1348"/>
      <c r="D10186" s="1348"/>
      <c r="E10186" s="1348"/>
      <c r="F10186" s="1348"/>
      <c r="G10186" s="1348"/>
      <c r="H10186" s="1348"/>
      <c r="I10186" s="1348"/>
      <c r="J10186" s="1348"/>
      <c r="K10186" s="1348"/>
    </row>
    <row r="10187" spans="2:11" hidden="1">
      <c r="B10187" s="1348"/>
      <c r="C10187" s="1348"/>
      <c r="D10187" s="1348"/>
      <c r="E10187" s="1348"/>
      <c r="F10187" s="1348"/>
      <c r="G10187" s="1348"/>
      <c r="H10187" s="1348"/>
      <c r="I10187" s="1348"/>
      <c r="J10187" s="1348"/>
      <c r="K10187" s="1348"/>
    </row>
    <row r="10188" spans="2:11" hidden="1">
      <c r="B10188" s="1348"/>
      <c r="C10188" s="1348"/>
      <c r="D10188" s="1348"/>
      <c r="E10188" s="1348"/>
      <c r="F10188" s="1348"/>
      <c r="G10188" s="1348"/>
      <c r="H10188" s="1348"/>
      <c r="I10188" s="1348"/>
      <c r="J10188" s="1348"/>
      <c r="K10188" s="1348"/>
    </row>
    <row r="10189" spans="2:11" hidden="1">
      <c r="B10189" s="1348"/>
      <c r="C10189" s="1348"/>
      <c r="D10189" s="1348"/>
      <c r="E10189" s="1348"/>
      <c r="F10189" s="1348"/>
      <c r="G10189" s="1348"/>
      <c r="H10189" s="1348"/>
      <c r="I10189" s="1348"/>
      <c r="J10189" s="1348"/>
      <c r="K10189" s="1348"/>
    </row>
    <row r="10190" spans="2:11" hidden="1">
      <c r="B10190" s="1348"/>
      <c r="C10190" s="1348"/>
      <c r="D10190" s="1348"/>
      <c r="E10190" s="1348"/>
      <c r="F10190" s="1348"/>
      <c r="G10190" s="1348"/>
      <c r="H10190" s="1348"/>
      <c r="I10190" s="1348"/>
      <c r="J10190" s="1348"/>
      <c r="K10190" s="1348"/>
    </row>
    <row r="10191" spans="2:11" hidden="1">
      <c r="B10191" s="1348"/>
      <c r="C10191" s="1348"/>
      <c r="D10191" s="1348"/>
      <c r="E10191" s="1348"/>
      <c r="F10191" s="1348"/>
      <c r="G10191" s="1348"/>
      <c r="H10191" s="1348"/>
      <c r="I10191" s="1348"/>
      <c r="J10191" s="1348"/>
      <c r="K10191" s="1348"/>
    </row>
    <row r="10192" spans="2:11" hidden="1">
      <c r="B10192" s="1348"/>
      <c r="C10192" s="1348"/>
      <c r="D10192" s="1348"/>
      <c r="E10192" s="1348"/>
      <c r="F10192" s="1348"/>
      <c r="G10192" s="1348"/>
      <c r="H10192" s="1348"/>
      <c r="I10192" s="1348"/>
      <c r="J10192" s="1348"/>
      <c r="K10192" s="1348"/>
    </row>
    <row r="10193" spans="2:11" hidden="1">
      <c r="B10193" s="1348"/>
      <c r="C10193" s="1348"/>
      <c r="D10193" s="1348"/>
      <c r="E10193" s="1348"/>
      <c r="F10193" s="1348"/>
      <c r="G10193" s="1348"/>
      <c r="H10193" s="1348"/>
      <c r="I10193" s="1348"/>
      <c r="J10193" s="1348"/>
      <c r="K10193" s="1348"/>
    </row>
    <row r="10194" spans="2:11" hidden="1">
      <c r="B10194" s="1348"/>
      <c r="C10194" s="1348"/>
      <c r="D10194" s="1348"/>
      <c r="E10194" s="1348"/>
      <c r="F10194" s="1348"/>
      <c r="G10194" s="1348"/>
      <c r="H10194" s="1348"/>
      <c r="I10194" s="1348"/>
      <c r="J10194" s="1348"/>
      <c r="K10194" s="1348"/>
    </row>
    <row r="10195" spans="2:11" hidden="1">
      <c r="B10195" s="1348"/>
      <c r="C10195" s="1348"/>
      <c r="D10195" s="1348"/>
      <c r="E10195" s="1348"/>
      <c r="F10195" s="1348"/>
      <c r="G10195" s="1348"/>
      <c r="H10195" s="1348"/>
      <c r="I10195" s="1348"/>
      <c r="J10195" s="1348"/>
      <c r="K10195" s="1348"/>
    </row>
    <row r="10196" spans="2:11" hidden="1">
      <c r="B10196" s="1348"/>
      <c r="C10196" s="1348"/>
      <c r="D10196" s="1348"/>
      <c r="E10196" s="1348"/>
      <c r="F10196" s="1348"/>
      <c r="G10196" s="1348"/>
      <c r="H10196" s="1348"/>
      <c r="I10196" s="1348"/>
      <c r="J10196" s="1348"/>
      <c r="K10196" s="1348"/>
    </row>
    <row r="10197" spans="2:11" hidden="1">
      <c r="B10197" s="1348"/>
      <c r="C10197" s="1348"/>
      <c r="D10197" s="1348"/>
      <c r="E10197" s="1348"/>
      <c r="F10197" s="1348"/>
      <c r="G10197" s="1348"/>
      <c r="H10197" s="1348"/>
      <c r="I10197" s="1348"/>
      <c r="J10197" s="1348"/>
      <c r="K10197" s="1348"/>
    </row>
    <row r="10198" spans="2:11" hidden="1">
      <c r="B10198" s="1348"/>
      <c r="C10198" s="1348"/>
      <c r="D10198" s="1348"/>
      <c r="E10198" s="1348"/>
      <c r="F10198" s="1348"/>
      <c r="G10198" s="1348"/>
      <c r="H10198" s="1348"/>
      <c r="I10198" s="1348"/>
      <c r="J10198" s="1348"/>
      <c r="K10198" s="1348"/>
    </row>
    <row r="10199" spans="2:11" hidden="1">
      <c r="B10199" s="1348"/>
      <c r="C10199" s="1348"/>
      <c r="D10199" s="1348"/>
      <c r="E10199" s="1348"/>
      <c r="F10199" s="1348"/>
      <c r="G10199" s="1348"/>
      <c r="H10199" s="1348"/>
      <c r="I10199" s="1348"/>
      <c r="J10199" s="1348"/>
      <c r="K10199" s="1348"/>
    </row>
    <row r="10200" spans="2:11" hidden="1">
      <c r="B10200" s="1348"/>
      <c r="C10200" s="1348"/>
      <c r="D10200" s="1348"/>
      <c r="E10200" s="1348"/>
      <c r="F10200" s="1348"/>
      <c r="G10200" s="1348"/>
      <c r="H10200" s="1348"/>
      <c r="I10200" s="1348"/>
      <c r="J10200" s="1348"/>
      <c r="K10200" s="1348"/>
    </row>
    <row r="10201" spans="2:11" hidden="1">
      <c r="B10201" s="1348"/>
      <c r="C10201" s="1348"/>
      <c r="D10201" s="1348"/>
      <c r="E10201" s="1348"/>
      <c r="F10201" s="1348"/>
      <c r="G10201" s="1348"/>
      <c r="H10201" s="1348"/>
      <c r="I10201" s="1348"/>
      <c r="J10201" s="1348"/>
      <c r="K10201" s="1348"/>
    </row>
    <row r="10202" spans="2:11" hidden="1">
      <c r="B10202" s="1348"/>
      <c r="C10202" s="1348"/>
      <c r="D10202" s="1348"/>
      <c r="E10202" s="1348"/>
      <c r="F10202" s="1348"/>
      <c r="G10202" s="1348"/>
      <c r="H10202" s="1348"/>
      <c r="I10202" s="1348"/>
      <c r="J10202" s="1348"/>
      <c r="K10202" s="1348"/>
    </row>
    <row r="10203" spans="2:11" hidden="1">
      <c r="B10203" s="1348"/>
      <c r="C10203" s="1348"/>
      <c r="D10203" s="1348"/>
      <c r="E10203" s="1348"/>
      <c r="F10203" s="1348"/>
      <c r="G10203" s="1348"/>
      <c r="H10203" s="1348"/>
      <c r="I10203" s="1348"/>
      <c r="J10203" s="1348"/>
      <c r="K10203" s="1348"/>
    </row>
    <row r="10204" spans="2:11" hidden="1">
      <c r="B10204" s="1348"/>
      <c r="C10204" s="1348"/>
      <c r="D10204" s="1348"/>
      <c r="E10204" s="1348"/>
      <c r="F10204" s="1348"/>
      <c r="G10204" s="1348"/>
      <c r="H10204" s="1348"/>
      <c r="I10204" s="1348"/>
      <c r="J10204" s="1348"/>
      <c r="K10204" s="1348"/>
    </row>
    <row r="10205" spans="2:11" hidden="1">
      <c r="B10205" s="1348"/>
      <c r="C10205" s="1348"/>
      <c r="D10205" s="1348"/>
      <c r="E10205" s="1348"/>
      <c r="F10205" s="1348"/>
      <c r="G10205" s="1348"/>
      <c r="H10205" s="1348"/>
      <c r="I10205" s="1348"/>
      <c r="J10205" s="1348"/>
      <c r="K10205" s="1348"/>
    </row>
    <row r="10206" spans="2:11" hidden="1">
      <c r="B10206" s="1348"/>
      <c r="C10206" s="1348"/>
      <c r="D10206" s="1348"/>
      <c r="E10206" s="1348"/>
      <c r="F10206" s="1348"/>
      <c r="G10206" s="1348"/>
      <c r="H10206" s="1348"/>
      <c r="I10206" s="1348"/>
      <c r="J10206" s="1348"/>
      <c r="K10206" s="1348"/>
    </row>
    <row r="10207" spans="2:11" hidden="1">
      <c r="B10207" s="1348"/>
      <c r="C10207" s="1348"/>
      <c r="D10207" s="1348"/>
      <c r="E10207" s="1348"/>
      <c r="F10207" s="1348"/>
      <c r="G10207" s="1348"/>
      <c r="H10207" s="1348"/>
      <c r="I10207" s="1348"/>
      <c r="J10207" s="1348"/>
      <c r="K10207" s="1348"/>
    </row>
    <row r="10208" spans="2:11" hidden="1">
      <c r="B10208" s="1348"/>
      <c r="C10208" s="1348"/>
      <c r="D10208" s="1348"/>
      <c r="E10208" s="1348"/>
      <c r="F10208" s="1348"/>
      <c r="G10208" s="1348"/>
      <c r="H10208" s="1348"/>
      <c r="I10208" s="1348"/>
      <c r="J10208" s="1348"/>
      <c r="K10208" s="1348"/>
    </row>
    <row r="10209" spans="2:11" hidden="1">
      <c r="B10209" s="1348"/>
      <c r="C10209" s="1348"/>
      <c r="D10209" s="1348"/>
      <c r="E10209" s="1348"/>
      <c r="F10209" s="1348"/>
      <c r="G10209" s="1348"/>
      <c r="H10209" s="1348"/>
      <c r="I10209" s="1348"/>
      <c r="J10209" s="1348"/>
      <c r="K10209" s="1348"/>
    </row>
    <row r="10210" spans="2:11" hidden="1">
      <c r="B10210" s="1348"/>
      <c r="C10210" s="1348"/>
      <c r="D10210" s="1348"/>
      <c r="E10210" s="1348"/>
      <c r="F10210" s="1348"/>
      <c r="G10210" s="1348"/>
      <c r="H10210" s="1348"/>
      <c r="I10210" s="1348"/>
      <c r="J10210" s="1348"/>
      <c r="K10210" s="1348"/>
    </row>
    <row r="10211" spans="2:11" hidden="1">
      <c r="B10211" s="1348"/>
      <c r="C10211" s="1348"/>
      <c r="D10211" s="1348"/>
      <c r="E10211" s="1348"/>
      <c r="F10211" s="1348"/>
      <c r="G10211" s="1348"/>
      <c r="H10211" s="1348"/>
      <c r="I10211" s="1348"/>
      <c r="J10211" s="1348"/>
      <c r="K10211" s="1348"/>
    </row>
    <row r="10212" spans="2:11" hidden="1">
      <c r="B10212" s="1348"/>
      <c r="C10212" s="1348"/>
      <c r="D10212" s="1348"/>
      <c r="E10212" s="1348"/>
      <c r="F10212" s="1348"/>
      <c r="G10212" s="1348"/>
      <c r="H10212" s="1348"/>
      <c r="I10212" s="1348"/>
      <c r="J10212" s="1348"/>
      <c r="K10212" s="1348"/>
    </row>
    <row r="10213" spans="2:11" hidden="1">
      <c r="B10213" s="1348"/>
      <c r="C10213" s="1348"/>
      <c r="D10213" s="1348"/>
      <c r="E10213" s="1348"/>
      <c r="F10213" s="1348"/>
      <c r="G10213" s="1348"/>
      <c r="H10213" s="1348"/>
      <c r="I10213" s="1348"/>
      <c r="J10213" s="1348"/>
      <c r="K10213" s="1348"/>
    </row>
    <row r="10214" spans="2:11" hidden="1">
      <c r="B10214" s="1348"/>
      <c r="C10214" s="1348"/>
      <c r="D10214" s="1348"/>
      <c r="E10214" s="1348"/>
      <c r="F10214" s="1348"/>
      <c r="G10214" s="1348"/>
      <c r="H10214" s="1348"/>
      <c r="I10214" s="1348"/>
      <c r="J10214" s="1348"/>
      <c r="K10214" s="1348"/>
    </row>
    <row r="10215" spans="2:11" hidden="1">
      <c r="B10215" s="1348"/>
      <c r="C10215" s="1348"/>
      <c r="D10215" s="1348"/>
      <c r="E10215" s="1348"/>
      <c r="F10215" s="1348"/>
      <c r="G10215" s="1348"/>
      <c r="H10215" s="1348"/>
      <c r="I10215" s="1348"/>
      <c r="J10215" s="1348"/>
      <c r="K10215" s="1348"/>
    </row>
    <row r="10216" spans="2:11" hidden="1">
      <c r="B10216" s="1348"/>
      <c r="C10216" s="1348"/>
      <c r="D10216" s="1348"/>
      <c r="E10216" s="1348"/>
      <c r="F10216" s="1348"/>
      <c r="G10216" s="1348"/>
      <c r="H10216" s="1348"/>
      <c r="I10216" s="1348"/>
      <c r="J10216" s="1348"/>
      <c r="K10216" s="1348"/>
    </row>
    <row r="10217" spans="2:11" hidden="1">
      <c r="B10217" s="1348"/>
      <c r="C10217" s="1348"/>
      <c r="D10217" s="1348"/>
      <c r="E10217" s="1348"/>
      <c r="F10217" s="1348"/>
      <c r="G10217" s="1348"/>
      <c r="H10217" s="1348"/>
      <c r="I10217" s="1348"/>
      <c r="J10217" s="1348"/>
      <c r="K10217" s="1348"/>
    </row>
    <row r="10218" spans="2:11" hidden="1">
      <c r="B10218" s="1348"/>
      <c r="C10218" s="1348"/>
      <c r="D10218" s="1348"/>
      <c r="E10218" s="1348"/>
      <c r="F10218" s="1348"/>
      <c r="G10218" s="1348"/>
      <c r="H10218" s="1348"/>
      <c r="I10218" s="1348"/>
      <c r="J10218" s="1348"/>
      <c r="K10218" s="1348"/>
    </row>
    <row r="10219" spans="2:11" hidden="1">
      <c r="B10219" s="1348"/>
      <c r="C10219" s="1348"/>
      <c r="D10219" s="1348"/>
      <c r="E10219" s="1348"/>
      <c r="F10219" s="1348"/>
      <c r="G10219" s="1348"/>
      <c r="H10219" s="1348"/>
      <c r="I10219" s="1348"/>
      <c r="J10219" s="1348"/>
      <c r="K10219" s="1348"/>
    </row>
    <row r="10220" spans="2:11" hidden="1">
      <c r="B10220" s="1348"/>
      <c r="C10220" s="1348"/>
      <c r="D10220" s="1348"/>
      <c r="E10220" s="1348"/>
      <c r="F10220" s="1348"/>
      <c r="G10220" s="1348"/>
      <c r="H10220" s="1348"/>
      <c r="I10220" s="1348"/>
      <c r="J10220" s="1348"/>
      <c r="K10220" s="1348"/>
    </row>
    <row r="10221" spans="2:11" hidden="1">
      <c r="B10221" s="1348"/>
      <c r="C10221" s="1348"/>
      <c r="D10221" s="1348"/>
      <c r="E10221" s="1348"/>
      <c r="F10221" s="1348"/>
      <c r="G10221" s="1348"/>
      <c r="H10221" s="1348"/>
      <c r="I10221" s="1348"/>
      <c r="J10221" s="1348"/>
      <c r="K10221" s="1348"/>
    </row>
    <row r="10222" spans="2:11" hidden="1">
      <c r="B10222" s="1348"/>
      <c r="C10222" s="1348"/>
      <c r="D10222" s="1348"/>
      <c r="E10222" s="1348"/>
      <c r="F10222" s="1348"/>
      <c r="G10222" s="1348"/>
      <c r="H10222" s="1348"/>
      <c r="I10222" s="1348"/>
      <c r="J10222" s="1348"/>
      <c r="K10222" s="1348"/>
    </row>
    <row r="10223" spans="2:11" hidden="1">
      <c r="B10223" s="1348"/>
      <c r="C10223" s="1348"/>
      <c r="D10223" s="1348"/>
      <c r="E10223" s="1348"/>
      <c r="F10223" s="1348"/>
      <c r="G10223" s="1348"/>
      <c r="H10223" s="1348"/>
      <c r="I10223" s="1348"/>
      <c r="J10223" s="1348"/>
      <c r="K10223" s="1348"/>
    </row>
    <row r="10224" spans="2:11" hidden="1">
      <c r="B10224" s="1348"/>
      <c r="C10224" s="1348"/>
      <c r="D10224" s="1348"/>
      <c r="E10224" s="1348"/>
      <c r="F10224" s="1348"/>
      <c r="G10224" s="1348"/>
      <c r="H10224" s="1348"/>
      <c r="I10224" s="1348"/>
      <c r="J10224" s="1348"/>
      <c r="K10224" s="1348"/>
    </row>
    <row r="10225" spans="2:11" hidden="1">
      <c r="B10225" s="1348"/>
      <c r="C10225" s="1348"/>
      <c r="D10225" s="1348"/>
      <c r="E10225" s="1348"/>
      <c r="F10225" s="1348"/>
      <c r="G10225" s="1348"/>
      <c r="H10225" s="1348"/>
      <c r="I10225" s="1348"/>
      <c r="J10225" s="1348"/>
      <c r="K10225" s="1348"/>
    </row>
    <row r="10226" spans="2:11" hidden="1">
      <c r="B10226" s="1348"/>
      <c r="C10226" s="1348"/>
      <c r="D10226" s="1348"/>
      <c r="E10226" s="1348"/>
      <c r="F10226" s="1348"/>
      <c r="G10226" s="1348"/>
      <c r="H10226" s="1348"/>
      <c r="I10226" s="1348"/>
      <c r="J10226" s="1348"/>
      <c r="K10226" s="1348"/>
    </row>
    <row r="10227" spans="2:11" hidden="1">
      <c r="B10227" s="1348"/>
      <c r="C10227" s="1348"/>
      <c r="D10227" s="1348"/>
      <c r="E10227" s="1348"/>
      <c r="F10227" s="1348"/>
      <c r="G10227" s="1348"/>
      <c r="H10227" s="1348"/>
      <c r="I10227" s="1348"/>
      <c r="J10227" s="1348"/>
      <c r="K10227" s="1348"/>
    </row>
    <row r="10228" spans="2:11" hidden="1">
      <c r="B10228" s="1348"/>
      <c r="C10228" s="1348"/>
      <c r="D10228" s="1348"/>
      <c r="E10228" s="1348"/>
      <c r="F10228" s="1348"/>
      <c r="G10228" s="1348"/>
      <c r="H10228" s="1348"/>
      <c r="I10228" s="1348"/>
      <c r="J10228" s="1348"/>
      <c r="K10228" s="1348"/>
    </row>
    <row r="10229" spans="2:11" hidden="1">
      <c r="B10229" s="1348"/>
      <c r="C10229" s="1348"/>
      <c r="D10229" s="1348"/>
      <c r="E10229" s="1348"/>
      <c r="F10229" s="1348"/>
      <c r="G10229" s="1348"/>
      <c r="H10229" s="1348"/>
      <c r="I10229" s="1348"/>
      <c r="J10229" s="1348"/>
      <c r="K10229" s="1348"/>
    </row>
    <row r="10230" spans="2:11" hidden="1">
      <c r="B10230" s="1348"/>
      <c r="C10230" s="1348"/>
      <c r="D10230" s="1348"/>
      <c r="E10230" s="1348"/>
      <c r="F10230" s="1348"/>
      <c r="G10230" s="1348"/>
      <c r="H10230" s="1348"/>
      <c r="I10230" s="1348"/>
      <c r="J10230" s="1348"/>
      <c r="K10230" s="1348"/>
    </row>
    <row r="10231" spans="2:11" hidden="1">
      <c r="B10231" s="1348"/>
      <c r="C10231" s="1348"/>
      <c r="D10231" s="1348"/>
      <c r="E10231" s="1348"/>
      <c r="F10231" s="1348"/>
      <c r="G10231" s="1348"/>
      <c r="H10231" s="1348"/>
      <c r="I10231" s="1348"/>
      <c r="J10231" s="1348"/>
      <c r="K10231" s="1348"/>
    </row>
    <row r="10232" spans="2:11" hidden="1">
      <c r="B10232" s="1348"/>
      <c r="C10232" s="1348"/>
      <c r="D10232" s="1348"/>
      <c r="E10232" s="1348"/>
      <c r="F10232" s="1348"/>
      <c r="G10232" s="1348"/>
      <c r="H10232" s="1348"/>
      <c r="I10232" s="1348"/>
      <c r="J10232" s="1348"/>
      <c r="K10232" s="1348"/>
    </row>
    <row r="10233" spans="2:11" hidden="1">
      <c r="B10233" s="1348"/>
      <c r="C10233" s="1348"/>
      <c r="D10233" s="1348"/>
      <c r="E10233" s="1348"/>
      <c r="F10233" s="1348"/>
      <c r="G10233" s="1348"/>
      <c r="H10233" s="1348"/>
      <c r="I10233" s="1348"/>
      <c r="J10233" s="1348"/>
      <c r="K10233" s="1348"/>
    </row>
    <row r="10234" spans="2:11" hidden="1">
      <c r="B10234" s="1348"/>
      <c r="C10234" s="1348"/>
      <c r="D10234" s="1348"/>
      <c r="E10234" s="1348"/>
      <c r="F10234" s="1348"/>
      <c r="G10234" s="1348"/>
      <c r="H10234" s="1348"/>
      <c r="I10234" s="1348"/>
      <c r="J10234" s="1348"/>
      <c r="K10234" s="1348"/>
    </row>
    <row r="10235" spans="2:11" hidden="1">
      <c r="B10235" s="1348"/>
      <c r="C10235" s="1348"/>
      <c r="D10235" s="1348"/>
      <c r="E10235" s="1348"/>
      <c r="F10235" s="1348"/>
      <c r="G10235" s="1348"/>
      <c r="H10235" s="1348"/>
      <c r="I10235" s="1348"/>
      <c r="J10235" s="1348"/>
      <c r="K10235" s="1348"/>
    </row>
    <row r="10236" spans="2:11" hidden="1">
      <c r="B10236" s="1348"/>
      <c r="C10236" s="1348"/>
      <c r="D10236" s="1348"/>
      <c r="E10236" s="1348"/>
      <c r="F10236" s="1348"/>
      <c r="G10236" s="1348"/>
      <c r="H10236" s="1348"/>
      <c r="I10236" s="1348"/>
      <c r="J10236" s="1348"/>
      <c r="K10236" s="1348"/>
    </row>
    <row r="10237" spans="2:11" hidden="1">
      <c r="B10237" s="1348"/>
      <c r="C10237" s="1348"/>
      <c r="D10237" s="1348"/>
      <c r="E10237" s="1348"/>
      <c r="F10237" s="1348"/>
      <c r="G10237" s="1348"/>
      <c r="H10237" s="1348"/>
      <c r="I10237" s="1348"/>
      <c r="J10237" s="1348"/>
      <c r="K10237" s="1348"/>
    </row>
    <row r="10238" spans="2:11" hidden="1">
      <c r="B10238" s="1348"/>
      <c r="C10238" s="1348"/>
      <c r="D10238" s="1348"/>
      <c r="E10238" s="1348"/>
      <c r="F10238" s="1348"/>
      <c r="G10238" s="1348"/>
      <c r="H10238" s="1348"/>
      <c r="I10238" s="1348"/>
      <c r="J10238" s="1348"/>
      <c r="K10238" s="1348"/>
    </row>
    <row r="10239" spans="2:11" hidden="1">
      <c r="B10239" s="1348"/>
      <c r="C10239" s="1348"/>
      <c r="D10239" s="1348"/>
      <c r="E10239" s="1348"/>
      <c r="F10239" s="1348"/>
      <c r="G10239" s="1348"/>
      <c r="H10239" s="1348"/>
      <c r="I10239" s="1348"/>
      <c r="J10239" s="1348"/>
      <c r="K10239" s="1348"/>
    </row>
    <row r="10240" spans="2:11" hidden="1">
      <c r="B10240" s="1348"/>
      <c r="C10240" s="1348"/>
      <c r="D10240" s="1348"/>
      <c r="E10240" s="1348"/>
      <c r="F10240" s="1348"/>
      <c r="G10240" s="1348"/>
      <c r="H10240" s="1348"/>
      <c r="I10240" s="1348"/>
      <c r="J10240" s="1348"/>
      <c r="K10240" s="1348"/>
    </row>
    <row r="10241" spans="2:11" hidden="1">
      <c r="B10241" s="1348"/>
      <c r="C10241" s="1348"/>
      <c r="D10241" s="1348"/>
      <c r="E10241" s="1348"/>
      <c r="F10241" s="1348"/>
      <c r="G10241" s="1348"/>
      <c r="H10241" s="1348"/>
      <c r="I10241" s="1348"/>
      <c r="J10241" s="1348"/>
      <c r="K10241" s="1348"/>
    </row>
    <row r="10242" spans="2:11" hidden="1">
      <c r="B10242" s="1348"/>
      <c r="C10242" s="1348"/>
      <c r="D10242" s="1348"/>
      <c r="E10242" s="1348"/>
      <c r="F10242" s="1348"/>
      <c r="G10242" s="1348"/>
      <c r="H10242" s="1348"/>
      <c r="I10242" s="1348"/>
      <c r="J10242" s="1348"/>
      <c r="K10242" s="1348"/>
    </row>
    <row r="10243" spans="2:11" hidden="1">
      <c r="B10243" s="1348"/>
      <c r="C10243" s="1348"/>
      <c r="D10243" s="1348"/>
      <c r="E10243" s="1348"/>
      <c r="F10243" s="1348"/>
      <c r="G10243" s="1348"/>
      <c r="H10243" s="1348"/>
      <c r="I10243" s="1348"/>
      <c r="J10243" s="1348"/>
      <c r="K10243" s="1348"/>
    </row>
    <row r="10244" spans="2:11" hidden="1">
      <c r="B10244" s="1348"/>
      <c r="C10244" s="1348"/>
      <c r="D10244" s="1348"/>
      <c r="E10244" s="1348"/>
      <c r="F10244" s="1348"/>
      <c r="G10244" s="1348"/>
      <c r="H10244" s="1348"/>
      <c r="I10244" s="1348"/>
      <c r="J10244" s="1348"/>
      <c r="K10244" s="1348"/>
    </row>
    <row r="10245" spans="2:11" hidden="1">
      <c r="B10245" s="1348"/>
      <c r="C10245" s="1348"/>
      <c r="D10245" s="1348"/>
      <c r="E10245" s="1348"/>
      <c r="F10245" s="1348"/>
      <c r="G10245" s="1348"/>
      <c r="H10245" s="1348"/>
      <c r="I10245" s="1348"/>
      <c r="J10245" s="1348"/>
      <c r="K10245" s="1348"/>
    </row>
    <row r="10246" spans="2:11" hidden="1">
      <c r="B10246" s="1348"/>
      <c r="C10246" s="1348"/>
      <c r="D10246" s="1348"/>
      <c r="E10246" s="1348"/>
      <c r="F10246" s="1348"/>
      <c r="G10246" s="1348"/>
      <c r="H10246" s="1348"/>
      <c r="I10246" s="1348"/>
      <c r="J10246" s="1348"/>
      <c r="K10246" s="1348"/>
    </row>
    <row r="10247" spans="2:11" hidden="1">
      <c r="B10247" s="1348"/>
      <c r="C10247" s="1348"/>
      <c r="D10247" s="1348"/>
      <c r="E10247" s="1348"/>
      <c r="F10247" s="1348"/>
      <c r="G10247" s="1348"/>
      <c r="H10247" s="1348"/>
      <c r="I10247" s="1348"/>
      <c r="J10247" s="1348"/>
      <c r="K10247" s="1348"/>
    </row>
    <row r="10248" spans="2:11" hidden="1">
      <c r="B10248" s="1348"/>
      <c r="C10248" s="1348"/>
      <c r="D10248" s="1348"/>
      <c r="E10248" s="1348"/>
      <c r="F10248" s="1348"/>
      <c r="G10248" s="1348"/>
      <c r="H10248" s="1348"/>
      <c r="I10248" s="1348"/>
      <c r="J10248" s="1348"/>
      <c r="K10248" s="1348"/>
    </row>
    <row r="10249" spans="2:11" hidden="1">
      <c r="B10249" s="1348"/>
      <c r="C10249" s="1348"/>
      <c r="D10249" s="1348"/>
      <c r="E10249" s="1348"/>
      <c r="F10249" s="1348"/>
      <c r="G10249" s="1348"/>
      <c r="H10249" s="1348"/>
      <c r="I10249" s="1348"/>
      <c r="J10249" s="1348"/>
      <c r="K10249" s="1348"/>
    </row>
    <row r="10250" spans="2:11" hidden="1">
      <c r="B10250" s="1348"/>
      <c r="C10250" s="1348"/>
      <c r="D10250" s="1348"/>
      <c r="E10250" s="1348"/>
      <c r="F10250" s="1348"/>
      <c r="G10250" s="1348"/>
      <c r="H10250" s="1348"/>
      <c r="I10250" s="1348"/>
      <c r="J10250" s="1348"/>
      <c r="K10250" s="1348"/>
    </row>
    <row r="10251" spans="2:11" hidden="1">
      <c r="B10251" s="1348"/>
      <c r="C10251" s="1348"/>
      <c r="D10251" s="1348"/>
      <c r="E10251" s="1348"/>
      <c r="F10251" s="1348"/>
      <c r="G10251" s="1348"/>
      <c r="H10251" s="1348"/>
      <c r="I10251" s="1348"/>
      <c r="J10251" s="1348"/>
      <c r="K10251" s="1348"/>
    </row>
    <row r="10252" spans="2:11" hidden="1">
      <c r="B10252" s="1348"/>
      <c r="C10252" s="1348"/>
      <c r="D10252" s="1348"/>
      <c r="E10252" s="1348"/>
      <c r="F10252" s="1348"/>
      <c r="G10252" s="1348"/>
      <c r="H10252" s="1348"/>
      <c r="I10252" s="1348"/>
      <c r="J10252" s="1348"/>
      <c r="K10252" s="1348"/>
    </row>
    <row r="10253" spans="2:11" hidden="1">
      <c r="B10253" s="1348"/>
      <c r="C10253" s="1348"/>
      <c r="D10253" s="1348"/>
      <c r="E10253" s="1348"/>
      <c r="F10253" s="1348"/>
      <c r="G10253" s="1348"/>
      <c r="H10253" s="1348"/>
      <c r="I10253" s="1348"/>
      <c r="J10253" s="1348"/>
      <c r="K10253" s="1348"/>
    </row>
    <row r="10254" spans="2:11" hidden="1">
      <c r="B10254" s="1348"/>
      <c r="C10254" s="1348"/>
      <c r="D10254" s="1348"/>
      <c r="E10254" s="1348"/>
      <c r="F10254" s="1348"/>
      <c r="G10254" s="1348"/>
      <c r="H10254" s="1348"/>
      <c r="I10254" s="1348"/>
      <c r="J10254" s="1348"/>
      <c r="K10254" s="1348"/>
    </row>
    <row r="10255" spans="2:11" hidden="1">
      <c r="B10255" s="1348"/>
      <c r="C10255" s="1348"/>
      <c r="D10255" s="1348"/>
      <c r="E10255" s="1348"/>
      <c r="F10255" s="1348"/>
      <c r="G10255" s="1348"/>
      <c r="H10255" s="1348"/>
      <c r="I10255" s="1348"/>
      <c r="J10255" s="1348"/>
      <c r="K10255" s="1348"/>
    </row>
    <row r="10256" spans="2:11" hidden="1">
      <c r="B10256" s="1348"/>
      <c r="C10256" s="1348"/>
      <c r="D10256" s="1348"/>
      <c r="E10256" s="1348"/>
      <c r="F10256" s="1348"/>
      <c r="G10256" s="1348"/>
      <c r="H10256" s="1348"/>
      <c r="I10256" s="1348"/>
      <c r="J10256" s="1348"/>
      <c r="K10256" s="1348"/>
    </row>
    <row r="10257" spans="2:11" hidden="1">
      <c r="B10257" s="1348"/>
      <c r="C10257" s="1348"/>
      <c r="D10257" s="1348"/>
      <c r="E10257" s="1348"/>
      <c r="F10257" s="1348"/>
      <c r="G10257" s="1348"/>
      <c r="H10257" s="1348"/>
      <c r="I10257" s="1348"/>
      <c r="J10257" s="1348"/>
      <c r="K10257" s="1348"/>
    </row>
    <row r="10258" spans="2:11" hidden="1">
      <c r="B10258" s="1348"/>
      <c r="C10258" s="1348"/>
      <c r="D10258" s="1348"/>
      <c r="E10258" s="1348"/>
      <c r="F10258" s="1348"/>
      <c r="G10258" s="1348"/>
      <c r="H10258" s="1348"/>
      <c r="I10258" s="1348"/>
      <c r="J10258" s="1348"/>
      <c r="K10258" s="1348"/>
    </row>
    <row r="10259" spans="2:11" hidden="1">
      <c r="B10259" s="1348"/>
      <c r="C10259" s="1348"/>
      <c r="D10259" s="1348"/>
      <c r="E10259" s="1348"/>
      <c r="F10259" s="1348"/>
      <c r="G10259" s="1348"/>
      <c r="H10259" s="1348"/>
      <c r="I10259" s="1348"/>
      <c r="J10259" s="1348"/>
      <c r="K10259" s="1348"/>
    </row>
    <row r="10260" spans="2:11" hidden="1">
      <c r="B10260" s="1348"/>
      <c r="C10260" s="1348"/>
      <c r="D10260" s="1348"/>
      <c r="E10260" s="1348"/>
      <c r="F10260" s="1348"/>
      <c r="G10260" s="1348"/>
      <c r="H10260" s="1348"/>
      <c r="I10260" s="1348"/>
      <c r="J10260" s="1348"/>
      <c r="K10260" s="1348"/>
    </row>
    <row r="10261" spans="2:11" hidden="1">
      <c r="B10261" s="1348"/>
      <c r="C10261" s="1348"/>
      <c r="D10261" s="1348"/>
      <c r="E10261" s="1348"/>
      <c r="F10261" s="1348"/>
      <c r="G10261" s="1348"/>
      <c r="H10261" s="1348"/>
      <c r="I10261" s="1348"/>
      <c r="J10261" s="1348"/>
      <c r="K10261" s="1348"/>
    </row>
    <row r="10262" spans="2:11" hidden="1">
      <c r="B10262" s="1348"/>
      <c r="C10262" s="1348"/>
      <c r="D10262" s="1348"/>
      <c r="E10262" s="1348"/>
      <c r="F10262" s="1348"/>
      <c r="G10262" s="1348"/>
      <c r="H10262" s="1348"/>
      <c r="I10262" s="1348"/>
      <c r="J10262" s="1348"/>
      <c r="K10262" s="1348"/>
    </row>
    <row r="10263" spans="2:11" hidden="1">
      <c r="B10263" s="1348"/>
      <c r="C10263" s="1348"/>
      <c r="D10263" s="1348"/>
      <c r="E10263" s="1348"/>
      <c r="F10263" s="1348"/>
      <c r="G10263" s="1348"/>
      <c r="H10263" s="1348"/>
      <c r="I10263" s="1348"/>
      <c r="J10263" s="1348"/>
      <c r="K10263" s="1348"/>
    </row>
    <row r="10264" spans="2:11" hidden="1">
      <c r="B10264" s="1348"/>
      <c r="C10264" s="1348"/>
      <c r="D10264" s="1348"/>
      <c r="E10264" s="1348"/>
      <c r="F10264" s="1348"/>
      <c r="G10264" s="1348"/>
      <c r="H10264" s="1348"/>
      <c r="I10264" s="1348"/>
      <c r="J10264" s="1348"/>
      <c r="K10264" s="1348"/>
    </row>
    <row r="10265" spans="2:11" hidden="1">
      <c r="B10265" s="1348"/>
      <c r="C10265" s="1348"/>
      <c r="D10265" s="1348"/>
      <c r="E10265" s="1348"/>
      <c r="F10265" s="1348"/>
      <c r="G10265" s="1348"/>
      <c r="H10265" s="1348"/>
      <c r="I10265" s="1348"/>
      <c r="J10265" s="1348"/>
      <c r="K10265" s="1348"/>
    </row>
    <row r="10266" spans="2:11" hidden="1">
      <c r="B10266" s="1348"/>
      <c r="C10266" s="1348"/>
      <c r="D10266" s="1348"/>
      <c r="E10266" s="1348"/>
      <c r="F10266" s="1348"/>
      <c r="G10266" s="1348"/>
      <c r="H10266" s="1348"/>
      <c r="I10266" s="1348"/>
      <c r="J10266" s="1348"/>
      <c r="K10266" s="1348"/>
    </row>
    <row r="10267" spans="2:11" hidden="1">
      <c r="B10267" s="1348"/>
      <c r="C10267" s="1348"/>
      <c r="D10267" s="1348"/>
      <c r="E10267" s="1348"/>
      <c r="F10267" s="1348"/>
      <c r="G10267" s="1348"/>
      <c r="H10267" s="1348"/>
      <c r="I10267" s="1348"/>
      <c r="J10267" s="1348"/>
      <c r="K10267" s="1348"/>
    </row>
    <row r="10268" spans="2:11" hidden="1">
      <c r="B10268" s="1348"/>
      <c r="C10268" s="1348"/>
      <c r="D10268" s="1348"/>
      <c r="E10268" s="1348"/>
      <c r="F10268" s="1348"/>
      <c r="G10268" s="1348"/>
      <c r="H10268" s="1348"/>
      <c r="I10268" s="1348"/>
      <c r="J10268" s="1348"/>
      <c r="K10268" s="1348"/>
    </row>
    <row r="10269" spans="2:11" hidden="1">
      <c r="B10269" s="1348"/>
      <c r="C10269" s="1348"/>
      <c r="D10269" s="1348"/>
      <c r="E10269" s="1348"/>
      <c r="F10269" s="1348"/>
      <c r="G10269" s="1348"/>
      <c r="H10269" s="1348"/>
      <c r="I10269" s="1348"/>
      <c r="J10269" s="1348"/>
      <c r="K10269" s="1348"/>
    </row>
    <row r="10270" spans="2:11" hidden="1">
      <c r="B10270" s="1348"/>
      <c r="C10270" s="1348"/>
      <c r="D10270" s="1348"/>
      <c r="E10270" s="1348"/>
      <c r="F10270" s="1348"/>
      <c r="G10270" s="1348"/>
      <c r="H10270" s="1348"/>
      <c r="I10270" s="1348"/>
      <c r="J10270" s="1348"/>
      <c r="K10270" s="1348"/>
    </row>
    <row r="10271" spans="2:11" hidden="1">
      <c r="B10271" s="1348"/>
      <c r="C10271" s="1348"/>
      <c r="D10271" s="1348"/>
      <c r="E10271" s="1348"/>
      <c r="F10271" s="1348"/>
      <c r="G10271" s="1348"/>
      <c r="H10271" s="1348"/>
      <c r="I10271" s="1348"/>
      <c r="J10271" s="1348"/>
      <c r="K10271" s="1348"/>
    </row>
    <row r="10272" spans="2:11" hidden="1">
      <c r="B10272" s="1348"/>
      <c r="C10272" s="1348"/>
      <c r="D10272" s="1348"/>
      <c r="E10272" s="1348"/>
      <c r="F10272" s="1348"/>
      <c r="G10272" s="1348"/>
      <c r="H10272" s="1348"/>
      <c r="I10272" s="1348"/>
      <c r="J10272" s="1348"/>
      <c r="K10272" s="1348"/>
    </row>
    <row r="10273" spans="2:11" hidden="1">
      <c r="B10273" s="1348"/>
      <c r="C10273" s="1348"/>
      <c r="D10273" s="1348"/>
      <c r="E10273" s="1348"/>
      <c r="F10273" s="1348"/>
      <c r="G10273" s="1348"/>
      <c r="H10273" s="1348"/>
      <c r="I10273" s="1348"/>
      <c r="J10273" s="1348"/>
      <c r="K10273" s="1348"/>
    </row>
    <row r="10274" spans="2:11" hidden="1">
      <c r="B10274" s="1348"/>
      <c r="C10274" s="1348"/>
      <c r="D10274" s="1348"/>
      <c r="E10274" s="1348"/>
      <c r="F10274" s="1348"/>
      <c r="G10274" s="1348"/>
      <c r="H10274" s="1348"/>
      <c r="I10274" s="1348"/>
      <c r="J10274" s="1348"/>
      <c r="K10274" s="1348"/>
    </row>
    <row r="10275" spans="2:11" hidden="1">
      <c r="B10275" s="1348"/>
      <c r="C10275" s="1348"/>
      <c r="D10275" s="1348"/>
      <c r="E10275" s="1348"/>
      <c r="F10275" s="1348"/>
      <c r="G10275" s="1348"/>
      <c r="H10275" s="1348"/>
      <c r="I10275" s="1348"/>
      <c r="J10275" s="1348"/>
      <c r="K10275" s="1348"/>
    </row>
    <row r="10276" spans="2:11" hidden="1">
      <c r="B10276" s="1348"/>
      <c r="C10276" s="1348"/>
      <c r="D10276" s="1348"/>
      <c r="E10276" s="1348"/>
      <c r="F10276" s="1348"/>
      <c r="G10276" s="1348"/>
      <c r="H10276" s="1348"/>
      <c r="I10276" s="1348"/>
      <c r="J10276" s="1348"/>
      <c r="K10276" s="1348"/>
    </row>
    <row r="10277" spans="2:11" hidden="1">
      <c r="B10277" s="1348"/>
      <c r="C10277" s="1348"/>
      <c r="D10277" s="1348"/>
      <c r="E10277" s="1348"/>
      <c r="F10277" s="1348"/>
      <c r="G10277" s="1348"/>
      <c r="H10277" s="1348"/>
      <c r="I10277" s="1348"/>
      <c r="J10277" s="1348"/>
      <c r="K10277" s="1348"/>
    </row>
    <row r="10278" spans="2:11" hidden="1">
      <c r="B10278" s="1348"/>
      <c r="C10278" s="1348"/>
      <c r="D10278" s="1348"/>
      <c r="E10278" s="1348"/>
      <c r="F10278" s="1348"/>
      <c r="G10278" s="1348"/>
      <c r="H10278" s="1348"/>
      <c r="I10278" s="1348"/>
      <c r="J10278" s="1348"/>
      <c r="K10278" s="1348"/>
    </row>
    <row r="10279" spans="2:11" hidden="1">
      <c r="B10279" s="1348"/>
      <c r="C10279" s="1348"/>
      <c r="D10279" s="1348"/>
      <c r="E10279" s="1348"/>
      <c r="F10279" s="1348"/>
      <c r="G10279" s="1348"/>
      <c r="H10279" s="1348"/>
      <c r="I10279" s="1348"/>
      <c r="J10279" s="1348"/>
      <c r="K10279" s="1348"/>
    </row>
    <row r="10280" spans="2:11" hidden="1">
      <c r="B10280" s="1348"/>
      <c r="C10280" s="1348"/>
      <c r="D10280" s="1348"/>
      <c r="E10280" s="1348"/>
      <c r="F10280" s="1348"/>
      <c r="G10280" s="1348"/>
      <c r="H10280" s="1348"/>
      <c r="I10280" s="1348"/>
      <c r="J10280" s="1348"/>
      <c r="K10280" s="1348"/>
    </row>
    <row r="10281" spans="2:11" hidden="1">
      <c r="B10281" s="1348"/>
      <c r="C10281" s="1348"/>
      <c r="D10281" s="1348"/>
      <c r="E10281" s="1348"/>
      <c r="F10281" s="1348"/>
      <c r="G10281" s="1348"/>
      <c r="H10281" s="1348"/>
      <c r="I10281" s="1348"/>
      <c r="J10281" s="1348"/>
      <c r="K10281" s="1348"/>
    </row>
    <row r="10282" spans="2:11" hidden="1">
      <c r="B10282" s="1348"/>
      <c r="C10282" s="1348"/>
      <c r="D10282" s="1348"/>
      <c r="E10282" s="1348"/>
      <c r="F10282" s="1348"/>
      <c r="G10282" s="1348"/>
      <c r="H10282" s="1348"/>
      <c r="I10282" s="1348"/>
      <c r="J10282" s="1348"/>
      <c r="K10282" s="1348"/>
    </row>
    <row r="10283" spans="2:11" hidden="1">
      <c r="B10283" s="1348"/>
      <c r="C10283" s="1348"/>
      <c r="D10283" s="1348"/>
      <c r="E10283" s="1348"/>
      <c r="F10283" s="1348"/>
      <c r="G10283" s="1348"/>
      <c r="H10283" s="1348"/>
      <c r="I10283" s="1348"/>
      <c r="J10283" s="1348"/>
      <c r="K10283" s="1348"/>
    </row>
    <row r="10284" spans="2:11" hidden="1">
      <c r="B10284" s="1348"/>
      <c r="C10284" s="1348"/>
      <c r="D10284" s="1348"/>
      <c r="E10284" s="1348"/>
      <c r="F10284" s="1348"/>
      <c r="G10284" s="1348"/>
      <c r="H10284" s="1348"/>
      <c r="I10284" s="1348"/>
      <c r="J10284" s="1348"/>
      <c r="K10284" s="1348"/>
    </row>
    <row r="10285" spans="2:11" hidden="1">
      <c r="B10285" s="1348"/>
      <c r="C10285" s="1348"/>
      <c r="D10285" s="1348"/>
      <c r="E10285" s="1348"/>
      <c r="F10285" s="1348"/>
      <c r="G10285" s="1348"/>
      <c r="H10285" s="1348"/>
      <c r="I10285" s="1348"/>
      <c r="J10285" s="1348"/>
      <c r="K10285" s="1348"/>
    </row>
    <row r="10286" spans="2:11" hidden="1">
      <c r="B10286" s="1348"/>
      <c r="C10286" s="1348"/>
      <c r="D10286" s="1348"/>
      <c r="E10286" s="1348"/>
      <c r="F10286" s="1348"/>
      <c r="G10286" s="1348"/>
      <c r="H10286" s="1348"/>
      <c r="I10286" s="1348"/>
      <c r="J10286" s="1348"/>
      <c r="K10286" s="1348"/>
    </row>
    <row r="10287" spans="2:11" hidden="1">
      <c r="B10287" s="1348"/>
      <c r="C10287" s="1348"/>
      <c r="D10287" s="1348"/>
      <c r="E10287" s="1348"/>
      <c r="F10287" s="1348"/>
      <c r="G10287" s="1348"/>
      <c r="H10287" s="1348"/>
      <c r="I10287" s="1348"/>
      <c r="J10287" s="1348"/>
      <c r="K10287" s="1348"/>
    </row>
    <row r="10288" spans="2:11" hidden="1">
      <c r="B10288" s="1348"/>
      <c r="C10288" s="1348"/>
      <c r="D10288" s="1348"/>
      <c r="E10288" s="1348"/>
      <c r="F10288" s="1348"/>
      <c r="G10288" s="1348"/>
      <c r="H10288" s="1348"/>
      <c r="I10288" s="1348"/>
      <c r="J10288" s="1348"/>
      <c r="K10288" s="1348"/>
    </row>
    <row r="10289" spans="2:11" hidden="1">
      <c r="B10289" s="1348"/>
      <c r="C10289" s="1348"/>
      <c r="D10289" s="1348"/>
      <c r="E10289" s="1348"/>
      <c r="F10289" s="1348"/>
      <c r="G10289" s="1348"/>
      <c r="H10289" s="1348"/>
      <c r="I10289" s="1348"/>
      <c r="J10289" s="1348"/>
      <c r="K10289" s="1348"/>
    </row>
    <row r="10290" spans="2:11" hidden="1">
      <c r="B10290" s="1348"/>
      <c r="C10290" s="1348"/>
      <c r="D10290" s="1348"/>
      <c r="E10290" s="1348"/>
      <c r="F10290" s="1348"/>
      <c r="G10290" s="1348"/>
      <c r="H10290" s="1348"/>
      <c r="I10290" s="1348"/>
      <c r="J10290" s="1348"/>
      <c r="K10290" s="1348"/>
    </row>
    <row r="10291" spans="2:11" hidden="1">
      <c r="B10291" s="1348"/>
      <c r="C10291" s="1348"/>
      <c r="D10291" s="1348"/>
      <c r="E10291" s="1348"/>
      <c r="F10291" s="1348"/>
      <c r="G10291" s="1348"/>
      <c r="H10291" s="1348"/>
      <c r="I10291" s="1348"/>
      <c r="J10291" s="1348"/>
      <c r="K10291" s="1348"/>
    </row>
    <row r="10292" spans="2:11" hidden="1">
      <c r="B10292" s="1348"/>
      <c r="C10292" s="1348"/>
      <c r="D10292" s="1348"/>
      <c r="E10292" s="1348"/>
      <c r="F10292" s="1348"/>
      <c r="G10292" s="1348"/>
      <c r="H10292" s="1348"/>
      <c r="I10292" s="1348"/>
      <c r="J10292" s="1348"/>
      <c r="K10292" s="1348"/>
    </row>
    <row r="10293" spans="2:11" hidden="1">
      <c r="B10293" s="1348"/>
      <c r="C10293" s="1348"/>
      <c r="D10293" s="1348"/>
      <c r="E10293" s="1348"/>
      <c r="F10293" s="1348"/>
      <c r="G10293" s="1348"/>
      <c r="H10293" s="1348"/>
      <c r="I10293" s="1348"/>
      <c r="J10293" s="1348"/>
      <c r="K10293" s="1348"/>
    </row>
    <row r="10294" spans="2:11" hidden="1">
      <c r="B10294" s="1348"/>
      <c r="C10294" s="1348"/>
      <c r="D10294" s="1348"/>
      <c r="E10294" s="1348"/>
      <c r="F10294" s="1348"/>
      <c r="G10294" s="1348"/>
      <c r="H10294" s="1348"/>
      <c r="I10294" s="1348"/>
      <c r="J10294" s="1348"/>
      <c r="K10294" s="1348"/>
    </row>
    <row r="10295" spans="2:11" hidden="1">
      <c r="B10295" s="1348"/>
      <c r="C10295" s="1348"/>
      <c r="D10295" s="1348"/>
      <c r="E10295" s="1348"/>
      <c r="F10295" s="1348"/>
      <c r="G10295" s="1348"/>
      <c r="H10295" s="1348"/>
      <c r="I10295" s="1348"/>
      <c r="J10295" s="1348"/>
      <c r="K10295" s="1348"/>
    </row>
    <row r="10296" spans="2:11" hidden="1">
      <c r="B10296" s="1348"/>
      <c r="C10296" s="1348"/>
      <c r="D10296" s="1348"/>
      <c r="E10296" s="1348"/>
      <c r="F10296" s="1348"/>
      <c r="G10296" s="1348"/>
      <c r="H10296" s="1348"/>
      <c r="I10296" s="1348"/>
      <c r="J10296" s="1348"/>
      <c r="K10296" s="1348"/>
    </row>
    <row r="10297" spans="2:11" hidden="1">
      <c r="B10297" s="1348"/>
      <c r="C10297" s="1348"/>
      <c r="D10297" s="1348"/>
      <c r="E10297" s="1348"/>
      <c r="F10297" s="1348"/>
      <c r="G10297" s="1348"/>
      <c r="H10297" s="1348"/>
      <c r="I10297" s="1348"/>
      <c r="J10297" s="1348"/>
      <c r="K10297" s="1348"/>
    </row>
    <row r="10298" spans="2:11" hidden="1">
      <c r="B10298" s="1348"/>
      <c r="C10298" s="1348"/>
      <c r="D10298" s="1348"/>
      <c r="E10298" s="1348"/>
      <c r="F10298" s="1348"/>
      <c r="G10298" s="1348"/>
      <c r="H10298" s="1348"/>
      <c r="I10298" s="1348"/>
      <c r="J10298" s="1348"/>
      <c r="K10298" s="1348"/>
    </row>
    <row r="10299" spans="2:11" hidden="1">
      <c r="B10299" s="1348"/>
      <c r="C10299" s="1348"/>
      <c r="D10299" s="1348"/>
      <c r="E10299" s="1348"/>
      <c r="F10299" s="1348"/>
      <c r="G10299" s="1348"/>
      <c r="H10299" s="1348"/>
      <c r="I10299" s="1348"/>
      <c r="J10299" s="1348"/>
      <c r="K10299" s="1348"/>
    </row>
    <row r="10300" spans="2:11" hidden="1">
      <c r="B10300" s="1348"/>
      <c r="C10300" s="1348"/>
      <c r="D10300" s="1348"/>
      <c r="E10300" s="1348"/>
      <c r="F10300" s="1348"/>
      <c r="G10300" s="1348"/>
      <c r="H10300" s="1348"/>
      <c r="I10300" s="1348"/>
      <c r="J10300" s="1348"/>
      <c r="K10300" s="1348"/>
    </row>
    <row r="10301" spans="2:11" hidden="1">
      <c r="B10301" s="1348"/>
      <c r="C10301" s="1348"/>
      <c r="D10301" s="1348"/>
      <c r="E10301" s="1348"/>
      <c r="F10301" s="1348"/>
      <c r="G10301" s="1348"/>
      <c r="H10301" s="1348"/>
      <c r="I10301" s="1348"/>
      <c r="J10301" s="1348"/>
      <c r="K10301" s="1348"/>
    </row>
    <row r="10302" spans="2:11" hidden="1">
      <c r="B10302" s="1348"/>
      <c r="C10302" s="1348"/>
      <c r="D10302" s="1348"/>
      <c r="E10302" s="1348"/>
      <c r="F10302" s="1348"/>
      <c r="G10302" s="1348"/>
      <c r="H10302" s="1348"/>
      <c r="I10302" s="1348"/>
      <c r="J10302" s="1348"/>
      <c r="K10302" s="1348"/>
    </row>
    <row r="10303" spans="2:11" hidden="1">
      <c r="B10303" s="1348"/>
      <c r="C10303" s="1348"/>
      <c r="D10303" s="1348"/>
      <c r="E10303" s="1348"/>
      <c r="F10303" s="1348"/>
      <c r="G10303" s="1348"/>
      <c r="H10303" s="1348"/>
      <c r="I10303" s="1348"/>
      <c r="J10303" s="1348"/>
      <c r="K10303" s="1348"/>
    </row>
    <row r="10304" spans="2:11" hidden="1">
      <c r="B10304" s="1348"/>
      <c r="C10304" s="1348"/>
      <c r="D10304" s="1348"/>
      <c r="E10304" s="1348"/>
      <c r="F10304" s="1348"/>
      <c r="G10304" s="1348"/>
      <c r="H10304" s="1348"/>
      <c r="I10304" s="1348"/>
      <c r="J10304" s="1348"/>
      <c r="K10304" s="1348"/>
    </row>
    <row r="10305" spans="2:11" hidden="1">
      <c r="B10305" s="1348"/>
      <c r="C10305" s="1348"/>
      <c r="D10305" s="1348"/>
      <c r="E10305" s="1348"/>
      <c r="F10305" s="1348"/>
      <c r="G10305" s="1348"/>
      <c r="H10305" s="1348"/>
      <c r="I10305" s="1348"/>
      <c r="J10305" s="1348"/>
      <c r="K10305" s="1348"/>
    </row>
    <row r="10306" spans="2:11" hidden="1">
      <c r="B10306" s="1348"/>
      <c r="C10306" s="1348"/>
      <c r="D10306" s="1348"/>
      <c r="E10306" s="1348"/>
      <c r="F10306" s="1348"/>
      <c r="G10306" s="1348"/>
      <c r="H10306" s="1348"/>
      <c r="I10306" s="1348"/>
      <c r="J10306" s="1348"/>
      <c r="K10306" s="1348"/>
    </row>
    <row r="10307" spans="2:11" hidden="1">
      <c r="B10307" s="1348"/>
      <c r="C10307" s="1348"/>
      <c r="D10307" s="1348"/>
      <c r="E10307" s="1348"/>
      <c r="F10307" s="1348"/>
      <c r="G10307" s="1348"/>
      <c r="H10307" s="1348"/>
      <c r="I10307" s="1348"/>
      <c r="J10307" s="1348"/>
      <c r="K10307" s="1348"/>
    </row>
    <row r="10308" spans="2:11" hidden="1">
      <c r="B10308" s="1348"/>
      <c r="C10308" s="1348"/>
      <c r="D10308" s="1348"/>
      <c r="E10308" s="1348"/>
      <c r="F10308" s="1348"/>
      <c r="G10308" s="1348"/>
      <c r="H10308" s="1348"/>
      <c r="I10308" s="1348"/>
      <c r="J10308" s="1348"/>
      <c r="K10308" s="1348"/>
    </row>
    <row r="10309" spans="2:11" hidden="1">
      <c r="B10309" s="1348"/>
      <c r="C10309" s="1348"/>
      <c r="D10309" s="1348"/>
      <c r="E10309" s="1348"/>
      <c r="F10309" s="1348"/>
      <c r="G10309" s="1348"/>
      <c r="H10309" s="1348"/>
      <c r="I10309" s="1348"/>
      <c r="J10309" s="1348"/>
      <c r="K10309" s="1348"/>
    </row>
    <row r="10310" spans="2:11" hidden="1">
      <c r="B10310" s="1348"/>
      <c r="C10310" s="1348"/>
      <c r="D10310" s="1348"/>
      <c r="E10310" s="1348"/>
      <c r="F10310" s="1348"/>
      <c r="G10310" s="1348"/>
      <c r="H10310" s="1348"/>
      <c r="I10310" s="1348"/>
      <c r="J10310" s="1348"/>
      <c r="K10310" s="1348"/>
    </row>
    <row r="10311" spans="2:11" hidden="1">
      <c r="B10311" s="1348"/>
      <c r="C10311" s="1348"/>
      <c r="D10311" s="1348"/>
      <c r="E10311" s="1348"/>
      <c r="F10311" s="1348"/>
      <c r="G10311" s="1348"/>
      <c r="H10311" s="1348"/>
      <c r="I10311" s="1348"/>
      <c r="J10311" s="1348"/>
      <c r="K10311" s="1348"/>
    </row>
    <row r="10312" spans="2:11" hidden="1">
      <c r="B10312" s="1348"/>
      <c r="C10312" s="1348"/>
      <c r="D10312" s="1348"/>
      <c r="E10312" s="1348"/>
      <c r="F10312" s="1348"/>
      <c r="G10312" s="1348"/>
      <c r="H10312" s="1348"/>
      <c r="I10312" s="1348"/>
      <c r="J10312" s="1348"/>
      <c r="K10312" s="1348"/>
    </row>
    <row r="10313" spans="2:11" hidden="1">
      <c r="B10313" s="1348"/>
      <c r="C10313" s="1348"/>
      <c r="D10313" s="1348"/>
      <c r="E10313" s="1348"/>
      <c r="F10313" s="1348"/>
      <c r="G10313" s="1348"/>
      <c r="H10313" s="1348"/>
      <c r="I10313" s="1348"/>
      <c r="J10313" s="1348"/>
      <c r="K10313" s="1348"/>
    </row>
    <row r="10314" spans="2:11" hidden="1">
      <c r="B10314" s="1348"/>
      <c r="C10314" s="1348"/>
      <c r="D10314" s="1348"/>
      <c r="E10314" s="1348"/>
      <c r="F10314" s="1348"/>
      <c r="G10314" s="1348"/>
      <c r="H10314" s="1348"/>
      <c r="I10314" s="1348"/>
      <c r="J10314" s="1348"/>
      <c r="K10314" s="1348"/>
    </row>
    <row r="10315" spans="2:11" hidden="1">
      <c r="B10315" s="1348"/>
      <c r="C10315" s="1348"/>
      <c r="D10315" s="1348"/>
      <c r="E10315" s="1348"/>
      <c r="F10315" s="1348"/>
      <c r="G10315" s="1348"/>
      <c r="H10315" s="1348"/>
      <c r="I10315" s="1348"/>
      <c r="J10315" s="1348"/>
      <c r="K10315" s="1348"/>
    </row>
    <row r="10316" spans="2:11" hidden="1">
      <c r="B10316" s="1348"/>
      <c r="C10316" s="1348"/>
      <c r="D10316" s="1348"/>
      <c r="E10316" s="1348"/>
      <c r="F10316" s="1348"/>
      <c r="G10316" s="1348"/>
      <c r="H10316" s="1348"/>
      <c r="I10316" s="1348"/>
      <c r="J10316" s="1348"/>
      <c r="K10316" s="1348"/>
    </row>
    <row r="10317" spans="2:11" hidden="1">
      <c r="B10317" s="1348"/>
      <c r="C10317" s="1348"/>
      <c r="D10317" s="1348"/>
      <c r="E10317" s="1348"/>
      <c r="F10317" s="1348"/>
      <c r="G10317" s="1348"/>
      <c r="H10317" s="1348"/>
      <c r="I10317" s="1348"/>
      <c r="J10317" s="1348"/>
      <c r="K10317" s="1348"/>
    </row>
    <row r="10318" spans="2:11" hidden="1">
      <c r="B10318" s="1348"/>
      <c r="C10318" s="1348"/>
      <c r="D10318" s="1348"/>
      <c r="E10318" s="1348"/>
      <c r="F10318" s="1348"/>
      <c r="G10318" s="1348"/>
      <c r="H10318" s="1348"/>
      <c r="I10318" s="1348"/>
      <c r="J10318" s="1348"/>
      <c r="K10318" s="1348"/>
    </row>
    <row r="10319" spans="2:11" hidden="1">
      <c r="B10319" s="1348"/>
      <c r="C10319" s="1348"/>
      <c r="D10319" s="1348"/>
      <c r="E10319" s="1348"/>
      <c r="F10319" s="1348"/>
      <c r="G10319" s="1348"/>
      <c r="H10319" s="1348"/>
      <c r="I10319" s="1348"/>
      <c r="J10319" s="1348"/>
      <c r="K10319" s="1348"/>
    </row>
    <row r="10320" spans="2:11" hidden="1">
      <c r="B10320" s="1348"/>
      <c r="C10320" s="1348"/>
      <c r="D10320" s="1348"/>
      <c r="E10320" s="1348"/>
      <c r="F10320" s="1348"/>
      <c r="G10320" s="1348"/>
      <c r="H10320" s="1348"/>
      <c r="I10320" s="1348"/>
      <c r="J10320" s="1348"/>
      <c r="K10320" s="1348"/>
    </row>
    <row r="10321" spans="2:11" hidden="1">
      <c r="B10321" s="1348"/>
      <c r="C10321" s="1348"/>
      <c r="D10321" s="1348"/>
      <c r="E10321" s="1348"/>
      <c r="F10321" s="1348"/>
      <c r="G10321" s="1348"/>
      <c r="H10321" s="1348"/>
      <c r="I10321" s="1348"/>
      <c r="J10321" s="1348"/>
      <c r="K10321" s="1348"/>
    </row>
    <row r="10322" spans="2:11" hidden="1">
      <c r="B10322" s="1348"/>
      <c r="C10322" s="1348"/>
      <c r="D10322" s="1348"/>
      <c r="E10322" s="1348"/>
      <c r="F10322" s="1348"/>
      <c r="G10322" s="1348"/>
      <c r="H10322" s="1348"/>
      <c r="I10322" s="1348"/>
      <c r="J10322" s="1348"/>
      <c r="K10322" s="1348"/>
    </row>
    <row r="10323" spans="2:11" hidden="1">
      <c r="B10323" s="1348"/>
      <c r="C10323" s="1348"/>
      <c r="D10323" s="1348"/>
      <c r="E10323" s="1348"/>
      <c r="F10323" s="1348"/>
      <c r="G10323" s="1348"/>
      <c r="H10323" s="1348"/>
      <c r="I10323" s="1348"/>
      <c r="J10323" s="1348"/>
      <c r="K10323" s="1348"/>
    </row>
    <row r="10324" spans="2:11" hidden="1">
      <c r="B10324" s="1348"/>
      <c r="C10324" s="1348"/>
      <c r="D10324" s="1348"/>
      <c r="E10324" s="1348"/>
      <c r="F10324" s="1348"/>
      <c r="G10324" s="1348"/>
      <c r="H10324" s="1348"/>
      <c r="I10324" s="1348"/>
      <c r="J10324" s="1348"/>
      <c r="K10324" s="1348"/>
    </row>
    <row r="10325" spans="2:11" hidden="1">
      <c r="B10325" s="1348"/>
      <c r="C10325" s="1348"/>
      <c r="D10325" s="1348"/>
      <c r="E10325" s="1348"/>
      <c r="F10325" s="1348"/>
      <c r="G10325" s="1348"/>
      <c r="H10325" s="1348"/>
      <c r="I10325" s="1348"/>
      <c r="J10325" s="1348"/>
      <c r="K10325" s="1348"/>
    </row>
    <row r="10326" spans="2:11" hidden="1">
      <c r="B10326" s="1348"/>
      <c r="C10326" s="1348"/>
      <c r="D10326" s="1348"/>
      <c r="E10326" s="1348"/>
      <c r="F10326" s="1348"/>
      <c r="G10326" s="1348"/>
      <c r="H10326" s="1348"/>
      <c r="I10326" s="1348"/>
      <c r="J10326" s="1348"/>
      <c r="K10326" s="1348"/>
    </row>
    <row r="10327" spans="2:11" hidden="1">
      <c r="B10327" s="1348"/>
      <c r="C10327" s="1348"/>
      <c r="D10327" s="1348"/>
      <c r="E10327" s="1348"/>
      <c r="F10327" s="1348"/>
      <c r="G10327" s="1348"/>
      <c r="H10327" s="1348"/>
      <c r="I10327" s="1348"/>
      <c r="J10327" s="1348"/>
      <c r="K10327" s="1348"/>
    </row>
    <row r="10328" spans="2:11" hidden="1">
      <c r="B10328" s="1348"/>
      <c r="C10328" s="1348"/>
      <c r="D10328" s="1348"/>
      <c r="E10328" s="1348"/>
      <c r="F10328" s="1348"/>
      <c r="G10328" s="1348"/>
      <c r="H10328" s="1348"/>
      <c r="I10328" s="1348"/>
      <c r="J10328" s="1348"/>
      <c r="K10328" s="1348"/>
    </row>
    <row r="10329" spans="2:11" hidden="1">
      <c r="B10329" s="1348"/>
      <c r="C10329" s="1348"/>
      <c r="D10329" s="1348"/>
      <c r="E10329" s="1348"/>
      <c r="F10329" s="1348"/>
      <c r="G10329" s="1348"/>
      <c r="H10329" s="1348"/>
      <c r="I10329" s="1348"/>
      <c r="J10329" s="1348"/>
      <c r="K10329" s="1348"/>
    </row>
    <row r="10330" spans="2:11" hidden="1">
      <c r="B10330" s="1348"/>
      <c r="C10330" s="1348"/>
      <c r="D10330" s="1348"/>
      <c r="E10330" s="1348"/>
      <c r="F10330" s="1348"/>
      <c r="G10330" s="1348"/>
      <c r="H10330" s="1348"/>
      <c r="I10330" s="1348"/>
      <c r="J10330" s="1348"/>
      <c r="K10330" s="1348"/>
    </row>
    <row r="10331" spans="2:11" hidden="1">
      <c r="B10331" s="1348"/>
      <c r="C10331" s="1348"/>
      <c r="D10331" s="1348"/>
      <c r="E10331" s="1348"/>
      <c r="F10331" s="1348"/>
      <c r="G10331" s="1348"/>
      <c r="H10331" s="1348"/>
      <c r="I10331" s="1348"/>
      <c r="J10331" s="1348"/>
      <c r="K10331" s="1348"/>
    </row>
    <row r="10332" spans="2:11" hidden="1">
      <c r="B10332" s="1348"/>
      <c r="C10332" s="1348"/>
      <c r="D10332" s="1348"/>
      <c r="E10332" s="1348"/>
      <c r="F10332" s="1348"/>
      <c r="G10332" s="1348"/>
      <c r="H10332" s="1348"/>
      <c r="I10332" s="1348"/>
      <c r="J10332" s="1348"/>
      <c r="K10332" s="1348"/>
    </row>
    <row r="10333" spans="2:11" hidden="1">
      <c r="B10333" s="1348"/>
      <c r="C10333" s="1348"/>
      <c r="D10333" s="1348"/>
      <c r="E10333" s="1348"/>
      <c r="F10333" s="1348"/>
      <c r="G10333" s="1348"/>
      <c r="H10333" s="1348"/>
      <c r="I10333" s="1348"/>
      <c r="J10333" s="1348"/>
      <c r="K10333" s="1348"/>
    </row>
    <row r="10334" spans="2:11" hidden="1">
      <c r="B10334" s="1348"/>
      <c r="C10334" s="1348"/>
      <c r="D10334" s="1348"/>
      <c r="E10334" s="1348"/>
      <c r="F10334" s="1348"/>
      <c r="G10334" s="1348"/>
      <c r="H10334" s="1348"/>
      <c r="I10334" s="1348"/>
      <c r="J10334" s="1348"/>
      <c r="K10334" s="1348"/>
    </row>
    <row r="10335" spans="2:11" hidden="1">
      <c r="B10335" s="1348"/>
      <c r="C10335" s="1348"/>
      <c r="D10335" s="1348"/>
      <c r="E10335" s="1348"/>
      <c r="F10335" s="1348"/>
      <c r="G10335" s="1348"/>
      <c r="H10335" s="1348"/>
      <c r="I10335" s="1348"/>
      <c r="J10335" s="1348"/>
      <c r="K10335" s="1348"/>
    </row>
    <row r="10336" spans="2:11" hidden="1">
      <c r="B10336" s="1348"/>
      <c r="C10336" s="1348"/>
      <c r="D10336" s="1348"/>
      <c r="E10336" s="1348"/>
      <c r="F10336" s="1348"/>
      <c r="G10336" s="1348"/>
      <c r="H10336" s="1348"/>
      <c r="I10336" s="1348"/>
      <c r="J10336" s="1348"/>
      <c r="K10336" s="1348"/>
    </row>
    <row r="10337" spans="2:11" hidden="1">
      <c r="B10337" s="1348"/>
      <c r="C10337" s="1348"/>
      <c r="D10337" s="1348"/>
      <c r="E10337" s="1348"/>
      <c r="F10337" s="1348"/>
      <c r="G10337" s="1348"/>
      <c r="H10337" s="1348"/>
      <c r="I10337" s="1348"/>
      <c r="J10337" s="1348"/>
      <c r="K10337" s="1348"/>
    </row>
    <row r="10338" spans="2:11" hidden="1">
      <c r="B10338" s="1348"/>
      <c r="C10338" s="1348"/>
      <c r="D10338" s="1348"/>
      <c r="E10338" s="1348"/>
      <c r="F10338" s="1348"/>
      <c r="G10338" s="1348"/>
      <c r="H10338" s="1348"/>
      <c r="I10338" s="1348"/>
      <c r="J10338" s="1348"/>
      <c r="K10338" s="1348"/>
    </row>
    <row r="10339" spans="2:11" hidden="1">
      <c r="B10339" s="1348"/>
      <c r="C10339" s="1348"/>
      <c r="D10339" s="1348"/>
      <c r="E10339" s="1348"/>
      <c r="F10339" s="1348"/>
      <c r="G10339" s="1348"/>
      <c r="H10339" s="1348"/>
      <c r="I10339" s="1348"/>
      <c r="J10339" s="1348"/>
      <c r="K10339" s="1348"/>
    </row>
    <row r="10340" spans="2:11" hidden="1">
      <c r="B10340" s="1348"/>
      <c r="C10340" s="1348"/>
      <c r="D10340" s="1348"/>
      <c r="E10340" s="1348"/>
      <c r="F10340" s="1348"/>
      <c r="G10340" s="1348"/>
      <c r="H10340" s="1348"/>
      <c r="I10340" s="1348"/>
      <c r="J10340" s="1348"/>
      <c r="K10340" s="1348"/>
    </row>
    <row r="10341" spans="2:11" hidden="1">
      <c r="B10341" s="1348"/>
      <c r="C10341" s="1348"/>
      <c r="D10341" s="1348"/>
      <c r="E10341" s="1348"/>
      <c r="F10341" s="1348"/>
      <c r="G10341" s="1348"/>
      <c r="H10341" s="1348"/>
      <c r="I10341" s="1348"/>
      <c r="J10341" s="1348"/>
      <c r="K10341" s="1348"/>
    </row>
    <row r="10342" spans="2:11" hidden="1">
      <c r="B10342" s="1348"/>
      <c r="C10342" s="1348"/>
      <c r="D10342" s="1348"/>
      <c r="E10342" s="1348"/>
      <c r="F10342" s="1348"/>
      <c r="G10342" s="1348"/>
      <c r="H10342" s="1348"/>
      <c r="I10342" s="1348"/>
      <c r="J10342" s="1348"/>
      <c r="K10342" s="1348"/>
    </row>
    <row r="10343" spans="2:11" hidden="1">
      <c r="B10343" s="1348"/>
      <c r="C10343" s="1348"/>
      <c r="D10343" s="1348"/>
      <c r="E10343" s="1348"/>
      <c r="F10343" s="1348"/>
      <c r="G10343" s="1348"/>
      <c r="H10343" s="1348"/>
      <c r="I10343" s="1348"/>
      <c r="J10343" s="1348"/>
      <c r="K10343" s="1348"/>
    </row>
    <row r="10344" spans="2:11" hidden="1">
      <c r="B10344" s="1348"/>
      <c r="C10344" s="1348"/>
      <c r="D10344" s="1348"/>
      <c r="E10344" s="1348"/>
      <c r="F10344" s="1348"/>
      <c r="G10344" s="1348"/>
      <c r="H10344" s="1348"/>
      <c r="I10344" s="1348"/>
      <c r="J10344" s="1348"/>
      <c r="K10344" s="1348"/>
    </row>
    <row r="10345" spans="2:11" hidden="1">
      <c r="B10345" s="1348"/>
      <c r="C10345" s="1348"/>
      <c r="D10345" s="1348"/>
      <c r="E10345" s="1348"/>
      <c r="F10345" s="1348"/>
      <c r="G10345" s="1348"/>
      <c r="H10345" s="1348"/>
      <c r="I10345" s="1348"/>
      <c r="J10345" s="1348"/>
      <c r="K10345" s="1348"/>
    </row>
    <row r="10346" spans="2:11" hidden="1">
      <c r="B10346" s="1348"/>
      <c r="C10346" s="1348"/>
      <c r="D10346" s="1348"/>
      <c r="E10346" s="1348"/>
      <c r="F10346" s="1348"/>
      <c r="G10346" s="1348"/>
      <c r="H10346" s="1348"/>
      <c r="I10346" s="1348"/>
      <c r="J10346" s="1348"/>
      <c r="K10346" s="1348"/>
    </row>
    <row r="10347" spans="2:11" hidden="1">
      <c r="B10347" s="1348"/>
      <c r="C10347" s="1348"/>
      <c r="D10347" s="1348"/>
      <c r="E10347" s="1348"/>
      <c r="F10347" s="1348"/>
      <c r="G10347" s="1348"/>
      <c r="H10347" s="1348"/>
      <c r="I10347" s="1348"/>
      <c r="J10347" s="1348"/>
      <c r="K10347" s="1348"/>
    </row>
    <row r="10348" spans="2:11" hidden="1">
      <c r="B10348" s="1348"/>
      <c r="C10348" s="1348"/>
      <c r="D10348" s="1348"/>
      <c r="E10348" s="1348"/>
      <c r="F10348" s="1348"/>
      <c r="G10348" s="1348"/>
      <c r="H10348" s="1348"/>
      <c r="I10348" s="1348"/>
      <c r="J10348" s="1348"/>
      <c r="K10348" s="1348"/>
    </row>
    <row r="10349" spans="2:11" hidden="1">
      <c r="B10349" s="1348"/>
      <c r="C10349" s="1348"/>
      <c r="D10349" s="1348"/>
      <c r="E10349" s="1348"/>
      <c r="F10349" s="1348"/>
      <c r="G10349" s="1348"/>
      <c r="H10349" s="1348"/>
      <c r="I10349" s="1348"/>
      <c r="J10349" s="1348"/>
      <c r="K10349" s="1348"/>
    </row>
    <row r="10350" spans="2:11" hidden="1">
      <c r="B10350" s="1348"/>
      <c r="C10350" s="1348"/>
      <c r="D10350" s="1348"/>
      <c r="E10350" s="1348"/>
      <c r="F10350" s="1348"/>
      <c r="G10350" s="1348"/>
      <c r="H10350" s="1348"/>
      <c r="I10350" s="1348"/>
      <c r="J10350" s="1348"/>
      <c r="K10350" s="1348"/>
    </row>
    <row r="10351" spans="2:11" hidden="1">
      <c r="B10351" s="1348"/>
      <c r="C10351" s="1348"/>
      <c r="D10351" s="1348"/>
      <c r="E10351" s="1348"/>
      <c r="F10351" s="1348"/>
      <c r="G10351" s="1348"/>
      <c r="H10351" s="1348"/>
      <c r="I10351" s="1348"/>
      <c r="J10351" s="1348"/>
      <c r="K10351" s="1348"/>
    </row>
    <row r="10352" spans="2:11" hidden="1">
      <c r="B10352" s="1348"/>
      <c r="C10352" s="1348"/>
      <c r="D10352" s="1348"/>
      <c r="E10352" s="1348"/>
      <c r="F10352" s="1348"/>
      <c r="G10352" s="1348"/>
      <c r="H10352" s="1348"/>
      <c r="I10352" s="1348"/>
      <c r="J10352" s="1348"/>
      <c r="K10352" s="1348"/>
    </row>
    <row r="10353" spans="2:11" hidden="1">
      <c r="B10353" s="1348"/>
      <c r="C10353" s="1348"/>
      <c r="D10353" s="1348"/>
      <c r="E10353" s="1348"/>
      <c r="F10353" s="1348"/>
      <c r="G10353" s="1348"/>
      <c r="H10353" s="1348"/>
      <c r="I10353" s="1348"/>
      <c r="J10353" s="1348"/>
      <c r="K10353" s="1348"/>
    </row>
    <row r="10354" spans="2:11" hidden="1">
      <c r="B10354" s="1348"/>
      <c r="C10354" s="1348"/>
      <c r="D10354" s="1348"/>
      <c r="E10354" s="1348"/>
      <c r="F10354" s="1348"/>
      <c r="G10354" s="1348"/>
      <c r="H10354" s="1348"/>
      <c r="I10354" s="1348"/>
      <c r="J10354" s="1348"/>
      <c r="K10354" s="1348"/>
    </row>
    <row r="10355" spans="2:11" hidden="1">
      <c r="B10355" s="1348"/>
      <c r="C10355" s="1348"/>
      <c r="D10355" s="1348"/>
      <c r="E10355" s="1348"/>
      <c r="F10355" s="1348"/>
      <c r="G10355" s="1348"/>
      <c r="H10355" s="1348"/>
      <c r="I10355" s="1348"/>
      <c r="J10355" s="1348"/>
      <c r="K10355" s="1348"/>
    </row>
    <row r="10356" spans="2:11" hidden="1">
      <c r="B10356" s="1348"/>
      <c r="C10356" s="1348"/>
      <c r="D10356" s="1348"/>
      <c r="E10356" s="1348"/>
      <c r="F10356" s="1348"/>
      <c r="G10356" s="1348"/>
      <c r="H10356" s="1348"/>
      <c r="I10356" s="1348"/>
      <c r="J10356" s="1348"/>
      <c r="K10356" s="1348"/>
    </row>
    <row r="10357" spans="2:11" hidden="1">
      <c r="B10357" s="1348"/>
      <c r="C10357" s="1348"/>
      <c r="D10357" s="1348"/>
      <c r="E10357" s="1348"/>
      <c r="F10357" s="1348"/>
      <c r="G10357" s="1348"/>
      <c r="H10357" s="1348"/>
      <c r="I10357" s="1348"/>
      <c r="J10357" s="1348"/>
      <c r="K10357" s="1348"/>
    </row>
    <row r="10358" spans="2:11" hidden="1">
      <c r="B10358" s="1348"/>
      <c r="C10358" s="1348"/>
      <c r="D10358" s="1348"/>
      <c r="E10358" s="1348"/>
      <c r="F10358" s="1348"/>
      <c r="G10358" s="1348"/>
      <c r="H10358" s="1348"/>
      <c r="I10358" s="1348"/>
      <c r="J10358" s="1348"/>
      <c r="K10358" s="1348"/>
    </row>
    <row r="10359" spans="2:11" hidden="1">
      <c r="B10359" s="1348"/>
      <c r="C10359" s="1348"/>
      <c r="D10359" s="1348"/>
      <c r="E10359" s="1348"/>
      <c r="F10359" s="1348"/>
      <c r="G10359" s="1348"/>
      <c r="H10359" s="1348"/>
      <c r="I10359" s="1348"/>
      <c r="J10359" s="1348"/>
      <c r="K10359" s="1348"/>
    </row>
    <row r="10360" spans="2:11" hidden="1">
      <c r="B10360" s="1348"/>
      <c r="C10360" s="1348"/>
      <c r="D10360" s="1348"/>
      <c r="E10360" s="1348"/>
      <c r="F10360" s="1348"/>
      <c r="G10360" s="1348"/>
      <c r="H10360" s="1348"/>
      <c r="I10360" s="1348"/>
      <c r="J10360" s="1348"/>
      <c r="K10360" s="1348"/>
    </row>
    <row r="10361" spans="2:11" hidden="1">
      <c r="B10361" s="1348"/>
      <c r="C10361" s="1348"/>
      <c r="D10361" s="1348"/>
      <c r="E10361" s="1348"/>
      <c r="F10361" s="1348"/>
      <c r="G10361" s="1348"/>
      <c r="H10361" s="1348"/>
      <c r="I10361" s="1348"/>
      <c r="J10361" s="1348"/>
      <c r="K10361" s="1348"/>
    </row>
    <row r="10362" spans="2:11" hidden="1">
      <c r="B10362" s="1348"/>
      <c r="C10362" s="1348"/>
      <c r="D10362" s="1348"/>
      <c r="E10362" s="1348"/>
      <c r="F10362" s="1348"/>
      <c r="G10362" s="1348"/>
      <c r="H10362" s="1348"/>
      <c r="I10362" s="1348"/>
      <c r="J10362" s="1348"/>
      <c r="K10362" s="1348"/>
    </row>
    <row r="10363" spans="2:11" hidden="1">
      <c r="B10363" s="1348"/>
      <c r="C10363" s="1348"/>
      <c r="D10363" s="1348"/>
      <c r="E10363" s="1348"/>
      <c r="F10363" s="1348"/>
      <c r="G10363" s="1348"/>
      <c r="H10363" s="1348"/>
      <c r="I10363" s="1348"/>
      <c r="J10363" s="1348"/>
      <c r="K10363" s="1348"/>
    </row>
    <row r="10364" spans="2:11" hidden="1">
      <c r="B10364" s="1348"/>
      <c r="C10364" s="1348"/>
      <c r="D10364" s="1348"/>
      <c r="E10364" s="1348"/>
      <c r="F10364" s="1348"/>
      <c r="G10364" s="1348"/>
      <c r="H10364" s="1348"/>
      <c r="I10364" s="1348"/>
      <c r="J10364" s="1348"/>
      <c r="K10364" s="1348"/>
    </row>
    <row r="10365" spans="2:11" hidden="1">
      <c r="B10365" s="1348"/>
      <c r="C10365" s="1348"/>
      <c r="D10365" s="1348"/>
      <c r="E10365" s="1348"/>
      <c r="F10365" s="1348"/>
      <c r="G10365" s="1348"/>
      <c r="H10365" s="1348"/>
      <c r="I10365" s="1348"/>
      <c r="J10365" s="1348"/>
      <c r="K10365" s="1348"/>
    </row>
    <row r="10366" spans="2:11" hidden="1">
      <c r="B10366" s="1348"/>
      <c r="C10366" s="1348"/>
      <c r="D10366" s="1348"/>
      <c r="E10366" s="1348"/>
      <c r="F10366" s="1348"/>
      <c r="G10366" s="1348"/>
      <c r="H10366" s="1348"/>
      <c r="I10366" s="1348"/>
      <c r="J10366" s="1348"/>
      <c r="K10366" s="1348"/>
    </row>
    <row r="10367" spans="2:11" hidden="1">
      <c r="B10367" s="1348"/>
      <c r="C10367" s="1348"/>
      <c r="D10367" s="1348"/>
      <c r="E10367" s="1348"/>
      <c r="F10367" s="1348"/>
      <c r="G10367" s="1348"/>
      <c r="H10367" s="1348"/>
      <c r="I10367" s="1348"/>
      <c r="J10367" s="1348"/>
      <c r="K10367" s="1348"/>
    </row>
    <row r="10368" spans="2:11" hidden="1">
      <c r="B10368" s="1348"/>
      <c r="C10368" s="1348"/>
      <c r="D10368" s="1348"/>
      <c r="E10368" s="1348"/>
      <c r="F10368" s="1348"/>
      <c r="G10368" s="1348"/>
      <c r="H10368" s="1348"/>
      <c r="I10368" s="1348"/>
      <c r="J10368" s="1348"/>
      <c r="K10368" s="1348"/>
    </row>
    <row r="10369" spans="2:11" hidden="1">
      <c r="B10369" s="1348"/>
      <c r="C10369" s="1348"/>
      <c r="D10369" s="1348"/>
      <c r="E10369" s="1348"/>
      <c r="F10369" s="1348"/>
      <c r="G10369" s="1348"/>
      <c r="H10369" s="1348"/>
      <c r="I10369" s="1348"/>
      <c r="J10369" s="1348"/>
      <c r="K10369" s="1348"/>
    </row>
    <row r="10370" spans="2:11" hidden="1">
      <c r="B10370" s="1348"/>
      <c r="C10370" s="1348"/>
      <c r="D10370" s="1348"/>
      <c r="E10370" s="1348"/>
      <c r="F10370" s="1348"/>
      <c r="G10370" s="1348"/>
      <c r="H10370" s="1348"/>
      <c r="I10370" s="1348"/>
      <c r="J10370" s="1348"/>
      <c r="K10370" s="1348"/>
    </row>
    <row r="10371" spans="2:11" hidden="1">
      <c r="B10371" s="1348"/>
      <c r="C10371" s="1348"/>
      <c r="D10371" s="1348"/>
      <c r="E10371" s="1348"/>
      <c r="F10371" s="1348"/>
      <c r="G10371" s="1348"/>
      <c r="H10371" s="1348"/>
      <c r="I10371" s="1348"/>
      <c r="J10371" s="1348"/>
      <c r="K10371" s="1348"/>
    </row>
    <row r="10372" spans="2:11" hidden="1">
      <c r="B10372" s="1348"/>
      <c r="C10372" s="1348"/>
      <c r="D10372" s="1348"/>
      <c r="E10372" s="1348"/>
      <c r="F10372" s="1348"/>
      <c r="G10372" s="1348"/>
      <c r="H10372" s="1348"/>
      <c r="I10372" s="1348"/>
      <c r="J10372" s="1348"/>
      <c r="K10372" s="1348"/>
    </row>
    <row r="10373" spans="2:11" hidden="1">
      <c r="B10373" s="1348"/>
      <c r="C10373" s="1348"/>
      <c r="D10373" s="1348"/>
      <c r="E10373" s="1348"/>
      <c r="F10373" s="1348"/>
      <c r="G10373" s="1348"/>
      <c r="H10373" s="1348"/>
      <c r="I10373" s="1348"/>
      <c r="J10373" s="1348"/>
      <c r="K10373" s="1348"/>
    </row>
    <row r="10374" spans="2:11" hidden="1">
      <c r="B10374" s="1348"/>
      <c r="C10374" s="1348"/>
      <c r="D10374" s="1348"/>
      <c r="E10374" s="1348"/>
      <c r="F10374" s="1348"/>
      <c r="G10374" s="1348"/>
      <c r="H10374" s="1348"/>
      <c r="I10374" s="1348"/>
      <c r="J10374" s="1348"/>
      <c r="K10374" s="1348"/>
    </row>
    <row r="10375" spans="2:11" hidden="1">
      <c r="B10375" s="1348"/>
      <c r="C10375" s="1348"/>
      <c r="D10375" s="1348"/>
      <c r="E10375" s="1348"/>
      <c r="F10375" s="1348"/>
      <c r="G10375" s="1348"/>
      <c r="H10375" s="1348"/>
      <c r="I10375" s="1348"/>
      <c r="J10375" s="1348"/>
      <c r="K10375" s="1348"/>
    </row>
    <row r="10376" spans="2:11" hidden="1">
      <c r="B10376" s="1348"/>
      <c r="C10376" s="1348"/>
      <c r="D10376" s="1348"/>
      <c r="E10376" s="1348"/>
      <c r="F10376" s="1348"/>
      <c r="G10376" s="1348"/>
      <c r="H10376" s="1348"/>
      <c r="I10376" s="1348"/>
      <c r="J10376" s="1348"/>
      <c r="K10376" s="1348"/>
    </row>
    <row r="10377" spans="2:11" hidden="1">
      <c r="B10377" s="1348"/>
      <c r="C10377" s="1348"/>
      <c r="D10377" s="1348"/>
      <c r="E10377" s="1348"/>
      <c r="F10377" s="1348"/>
      <c r="G10377" s="1348"/>
      <c r="H10377" s="1348"/>
      <c r="I10377" s="1348"/>
      <c r="J10377" s="1348"/>
      <c r="K10377" s="1348"/>
    </row>
    <row r="10378" spans="2:11" hidden="1">
      <c r="B10378" s="1348"/>
      <c r="C10378" s="1348"/>
      <c r="D10378" s="1348"/>
      <c r="E10378" s="1348"/>
      <c r="F10378" s="1348"/>
      <c r="G10378" s="1348"/>
      <c r="H10378" s="1348"/>
      <c r="I10378" s="1348"/>
      <c r="J10378" s="1348"/>
      <c r="K10378" s="1348"/>
    </row>
    <row r="10379" spans="2:11" hidden="1">
      <c r="B10379" s="1348"/>
      <c r="C10379" s="1348"/>
      <c r="D10379" s="1348"/>
      <c r="E10379" s="1348"/>
      <c r="F10379" s="1348"/>
      <c r="G10379" s="1348"/>
      <c r="H10379" s="1348"/>
      <c r="I10379" s="1348"/>
      <c r="J10379" s="1348"/>
      <c r="K10379" s="1348"/>
    </row>
    <row r="10380" spans="2:11" hidden="1">
      <c r="B10380" s="1348"/>
      <c r="C10380" s="1348"/>
      <c r="D10380" s="1348"/>
      <c r="E10380" s="1348"/>
      <c r="F10380" s="1348"/>
      <c r="G10380" s="1348"/>
      <c r="H10380" s="1348"/>
      <c r="I10380" s="1348"/>
      <c r="J10380" s="1348"/>
      <c r="K10380" s="1348"/>
    </row>
    <row r="10381" spans="2:11" hidden="1">
      <c r="B10381" s="1348"/>
      <c r="C10381" s="1348"/>
      <c r="D10381" s="1348"/>
      <c r="E10381" s="1348"/>
      <c r="F10381" s="1348"/>
      <c r="G10381" s="1348"/>
      <c r="H10381" s="1348"/>
      <c r="I10381" s="1348"/>
      <c r="J10381" s="1348"/>
      <c r="K10381" s="1348"/>
    </row>
    <row r="10382" spans="2:11" hidden="1">
      <c r="B10382" s="1348"/>
      <c r="C10382" s="1348"/>
      <c r="D10382" s="1348"/>
      <c r="E10382" s="1348"/>
      <c r="F10382" s="1348"/>
      <c r="G10382" s="1348"/>
      <c r="H10382" s="1348"/>
      <c r="I10382" s="1348"/>
      <c r="J10382" s="1348"/>
      <c r="K10382" s="1348"/>
    </row>
    <row r="10383" spans="2:11" hidden="1">
      <c r="B10383" s="1348"/>
      <c r="C10383" s="1348"/>
      <c r="D10383" s="1348"/>
      <c r="E10383" s="1348"/>
      <c r="F10383" s="1348"/>
      <c r="G10383" s="1348"/>
      <c r="H10383" s="1348"/>
      <c r="I10383" s="1348"/>
      <c r="J10383" s="1348"/>
      <c r="K10383" s="1348"/>
    </row>
    <row r="10384" spans="2:11" hidden="1">
      <c r="B10384" s="1348"/>
      <c r="C10384" s="1348"/>
      <c r="D10384" s="1348"/>
      <c r="E10384" s="1348"/>
      <c r="F10384" s="1348"/>
      <c r="G10384" s="1348"/>
      <c r="H10384" s="1348"/>
      <c r="I10384" s="1348"/>
      <c r="J10384" s="1348"/>
      <c r="K10384" s="1348"/>
    </row>
    <row r="10385" spans="2:11" hidden="1">
      <c r="B10385" s="1348"/>
      <c r="C10385" s="1348"/>
      <c r="D10385" s="1348"/>
      <c r="E10385" s="1348"/>
      <c r="F10385" s="1348"/>
      <c r="G10385" s="1348"/>
      <c r="H10385" s="1348"/>
      <c r="I10385" s="1348"/>
      <c r="J10385" s="1348"/>
      <c r="K10385" s="1348"/>
    </row>
    <row r="10386" spans="2:11" hidden="1">
      <c r="B10386" s="1348"/>
      <c r="C10386" s="1348"/>
      <c r="D10386" s="1348"/>
      <c r="E10386" s="1348"/>
      <c r="F10386" s="1348"/>
      <c r="G10386" s="1348"/>
      <c r="H10386" s="1348"/>
      <c r="I10386" s="1348"/>
      <c r="J10386" s="1348"/>
      <c r="K10386" s="1348"/>
    </row>
    <row r="10387" spans="2:11" hidden="1">
      <c r="B10387" s="1348"/>
      <c r="C10387" s="1348"/>
      <c r="D10387" s="1348"/>
      <c r="E10387" s="1348"/>
      <c r="F10387" s="1348"/>
      <c r="G10387" s="1348"/>
      <c r="H10387" s="1348"/>
      <c r="I10387" s="1348"/>
      <c r="J10387" s="1348"/>
      <c r="K10387" s="1348"/>
    </row>
    <row r="10388" spans="2:11" hidden="1">
      <c r="B10388" s="1348"/>
      <c r="C10388" s="1348"/>
      <c r="D10388" s="1348"/>
      <c r="E10388" s="1348"/>
      <c r="F10388" s="1348"/>
      <c r="G10388" s="1348"/>
      <c r="H10388" s="1348"/>
      <c r="I10388" s="1348"/>
      <c r="J10388" s="1348"/>
      <c r="K10388" s="1348"/>
    </row>
    <row r="10389" spans="2:11" hidden="1">
      <c r="B10389" s="1348"/>
      <c r="C10389" s="1348"/>
      <c r="D10389" s="1348"/>
      <c r="E10389" s="1348"/>
      <c r="F10389" s="1348"/>
      <c r="G10389" s="1348"/>
      <c r="H10389" s="1348"/>
      <c r="I10389" s="1348"/>
      <c r="J10389" s="1348"/>
      <c r="K10389" s="1348"/>
    </row>
    <row r="10390" spans="2:11" hidden="1">
      <c r="B10390" s="1348"/>
      <c r="C10390" s="1348"/>
      <c r="D10390" s="1348"/>
      <c r="E10390" s="1348"/>
      <c r="F10390" s="1348"/>
      <c r="G10390" s="1348"/>
      <c r="H10390" s="1348"/>
      <c r="I10390" s="1348"/>
      <c r="J10390" s="1348"/>
      <c r="K10390" s="1348"/>
    </row>
    <row r="10391" spans="2:11" hidden="1">
      <c r="B10391" s="1348"/>
      <c r="C10391" s="1348"/>
      <c r="D10391" s="1348"/>
      <c r="E10391" s="1348"/>
      <c r="F10391" s="1348"/>
      <c r="G10391" s="1348"/>
      <c r="H10391" s="1348"/>
      <c r="I10391" s="1348"/>
      <c r="J10391" s="1348"/>
      <c r="K10391" s="1348"/>
    </row>
    <row r="10392" spans="2:11" hidden="1">
      <c r="B10392" s="1348"/>
      <c r="C10392" s="1348"/>
      <c r="D10392" s="1348"/>
      <c r="E10392" s="1348"/>
      <c r="F10392" s="1348"/>
      <c r="G10392" s="1348"/>
      <c r="H10392" s="1348"/>
      <c r="I10392" s="1348"/>
      <c r="J10392" s="1348"/>
      <c r="K10392" s="1348"/>
    </row>
    <row r="10393" spans="2:11" hidden="1">
      <c r="B10393" s="1348"/>
      <c r="C10393" s="1348"/>
      <c r="D10393" s="1348"/>
      <c r="E10393" s="1348"/>
      <c r="F10393" s="1348"/>
      <c r="G10393" s="1348"/>
      <c r="H10393" s="1348"/>
      <c r="I10393" s="1348"/>
      <c r="J10393" s="1348"/>
      <c r="K10393" s="1348"/>
    </row>
    <row r="10394" spans="2:11" hidden="1">
      <c r="B10394" s="1348"/>
      <c r="C10394" s="1348"/>
      <c r="D10394" s="1348"/>
      <c r="E10394" s="1348"/>
      <c r="F10394" s="1348"/>
      <c r="G10394" s="1348"/>
      <c r="H10394" s="1348"/>
      <c r="I10394" s="1348"/>
      <c r="J10394" s="1348"/>
      <c r="K10394" s="1348"/>
    </row>
    <row r="10395" spans="2:11" hidden="1">
      <c r="B10395" s="1348"/>
      <c r="C10395" s="1348"/>
      <c r="D10395" s="1348"/>
      <c r="E10395" s="1348"/>
      <c r="F10395" s="1348"/>
      <c r="G10395" s="1348"/>
      <c r="H10395" s="1348"/>
      <c r="I10395" s="1348"/>
      <c r="J10395" s="1348"/>
      <c r="K10395" s="1348"/>
    </row>
    <row r="10396" spans="2:11" hidden="1">
      <c r="B10396" s="1348"/>
      <c r="C10396" s="1348"/>
      <c r="D10396" s="1348"/>
      <c r="E10396" s="1348"/>
      <c r="F10396" s="1348"/>
      <c r="G10396" s="1348"/>
      <c r="H10396" s="1348"/>
      <c r="I10396" s="1348"/>
      <c r="J10396" s="1348"/>
      <c r="K10396" s="1348"/>
    </row>
    <row r="10397" spans="2:11" hidden="1">
      <c r="B10397" s="1348"/>
      <c r="C10397" s="1348"/>
      <c r="D10397" s="1348"/>
      <c r="E10397" s="1348"/>
      <c r="F10397" s="1348"/>
      <c r="G10397" s="1348"/>
      <c r="H10397" s="1348"/>
      <c r="I10397" s="1348"/>
      <c r="J10397" s="1348"/>
      <c r="K10397" s="1348"/>
    </row>
    <row r="10398" spans="2:11" hidden="1">
      <c r="B10398" s="1348"/>
      <c r="C10398" s="1348"/>
      <c r="D10398" s="1348"/>
      <c r="E10398" s="1348"/>
      <c r="F10398" s="1348"/>
      <c r="G10398" s="1348"/>
      <c r="H10398" s="1348"/>
      <c r="I10398" s="1348"/>
      <c r="J10398" s="1348"/>
      <c r="K10398" s="1348"/>
    </row>
    <row r="10399" spans="2:11" hidden="1">
      <c r="B10399" s="1348"/>
      <c r="C10399" s="1348"/>
      <c r="D10399" s="1348"/>
      <c r="E10399" s="1348"/>
      <c r="F10399" s="1348"/>
      <c r="G10399" s="1348"/>
      <c r="H10399" s="1348"/>
      <c r="I10399" s="1348"/>
      <c r="J10399" s="1348"/>
      <c r="K10399" s="1348"/>
    </row>
    <row r="10400" spans="2:11" hidden="1">
      <c r="B10400" s="1348"/>
      <c r="C10400" s="1348"/>
      <c r="D10400" s="1348"/>
      <c r="E10400" s="1348"/>
      <c r="F10400" s="1348"/>
      <c r="G10400" s="1348"/>
      <c r="H10400" s="1348"/>
      <c r="I10400" s="1348"/>
      <c r="J10400" s="1348"/>
      <c r="K10400" s="1348"/>
    </row>
    <row r="10401" spans="2:11" hidden="1">
      <c r="B10401" s="1348"/>
      <c r="C10401" s="1348"/>
      <c r="D10401" s="1348"/>
      <c r="E10401" s="1348"/>
      <c r="F10401" s="1348"/>
      <c r="G10401" s="1348"/>
      <c r="H10401" s="1348"/>
      <c r="I10401" s="1348"/>
      <c r="J10401" s="1348"/>
      <c r="K10401" s="1348"/>
    </row>
    <row r="10402" spans="2:11" hidden="1">
      <c r="B10402" s="1348"/>
      <c r="C10402" s="1348"/>
      <c r="D10402" s="1348"/>
      <c r="E10402" s="1348"/>
      <c r="F10402" s="1348"/>
      <c r="G10402" s="1348"/>
      <c r="H10402" s="1348"/>
      <c r="I10402" s="1348"/>
      <c r="J10402" s="1348"/>
      <c r="K10402" s="1348"/>
    </row>
    <row r="10403" spans="2:11" hidden="1">
      <c r="B10403" s="1348"/>
      <c r="C10403" s="1348"/>
      <c r="D10403" s="1348"/>
      <c r="E10403" s="1348"/>
      <c r="F10403" s="1348"/>
      <c r="G10403" s="1348"/>
      <c r="H10403" s="1348"/>
      <c r="I10403" s="1348"/>
      <c r="J10403" s="1348"/>
      <c r="K10403" s="1348"/>
    </row>
    <row r="10404" spans="2:11" hidden="1">
      <c r="B10404" s="1348"/>
      <c r="C10404" s="1348"/>
      <c r="D10404" s="1348"/>
      <c r="E10404" s="1348"/>
      <c r="F10404" s="1348"/>
      <c r="G10404" s="1348"/>
      <c r="H10404" s="1348"/>
      <c r="I10404" s="1348"/>
      <c r="J10404" s="1348"/>
      <c r="K10404" s="1348"/>
    </row>
    <row r="10405" spans="2:11" hidden="1">
      <c r="B10405" s="1348"/>
      <c r="C10405" s="1348"/>
      <c r="D10405" s="1348"/>
      <c r="E10405" s="1348"/>
      <c r="F10405" s="1348"/>
      <c r="G10405" s="1348"/>
      <c r="H10405" s="1348"/>
      <c r="I10405" s="1348"/>
      <c r="J10405" s="1348"/>
      <c r="K10405" s="1348"/>
    </row>
    <row r="10406" spans="2:11" hidden="1">
      <c r="B10406" s="1348"/>
      <c r="C10406" s="1348"/>
      <c r="D10406" s="1348"/>
      <c r="E10406" s="1348"/>
      <c r="F10406" s="1348"/>
      <c r="G10406" s="1348"/>
      <c r="H10406" s="1348"/>
      <c r="I10406" s="1348"/>
      <c r="J10406" s="1348"/>
      <c r="K10406" s="1348"/>
    </row>
    <row r="10407" spans="2:11" hidden="1">
      <c r="B10407" s="1348"/>
      <c r="C10407" s="1348"/>
      <c r="D10407" s="1348"/>
      <c r="E10407" s="1348"/>
      <c r="F10407" s="1348"/>
      <c r="G10407" s="1348"/>
      <c r="H10407" s="1348"/>
      <c r="I10407" s="1348"/>
      <c r="J10407" s="1348"/>
      <c r="K10407" s="1348"/>
    </row>
    <row r="10408" spans="2:11" hidden="1">
      <c r="B10408" s="1348"/>
      <c r="C10408" s="1348"/>
      <c r="D10408" s="1348"/>
      <c r="E10408" s="1348"/>
      <c r="F10408" s="1348"/>
      <c r="G10408" s="1348"/>
      <c r="H10408" s="1348"/>
      <c r="I10408" s="1348"/>
      <c r="J10408" s="1348"/>
      <c r="K10408" s="1348"/>
    </row>
    <row r="10409" spans="2:11" hidden="1">
      <c r="B10409" s="1348"/>
      <c r="C10409" s="1348"/>
      <c r="D10409" s="1348"/>
      <c r="E10409" s="1348"/>
      <c r="F10409" s="1348"/>
      <c r="G10409" s="1348"/>
      <c r="H10409" s="1348"/>
      <c r="I10409" s="1348"/>
      <c r="J10409" s="1348"/>
      <c r="K10409" s="1348"/>
    </row>
    <row r="10410" spans="2:11" hidden="1">
      <c r="B10410" s="1348"/>
      <c r="C10410" s="1348"/>
      <c r="D10410" s="1348"/>
      <c r="E10410" s="1348"/>
      <c r="F10410" s="1348"/>
      <c r="G10410" s="1348"/>
      <c r="H10410" s="1348"/>
      <c r="I10410" s="1348"/>
      <c r="J10410" s="1348"/>
      <c r="K10410" s="1348"/>
    </row>
    <row r="10411" spans="2:11" hidden="1">
      <c r="B10411" s="1348"/>
      <c r="C10411" s="1348"/>
      <c r="D10411" s="1348"/>
      <c r="E10411" s="1348"/>
      <c r="F10411" s="1348"/>
      <c r="G10411" s="1348"/>
      <c r="H10411" s="1348"/>
      <c r="I10411" s="1348"/>
      <c r="J10411" s="1348"/>
      <c r="K10411" s="1348"/>
    </row>
    <row r="10412" spans="2:11" hidden="1">
      <c r="B10412" s="1348"/>
      <c r="C10412" s="1348"/>
      <c r="D10412" s="1348"/>
      <c r="E10412" s="1348"/>
      <c r="F10412" s="1348"/>
      <c r="G10412" s="1348"/>
      <c r="H10412" s="1348"/>
      <c r="I10412" s="1348"/>
      <c r="J10412" s="1348"/>
      <c r="K10412" s="1348"/>
    </row>
    <row r="10413" spans="2:11" hidden="1">
      <c r="B10413" s="1348"/>
      <c r="C10413" s="1348"/>
      <c r="D10413" s="1348"/>
      <c r="E10413" s="1348"/>
      <c r="F10413" s="1348"/>
      <c r="G10413" s="1348"/>
      <c r="H10413" s="1348"/>
      <c r="I10413" s="1348"/>
      <c r="J10413" s="1348"/>
      <c r="K10413" s="1348"/>
    </row>
    <row r="10414" spans="2:11" hidden="1">
      <c r="B10414" s="1348"/>
      <c r="C10414" s="1348"/>
      <c r="D10414" s="1348"/>
      <c r="E10414" s="1348"/>
      <c r="F10414" s="1348"/>
      <c r="G10414" s="1348"/>
      <c r="H10414" s="1348"/>
      <c r="I10414" s="1348"/>
      <c r="J10414" s="1348"/>
      <c r="K10414" s="1348"/>
    </row>
    <row r="10415" spans="2:11" hidden="1">
      <c r="B10415" s="1348"/>
      <c r="C10415" s="1348"/>
      <c r="D10415" s="1348"/>
      <c r="E10415" s="1348"/>
      <c r="F10415" s="1348"/>
      <c r="G10415" s="1348"/>
      <c r="H10415" s="1348"/>
      <c r="I10415" s="1348"/>
      <c r="J10415" s="1348"/>
      <c r="K10415" s="1348"/>
    </row>
    <row r="10416" spans="2:11" hidden="1">
      <c r="B10416" s="1348"/>
      <c r="C10416" s="1348"/>
      <c r="D10416" s="1348"/>
      <c r="E10416" s="1348"/>
      <c r="F10416" s="1348"/>
      <c r="G10416" s="1348"/>
      <c r="H10416" s="1348"/>
      <c r="I10416" s="1348"/>
      <c r="J10416" s="1348"/>
      <c r="K10416" s="1348"/>
    </row>
    <row r="10417" spans="2:11" hidden="1">
      <c r="B10417" s="1348"/>
      <c r="C10417" s="1348"/>
      <c r="D10417" s="1348"/>
      <c r="E10417" s="1348"/>
      <c r="F10417" s="1348"/>
      <c r="G10417" s="1348"/>
      <c r="H10417" s="1348"/>
      <c r="I10417" s="1348"/>
      <c r="J10417" s="1348"/>
      <c r="K10417" s="1348"/>
    </row>
    <row r="10418" spans="2:11" hidden="1">
      <c r="B10418" s="1348"/>
      <c r="C10418" s="1348"/>
      <c r="D10418" s="1348"/>
      <c r="E10418" s="1348"/>
      <c r="F10418" s="1348"/>
      <c r="G10418" s="1348"/>
      <c r="H10418" s="1348"/>
      <c r="I10418" s="1348"/>
      <c r="J10418" s="1348"/>
      <c r="K10418" s="1348"/>
    </row>
    <row r="10419" spans="2:11" hidden="1">
      <c r="B10419" s="1348"/>
      <c r="C10419" s="1348"/>
      <c r="D10419" s="1348"/>
      <c r="E10419" s="1348"/>
      <c r="F10419" s="1348"/>
      <c r="G10419" s="1348"/>
      <c r="H10419" s="1348"/>
      <c r="I10419" s="1348"/>
      <c r="J10419" s="1348"/>
      <c r="K10419" s="1348"/>
    </row>
    <row r="10420" spans="2:11" hidden="1">
      <c r="B10420" s="1348"/>
      <c r="C10420" s="1348"/>
      <c r="D10420" s="1348"/>
      <c r="E10420" s="1348"/>
      <c r="F10420" s="1348"/>
      <c r="G10420" s="1348"/>
      <c r="H10420" s="1348"/>
      <c r="I10420" s="1348"/>
      <c r="J10420" s="1348"/>
      <c r="K10420" s="1348"/>
    </row>
    <row r="10421" spans="2:11" hidden="1">
      <c r="B10421" s="1348"/>
      <c r="C10421" s="1348"/>
      <c r="D10421" s="1348"/>
      <c r="E10421" s="1348"/>
      <c r="F10421" s="1348"/>
      <c r="G10421" s="1348"/>
      <c r="H10421" s="1348"/>
      <c r="I10421" s="1348"/>
      <c r="J10421" s="1348"/>
      <c r="K10421" s="1348"/>
    </row>
    <row r="10422" spans="2:11" hidden="1">
      <c r="B10422" s="1348"/>
      <c r="C10422" s="1348"/>
      <c r="D10422" s="1348"/>
      <c r="E10422" s="1348"/>
      <c r="F10422" s="1348"/>
      <c r="G10422" s="1348"/>
      <c r="H10422" s="1348"/>
      <c r="I10422" s="1348"/>
      <c r="J10422" s="1348"/>
      <c r="K10422" s="1348"/>
    </row>
    <row r="10423" spans="2:11" hidden="1">
      <c r="B10423" s="1348"/>
      <c r="C10423" s="1348"/>
      <c r="D10423" s="1348"/>
      <c r="E10423" s="1348"/>
      <c r="F10423" s="1348"/>
      <c r="G10423" s="1348"/>
      <c r="H10423" s="1348"/>
      <c r="I10423" s="1348"/>
      <c r="J10423" s="1348"/>
      <c r="K10423" s="1348"/>
    </row>
    <row r="10424" spans="2:11" hidden="1">
      <c r="B10424" s="1348"/>
      <c r="C10424" s="1348"/>
      <c r="D10424" s="1348"/>
      <c r="E10424" s="1348"/>
      <c r="F10424" s="1348"/>
      <c r="G10424" s="1348"/>
      <c r="H10424" s="1348"/>
      <c r="I10424" s="1348"/>
      <c r="J10424" s="1348"/>
      <c r="K10424" s="1348"/>
    </row>
    <row r="10425" spans="2:11" hidden="1">
      <c r="B10425" s="1348"/>
      <c r="C10425" s="1348"/>
      <c r="D10425" s="1348"/>
      <c r="E10425" s="1348"/>
      <c r="F10425" s="1348"/>
      <c r="G10425" s="1348"/>
      <c r="H10425" s="1348"/>
      <c r="I10425" s="1348"/>
      <c r="J10425" s="1348"/>
      <c r="K10425" s="1348"/>
    </row>
    <row r="10426" spans="2:11" hidden="1">
      <c r="B10426" s="1348"/>
      <c r="C10426" s="1348"/>
      <c r="D10426" s="1348"/>
      <c r="E10426" s="1348"/>
      <c r="F10426" s="1348"/>
      <c r="G10426" s="1348"/>
      <c r="H10426" s="1348"/>
      <c r="I10426" s="1348"/>
      <c r="J10426" s="1348"/>
      <c r="K10426" s="1348"/>
    </row>
    <row r="10427" spans="2:11" hidden="1">
      <c r="B10427" s="1348"/>
      <c r="C10427" s="1348"/>
      <c r="D10427" s="1348"/>
      <c r="E10427" s="1348"/>
      <c r="F10427" s="1348"/>
      <c r="G10427" s="1348"/>
      <c r="H10427" s="1348"/>
      <c r="I10427" s="1348"/>
      <c r="J10427" s="1348"/>
      <c r="K10427" s="1348"/>
    </row>
    <row r="10428" spans="2:11" hidden="1">
      <c r="B10428" s="1348"/>
      <c r="C10428" s="1348"/>
      <c r="D10428" s="1348"/>
      <c r="E10428" s="1348"/>
      <c r="F10428" s="1348"/>
      <c r="G10428" s="1348"/>
      <c r="H10428" s="1348"/>
      <c r="I10428" s="1348"/>
      <c r="J10428" s="1348"/>
      <c r="K10428" s="1348"/>
    </row>
    <row r="10429" spans="2:11" hidden="1">
      <c r="B10429" s="1348"/>
      <c r="C10429" s="1348"/>
      <c r="D10429" s="1348"/>
      <c r="E10429" s="1348"/>
      <c r="F10429" s="1348"/>
      <c r="G10429" s="1348"/>
      <c r="H10429" s="1348"/>
      <c r="I10429" s="1348"/>
      <c r="J10429" s="1348"/>
      <c r="K10429" s="1348"/>
    </row>
    <row r="10430" spans="2:11" hidden="1">
      <c r="B10430" s="1348"/>
      <c r="C10430" s="1348"/>
      <c r="D10430" s="1348"/>
      <c r="E10430" s="1348"/>
      <c r="F10430" s="1348"/>
      <c r="G10430" s="1348"/>
      <c r="H10430" s="1348"/>
      <c r="I10430" s="1348"/>
      <c r="J10430" s="1348"/>
      <c r="K10430" s="1348"/>
    </row>
    <row r="10431" spans="2:11" hidden="1">
      <c r="B10431" s="1348"/>
      <c r="C10431" s="1348"/>
      <c r="D10431" s="1348"/>
      <c r="E10431" s="1348"/>
      <c r="F10431" s="1348"/>
      <c r="G10431" s="1348"/>
      <c r="H10431" s="1348"/>
      <c r="I10431" s="1348"/>
      <c r="J10431" s="1348"/>
      <c r="K10431" s="1348"/>
    </row>
    <row r="10432" spans="2:11" hidden="1">
      <c r="B10432" s="1348"/>
      <c r="C10432" s="1348"/>
      <c r="D10432" s="1348"/>
      <c r="E10432" s="1348"/>
      <c r="F10432" s="1348"/>
      <c r="G10432" s="1348"/>
      <c r="H10432" s="1348"/>
      <c r="I10432" s="1348"/>
      <c r="J10432" s="1348"/>
      <c r="K10432" s="1348"/>
    </row>
    <row r="10433" spans="2:11" hidden="1">
      <c r="B10433" s="1348"/>
      <c r="C10433" s="1348"/>
      <c r="D10433" s="1348"/>
      <c r="E10433" s="1348"/>
      <c r="F10433" s="1348"/>
      <c r="G10433" s="1348"/>
      <c r="H10433" s="1348"/>
      <c r="I10433" s="1348"/>
      <c r="J10433" s="1348"/>
      <c r="K10433" s="1348"/>
    </row>
    <row r="10434" spans="2:11" hidden="1">
      <c r="B10434" s="1348"/>
      <c r="C10434" s="1348"/>
      <c r="D10434" s="1348"/>
      <c r="E10434" s="1348"/>
      <c r="F10434" s="1348"/>
      <c r="G10434" s="1348"/>
      <c r="H10434" s="1348"/>
      <c r="I10434" s="1348"/>
      <c r="J10434" s="1348"/>
      <c r="K10434" s="1348"/>
    </row>
    <row r="10435" spans="2:11" hidden="1">
      <c r="B10435" s="1348"/>
      <c r="C10435" s="1348"/>
      <c r="D10435" s="1348"/>
      <c r="E10435" s="1348"/>
      <c r="F10435" s="1348"/>
      <c r="G10435" s="1348"/>
      <c r="H10435" s="1348"/>
      <c r="I10435" s="1348"/>
      <c r="J10435" s="1348"/>
      <c r="K10435" s="1348"/>
    </row>
    <row r="10436" spans="2:11" hidden="1">
      <c r="B10436" s="1348"/>
      <c r="C10436" s="1348"/>
      <c r="D10436" s="1348"/>
      <c r="E10436" s="1348"/>
      <c r="F10436" s="1348"/>
      <c r="G10436" s="1348"/>
      <c r="H10436" s="1348"/>
      <c r="I10436" s="1348"/>
      <c r="J10436" s="1348"/>
      <c r="K10436" s="1348"/>
    </row>
    <row r="10437" spans="2:11" hidden="1">
      <c r="B10437" s="1348"/>
      <c r="C10437" s="1348"/>
      <c r="D10437" s="1348"/>
      <c r="E10437" s="1348"/>
      <c r="F10437" s="1348"/>
      <c r="G10437" s="1348"/>
      <c r="H10437" s="1348"/>
      <c r="I10437" s="1348"/>
      <c r="J10437" s="1348"/>
      <c r="K10437" s="1348"/>
    </row>
    <row r="10438" spans="2:11" hidden="1">
      <c r="B10438" s="1348"/>
      <c r="C10438" s="1348"/>
      <c r="D10438" s="1348"/>
      <c r="E10438" s="1348"/>
      <c r="F10438" s="1348"/>
      <c r="G10438" s="1348"/>
      <c r="H10438" s="1348"/>
      <c r="I10438" s="1348"/>
      <c r="J10438" s="1348"/>
      <c r="K10438" s="1348"/>
    </row>
    <row r="10439" spans="2:11" hidden="1">
      <c r="B10439" s="1348"/>
      <c r="C10439" s="1348"/>
      <c r="D10439" s="1348"/>
      <c r="E10439" s="1348"/>
      <c r="F10439" s="1348"/>
      <c r="G10439" s="1348"/>
      <c r="H10439" s="1348"/>
      <c r="I10439" s="1348"/>
      <c r="J10439" s="1348"/>
      <c r="K10439" s="1348"/>
    </row>
    <row r="10440" spans="2:11" hidden="1">
      <c r="B10440" s="1348"/>
      <c r="C10440" s="1348"/>
      <c r="D10440" s="1348"/>
      <c r="E10440" s="1348"/>
      <c r="F10440" s="1348"/>
      <c r="G10440" s="1348"/>
      <c r="H10440" s="1348"/>
      <c r="I10440" s="1348"/>
      <c r="J10440" s="1348"/>
      <c r="K10440" s="1348"/>
    </row>
    <row r="10441" spans="2:11" hidden="1">
      <c r="B10441" s="1348"/>
      <c r="C10441" s="1348"/>
      <c r="D10441" s="1348"/>
      <c r="E10441" s="1348"/>
      <c r="F10441" s="1348"/>
      <c r="G10441" s="1348"/>
      <c r="H10441" s="1348"/>
      <c r="I10441" s="1348"/>
      <c r="J10441" s="1348"/>
      <c r="K10441" s="1348"/>
    </row>
    <row r="10442" spans="2:11" hidden="1">
      <c r="B10442" s="1348"/>
      <c r="C10442" s="1348"/>
      <c r="D10442" s="1348"/>
      <c r="E10442" s="1348"/>
      <c r="F10442" s="1348"/>
      <c r="G10442" s="1348"/>
      <c r="H10442" s="1348"/>
      <c r="I10442" s="1348"/>
      <c r="J10442" s="1348"/>
      <c r="K10442" s="1348"/>
    </row>
    <row r="10443" spans="2:11" hidden="1">
      <c r="B10443" s="1348"/>
      <c r="C10443" s="1348"/>
      <c r="D10443" s="1348"/>
      <c r="E10443" s="1348"/>
      <c r="F10443" s="1348"/>
      <c r="G10443" s="1348"/>
      <c r="H10443" s="1348"/>
      <c r="I10443" s="1348"/>
      <c r="J10443" s="1348"/>
      <c r="K10443" s="1348"/>
    </row>
    <row r="10444" spans="2:11" hidden="1">
      <c r="B10444" s="1348"/>
      <c r="C10444" s="1348"/>
      <c r="D10444" s="1348"/>
      <c r="E10444" s="1348"/>
      <c r="F10444" s="1348"/>
      <c r="G10444" s="1348"/>
      <c r="H10444" s="1348"/>
      <c r="I10444" s="1348"/>
      <c r="J10444" s="1348"/>
      <c r="K10444" s="1348"/>
    </row>
    <row r="10445" spans="2:11" hidden="1">
      <c r="B10445" s="1348"/>
      <c r="C10445" s="1348"/>
      <c r="D10445" s="1348"/>
      <c r="E10445" s="1348"/>
      <c r="F10445" s="1348"/>
      <c r="G10445" s="1348"/>
      <c r="H10445" s="1348"/>
      <c r="I10445" s="1348"/>
      <c r="J10445" s="1348"/>
      <c r="K10445" s="1348"/>
    </row>
    <row r="10446" spans="2:11" hidden="1">
      <c r="B10446" s="1348"/>
      <c r="C10446" s="1348"/>
      <c r="D10446" s="1348"/>
      <c r="E10446" s="1348"/>
      <c r="F10446" s="1348"/>
      <c r="G10446" s="1348"/>
      <c r="H10446" s="1348"/>
      <c r="I10446" s="1348"/>
      <c r="J10446" s="1348"/>
      <c r="K10446" s="1348"/>
    </row>
    <row r="10447" spans="2:11" hidden="1">
      <c r="B10447" s="1348"/>
      <c r="C10447" s="1348"/>
      <c r="D10447" s="1348"/>
      <c r="E10447" s="1348"/>
      <c r="F10447" s="1348"/>
      <c r="G10447" s="1348"/>
      <c r="H10447" s="1348"/>
      <c r="I10447" s="1348"/>
      <c r="J10447" s="1348"/>
      <c r="K10447" s="1348"/>
    </row>
    <row r="10448" spans="2:11" hidden="1">
      <c r="B10448" s="1348"/>
      <c r="C10448" s="1348"/>
      <c r="D10448" s="1348"/>
      <c r="E10448" s="1348"/>
      <c r="F10448" s="1348"/>
      <c r="G10448" s="1348"/>
      <c r="H10448" s="1348"/>
      <c r="I10448" s="1348"/>
      <c r="J10448" s="1348"/>
      <c r="K10448" s="1348"/>
    </row>
    <row r="10449" spans="2:11" hidden="1">
      <c r="B10449" s="1348"/>
      <c r="C10449" s="1348"/>
      <c r="D10449" s="1348"/>
      <c r="E10449" s="1348"/>
      <c r="F10449" s="1348"/>
      <c r="G10449" s="1348"/>
      <c r="H10449" s="1348"/>
      <c r="I10449" s="1348"/>
      <c r="J10449" s="1348"/>
      <c r="K10449" s="1348"/>
    </row>
    <row r="10450" spans="2:11" hidden="1">
      <c r="B10450" s="1348"/>
      <c r="C10450" s="1348"/>
      <c r="D10450" s="1348"/>
      <c r="E10450" s="1348"/>
      <c r="F10450" s="1348"/>
      <c r="G10450" s="1348"/>
      <c r="H10450" s="1348"/>
      <c r="I10450" s="1348"/>
      <c r="J10450" s="1348"/>
      <c r="K10450" s="1348"/>
    </row>
    <row r="10451" spans="2:11" hidden="1">
      <c r="B10451" s="1348"/>
      <c r="C10451" s="1348"/>
      <c r="D10451" s="1348"/>
      <c r="E10451" s="1348"/>
      <c r="F10451" s="1348"/>
      <c r="G10451" s="1348"/>
      <c r="H10451" s="1348"/>
      <c r="I10451" s="1348"/>
      <c r="J10451" s="1348"/>
      <c r="K10451" s="1348"/>
    </row>
    <row r="10452" spans="2:11" hidden="1">
      <c r="B10452" s="1348"/>
      <c r="C10452" s="1348"/>
      <c r="D10452" s="1348"/>
      <c r="E10452" s="1348"/>
      <c r="F10452" s="1348"/>
      <c r="G10452" s="1348"/>
      <c r="H10452" s="1348"/>
      <c r="I10452" s="1348"/>
      <c r="J10452" s="1348"/>
      <c r="K10452" s="1348"/>
    </row>
    <row r="10453" spans="2:11" hidden="1">
      <c r="B10453" s="1348"/>
      <c r="C10453" s="1348"/>
      <c r="D10453" s="1348"/>
      <c r="E10453" s="1348"/>
      <c r="F10453" s="1348"/>
      <c r="G10453" s="1348"/>
      <c r="H10453" s="1348"/>
      <c r="I10453" s="1348"/>
      <c r="J10453" s="1348"/>
      <c r="K10453" s="1348"/>
    </row>
    <row r="10454" spans="2:11" hidden="1">
      <c r="B10454" s="1348"/>
      <c r="C10454" s="1348"/>
      <c r="D10454" s="1348"/>
      <c r="E10454" s="1348"/>
      <c r="F10454" s="1348"/>
      <c r="G10454" s="1348"/>
      <c r="H10454" s="1348"/>
      <c r="I10454" s="1348"/>
      <c r="J10454" s="1348"/>
      <c r="K10454" s="1348"/>
    </row>
    <row r="10455" spans="2:11" hidden="1">
      <c r="B10455" s="1348"/>
      <c r="C10455" s="1348"/>
      <c r="D10455" s="1348"/>
      <c r="E10455" s="1348"/>
      <c r="F10455" s="1348"/>
      <c r="G10455" s="1348"/>
      <c r="H10455" s="1348"/>
      <c r="I10455" s="1348"/>
      <c r="J10455" s="1348"/>
      <c r="K10455" s="1348"/>
    </row>
    <row r="10456" spans="2:11" hidden="1">
      <c r="B10456" s="1348"/>
      <c r="C10456" s="1348"/>
      <c r="D10456" s="1348"/>
      <c r="E10456" s="1348"/>
      <c r="F10456" s="1348"/>
      <c r="G10456" s="1348"/>
      <c r="H10456" s="1348"/>
      <c r="I10456" s="1348"/>
      <c r="J10456" s="1348"/>
      <c r="K10456" s="1348"/>
    </row>
    <row r="10457" spans="2:11" hidden="1">
      <c r="B10457" s="1348"/>
      <c r="C10457" s="1348"/>
      <c r="D10457" s="1348"/>
      <c r="E10457" s="1348"/>
      <c r="F10457" s="1348"/>
      <c r="G10457" s="1348"/>
      <c r="H10457" s="1348"/>
      <c r="I10457" s="1348"/>
      <c r="J10457" s="1348"/>
      <c r="K10457" s="1348"/>
    </row>
    <row r="10458" spans="2:11" hidden="1">
      <c r="B10458" s="1348"/>
      <c r="C10458" s="1348"/>
      <c r="D10458" s="1348"/>
      <c r="E10458" s="1348"/>
      <c r="F10458" s="1348"/>
      <c r="G10458" s="1348"/>
      <c r="H10458" s="1348"/>
      <c r="I10458" s="1348"/>
      <c r="J10458" s="1348"/>
      <c r="K10458" s="1348"/>
    </row>
    <row r="10459" spans="2:11" hidden="1">
      <c r="B10459" s="1348"/>
      <c r="C10459" s="1348"/>
      <c r="D10459" s="1348"/>
      <c r="E10459" s="1348"/>
      <c r="F10459" s="1348"/>
      <c r="G10459" s="1348"/>
      <c r="H10459" s="1348"/>
      <c r="I10459" s="1348"/>
      <c r="J10459" s="1348"/>
      <c r="K10459" s="1348"/>
    </row>
    <row r="10460" spans="2:11" hidden="1">
      <c r="B10460" s="1348"/>
      <c r="C10460" s="1348"/>
      <c r="D10460" s="1348"/>
      <c r="E10460" s="1348"/>
      <c r="F10460" s="1348"/>
      <c r="G10460" s="1348"/>
      <c r="H10460" s="1348"/>
      <c r="I10460" s="1348"/>
      <c r="J10460" s="1348"/>
      <c r="K10460" s="1348"/>
    </row>
    <row r="10461" spans="2:11" hidden="1">
      <c r="B10461" s="1348"/>
      <c r="C10461" s="1348"/>
      <c r="D10461" s="1348"/>
      <c r="E10461" s="1348"/>
      <c r="F10461" s="1348"/>
      <c r="G10461" s="1348"/>
      <c r="H10461" s="1348"/>
      <c r="I10461" s="1348"/>
      <c r="J10461" s="1348"/>
      <c r="K10461" s="1348"/>
    </row>
    <row r="10462" spans="2:11" hidden="1">
      <c r="B10462" s="1348"/>
      <c r="C10462" s="1348"/>
      <c r="D10462" s="1348"/>
      <c r="E10462" s="1348"/>
      <c r="F10462" s="1348"/>
      <c r="G10462" s="1348"/>
      <c r="H10462" s="1348"/>
      <c r="I10462" s="1348"/>
      <c r="J10462" s="1348"/>
      <c r="K10462" s="1348"/>
    </row>
    <row r="10463" spans="2:11" hidden="1">
      <c r="B10463" s="1348"/>
      <c r="C10463" s="1348"/>
      <c r="D10463" s="1348"/>
      <c r="E10463" s="1348"/>
      <c r="F10463" s="1348"/>
      <c r="G10463" s="1348"/>
      <c r="H10463" s="1348"/>
      <c r="I10463" s="1348"/>
      <c r="J10463" s="1348"/>
      <c r="K10463" s="1348"/>
    </row>
    <row r="10464" spans="2:11" hidden="1">
      <c r="B10464" s="1348"/>
      <c r="C10464" s="1348"/>
      <c r="D10464" s="1348"/>
      <c r="E10464" s="1348"/>
      <c r="F10464" s="1348"/>
      <c r="G10464" s="1348"/>
      <c r="H10464" s="1348"/>
      <c r="I10464" s="1348"/>
      <c r="J10464" s="1348"/>
      <c r="K10464" s="1348"/>
    </row>
    <row r="10465" spans="2:11" hidden="1">
      <c r="B10465" s="1348"/>
      <c r="C10465" s="1348"/>
      <c r="D10465" s="1348"/>
      <c r="E10465" s="1348"/>
      <c r="F10465" s="1348"/>
      <c r="G10465" s="1348"/>
      <c r="H10465" s="1348"/>
      <c r="I10465" s="1348"/>
      <c r="J10465" s="1348"/>
      <c r="K10465" s="1348"/>
    </row>
    <row r="10466" spans="2:11" hidden="1">
      <c r="B10466" s="1348"/>
      <c r="C10466" s="1348"/>
      <c r="D10466" s="1348"/>
      <c r="E10466" s="1348"/>
      <c r="F10466" s="1348"/>
      <c r="G10466" s="1348"/>
      <c r="H10466" s="1348"/>
      <c r="I10466" s="1348"/>
      <c r="J10466" s="1348"/>
      <c r="K10466" s="1348"/>
    </row>
    <row r="10467" spans="2:11" hidden="1">
      <c r="B10467" s="1348"/>
      <c r="C10467" s="1348"/>
      <c r="D10467" s="1348"/>
      <c r="E10467" s="1348"/>
      <c r="F10467" s="1348"/>
      <c r="G10467" s="1348"/>
      <c r="H10467" s="1348"/>
      <c r="I10467" s="1348"/>
      <c r="J10467" s="1348"/>
      <c r="K10467" s="1348"/>
    </row>
    <row r="10468" spans="2:11" hidden="1">
      <c r="B10468" s="1348"/>
      <c r="C10468" s="1348"/>
      <c r="D10468" s="1348"/>
      <c r="E10468" s="1348"/>
      <c r="F10468" s="1348"/>
      <c r="G10468" s="1348"/>
      <c r="H10468" s="1348"/>
      <c r="I10468" s="1348"/>
      <c r="J10468" s="1348"/>
      <c r="K10468" s="1348"/>
    </row>
    <row r="10469" spans="2:11" hidden="1">
      <c r="B10469" s="1348"/>
      <c r="C10469" s="1348"/>
      <c r="D10469" s="1348"/>
      <c r="E10469" s="1348"/>
      <c r="F10469" s="1348"/>
      <c r="G10469" s="1348"/>
      <c r="H10469" s="1348"/>
      <c r="I10469" s="1348"/>
      <c r="J10469" s="1348"/>
      <c r="K10469" s="1348"/>
    </row>
    <row r="10470" spans="2:11" hidden="1">
      <c r="B10470" s="1348"/>
      <c r="C10470" s="1348"/>
      <c r="D10470" s="1348"/>
      <c r="E10470" s="1348"/>
      <c r="F10470" s="1348"/>
      <c r="G10470" s="1348"/>
      <c r="H10470" s="1348"/>
      <c r="I10470" s="1348"/>
      <c r="J10470" s="1348"/>
      <c r="K10470" s="1348"/>
    </row>
    <row r="10471" spans="2:11" hidden="1">
      <c r="B10471" s="1348"/>
      <c r="C10471" s="1348"/>
      <c r="D10471" s="1348"/>
      <c r="E10471" s="1348"/>
      <c r="F10471" s="1348"/>
      <c r="G10471" s="1348"/>
      <c r="H10471" s="1348"/>
      <c r="I10471" s="1348"/>
      <c r="J10471" s="1348"/>
      <c r="K10471" s="1348"/>
    </row>
    <row r="10472" spans="2:11" hidden="1">
      <c r="B10472" s="1348"/>
      <c r="C10472" s="1348"/>
      <c r="D10472" s="1348"/>
      <c r="E10472" s="1348"/>
      <c r="F10472" s="1348"/>
      <c r="G10472" s="1348"/>
      <c r="H10472" s="1348"/>
      <c r="I10472" s="1348"/>
      <c r="J10472" s="1348"/>
      <c r="K10472" s="1348"/>
    </row>
    <row r="10473" spans="2:11" hidden="1">
      <c r="B10473" s="1348"/>
      <c r="C10473" s="1348"/>
      <c r="D10473" s="1348"/>
      <c r="E10473" s="1348"/>
      <c r="F10473" s="1348"/>
      <c r="G10473" s="1348"/>
      <c r="H10473" s="1348"/>
      <c r="I10473" s="1348"/>
      <c r="J10473" s="1348"/>
      <c r="K10473" s="1348"/>
    </row>
    <row r="10474" spans="2:11" hidden="1">
      <c r="B10474" s="1348"/>
      <c r="C10474" s="1348"/>
      <c r="D10474" s="1348"/>
      <c r="E10474" s="1348"/>
      <c r="F10474" s="1348"/>
      <c r="G10474" s="1348"/>
      <c r="H10474" s="1348"/>
      <c r="I10474" s="1348"/>
      <c r="J10474" s="1348"/>
      <c r="K10474" s="1348"/>
    </row>
    <row r="10475" spans="2:11" hidden="1">
      <c r="B10475" s="1348"/>
      <c r="C10475" s="1348"/>
      <c r="D10475" s="1348"/>
      <c r="E10475" s="1348"/>
      <c r="F10475" s="1348"/>
      <c r="G10475" s="1348"/>
      <c r="H10475" s="1348"/>
      <c r="I10475" s="1348"/>
      <c r="J10475" s="1348"/>
      <c r="K10475" s="1348"/>
    </row>
    <row r="10476" spans="2:11" hidden="1">
      <c r="B10476" s="1348"/>
      <c r="C10476" s="1348"/>
      <c r="D10476" s="1348"/>
      <c r="E10476" s="1348"/>
      <c r="F10476" s="1348"/>
      <c r="G10476" s="1348"/>
      <c r="H10476" s="1348"/>
      <c r="I10476" s="1348"/>
      <c r="J10476" s="1348"/>
      <c r="K10476" s="1348"/>
    </row>
    <row r="10477" spans="2:11" hidden="1">
      <c r="B10477" s="1348"/>
      <c r="C10477" s="1348"/>
      <c r="D10477" s="1348"/>
      <c r="E10477" s="1348"/>
      <c r="F10477" s="1348"/>
      <c r="G10477" s="1348"/>
      <c r="H10477" s="1348"/>
      <c r="I10477" s="1348"/>
      <c r="J10477" s="1348"/>
      <c r="K10477" s="1348"/>
    </row>
    <row r="10478" spans="2:11" hidden="1">
      <c r="B10478" s="1348"/>
      <c r="C10478" s="1348"/>
      <c r="D10478" s="1348"/>
      <c r="E10478" s="1348"/>
      <c r="F10478" s="1348"/>
      <c r="G10478" s="1348"/>
      <c r="H10478" s="1348"/>
      <c r="I10478" s="1348"/>
      <c r="J10478" s="1348"/>
      <c r="K10478" s="1348"/>
    </row>
    <row r="10479" spans="2:11" hidden="1">
      <c r="B10479" s="1348"/>
      <c r="C10479" s="1348"/>
      <c r="D10479" s="1348"/>
      <c r="E10479" s="1348"/>
      <c r="F10479" s="1348"/>
      <c r="G10479" s="1348"/>
      <c r="H10479" s="1348"/>
      <c r="I10479" s="1348"/>
      <c r="J10479" s="1348"/>
      <c r="K10479" s="1348"/>
    </row>
    <row r="10480" spans="2:11" hidden="1">
      <c r="B10480" s="1348"/>
      <c r="C10480" s="1348"/>
      <c r="D10480" s="1348"/>
      <c r="E10480" s="1348"/>
      <c r="F10480" s="1348"/>
      <c r="G10480" s="1348"/>
      <c r="H10480" s="1348"/>
      <c r="I10480" s="1348"/>
      <c r="J10480" s="1348"/>
      <c r="K10480" s="1348"/>
    </row>
    <row r="10481" spans="2:11" hidden="1">
      <c r="B10481" s="1348"/>
      <c r="C10481" s="1348"/>
      <c r="D10481" s="1348"/>
      <c r="E10481" s="1348"/>
      <c r="F10481" s="1348"/>
      <c r="G10481" s="1348"/>
      <c r="H10481" s="1348"/>
      <c r="I10481" s="1348"/>
      <c r="J10481" s="1348"/>
      <c r="K10481" s="1348"/>
    </row>
    <row r="10482" spans="2:11" hidden="1">
      <c r="B10482" s="1348"/>
      <c r="C10482" s="1348"/>
      <c r="D10482" s="1348"/>
      <c r="E10482" s="1348"/>
      <c r="F10482" s="1348"/>
      <c r="G10482" s="1348"/>
      <c r="H10482" s="1348"/>
      <c r="I10482" s="1348"/>
      <c r="J10482" s="1348"/>
      <c r="K10482" s="1348"/>
    </row>
    <row r="10483" spans="2:11" hidden="1">
      <c r="B10483" s="1348"/>
      <c r="C10483" s="1348"/>
      <c r="D10483" s="1348"/>
      <c r="E10483" s="1348"/>
      <c r="F10483" s="1348"/>
      <c r="G10483" s="1348"/>
      <c r="H10483" s="1348"/>
      <c r="I10483" s="1348"/>
      <c r="J10483" s="1348"/>
      <c r="K10483" s="1348"/>
    </row>
    <row r="10484" spans="2:11" hidden="1">
      <c r="B10484" s="1348"/>
      <c r="C10484" s="1348"/>
      <c r="D10484" s="1348"/>
      <c r="E10484" s="1348"/>
      <c r="F10484" s="1348"/>
      <c r="G10484" s="1348"/>
      <c r="H10484" s="1348"/>
      <c r="I10484" s="1348"/>
      <c r="J10484" s="1348"/>
      <c r="K10484" s="1348"/>
    </row>
    <row r="10485" spans="2:11" hidden="1">
      <c r="B10485" s="1348"/>
      <c r="C10485" s="1348"/>
      <c r="D10485" s="1348"/>
      <c r="E10485" s="1348"/>
      <c r="F10485" s="1348"/>
      <c r="G10485" s="1348"/>
      <c r="H10485" s="1348"/>
      <c r="I10485" s="1348"/>
      <c r="J10485" s="1348"/>
      <c r="K10485" s="1348"/>
    </row>
    <row r="10486" spans="2:11" hidden="1">
      <c r="B10486" s="1348"/>
      <c r="C10486" s="1348"/>
      <c r="D10486" s="1348"/>
      <c r="E10486" s="1348"/>
      <c r="F10486" s="1348"/>
      <c r="G10486" s="1348"/>
      <c r="H10486" s="1348"/>
      <c r="I10486" s="1348"/>
      <c r="J10486" s="1348"/>
      <c r="K10486" s="1348"/>
    </row>
    <row r="10487" spans="2:11" hidden="1">
      <c r="B10487" s="1348"/>
      <c r="C10487" s="1348"/>
      <c r="D10487" s="1348"/>
      <c r="E10487" s="1348"/>
      <c r="F10487" s="1348"/>
      <c r="G10487" s="1348"/>
      <c r="H10487" s="1348"/>
      <c r="I10487" s="1348"/>
      <c r="J10487" s="1348"/>
      <c r="K10487" s="1348"/>
    </row>
    <row r="10488" spans="2:11" hidden="1">
      <c r="B10488" s="1348"/>
      <c r="C10488" s="1348"/>
      <c r="D10488" s="1348"/>
      <c r="E10488" s="1348"/>
      <c r="F10488" s="1348"/>
      <c r="G10488" s="1348"/>
      <c r="H10488" s="1348"/>
      <c r="I10488" s="1348"/>
      <c r="J10488" s="1348"/>
      <c r="K10488" s="1348"/>
    </row>
    <row r="10489" spans="2:11" hidden="1">
      <c r="B10489" s="1348"/>
      <c r="C10489" s="1348"/>
      <c r="D10489" s="1348"/>
      <c r="E10489" s="1348"/>
      <c r="F10489" s="1348"/>
      <c r="G10489" s="1348"/>
      <c r="H10489" s="1348"/>
      <c r="I10489" s="1348"/>
      <c r="J10489" s="1348"/>
      <c r="K10489" s="1348"/>
    </row>
    <row r="10490" spans="2:11" hidden="1">
      <c r="B10490" s="1348"/>
      <c r="C10490" s="1348"/>
      <c r="D10490" s="1348"/>
      <c r="E10490" s="1348"/>
      <c r="F10490" s="1348"/>
      <c r="G10490" s="1348"/>
      <c r="H10490" s="1348"/>
      <c r="I10490" s="1348"/>
      <c r="J10490" s="1348"/>
      <c r="K10490" s="1348"/>
    </row>
    <row r="10491" spans="2:11" hidden="1">
      <c r="B10491" s="1348"/>
      <c r="C10491" s="1348"/>
      <c r="D10491" s="1348"/>
      <c r="E10491" s="1348"/>
      <c r="F10491" s="1348"/>
      <c r="G10491" s="1348"/>
      <c r="H10491" s="1348"/>
      <c r="I10491" s="1348"/>
      <c r="J10491" s="1348"/>
      <c r="K10491" s="1348"/>
    </row>
    <row r="10492" spans="2:11" hidden="1">
      <c r="B10492" s="1348"/>
      <c r="C10492" s="1348"/>
      <c r="D10492" s="1348"/>
      <c r="E10492" s="1348"/>
      <c r="F10492" s="1348"/>
      <c r="G10492" s="1348"/>
      <c r="H10492" s="1348"/>
      <c r="I10492" s="1348"/>
      <c r="J10492" s="1348"/>
      <c r="K10492" s="1348"/>
    </row>
    <row r="10493" spans="2:11" hidden="1">
      <c r="B10493" s="1348"/>
      <c r="C10493" s="1348"/>
      <c r="D10493" s="1348"/>
      <c r="E10493" s="1348"/>
      <c r="F10493" s="1348"/>
      <c r="G10493" s="1348"/>
      <c r="H10493" s="1348"/>
      <c r="I10493" s="1348"/>
      <c r="J10493" s="1348"/>
      <c r="K10493" s="1348"/>
    </row>
    <row r="10494" spans="2:11" hidden="1">
      <c r="B10494" s="1348"/>
      <c r="C10494" s="1348"/>
      <c r="D10494" s="1348"/>
      <c r="E10494" s="1348"/>
      <c r="F10494" s="1348"/>
      <c r="G10494" s="1348"/>
      <c r="H10494" s="1348"/>
      <c r="I10494" s="1348"/>
      <c r="J10494" s="1348"/>
      <c r="K10494" s="1348"/>
    </row>
    <row r="10495" spans="2:11" hidden="1">
      <c r="B10495" s="1348"/>
      <c r="C10495" s="1348"/>
      <c r="D10495" s="1348"/>
      <c r="E10495" s="1348"/>
      <c r="F10495" s="1348"/>
      <c r="G10495" s="1348"/>
      <c r="H10495" s="1348"/>
      <c r="I10495" s="1348"/>
      <c r="J10495" s="1348"/>
      <c r="K10495" s="1348"/>
    </row>
    <row r="10496" spans="2:11" hidden="1">
      <c r="B10496" s="1348"/>
      <c r="C10496" s="1348"/>
      <c r="D10496" s="1348"/>
      <c r="E10496" s="1348"/>
      <c r="F10496" s="1348"/>
      <c r="G10496" s="1348"/>
      <c r="H10496" s="1348"/>
      <c r="I10496" s="1348"/>
      <c r="J10496" s="1348"/>
      <c r="K10496" s="1348"/>
    </row>
    <row r="10497" spans="2:11" hidden="1">
      <c r="B10497" s="1348"/>
      <c r="C10497" s="1348"/>
      <c r="D10497" s="1348"/>
      <c r="E10497" s="1348"/>
      <c r="F10497" s="1348"/>
      <c r="G10497" s="1348"/>
      <c r="H10497" s="1348"/>
      <c r="I10497" s="1348"/>
      <c r="J10497" s="1348"/>
      <c r="K10497" s="1348"/>
    </row>
    <row r="10498" spans="2:11" hidden="1">
      <c r="B10498" s="1348"/>
      <c r="C10498" s="1348"/>
      <c r="D10498" s="1348"/>
      <c r="E10498" s="1348"/>
      <c r="F10498" s="1348"/>
      <c r="G10498" s="1348"/>
      <c r="H10498" s="1348"/>
      <c r="I10498" s="1348"/>
      <c r="J10498" s="1348"/>
      <c r="K10498" s="1348"/>
    </row>
    <row r="10499" spans="2:11" hidden="1">
      <c r="B10499" s="1348"/>
      <c r="C10499" s="1348"/>
      <c r="D10499" s="1348"/>
      <c r="E10499" s="1348"/>
      <c r="F10499" s="1348"/>
      <c r="G10499" s="1348"/>
      <c r="H10499" s="1348"/>
      <c r="I10499" s="1348"/>
      <c r="J10499" s="1348"/>
      <c r="K10499" s="1348"/>
    </row>
    <row r="10500" spans="2:11" hidden="1">
      <c r="B10500" s="1348"/>
      <c r="C10500" s="1348"/>
      <c r="D10500" s="1348"/>
      <c r="E10500" s="1348"/>
      <c r="F10500" s="1348"/>
      <c r="G10500" s="1348"/>
      <c r="H10500" s="1348"/>
      <c r="I10500" s="1348"/>
      <c r="J10500" s="1348"/>
      <c r="K10500" s="1348"/>
    </row>
    <row r="10501" spans="2:11" hidden="1">
      <c r="B10501" s="1348"/>
      <c r="C10501" s="1348"/>
      <c r="D10501" s="1348"/>
      <c r="E10501" s="1348"/>
      <c r="F10501" s="1348"/>
      <c r="G10501" s="1348"/>
      <c r="H10501" s="1348"/>
      <c r="I10501" s="1348"/>
      <c r="J10501" s="1348"/>
      <c r="K10501" s="1348"/>
    </row>
    <row r="10502" spans="2:11" hidden="1">
      <c r="B10502" s="1348"/>
      <c r="C10502" s="1348"/>
      <c r="D10502" s="1348"/>
      <c r="E10502" s="1348"/>
      <c r="F10502" s="1348"/>
      <c r="G10502" s="1348"/>
      <c r="H10502" s="1348"/>
      <c r="I10502" s="1348"/>
      <c r="J10502" s="1348"/>
      <c r="K10502" s="1348"/>
    </row>
    <row r="10503" spans="2:11" hidden="1">
      <c r="B10503" s="1348"/>
      <c r="C10503" s="1348"/>
      <c r="D10503" s="1348"/>
      <c r="E10503" s="1348"/>
      <c r="F10503" s="1348"/>
      <c r="G10503" s="1348"/>
      <c r="H10503" s="1348"/>
      <c r="I10503" s="1348"/>
      <c r="J10503" s="1348"/>
      <c r="K10503" s="1348"/>
    </row>
    <row r="10504" spans="2:11" hidden="1">
      <c r="B10504" s="1348"/>
      <c r="C10504" s="1348"/>
      <c r="D10504" s="1348"/>
      <c r="E10504" s="1348"/>
      <c r="F10504" s="1348"/>
      <c r="G10504" s="1348"/>
      <c r="H10504" s="1348"/>
      <c r="I10504" s="1348"/>
      <c r="J10504" s="1348"/>
      <c r="K10504" s="1348"/>
    </row>
    <row r="10505" spans="2:11" hidden="1">
      <c r="B10505" s="1348"/>
      <c r="C10505" s="1348"/>
      <c r="D10505" s="1348"/>
      <c r="E10505" s="1348"/>
      <c r="F10505" s="1348"/>
      <c r="G10505" s="1348"/>
      <c r="H10505" s="1348"/>
      <c r="I10505" s="1348"/>
      <c r="J10505" s="1348"/>
      <c r="K10505" s="1348"/>
    </row>
    <row r="10506" spans="2:11" hidden="1">
      <c r="B10506" s="1348"/>
      <c r="C10506" s="1348"/>
      <c r="D10506" s="1348"/>
      <c r="E10506" s="1348"/>
      <c r="F10506" s="1348"/>
      <c r="G10506" s="1348"/>
      <c r="H10506" s="1348"/>
      <c r="I10506" s="1348"/>
      <c r="J10506" s="1348"/>
      <c r="K10506" s="1348"/>
    </row>
    <row r="10507" spans="2:11" hidden="1">
      <c r="B10507" s="1348"/>
      <c r="C10507" s="1348"/>
      <c r="D10507" s="1348"/>
      <c r="E10507" s="1348"/>
      <c r="F10507" s="1348"/>
      <c r="G10507" s="1348"/>
      <c r="H10507" s="1348"/>
      <c r="I10507" s="1348"/>
      <c r="J10507" s="1348"/>
      <c r="K10507" s="1348"/>
    </row>
    <row r="10508" spans="2:11" hidden="1">
      <c r="B10508" s="1348"/>
      <c r="C10508" s="1348"/>
      <c r="D10508" s="1348"/>
      <c r="E10508" s="1348"/>
      <c r="F10508" s="1348"/>
      <c r="G10508" s="1348"/>
      <c r="H10508" s="1348"/>
      <c r="I10508" s="1348"/>
      <c r="J10508" s="1348"/>
      <c r="K10508" s="1348"/>
    </row>
    <row r="10509" spans="2:11" hidden="1">
      <c r="B10509" s="1348"/>
      <c r="C10509" s="1348"/>
      <c r="D10509" s="1348"/>
      <c r="E10509" s="1348"/>
      <c r="F10509" s="1348"/>
      <c r="G10509" s="1348"/>
      <c r="H10509" s="1348"/>
      <c r="I10509" s="1348"/>
      <c r="J10509" s="1348"/>
      <c r="K10509" s="1348"/>
    </row>
    <row r="10510" spans="2:11" hidden="1">
      <c r="B10510" s="1348"/>
      <c r="C10510" s="1348"/>
      <c r="D10510" s="1348"/>
      <c r="E10510" s="1348"/>
      <c r="F10510" s="1348"/>
      <c r="G10510" s="1348"/>
      <c r="H10510" s="1348"/>
      <c r="I10510" s="1348"/>
      <c r="J10510" s="1348"/>
      <c r="K10510" s="1348"/>
    </row>
    <row r="10511" spans="2:11" hidden="1">
      <c r="B10511" s="1348"/>
      <c r="C10511" s="1348"/>
      <c r="D10511" s="1348"/>
      <c r="E10511" s="1348"/>
      <c r="F10511" s="1348"/>
      <c r="G10511" s="1348"/>
      <c r="H10511" s="1348"/>
      <c r="I10511" s="1348"/>
      <c r="J10511" s="1348"/>
      <c r="K10511" s="1348"/>
    </row>
    <row r="10512" spans="2:11" hidden="1">
      <c r="B10512" s="1348"/>
      <c r="C10512" s="1348"/>
      <c r="D10512" s="1348"/>
      <c r="E10512" s="1348"/>
      <c r="F10512" s="1348"/>
      <c r="G10512" s="1348"/>
      <c r="H10512" s="1348"/>
      <c r="I10512" s="1348"/>
      <c r="J10512" s="1348"/>
      <c r="K10512" s="1348"/>
    </row>
    <row r="10513" spans="2:11" hidden="1">
      <c r="B10513" s="1348"/>
      <c r="C10513" s="1348"/>
      <c r="D10513" s="1348"/>
      <c r="E10513" s="1348"/>
      <c r="F10513" s="1348"/>
      <c r="G10513" s="1348"/>
      <c r="H10513" s="1348"/>
      <c r="I10513" s="1348"/>
      <c r="J10513" s="1348"/>
      <c r="K10513" s="1348"/>
    </row>
    <row r="10514" spans="2:11" hidden="1">
      <c r="B10514" s="1348"/>
      <c r="C10514" s="1348"/>
      <c r="D10514" s="1348"/>
      <c r="E10514" s="1348"/>
      <c r="F10514" s="1348"/>
      <c r="G10514" s="1348"/>
      <c r="H10514" s="1348"/>
      <c r="I10514" s="1348"/>
      <c r="J10514" s="1348"/>
      <c r="K10514" s="1348"/>
    </row>
    <row r="10515" spans="2:11" hidden="1">
      <c r="B10515" s="1348"/>
      <c r="C10515" s="1348"/>
      <c r="D10515" s="1348"/>
      <c r="E10515" s="1348"/>
      <c r="F10515" s="1348"/>
      <c r="G10515" s="1348"/>
      <c r="H10515" s="1348"/>
      <c r="I10515" s="1348"/>
      <c r="J10515" s="1348"/>
      <c r="K10515" s="1348"/>
    </row>
    <row r="10516" spans="2:11" hidden="1">
      <c r="B10516" s="1348"/>
      <c r="C10516" s="1348"/>
      <c r="D10516" s="1348"/>
      <c r="E10516" s="1348"/>
      <c r="F10516" s="1348"/>
      <c r="G10516" s="1348"/>
      <c r="H10516" s="1348"/>
      <c r="I10516" s="1348"/>
      <c r="J10516" s="1348"/>
      <c r="K10516" s="1348"/>
    </row>
    <row r="10517" spans="2:11" hidden="1">
      <c r="B10517" s="1348"/>
      <c r="C10517" s="1348"/>
      <c r="D10517" s="1348"/>
      <c r="E10517" s="1348"/>
      <c r="F10517" s="1348"/>
      <c r="G10517" s="1348"/>
      <c r="H10517" s="1348"/>
      <c r="I10517" s="1348"/>
      <c r="J10517" s="1348"/>
      <c r="K10517" s="1348"/>
    </row>
    <row r="10518" spans="2:11" hidden="1">
      <c r="B10518" s="1348"/>
      <c r="C10518" s="1348"/>
      <c r="D10518" s="1348"/>
      <c r="E10518" s="1348"/>
      <c r="F10518" s="1348"/>
      <c r="G10518" s="1348"/>
      <c r="H10518" s="1348"/>
      <c r="I10518" s="1348"/>
      <c r="J10518" s="1348"/>
      <c r="K10518" s="1348"/>
    </row>
    <row r="10519" spans="2:11" hidden="1">
      <c r="B10519" s="1348"/>
      <c r="C10519" s="1348"/>
      <c r="D10519" s="1348"/>
      <c r="E10519" s="1348"/>
      <c r="F10519" s="1348"/>
      <c r="G10519" s="1348"/>
      <c r="H10519" s="1348"/>
      <c r="I10519" s="1348"/>
      <c r="J10519" s="1348"/>
      <c r="K10519" s="1348"/>
    </row>
    <row r="10520" spans="2:11" hidden="1">
      <c r="B10520" s="1348"/>
      <c r="C10520" s="1348"/>
      <c r="D10520" s="1348"/>
      <c r="E10520" s="1348"/>
      <c r="F10520" s="1348"/>
      <c r="G10520" s="1348"/>
      <c r="H10520" s="1348"/>
      <c r="I10520" s="1348"/>
      <c r="J10520" s="1348"/>
      <c r="K10520" s="1348"/>
    </row>
    <row r="10521" spans="2:11" hidden="1">
      <c r="B10521" s="1348"/>
      <c r="C10521" s="1348"/>
      <c r="D10521" s="1348"/>
      <c r="E10521" s="1348"/>
      <c r="F10521" s="1348"/>
      <c r="G10521" s="1348"/>
      <c r="H10521" s="1348"/>
      <c r="I10521" s="1348"/>
      <c r="J10521" s="1348"/>
      <c r="K10521" s="1348"/>
    </row>
    <row r="10522" spans="2:11" hidden="1">
      <c r="B10522" s="1348"/>
      <c r="C10522" s="1348"/>
      <c r="D10522" s="1348"/>
      <c r="E10522" s="1348"/>
      <c r="F10522" s="1348"/>
      <c r="G10522" s="1348"/>
      <c r="H10522" s="1348"/>
      <c r="I10522" s="1348"/>
      <c r="J10522" s="1348"/>
      <c r="K10522" s="1348"/>
    </row>
    <row r="10523" spans="2:11" hidden="1">
      <c r="B10523" s="1348"/>
      <c r="C10523" s="1348"/>
      <c r="D10523" s="1348"/>
      <c r="E10523" s="1348"/>
      <c r="F10523" s="1348"/>
      <c r="G10523" s="1348"/>
      <c r="H10523" s="1348"/>
      <c r="I10523" s="1348"/>
      <c r="J10523" s="1348"/>
      <c r="K10523" s="1348"/>
    </row>
    <row r="10524" spans="2:11" hidden="1">
      <c r="B10524" s="1348"/>
      <c r="C10524" s="1348"/>
      <c r="D10524" s="1348"/>
      <c r="E10524" s="1348"/>
      <c r="F10524" s="1348"/>
      <c r="G10524" s="1348"/>
      <c r="H10524" s="1348"/>
      <c r="I10524" s="1348"/>
      <c r="J10524" s="1348"/>
      <c r="K10524" s="1348"/>
    </row>
    <row r="10525" spans="2:11" hidden="1">
      <c r="B10525" s="1348"/>
      <c r="C10525" s="1348"/>
      <c r="D10525" s="1348"/>
      <c r="E10525" s="1348"/>
      <c r="F10525" s="1348"/>
      <c r="G10525" s="1348"/>
      <c r="H10525" s="1348"/>
      <c r="I10525" s="1348"/>
      <c r="J10525" s="1348"/>
      <c r="K10525" s="1348"/>
    </row>
    <row r="10526" spans="2:11" hidden="1">
      <c r="B10526" s="1348"/>
      <c r="C10526" s="1348"/>
      <c r="D10526" s="1348"/>
      <c r="E10526" s="1348"/>
      <c r="F10526" s="1348"/>
      <c r="G10526" s="1348"/>
      <c r="H10526" s="1348"/>
      <c r="I10526" s="1348"/>
      <c r="J10526" s="1348"/>
      <c r="K10526" s="1348"/>
    </row>
    <row r="10527" spans="2:11" hidden="1">
      <c r="B10527" s="1348"/>
      <c r="C10527" s="1348"/>
      <c r="D10527" s="1348"/>
      <c r="E10527" s="1348"/>
      <c r="F10527" s="1348"/>
      <c r="G10527" s="1348"/>
      <c r="H10527" s="1348"/>
      <c r="I10527" s="1348"/>
      <c r="J10527" s="1348"/>
      <c r="K10527" s="1348"/>
    </row>
    <row r="10528" spans="2:11" hidden="1">
      <c r="B10528" s="1348"/>
      <c r="C10528" s="1348"/>
      <c r="D10528" s="1348"/>
      <c r="E10528" s="1348"/>
      <c r="F10528" s="1348"/>
      <c r="G10528" s="1348"/>
      <c r="H10528" s="1348"/>
      <c r="I10528" s="1348"/>
      <c r="J10528" s="1348"/>
      <c r="K10528" s="1348"/>
    </row>
    <row r="10529" spans="2:11" hidden="1">
      <c r="B10529" s="1348"/>
      <c r="C10529" s="1348"/>
      <c r="D10529" s="1348"/>
      <c r="E10529" s="1348"/>
      <c r="F10529" s="1348"/>
      <c r="G10529" s="1348"/>
      <c r="H10529" s="1348"/>
      <c r="I10529" s="1348"/>
      <c r="J10529" s="1348"/>
      <c r="K10529" s="1348"/>
    </row>
    <row r="10530" spans="2:11" hidden="1">
      <c r="B10530" s="1348"/>
      <c r="C10530" s="1348"/>
      <c r="D10530" s="1348"/>
      <c r="E10530" s="1348"/>
      <c r="F10530" s="1348"/>
      <c r="G10530" s="1348"/>
      <c r="H10530" s="1348"/>
      <c r="I10530" s="1348"/>
      <c r="J10530" s="1348"/>
      <c r="K10530" s="1348"/>
    </row>
    <row r="10531" spans="2:11" hidden="1">
      <c r="B10531" s="1348"/>
      <c r="C10531" s="1348"/>
      <c r="D10531" s="1348"/>
      <c r="E10531" s="1348"/>
      <c r="F10531" s="1348"/>
      <c r="G10531" s="1348"/>
      <c r="H10531" s="1348"/>
      <c r="I10531" s="1348"/>
      <c r="J10531" s="1348"/>
      <c r="K10531" s="1348"/>
    </row>
    <row r="10532" spans="2:11" hidden="1">
      <c r="B10532" s="1348"/>
      <c r="C10532" s="1348"/>
      <c r="D10532" s="1348"/>
      <c r="E10532" s="1348"/>
      <c r="F10532" s="1348"/>
      <c r="G10532" s="1348"/>
      <c r="H10532" s="1348"/>
      <c r="I10532" s="1348"/>
      <c r="J10532" s="1348"/>
      <c r="K10532" s="1348"/>
    </row>
    <row r="10533" spans="2:11" hidden="1">
      <c r="B10533" s="1348"/>
      <c r="C10533" s="1348"/>
      <c r="D10533" s="1348"/>
      <c r="E10533" s="1348"/>
      <c r="F10533" s="1348"/>
      <c r="G10533" s="1348"/>
      <c r="H10533" s="1348"/>
      <c r="I10533" s="1348"/>
      <c r="J10533" s="1348"/>
      <c r="K10533" s="1348"/>
    </row>
    <row r="10534" spans="2:11" hidden="1">
      <c r="B10534" s="1348"/>
      <c r="C10534" s="1348"/>
      <c r="D10534" s="1348"/>
      <c r="E10534" s="1348"/>
      <c r="F10534" s="1348"/>
      <c r="G10534" s="1348"/>
      <c r="H10534" s="1348"/>
      <c r="I10534" s="1348"/>
      <c r="J10534" s="1348"/>
      <c r="K10534" s="1348"/>
    </row>
    <row r="10535" spans="2:11" hidden="1">
      <c r="B10535" s="1348"/>
      <c r="C10535" s="1348"/>
      <c r="D10535" s="1348"/>
      <c r="E10535" s="1348"/>
      <c r="F10535" s="1348"/>
      <c r="G10535" s="1348"/>
      <c r="H10535" s="1348"/>
      <c r="I10535" s="1348"/>
      <c r="J10535" s="1348"/>
      <c r="K10535" s="1348"/>
    </row>
    <row r="10536" spans="2:11" hidden="1">
      <c r="B10536" s="1348"/>
      <c r="C10536" s="1348"/>
      <c r="D10536" s="1348"/>
      <c r="E10536" s="1348"/>
      <c r="F10536" s="1348"/>
      <c r="G10536" s="1348"/>
      <c r="H10536" s="1348"/>
      <c r="I10536" s="1348"/>
      <c r="J10536" s="1348"/>
      <c r="K10536" s="1348"/>
    </row>
    <row r="10537" spans="2:11" hidden="1">
      <c r="B10537" s="1348"/>
      <c r="C10537" s="1348"/>
      <c r="D10537" s="1348"/>
      <c r="E10537" s="1348"/>
      <c r="F10537" s="1348"/>
      <c r="G10537" s="1348"/>
      <c r="H10537" s="1348"/>
      <c r="I10537" s="1348"/>
      <c r="J10537" s="1348"/>
      <c r="K10537" s="1348"/>
    </row>
    <row r="10538" spans="2:11" hidden="1">
      <c r="B10538" s="1348"/>
      <c r="C10538" s="1348"/>
      <c r="D10538" s="1348"/>
      <c r="E10538" s="1348"/>
      <c r="F10538" s="1348"/>
      <c r="G10538" s="1348"/>
      <c r="H10538" s="1348"/>
      <c r="I10538" s="1348"/>
      <c r="J10538" s="1348"/>
      <c r="K10538" s="1348"/>
    </row>
    <row r="10539" spans="2:11" hidden="1">
      <c r="B10539" s="1348"/>
      <c r="C10539" s="1348"/>
      <c r="D10539" s="1348"/>
      <c r="E10539" s="1348"/>
      <c r="F10539" s="1348"/>
      <c r="G10539" s="1348"/>
      <c r="H10539" s="1348"/>
      <c r="I10539" s="1348"/>
      <c r="J10539" s="1348"/>
      <c r="K10539" s="1348"/>
    </row>
    <row r="10540" spans="2:11" hidden="1">
      <c r="B10540" s="1348"/>
      <c r="C10540" s="1348"/>
      <c r="D10540" s="1348"/>
      <c r="E10540" s="1348"/>
      <c r="F10540" s="1348"/>
      <c r="G10540" s="1348"/>
      <c r="H10540" s="1348"/>
      <c r="I10540" s="1348"/>
      <c r="J10540" s="1348"/>
      <c r="K10540" s="1348"/>
    </row>
    <row r="10541" spans="2:11" hidden="1">
      <c r="B10541" s="1348"/>
      <c r="C10541" s="1348"/>
      <c r="D10541" s="1348"/>
      <c r="E10541" s="1348"/>
      <c r="F10541" s="1348"/>
      <c r="G10541" s="1348"/>
      <c r="H10541" s="1348"/>
      <c r="I10541" s="1348"/>
      <c r="J10541" s="1348"/>
      <c r="K10541" s="1348"/>
    </row>
    <row r="10542" spans="2:11" hidden="1">
      <c r="B10542" s="1348"/>
      <c r="C10542" s="1348"/>
      <c r="D10542" s="1348"/>
      <c r="E10542" s="1348"/>
      <c r="F10542" s="1348"/>
      <c r="G10542" s="1348"/>
      <c r="H10542" s="1348"/>
      <c r="I10542" s="1348"/>
      <c r="J10542" s="1348"/>
      <c r="K10542" s="1348"/>
    </row>
    <row r="10543" spans="2:11" hidden="1">
      <c r="B10543" s="1348"/>
      <c r="C10543" s="1348"/>
      <c r="D10543" s="1348"/>
      <c r="E10543" s="1348"/>
      <c r="F10543" s="1348"/>
      <c r="G10543" s="1348"/>
      <c r="H10543" s="1348"/>
      <c r="I10543" s="1348"/>
      <c r="J10543" s="1348"/>
      <c r="K10543" s="1348"/>
    </row>
    <row r="10544" spans="2:11" hidden="1">
      <c r="B10544" s="1348"/>
      <c r="C10544" s="1348"/>
      <c r="D10544" s="1348"/>
      <c r="E10544" s="1348"/>
      <c r="F10544" s="1348"/>
      <c r="G10544" s="1348"/>
      <c r="H10544" s="1348"/>
      <c r="I10544" s="1348"/>
      <c r="J10544" s="1348"/>
      <c r="K10544" s="1348"/>
    </row>
    <row r="10545" spans="2:11" hidden="1">
      <c r="B10545" s="1348"/>
      <c r="C10545" s="1348"/>
      <c r="D10545" s="1348"/>
      <c r="E10545" s="1348"/>
      <c r="F10545" s="1348"/>
      <c r="G10545" s="1348"/>
      <c r="H10545" s="1348"/>
      <c r="I10545" s="1348"/>
      <c r="J10545" s="1348"/>
      <c r="K10545" s="1348"/>
    </row>
    <row r="10546" spans="2:11" hidden="1">
      <c r="B10546" s="1348"/>
      <c r="C10546" s="1348"/>
      <c r="D10546" s="1348"/>
      <c r="E10546" s="1348"/>
      <c r="F10546" s="1348"/>
      <c r="G10546" s="1348"/>
      <c r="H10546" s="1348"/>
      <c r="I10546" s="1348"/>
      <c r="J10546" s="1348"/>
      <c r="K10546" s="1348"/>
    </row>
    <row r="10547" spans="2:11" hidden="1">
      <c r="B10547" s="1348"/>
      <c r="C10547" s="1348"/>
      <c r="D10547" s="1348"/>
      <c r="E10547" s="1348"/>
      <c r="F10547" s="1348"/>
      <c r="G10547" s="1348"/>
      <c r="H10547" s="1348"/>
      <c r="I10547" s="1348"/>
      <c r="J10547" s="1348"/>
      <c r="K10547" s="1348"/>
    </row>
    <row r="10548" spans="2:11" hidden="1">
      <c r="B10548" s="1348"/>
      <c r="C10548" s="1348"/>
      <c r="D10548" s="1348"/>
      <c r="E10548" s="1348"/>
      <c r="F10548" s="1348"/>
      <c r="G10548" s="1348"/>
      <c r="H10548" s="1348"/>
      <c r="I10548" s="1348"/>
      <c r="J10548" s="1348"/>
      <c r="K10548" s="1348"/>
    </row>
    <row r="10549" spans="2:11" hidden="1">
      <c r="B10549" s="1348"/>
      <c r="C10549" s="1348"/>
      <c r="D10549" s="1348"/>
      <c r="E10549" s="1348"/>
      <c r="F10549" s="1348"/>
      <c r="G10549" s="1348"/>
      <c r="H10549" s="1348"/>
      <c r="I10549" s="1348"/>
      <c r="J10549" s="1348"/>
      <c r="K10549" s="1348"/>
    </row>
    <row r="10550" spans="2:11" hidden="1">
      <c r="B10550" s="1348"/>
      <c r="C10550" s="1348"/>
      <c r="D10550" s="1348"/>
      <c r="E10550" s="1348"/>
      <c r="F10550" s="1348"/>
      <c r="G10550" s="1348"/>
      <c r="H10550" s="1348"/>
      <c r="I10550" s="1348"/>
      <c r="J10550" s="1348"/>
      <c r="K10550" s="1348"/>
    </row>
    <row r="10551" spans="2:11" hidden="1">
      <c r="B10551" s="1348"/>
      <c r="C10551" s="1348"/>
      <c r="D10551" s="1348"/>
      <c r="E10551" s="1348"/>
      <c r="F10551" s="1348"/>
      <c r="G10551" s="1348"/>
      <c r="H10551" s="1348"/>
      <c r="I10551" s="1348"/>
      <c r="J10551" s="1348"/>
      <c r="K10551" s="1348"/>
    </row>
    <row r="10552" spans="2:11" hidden="1">
      <c r="B10552" s="1348"/>
      <c r="C10552" s="1348"/>
      <c r="D10552" s="1348"/>
      <c r="E10552" s="1348"/>
      <c r="F10552" s="1348"/>
      <c r="G10552" s="1348"/>
      <c r="H10552" s="1348"/>
      <c r="I10552" s="1348"/>
      <c r="J10552" s="1348"/>
      <c r="K10552" s="1348"/>
    </row>
    <row r="10553" spans="2:11" hidden="1">
      <c r="B10553" s="1348"/>
      <c r="C10553" s="1348"/>
      <c r="D10553" s="1348"/>
      <c r="E10553" s="1348"/>
      <c r="F10553" s="1348"/>
      <c r="G10553" s="1348"/>
      <c r="H10553" s="1348"/>
      <c r="I10553" s="1348"/>
      <c r="J10553" s="1348"/>
      <c r="K10553" s="1348"/>
    </row>
    <row r="10554" spans="2:11" hidden="1">
      <c r="B10554" s="1348"/>
      <c r="C10554" s="1348"/>
      <c r="D10554" s="1348"/>
      <c r="E10554" s="1348"/>
      <c r="F10554" s="1348"/>
      <c r="G10554" s="1348"/>
      <c r="H10554" s="1348"/>
      <c r="I10554" s="1348"/>
      <c r="J10554" s="1348"/>
      <c r="K10554" s="1348"/>
    </row>
    <row r="10555" spans="2:11" hidden="1">
      <c r="B10555" s="1348"/>
      <c r="C10555" s="1348"/>
      <c r="D10555" s="1348"/>
      <c r="E10555" s="1348"/>
      <c r="F10555" s="1348"/>
      <c r="G10555" s="1348"/>
      <c r="H10555" s="1348"/>
      <c r="I10555" s="1348"/>
      <c r="J10555" s="1348"/>
      <c r="K10555" s="1348"/>
    </row>
    <row r="10556" spans="2:11" hidden="1">
      <c r="B10556" s="1348"/>
      <c r="C10556" s="1348"/>
      <c r="D10556" s="1348"/>
      <c r="E10556" s="1348"/>
      <c r="F10556" s="1348"/>
      <c r="G10556" s="1348"/>
      <c r="H10556" s="1348"/>
      <c r="I10556" s="1348"/>
      <c r="J10556" s="1348"/>
      <c r="K10556" s="1348"/>
    </row>
    <row r="10557" spans="2:11" hidden="1">
      <c r="B10557" s="1348"/>
      <c r="C10557" s="1348"/>
      <c r="D10557" s="1348"/>
      <c r="E10557" s="1348"/>
      <c r="F10557" s="1348"/>
      <c r="G10557" s="1348"/>
      <c r="H10557" s="1348"/>
      <c r="I10557" s="1348"/>
      <c r="J10557" s="1348"/>
      <c r="K10557" s="1348"/>
    </row>
    <row r="10558" spans="2:11" hidden="1">
      <c r="B10558" s="1348"/>
      <c r="C10558" s="1348"/>
      <c r="D10558" s="1348"/>
      <c r="E10558" s="1348"/>
      <c r="F10558" s="1348"/>
      <c r="G10558" s="1348"/>
      <c r="H10558" s="1348"/>
      <c r="I10558" s="1348"/>
      <c r="J10558" s="1348"/>
      <c r="K10558" s="1348"/>
    </row>
    <row r="10559" spans="2:11" hidden="1">
      <c r="B10559" s="1348"/>
      <c r="C10559" s="1348"/>
      <c r="D10559" s="1348"/>
      <c r="E10559" s="1348"/>
      <c r="F10559" s="1348"/>
      <c r="G10559" s="1348"/>
      <c r="H10559" s="1348"/>
      <c r="I10559" s="1348"/>
      <c r="J10559" s="1348"/>
      <c r="K10559" s="1348"/>
    </row>
    <row r="10560" spans="2:11" hidden="1">
      <c r="B10560" s="1348"/>
      <c r="C10560" s="1348"/>
      <c r="D10560" s="1348"/>
      <c r="E10560" s="1348"/>
      <c r="F10560" s="1348"/>
      <c r="G10560" s="1348"/>
      <c r="H10560" s="1348"/>
      <c r="I10560" s="1348"/>
      <c r="J10560" s="1348"/>
      <c r="K10560" s="1348"/>
    </row>
    <row r="10561" spans="2:11" hidden="1">
      <c r="B10561" s="1348"/>
      <c r="C10561" s="1348"/>
      <c r="D10561" s="1348"/>
      <c r="E10561" s="1348"/>
      <c r="F10561" s="1348"/>
      <c r="G10561" s="1348"/>
      <c r="H10561" s="1348"/>
      <c r="I10561" s="1348"/>
      <c r="J10561" s="1348"/>
      <c r="K10561" s="1348"/>
    </row>
    <row r="10562" spans="2:11" hidden="1">
      <c r="B10562" s="1348"/>
      <c r="C10562" s="1348"/>
      <c r="D10562" s="1348"/>
      <c r="E10562" s="1348"/>
      <c r="F10562" s="1348"/>
      <c r="G10562" s="1348"/>
      <c r="H10562" s="1348"/>
      <c r="I10562" s="1348"/>
      <c r="J10562" s="1348"/>
      <c r="K10562" s="1348"/>
    </row>
    <row r="10563" spans="2:11" hidden="1">
      <c r="B10563" s="1348"/>
      <c r="C10563" s="1348"/>
      <c r="D10563" s="1348"/>
      <c r="E10563" s="1348"/>
      <c r="F10563" s="1348"/>
      <c r="G10563" s="1348"/>
      <c r="H10563" s="1348"/>
      <c r="I10563" s="1348"/>
      <c r="J10563" s="1348"/>
      <c r="K10563" s="1348"/>
    </row>
    <row r="10564" spans="2:11" hidden="1">
      <c r="B10564" s="1348"/>
      <c r="C10564" s="1348"/>
      <c r="D10564" s="1348"/>
      <c r="E10564" s="1348"/>
      <c r="F10564" s="1348"/>
      <c r="G10564" s="1348"/>
      <c r="H10564" s="1348"/>
      <c r="I10564" s="1348"/>
      <c r="J10564" s="1348"/>
      <c r="K10564" s="1348"/>
    </row>
    <row r="10565" spans="2:11" hidden="1">
      <c r="B10565" s="1348"/>
      <c r="C10565" s="1348"/>
      <c r="D10565" s="1348"/>
      <c r="E10565" s="1348"/>
      <c r="F10565" s="1348"/>
      <c r="G10565" s="1348"/>
      <c r="H10565" s="1348"/>
      <c r="I10565" s="1348"/>
      <c r="J10565" s="1348"/>
      <c r="K10565" s="1348"/>
    </row>
    <row r="10566" spans="2:11" hidden="1">
      <c r="B10566" s="1348"/>
      <c r="C10566" s="1348"/>
      <c r="D10566" s="1348"/>
      <c r="E10566" s="1348"/>
      <c r="F10566" s="1348"/>
      <c r="G10566" s="1348"/>
      <c r="H10566" s="1348"/>
      <c r="I10566" s="1348"/>
      <c r="J10566" s="1348"/>
      <c r="K10566" s="1348"/>
    </row>
    <row r="10567" spans="2:11" hidden="1">
      <c r="B10567" s="1348"/>
      <c r="C10567" s="1348"/>
      <c r="D10567" s="1348"/>
      <c r="E10567" s="1348"/>
      <c r="F10567" s="1348"/>
      <c r="G10567" s="1348"/>
      <c r="H10567" s="1348"/>
      <c r="I10567" s="1348"/>
      <c r="J10567" s="1348"/>
      <c r="K10567" s="1348"/>
    </row>
    <row r="10568" spans="2:11" hidden="1">
      <c r="B10568" s="1348"/>
      <c r="C10568" s="1348"/>
      <c r="D10568" s="1348"/>
      <c r="E10568" s="1348"/>
      <c r="F10568" s="1348"/>
      <c r="G10568" s="1348"/>
      <c r="H10568" s="1348"/>
      <c r="I10568" s="1348"/>
      <c r="J10568" s="1348"/>
      <c r="K10568" s="1348"/>
    </row>
    <row r="10569" spans="2:11" hidden="1">
      <c r="B10569" s="1348"/>
      <c r="C10569" s="1348"/>
      <c r="D10569" s="1348"/>
      <c r="E10569" s="1348"/>
      <c r="F10569" s="1348"/>
      <c r="G10569" s="1348"/>
      <c r="H10569" s="1348"/>
      <c r="I10569" s="1348"/>
      <c r="J10569" s="1348"/>
      <c r="K10569" s="1348"/>
    </row>
    <row r="10570" spans="2:11" hidden="1">
      <c r="B10570" s="1348"/>
      <c r="C10570" s="1348"/>
      <c r="D10570" s="1348"/>
      <c r="E10570" s="1348"/>
      <c r="F10570" s="1348"/>
      <c r="G10570" s="1348"/>
      <c r="H10570" s="1348"/>
      <c r="I10570" s="1348"/>
      <c r="J10570" s="1348"/>
      <c r="K10570" s="1348"/>
    </row>
    <row r="10571" spans="2:11" hidden="1">
      <c r="B10571" s="1348"/>
      <c r="C10571" s="1348"/>
      <c r="D10571" s="1348"/>
      <c r="E10571" s="1348"/>
      <c r="F10571" s="1348"/>
      <c r="G10571" s="1348"/>
      <c r="H10571" s="1348"/>
      <c r="I10571" s="1348"/>
      <c r="J10571" s="1348"/>
      <c r="K10571" s="1348"/>
    </row>
    <row r="10572" spans="2:11" hidden="1">
      <c r="B10572" s="1348"/>
      <c r="C10572" s="1348"/>
      <c r="D10572" s="1348"/>
      <c r="E10572" s="1348"/>
      <c r="F10572" s="1348"/>
      <c r="G10572" s="1348"/>
      <c r="H10572" s="1348"/>
      <c r="I10572" s="1348"/>
      <c r="J10572" s="1348"/>
      <c r="K10572" s="1348"/>
    </row>
    <row r="10573" spans="2:11" hidden="1">
      <c r="B10573" s="1348"/>
      <c r="C10573" s="1348"/>
      <c r="D10573" s="1348"/>
      <c r="E10573" s="1348"/>
      <c r="F10573" s="1348"/>
      <c r="G10573" s="1348"/>
      <c r="H10573" s="1348"/>
      <c r="I10573" s="1348"/>
      <c r="J10573" s="1348"/>
      <c r="K10573" s="1348"/>
    </row>
    <row r="10574" spans="2:11" hidden="1">
      <c r="B10574" s="1348"/>
      <c r="C10574" s="1348"/>
      <c r="D10574" s="1348"/>
      <c r="E10574" s="1348"/>
      <c r="F10574" s="1348"/>
      <c r="G10574" s="1348"/>
      <c r="H10574" s="1348"/>
      <c r="I10574" s="1348"/>
      <c r="J10574" s="1348"/>
      <c r="K10574" s="1348"/>
    </row>
    <row r="10575" spans="2:11" hidden="1">
      <c r="B10575" s="1348"/>
      <c r="C10575" s="1348"/>
      <c r="D10575" s="1348"/>
      <c r="E10575" s="1348"/>
      <c r="F10575" s="1348"/>
      <c r="G10575" s="1348"/>
      <c r="H10575" s="1348"/>
      <c r="I10575" s="1348"/>
      <c r="J10575" s="1348"/>
      <c r="K10575" s="1348"/>
    </row>
    <row r="10576" spans="2:11" hidden="1">
      <c r="B10576" s="1348"/>
      <c r="C10576" s="1348"/>
      <c r="D10576" s="1348"/>
      <c r="E10576" s="1348"/>
      <c r="F10576" s="1348"/>
      <c r="G10576" s="1348"/>
      <c r="H10576" s="1348"/>
      <c r="I10576" s="1348"/>
      <c r="J10576" s="1348"/>
      <c r="K10576" s="1348"/>
    </row>
    <row r="10577" spans="2:11" hidden="1">
      <c r="B10577" s="1348"/>
      <c r="C10577" s="1348"/>
      <c r="D10577" s="1348"/>
      <c r="E10577" s="1348"/>
      <c r="F10577" s="1348"/>
      <c r="G10577" s="1348"/>
      <c r="H10577" s="1348"/>
      <c r="I10577" s="1348"/>
      <c r="J10577" s="1348"/>
      <c r="K10577" s="1348"/>
    </row>
    <row r="10578" spans="2:11" hidden="1">
      <c r="B10578" s="1348"/>
      <c r="C10578" s="1348"/>
      <c r="D10578" s="1348"/>
      <c r="E10578" s="1348"/>
      <c r="F10578" s="1348"/>
      <c r="G10578" s="1348"/>
      <c r="H10578" s="1348"/>
      <c r="I10578" s="1348"/>
      <c r="J10578" s="1348"/>
      <c r="K10578" s="1348"/>
    </row>
    <row r="10579" spans="2:11" hidden="1">
      <c r="B10579" s="1348"/>
      <c r="C10579" s="1348"/>
      <c r="D10579" s="1348"/>
      <c r="E10579" s="1348"/>
      <c r="F10579" s="1348"/>
      <c r="G10579" s="1348"/>
      <c r="H10579" s="1348"/>
      <c r="I10579" s="1348"/>
      <c r="J10579" s="1348"/>
      <c r="K10579" s="1348"/>
    </row>
    <row r="10580" spans="2:11" hidden="1">
      <c r="B10580" s="1348"/>
      <c r="C10580" s="1348"/>
      <c r="D10580" s="1348"/>
      <c r="E10580" s="1348"/>
      <c r="F10580" s="1348"/>
      <c r="G10580" s="1348"/>
      <c r="H10580" s="1348"/>
      <c r="I10580" s="1348"/>
      <c r="J10580" s="1348"/>
      <c r="K10580" s="1348"/>
    </row>
    <row r="10581" spans="2:11" hidden="1">
      <c r="B10581" s="1348"/>
      <c r="C10581" s="1348"/>
      <c r="D10581" s="1348"/>
      <c r="E10581" s="1348"/>
      <c r="F10581" s="1348"/>
      <c r="G10581" s="1348"/>
      <c r="H10581" s="1348"/>
      <c r="I10581" s="1348"/>
      <c r="J10581" s="1348"/>
      <c r="K10581" s="1348"/>
    </row>
    <row r="10582" spans="2:11" hidden="1">
      <c r="B10582" s="1348"/>
      <c r="C10582" s="1348"/>
      <c r="D10582" s="1348"/>
      <c r="E10582" s="1348"/>
      <c r="F10582" s="1348"/>
      <c r="G10582" s="1348"/>
      <c r="H10582" s="1348"/>
      <c r="I10582" s="1348"/>
      <c r="J10582" s="1348"/>
      <c r="K10582" s="1348"/>
    </row>
    <row r="10583" spans="2:11" hidden="1">
      <c r="B10583" s="1348"/>
      <c r="C10583" s="1348"/>
      <c r="D10583" s="1348"/>
      <c r="E10583" s="1348"/>
      <c r="F10583" s="1348"/>
      <c r="G10583" s="1348"/>
      <c r="H10583" s="1348"/>
      <c r="I10583" s="1348"/>
      <c r="J10583" s="1348"/>
      <c r="K10583" s="1348"/>
    </row>
    <row r="10584" spans="2:11" hidden="1">
      <c r="B10584" s="1348"/>
      <c r="C10584" s="1348"/>
      <c r="D10584" s="1348"/>
      <c r="E10584" s="1348"/>
      <c r="F10584" s="1348"/>
      <c r="G10584" s="1348"/>
      <c r="H10584" s="1348"/>
      <c r="I10584" s="1348"/>
      <c r="J10584" s="1348"/>
      <c r="K10584" s="1348"/>
    </row>
    <row r="10585" spans="2:11" hidden="1">
      <c r="B10585" s="1348"/>
      <c r="C10585" s="1348"/>
      <c r="D10585" s="1348"/>
      <c r="E10585" s="1348"/>
      <c r="F10585" s="1348"/>
      <c r="G10585" s="1348"/>
      <c r="H10585" s="1348"/>
      <c r="I10585" s="1348"/>
      <c r="J10585" s="1348"/>
      <c r="K10585" s="1348"/>
    </row>
    <row r="10586" spans="2:11" hidden="1">
      <c r="B10586" s="1348"/>
      <c r="C10586" s="1348"/>
      <c r="D10586" s="1348"/>
      <c r="E10586" s="1348"/>
      <c r="F10586" s="1348"/>
      <c r="G10586" s="1348"/>
      <c r="H10586" s="1348"/>
      <c r="I10586" s="1348"/>
      <c r="J10586" s="1348"/>
      <c r="K10586" s="1348"/>
    </row>
    <row r="10587" spans="2:11" hidden="1">
      <c r="B10587" s="1348"/>
      <c r="C10587" s="1348"/>
      <c r="D10587" s="1348"/>
      <c r="E10587" s="1348"/>
      <c r="F10587" s="1348"/>
      <c r="G10587" s="1348"/>
      <c r="H10587" s="1348"/>
      <c r="I10587" s="1348"/>
      <c r="J10587" s="1348"/>
      <c r="K10587" s="1348"/>
    </row>
    <row r="10588" spans="2:11" hidden="1">
      <c r="B10588" s="1348"/>
      <c r="C10588" s="1348"/>
      <c r="D10588" s="1348"/>
      <c r="E10588" s="1348"/>
      <c r="F10588" s="1348"/>
      <c r="G10588" s="1348"/>
      <c r="H10588" s="1348"/>
      <c r="I10588" s="1348"/>
      <c r="J10588" s="1348"/>
      <c r="K10588" s="1348"/>
    </row>
    <row r="10589" spans="2:11" hidden="1">
      <c r="B10589" s="1348"/>
      <c r="C10589" s="1348"/>
      <c r="D10589" s="1348"/>
      <c r="E10589" s="1348"/>
      <c r="F10589" s="1348"/>
      <c r="G10589" s="1348"/>
      <c r="H10589" s="1348"/>
      <c r="I10589" s="1348"/>
      <c r="J10589" s="1348"/>
      <c r="K10589" s="1348"/>
    </row>
    <row r="10590" spans="2:11" hidden="1">
      <c r="B10590" s="1348"/>
      <c r="C10590" s="1348"/>
      <c r="D10590" s="1348"/>
      <c r="E10590" s="1348"/>
      <c r="F10590" s="1348"/>
      <c r="G10590" s="1348"/>
      <c r="H10590" s="1348"/>
      <c r="I10590" s="1348"/>
      <c r="J10590" s="1348"/>
      <c r="K10590" s="1348"/>
    </row>
    <row r="10591" spans="2:11" hidden="1">
      <c r="B10591" s="1348"/>
      <c r="C10591" s="1348"/>
      <c r="D10591" s="1348"/>
      <c r="E10591" s="1348"/>
      <c r="F10591" s="1348"/>
      <c r="G10591" s="1348"/>
      <c r="H10591" s="1348"/>
      <c r="I10591" s="1348"/>
      <c r="J10591" s="1348"/>
      <c r="K10591" s="1348"/>
    </row>
    <row r="10592" spans="2:11" hidden="1">
      <c r="B10592" s="1348"/>
      <c r="C10592" s="1348"/>
      <c r="D10592" s="1348"/>
      <c r="E10592" s="1348"/>
      <c r="F10592" s="1348"/>
      <c r="G10592" s="1348"/>
      <c r="H10592" s="1348"/>
      <c r="I10592" s="1348"/>
      <c r="J10592" s="1348"/>
      <c r="K10592" s="1348"/>
    </row>
    <row r="10593" spans="2:11" hidden="1">
      <c r="B10593" s="1348"/>
      <c r="C10593" s="1348"/>
      <c r="D10593" s="1348"/>
      <c r="E10593" s="1348"/>
      <c r="F10593" s="1348"/>
      <c r="G10593" s="1348"/>
      <c r="H10593" s="1348"/>
      <c r="I10593" s="1348"/>
      <c r="J10593" s="1348"/>
      <c r="K10593" s="1348"/>
    </row>
    <row r="10594" spans="2:11" hidden="1">
      <c r="B10594" s="1348"/>
      <c r="C10594" s="1348"/>
      <c r="D10594" s="1348"/>
      <c r="E10594" s="1348"/>
      <c r="F10594" s="1348"/>
      <c r="G10594" s="1348"/>
      <c r="H10594" s="1348"/>
      <c r="I10594" s="1348"/>
      <c r="J10594" s="1348"/>
      <c r="K10594" s="1348"/>
    </row>
    <row r="10595" spans="2:11" hidden="1">
      <c r="B10595" s="1348"/>
      <c r="C10595" s="1348"/>
      <c r="D10595" s="1348"/>
      <c r="E10595" s="1348"/>
      <c r="F10595" s="1348"/>
      <c r="G10595" s="1348"/>
      <c r="H10595" s="1348"/>
      <c r="I10595" s="1348"/>
      <c r="J10595" s="1348"/>
      <c r="K10595" s="1348"/>
    </row>
    <row r="10596" spans="2:11" hidden="1">
      <c r="B10596" s="1348"/>
      <c r="C10596" s="1348"/>
      <c r="D10596" s="1348"/>
      <c r="E10596" s="1348"/>
      <c r="F10596" s="1348"/>
      <c r="G10596" s="1348"/>
      <c r="H10596" s="1348"/>
      <c r="I10596" s="1348"/>
      <c r="J10596" s="1348"/>
      <c r="K10596" s="1348"/>
    </row>
    <row r="10597" spans="2:11" hidden="1">
      <c r="B10597" s="1348"/>
      <c r="C10597" s="1348"/>
      <c r="D10597" s="1348"/>
      <c r="E10597" s="1348"/>
      <c r="F10597" s="1348"/>
      <c r="G10597" s="1348"/>
      <c r="H10597" s="1348"/>
      <c r="I10597" s="1348"/>
      <c r="J10597" s="1348"/>
      <c r="K10597" s="1348"/>
    </row>
    <row r="10598" spans="2:11" hidden="1">
      <c r="B10598" s="1348"/>
      <c r="C10598" s="1348"/>
      <c r="D10598" s="1348"/>
      <c r="E10598" s="1348"/>
      <c r="F10598" s="1348"/>
      <c r="G10598" s="1348"/>
      <c r="H10598" s="1348"/>
      <c r="I10598" s="1348"/>
      <c r="J10598" s="1348"/>
      <c r="K10598" s="1348"/>
    </row>
    <row r="10599" spans="2:11" hidden="1">
      <c r="B10599" s="1348"/>
      <c r="C10599" s="1348"/>
      <c r="D10599" s="1348"/>
      <c r="E10599" s="1348"/>
      <c r="F10599" s="1348"/>
      <c r="G10599" s="1348"/>
      <c r="H10599" s="1348"/>
      <c r="I10599" s="1348"/>
      <c r="J10599" s="1348"/>
      <c r="K10599" s="1348"/>
    </row>
    <row r="10600" spans="2:11" hidden="1">
      <c r="B10600" s="1348"/>
      <c r="C10600" s="1348"/>
      <c r="D10600" s="1348"/>
      <c r="E10600" s="1348"/>
      <c r="F10600" s="1348"/>
      <c r="G10600" s="1348"/>
      <c r="H10600" s="1348"/>
      <c r="I10600" s="1348"/>
      <c r="J10600" s="1348"/>
      <c r="K10600" s="1348"/>
    </row>
    <row r="10601" spans="2:11" hidden="1">
      <c r="B10601" s="1348"/>
      <c r="C10601" s="1348"/>
      <c r="D10601" s="1348"/>
      <c r="E10601" s="1348"/>
      <c r="F10601" s="1348"/>
      <c r="G10601" s="1348"/>
      <c r="H10601" s="1348"/>
      <c r="I10601" s="1348"/>
      <c r="J10601" s="1348"/>
      <c r="K10601" s="1348"/>
    </row>
    <row r="10602" spans="2:11" hidden="1">
      <c r="B10602" s="1348"/>
      <c r="C10602" s="1348"/>
      <c r="D10602" s="1348"/>
      <c r="E10602" s="1348"/>
      <c r="F10602" s="1348"/>
      <c r="G10602" s="1348"/>
      <c r="H10602" s="1348"/>
      <c r="I10602" s="1348"/>
      <c r="J10602" s="1348"/>
      <c r="K10602" s="1348"/>
    </row>
    <row r="10603" spans="2:11" hidden="1">
      <c r="B10603" s="1348"/>
      <c r="C10603" s="1348"/>
      <c r="D10603" s="1348"/>
      <c r="E10603" s="1348"/>
      <c r="F10603" s="1348"/>
      <c r="G10603" s="1348"/>
      <c r="H10603" s="1348"/>
      <c r="I10603" s="1348"/>
      <c r="J10603" s="1348"/>
      <c r="K10603" s="1348"/>
    </row>
    <row r="10604" spans="2:11" hidden="1">
      <c r="B10604" s="1348"/>
      <c r="C10604" s="1348"/>
      <c r="D10604" s="1348"/>
      <c r="E10604" s="1348"/>
      <c r="F10604" s="1348"/>
      <c r="G10604" s="1348"/>
      <c r="H10604" s="1348"/>
      <c r="I10604" s="1348"/>
      <c r="J10604" s="1348"/>
      <c r="K10604" s="1348"/>
    </row>
    <row r="10605" spans="2:11" hidden="1">
      <c r="B10605" s="1348"/>
      <c r="C10605" s="1348"/>
      <c r="D10605" s="1348"/>
      <c r="E10605" s="1348"/>
      <c r="F10605" s="1348"/>
      <c r="G10605" s="1348"/>
      <c r="H10605" s="1348"/>
      <c r="I10605" s="1348"/>
      <c r="J10605" s="1348"/>
      <c r="K10605" s="1348"/>
    </row>
    <row r="10606" spans="2:11" hidden="1">
      <c r="B10606" s="1348"/>
      <c r="C10606" s="1348"/>
      <c r="D10606" s="1348"/>
      <c r="E10606" s="1348"/>
      <c r="F10606" s="1348"/>
      <c r="G10606" s="1348"/>
      <c r="H10606" s="1348"/>
      <c r="I10606" s="1348"/>
      <c r="J10606" s="1348"/>
      <c r="K10606" s="1348"/>
    </row>
    <row r="10607" spans="2:11" hidden="1">
      <c r="B10607" s="1348"/>
      <c r="C10607" s="1348"/>
      <c r="D10607" s="1348"/>
      <c r="E10607" s="1348"/>
      <c r="F10607" s="1348"/>
      <c r="G10607" s="1348"/>
      <c r="H10607" s="1348"/>
      <c r="I10607" s="1348"/>
      <c r="J10607" s="1348"/>
      <c r="K10607" s="1348"/>
    </row>
    <row r="10608" spans="2:11" hidden="1">
      <c r="B10608" s="1348"/>
      <c r="C10608" s="1348"/>
      <c r="D10608" s="1348"/>
      <c r="E10608" s="1348"/>
      <c r="F10608" s="1348"/>
      <c r="G10608" s="1348"/>
      <c r="H10608" s="1348"/>
      <c r="I10608" s="1348"/>
      <c r="J10608" s="1348"/>
      <c r="K10608" s="1348"/>
    </row>
    <row r="10609" spans="2:11" hidden="1">
      <c r="B10609" s="1348"/>
      <c r="C10609" s="1348"/>
      <c r="D10609" s="1348"/>
      <c r="E10609" s="1348"/>
      <c r="F10609" s="1348"/>
      <c r="G10609" s="1348"/>
      <c r="H10609" s="1348"/>
      <c r="I10609" s="1348"/>
      <c r="J10609" s="1348"/>
      <c r="K10609" s="1348"/>
    </row>
    <row r="10610" spans="2:11" hidden="1">
      <c r="B10610" s="1348"/>
      <c r="C10610" s="1348"/>
      <c r="D10610" s="1348"/>
      <c r="E10610" s="1348"/>
      <c r="F10610" s="1348"/>
      <c r="G10610" s="1348"/>
      <c r="H10610" s="1348"/>
      <c r="I10610" s="1348"/>
      <c r="J10610" s="1348"/>
      <c r="K10610" s="1348"/>
    </row>
    <row r="10611" spans="2:11" hidden="1">
      <c r="B10611" s="1348"/>
      <c r="C10611" s="1348"/>
      <c r="D10611" s="1348"/>
      <c r="E10611" s="1348"/>
      <c r="F10611" s="1348"/>
      <c r="G10611" s="1348"/>
      <c r="H10611" s="1348"/>
      <c r="I10611" s="1348"/>
      <c r="J10611" s="1348"/>
      <c r="K10611" s="1348"/>
    </row>
    <row r="10612" spans="2:11" hidden="1">
      <c r="B10612" s="1348"/>
      <c r="C10612" s="1348"/>
      <c r="D10612" s="1348"/>
      <c r="E10612" s="1348"/>
      <c r="F10612" s="1348"/>
      <c r="G10612" s="1348"/>
      <c r="H10612" s="1348"/>
      <c r="I10612" s="1348"/>
      <c r="J10612" s="1348"/>
      <c r="K10612" s="1348"/>
    </row>
    <row r="10613" spans="2:11" hidden="1">
      <c r="B10613" s="1348"/>
      <c r="C10613" s="1348"/>
      <c r="D10613" s="1348"/>
      <c r="E10613" s="1348"/>
      <c r="F10613" s="1348"/>
      <c r="G10613" s="1348"/>
      <c r="H10613" s="1348"/>
      <c r="I10613" s="1348"/>
      <c r="J10613" s="1348"/>
      <c r="K10613" s="1348"/>
    </row>
    <row r="10614" spans="2:11" hidden="1">
      <c r="B10614" s="1348"/>
      <c r="C10614" s="1348"/>
      <c r="D10614" s="1348"/>
      <c r="E10614" s="1348"/>
      <c r="F10614" s="1348"/>
      <c r="G10614" s="1348"/>
      <c r="H10614" s="1348"/>
      <c r="I10614" s="1348"/>
      <c r="J10614" s="1348"/>
      <c r="K10614" s="1348"/>
    </row>
    <row r="10615" spans="2:11" hidden="1">
      <c r="B10615" s="1348"/>
      <c r="C10615" s="1348"/>
      <c r="D10615" s="1348"/>
      <c r="E10615" s="1348"/>
      <c r="F10615" s="1348"/>
      <c r="G10615" s="1348"/>
      <c r="H10615" s="1348"/>
      <c r="I10615" s="1348"/>
      <c r="J10615" s="1348"/>
      <c r="K10615" s="1348"/>
    </row>
    <row r="10616" spans="2:11" hidden="1">
      <c r="B10616" s="1348"/>
      <c r="C10616" s="1348"/>
      <c r="D10616" s="1348"/>
      <c r="E10616" s="1348"/>
      <c r="F10616" s="1348"/>
      <c r="G10616" s="1348"/>
      <c r="H10616" s="1348"/>
      <c r="I10616" s="1348"/>
      <c r="J10616" s="1348"/>
      <c r="K10616" s="1348"/>
    </row>
    <row r="10617" spans="2:11" hidden="1">
      <c r="B10617" s="1348"/>
      <c r="C10617" s="1348"/>
      <c r="D10617" s="1348"/>
      <c r="E10617" s="1348"/>
      <c r="F10617" s="1348"/>
      <c r="G10617" s="1348"/>
      <c r="H10617" s="1348"/>
      <c r="I10617" s="1348"/>
      <c r="J10617" s="1348"/>
      <c r="K10617" s="1348"/>
    </row>
    <row r="10618" spans="2:11" hidden="1">
      <c r="B10618" s="1348"/>
      <c r="C10618" s="1348"/>
      <c r="D10618" s="1348"/>
      <c r="E10618" s="1348"/>
      <c r="F10618" s="1348"/>
      <c r="G10618" s="1348"/>
      <c r="H10618" s="1348"/>
      <c r="I10618" s="1348"/>
      <c r="J10618" s="1348"/>
      <c r="K10618" s="1348"/>
    </row>
    <row r="10619" spans="2:11" hidden="1">
      <c r="B10619" s="1348"/>
      <c r="C10619" s="1348"/>
      <c r="D10619" s="1348"/>
      <c r="E10619" s="1348"/>
      <c r="F10619" s="1348"/>
      <c r="G10619" s="1348"/>
      <c r="H10619" s="1348"/>
      <c r="I10619" s="1348"/>
      <c r="J10619" s="1348"/>
      <c r="K10619" s="1348"/>
    </row>
    <row r="10620" spans="2:11" hidden="1">
      <c r="B10620" s="1348"/>
      <c r="C10620" s="1348"/>
      <c r="D10620" s="1348"/>
      <c r="E10620" s="1348"/>
      <c r="F10620" s="1348"/>
      <c r="G10620" s="1348"/>
      <c r="H10620" s="1348"/>
      <c r="I10620" s="1348"/>
      <c r="J10620" s="1348"/>
      <c r="K10620" s="1348"/>
    </row>
    <row r="10621" spans="2:11" hidden="1">
      <c r="B10621" s="1348"/>
      <c r="C10621" s="1348"/>
      <c r="D10621" s="1348"/>
      <c r="E10621" s="1348"/>
      <c r="F10621" s="1348"/>
      <c r="G10621" s="1348"/>
      <c r="H10621" s="1348"/>
      <c r="I10621" s="1348"/>
      <c r="J10621" s="1348"/>
      <c r="K10621" s="1348"/>
    </row>
    <row r="10622" spans="2:11" hidden="1">
      <c r="B10622" s="1348"/>
      <c r="C10622" s="1348"/>
      <c r="D10622" s="1348"/>
      <c r="E10622" s="1348"/>
      <c r="F10622" s="1348"/>
      <c r="G10622" s="1348"/>
      <c r="H10622" s="1348"/>
      <c r="I10622" s="1348"/>
      <c r="J10622" s="1348"/>
      <c r="K10622" s="1348"/>
    </row>
    <row r="10623" spans="2:11" hidden="1">
      <c r="B10623" s="1348"/>
      <c r="C10623" s="1348"/>
      <c r="D10623" s="1348"/>
      <c r="E10623" s="1348"/>
      <c r="F10623" s="1348"/>
      <c r="G10623" s="1348"/>
      <c r="H10623" s="1348"/>
      <c r="I10623" s="1348"/>
      <c r="J10623" s="1348"/>
      <c r="K10623" s="1348"/>
    </row>
    <row r="10624" spans="2:11" hidden="1">
      <c r="B10624" s="1348"/>
      <c r="C10624" s="1348"/>
      <c r="D10624" s="1348"/>
      <c r="E10624" s="1348"/>
      <c r="F10624" s="1348"/>
      <c r="G10624" s="1348"/>
      <c r="H10624" s="1348"/>
      <c r="I10624" s="1348"/>
      <c r="J10624" s="1348"/>
      <c r="K10624" s="1348"/>
    </row>
    <row r="10625" spans="2:11" hidden="1">
      <c r="B10625" s="1348"/>
      <c r="C10625" s="1348"/>
      <c r="D10625" s="1348"/>
      <c r="E10625" s="1348"/>
      <c r="F10625" s="1348"/>
      <c r="G10625" s="1348"/>
      <c r="H10625" s="1348"/>
      <c r="I10625" s="1348"/>
      <c r="J10625" s="1348"/>
      <c r="K10625" s="1348"/>
    </row>
    <row r="10626" spans="2:11" hidden="1">
      <c r="B10626" s="1348"/>
      <c r="C10626" s="1348"/>
      <c r="D10626" s="1348"/>
      <c r="E10626" s="1348"/>
      <c r="F10626" s="1348"/>
      <c r="G10626" s="1348"/>
      <c r="H10626" s="1348"/>
      <c r="I10626" s="1348"/>
      <c r="J10626" s="1348"/>
      <c r="K10626" s="1348"/>
    </row>
    <row r="10627" spans="2:11" hidden="1">
      <c r="B10627" s="1348"/>
      <c r="C10627" s="1348"/>
      <c r="D10627" s="1348"/>
      <c r="E10627" s="1348"/>
      <c r="F10627" s="1348"/>
      <c r="G10627" s="1348"/>
      <c r="H10627" s="1348"/>
      <c r="I10627" s="1348"/>
      <c r="J10627" s="1348"/>
      <c r="K10627" s="1348"/>
    </row>
    <row r="10628" spans="2:11" hidden="1">
      <c r="B10628" s="1348"/>
      <c r="C10628" s="1348"/>
      <c r="D10628" s="1348"/>
      <c r="E10628" s="1348"/>
      <c r="F10628" s="1348"/>
      <c r="G10628" s="1348"/>
      <c r="H10628" s="1348"/>
      <c r="I10628" s="1348"/>
      <c r="J10628" s="1348"/>
      <c r="K10628" s="1348"/>
    </row>
    <row r="10629" spans="2:11" hidden="1">
      <c r="B10629" s="1348"/>
      <c r="C10629" s="1348"/>
      <c r="D10629" s="1348"/>
      <c r="E10629" s="1348"/>
      <c r="F10629" s="1348"/>
      <c r="G10629" s="1348"/>
      <c r="H10629" s="1348"/>
      <c r="I10629" s="1348"/>
      <c r="J10629" s="1348"/>
      <c r="K10629" s="1348"/>
    </row>
    <row r="10630" spans="2:11" hidden="1">
      <c r="B10630" s="1348"/>
      <c r="C10630" s="1348"/>
      <c r="D10630" s="1348"/>
      <c r="E10630" s="1348"/>
      <c r="F10630" s="1348"/>
      <c r="G10630" s="1348"/>
      <c r="H10630" s="1348"/>
      <c r="I10630" s="1348"/>
      <c r="J10630" s="1348"/>
      <c r="K10630" s="1348"/>
    </row>
    <row r="10631" spans="2:11" hidden="1">
      <c r="B10631" s="1348"/>
      <c r="C10631" s="1348"/>
      <c r="D10631" s="1348"/>
      <c r="E10631" s="1348"/>
      <c r="F10631" s="1348"/>
      <c r="G10631" s="1348"/>
      <c r="H10631" s="1348"/>
      <c r="I10631" s="1348"/>
      <c r="J10631" s="1348"/>
      <c r="K10631" s="1348"/>
    </row>
    <row r="10632" spans="2:11" hidden="1">
      <c r="B10632" s="1348"/>
      <c r="C10632" s="1348"/>
      <c r="D10632" s="1348"/>
      <c r="E10632" s="1348"/>
      <c r="F10632" s="1348"/>
      <c r="G10632" s="1348"/>
      <c r="H10632" s="1348"/>
      <c r="I10632" s="1348"/>
      <c r="J10632" s="1348"/>
      <c r="K10632" s="1348"/>
    </row>
    <row r="10633" spans="2:11" hidden="1">
      <c r="B10633" s="1348"/>
      <c r="C10633" s="1348"/>
      <c r="D10633" s="1348"/>
      <c r="E10633" s="1348"/>
      <c r="F10633" s="1348"/>
      <c r="G10633" s="1348"/>
      <c r="H10633" s="1348"/>
      <c r="I10633" s="1348"/>
      <c r="J10633" s="1348"/>
      <c r="K10633" s="1348"/>
    </row>
    <row r="10634" spans="2:11" hidden="1">
      <c r="B10634" s="1348"/>
      <c r="C10634" s="1348"/>
      <c r="D10634" s="1348"/>
      <c r="E10634" s="1348"/>
      <c r="F10634" s="1348"/>
      <c r="G10634" s="1348"/>
      <c r="H10634" s="1348"/>
      <c r="I10634" s="1348"/>
      <c r="J10634" s="1348"/>
      <c r="K10634" s="1348"/>
    </row>
    <row r="10635" spans="2:11" hidden="1">
      <c r="B10635" s="1348"/>
      <c r="C10635" s="1348"/>
      <c r="D10635" s="1348"/>
      <c r="E10635" s="1348"/>
      <c r="F10635" s="1348"/>
      <c r="G10635" s="1348"/>
      <c r="H10635" s="1348"/>
      <c r="I10635" s="1348"/>
      <c r="J10635" s="1348"/>
      <c r="K10635" s="1348"/>
    </row>
    <row r="10636" spans="2:11" hidden="1">
      <c r="B10636" s="1348"/>
      <c r="C10636" s="1348"/>
      <c r="D10636" s="1348"/>
      <c r="E10636" s="1348"/>
      <c r="F10636" s="1348"/>
      <c r="G10636" s="1348"/>
      <c r="H10636" s="1348"/>
      <c r="I10636" s="1348"/>
      <c r="J10636" s="1348"/>
      <c r="K10636" s="1348"/>
    </row>
    <row r="10637" spans="2:11" hidden="1">
      <c r="B10637" s="1348"/>
      <c r="C10637" s="1348"/>
      <c r="D10637" s="1348"/>
      <c r="E10637" s="1348"/>
      <c r="F10637" s="1348"/>
      <c r="G10637" s="1348"/>
      <c r="H10637" s="1348"/>
      <c r="I10637" s="1348"/>
      <c r="J10637" s="1348"/>
      <c r="K10637" s="1348"/>
    </row>
    <row r="10638" spans="2:11" hidden="1">
      <c r="B10638" s="1348"/>
      <c r="C10638" s="1348"/>
      <c r="D10638" s="1348"/>
      <c r="E10638" s="1348"/>
      <c r="F10638" s="1348"/>
      <c r="G10638" s="1348"/>
      <c r="H10638" s="1348"/>
      <c r="I10638" s="1348"/>
      <c r="J10638" s="1348"/>
      <c r="K10638" s="1348"/>
    </row>
    <row r="10639" spans="2:11" hidden="1">
      <c r="B10639" s="1348"/>
      <c r="C10639" s="1348"/>
      <c r="D10639" s="1348"/>
      <c r="E10639" s="1348"/>
      <c r="F10639" s="1348"/>
      <c r="G10639" s="1348"/>
      <c r="H10639" s="1348"/>
      <c r="I10639" s="1348"/>
      <c r="J10639" s="1348"/>
      <c r="K10639" s="1348"/>
    </row>
    <row r="10640" spans="2:11" hidden="1">
      <c r="B10640" s="1348"/>
      <c r="C10640" s="1348"/>
      <c r="D10640" s="1348"/>
      <c r="E10640" s="1348"/>
      <c r="F10640" s="1348"/>
      <c r="G10640" s="1348"/>
      <c r="H10640" s="1348"/>
      <c r="I10640" s="1348"/>
      <c r="J10640" s="1348"/>
      <c r="K10640" s="1348"/>
    </row>
    <row r="10641" spans="2:11" hidden="1">
      <c r="B10641" s="1348"/>
      <c r="C10641" s="1348"/>
      <c r="D10641" s="1348"/>
      <c r="E10641" s="1348"/>
      <c r="F10641" s="1348"/>
      <c r="G10641" s="1348"/>
      <c r="H10641" s="1348"/>
      <c r="I10641" s="1348"/>
      <c r="J10641" s="1348"/>
      <c r="K10641" s="1348"/>
    </row>
    <row r="10642" spans="2:11" hidden="1">
      <c r="B10642" s="1348"/>
      <c r="C10642" s="1348"/>
      <c r="D10642" s="1348"/>
      <c r="E10642" s="1348"/>
      <c r="F10642" s="1348"/>
      <c r="G10642" s="1348"/>
      <c r="H10642" s="1348"/>
      <c r="I10642" s="1348"/>
      <c r="J10642" s="1348"/>
      <c r="K10642" s="1348"/>
    </row>
    <row r="10643" spans="2:11" hidden="1">
      <c r="B10643" s="1348"/>
      <c r="C10643" s="1348"/>
      <c r="D10643" s="1348"/>
      <c r="E10643" s="1348"/>
      <c r="F10643" s="1348"/>
      <c r="G10643" s="1348"/>
      <c r="H10643" s="1348"/>
      <c r="I10643" s="1348"/>
      <c r="J10643" s="1348"/>
      <c r="K10643" s="1348"/>
    </row>
    <row r="10644" spans="2:11" hidden="1">
      <c r="B10644" s="1348"/>
      <c r="C10644" s="1348"/>
      <c r="D10644" s="1348"/>
      <c r="E10644" s="1348"/>
      <c r="F10644" s="1348"/>
      <c r="G10644" s="1348"/>
      <c r="H10644" s="1348"/>
      <c r="I10644" s="1348"/>
      <c r="J10644" s="1348"/>
      <c r="K10644" s="1348"/>
    </row>
    <row r="10645" spans="2:11" hidden="1">
      <c r="B10645" s="1348"/>
      <c r="C10645" s="1348"/>
      <c r="D10645" s="1348"/>
      <c r="E10645" s="1348"/>
      <c r="F10645" s="1348"/>
      <c r="G10645" s="1348"/>
      <c r="H10645" s="1348"/>
      <c r="I10645" s="1348"/>
      <c r="J10645" s="1348"/>
      <c r="K10645" s="1348"/>
    </row>
    <row r="10646" spans="2:11" hidden="1">
      <c r="B10646" s="1348"/>
      <c r="C10646" s="1348"/>
      <c r="D10646" s="1348"/>
      <c r="E10646" s="1348"/>
      <c r="F10646" s="1348"/>
      <c r="G10646" s="1348"/>
      <c r="H10646" s="1348"/>
      <c r="I10646" s="1348"/>
      <c r="J10646" s="1348"/>
      <c r="K10646" s="1348"/>
    </row>
    <row r="10647" spans="2:11" hidden="1">
      <c r="B10647" s="1348"/>
      <c r="C10647" s="1348"/>
      <c r="D10647" s="1348"/>
      <c r="E10647" s="1348"/>
      <c r="F10647" s="1348"/>
      <c r="G10647" s="1348"/>
      <c r="H10647" s="1348"/>
      <c r="I10647" s="1348"/>
      <c r="J10647" s="1348"/>
      <c r="K10647" s="1348"/>
    </row>
    <row r="10648" spans="2:11" hidden="1">
      <c r="B10648" s="1348"/>
      <c r="C10648" s="1348"/>
      <c r="D10648" s="1348"/>
      <c r="E10648" s="1348"/>
      <c r="F10648" s="1348"/>
      <c r="G10648" s="1348"/>
      <c r="H10648" s="1348"/>
      <c r="I10648" s="1348"/>
      <c r="J10648" s="1348"/>
      <c r="K10648" s="1348"/>
    </row>
    <row r="10649" spans="2:11" hidden="1">
      <c r="B10649" s="1348"/>
      <c r="C10649" s="1348"/>
      <c r="D10649" s="1348"/>
      <c r="E10649" s="1348"/>
      <c r="F10649" s="1348"/>
      <c r="G10649" s="1348"/>
      <c r="H10649" s="1348"/>
      <c r="I10649" s="1348"/>
      <c r="J10649" s="1348"/>
      <c r="K10649" s="1348"/>
    </row>
    <row r="10650" spans="2:11" hidden="1">
      <c r="B10650" s="1348"/>
      <c r="C10650" s="1348"/>
      <c r="D10650" s="1348"/>
      <c r="E10650" s="1348"/>
      <c r="F10650" s="1348"/>
      <c r="G10650" s="1348"/>
      <c r="H10650" s="1348"/>
      <c r="I10650" s="1348"/>
      <c r="J10650" s="1348"/>
      <c r="K10650" s="1348"/>
    </row>
    <row r="10651" spans="2:11" hidden="1">
      <c r="B10651" s="1348"/>
      <c r="C10651" s="1348"/>
      <c r="D10651" s="1348"/>
      <c r="E10651" s="1348"/>
      <c r="F10651" s="1348"/>
      <c r="G10651" s="1348"/>
      <c r="H10651" s="1348"/>
      <c r="I10651" s="1348"/>
      <c r="J10651" s="1348"/>
      <c r="K10651" s="1348"/>
    </row>
    <row r="10652" spans="2:11" hidden="1">
      <c r="B10652" s="1348"/>
      <c r="C10652" s="1348"/>
      <c r="D10652" s="1348"/>
      <c r="E10652" s="1348"/>
      <c r="F10652" s="1348"/>
      <c r="G10652" s="1348"/>
      <c r="H10652" s="1348"/>
      <c r="I10652" s="1348"/>
      <c r="J10652" s="1348"/>
      <c r="K10652" s="1348"/>
    </row>
    <row r="10653" spans="2:11" hidden="1">
      <c r="B10653" s="1348"/>
      <c r="C10653" s="1348"/>
      <c r="D10653" s="1348"/>
      <c r="E10653" s="1348"/>
      <c r="F10653" s="1348"/>
      <c r="G10653" s="1348"/>
      <c r="H10653" s="1348"/>
      <c r="I10653" s="1348"/>
      <c r="J10653" s="1348"/>
      <c r="K10653" s="1348"/>
    </row>
    <row r="10654" spans="2:11" hidden="1">
      <c r="B10654" s="1348"/>
      <c r="C10654" s="1348"/>
      <c r="D10654" s="1348"/>
      <c r="E10654" s="1348"/>
      <c r="F10654" s="1348"/>
      <c r="G10654" s="1348"/>
      <c r="H10654" s="1348"/>
      <c r="I10654" s="1348"/>
      <c r="J10654" s="1348"/>
      <c r="K10654" s="1348"/>
    </row>
    <row r="10655" spans="2:11" hidden="1">
      <c r="B10655" s="1348"/>
      <c r="C10655" s="1348"/>
      <c r="D10655" s="1348"/>
      <c r="E10655" s="1348"/>
      <c r="F10655" s="1348"/>
      <c r="G10655" s="1348"/>
      <c r="H10655" s="1348"/>
      <c r="I10655" s="1348"/>
      <c r="J10655" s="1348"/>
      <c r="K10655" s="1348"/>
    </row>
    <row r="10656" spans="2:11" hidden="1">
      <c r="B10656" s="1348"/>
      <c r="C10656" s="1348"/>
      <c r="D10656" s="1348"/>
      <c r="E10656" s="1348"/>
      <c r="F10656" s="1348"/>
      <c r="G10656" s="1348"/>
      <c r="H10656" s="1348"/>
      <c r="I10656" s="1348"/>
      <c r="J10656" s="1348"/>
      <c r="K10656" s="1348"/>
    </row>
    <row r="10657" spans="2:11" hidden="1">
      <c r="B10657" s="1348"/>
      <c r="C10657" s="1348"/>
      <c r="D10657" s="1348"/>
      <c r="E10657" s="1348"/>
      <c r="F10657" s="1348"/>
      <c r="G10657" s="1348"/>
      <c r="H10657" s="1348"/>
      <c r="I10657" s="1348"/>
      <c r="J10657" s="1348"/>
      <c r="K10657" s="1348"/>
    </row>
    <row r="10658" spans="2:11" hidden="1">
      <c r="B10658" s="1348"/>
      <c r="C10658" s="1348"/>
      <c r="D10658" s="1348"/>
      <c r="E10658" s="1348"/>
      <c r="F10658" s="1348"/>
      <c r="G10658" s="1348"/>
      <c r="H10658" s="1348"/>
      <c r="I10658" s="1348"/>
      <c r="J10658" s="1348"/>
      <c r="K10658" s="1348"/>
    </row>
    <row r="10659" spans="2:11" hidden="1">
      <c r="B10659" s="1348"/>
      <c r="C10659" s="1348"/>
      <c r="D10659" s="1348"/>
      <c r="E10659" s="1348"/>
      <c r="F10659" s="1348"/>
      <c r="G10659" s="1348"/>
      <c r="H10659" s="1348"/>
      <c r="I10659" s="1348"/>
      <c r="J10659" s="1348"/>
      <c r="K10659" s="1348"/>
    </row>
    <row r="10660" spans="2:11" hidden="1">
      <c r="B10660" s="1348"/>
      <c r="C10660" s="1348"/>
      <c r="D10660" s="1348"/>
      <c r="E10660" s="1348"/>
      <c r="F10660" s="1348"/>
      <c r="G10660" s="1348"/>
      <c r="H10660" s="1348"/>
      <c r="I10660" s="1348"/>
      <c r="J10660" s="1348"/>
      <c r="K10660" s="1348"/>
    </row>
    <row r="10661" spans="2:11" hidden="1">
      <c r="B10661" s="1348"/>
      <c r="C10661" s="1348"/>
      <c r="D10661" s="1348"/>
      <c r="E10661" s="1348"/>
      <c r="F10661" s="1348"/>
      <c r="G10661" s="1348"/>
      <c r="H10661" s="1348"/>
      <c r="I10661" s="1348"/>
      <c r="J10661" s="1348"/>
      <c r="K10661" s="1348"/>
    </row>
    <row r="10662" spans="2:11" hidden="1">
      <c r="B10662" s="1348"/>
      <c r="C10662" s="1348"/>
      <c r="D10662" s="1348"/>
      <c r="E10662" s="1348"/>
      <c r="F10662" s="1348"/>
      <c r="G10662" s="1348"/>
      <c r="H10662" s="1348"/>
      <c r="I10662" s="1348"/>
      <c r="J10662" s="1348"/>
      <c r="K10662" s="1348"/>
    </row>
    <row r="10663" spans="2:11" hidden="1">
      <c r="B10663" s="1348"/>
      <c r="C10663" s="1348"/>
      <c r="D10663" s="1348"/>
      <c r="E10663" s="1348"/>
      <c r="F10663" s="1348"/>
      <c r="G10663" s="1348"/>
      <c r="H10663" s="1348"/>
      <c r="I10663" s="1348"/>
      <c r="J10663" s="1348"/>
      <c r="K10663" s="1348"/>
    </row>
    <row r="10664" spans="2:11" hidden="1">
      <c r="B10664" s="1348"/>
      <c r="C10664" s="1348"/>
      <c r="D10664" s="1348"/>
      <c r="E10664" s="1348"/>
      <c r="F10664" s="1348"/>
      <c r="G10664" s="1348"/>
      <c r="H10664" s="1348"/>
      <c r="I10664" s="1348"/>
      <c r="J10664" s="1348"/>
      <c r="K10664" s="1348"/>
    </row>
    <row r="10665" spans="2:11" hidden="1">
      <c r="B10665" s="1348"/>
      <c r="C10665" s="1348"/>
      <c r="D10665" s="1348"/>
      <c r="E10665" s="1348"/>
      <c r="F10665" s="1348"/>
      <c r="G10665" s="1348"/>
      <c r="H10665" s="1348"/>
      <c r="I10665" s="1348"/>
      <c r="J10665" s="1348"/>
      <c r="K10665" s="1348"/>
    </row>
    <row r="10666" spans="2:11" hidden="1">
      <c r="B10666" s="1348"/>
      <c r="C10666" s="1348"/>
      <c r="D10666" s="1348"/>
      <c r="E10666" s="1348"/>
      <c r="F10666" s="1348"/>
      <c r="G10666" s="1348"/>
      <c r="H10666" s="1348"/>
      <c r="I10666" s="1348"/>
      <c r="J10666" s="1348"/>
      <c r="K10666" s="1348"/>
    </row>
    <row r="10667" spans="2:11" hidden="1">
      <c r="B10667" s="1348"/>
      <c r="C10667" s="1348"/>
      <c r="D10667" s="1348"/>
      <c r="E10667" s="1348"/>
      <c r="F10667" s="1348"/>
      <c r="G10667" s="1348"/>
      <c r="H10667" s="1348"/>
      <c r="I10667" s="1348"/>
      <c r="J10667" s="1348"/>
      <c r="K10667" s="1348"/>
    </row>
    <row r="10668" spans="2:11" hidden="1">
      <c r="B10668" s="1348"/>
      <c r="C10668" s="1348"/>
      <c r="D10668" s="1348"/>
      <c r="E10668" s="1348"/>
      <c r="F10668" s="1348"/>
      <c r="G10668" s="1348"/>
      <c r="H10668" s="1348"/>
      <c r="I10668" s="1348"/>
      <c r="J10668" s="1348"/>
      <c r="K10668" s="1348"/>
    </row>
    <row r="10669" spans="2:11" hidden="1">
      <c r="B10669" s="1348"/>
      <c r="C10669" s="1348"/>
      <c r="D10669" s="1348"/>
      <c r="E10669" s="1348"/>
      <c r="F10669" s="1348"/>
      <c r="G10669" s="1348"/>
      <c r="H10669" s="1348"/>
      <c r="I10669" s="1348"/>
      <c r="J10669" s="1348"/>
      <c r="K10669" s="1348"/>
    </row>
    <row r="10670" spans="2:11" hidden="1">
      <c r="B10670" s="1348"/>
      <c r="C10670" s="1348"/>
      <c r="D10670" s="1348"/>
      <c r="E10670" s="1348"/>
      <c r="F10670" s="1348"/>
      <c r="G10670" s="1348"/>
      <c r="H10670" s="1348"/>
      <c r="I10670" s="1348"/>
      <c r="J10670" s="1348"/>
      <c r="K10670" s="1348"/>
    </row>
    <row r="10671" spans="2:11" hidden="1">
      <c r="B10671" s="1348"/>
      <c r="C10671" s="1348"/>
      <c r="D10671" s="1348"/>
      <c r="E10671" s="1348"/>
      <c r="F10671" s="1348"/>
      <c r="G10671" s="1348"/>
      <c r="H10671" s="1348"/>
      <c r="I10671" s="1348"/>
      <c r="J10671" s="1348"/>
      <c r="K10671" s="1348"/>
    </row>
    <row r="10672" spans="2:11" hidden="1">
      <c r="B10672" s="1348"/>
      <c r="C10672" s="1348"/>
      <c r="D10672" s="1348"/>
      <c r="E10672" s="1348"/>
      <c r="F10672" s="1348"/>
      <c r="G10672" s="1348"/>
      <c r="H10672" s="1348"/>
      <c r="I10672" s="1348"/>
      <c r="J10672" s="1348"/>
      <c r="K10672" s="1348"/>
    </row>
    <row r="10673" spans="2:11" hidden="1">
      <c r="B10673" s="1348"/>
      <c r="C10673" s="1348"/>
      <c r="D10673" s="1348"/>
      <c r="E10673" s="1348"/>
      <c r="F10673" s="1348"/>
      <c r="G10673" s="1348"/>
      <c r="H10673" s="1348"/>
      <c r="I10673" s="1348"/>
      <c r="J10673" s="1348"/>
      <c r="K10673" s="1348"/>
    </row>
    <row r="10674" spans="2:11" hidden="1">
      <c r="B10674" s="1348"/>
      <c r="C10674" s="1348"/>
      <c r="D10674" s="1348"/>
      <c r="E10674" s="1348"/>
      <c r="F10674" s="1348"/>
      <c r="G10674" s="1348"/>
      <c r="H10674" s="1348"/>
      <c r="I10674" s="1348"/>
      <c r="J10674" s="1348"/>
      <c r="K10674" s="1348"/>
    </row>
    <row r="10675" spans="2:11" hidden="1">
      <c r="B10675" s="1348"/>
      <c r="C10675" s="1348"/>
      <c r="D10675" s="1348"/>
      <c r="E10675" s="1348"/>
      <c r="F10675" s="1348"/>
      <c r="G10675" s="1348"/>
      <c r="H10675" s="1348"/>
      <c r="I10675" s="1348"/>
      <c r="J10675" s="1348"/>
      <c r="K10675" s="1348"/>
    </row>
    <row r="10676" spans="2:11" hidden="1">
      <c r="B10676" s="1348"/>
      <c r="C10676" s="1348"/>
      <c r="D10676" s="1348"/>
      <c r="E10676" s="1348"/>
      <c r="F10676" s="1348"/>
      <c r="G10676" s="1348"/>
      <c r="H10676" s="1348"/>
      <c r="I10676" s="1348"/>
      <c r="J10676" s="1348"/>
      <c r="K10676" s="1348"/>
    </row>
    <row r="10677" spans="2:11" hidden="1">
      <c r="B10677" s="1348"/>
      <c r="C10677" s="1348"/>
      <c r="D10677" s="1348"/>
      <c r="E10677" s="1348"/>
      <c r="F10677" s="1348"/>
      <c r="G10677" s="1348"/>
      <c r="H10677" s="1348"/>
      <c r="I10677" s="1348"/>
      <c r="J10677" s="1348"/>
      <c r="K10677" s="1348"/>
    </row>
    <row r="10678" spans="2:11" hidden="1">
      <c r="B10678" s="1348"/>
      <c r="C10678" s="1348"/>
      <c r="D10678" s="1348"/>
      <c r="E10678" s="1348"/>
      <c r="F10678" s="1348"/>
      <c r="G10678" s="1348"/>
      <c r="H10678" s="1348"/>
      <c r="I10678" s="1348"/>
      <c r="J10678" s="1348"/>
      <c r="K10678" s="1348"/>
    </row>
    <row r="10679" spans="2:11" hidden="1">
      <c r="B10679" s="1348"/>
      <c r="C10679" s="1348"/>
      <c r="D10679" s="1348"/>
      <c r="E10679" s="1348"/>
      <c r="F10679" s="1348"/>
      <c r="G10679" s="1348"/>
      <c r="H10679" s="1348"/>
      <c r="I10679" s="1348"/>
      <c r="J10679" s="1348"/>
      <c r="K10679" s="1348"/>
    </row>
    <row r="10680" spans="2:11" hidden="1">
      <c r="B10680" s="1348"/>
      <c r="C10680" s="1348"/>
      <c r="D10680" s="1348"/>
      <c r="E10680" s="1348"/>
      <c r="F10680" s="1348"/>
      <c r="G10680" s="1348"/>
      <c r="H10680" s="1348"/>
      <c r="I10680" s="1348"/>
      <c r="J10680" s="1348"/>
      <c r="K10680" s="1348"/>
    </row>
    <row r="10681" spans="2:11" hidden="1">
      <c r="B10681" s="1348"/>
      <c r="C10681" s="1348"/>
      <c r="D10681" s="1348"/>
      <c r="E10681" s="1348"/>
      <c r="F10681" s="1348"/>
      <c r="G10681" s="1348"/>
      <c r="H10681" s="1348"/>
      <c r="I10681" s="1348"/>
      <c r="J10681" s="1348"/>
      <c r="K10681" s="1348"/>
    </row>
    <row r="10682" spans="2:11" hidden="1">
      <c r="B10682" s="1348"/>
      <c r="C10682" s="1348"/>
      <c r="D10682" s="1348"/>
      <c r="E10682" s="1348"/>
      <c r="F10682" s="1348"/>
      <c r="G10682" s="1348"/>
      <c r="H10682" s="1348"/>
      <c r="I10682" s="1348"/>
      <c r="J10682" s="1348"/>
      <c r="K10682" s="1348"/>
    </row>
    <row r="10683" spans="2:11" hidden="1">
      <c r="B10683" s="1348"/>
      <c r="C10683" s="1348"/>
      <c r="D10683" s="1348"/>
      <c r="E10683" s="1348"/>
      <c r="F10683" s="1348"/>
      <c r="G10683" s="1348"/>
      <c r="H10683" s="1348"/>
      <c r="I10683" s="1348"/>
      <c r="J10683" s="1348"/>
      <c r="K10683" s="1348"/>
    </row>
    <row r="10684" spans="2:11" hidden="1">
      <c r="B10684" s="1348"/>
      <c r="C10684" s="1348"/>
      <c r="D10684" s="1348"/>
      <c r="E10684" s="1348"/>
      <c r="F10684" s="1348"/>
      <c r="G10684" s="1348"/>
      <c r="H10684" s="1348"/>
      <c r="I10684" s="1348"/>
      <c r="J10684" s="1348"/>
      <c r="K10684" s="1348"/>
    </row>
    <row r="10685" spans="2:11" hidden="1">
      <c r="B10685" s="1348"/>
      <c r="C10685" s="1348"/>
      <c r="D10685" s="1348"/>
      <c r="E10685" s="1348"/>
      <c r="F10685" s="1348"/>
      <c r="G10685" s="1348"/>
      <c r="H10685" s="1348"/>
      <c r="I10685" s="1348"/>
      <c r="J10685" s="1348"/>
      <c r="K10685" s="1348"/>
    </row>
    <row r="10686" spans="2:11" hidden="1">
      <c r="B10686" s="1348"/>
      <c r="C10686" s="1348"/>
      <c r="D10686" s="1348"/>
      <c r="E10686" s="1348"/>
      <c r="F10686" s="1348"/>
      <c r="G10686" s="1348"/>
      <c r="H10686" s="1348"/>
      <c r="I10686" s="1348"/>
      <c r="J10686" s="1348"/>
      <c r="K10686" s="1348"/>
    </row>
    <row r="10687" spans="2:11" hidden="1">
      <c r="B10687" s="1348"/>
      <c r="C10687" s="1348"/>
      <c r="D10687" s="1348"/>
      <c r="E10687" s="1348"/>
      <c r="F10687" s="1348"/>
      <c r="G10687" s="1348"/>
      <c r="H10687" s="1348"/>
      <c r="I10687" s="1348"/>
      <c r="J10687" s="1348"/>
      <c r="K10687" s="1348"/>
    </row>
    <row r="10688" spans="2:11" hidden="1">
      <c r="B10688" s="1348"/>
      <c r="C10688" s="1348"/>
      <c r="D10688" s="1348"/>
      <c r="E10688" s="1348"/>
      <c r="F10688" s="1348"/>
      <c r="G10688" s="1348"/>
      <c r="H10688" s="1348"/>
      <c r="I10688" s="1348"/>
      <c r="J10688" s="1348"/>
      <c r="K10688" s="1348"/>
    </row>
    <row r="10689" spans="2:11" hidden="1">
      <c r="B10689" s="1348"/>
      <c r="C10689" s="1348"/>
      <c r="D10689" s="1348"/>
      <c r="E10689" s="1348"/>
      <c r="F10689" s="1348"/>
      <c r="G10689" s="1348"/>
      <c r="H10689" s="1348"/>
      <c r="I10689" s="1348"/>
      <c r="J10689" s="1348"/>
      <c r="K10689" s="1348"/>
    </row>
    <row r="10690" spans="2:11" hidden="1">
      <c r="B10690" s="1348"/>
      <c r="C10690" s="1348"/>
      <c r="D10690" s="1348"/>
      <c r="E10690" s="1348"/>
      <c r="F10690" s="1348"/>
      <c r="G10690" s="1348"/>
      <c r="H10690" s="1348"/>
      <c r="I10690" s="1348"/>
      <c r="J10690" s="1348"/>
      <c r="K10690" s="1348"/>
    </row>
    <row r="10691" spans="2:11" hidden="1">
      <c r="B10691" s="1348"/>
      <c r="C10691" s="1348"/>
      <c r="D10691" s="1348"/>
      <c r="E10691" s="1348"/>
      <c r="F10691" s="1348"/>
      <c r="G10691" s="1348"/>
      <c r="H10691" s="1348"/>
      <c r="I10691" s="1348"/>
      <c r="J10691" s="1348"/>
      <c r="K10691" s="1348"/>
    </row>
    <row r="10692" spans="2:11" hidden="1">
      <c r="B10692" s="1348"/>
      <c r="C10692" s="1348"/>
      <c r="D10692" s="1348"/>
      <c r="E10692" s="1348"/>
      <c r="F10692" s="1348"/>
      <c r="G10692" s="1348"/>
      <c r="H10692" s="1348"/>
      <c r="I10692" s="1348"/>
      <c r="J10692" s="1348"/>
      <c r="K10692" s="1348"/>
    </row>
    <row r="10693" spans="2:11" hidden="1">
      <c r="B10693" s="1348"/>
      <c r="C10693" s="1348"/>
      <c r="D10693" s="1348"/>
      <c r="E10693" s="1348"/>
      <c r="F10693" s="1348"/>
      <c r="G10693" s="1348"/>
      <c r="H10693" s="1348"/>
      <c r="I10693" s="1348"/>
      <c r="J10693" s="1348"/>
      <c r="K10693" s="1348"/>
    </row>
    <row r="10694" spans="2:11" hidden="1">
      <c r="B10694" s="1348"/>
      <c r="C10694" s="1348"/>
      <c r="D10694" s="1348"/>
      <c r="E10694" s="1348"/>
      <c r="F10694" s="1348"/>
      <c r="G10694" s="1348"/>
      <c r="H10694" s="1348"/>
      <c r="I10694" s="1348"/>
      <c r="J10694" s="1348"/>
      <c r="K10694" s="1348"/>
    </row>
    <row r="10695" spans="2:11" hidden="1">
      <c r="B10695" s="1348"/>
      <c r="C10695" s="1348"/>
      <c r="D10695" s="1348"/>
      <c r="E10695" s="1348"/>
      <c r="F10695" s="1348"/>
      <c r="G10695" s="1348"/>
      <c r="H10695" s="1348"/>
      <c r="I10695" s="1348"/>
      <c r="J10695" s="1348"/>
      <c r="K10695" s="1348"/>
    </row>
    <row r="10696" spans="2:11" hidden="1">
      <c r="B10696" s="1348"/>
      <c r="C10696" s="1348"/>
      <c r="D10696" s="1348"/>
      <c r="E10696" s="1348"/>
      <c r="F10696" s="1348"/>
      <c r="G10696" s="1348"/>
      <c r="H10696" s="1348"/>
      <c r="I10696" s="1348"/>
      <c r="J10696" s="1348"/>
      <c r="K10696" s="1348"/>
    </row>
    <row r="10697" spans="2:11" hidden="1">
      <c r="B10697" s="1348"/>
      <c r="C10697" s="1348"/>
      <c r="D10697" s="1348"/>
      <c r="E10697" s="1348"/>
      <c r="F10697" s="1348"/>
      <c r="G10697" s="1348"/>
      <c r="H10697" s="1348"/>
      <c r="I10697" s="1348"/>
      <c r="J10697" s="1348"/>
      <c r="K10697" s="1348"/>
    </row>
    <row r="10698" spans="2:11" hidden="1">
      <c r="B10698" s="1348"/>
      <c r="C10698" s="1348"/>
      <c r="D10698" s="1348"/>
      <c r="E10698" s="1348"/>
      <c r="F10698" s="1348"/>
      <c r="G10698" s="1348"/>
      <c r="H10698" s="1348"/>
      <c r="I10698" s="1348"/>
      <c r="J10698" s="1348"/>
      <c r="K10698" s="1348"/>
    </row>
    <row r="10699" spans="2:11" hidden="1">
      <c r="B10699" s="1348"/>
      <c r="C10699" s="1348"/>
      <c r="D10699" s="1348"/>
      <c r="E10699" s="1348"/>
      <c r="F10699" s="1348"/>
      <c r="G10699" s="1348"/>
      <c r="H10699" s="1348"/>
      <c r="I10699" s="1348"/>
      <c r="J10699" s="1348"/>
      <c r="K10699" s="1348"/>
    </row>
    <row r="10700" spans="2:11" hidden="1">
      <c r="B10700" s="1348"/>
      <c r="C10700" s="1348"/>
      <c r="D10700" s="1348"/>
      <c r="E10700" s="1348"/>
      <c r="F10700" s="1348"/>
      <c r="G10700" s="1348"/>
      <c r="H10700" s="1348"/>
      <c r="I10700" s="1348"/>
      <c r="J10700" s="1348"/>
      <c r="K10700" s="1348"/>
    </row>
    <row r="10701" spans="2:11" hidden="1">
      <c r="B10701" s="1348"/>
      <c r="C10701" s="1348"/>
      <c r="D10701" s="1348"/>
      <c r="E10701" s="1348"/>
      <c r="F10701" s="1348"/>
      <c r="G10701" s="1348"/>
      <c r="H10701" s="1348"/>
      <c r="I10701" s="1348"/>
      <c r="J10701" s="1348"/>
      <c r="K10701" s="1348"/>
    </row>
    <row r="10702" spans="2:11" hidden="1">
      <c r="B10702" s="1348"/>
      <c r="C10702" s="1348"/>
      <c r="D10702" s="1348"/>
      <c r="E10702" s="1348"/>
      <c r="F10702" s="1348"/>
      <c r="G10702" s="1348"/>
      <c r="H10702" s="1348"/>
      <c r="I10702" s="1348"/>
      <c r="J10702" s="1348"/>
      <c r="K10702" s="1348"/>
    </row>
    <row r="10703" spans="2:11" hidden="1">
      <c r="B10703" s="1348"/>
      <c r="C10703" s="1348"/>
      <c r="D10703" s="1348"/>
      <c r="E10703" s="1348"/>
      <c r="F10703" s="1348"/>
      <c r="G10703" s="1348"/>
      <c r="H10703" s="1348"/>
      <c r="I10703" s="1348"/>
      <c r="J10703" s="1348"/>
      <c r="K10703" s="1348"/>
    </row>
    <row r="10704" spans="2:11" hidden="1">
      <c r="B10704" s="1348"/>
      <c r="C10704" s="1348"/>
      <c r="D10704" s="1348"/>
      <c r="E10704" s="1348"/>
      <c r="F10704" s="1348"/>
      <c r="G10704" s="1348"/>
      <c r="H10704" s="1348"/>
      <c r="I10704" s="1348"/>
      <c r="J10704" s="1348"/>
      <c r="K10704" s="1348"/>
    </row>
    <row r="10705" spans="2:11" hidden="1">
      <c r="B10705" s="1348"/>
      <c r="C10705" s="1348"/>
      <c r="D10705" s="1348"/>
      <c r="E10705" s="1348"/>
      <c r="F10705" s="1348"/>
      <c r="G10705" s="1348"/>
      <c r="H10705" s="1348"/>
      <c r="I10705" s="1348"/>
      <c r="J10705" s="1348"/>
      <c r="K10705" s="1348"/>
    </row>
    <row r="10706" spans="2:11" hidden="1">
      <c r="B10706" s="1348"/>
      <c r="C10706" s="1348"/>
      <c r="D10706" s="1348"/>
      <c r="E10706" s="1348"/>
      <c r="F10706" s="1348"/>
      <c r="G10706" s="1348"/>
      <c r="H10706" s="1348"/>
      <c r="I10706" s="1348"/>
      <c r="J10706" s="1348"/>
      <c r="K10706" s="1348"/>
    </row>
    <row r="10707" spans="2:11" hidden="1">
      <c r="B10707" s="1348"/>
      <c r="C10707" s="1348"/>
      <c r="D10707" s="1348"/>
      <c r="E10707" s="1348"/>
      <c r="F10707" s="1348"/>
      <c r="G10707" s="1348"/>
      <c r="H10707" s="1348"/>
      <c r="I10707" s="1348"/>
      <c r="J10707" s="1348"/>
      <c r="K10707" s="1348"/>
    </row>
    <row r="10708" spans="2:11" hidden="1">
      <c r="B10708" s="1348"/>
      <c r="C10708" s="1348"/>
      <c r="D10708" s="1348"/>
      <c r="E10708" s="1348"/>
      <c r="F10708" s="1348"/>
      <c r="G10708" s="1348"/>
      <c r="H10708" s="1348"/>
      <c r="I10708" s="1348"/>
      <c r="J10708" s="1348"/>
      <c r="K10708" s="1348"/>
    </row>
    <row r="10709" spans="2:11" hidden="1">
      <c r="B10709" s="1348"/>
      <c r="C10709" s="1348"/>
      <c r="D10709" s="1348"/>
      <c r="E10709" s="1348"/>
      <c r="F10709" s="1348"/>
      <c r="G10709" s="1348"/>
      <c r="H10709" s="1348"/>
      <c r="I10709" s="1348"/>
      <c r="J10709" s="1348"/>
      <c r="K10709" s="1348"/>
    </row>
    <row r="10710" spans="2:11" hidden="1">
      <c r="B10710" s="1348"/>
      <c r="C10710" s="1348"/>
      <c r="D10710" s="1348"/>
      <c r="E10710" s="1348"/>
      <c r="F10710" s="1348"/>
      <c r="G10710" s="1348"/>
      <c r="H10710" s="1348"/>
      <c r="I10710" s="1348"/>
      <c r="J10710" s="1348"/>
      <c r="K10710" s="1348"/>
    </row>
    <row r="10711" spans="2:11" hidden="1">
      <c r="B10711" s="1348"/>
      <c r="C10711" s="1348"/>
      <c r="D10711" s="1348"/>
      <c r="E10711" s="1348"/>
      <c r="F10711" s="1348"/>
      <c r="G10711" s="1348"/>
      <c r="H10711" s="1348"/>
      <c r="I10711" s="1348"/>
      <c r="J10711" s="1348"/>
      <c r="K10711" s="1348"/>
    </row>
    <row r="10712" spans="2:11" hidden="1">
      <c r="B10712" s="1348"/>
      <c r="C10712" s="1348"/>
      <c r="D10712" s="1348"/>
      <c r="E10712" s="1348"/>
      <c r="F10712" s="1348"/>
      <c r="G10712" s="1348"/>
      <c r="H10712" s="1348"/>
      <c r="I10712" s="1348"/>
      <c r="J10712" s="1348"/>
      <c r="K10712" s="1348"/>
    </row>
    <row r="10713" spans="2:11" hidden="1">
      <c r="B10713" s="1348"/>
      <c r="C10713" s="1348"/>
      <c r="D10713" s="1348"/>
      <c r="E10713" s="1348"/>
      <c r="F10713" s="1348"/>
      <c r="G10713" s="1348"/>
      <c r="H10713" s="1348"/>
      <c r="I10713" s="1348"/>
      <c r="J10713" s="1348"/>
      <c r="K10713" s="1348"/>
    </row>
    <row r="10714" spans="2:11" hidden="1">
      <c r="B10714" s="1348"/>
      <c r="C10714" s="1348"/>
      <c r="D10714" s="1348"/>
      <c r="E10714" s="1348"/>
      <c r="F10714" s="1348"/>
      <c r="G10714" s="1348"/>
      <c r="H10714" s="1348"/>
      <c r="I10714" s="1348"/>
      <c r="J10714" s="1348"/>
      <c r="K10714" s="1348"/>
    </row>
    <row r="10715" spans="2:11" hidden="1">
      <c r="B10715" s="1348"/>
      <c r="C10715" s="1348"/>
      <c r="D10715" s="1348"/>
      <c r="E10715" s="1348"/>
      <c r="F10715" s="1348"/>
      <c r="G10715" s="1348"/>
      <c r="H10715" s="1348"/>
      <c r="I10715" s="1348"/>
      <c r="J10715" s="1348"/>
      <c r="K10715" s="1348"/>
    </row>
    <row r="10716" spans="2:11" hidden="1">
      <c r="B10716" s="1348"/>
      <c r="C10716" s="1348"/>
      <c r="D10716" s="1348"/>
      <c r="E10716" s="1348"/>
      <c r="F10716" s="1348"/>
      <c r="G10716" s="1348"/>
      <c r="H10716" s="1348"/>
      <c r="I10716" s="1348"/>
      <c r="J10716" s="1348"/>
      <c r="K10716" s="1348"/>
    </row>
    <row r="10717" spans="2:11" hidden="1">
      <c r="B10717" s="1348"/>
      <c r="C10717" s="1348"/>
      <c r="D10717" s="1348"/>
      <c r="E10717" s="1348"/>
      <c r="F10717" s="1348"/>
      <c r="G10717" s="1348"/>
      <c r="H10717" s="1348"/>
      <c r="I10717" s="1348"/>
      <c r="J10717" s="1348"/>
      <c r="K10717" s="1348"/>
    </row>
    <row r="10718" spans="2:11" hidden="1">
      <c r="B10718" s="1348"/>
      <c r="C10718" s="1348"/>
      <c r="D10718" s="1348"/>
      <c r="E10718" s="1348"/>
      <c r="F10718" s="1348"/>
      <c r="G10718" s="1348"/>
      <c r="H10718" s="1348"/>
      <c r="I10718" s="1348"/>
      <c r="J10718" s="1348"/>
      <c r="K10718" s="1348"/>
    </row>
    <row r="10719" spans="2:11" hidden="1">
      <c r="B10719" s="1348"/>
      <c r="C10719" s="1348"/>
      <c r="D10719" s="1348"/>
      <c r="E10719" s="1348"/>
      <c r="F10719" s="1348"/>
      <c r="G10719" s="1348"/>
      <c r="H10719" s="1348"/>
      <c r="I10719" s="1348"/>
      <c r="J10719" s="1348"/>
      <c r="K10719" s="1348"/>
    </row>
    <row r="10720" spans="2:11" hidden="1">
      <c r="B10720" s="1348"/>
      <c r="C10720" s="1348"/>
      <c r="D10720" s="1348"/>
      <c r="E10720" s="1348"/>
      <c r="F10720" s="1348"/>
      <c r="G10720" s="1348"/>
      <c r="H10720" s="1348"/>
      <c r="I10720" s="1348"/>
      <c r="J10720" s="1348"/>
      <c r="K10720" s="1348"/>
    </row>
    <row r="10721" spans="2:11" hidden="1">
      <c r="B10721" s="1348"/>
      <c r="C10721" s="1348"/>
      <c r="D10721" s="1348"/>
      <c r="E10721" s="1348"/>
      <c r="F10721" s="1348"/>
      <c r="G10721" s="1348"/>
      <c r="H10721" s="1348"/>
      <c r="I10721" s="1348"/>
      <c r="J10721" s="1348"/>
      <c r="K10721" s="1348"/>
    </row>
    <row r="10722" spans="2:11" hidden="1">
      <c r="B10722" s="1348"/>
      <c r="C10722" s="1348"/>
      <c r="D10722" s="1348"/>
      <c r="E10722" s="1348"/>
      <c r="F10722" s="1348"/>
      <c r="G10722" s="1348"/>
      <c r="H10722" s="1348"/>
      <c r="I10722" s="1348"/>
      <c r="J10722" s="1348"/>
      <c r="K10722" s="1348"/>
    </row>
    <row r="10723" spans="2:11" hidden="1">
      <c r="B10723" s="1348"/>
      <c r="C10723" s="1348"/>
      <c r="D10723" s="1348"/>
      <c r="E10723" s="1348"/>
      <c r="F10723" s="1348"/>
      <c r="G10723" s="1348"/>
      <c r="H10723" s="1348"/>
      <c r="I10723" s="1348"/>
      <c r="J10723" s="1348"/>
      <c r="K10723" s="1348"/>
    </row>
    <row r="10724" spans="2:11" hidden="1">
      <c r="B10724" s="1348"/>
      <c r="C10724" s="1348"/>
      <c r="D10724" s="1348"/>
      <c r="E10724" s="1348"/>
      <c r="F10724" s="1348"/>
      <c r="G10724" s="1348"/>
      <c r="H10724" s="1348"/>
      <c r="I10724" s="1348"/>
      <c r="J10724" s="1348"/>
      <c r="K10724" s="1348"/>
    </row>
    <row r="10725" spans="2:11" hidden="1">
      <c r="B10725" s="1348"/>
      <c r="C10725" s="1348"/>
      <c r="D10725" s="1348"/>
      <c r="E10725" s="1348"/>
      <c r="F10725" s="1348"/>
      <c r="G10725" s="1348"/>
      <c r="H10725" s="1348"/>
      <c r="I10725" s="1348"/>
      <c r="J10725" s="1348"/>
      <c r="K10725" s="1348"/>
    </row>
    <row r="10726" spans="2:11" hidden="1">
      <c r="B10726" s="1348"/>
      <c r="C10726" s="1348"/>
      <c r="D10726" s="1348"/>
      <c r="E10726" s="1348"/>
      <c r="F10726" s="1348"/>
      <c r="G10726" s="1348"/>
      <c r="H10726" s="1348"/>
      <c r="I10726" s="1348"/>
      <c r="J10726" s="1348"/>
      <c r="K10726" s="1348"/>
    </row>
    <row r="10727" spans="2:11" hidden="1">
      <c r="B10727" s="1348"/>
      <c r="C10727" s="1348"/>
      <c r="D10727" s="1348"/>
      <c r="E10727" s="1348"/>
      <c r="F10727" s="1348"/>
      <c r="G10727" s="1348"/>
      <c r="H10727" s="1348"/>
      <c r="I10727" s="1348"/>
      <c r="J10727" s="1348"/>
      <c r="K10727" s="1348"/>
    </row>
    <row r="10728" spans="2:11" hidden="1">
      <c r="B10728" s="1348"/>
      <c r="C10728" s="1348"/>
      <c r="D10728" s="1348"/>
      <c r="E10728" s="1348"/>
      <c r="F10728" s="1348"/>
      <c r="G10728" s="1348"/>
      <c r="H10728" s="1348"/>
      <c r="I10728" s="1348"/>
      <c r="J10728" s="1348"/>
      <c r="K10728" s="1348"/>
    </row>
    <row r="10729" spans="2:11" hidden="1">
      <c r="B10729" s="1348"/>
      <c r="C10729" s="1348"/>
      <c r="D10729" s="1348"/>
      <c r="E10729" s="1348"/>
      <c r="F10729" s="1348"/>
      <c r="G10729" s="1348"/>
      <c r="H10729" s="1348"/>
      <c r="I10729" s="1348"/>
      <c r="J10729" s="1348"/>
      <c r="K10729" s="1348"/>
    </row>
    <row r="10730" spans="2:11" hidden="1">
      <c r="B10730" s="1348"/>
      <c r="C10730" s="1348"/>
      <c r="D10730" s="1348"/>
      <c r="E10730" s="1348"/>
      <c r="F10730" s="1348"/>
      <c r="G10730" s="1348"/>
      <c r="H10730" s="1348"/>
      <c r="I10730" s="1348"/>
      <c r="J10730" s="1348"/>
      <c r="K10730" s="1348"/>
    </row>
    <row r="10731" spans="2:11" hidden="1">
      <c r="B10731" s="1348"/>
      <c r="C10731" s="1348"/>
      <c r="D10731" s="1348"/>
      <c r="E10731" s="1348"/>
      <c r="F10731" s="1348"/>
      <c r="G10731" s="1348"/>
      <c r="H10731" s="1348"/>
      <c r="I10731" s="1348"/>
      <c r="J10731" s="1348"/>
      <c r="K10731" s="1348"/>
    </row>
    <row r="10732" spans="2:11" hidden="1">
      <c r="B10732" s="1348"/>
      <c r="C10732" s="1348"/>
      <c r="D10732" s="1348"/>
      <c r="E10732" s="1348"/>
      <c r="F10732" s="1348"/>
      <c r="G10732" s="1348"/>
      <c r="H10732" s="1348"/>
      <c r="I10732" s="1348"/>
      <c r="J10732" s="1348"/>
      <c r="K10732" s="1348"/>
    </row>
    <row r="10733" spans="2:11" hidden="1">
      <c r="B10733" s="1348"/>
      <c r="C10733" s="1348"/>
      <c r="D10733" s="1348"/>
      <c r="E10733" s="1348"/>
      <c r="F10733" s="1348"/>
      <c r="G10733" s="1348"/>
      <c r="H10733" s="1348"/>
      <c r="I10733" s="1348"/>
      <c r="J10733" s="1348"/>
      <c r="K10733" s="1348"/>
    </row>
    <row r="10734" spans="2:11" hidden="1">
      <c r="B10734" s="1348"/>
      <c r="C10734" s="1348"/>
      <c r="D10734" s="1348"/>
      <c r="E10734" s="1348"/>
      <c r="F10734" s="1348"/>
      <c r="G10734" s="1348"/>
      <c r="H10734" s="1348"/>
      <c r="I10734" s="1348"/>
      <c r="J10734" s="1348"/>
      <c r="K10734" s="1348"/>
    </row>
    <row r="10735" spans="2:11" hidden="1">
      <c r="B10735" s="1348"/>
      <c r="C10735" s="1348"/>
      <c r="D10735" s="1348"/>
      <c r="E10735" s="1348"/>
      <c r="F10735" s="1348"/>
      <c r="G10735" s="1348"/>
      <c r="H10735" s="1348"/>
      <c r="I10735" s="1348"/>
      <c r="J10735" s="1348"/>
      <c r="K10735" s="1348"/>
    </row>
    <row r="10736" spans="2:11" hidden="1">
      <c r="B10736" s="1348"/>
      <c r="C10736" s="1348"/>
      <c r="D10736" s="1348"/>
      <c r="E10736" s="1348"/>
      <c r="F10736" s="1348"/>
      <c r="G10736" s="1348"/>
      <c r="H10736" s="1348"/>
      <c r="I10736" s="1348"/>
      <c r="J10736" s="1348"/>
      <c r="K10736" s="1348"/>
    </row>
    <row r="10737" spans="2:11" hidden="1">
      <c r="B10737" s="1348"/>
      <c r="C10737" s="1348"/>
      <c r="D10737" s="1348"/>
      <c r="E10737" s="1348"/>
      <c r="F10737" s="1348"/>
      <c r="G10737" s="1348"/>
      <c r="H10737" s="1348"/>
      <c r="I10737" s="1348"/>
      <c r="J10737" s="1348"/>
      <c r="K10737" s="1348"/>
    </row>
    <row r="10738" spans="2:11" hidden="1">
      <c r="B10738" s="1348"/>
      <c r="C10738" s="1348"/>
      <c r="D10738" s="1348"/>
      <c r="E10738" s="1348"/>
      <c r="F10738" s="1348"/>
      <c r="G10738" s="1348"/>
      <c r="H10738" s="1348"/>
      <c r="I10738" s="1348"/>
      <c r="J10738" s="1348"/>
      <c r="K10738" s="1348"/>
    </row>
    <row r="10739" spans="2:11" hidden="1">
      <c r="B10739" s="1348"/>
      <c r="C10739" s="1348"/>
      <c r="D10739" s="1348"/>
      <c r="E10739" s="1348"/>
      <c r="F10739" s="1348"/>
      <c r="G10739" s="1348"/>
      <c r="H10739" s="1348"/>
      <c r="I10739" s="1348"/>
      <c r="J10739" s="1348"/>
      <c r="K10739" s="1348"/>
    </row>
    <row r="10740" spans="2:11" hidden="1">
      <c r="B10740" s="1348"/>
      <c r="C10740" s="1348"/>
      <c r="D10740" s="1348"/>
      <c r="E10740" s="1348"/>
      <c r="F10740" s="1348"/>
      <c r="G10740" s="1348"/>
      <c r="H10740" s="1348"/>
      <c r="I10740" s="1348"/>
      <c r="J10740" s="1348"/>
      <c r="K10740" s="1348"/>
    </row>
    <row r="10741" spans="2:11" hidden="1">
      <c r="B10741" s="1348"/>
      <c r="C10741" s="1348"/>
      <c r="D10741" s="1348"/>
      <c r="E10741" s="1348"/>
      <c r="F10741" s="1348"/>
      <c r="G10741" s="1348"/>
      <c r="H10741" s="1348"/>
      <c r="I10741" s="1348"/>
      <c r="J10741" s="1348"/>
      <c r="K10741" s="1348"/>
    </row>
    <row r="10742" spans="2:11" hidden="1">
      <c r="B10742" s="1348"/>
      <c r="C10742" s="1348"/>
      <c r="D10742" s="1348"/>
      <c r="E10742" s="1348"/>
      <c r="F10742" s="1348"/>
      <c r="G10742" s="1348"/>
      <c r="H10742" s="1348"/>
      <c r="I10742" s="1348"/>
      <c r="J10742" s="1348"/>
      <c r="K10742" s="1348"/>
    </row>
    <row r="10743" spans="2:11" hidden="1">
      <c r="B10743" s="1348"/>
      <c r="C10743" s="1348"/>
      <c r="D10743" s="1348"/>
      <c r="E10743" s="1348"/>
      <c r="F10743" s="1348"/>
      <c r="G10743" s="1348"/>
      <c r="H10743" s="1348"/>
      <c r="I10743" s="1348"/>
      <c r="J10743" s="1348"/>
      <c r="K10743" s="1348"/>
    </row>
    <row r="10744" spans="2:11" hidden="1">
      <c r="B10744" s="1348"/>
      <c r="C10744" s="1348"/>
      <c r="D10744" s="1348"/>
      <c r="E10744" s="1348"/>
      <c r="F10744" s="1348"/>
      <c r="G10744" s="1348"/>
      <c r="H10744" s="1348"/>
      <c r="I10744" s="1348"/>
      <c r="J10744" s="1348"/>
      <c r="K10744" s="1348"/>
    </row>
    <row r="10745" spans="2:11" hidden="1">
      <c r="B10745" s="1348"/>
      <c r="C10745" s="1348"/>
      <c r="D10745" s="1348"/>
      <c r="E10745" s="1348"/>
      <c r="F10745" s="1348"/>
      <c r="G10745" s="1348"/>
      <c r="H10745" s="1348"/>
      <c r="I10745" s="1348"/>
      <c r="J10745" s="1348"/>
      <c r="K10745" s="1348"/>
    </row>
    <row r="10746" spans="2:11" hidden="1">
      <c r="B10746" s="1348"/>
      <c r="C10746" s="1348"/>
      <c r="D10746" s="1348"/>
      <c r="E10746" s="1348"/>
      <c r="F10746" s="1348"/>
      <c r="G10746" s="1348"/>
      <c r="H10746" s="1348"/>
      <c r="I10746" s="1348"/>
      <c r="J10746" s="1348"/>
      <c r="K10746" s="1348"/>
    </row>
    <row r="10747" spans="2:11" hidden="1">
      <c r="B10747" s="1348"/>
      <c r="C10747" s="1348"/>
      <c r="D10747" s="1348"/>
      <c r="E10747" s="1348"/>
      <c r="F10747" s="1348"/>
      <c r="G10747" s="1348"/>
      <c r="H10747" s="1348"/>
      <c r="I10747" s="1348"/>
      <c r="J10747" s="1348"/>
      <c r="K10747" s="1348"/>
    </row>
    <row r="10748" spans="2:11" hidden="1">
      <c r="B10748" s="1348"/>
      <c r="C10748" s="1348"/>
      <c r="D10748" s="1348"/>
      <c r="E10748" s="1348"/>
      <c r="F10748" s="1348"/>
      <c r="G10748" s="1348"/>
      <c r="H10748" s="1348"/>
      <c r="I10748" s="1348"/>
      <c r="J10748" s="1348"/>
      <c r="K10748" s="1348"/>
    </row>
    <row r="10749" spans="2:11" hidden="1">
      <c r="B10749" s="1348"/>
      <c r="C10749" s="1348"/>
      <c r="D10749" s="1348"/>
      <c r="E10749" s="1348"/>
      <c r="F10749" s="1348"/>
      <c r="G10749" s="1348"/>
      <c r="H10749" s="1348"/>
      <c r="I10749" s="1348"/>
      <c r="J10749" s="1348"/>
      <c r="K10749" s="1348"/>
    </row>
    <row r="10750" spans="2:11" hidden="1">
      <c r="B10750" s="1348"/>
      <c r="C10750" s="1348"/>
      <c r="D10750" s="1348"/>
      <c r="E10750" s="1348"/>
      <c r="F10750" s="1348"/>
      <c r="G10750" s="1348"/>
      <c r="H10750" s="1348"/>
      <c r="I10750" s="1348"/>
      <c r="J10750" s="1348"/>
      <c r="K10750" s="1348"/>
    </row>
    <row r="10751" spans="2:11" hidden="1">
      <c r="B10751" s="1348"/>
      <c r="C10751" s="1348"/>
      <c r="D10751" s="1348"/>
      <c r="E10751" s="1348"/>
      <c r="F10751" s="1348"/>
      <c r="G10751" s="1348"/>
      <c r="H10751" s="1348"/>
      <c r="I10751" s="1348"/>
      <c r="J10751" s="1348"/>
      <c r="K10751" s="1348"/>
    </row>
    <row r="10752" spans="2:11" hidden="1">
      <c r="B10752" s="1348"/>
      <c r="C10752" s="1348"/>
      <c r="D10752" s="1348"/>
      <c r="E10752" s="1348"/>
      <c r="F10752" s="1348"/>
      <c r="G10752" s="1348"/>
      <c r="H10752" s="1348"/>
      <c r="I10752" s="1348"/>
      <c r="J10752" s="1348"/>
      <c r="K10752" s="1348"/>
    </row>
    <row r="10753" spans="2:11" hidden="1">
      <c r="B10753" s="1348"/>
      <c r="C10753" s="1348"/>
      <c r="D10753" s="1348"/>
      <c r="E10753" s="1348"/>
      <c r="F10753" s="1348"/>
      <c r="G10753" s="1348"/>
      <c r="H10753" s="1348"/>
      <c r="I10753" s="1348"/>
      <c r="J10753" s="1348"/>
      <c r="K10753" s="1348"/>
    </row>
    <row r="10754" spans="2:11" hidden="1">
      <c r="B10754" s="1348"/>
      <c r="C10754" s="1348"/>
      <c r="D10754" s="1348"/>
      <c r="E10754" s="1348"/>
      <c r="F10754" s="1348"/>
      <c r="G10754" s="1348"/>
      <c r="H10754" s="1348"/>
      <c r="I10754" s="1348"/>
      <c r="J10754" s="1348"/>
      <c r="K10754" s="1348"/>
    </row>
    <row r="10755" spans="2:11" hidden="1">
      <c r="B10755" s="1348"/>
      <c r="C10755" s="1348"/>
      <c r="D10755" s="1348"/>
      <c r="E10755" s="1348"/>
      <c r="F10755" s="1348"/>
      <c r="G10755" s="1348"/>
      <c r="H10755" s="1348"/>
      <c r="I10755" s="1348"/>
      <c r="J10755" s="1348"/>
      <c r="K10755" s="1348"/>
    </row>
    <row r="10756" spans="2:11" hidden="1">
      <c r="B10756" s="1348"/>
      <c r="C10756" s="1348"/>
      <c r="D10756" s="1348"/>
      <c r="E10756" s="1348"/>
      <c r="F10756" s="1348"/>
      <c r="G10756" s="1348"/>
      <c r="H10756" s="1348"/>
      <c r="I10756" s="1348"/>
      <c r="J10756" s="1348"/>
      <c r="K10756" s="1348"/>
    </row>
    <row r="10757" spans="2:11" hidden="1">
      <c r="B10757" s="1348"/>
      <c r="C10757" s="1348"/>
      <c r="D10757" s="1348"/>
      <c r="E10757" s="1348"/>
      <c r="F10757" s="1348"/>
      <c r="G10757" s="1348"/>
      <c r="H10757" s="1348"/>
      <c r="I10757" s="1348"/>
      <c r="J10757" s="1348"/>
      <c r="K10757" s="1348"/>
    </row>
    <row r="10758" spans="2:11" hidden="1">
      <c r="B10758" s="1348"/>
      <c r="C10758" s="1348"/>
      <c r="D10758" s="1348"/>
      <c r="E10758" s="1348"/>
      <c r="F10758" s="1348"/>
      <c r="G10758" s="1348"/>
      <c r="H10758" s="1348"/>
      <c r="I10758" s="1348"/>
      <c r="J10758" s="1348"/>
      <c r="K10758" s="1348"/>
    </row>
    <row r="10759" spans="2:11" hidden="1">
      <c r="B10759" s="1348"/>
      <c r="C10759" s="1348"/>
      <c r="D10759" s="1348"/>
      <c r="E10759" s="1348"/>
      <c r="F10759" s="1348"/>
      <c r="G10759" s="1348"/>
      <c r="H10759" s="1348"/>
      <c r="I10759" s="1348"/>
      <c r="J10759" s="1348"/>
      <c r="K10759" s="1348"/>
    </row>
    <row r="10760" spans="2:11" hidden="1">
      <c r="B10760" s="1348"/>
      <c r="C10760" s="1348"/>
      <c r="D10760" s="1348"/>
      <c r="E10760" s="1348"/>
      <c r="F10760" s="1348"/>
      <c r="G10760" s="1348"/>
      <c r="H10760" s="1348"/>
      <c r="I10760" s="1348"/>
      <c r="J10760" s="1348"/>
      <c r="K10760" s="1348"/>
    </row>
    <row r="10761" spans="2:11" hidden="1">
      <c r="B10761" s="1348"/>
      <c r="C10761" s="1348"/>
      <c r="D10761" s="1348"/>
      <c r="E10761" s="1348"/>
      <c r="F10761" s="1348"/>
      <c r="G10761" s="1348"/>
      <c r="H10761" s="1348"/>
      <c r="I10761" s="1348"/>
      <c r="J10761" s="1348"/>
      <c r="K10761" s="1348"/>
    </row>
    <row r="10762" spans="2:11" hidden="1">
      <c r="B10762" s="1348"/>
      <c r="C10762" s="1348"/>
      <c r="D10762" s="1348"/>
      <c r="E10762" s="1348"/>
      <c r="F10762" s="1348"/>
      <c r="G10762" s="1348"/>
      <c r="H10762" s="1348"/>
      <c r="I10762" s="1348"/>
      <c r="J10762" s="1348"/>
      <c r="K10762" s="1348"/>
    </row>
    <row r="10763" spans="2:11" hidden="1">
      <c r="B10763" s="1348"/>
      <c r="C10763" s="1348"/>
      <c r="D10763" s="1348"/>
      <c r="E10763" s="1348"/>
      <c r="F10763" s="1348"/>
      <c r="G10763" s="1348"/>
      <c r="H10763" s="1348"/>
      <c r="I10763" s="1348"/>
      <c r="J10763" s="1348"/>
      <c r="K10763" s="1348"/>
    </row>
    <row r="10764" spans="2:11" hidden="1">
      <c r="B10764" s="1348"/>
      <c r="C10764" s="1348"/>
      <c r="D10764" s="1348"/>
      <c r="E10764" s="1348"/>
      <c r="F10764" s="1348"/>
      <c r="G10764" s="1348"/>
      <c r="H10764" s="1348"/>
      <c r="I10764" s="1348"/>
      <c r="J10764" s="1348"/>
      <c r="K10764" s="1348"/>
    </row>
    <row r="10765" spans="2:11" hidden="1">
      <c r="B10765" s="1348"/>
      <c r="C10765" s="1348"/>
      <c r="D10765" s="1348"/>
      <c r="E10765" s="1348"/>
      <c r="F10765" s="1348"/>
      <c r="G10765" s="1348"/>
      <c r="H10765" s="1348"/>
      <c r="I10765" s="1348"/>
      <c r="J10765" s="1348"/>
      <c r="K10765" s="1348"/>
    </row>
    <row r="10766" spans="2:11" hidden="1">
      <c r="B10766" s="1348"/>
      <c r="C10766" s="1348"/>
      <c r="D10766" s="1348"/>
      <c r="E10766" s="1348"/>
      <c r="F10766" s="1348"/>
      <c r="G10766" s="1348"/>
      <c r="H10766" s="1348"/>
      <c r="I10766" s="1348"/>
      <c r="J10766" s="1348"/>
      <c r="K10766" s="1348"/>
    </row>
    <row r="10767" spans="2:11" hidden="1">
      <c r="B10767" s="1348"/>
      <c r="C10767" s="1348"/>
      <c r="D10767" s="1348"/>
      <c r="E10767" s="1348"/>
      <c r="F10767" s="1348"/>
      <c r="G10767" s="1348"/>
      <c r="H10767" s="1348"/>
      <c r="I10767" s="1348"/>
      <c r="J10767" s="1348"/>
      <c r="K10767" s="1348"/>
    </row>
    <row r="10768" spans="2:11" hidden="1">
      <c r="B10768" s="1348"/>
      <c r="C10768" s="1348"/>
      <c r="D10768" s="1348"/>
      <c r="E10768" s="1348"/>
      <c r="F10768" s="1348"/>
      <c r="G10768" s="1348"/>
      <c r="H10768" s="1348"/>
      <c r="I10768" s="1348"/>
      <c r="J10768" s="1348"/>
      <c r="K10768" s="1348"/>
    </row>
    <row r="10769" spans="2:11" hidden="1">
      <c r="B10769" s="1348"/>
      <c r="C10769" s="1348"/>
      <c r="D10769" s="1348"/>
      <c r="E10769" s="1348"/>
      <c r="F10769" s="1348"/>
      <c r="G10769" s="1348"/>
      <c r="H10769" s="1348"/>
      <c r="I10769" s="1348"/>
      <c r="J10769" s="1348"/>
      <c r="K10769" s="1348"/>
    </row>
    <row r="10770" spans="2:11" hidden="1">
      <c r="B10770" s="1348"/>
      <c r="C10770" s="1348"/>
      <c r="D10770" s="1348"/>
      <c r="E10770" s="1348"/>
      <c r="F10770" s="1348"/>
      <c r="G10770" s="1348"/>
      <c r="H10770" s="1348"/>
      <c r="I10770" s="1348"/>
      <c r="J10770" s="1348"/>
      <c r="K10770" s="1348"/>
    </row>
    <row r="10771" spans="2:11" hidden="1">
      <c r="B10771" s="1348"/>
      <c r="C10771" s="1348"/>
      <c r="D10771" s="1348"/>
      <c r="E10771" s="1348"/>
      <c r="F10771" s="1348"/>
      <c r="G10771" s="1348"/>
      <c r="H10771" s="1348"/>
      <c r="I10771" s="1348"/>
      <c r="J10771" s="1348"/>
      <c r="K10771" s="1348"/>
    </row>
    <row r="10772" spans="2:11" hidden="1">
      <c r="B10772" s="1348"/>
      <c r="C10772" s="1348"/>
      <c r="D10772" s="1348"/>
      <c r="E10772" s="1348"/>
      <c r="F10772" s="1348"/>
      <c r="G10772" s="1348"/>
      <c r="H10772" s="1348"/>
      <c r="I10772" s="1348"/>
      <c r="J10772" s="1348"/>
      <c r="K10772" s="1348"/>
    </row>
    <row r="10773" spans="2:11" hidden="1">
      <c r="B10773" s="1348"/>
      <c r="C10773" s="1348"/>
      <c r="D10773" s="1348"/>
      <c r="E10773" s="1348"/>
      <c r="F10773" s="1348"/>
      <c r="G10773" s="1348"/>
      <c r="H10773" s="1348"/>
      <c r="I10773" s="1348"/>
      <c r="J10773" s="1348"/>
      <c r="K10773" s="1348"/>
    </row>
    <row r="10774" spans="2:11" hidden="1">
      <c r="B10774" s="1348"/>
      <c r="C10774" s="1348"/>
      <c r="D10774" s="1348"/>
      <c r="E10774" s="1348"/>
      <c r="F10774" s="1348"/>
      <c r="G10774" s="1348"/>
      <c r="H10774" s="1348"/>
      <c r="I10774" s="1348"/>
      <c r="J10774" s="1348"/>
      <c r="K10774" s="1348"/>
    </row>
    <row r="10775" spans="2:11" hidden="1">
      <c r="B10775" s="1348"/>
      <c r="C10775" s="1348"/>
      <c r="D10775" s="1348"/>
      <c r="E10775" s="1348"/>
      <c r="F10775" s="1348"/>
      <c r="G10775" s="1348"/>
      <c r="H10775" s="1348"/>
      <c r="I10775" s="1348"/>
      <c r="J10775" s="1348"/>
      <c r="K10775" s="1348"/>
    </row>
    <row r="10776" spans="2:11" hidden="1">
      <c r="B10776" s="1348"/>
      <c r="C10776" s="1348"/>
      <c r="D10776" s="1348"/>
      <c r="E10776" s="1348"/>
      <c r="F10776" s="1348"/>
      <c r="G10776" s="1348"/>
      <c r="H10776" s="1348"/>
      <c r="I10776" s="1348"/>
      <c r="J10776" s="1348"/>
      <c r="K10776" s="1348"/>
    </row>
    <row r="10777" spans="2:11" hidden="1">
      <c r="B10777" s="1348"/>
      <c r="C10777" s="1348"/>
      <c r="D10777" s="1348"/>
      <c r="E10777" s="1348"/>
      <c r="F10777" s="1348"/>
      <c r="G10777" s="1348"/>
      <c r="H10777" s="1348"/>
      <c r="I10777" s="1348"/>
      <c r="J10777" s="1348"/>
      <c r="K10777" s="1348"/>
    </row>
    <row r="10778" spans="2:11" hidden="1">
      <c r="B10778" s="1348"/>
      <c r="C10778" s="1348"/>
      <c r="D10778" s="1348"/>
      <c r="E10778" s="1348"/>
      <c r="F10778" s="1348"/>
      <c r="G10778" s="1348"/>
      <c r="H10778" s="1348"/>
      <c r="I10778" s="1348"/>
      <c r="J10778" s="1348"/>
      <c r="K10778" s="1348"/>
    </row>
    <row r="10779" spans="2:11" hidden="1">
      <c r="B10779" s="1348"/>
      <c r="C10779" s="1348"/>
      <c r="D10779" s="1348"/>
      <c r="E10779" s="1348"/>
      <c r="F10779" s="1348"/>
      <c r="G10779" s="1348"/>
      <c r="H10779" s="1348"/>
      <c r="I10779" s="1348"/>
      <c r="J10779" s="1348"/>
      <c r="K10779" s="1348"/>
    </row>
    <row r="10780" spans="2:11" hidden="1">
      <c r="B10780" s="1348"/>
      <c r="C10780" s="1348"/>
      <c r="D10780" s="1348"/>
      <c r="E10780" s="1348"/>
      <c r="F10780" s="1348"/>
      <c r="G10780" s="1348"/>
      <c r="H10780" s="1348"/>
      <c r="I10780" s="1348"/>
      <c r="J10780" s="1348"/>
      <c r="K10780" s="1348"/>
    </row>
    <row r="10781" spans="2:11" hidden="1">
      <c r="B10781" s="1348"/>
      <c r="C10781" s="1348"/>
      <c r="D10781" s="1348"/>
      <c r="E10781" s="1348"/>
      <c r="F10781" s="1348"/>
      <c r="G10781" s="1348"/>
      <c r="H10781" s="1348"/>
      <c r="I10781" s="1348"/>
      <c r="J10781" s="1348"/>
      <c r="K10781" s="1348"/>
    </row>
    <row r="10782" spans="2:11" hidden="1">
      <c r="B10782" s="1348"/>
      <c r="C10782" s="1348"/>
      <c r="D10782" s="1348"/>
      <c r="E10782" s="1348"/>
      <c r="F10782" s="1348"/>
      <c r="G10782" s="1348"/>
      <c r="H10782" s="1348"/>
      <c r="I10782" s="1348"/>
      <c r="J10782" s="1348"/>
      <c r="K10782" s="1348"/>
    </row>
    <row r="10783" spans="2:11" hidden="1">
      <c r="B10783" s="1348"/>
      <c r="C10783" s="1348"/>
      <c r="D10783" s="1348"/>
      <c r="E10783" s="1348"/>
      <c r="F10783" s="1348"/>
      <c r="G10783" s="1348"/>
      <c r="H10783" s="1348"/>
      <c r="I10783" s="1348"/>
      <c r="J10783" s="1348"/>
      <c r="K10783" s="1348"/>
    </row>
    <row r="10784" spans="2:11" hidden="1">
      <c r="B10784" s="1348"/>
      <c r="C10784" s="1348"/>
      <c r="D10784" s="1348"/>
      <c r="E10784" s="1348"/>
      <c r="F10784" s="1348"/>
      <c r="G10784" s="1348"/>
      <c r="H10784" s="1348"/>
      <c r="I10784" s="1348"/>
      <c r="J10784" s="1348"/>
      <c r="K10784" s="1348"/>
    </row>
    <row r="10785" spans="2:11" hidden="1">
      <c r="B10785" s="1348"/>
      <c r="C10785" s="1348"/>
      <c r="D10785" s="1348"/>
      <c r="E10785" s="1348"/>
      <c r="F10785" s="1348"/>
      <c r="G10785" s="1348"/>
      <c r="H10785" s="1348"/>
      <c r="I10785" s="1348"/>
      <c r="J10785" s="1348"/>
      <c r="K10785" s="1348"/>
    </row>
    <row r="10786" spans="2:11" hidden="1">
      <c r="B10786" s="1348"/>
      <c r="C10786" s="1348"/>
      <c r="D10786" s="1348"/>
      <c r="E10786" s="1348"/>
      <c r="F10786" s="1348"/>
      <c r="G10786" s="1348"/>
      <c r="H10786" s="1348"/>
      <c r="I10786" s="1348"/>
      <c r="J10786" s="1348"/>
      <c r="K10786" s="1348"/>
    </row>
    <row r="10787" spans="2:11" hidden="1">
      <c r="B10787" s="1348"/>
      <c r="C10787" s="1348"/>
      <c r="D10787" s="1348"/>
      <c r="E10787" s="1348"/>
      <c r="F10787" s="1348"/>
      <c r="G10787" s="1348"/>
      <c r="H10787" s="1348"/>
      <c r="I10787" s="1348"/>
      <c r="J10787" s="1348"/>
      <c r="K10787" s="1348"/>
    </row>
    <row r="10788" spans="2:11" hidden="1">
      <c r="B10788" s="1348"/>
      <c r="C10788" s="1348"/>
      <c r="D10788" s="1348"/>
      <c r="E10788" s="1348"/>
      <c r="F10788" s="1348"/>
      <c r="G10788" s="1348"/>
      <c r="H10788" s="1348"/>
      <c r="I10788" s="1348"/>
      <c r="J10788" s="1348"/>
      <c r="K10788" s="1348"/>
    </row>
    <row r="10789" spans="2:11" hidden="1">
      <c r="B10789" s="1348"/>
      <c r="C10789" s="1348"/>
      <c r="D10789" s="1348"/>
      <c r="E10789" s="1348"/>
      <c r="F10789" s="1348"/>
      <c r="G10789" s="1348"/>
      <c r="H10789" s="1348"/>
      <c r="I10789" s="1348"/>
      <c r="J10789" s="1348"/>
      <c r="K10789" s="1348"/>
    </row>
    <row r="10790" spans="2:11" hidden="1">
      <c r="B10790" s="1348"/>
      <c r="C10790" s="1348"/>
      <c r="D10790" s="1348"/>
      <c r="E10790" s="1348"/>
      <c r="F10790" s="1348"/>
      <c r="G10790" s="1348"/>
      <c r="H10790" s="1348"/>
      <c r="I10790" s="1348"/>
      <c r="J10790" s="1348"/>
      <c r="K10790" s="1348"/>
    </row>
    <row r="10791" spans="2:11" hidden="1">
      <c r="B10791" s="1348"/>
      <c r="C10791" s="1348"/>
      <c r="D10791" s="1348"/>
      <c r="E10791" s="1348"/>
      <c r="F10791" s="1348"/>
      <c r="G10791" s="1348"/>
      <c r="H10791" s="1348"/>
      <c r="I10791" s="1348"/>
      <c r="J10791" s="1348"/>
      <c r="K10791" s="1348"/>
    </row>
    <row r="10792" spans="2:11" hidden="1">
      <c r="B10792" s="1348"/>
      <c r="C10792" s="1348"/>
      <c r="D10792" s="1348"/>
      <c r="E10792" s="1348"/>
      <c r="F10792" s="1348"/>
      <c r="G10792" s="1348"/>
      <c r="H10792" s="1348"/>
      <c r="I10792" s="1348"/>
      <c r="J10792" s="1348"/>
      <c r="K10792" s="1348"/>
    </row>
    <row r="10793" spans="2:11" hidden="1">
      <c r="B10793" s="1348"/>
      <c r="C10793" s="1348"/>
      <c r="D10793" s="1348"/>
      <c r="E10793" s="1348"/>
      <c r="F10793" s="1348"/>
      <c r="G10793" s="1348"/>
      <c r="H10793" s="1348"/>
      <c r="I10793" s="1348"/>
      <c r="J10793" s="1348"/>
      <c r="K10793" s="1348"/>
    </row>
    <row r="10794" spans="2:11" hidden="1">
      <c r="B10794" s="1348"/>
      <c r="C10794" s="1348"/>
      <c r="D10794" s="1348"/>
      <c r="E10794" s="1348"/>
      <c r="F10794" s="1348"/>
      <c r="G10794" s="1348"/>
      <c r="H10794" s="1348"/>
      <c r="I10794" s="1348"/>
      <c r="J10794" s="1348"/>
      <c r="K10794" s="1348"/>
    </row>
    <row r="10795" spans="2:11" hidden="1">
      <c r="B10795" s="1348"/>
      <c r="C10795" s="1348"/>
      <c r="D10795" s="1348"/>
      <c r="E10795" s="1348"/>
      <c r="F10795" s="1348"/>
      <c r="G10795" s="1348"/>
      <c r="H10795" s="1348"/>
      <c r="I10795" s="1348"/>
      <c r="J10795" s="1348"/>
      <c r="K10795" s="1348"/>
    </row>
    <row r="10796" spans="2:11" hidden="1">
      <c r="B10796" s="1348"/>
      <c r="C10796" s="1348"/>
      <c r="D10796" s="1348"/>
      <c r="E10796" s="1348"/>
      <c r="F10796" s="1348"/>
      <c r="G10796" s="1348"/>
      <c r="H10796" s="1348"/>
      <c r="I10796" s="1348"/>
      <c r="J10796" s="1348"/>
      <c r="K10796" s="1348"/>
    </row>
    <row r="10797" spans="2:11" hidden="1">
      <c r="B10797" s="1348"/>
      <c r="C10797" s="1348"/>
      <c r="D10797" s="1348"/>
      <c r="E10797" s="1348"/>
      <c r="F10797" s="1348"/>
      <c r="G10797" s="1348"/>
      <c r="H10797" s="1348"/>
      <c r="I10797" s="1348"/>
      <c r="J10797" s="1348"/>
      <c r="K10797" s="1348"/>
    </row>
    <row r="10798" spans="2:11" hidden="1">
      <c r="B10798" s="1348"/>
      <c r="C10798" s="1348"/>
      <c r="D10798" s="1348"/>
      <c r="E10798" s="1348"/>
      <c r="F10798" s="1348"/>
      <c r="G10798" s="1348"/>
      <c r="H10798" s="1348"/>
      <c r="I10798" s="1348"/>
      <c r="J10798" s="1348"/>
      <c r="K10798" s="1348"/>
    </row>
    <row r="10799" spans="2:11" hidden="1">
      <c r="B10799" s="1348"/>
      <c r="C10799" s="1348"/>
      <c r="D10799" s="1348"/>
      <c r="E10799" s="1348"/>
      <c r="F10799" s="1348"/>
      <c r="G10799" s="1348"/>
      <c r="H10799" s="1348"/>
      <c r="I10799" s="1348"/>
      <c r="J10799" s="1348"/>
      <c r="K10799" s="1348"/>
    </row>
    <row r="10800" spans="2:11" hidden="1">
      <c r="B10800" s="1348"/>
      <c r="C10800" s="1348"/>
      <c r="D10800" s="1348"/>
      <c r="E10800" s="1348"/>
      <c r="F10800" s="1348"/>
      <c r="G10800" s="1348"/>
      <c r="H10800" s="1348"/>
      <c r="I10800" s="1348"/>
      <c r="J10800" s="1348"/>
      <c r="K10800" s="1348"/>
    </row>
    <row r="10801" spans="2:11" hidden="1">
      <c r="B10801" s="1348"/>
      <c r="C10801" s="1348"/>
      <c r="D10801" s="1348"/>
      <c r="E10801" s="1348"/>
      <c r="F10801" s="1348"/>
      <c r="G10801" s="1348"/>
      <c r="H10801" s="1348"/>
      <c r="I10801" s="1348"/>
      <c r="J10801" s="1348"/>
      <c r="K10801" s="1348"/>
    </row>
    <row r="10802" spans="2:11" hidden="1">
      <c r="B10802" s="1348"/>
      <c r="C10802" s="1348"/>
      <c r="D10802" s="1348"/>
      <c r="E10802" s="1348"/>
      <c r="F10802" s="1348"/>
      <c r="G10802" s="1348"/>
      <c r="H10802" s="1348"/>
      <c r="I10802" s="1348"/>
      <c r="J10802" s="1348"/>
      <c r="K10802" s="1348"/>
    </row>
    <row r="10803" spans="2:11" hidden="1">
      <c r="B10803" s="1348"/>
      <c r="C10803" s="1348"/>
      <c r="D10803" s="1348"/>
      <c r="E10803" s="1348"/>
      <c r="F10803" s="1348"/>
      <c r="G10803" s="1348"/>
      <c r="H10803" s="1348"/>
      <c r="I10803" s="1348"/>
      <c r="J10803" s="1348"/>
      <c r="K10803" s="1348"/>
    </row>
    <row r="10804" spans="2:11" hidden="1">
      <c r="B10804" s="1348"/>
      <c r="C10804" s="1348"/>
      <c r="D10804" s="1348"/>
      <c r="E10804" s="1348"/>
      <c r="F10804" s="1348"/>
      <c r="G10804" s="1348"/>
      <c r="H10804" s="1348"/>
      <c r="I10804" s="1348"/>
      <c r="J10804" s="1348"/>
      <c r="K10804" s="1348"/>
    </row>
    <row r="10805" spans="2:11" hidden="1">
      <c r="B10805" s="1348"/>
      <c r="C10805" s="1348"/>
      <c r="D10805" s="1348"/>
      <c r="E10805" s="1348"/>
      <c r="F10805" s="1348"/>
      <c r="G10805" s="1348"/>
      <c r="H10805" s="1348"/>
      <c r="I10805" s="1348"/>
      <c r="J10805" s="1348"/>
      <c r="K10805" s="1348"/>
    </row>
    <row r="10806" spans="2:11" hidden="1">
      <c r="B10806" s="1348"/>
      <c r="C10806" s="1348"/>
      <c r="D10806" s="1348"/>
      <c r="E10806" s="1348"/>
      <c r="F10806" s="1348"/>
      <c r="G10806" s="1348"/>
      <c r="H10806" s="1348"/>
      <c r="I10806" s="1348"/>
      <c r="J10806" s="1348"/>
      <c r="K10806" s="1348"/>
    </row>
    <row r="10807" spans="2:11" hidden="1">
      <c r="B10807" s="1348"/>
      <c r="C10807" s="1348"/>
      <c r="D10807" s="1348"/>
      <c r="E10807" s="1348"/>
      <c r="F10807" s="1348"/>
      <c r="G10807" s="1348"/>
      <c r="H10807" s="1348"/>
      <c r="I10807" s="1348"/>
      <c r="J10807" s="1348"/>
      <c r="K10807" s="1348"/>
    </row>
    <row r="10808" spans="2:11" hidden="1">
      <c r="B10808" s="1348"/>
      <c r="C10808" s="1348"/>
      <c r="D10808" s="1348"/>
      <c r="E10808" s="1348"/>
      <c r="F10808" s="1348"/>
      <c r="G10808" s="1348"/>
      <c r="H10808" s="1348"/>
      <c r="I10808" s="1348"/>
      <c r="J10808" s="1348"/>
      <c r="K10808" s="1348"/>
    </row>
    <row r="10809" spans="2:11" hidden="1">
      <c r="B10809" s="1348"/>
      <c r="C10809" s="1348"/>
      <c r="D10809" s="1348"/>
      <c r="E10809" s="1348"/>
      <c r="F10809" s="1348"/>
      <c r="G10809" s="1348"/>
      <c r="H10809" s="1348"/>
      <c r="I10809" s="1348"/>
      <c r="J10809" s="1348"/>
      <c r="K10809" s="1348"/>
    </row>
    <row r="10810" spans="2:11" hidden="1">
      <c r="B10810" s="1348"/>
      <c r="C10810" s="1348"/>
      <c r="D10810" s="1348"/>
      <c r="E10810" s="1348"/>
      <c r="F10810" s="1348"/>
      <c r="G10810" s="1348"/>
      <c r="H10810" s="1348"/>
      <c r="I10810" s="1348"/>
      <c r="J10810" s="1348"/>
      <c r="K10810" s="1348"/>
    </row>
    <row r="10811" spans="2:11" hidden="1">
      <c r="B10811" s="1348"/>
      <c r="C10811" s="1348"/>
      <c r="D10811" s="1348"/>
      <c r="E10811" s="1348"/>
      <c r="F10811" s="1348"/>
      <c r="G10811" s="1348"/>
      <c r="H10811" s="1348"/>
      <c r="I10811" s="1348"/>
      <c r="J10811" s="1348"/>
      <c r="K10811" s="1348"/>
    </row>
    <row r="10812" spans="2:11" hidden="1">
      <c r="B10812" s="1348"/>
      <c r="C10812" s="1348"/>
      <c r="D10812" s="1348"/>
      <c r="E10812" s="1348"/>
      <c r="F10812" s="1348"/>
      <c r="G10812" s="1348"/>
      <c r="H10812" s="1348"/>
      <c r="I10812" s="1348"/>
      <c r="J10812" s="1348"/>
      <c r="K10812" s="1348"/>
    </row>
    <row r="10813" spans="2:11" hidden="1">
      <c r="B10813" s="1348"/>
      <c r="C10813" s="1348"/>
      <c r="D10813" s="1348"/>
      <c r="E10813" s="1348"/>
      <c r="F10813" s="1348"/>
      <c r="G10813" s="1348"/>
      <c r="H10813" s="1348"/>
      <c r="I10813" s="1348"/>
      <c r="J10813" s="1348"/>
      <c r="K10813" s="1348"/>
    </row>
    <row r="10814" spans="2:11" hidden="1">
      <c r="B10814" s="1348"/>
      <c r="C10814" s="1348"/>
      <c r="D10814" s="1348"/>
      <c r="E10814" s="1348"/>
      <c r="F10814" s="1348"/>
      <c r="G10814" s="1348"/>
      <c r="H10814" s="1348"/>
      <c r="I10814" s="1348"/>
      <c r="J10814" s="1348"/>
      <c r="K10814" s="1348"/>
    </row>
    <row r="10815" spans="2:11" hidden="1">
      <c r="B10815" s="1348"/>
      <c r="C10815" s="1348"/>
      <c r="D10815" s="1348"/>
      <c r="E10815" s="1348"/>
      <c r="F10815" s="1348"/>
      <c r="G10815" s="1348"/>
      <c r="H10815" s="1348"/>
      <c r="I10815" s="1348"/>
      <c r="J10815" s="1348"/>
      <c r="K10815" s="1348"/>
    </row>
    <row r="10816" spans="2:11" hidden="1">
      <c r="B10816" s="1348"/>
      <c r="C10816" s="1348"/>
      <c r="D10816" s="1348"/>
      <c r="E10816" s="1348"/>
      <c r="F10816" s="1348"/>
      <c r="G10816" s="1348"/>
      <c r="H10816" s="1348"/>
      <c r="I10816" s="1348"/>
      <c r="J10816" s="1348"/>
      <c r="K10816" s="1348"/>
    </row>
    <row r="10817" spans="2:11" hidden="1">
      <c r="B10817" s="1348"/>
      <c r="C10817" s="1348"/>
      <c r="D10817" s="1348"/>
      <c r="E10817" s="1348"/>
      <c r="F10817" s="1348"/>
      <c r="G10817" s="1348"/>
      <c r="H10817" s="1348"/>
      <c r="I10817" s="1348"/>
      <c r="J10817" s="1348"/>
      <c r="K10817" s="1348"/>
    </row>
    <row r="10818" spans="2:11" hidden="1">
      <c r="B10818" s="1348"/>
      <c r="C10818" s="1348"/>
      <c r="D10818" s="1348"/>
      <c r="E10818" s="1348"/>
      <c r="F10818" s="1348"/>
      <c r="G10818" s="1348"/>
      <c r="H10818" s="1348"/>
      <c r="I10818" s="1348"/>
      <c r="J10818" s="1348"/>
      <c r="K10818" s="1348"/>
    </row>
    <row r="10819" spans="2:11" hidden="1">
      <c r="B10819" s="1348"/>
      <c r="C10819" s="1348"/>
      <c r="D10819" s="1348"/>
      <c r="E10819" s="1348"/>
      <c r="F10819" s="1348"/>
      <c r="G10819" s="1348"/>
      <c r="H10819" s="1348"/>
      <c r="I10819" s="1348"/>
      <c r="J10819" s="1348"/>
      <c r="K10819" s="1348"/>
    </row>
    <row r="10820" spans="2:11" hidden="1">
      <c r="B10820" s="1348"/>
      <c r="C10820" s="1348"/>
      <c r="D10820" s="1348"/>
      <c r="E10820" s="1348"/>
      <c r="F10820" s="1348"/>
      <c r="G10820" s="1348"/>
      <c r="H10820" s="1348"/>
      <c r="I10820" s="1348"/>
      <c r="J10820" s="1348"/>
      <c r="K10820" s="1348"/>
    </row>
    <row r="10821" spans="2:11" hidden="1">
      <c r="B10821" s="1348"/>
      <c r="C10821" s="1348"/>
      <c r="D10821" s="1348"/>
      <c r="E10821" s="1348"/>
      <c r="F10821" s="1348"/>
      <c r="G10821" s="1348"/>
      <c r="H10821" s="1348"/>
      <c r="I10821" s="1348"/>
      <c r="J10821" s="1348"/>
      <c r="K10821" s="1348"/>
    </row>
    <row r="10822" spans="2:11" hidden="1">
      <c r="B10822" s="1348"/>
      <c r="C10822" s="1348"/>
      <c r="D10822" s="1348"/>
      <c r="E10822" s="1348"/>
      <c r="F10822" s="1348"/>
      <c r="G10822" s="1348"/>
      <c r="H10822" s="1348"/>
      <c r="I10822" s="1348"/>
      <c r="J10822" s="1348"/>
      <c r="K10822" s="1348"/>
    </row>
    <row r="10823" spans="2:11" hidden="1">
      <c r="B10823" s="1348"/>
      <c r="C10823" s="1348"/>
      <c r="D10823" s="1348"/>
      <c r="E10823" s="1348"/>
      <c r="F10823" s="1348"/>
      <c r="G10823" s="1348"/>
      <c r="H10823" s="1348"/>
      <c r="I10823" s="1348"/>
      <c r="J10823" s="1348"/>
      <c r="K10823" s="1348"/>
    </row>
    <row r="10824" spans="2:11" hidden="1">
      <c r="B10824" s="1348"/>
      <c r="C10824" s="1348"/>
      <c r="D10824" s="1348"/>
      <c r="E10824" s="1348"/>
      <c r="F10824" s="1348"/>
      <c r="G10824" s="1348"/>
      <c r="H10824" s="1348"/>
      <c r="I10824" s="1348"/>
      <c r="J10824" s="1348"/>
      <c r="K10824" s="1348"/>
    </row>
    <row r="10825" spans="2:11" hidden="1">
      <c r="B10825" s="1348"/>
      <c r="C10825" s="1348"/>
      <c r="D10825" s="1348"/>
      <c r="E10825" s="1348"/>
      <c r="F10825" s="1348"/>
      <c r="G10825" s="1348"/>
      <c r="H10825" s="1348"/>
      <c r="I10825" s="1348"/>
      <c r="J10825" s="1348"/>
      <c r="K10825" s="1348"/>
    </row>
    <row r="10826" spans="2:11" hidden="1">
      <c r="B10826" s="1348"/>
      <c r="C10826" s="1348"/>
      <c r="D10826" s="1348"/>
      <c r="E10826" s="1348"/>
      <c r="F10826" s="1348"/>
      <c r="G10826" s="1348"/>
      <c r="H10826" s="1348"/>
      <c r="I10826" s="1348"/>
      <c r="J10826" s="1348"/>
      <c r="K10826" s="1348"/>
    </row>
    <row r="10827" spans="2:11" hidden="1">
      <c r="B10827" s="1348"/>
      <c r="C10827" s="1348"/>
      <c r="D10827" s="1348"/>
      <c r="E10827" s="1348"/>
      <c r="F10827" s="1348"/>
      <c r="G10827" s="1348"/>
      <c r="H10827" s="1348"/>
      <c r="I10827" s="1348"/>
      <c r="J10827" s="1348"/>
      <c r="K10827" s="1348"/>
    </row>
    <row r="10828" spans="2:11" hidden="1">
      <c r="B10828" s="1348"/>
      <c r="C10828" s="1348"/>
      <c r="D10828" s="1348"/>
      <c r="E10828" s="1348"/>
      <c r="F10828" s="1348"/>
      <c r="G10828" s="1348"/>
      <c r="H10828" s="1348"/>
      <c r="I10828" s="1348"/>
      <c r="J10828" s="1348"/>
      <c r="K10828" s="1348"/>
    </row>
    <row r="10829" spans="2:11" hidden="1">
      <c r="B10829" s="1348"/>
      <c r="C10829" s="1348"/>
      <c r="D10829" s="1348"/>
      <c r="E10829" s="1348"/>
      <c r="F10829" s="1348"/>
      <c r="G10829" s="1348"/>
      <c r="H10829" s="1348"/>
      <c r="I10829" s="1348"/>
      <c r="J10829" s="1348"/>
      <c r="K10829" s="1348"/>
    </row>
    <row r="10830" spans="2:11" hidden="1">
      <c r="B10830" s="1348"/>
      <c r="C10830" s="1348"/>
      <c r="D10830" s="1348"/>
      <c r="E10830" s="1348"/>
      <c r="F10830" s="1348"/>
      <c r="G10830" s="1348"/>
      <c r="H10830" s="1348"/>
      <c r="I10830" s="1348"/>
      <c r="J10830" s="1348"/>
      <c r="K10830" s="1348"/>
    </row>
    <row r="10831" spans="2:11" hidden="1">
      <c r="B10831" s="1348"/>
      <c r="C10831" s="1348"/>
      <c r="D10831" s="1348"/>
      <c r="E10831" s="1348"/>
      <c r="F10831" s="1348"/>
      <c r="G10831" s="1348"/>
      <c r="H10831" s="1348"/>
      <c r="I10831" s="1348"/>
      <c r="J10831" s="1348"/>
      <c r="K10831" s="1348"/>
    </row>
    <row r="10832" spans="2:11" hidden="1">
      <c r="B10832" s="1348"/>
      <c r="C10832" s="1348"/>
      <c r="D10832" s="1348"/>
      <c r="E10832" s="1348"/>
      <c r="F10832" s="1348"/>
      <c r="G10832" s="1348"/>
      <c r="H10832" s="1348"/>
      <c r="I10832" s="1348"/>
      <c r="J10832" s="1348"/>
      <c r="K10832" s="1348"/>
    </row>
    <row r="10833" spans="2:11" hidden="1">
      <c r="B10833" s="1348"/>
      <c r="C10833" s="1348"/>
      <c r="D10833" s="1348"/>
      <c r="E10833" s="1348"/>
      <c r="F10833" s="1348"/>
      <c r="G10833" s="1348"/>
      <c r="H10833" s="1348"/>
      <c r="I10833" s="1348"/>
      <c r="J10833" s="1348"/>
      <c r="K10833" s="1348"/>
    </row>
    <row r="10834" spans="2:11" hidden="1">
      <c r="B10834" s="1348"/>
      <c r="C10834" s="1348"/>
      <c r="D10834" s="1348"/>
      <c r="E10834" s="1348"/>
      <c r="F10834" s="1348"/>
      <c r="G10834" s="1348"/>
      <c r="H10834" s="1348"/>
      <c r="I10834" s="1348"/>
      <c r="J10834" s="1348"/>
      <c r="K10834" s="1348"/>
    </row>
    <row r="10835" spans="2:11" hidden="1">
      <c r="B10835" s="1348"/>
      <c r="C10835" s="1348"/>
      <c r="D10835" s="1348"/>
      <c r="E10835" s="1348"/>
      <c r="F10835" s="1348"/>
      <c r="G10835" s="1348"/>
      <c r="H10835" s="1348"/>
      <c r="I10835" s="1348"/>
      <c r="J10835" s="1348"/>
      <c r="K10835" s="1348"/>
    </row>
    <row r="10836" spans="2:11" hidden="1">
      <c r="B10836" s="1348"/>
      <c r="C10836" s="1348"/>
      <c r="D10836" s="1348"/>
      <c r="E10836" s="1348"/>
      <c r="F10836" s="1348"/>
      <c r="G10836" s="1348"/>
      <c r="H10836" s="1348"/>
      <c r="I10836" s="1348"/>
      <c r="J10836" s="1348"/>
      <c r="K10836" s="1348"/>
    </row>
    <row r="10837" spans="2:11" hidden="1">
      <c r="B10837" s="1348"/>
      <c r="C10837" s="1348"/>
      <c r="D10837" s="1348"/>
      <c r="E10837" s="1348"/>
      <c r="F10837" s="1348"/>
      <c r="G10837" s="1348"/>
      <c r="H10837" s="1348"/>
      <c r="I10837" s="1348"/>
      <c r="J10837" s="1348"/>
      <c r="K10837" s="1348"/>
    </row>
    <row r="10838" spans="2:11" hidden="1">
      <c r="B10838" s="1348"/>
      <c r="C10838" s="1348"/>
      <c r="D10838" s="1348"/>
      <c r="E10838" s="1348"/>
      <c r="F10838" s="1348"/>
      <c r="G10838" s="1348"/>
      <c r="H10838" s="1348"/>
      <c r="I10838" s="1348"/>
      <c r="J10838" s="1348"/>
      <c r="K10838" s="1348"/>
    </row>
    <row r="10839" spans="2:11" hidden="1">
      <c r="B10839" s="1348"/>
      <c r="C10839" s="1348"/>
      <c r="D10839" s="1348"/>
      <c r="E10839" s="1348"/>
      <c r="F10839" s="1348"/>
      <c r="G10839" s="1348"/>
      <c r="H10839" s="1348"/>
      <c r="I10839" s="1348"/>
      <c r="J10839" s="1348"/>
      <c r="K10839" s="1348"/>
    </row>
    <row r="10840" spans="2:11" hidden="1">
      <c r="B10840" s="1348"/>
      <c r="C10840" s="1348"/>
      <c r="D10840" s="1348"/>
      <c r="E10840" s="1348"/>
      <c r="F10840" s="1348"/>
      <c r="G10840" s="1348"/>
      <c r="H10840" s="1348"/>
      <c r="I10840" s="1348"/>
      <c r="J10840" s="1348"/>
      <c r="K10840" s="1348"/>
    </row>
    <row r="10841" spans="2:11" hidden="1">
      <c r="B10841" s="1348"/>
      <c r="C10841" s="1348"/>
      <c r="D10841" s="1348"/>
      <c r="E10841" s="1348"/>
      <c r="F10841" s="1348"/>
      <c r="G10841" s="1348"/>
      <c r="H10841" s="1348"/>
      <c r="I10841" s="1348"/>
      <c r="J10841" s="1348"/>
      <c r="K10841" s="1348"/>
    </row>
    <row r="10842" spans="2:11" hidden="1">
      <c r="B10842" s="1348"/>
      <c r="C10842" s="1348"/>
      <c r="D10842" s="1348"/>
      <c r="E10842" s="1348"/>
      <c r="F10842" s="1348"/>
      <c r="G10842" s="1348"/>
      <c r="H10842" s="1348"/>
      <c r="I10842" s="1348"/>
      <c r="J10842" s="1348"/>
      <c r="K10842" s="1348"/>
    </row>
    <row r="10843" spans="2:11" hidden="1">
      <c r="B10843" s="1348"/>
      <c r="C10843" s="1348"/>
      <c r="D10843" s="1348"/>
      <c r="E10843" s="1348"/>
      <c r="F10843" s="1348"/>
      <c r="G10843" s="1348"/>
      <c r="H10843" s="1348"/>
      <c r="I10843" s="1348"/>
      <c r="J10843" s="1348"/>
      <c r="K10843" s="1348"/>
    </row>
    <row r="10844" spans="2:11" hidden="1">
      <c r="B10844" s="1348"/>
      <c r="C10844" s="1348"/>
      <c r="D10844" s="1348"/>
      <c r="E10844" s="1348"/>
      <c r="F10844" s="1348"/>
      <c r="G10844" s="1348"/>
      <c r="H10844" s="1348"/>
      <c r="I10844" s="1348"/>
      <c r="J10844" s="1348"/>
      <c r="K10844" s="1348"/>
    </row>
    <row r="10845" spans="2:11" hidden="1">
      <c r="B10845" s="1348"/>
      <c r="C10845" s="1348"/>
      <c r="D10845" s="1348"/>
      <c r="E10845" s="1348"/>
      <c r="F10845" s="1348"/>
      <c r="G10845" s="1348"/>
      <c r="H10845" s="1348"/>
      <c r="I10845" s="1348"/>
      <c r="J10845" s="1348"/>
      <c r="K10845" s="1348"/>
    </row>
    <row r="10846" spans="2:11" hidden="1">
      <c r="B10846" s="1348"/>
      <c r="C10846" s="1348"/>
      <c r="D10846" s="1348"/>
      <c r="E10846" s="1348"/>
      <c r="F10846" s="1348"/>
      <c r="G10846" s="1348"/>
      <c r="H10846" s="1348"/>
      <c r="I10846" s="1348"/>
      <c r="J10846" s="1348"/>
      <c r="K10846" s="1348"/>
    </row>
    <row r="10847" spans="2:11" hidden="1">
      <c r="B10847" s="1348"/>
      <c r="C10847" s="1348"/>
      <c r="D10847" s="1348"/>
      <c r="E10847" s="1348"/>
      <c r="F10847" s="1348"/>
      <c r="G10847" s="1348"/>
      <c r="H10847" s="1348"/>
      <c r="I10847" s="1348"/>
      <c r="J10847" s="1348"/>
      <c r="K10847" s="1348"/>
    </row>
    <row r="10848" spans="2:11" hidden="1">
      <c r="B10848" s="1348"/>
      <c r="C10848" s="1348"/>
      <c r="D10848" s="1348"/>
      <c r="E10848" s="1348"/>
      <c r="F10848" s="1348"/>
      <c r="G10848" s="1348"/>
      <c r="H10848" s="1348"/>
      <c r="I10848" s="1348"/>
      <c r="J10848" s="1348"/>
      <c r="K10848" s="1348"/>
    </row>
    <row r="10849" spans="2:11" hidden="1">
      <c r="B10849" s="1348"/>
      <c r="C10849" s="1348"/>
      <c r="D10849" s="1348"/>
      <c r="E10849" s="1348"/>
      <c r="F10849" s="1348"/>
      <c r="G10849" s="1348"/>
      <c r="H10849" s="1348"/>
      <c r="I10849" s="1348"/>
      <c r="J10849" s="1348"/>
      <c r="K10849" s="1348"/>
    </row>
    <row r="10850" spans="2:11" hidden="1">
      <c r="B10850" s="1348"/>
      <c r="C10850" s="1348"/>
      <c r="D10850" s="1348"/>
      <c r="E10850" s="1348"/>
      <c r="F10850" s="1348"/>
      <c r="G10850" s="1348"/>
      <c r="H10850" s="1348"/>
      <c r="I10850" s="1348"/>
      <c r="J10850" s="1348"/>
      <c r="K10850" s="1348"/>
    </row>
    <row r="10851" spans="2:11" hidden="1">
      <c r="B10851" s="1348"/>
      <c r="C10851" s="1348"/>
      <c r="D10851" s="1348"/>
      <c r="E10851" s="1348"/>
      <c r="F10851" s="1348"/>
      <c r="G10851" s="1348"/>
      <c r="H10851" s="1348"/>
      <c r="I10851" s="1348"/>
      <c r="J10851" s="1348"/>
      <c r="K10851" s="1348"/>
    </row>
    <row r="10852" spans="2:11" hidden="1">
      <c r="B10852" s="1348"/>
      <c r="C10852" s="1348"/>
      <c r="D10852" s="1348"/>
      <c r="E10852" s="1348"/>
      <c r="F10852" s="1348"/>
      <c r="G10852" s="1348"/>
      <c r="H10852" s="1348"/>
      <c r="I10852" s="1348"/>
      <c r="J10852" s="1348"/>
      <c r="K10852" s="1348"/>
    </row>
    <row r="10853" spans="2:11" hidden="1">
      <c r="B10853" s="1348"/>
      <c r="C10853" s="1348"/>
      <c r="D10853" s="1348"/>
      <c r="E10853" s="1348"/>
      <c r="F10853" s="1348"/>
      <c r="G10853" s="1348"/>
      <c r="H10853" s="1348"/>
      <c r="I10853" s="1348"/>
      <c r="J10853" s="1348"/>
      <c r="K10853" s="1348"/>
    </row>
    <row r="10854" spans="2:11" hidden="1">
      <c r="B10854" s="1348"/>
      <c r="C10854" s="1348"/>
      <c r="D10854" s="1348"/>
      <c r="E10854" s="1348"/>
      <c r="F10854" s="1348"/>
      <c r="G10854" s="1348"/>
      <c r="H10854" s="1348"/>
      <c r="I10854" s="1348"/>
      <c r="J10854" s="1348"/>
      <c r="K10854" s="1348"/>
    </row>
    <row r="10855" spans="2:11" hidden="1">
      <c r="B10855" s="1348"/>
      <c r="C10855" s="1348"/>
      <c r="D10855" s="1348"/>
      <c r="E10855" s="1348"/>
      <c r="F10855" s="1348"/>
      <c r="G10855" s="1348"/>
      <c r="H10855" s="1348"/>
      <c r="I10855" s="1348"/>
      <c r="J10855" s="1348"/>
      <c r="K10855" s="1348"/>
    </row>
    <row r="10856" spans="2:11" hidden="1">
      <c r="B10856" s="1348"/>
      <c r="C10856" s="1348"/>
      <c r="D10856" s="1348"/>
      <c r="E10856" s="1348"/>
      <c r="F10856" s="1348"/>
      <c r="G10856" s="1348"/>
      <c r="H10856" s="1348"/>
      <c r="I10856" s="1348"/>
      <c r="J10856" s="1348"/>
      <c r="K10856" s="1348"/>
    </row>
    <row r="10857" spans="2:11" hidden="1">
      <c r="B10857" s="1348"/>
      <c r="C10857" s="1348"/>
      <c r="D10857" s="1348"/>
      <c r="E10857" s="1348"/>
      <c r="F10857" s="1348"/>
      <c r="G10857" s="1348"/>
      <c r="H10857" s="1348"/>
      <c r="I10857" s="1348"/>
      <c r="J10857" s="1348"/>
      <c r="K10857" s="1348"/>
    </row>
    <row r="10858" spans="2:11" hidden="1">
      <c r="B10858" s="1348"/>
      <c r="C10858" s="1348"/>
      <c r="D10858" s="1348"/>
      <c r="E10858" s="1348"/>
      <c r="F10858" s="1348"/>
      <c r="G10858" s="1348"/>
      <c r="H10858" s="1348"/>
      <c r="I10858" s="1348"/>
      <c r="J10858" s="1348"/>
      <c r="K10858" s="1348"/>
    </row>
    <row r="10859" spans="2:11" hidden="1">
      <c r="B10859" s="1348"/>
      <c r="C10859" s="1348"/>
      <c r="D10859" s="1348"/>
      <c r="E10859" s="1348"/>
      <c r="F10859" s="1348"/>
      <c r="G10859" s="1348"/>
      <c r="H10859" s="1348"/>
      <c r="I10859" s="1348"/>
      <c r="J10859" s="1348"/>
      <c r="K10859" s="1348"/>
    </row>
    <row r="10860" spans="2:11" hidden="1">
      <c r="B10860" s="1348"/>
      <c r="C10860" s="1348"/>
      <c r="D10860" s="1348"/>
      <c r="E10860" s="1348"/>
      <c r="F10860" s="1348"/>
      <c r="G10860" s="1348"/>
      <c r="H10860" s="1348"/>
      <c r="I10860" s="1348"/>
      <c r="J10860" s="1348"/>
      <c r="K10860" s="1348"/>
    </row>
    <row r="10861" spans="2:11" hidden="1">
      <c r="B10861" s="1348"/>
      <c r="C10861" s="1348"/>
      <c r="D10861" s="1348"/>
      <c r="E10861" s="1348"/>
      <c r="F10861" s="1348"/>
      <c r="G10861" s="1348"/>
      <c r="H10861" s="1348"/>
      <c r="I10861" s="1348"/>
      <c r="J10861" s="1348"/>
      <c r="K10861" s="1348"/>
    </row>
    <row r="10862" spans="2:11" hidden="1">
      <c r="B10862" s="1348"/>
      <c r="C10862" s="1348"/>
      <c r="D10862" s="1348"/>
      <c r="E10862" s="1348"/>
      <c r="F10862" s="1348"/>
      <c r="G10862" s="1348"/>
      <c r="H10862" s="1348"/>
      <c r="I10862" s="1348"/>
      <c r="J10862" s="1348"/>
      <c r="K10862" s="1348"/>
    </row>
    <row r="10863" spans="2:11" hidden="1">
      <c r="B10863" s="1348"/>
      <c r="C10863" s="1348"/>
      <c r="D10863" s="1348"/>
      <c r="E10863" s="1348"/>
      <c r="F10863" s="1348"/>
      <c r="G10863" s="1348"/>
      <c r="H10863" s="1348"/>
      <c r="I10863" s="1348"/>
      <c r="J10863" s="1348"/>
      <c r="K10863" s="1348"/>
    </row>
    <row r="10864" spans="2:11" hidden="1">
      <c r="B10864" s="1348"/>
      <c r="C10864" s="1348"/>
      <c r="D10864" s="1348"/>
      <c r="E10864" s="1348"/>
      <c r="F10864" s="1348"/>
      <c r="G10864" s="1348"/>
      <c r="H10864" s="1348"/>
      <c r="I10864" s="1348"/>
      <c r="J10864" s="1348"/>
      <c r="K10864" s="1348"/>
    </row>
    <row r="10865" spans="2:11" hidden="1">
      <c r="B10865" s="1348"/>
      <c r="C10865" s="1348"/>
      <c r="D10865" s="1348"/>
      <c r="E10865" s="1348"/>
      <c r="F10865" s="1348"/>
      <c r="G10865" s="1348"/>
      <c r="H10865" s="1348"/>
      <c r="I10865" s="1348"/>
      <c r="J10865" s="1348"/>
      <c r="K10865" s="1348"/>
    </row>
    <row r="10866" spans="2:11" hidden="1">
      <c r="B10866" s="1348"/>
      <c r="C10866" s="1348"/>
      <c r="D10866" s="1348"/>
      <c r="E10866" s="1348"/>
      <c r="F10866" s="1348"/>
      <c r="G10866" s="1348"/>
      <c r="H10866" s="1348"/>
      <c r="I10866" s="1348"/>
      <c r="J10866" s="1348"/>
      <c r="K10866" s="1348"/>
    </row>
    <row r="10867" spans="2:11" hidden="1">
      <c r="B10867" s="1348"/>
      <c r="C10867" s="1348"/>
      <c r="D10867" s="1348"/>
      <c r="E10867" s="1348"/>
      <c r="F10867" s="1348"/>
      <c r="G10867" s="1348"/>
      <c r="H10867" s="1348"/>
      <c r="I10867" s="1348"/>
      <c r="J10867" s="1348"/>
      <c r="K10867" s="1348"/>
    </row>
    <row r="10868" spans="2:11" hidden="1">
      <c r="B10868" s="1348"/>
      <c r="C10868" s="1348"/>
      <c r="D10868" s="1348"/>
      <c r="E10868" s="1348"/>
      <c r="F10868" s="1348"/>
      <c r="G10868" s="1348"/>
      <c r="H10868" s="1348"/>
      <c r="I10868" s="1348"/>
      <c r="J10868" s="1348"/>
      <c r="K10868" s="1348"/>
    </row>
    <row r="10869" spans="2:11" hidden="1">
      <c r="B10869" s="1348"/>
      <c r="C10869" s="1348"/>
      <c r="D10869" s="1348"/>
      <c r="E10869" s="1348"/>
      <c r="F10869" s="1348"/>
      <c r="G10869" s="1348"/>
      <c r="H10869" s="1348"/>
      <c r="I10869" s="1348"/>
      <c r="J10869" s="1348"/>
      <c r="K10869" s="1348"/>
    </row>
    <row r="10870" spans="2:11" hidden="1">
      <c r="B10870" s="1348"/>
      <c r="C10870" s="1348"/>
      <c r="D10870" s="1348"/>
      <c r="E10870" s="1348"/>
      <c r="F10870" s="1348"/>
      <c r="G10870" s="1348"/>
      <c r="H10870" s="1348"/>
      <c r="I10870" s="1348"/>
      <c r="J10870" s="1348"/>
      <c r="K10870" s="1348"/>
    </row>
    <row r="10871" spans="2:11" hidden="1">
      <c r="B10871" s="1348"/>
      <c r="C10871" s="1348"/>
      <c r="D10871" s="1348"/>
      <c r="E10871" s="1348"/>
      <c r="F10871" s="1348"/>
      <c r="G10871" s="1348"/>
      <c r="H10871" s="1348"/>
      <c r="I10871" s="1348"/>
      <c r="J10871" s="1348"/>
      <c r="K10871" s="1348"/>
    </row>
    <row r="10872" spans="2:11" hidden="1">
      <c r="B10872" s="1348"/>
      <c r="C10872" s="1348"/>
      <c r="D10872" s="1348"/>
      <c r="E10872" s="1348"/>
      <c r="F10872" s="1348"/>
      <c r="G10872" s="1348"/>
      <c r="H10872" s="1348"/>
      <c r="I10872" s="1348"/>
      <c r="J10872" s="1348"/>
      <c r="K10872" s="1348"/>
    </row>
    <row r="10873" spans="2:11" hidden="1">
      <c r="B10873" s="1348"/>
      <c r="C10873" s="1348"/>
      <c r="D10873" s="1348"/>
      <c r="E10873" s="1348"/>
      <c r="F10873" s="1348"/>
      <c r="G10873" s="1348"/>
      <c r="H10873" s="1348"/>
      <c r="I10873" s="1348"/>
      <c r="J10873" s="1348"/>
      <c r="K10873" s="1348"/>
    </row>
    <row r="10874" spans="2:11" hidden="1">
      <c r="B10874" s="1348"/>
      <c r="C10874" s="1348"/>
      <c r="D10874" s="1348"/>
      <c r="E10874" s="1348"/>
      <c r="F10874" s="1348"/>
      <c r="G10874" s="1348"/>
      <c r="H10874" s="1348"/>
      <c r="I10874" s="1348"/>
      <c r="J10874" s="1348"/>
      <c r="K10874" s="1348"/>
    </row>
    <row r="10875" spans="2:11" hidden="1">
      <c r="B10875" s="1348"/>
      <c r="C10875" s="1348"/>
      <c r="D10875" s="1348"/>
      <c r="E10875" s="1348"/>
      <c r="F10875" s="1348"/>
      <c r="G10875" s="1348"/>
      <c r="H10875" s="1348"/>
      <c r="I10875" s="1348"/>
      <c r="J10875" s="1348"/>
      <c r="K10875" s="1348"/>
    </row>
    <row r="10876" spans="2:11" hidden="1">
      <c r="B10876" s="1348"/>
      <c r="C10876" s="1348"/>
      <c r="D10876" s="1348"/>
      <c r="E10876" s="1348"/>
      <c r="F10876" s="1348"/>
      <c r="G10876" s="1348"/>
      <c r="H10876" s="1348"/>
      <c r="I10876" s="1348"/>
      <c r="J10876" s="1348"/>
      <c r="K10876" s="1348"/>
    </row>
    <row r="10877" spans="2:11" hidden="1">
      <c r="B10877" s="1348"/>
      <c r="C10877" s="1348"/>
      <c r="D10877" s="1348"/>
      <c r="E10877" s="1348"/>
      <c r="F10877" s="1348"/>
      <c r="G10877" s="1348"/>
      <c r="H10877" s="1348"/>
      <c r="I10877" s="1348"/>
      <c r="J10877" s="1348"/>
      <c r="K10877" s="1348"/>
    </row>
    <row r="10878" spans="2:11" hidden="1">
      <c r="B10878" s="1348"/>
      <c r="C10878" s="1348"/>
      <c r="D10878" s="1348"/>
      <c r="E10878" s="1348"/>
      <c r="F10878" s="1348"/>
      <c r="G10878" s="1348"/>
      <c r="H10878" s="1348"/>
      <c r="I10878" s="1348"/>
      <c r="J10878" s="1348"/>
      <c r="K10878" s="1348"/>
    </row>
    <row r="10879" spans="2:11" hidden="1">
      <c r="B10879" s="1348"/>
      <c r="C10879" s="1348"/>
      <c r="D10879" s="1348"/>
      <c r="E10879" s="1348"/>
      <c r="F10879" s="1348"/>
      <c r="G10879" s="1348"/>
      <c r="H10879" s="1348"/>
      <c r="I10879" s="1348"/>
      <c r="J10879" s="1348"/>
      <c r="K10879" s="1348"/>
    </row>
    <row r="10880" spans="2:11" hidden="1">
      <c r="B10880" s="1348"/>
      <c r="C10880" s="1348"/>
      <c r="D10880" s="1348"/>
      <c r="E10880" s="1348"/>
      <c r="F10880" s="1348"/>
      <c r="G10880" s="1348"/>
      <c r="H10880" s="1348"/>
      <c r="I10880" s="1348"/>
      <c r="J10880" s="1348"/>
      <c r="K10880" s="1348"/>
    </row>
    <row r="10881" spans="2:11" hidden="1">
      <c r="B10881" s="1348"/>
      <c r="C10881" s="1348"/>
      <c r="D10881" s="1348"/>
      <c r="E10881" s="1348"/>
      <c r="F10881" s="1348"/>
      <c r="G10881" s="1348"/>
      <c r="H10881" s="1348"/>
      <c r="I10881" s="1348"/>
      <c r="J10881" s="1348"/>
      <c r="K10881" s="1348"/>
    </row>
    <row r="10882" spans="2:11" hidden="1">
      <c r="B10882" s="1348"/>
      <c r="C10882" s="1348"/>
      <c r="D10882" s="1348"/>
      <c r="E10882" s="1348"/>
      <c r="F10882" s="1348"/>
      <c r="G10882" s="1348"/>
      <c r="H10882" s="1348"/>
      <c r="I10882" s="1348"/>
      <c r="J10882" s="1348"/>
      <c r="K10882" s="1348"/>
    </row>
    <row r="10883" spans="2:11" hidden="1">
      <c r="B10883" s="1348"/>
      <c r="C10883" s="1348"/>
      <c r="D10883" s="1348"/>
      <c r="E10883" s="1348"/>
      <c r="F10883" s="1348"/>
      <c r="G10883" s="1348"/>
      <c r="H10883" s="1348"/>
      <c r="I10883" s="1348"/>
      <c r="J10883" s="1348"/>
      <c r="K10883" s="1348"/>
    </row>
    <row r="10884" spans="2:11" hidden="1">
      <c r="B10884" s="1348"/>
      <c r="C10884" s="1348"/>
      <c r="D10884" s="1348"/>
      <c r="E10884" s="1348"/>
      <c r="F10884" s="1348"/>
      <c r="G10884" s="1348"/>
      <c r="H10884" s="1348"/>
      <c r="I10884" s="1348"/>
      <c r="J10884" s="1348"/>
      <c r="K10884" s="1348"/>
    </row>
    <row r="10885" spans="2:11" hidden="1">
      <c r="B10885" s="1348"/>
      <c r="C10885" s="1348"/>
      <c r="D10885" s="1348"/>
      <c r="E10885" s="1348"/>
      <c r="F10885" s="1348"/>
      <c r="G10885" s="1348"/>
      <c r="H10885" s="1348"/>
      <c r="I10885" s="1348"/>
      <c r="J10885" s="1348"/>
      <c r="K10885" s="1348"/>
    </row>
    <row r="10886" spans="2:11" hidden="1">
      <c r="B10886" s="1348"/>
      <c r="C10886" s="1348"/>
      <c r="D10886" s="1348"/>
      <c r="E10886" s="1348"/>
      <c r="F10886" s="1348"/>
      <c r="G10886" s="1348"/>
      <c r="H10886" s="1348"/>
      <c r="I10886" s="1348"/>
      <c r="J10886" s="1348"/>
      <c r="K10886" s="1348"/>
    </row>
    <row r="10887" spans="2:11" hidden="1">
      <c r="B10887" s="1348"/>
      <c r="C10887" s="1348"/>
      <c r="D10887" s="1348"/>
      <c r="E10887" s="1348"/>
      <c r="F10887" s="1348"/>
      <c r="G10887" s="1348"/>
      <c r="H10887" s="1348"/>
      <c r="I10887" s="1348"/>
      <c r="J10887" s="1348"/>
      <c r="K10887" s="1348"/>
    </row>
    <row r="10888" spans="2:11" hidden="1">
      <c r="B10888" s="1348"/>
      <c r="C10888" s="1348"/>
      <c r="D10888" s="1348"/>
      <c r="E10888" s="1348"/>
      <c r="F10888" s="1348"/>
      <c r="G10888" s="1348"/>
      <c r="H10888" s="1348"/>
      <c r="I10888" s="1348"/>
      <c r="J10888" s="1348"/>
      <c r="K10888" s="1348"/>
    </row>
    <row r="10889" spans="2:11" hidden="1">
      <c r="B10889" s="1348"/>
      <c r="C10889" s="1348"/>
      <c r="D10889" s="1348"/>
      <c r="E10889" s="1348"/>
      <c r="F10889" s="1348"/>
      <c r="G10889" s="1348"/>
      <c r="H10889" s="1348"/>
      <c r="I10889" s="1348"/>
      <c r="J10889" s="1348"/>
      <c r="K10889" s="1348"/>
    </row>
    <row r="10890" spans="2:11" hidden="1">
      <c r="B10890" s="1348"/>
      <c r="C10890" s="1348"/>
      <c r="D10890" s="1348"/>
      <c r="E10890" s="1348"/>
      <c r="F10890" s="1348"/>
      <c r="G10890" s="1348"/>
      <c r="H10890" s="1348"/>
      <c r="I10890" s="1348"/>
      <c r="J10890" s="1348"/>
      <c r="K10890" s="1348"/>
    </row>
    <row r="10891" spans="2:11" hidden="1">
      <c r="B10891" s="1348"/>
      <c r="C10891" s="1348"/>
      <c r="D10891" s="1348"/>
      <c r="E10891" s="1348"/>
      <c r="F10891" s="1348"/>
      <c r="G10891" s="1348"/>
      <c r="H10891" s="1348"/>
      <c r="I10891" s="1348"/>
      <c r="J10891" s="1348"/>
      <c r="K10891" s="1348"/>
    </row>
    <row r="10892" spans="2:11" hidden="1">
      <c r="B10892" s="1348"/>
      <c r="C10892" s="1348"/>
      <c r="D10892" s="1348"/>
      <c r="E10892" s="1348"/>
      <c r="F10892" s="1348"/>
      <c r="G10892" s="1348"/>
      <c r="H10892" s="1348"/>
      <c r="I10892" s="1348"/>
      <c r="J10892" s="1348"/>
      <c r="K10892" s="1348"/>
    </row>
    <row r="10893" spans="2:11" hidden="1">
      <c r="B10893" s="1348"/>
      <c r="C10893" s="1348"/>
      <c r="D10893" s="1348"/>
      <c r="E10893" s="1348"/>
      <c r="F10893" s="1348"/>
      <c r="G10893" s="1348"/>
      <c r="H10893" s="1348"/>
      <c r="I10893" s="1348"/>
      <c r="J10893" s="1348"/>
      <c r="K10893" s="1348"/>
    </row>
    <row r="10894" spans="2:11" hidden="1">
      <c r="B10894" s="1348"/>
      <c r="C10894" s="1348"/>
      <c r="D10894" s="1348"/>
      <c r="E10894" s="1348"/>
      <c r="F10894" s="1348"/>
      <c r="G10894" s="1348"/>
      <c r="H10894" s="1348"/>
      <c r="I10894" s="1348"/>
      <c r="J10894" s="1348"/>
      <c r="K10894" s="1348"/>
    </row>
    <row r="10895" spans="2:11" hidden="1">
      <c r="B10895" s="1348"/>
      <c r="C10895" s="1348"/>
      <c r="D10895" s="1348"/>
      <c r="E10895" s="1348"/>
      <c r="F10895" s="1348"/>
      <c r="G10895" s="1348"/>
      <c r="H10895" s="1348"/>
      <c r="I10895" s="1348"/>
      <c r="J10895" s="1348"/>
      <c r="K10895" s="1348"/>
    </row>
    <row r="10896" spans="2:11" hidden="1">
      <c r="B10896" s="1348"/>
      <c r="C10896" s="1348"/>
      <c r="D10896" s="1348"/>
      <c r="E10896" s="1348"/>
      <c r="F10896" s="1348"/>
      <c r="G10896" s="1348"/>
      <c r="H10896" s="1348"/>
      <c r="I10896" s="1348"/>
      <c r="J10896" s="1348"/>
      <c r="K10896" s="1348"/>
    </row>
    <row r="10897" spans="2:11" hidden="1">
      <c r="B10897" s="1348"/>
      <c r="C10897" s="1348"/>
      <c r="D10897" s="1348"/>
      <c r="E10897" s="1348"/>
      <c r="F10897" s="1348"/>
      <c r="G10897" s="1348"/>
      <c r="H10897" s="1348"/>
      <c r="I10897" s="1348"/>
      <c r="J10897" s="1348"/>
      <c r="K10897" s="1348"/>
    </row>
    <row r="10898" spans="2:11" hidden="1">
      <c r="B10898" s="1348"/>
      <c r="C10898" s="1348"/>
      <c r="D10898" s="1348"/>
      <c r="E10898" s="1348"/>
      <c r="F10898" s="1348"/>
      <c r="G10898" s="1348"/>
      <c r="H10898" s="1348"/>
      <c r="I10898" s="1348"/>
      <c r="J10898" s="1348"/>
      <c r="K10898" s="1348"/>
    </row>
    <row r="10899" spans="2:11" hidden="1">
      <c r="B10899" s="1348"/>
      <c r="C10899" s="1348"/>
      <c r="D10899" s="1348"/>
      <c r="E10899" s="1348"/>
      <c r="F10899" s="1348"/>
      <c r="G10899" s="1348"/>
      <c r="H10899" s="1348"/>
      <c r="I10899" s="1348"/>
      <c r="J10899" s="1348"/>
      <c r="K10899" s="1348"/>
    </row>
    <row r="10900" spans="2:11" hidden="1">
      <c r="B10900" s="1348"/>
      <c r="C10900" s="1348"/>
      <c r="D10900" s="1348"/>
      <c r="E10900" s="1348"/>
      <c r="F10900" s="1348"/>
      <c r="G10900" s="1348"/>
      <c r="H10900" s="1348"/>
      <c r="I10900" s="1348"/>
      <c r="J10900" s="1348"/>
      <c r="K10900" s="1348"/>
    </row>
    <row r="10901" spans="2:11" hidden="1">
      <c r="B10901" s="1348"/>
      <c r="C10901" s="1348"/>
      <c r="D10901" s="1348"/>
      <c r="E10901" s="1348"/>
      <c r="F10901" s="1348"/>
      <c r="G10901" s="1348"/>
      <c r="H10901" s="1348"/>
      <c r="I10901" s="1348"/>
      <c r="J10901" s="1348"/>
      <c r="K10901" s="1348"/>
    </row>
    <row r="10902" spans="2:11" hidden="1">
      <c r="B10902" s="1348"/>
      <c r="C10902" s="1348"/>
      <c r="D10902" s="1348"/>
      <c r="E10902" s="1348"/>
      <c r="F10902" s="1348"/>
      <c r="G10902" s="1348"/>
      <c r="H10902" s="1348"/>
      <c r="I10902" s="1348"/>
      <c r="J10902" s="1348"/>
      <c r="K10902" s="1348"/>
    </row>
    <row r="10903" spans="2:11" hidden="1">
      <c r="B10903" s="1348"/>
      <c r="C10903" s="1348"/>
      <c r="D10903" s="1348"/>
      <c r="E10903" s="1348"/>
      <c r="F10903" s="1348"/>
      <c r="G10903" s="1348"/>
      <c r="H10903" s="1348"/>
      <c r="I10903" s="1348"/>
      <c r="J10903" s="1348"/>
      <c r="K10903" s="1348"/>
    </row>
    <row r="10904" spans="2:11" hidden="1">
      <c r="B10904" s="1348"/>
      <c r="C10904" s="1348"/>
      <c r="D10904" s="1348"/>
      <c r="E10904" s="1348"/>
      <c r="F10904" s="1348"/>
      <c r="G10904" s="1348"/>
      <c r="H10904" s="1348"/>
      <c r="I10904" s="1348"/>
      <c r="J10904" s="1348"/>
      <c r="K10904" s="1348"/>
    </row>
    <row r="10905" spans="2:11" hidden="1">
      <c r="B10905" s="1348"/>
      <c r="C10905" s="1348"/>
      <c r="D10905" s="1348"/>
      <c r="E10905" s="1348"/>
      <c r="F10905" s="1348"/>
      <c r="G10905" s="1348"/>
      <c r="H10905" s="1348"/>
      <c r="I10905" s="1348"/>
      <c r="J10905" s="1348"/>
      <c r="K10905" s="1348"/>
    </row>
    <row r="10906" spans="2:11" hidden="1">
      <c r="B10906" s="1348"/>
      <c r="C10906" s="1348"/>
      <c r="D10906" s="1348"/>
      <c r="E10906" s="1348"/>
      <c r="F10906" s="1348"/>
      <c r="G10906" s="1348"/>
      <c r="H10906" s="1348"/>
      <c r="I10906" s="1348"/>
      <c r="J10906" s="1348"/>
      <c r="K10906" s="1348"/>
    </row>
    <row r="10907" spans="2:11" hidden="1">
      <c r="B10907" s="1348"/>
      <c r="C10907" s="1348"/>
      <c r="D10907" s="1348"/>
      <c r="E10907" s="1348"/>
      <c r="F10907" s="1348"/>
      <c r="G10907" s="1348"/>
      <c r="H10907" s="1348"/>
      <c r="I10907" s="1348"/>
      <c r="J10907" s="1348"/>
      <c r="K10907" s="1348"/>
    </row>
    <row r="10908" spans="2:11" hidden="1">
      <c r="B10908" s="1348"/>
      <c r="C10908" s="1348"/>
      <c r="D10908" s="1348"/>
      <c r="E10908" s="1348"/>
      <c r="F10908" s="1348"/>
      <c r="G10908" s="1348"/>
      <c r="H10908" s="1348"/>
      <c r="I10908" s="1348"/>
      <c r="J10908" s="1348"/>
      <c r="K10908" s="1348"/>
    </row>
    <row r="10909" spans="2:11" hidden="1">
      <c r="B10909" s="1348"/>
      <c r="C10909" s="1348"/>
      <c r="D10909" s="1348"/>
      <c r="E10909" s="1348"/>
      <c r="F10909" s="1348"/>
      <c r="G10909" s="1348"/>
      <c r="H10909" s="1348"/>
      <c r="I10909" s="1348"/>
      <c r="J10909" s="1348"/>
      <c r="K10909" s="1348"/>
    </row>
    <row r="10910" spans="2:11" hidden="1">
      <c r="B10910" s="1348"/>
      <c r="C10910" s="1348"/>
      <c r="D10910" s="1348"/>
      <c r="E10910" s="1348"/>
      <c r="F10910" s="1348"/>
      <c r="G10910" s="1348"/>
      <c r="H10910" s="1348"/>
      <c r="I10910" s="1348"/>
      <c r="J10910" s="1348"/>
      <c r="K10910" s="1348"/>
    </row>
    <row r="10911" spans="2:11" hidden="1">
      <c r="B10911" s="1348"/>
      <c r="C10911" s="1348"/>
      <c r="D10911" s="1348"/>
      <c r="E10911" s="1348"/>
      <c r="F10911" s="1348"/>
      <c r="G10911" s="1348"/>
      <c r="H10911" s="1348"/>
      <c r="I10911" s="1348"/>
      <c r="J10911" s="1348"/>
      <c r="K10911" s="1348"/>
    </row>
    <row r="10912" spans="2:11" hidden="1">
      <c r="B10912" s="1348"/>
      <c r="C10912" s="1348"/>
      <c r="D10912" s="1348"/>
      <c r="E10912" s="1348"/>
      <c r="F10912" s="1348"/>
      <c r="G10912" s="1348"/>
      <c r="H10912" s="1348"/>
      <c r="I10912" s="1348"/>
      <c r="J10912" s="1348"/>
      <c r="K10912" s="1348"/>
    </row>
    <row r="10913" spans="2:11" hidden="1">
      <c r="B10913" s="1348"/>
      <c r="C10913" s="1348"/>
      <c r="D10913" s="1348"/>
      <c r="E10913" s="1348"/>
      <c r="F10913" s="1348"/>
      <c r="G10913" s="1348"/>
      <c r="H10913" s="1348"/>
      <c r="I10913" s="1348"/>
      <c r="J10913" s="1348"/>
      <c r="K10913" s="1348"/>
    </row>
    <row r="10914" spans="2:11" hidden="1">
      <c r="B10914" s="1348"/>
      <c r="C10914" s="1348"/>
      <c r="D10914" s="1348"/>
      <c r="E10914" s="1348"/>
      <c r="F10914" s="1348"/>
      <c r="G10914" s="1348"/>
      <c r="H10914" s="1348"/>
      <c r="I10914" s="1348"/>
      <c r="J10914" s="1348"/>
      <c r="K10914" s="1348"/>
    </row>
    <row r="10915" spans="2:11" hidden="1">
      <c r="B10915" s="1348"/>
      <c r="C10915" s="1348"/>
      <c r="D10915" s="1348"/>
      <c r="E10915" s="1348"/>
      <c r="F10915" s="1348"/>
      <c r="G10915" s="1348"/>
      <c r="H10915" s="1348"/>
      <c r="I10915" s="1348"/>
      <c r="J10915" s="1348"/>
      <c r="K10915" s="1348"/>
    </row>
    <row r="10916" spans="2:11" hidden="1">
      <c r="B10916" s="1348"/>
      <c r="C10916" s="1348"/>
      <c r="D10916" s="1348"/>
      <c r="E10916" s="1348"/>
      <c r="F10916" s="1348"/>
      <c r="G10916" s="1348"/>
      <c r="H10916" s="1348"/>
      <c r="I10916" s="1348"/>
      <c r="J10916" s="1348"/>
      <c r="K10916" s="1348"/>
    </row>
    <row r="10917" spans="2:11" hidden="1">
      <c r="B10917" s="1348"/>
      <c r="C10917" s="1348"/>
      <c r="D10917" s="1348"/>
      <c r="E10917" s="1348"/>
      <c r="F10917" s="1348"/>
      <c r="G10917" s="1348"/>
      <c r="H10917" s="1348"/>
      <c r="I10917" s="1348"/>
      <c r="J10917" s="1348"/>
      <c r="K10917" s="1348"/>
    </row>
    <row r="10918" spans="2:11" hidden="1">
      <c r="B10918" s="1348"/>
      <c r="C10918" s="1348"/>
      <c r="D10918" s="1348"/>
      <c r="E10918" s="1348"/>
      <c r="F10918" s="1348"/>
      <c r="G10918" s="1348"/>
      <c r="H10918" s="1348"/>
      <c r="I10918" s="1348"/>
      <c r="J10918" s="1348"/>
      <c r="K10918" s="1348"/>
    </row>
    <row r="10919" spans="2:11" hidden="1">
      <c r="B10919" s="1348"/>
      <c r="C10919" s="1348"/>
      <c r="D10919" s="1348"/>
      <c r="E10919" s="1348"/>
      <c r="F10919" s="1348"/>
      <c r="G10919" s="1348"/>
      <c r="H10919" s="1348"/>
      <c r="I10919" s="1348"/>
      <c r="J10919" s="1348"/>
      <c r="K10919" s="1348"/>
    </row>
    <row r="10920" spans="2:11" hidden="1">
      <c r="B10920" s="1348"/>
      <c r="C10920" s="1348"/>
      <c r="D10920" s="1348"/>
      <c r="E10920" s="1348"/>
      <c r="F10920" s="1348"/>
      <c r="G10920" s="1348"/>
      <c r="H10920" s="1348"/>
      <c r="I10920" s="1348"/>
      <c r="J10920" s="1348"/>
      <c r="K10920" s="1348"/>
    </row>
    <row r="10921" spans="2:11" hidden="1">
      <c r="B10921" s="1348"/>
      <c r="C10921" s="1348"/>
      <c r="D10921" s="1348"/>
      <c r="E10921" s="1348"/>
      <c r="F10921" s="1348"/>
      <c r="G10921" s="1348"/>
      <c r="H10921" s="1348"/>
      <c r="I10921" s="1348"/>
      <c r="J10921" s="1348"/>
      <c r="K10921" s="1348"/>
    </row>
    <row r="10922" spans="2:11" hidden="1">
      <c r="B10922" s="1348"/>
      <c r="C10922" s="1348"/>
      <c r="D10922" s="1348"/>
      <c r="E10922" s="1348"/>
      <c r="F10922" s="1348"/>
      <c r="G10922" s="1348"/>
      <c r="H10922" s="1348"/>
      <c r="I10922" s="1348"/>
      <c r="J10922" s="1348"/>
      <c r="K10922" s="1348"/>
    </row>
    <row r="10923" spans="2:11" hidden="1">
      <c r="B10923" s="1348"/>
      <c r="C10923" s="1348"/>
      <c r="D10923" s="1348"/>
      <c r="E10923" s="1348"/>
      <c r="F10923" s="1348"/>
      <c r="G10923" s="1348"/>
      <c r="H10923" s="1348"/>
      <c r="I10923" s="1348"/>
      <c r="J10923" s="1348"/>
      <c r="K10923" s="1348"/>
    </row>
    <row r="10924" spans="2:11" hidden="1">
      <c r="B10924" s="1348"/>
      <c r="C10924" s="1348"/>
      <c r="D10924" s="1348"/>
      <c r="E10924" s="1348"/>
      <c r="F10924" s="1348"/>
      <c r="G10924" s="1348"/>
      <c r="H10924" s="1348"/>
      <c r="I10924" s="1348"/>
      <c r="J10924" s="1348"/>
      <c r="K10924" s="1348"/>
    </row>
    <row r="10925" spans="2:11" hidden="1">
      <c r="B10925" s="1348"/>
      <c r="C10925" s="1348"/>
      <c r="D10925" s="1348"/>
      <c r="E10925" s="1348"/>
      <c r="F10925" s="1348"/>
      <c r="G10925" s="1348"/>
      <c r="H10925" s="1348"/>
      <c r="I10925" s="1348"/>
      <c r="J10925" s="1348"/>
      <c r="K10925" s="1348"/>
    </row>
    <row r="10926" spans="2:11" hidden="1">
      <c r="B10926" s="1348"/>
      <c r="C10926" s="1348"/>
      <c r="D10926" s="1348"/>
      <c r="E10926" s="1348"/>
      <c r="F10926" s="1348"/>
      <c r="G10926" s="1348"/>
      <c r="H10926" s="1348"/>
      <c r="I10926" s="1348"/>
      <c r="J10926" s="1348"/>
      <c r="K10926" s="1348"/>
    </row>
    <row r="10927" spans="2:11" hidden="1">
      <c r="B10927" s="1348"/>
      <c r="C10927" s="1348"/>
      <c r="D10927" s="1348"/>
      <c r="E10927" s="1348"/>
      <c r="F10927" s="1348"/>
      <c r="G10927" s="1348"/>
      <c r="H10927" s="1348"/>
      <c r="I10927" s="1348"/>
      <c r="J10927" s="1348"/>
      <c r="K10927" s="1348"/>
    </row>
    <row r="10928" spans="2:11" hidden="1">
      <c r="B10928" s="1348"/>
      <c r="C10928" s="1348"/>
      <c r="D10928" s="1348"/>
      <c r="E10928" s="1348"/>
      <c r="F10928" s="1348"/>
      <c r="G10928" s="1348"/>
      <c r="H10928" s="1348"/>
      <c r="I10928" s="1348"/>
      <c r="J10928" s="1348"/>
      <c r="K10928" s="1348"/>
    </row>
    <row r="10929" spans="2:11" hidden="1">
      <c r="B10929" s="1348"/>
      <c r="C10929" s="1348"/>
      <c r="D10929" s="1348"/>
      <c r="E10929" s="1348"/>
      <c r="F10929" s="1348"/>
      <c r="G10929" s="1348"/>
      <c r="H10929" s="1348"/>
      <c r="I10929" s="1348"/>
      <c r="J10929" s="1348"/>
      <c r="K10929" s="1348"/>
    </row>
    <row r="10930" spans="2:11" hidden="1">
      <c r="B10930" s="1348"/>
      <c r="C10930" s="1348"/>
      <c r="D10930" s="1348"/>
      <c r="E10930" s="1348"/>
      <c r="F10930" s="1348"/>
      <c r="G10930" s="1348"/>
      <c r="H10930" s="1348"/>
      <c r="I10930" s="1348"/>
      <c r="J10930" s="1348"/>
      <c r="K10930" s="1348"/>
    </row>
    <row r="10931" spans="2:11" hidden="1">
      <c r="B10931" s="1348"/>
      <c r="C10931" s="1348"/>
      <c r="D10931" s="1348"/>
      <c r="E10931" s="1348"/>
      <c r="F10931" s="1348"/>
      <c r="G10931" s="1348"/>
      <c r="H10931" s="1348"/>
      <c r="I10931" s="1348"/>
      <c r="J10931" s="1348"/>
      <c r="K10931" s="1348"/>
    </row>
    <row r="10932" spans="2:11" hidden="1">
      <c r="B10932" s="1348"/>
      <c r="C10932" s="1348"/>
      <c r="D10932" s="1348"/>
      <c r="E10932" s="1348"/>
      <c r="F10932" s="1348"/>
      <c r="G10932" s="1348"/>
      <c r="H10932" s="1348"/>
      <c r="I10932" s="1348"/>
      <c r="J10932" s="1348"/>
      <c r="K10932" s="1348"/>
    </row>
    <row r="10933" spans="2:11" hidden="1">
      <c r="B10933" s="1348"/>
      <c r="C10933" s="1348"/>
      <c r="D10933" s="1348"/>
      <c r="E10933" s="1348"/>
      <c r="F10933" s="1348"/>
      <c r="G10933" s="1348"/>
      <c r="H10933" s="1348"/>
      <c r="I10933" s="1348"/>
      <c r="J10933" s="1348"/>
      <c r="K10933" s="1348"/>
    </row>
    <row r="10934" spans="2:11" hidden="1">
      <c r="B10934" s="1348"/>
      <c r="C10934" s="1348"/>
      <c r="D10934" s="1348"/>
      <c r="E10934" s="1348"/>
      <c r="F10934" s="1348"/>
      <c r="G10934" s="1348"/>
      <c r="H10934" s="1348"/>
      <c r="I10934" s="1348"/>
      <c r="J10934" s="1348"/>
      <c r="K10934" s="1348"/>
    </row>
    <row r="10935" spans="2:11" hidden="1">
      <c r="B10935" s="1348"/>
      <c r="C10935" s="1348"/>
      <c r="D10935" s="1348"/>
      <c r="E10935" s="1348"/>
      <c r="F10935" s="1348"/>
      <c r="G10935" s="1348"/>
      <c r="H10935" s="1348"/>
      <c r="I10935" s="1348"/>
      <c r="J10935" s="1348"/>
      <c r="K10935" s="1348"/>
    </row>
    <row r="10936" spans="2:11" hidden="1">
      <c r="B10936" s="1348"/>
      <c r="C10936" s="1348"/>
      <c r="D10936" s="1348"/>
      <c r="E10936" s="1348"/>
      <c r="F10936" s="1348"/>
      <c r="G10936" s="1348"/>
      <c r="H10936" s="1348"/>
      <c r="I10936" s="1348"/>
      <c r="J10936" s="1348"/>
      <c r="K10936" s="1348"/>
    </row>
    <row r="10937" spans="2:11" hidden="1">
      <c r="B10937" s="1348"/>
      <c r="C10937" s="1348"/>
      <c r="D10937" s="1348"/>
      <c r="E10937" s="1348"/>
      <c r="F10937" s="1348"/>
      <c r="G10937" s="1348"/>
      <c r="H10937" s="1348"/>
      <c r="I10937" s="1348"/>
      <c r="J10937" s="1348"/>
      <c r="K10937" s="1348"/>
    </row>
    <row r="10938" spans="2:11" hidden="1">
      <c r="B10938" s="1348"/>
      <c r="C10938" s="1348"/>
      <c r="D10938" s="1348"/>
      <c r="E10938" s="1348"/>
      <c r="F10938" s="1348"/>
      <c r="G10938" s="1348"/>
      <c r="H10938" s="1348"/>
      <c r="I10938" s="1348"/>
      <c r="J10938" s="1348"/>
      <c r="K10938" s="1348"/>
    </row>
    <row r="10939" spans="2:11" hidden="1">
      <c r="B10939" s="1348"/>
      <c r="C10939" s="1348"/>
      <c r="D10939" s="1348"/>
      <c r="E10939" s="1348"/>
      <c r="F10939" s="1348"/>
      <c r="G10939" s="1348"/>
      <c r="H10939" s="1348"/>
      <c r="I10939" s="1348"/>
      <c r="J10939" s="1348"/>
      <c r="K10939" s="1348"/>
    </row>
    <row r="10940" spans="2:11" hidden="1">
      <c r="B10940" s="1348"/>
      <c r="C10940" s="1348"/>
      <c r="D10940" s="1348"/>
      <c r="E10940" s="1348"/>
      <c r="F10940" s="1348"/>
      <c r="G10940" s="1348"/>
      <c r="H10940" s="1348"/>
      <c r="I10940" s="1348"/>
      <c r="J10940" s="1348"/>
      <c r="K10940" s="1348"/>
    </row>
    <row r="10941" spans="2:11" hidden="1">
      <c r="B10941" s="1348"/>
      <c r="C10941" s="1348"/>
      <c r="D10941" s="1348"/>
      <c r="E10941" s="1348"/>
      <c r="F10941" s="1348"/>
      <c r="G10941" s="1348"/>
      <c r="H10941" s="1348"/>
      <c r="I10941" s="1348"/>
      <c r="J10941" s="1348"/>
      <c r="K10941" s="1348"/>
    </row>
    <row r="10942" spans="2:11" hidden="1">
      <c r="B10942" s="1348"/>
      <c r="C10942" s="1348"/>
      <c r="D10942" s="1348"/>
      <c r="E10942" s="1348"/>
      <c r="F10942" s="1348"/>
      <c r="G10942" s="1348"/>
      <c r="H10942" s="1348"/>
      <c r="I10942" s="1348"/>
      <c r="J10942" s="1348"/>
      <c r="K10942" s="1348"/>
    </row>
    <row r="10943" spans="2:11" hidden="1">
      <c r="B10943" s="1348"/>
      <c r="C10943" s="1348"/>
      <c r="D10943" s="1348"/>
      <c r="E10943" s="1348"/>
      <c r="F10943" s="1348"/>
      <c r="G10943" s="1348"/>
      <c r="H10943" s="1348"/>
      <c r="I10943" s="1348"/>
      <c r="J10943" s="1348"/>
      <c r="K10943" s="1348"/>
    </row>
    <row r="10944" spans="2:11" hidden="1">
      <c r="B10944" s="1348"/>
      <c r="C10944" s="1348"/>
      <c r="D10944" s="1348"/>
      <c r="E10944" s="1348"/>
      <c r="F10944" s="1348"/>
      <c r="G10944" s="1348"/>
      <c r="H10944" s="1348"/>
      <c r="I10944" s="1348"/>
      <c r="J10944" s="1348"/>
      <c r="K10944" s="1348"/>
    </row>
    <row r="10945" spans="2:11" hidden="1">
      <c r="B10945" s="1348"/>
      <c r="C10945" s="1348"/>
      <c r="D10945" s="1348"/>
      <c r="E10945" s="1348"/>
      <c r="F10945" s="1348"/>
      <c r="G10945" s="1348"/>
      <c r="H10945" s="1348"/>
      <c r="I10945" s="1348"/>
      <c r="J10945" s="1348"/>
      <c r="K10945" s="1348"/>
    </row>
    <row r="10946" spans="2:11" hidden="1">
      <c r="B10946" s="1348"/>
      <c r="C10946" s="1348"/>
      <c r="D10946" s="1348"/>
      <c r="E10946" s="1348"/>
      <c r="F10946" s="1348"/>
      <c r="G10946" s="1348"/>
      <c r="H10946" s="1348"/>
      <c r="I10946" s="1348"/>
      <c r="J10946" s="1348"/>
      <c r="K10946" s="1348"/>
    </row>
    <row r="10947" spans="2:11" hidden="1">
      <c r="B10947" s="1348"/>
      <c r="C10947" s="1348"/>
      <c r="D10947" s="1348"/>
      <c r="E10947" s="1348"/>
      <c r="F10947" s="1348"/>
      <c r="G10947" s="1348"/>
      <c r="H10947" s="1348"/>
      <c r="I10947" s="1348"/>
      <c r="J10947" s="1348"/>
      <c r="K10947" s="1348"/>
    </row>
    <row r="10948" spans="2:11" hidden="1">
      <c r="B10948" s="1348"/>
      <c r="C10948" s="1348"/>
      <c r="D10948" s="1348"/>
      <c r="E10948" s="1348"/>
      <c r="F10948" s="1348"/>
      <c r="G10948" s="1348"/>
      <c r="H10948" s="1348"/>
      <c r="I10948" s="1348"/>
      <c r="J10948" s="1348"/>
      <c r="K10948" s="1348"/>
    </row>
    <row r="10949" spans="2:11" hidden="1">
      <c r="B10949" s="1348"/>
      <c r="C10949" s="1348"/>
      <c r="D10949" s="1348"/>
      <c r="E10949" s="1348"/>
      <c r="F10949" s="1348"/>
      <c r="G10949" s="1348"/>
      <c r="H10949" s="1348"/>
      <c r="I10949" s="1348"/>
      <c r="J10949" s="1348"/>
      <c r="K10949" s="1348"/>
    </row>
    <row r="10950" spans="2:11" hidden="1">
      <c r="B10950" s="1348"/>
      <c r="C10950" s="1348"/>
      <c r="D10950" s="1348"/>
      <c r="E10950" s="1348"/>
      <c r="F10950" s="1348"/>
      <c r="G10950" s="1348"/>
      <c r="H10950" s="1348"/>
      <c r="I10950" s="1348"/>
      <c r="J10950" s="1348"/>
      <c r="K10950" s="1348"/>
    </row>
    <row r="10951" spans="2:11" hidden="1">
      <c r="B10951" s="1348"/>
      <c r="C10951" s="1348"/>
      <c r="D10951" s="1348"/>
      <c r="E10951" s="1348"/>
      <c r="F10951" s="1348"/>
      <c r="G10951" s="1348"/>
      <c r="H10951" s="1348"/>
      <c r="I10951" s="1348"/>
      <c r="J10951" s="1348"/>
      <c r="K10951" s="1348"/>
    </row>
    <row r="10952" spans="2:11" hidden="1">
      <c r="B10952" s="1348"/>
      <c r="C10952" s="1348"/>
      <c r="D10952" s="1348"/>
      <c r="E10952" s="1348"/>
      <c r="F10952" s="1348"/>
      <c r="G10952" s="1348"/>
      <c r="H10952" s="1348"/>
      <c r="I10952" s="1348"/>
      <c r="J10952" s="1348"/>
      <c r="K10952" s="1348"/>
    </row>
    <row r="10953" spans="2:11" hidden="1">
      <c r="B10953" s="1348"/>
      <c r="C10953" s="1348"/>
      <c r="D10953" s="1348"/>
      <c r="E10953" s="1348"/>
      <c r="F10953" s="1348"/>
      <c r="G10953" s="1348"/>
      <c r="H10953" s="1348"/>
      <c r="I10953" s="1348"/>
      <c r="J10953" s="1348"/>
      <c r="K10953" s="1348"/>
    </row>
    <row r="10954" spans="2:11" hidden="1">
      <c r="B10954" s="1348"/>
      <c r="C10954" s="1348"/>
      <c r="D10954" s="1348"/>
      <c r="E10954" s="1348"/>
      <c r="F10954" s="1348"/>
      <c r="G10954" s="1348"/>
      <c r="H10954" s="1348"/>
      <c r="I10954" s="1348"/>
      <c r="J10954" s="1348"/>
      <c r="K10954" s="1348"/>
    </row>
    <row r="10955" spans="2:11" hidden="1">
      <c r="B10955" s="1348"/>
      <c r="C10955" s="1348"/>
      <c r="D10955" s="1348"/>
      <c r="E10955" s="1348"/>
      <c r="F10955" s="1348"/>
      <c r="G10955" s="1348"/>
      <c r="H10955" s="1348"/>
      <c r="I10955" s="1348"/>
      <c r="J10955" s="1348"/>
      <c r="K10955" s="1348"/>
    </row>
    <row r="10956" spans="2:11" hidden="1">
      <c r="B10956" s="1348"/>
      <c r="C10956" s="1348"/>
      <c r="D10956" s="1348"/>
      <c r="E10956" s="1348"/>
      <c r="F10956" s="1348"/>
      <c r="G10956" s="1348"/>
      <c r="H10956" s="1348"/>
      <c r="I10956" s="1348"/>
      <c r="J10956" s="1348"/>
      <c r="K10956" s="1348"/>
    </row>
    <row r="10957" spans="2:11" hidden="1">
      <c r="B10957" s="1348"/>
      <c r="C10957" s="1348"/>
      <c r="D10957" s="1348"/>
      <c r="E10957" s="1348"/>
      <c r="F10957" s="1348"/>
      <c r="G10957" s="1348"/>
      <c r="H10957" s="1348"/>
      <c r="I10957" s="1348"/>
      <c r="J10957" s="1348"/>
      <c r="K10957" s="1348"/>
    </row>
    <row r="10958" spans="2:11" hidden="1">
      <c r="B10958" s="1348"/>
      <c r="C10958" s="1348"/>
      <c r="D10958" s="1348"/>
      <c r="E10958" s="1348"/>
      <c r="F10958" s="1348"/>
      <c r="G10958" s="1348"/>
      <c r="H10958" s="1348"/>
      <c r="I10958" s="1348"/>
      <c r="J10958" s="1348"/>
      <c r="K10958" s="1348"/>
    </row>
    <row r="10959" spans="2:11" hidden="1">
      <c r="B10959" s="1348"/>
      <c r="C10959" s="1348"/>
      <c r="D10959" s="1348"/>
      <c r="E10959" s="1348"/>
      <c r="F10959" s="1348"/>
      <c r="G10959" s="1348"/>
      <c r="H10959" s="1348"/>
      <c r="I10959" s="1348"/>
      <c r="J10959" s="1348"/>
      <c r="K10959" s="1348"/>
    </row>
    <row r="10960" spans="2:11" hidden="1">
      <c r="B10960" s="1348"/>
      <c r="C10960" s="1348"/>
      <c r="D10960" s="1348"/>
      <c r="E10960" s="1348"/>
      <c r="F10960" s="1348"/>
      <c r="G10960" s="1348"/>
      <c r="H10960" s="1348"/>
      <c r="I10960" s="1348"/>
      <c r="J10960" s="1348"/>
      <c r="K10960" s="1348"/>
    </row>
    <row r="10961" spans="2:11" hidden="1">
      <c r="B10961" s="1348"/>
      <c r="C10961" s="1348"/>
      <c r="D10961" s="1348"/>
      <c r="E10961" s="1348"/>
      <c r="F10961" s="1348"/>
      <c r="G10961" s="1348"/>
      <c r="H10961" s="1348"/>
      <c r="I10961" s="1348"/>
      <c r="J10961" s="1348"/>
      <c r="K10961" s="1348"/>
    </row>
    <row r="10962" spans="2:11" hidden="1">
      <c r="B10962" s="1348"/>
      <c r="C10962" s="1348"/>
      <c r="D10962" s="1348"/>
      <c r="E10962" s="1348"/>
      <c r="F10962" s="1348"/>
      <c r="G10962" s="1348"/>
      <c r="H10962" s="1348"/>
      <c r="I10962" s="1348"/>
      <c r="J10962" s="1348"/>
      <c r="K10962" s="1348"/>
    </row>
    <row r="10963" spans="2:11" hidden="1">
      <c r="B10963" s="1348"/>
      <c r="C10963" s="1348"/>
      <c r="D10963" s="1348"/>
      <c r="E10963" s="1348"/>
      <c r="F10963" s="1348"/>
      <c r="G10963" s="1348"/>
      <c r="H10963" s="1348"/>
      <c r="I10963" s="1348"/>
      <c r="J10963" s="1348"/>
      <c r="K10963" s="1348"/>
    </row>
    <row r="10964" spans="2:11" hidden="1">
      <c r="B10964" s="1348"/>
      <c r="C10964" s="1348"/>
      <c r="D10964" s="1348"/>
      <c r="E10964" s="1348"/>
      <c r="F10964" s="1348"/>
      <c r="G10964" s="1348"/>
      <c r="H10964" s="1348"/>
      <c r="I10964" s="1348"/>
      <c r="J10964" s="1348"/>
      <c r="K10964" s="1348"/>
    </row>
    <row r="10965" spans="2:11" hidden="1">
      <c r="B10965" s="1348"/>
      <c r="C10965" s="1348"/>
      <c r="D10965" s="1348"/>
      <c r="E10965" s="1348"/>
      <c r="F10965" s="1348"/>
      <c r="G10965" s="1348"/>
      <c r="H10965" s="1348"/>
      <c r="I10965" s="1348"/>
      <c r="J10965" s="1348"/>
      <c r="K10965" s="1348"/>
    </row>
    <row r="10966" spans="2:11" hidden="1">
      <c r="B10966" s="1348"/>
      <c r="C10966" s="1348"/>
      <c r="D10966" s="1348"/>
      <c r="E10966" s="1348"/>
      <c r="F10966" s="1348"/>
      <c r="G10966" s="1348"/>
      <c r="H10966" s="1348"/>
      <c r="I10966" s="1348"/>
      <c r="J10966" s="1348"/>
      <c r="K10966" s="1348"/>
    </row>
    <row r="10967" spans="2:11" hidden="1">
      <c r="B10967" s="1348"/>
      <c r="C10967" s="1348"/>
      <c r="D10967" s="1348"/>
      <c r="E10967" s="1348"/>
      <c r="F10967" s="1348"/>
      <c r="G10967" s="1348"/>
      <c r="H10967" s="1348"/>
      <c r="I10967" s="1348"/>
      <c r="J10967" s="1348"/>
      <c r="K10967" s="1348"/>
    </row>
    <row r="10968" spans="2:11" hidden="1">
      <c r="B10968" s="1348"/>
      <c r="C10968" s="1348"/>
      <c r="D10968" s="1348"/>
      <c r="E10968" s="1348"/>
      <c r="F10968" s="1348"/>
      <c r="G10968" s="1348"/>
      <c r="H10968" s="1348"/>
      <c r="I10968" s="1348"/>
      <c r="J10968" s="1348"/>
      <c r="K10968" s="1348"/>
    </row>
    <row r="10969" spans="2:11" hidden="1">
      <c r="B10969" s="1348"/>
      <c r="C10969" s="1348"/>
      <c r="D10969" s="1348"/>
      <c r="E10969" s="1348"/>
      <c r="F10969" s="1348"/>
      <c r="G10969" s="1348"/>
      <c r="H10969" s="1348"/>
      <c r="I10969" s="1348"/>
      <c r="J10969" s="1348"/>
      <c r="K10969" s="1348"/>
    </row>
    <row r="10970" spans="2:11" hidden="1">
      <c r="B10970" s="1348"/>
      <c r="C10970" s="1348"/>
      <c r="D10970" s="1348"/>
      <c r="E10970" s="1348"/>
      <c r="F10970" s="1348"/>
      <c r="G10970" s="1348"/>
      <c r="H10970" s="1348"/>
      <c r="I10970" s="1348"/>
      <c r="J10970" s="1348"/>
      <c r="K10970" s="1348"/>
    </row>
    <row r="10971" spans="2:11" hidden="1">
      <c r="B10971" s="1348"/>
      <c r="C10971" s="1348"/>
      <c r="D10971" s="1348"/>
      <c r="E10971" s="1348"/>
      <c r="F10971" s="1348"/>
      <c r="G10971" s="1348"/>
      <c r="H10971" s="1348"/>
      <c r="I10971" s="1348"/>
      <c r="J10971" s="1348"/>
      <c r="K10971" s="1348"/>
    </row>
    <row r="10972" spans="2:11" hidden="1">
      <c r="B10972" s="1348"/>
      <c r="C10972" s="1348"/>
      <c r="D10972" s="1348"/>
      <c r="E10972" s="1348"/>
      <c r="F10972" s="1348"/>
      <c r="G10972" s="1348"/>
      <c r="H10972" s="1348"/>
      <c r="I10972" s="1348"/>
      <c r="J10972" s="1348"/>
      <c r="K10972" s="1348"/>
    </row>
    <row r="10973" spans="2:11" hidden="1">
      <c r="B10973" s="1348"/>
      <c r="C10973" s="1348"/>
      <c r="D10973" s="1348"/>
      <c r="E10973" s="1348"/>
      <c r="F10973" s="1348"/>
      <c r="G10973" s="1348"/>
      <c r="H10973" s="1348"/>
      <c r="I10973" s="1348"/>
      <c r="J10973" s="1348"/>
      <c r="K10973" s="1348"/>
    </row>
    <row r="10974" spans="2:11" hidden="1">
      <c r="B10974" s="1348"/>
      <c r="C10974" s="1348"/>
      <c r="D10974" s="1348"/>
      <c r="E10974" s="1348"/>
      <c r="F10974" s="1348"/>
      <c r="G10974" s="1348"/>
      <c r="H10974" s="1348"/>
      <c r="I10974" s="1348"/>
      <c r="J10974" s="1348"/>
      <c r="K10974" s="1348"/>
    </row>
    <row r="10975" spans="2:11" hidden="1">
      <c r="B10975" s="1348"/>
      <c r="C10975" s="1348"/>
      <c r="D10975" s="1348"/>
      <c r="E10975" s="1348"/>
      <c r="F10975" s="1348"/>
      <c r="G10975" s="1348"/>
      <c r="H10975" s="1348"/>
      <c r="I10975" s="1348"/>
      <c r="J10975" s="1348"/>
      <c r="K10975" s="1348"/>
    </row>
    <row r="10976" spans="2:11" hidden="1">
      <c r="B10976" s="1348"/>
      <c r="C10976" s="1348"/>
      <c r="D10976" s="1348"/>
      <c r="E10976" s="1348"/>
      <c r="F10976" s="1348"/>
      <c r="G10976" s="1348"/>
      <c r="H10976" s="1348"/>
      <c r="I10976" s="1348"/>
      <c r="J10976" s="1348"/>
      <c r="K10976" s="1348"/>
    </row>
    <row r="10977" spans="2:11" hidden="1">
      <c r="B10977" s="1348"/>
      <c r="C10977" s="1348"/>
      <c r="D10977" s="1348"/>
      <c r="E10977" s="1348"/>
      <c r="F10977" s="1348"/>
      <c r="G10977" s="1348"/>
      <c r="H10977" s="1348"/>
      <c r="I10977" s="1348"/>
      <c r="J10977" s="1348"/>
      <c r="K10977" s="1348"/>
    </row>
    <row r="10978" spans="2:11" hidden="1">
      <c r="B10978" s="1348"/>
      <c r="C10978" s="1348"/>
      <c r="D10978" s="1348"/>
      <c r="E10978" s="1348"/>
      <c r="F10978" s="1348"/>
      <c r="G10978" s="1348"/>
      <c r="H10978" s="1348"/>
      <c r="I10978" s="1348"/>
      <c r="J10978" s="1348"/>
      <c r="K10978" s="1348"/>
    </row>
    <row r="10979" spans="2:11" hidden="1">
      <c r="B10979" s="1348"/>
      <c r="C10979" s="1348"/>
      <c r="D10979" s="1348"/>
      <c r="E10979" s="1348"/>
      <c r="F10979" s="1348"/>
      <c r="G10979" s="1348"/>
      <c r="H10979" s="1348"/>
      <c r="I10979" s="1348"/>
      <c r="J10979" s="1348"/>
      <c r="K10979" s="1348"/>
    </row>
    <row r="10980" spans="2:11" hidden="1">
      <c r="B10980" s="1348"/>
      <c r="C10980" s="1348"/>
      <c r="D10980" s="1348"/>
      <c r="E10980" s="1348"/>
      <c r="F10980" s="1348"/>
      <c r="G10980" s="1348"/>
      <c r="H10980" s="1348"/>
      <c r="I10980" s="1348"/>
      <c r="J10980" s="1348"/>
      <c r="K10980" s="1348"/>
    </row>
    <row r="10981" spans="2:11" hidden="1">
      <c r="B10981" s="1348"/>
      <c r="C10981" s="1348"/>
      <c r="D10981" s="1348"/>
      <c r="E10981" s="1348"/>
      <c r="F10981" s="1348"/>
      <c r="G10981" s="1348"/>
      <c r="H10981" s="1348"/>
      <c r="I10981" s="1348"/>
      <c r="J10981" s="1348"/>
      <c r="K10981" s="1348"/>
    </row>
    <row r="10982" spans="2:11" hidden="1">
      <c r="B10982" s="1348"/>
      <c r="C10982" s="1348"/>
      <c r="D10982" s="1348"/>
      <c r="E10982" s="1348"/>
      <c r="F10982" s="1348"/>
      <c r="G10982" s="1348"/>
      <c r="H10982" s="1348"/>
      <c r="I10982" s="1348"/>
      <c r="J10982" s="1348"/>
      <c r="K10982" s="1348"/>
    </row>
    <row r="10983" spans="2:11" hidden="1">
      <c r="B10983" s="1348"/>
      <c r="C10983" s="1348"/>
      <c r="D10983" s="1348"/>
      <c r="E10983" s="1348"/>
      <c r="F10983" s="1348"/>
      <c r="G10983" s="1348"/>
      <c r="H10983" s="1348"/>
      <c r="I10983" s="1348"/>
      <c r="J10983" s="1348"/>
      <c r="K10983" s="1348"/>
    </row>
    <row r="10984" spans="2:11" hidden="1">
      <c r="B10984" s="1348"/>
      <c r="C10984" s="1348"/>
      <c r="D10984" s="1348"/>
      <c r="E10984" s="1348"/>
      <c r="F10984" s="1348"/>
      <c r="G10984" s="1348"/>
      <c r="H10984" s="1348"/>
      <c r="I10984" s="1348"/>
      <c r="J10984" s="1348"/>
      <c r="K10984" s="1348"/>
    </row>
    <row r="10985" spans="2:11" hidden="1">
      <c r="B10985" s="1348"/>
      <c r="C10985" s="1348"/>
      <c r="D10985" s="1348"/>
      <c r="E10985" s="1348"/>
      <c r="F10985" s="1348"/>
      <c r="G10985" s="1348"/>
      <c r="H10985" s="1348"/>
      <c r="I10985" s="1348"/>
      <c r="J10985" s="1348"/>
      <c r="K10985" s="1348"/>
    </row>
    <row r="10986" spans="2:11" hidden="1">
      <c r="B10986" s="1348"/>
      <c r="C10986" s="1348"/>
      <c r="D10986" s="1348"/>
      <c r="E10986" s="1348"/>
      <c r="F10986" s="1348"/>
      <c r="G10986" s="1348"/>
      <c r="H10986" s="1348"/>
      <c r="I10986" s="1348"/>
      <c r="J10986" s="1348"/>
      <c r="K10986" s="1348"/>
    </row>
    <row r="10987" spans="2:11" hidden="1">
      <c r="B10987" s="1348"/>
      <c r="C10987" s="1348"/>
      <c r="D10987" s="1348"/>
      <c r="E10987" s="1348"/>
      <c r="F10987" s="1348"/>
      <c r="G10987" s="1348"/>
      <c r="H10987" s="1348"/>
      <c r="I10987" s="1348"/>
      <c r="J10987" s="1348"/>
      <c r="K10987" s="1348"/>
    </row>
    <row r="10988" spans="2:11" hidden="1">
      <c r="B10988" s="1348"/>
      <c r="C10988" s="1348"/>
      <c r="D10988" s="1348"/>
      <c r="E10988" s="1348"/>
      <c r="F10988" s="1348"/>
      <c r="G10988" s="1348"/>
      <c r="H10988" s="1348"/>
      <c r="I10988" s="1348"/>
      <c r="J10988" s="1348"/>
      <c r="K10988" s="1348"/>
    </row>
    <row r="10989" spans="2:11" hidden="1">
      <c r="B10989" s="1348"/>
      <c r="C10989" s="1348"/>
      <c r="D10989" s="1348"/>
      <c r="E10989" s="1348"/>
      <c r="F10989" s="1348"/>
      <c r="G10989" s="1348"/>
      <c r="H10989" s="1348"/>
      <c r="I10989" s="1348"/>
      <c r="J10989" s="1348"/>
      <c r="K10989" s="1348"/>
    </row>
    <row r="10990" spans="2:11" hidden="1">
      <c r="B10990" s="1348"/>
      <c r="C10990" s="1348"/>
      <c r="D10990" s="1348"/>
      <c r="E10990" s="1348"/>
      <c r="F10990" s="1348"/>
      <c r="G10990" s="1348"/>
      <c r="H10990" s="1348"/>
      <c r="I10990" s="1348"/>
      <c r="J10990" s="1348"/>
      <c r="K10990" s="1348"/>
    </row>
    <row r="10991" spans="2:11" hidden="1">
      <c r="B10991" s="1348"/>
      <c r="C10991" s="1348"/>
      <c r="D10991" s="1348"/>
      <c r="E10991" s="1348"/>
      <c r="F10991" s="1348"/>
      <c r="G10991" s="1348"/>
      <c r="H10991" s="1348"/>
      <c r="I10991" s="1348"/>
      <c r="J10991" s="1348"/>
      <c r="K10991" s="1348"/>
    </row>
    <row r="10992" spans="2:11" hidden="1">
      <c r="B10992" s="1348"/>
      <c r="C10992" s="1348"/>
      <c r="D10992" s="1348"/>
      <c r="E10992" s="1348"/>
      <c r="F10992" s="1348"/>
      <c r="G10992" s="1348"/>
      <c r="H10992" s="1348"/>
      <c r="I10992" s="1348"/>
      <c r="J10992" s="1348"/>
      <c r="K10992" s="1348"/>
    </row>
    <row r="10993" spans="2:11" hidden="1">
      <c r="B10993" s="1348"/>
      <c r="C10993" s="1348"/>
      <c r="D10993" s="1348"/>
      <c r="E10993" s="1348"/>
      <c r="F10993" s="1348"/>
      <c r="G10993" s="1348"/>
      <c r="H10993" s="1348"/>
      <c r="I10993" s="1348"/>
      <c r="J10993" s="1348"/>
      <c r="K10993" s="1348"/>
    </row>
    <row r="10994" spans="2:11" hidden="1">
      <c r="B10994" s="1348"/>
      <c r="C10994" s="1348"/>
      <c r="D10994" s="1348"/>
      <c r="E10994" s="1348"/>
      <c r="F10994" s="1348"/>
      <c r="G10994" s="1348"/>
      <c r="H10994" s="1348"/>
      <c r="I10994" s="1348"/>
      <c r="J10994" s="1348"/>
      <c r="K10994" s="1348"/>
    </row>
    <row r="10995" spans="2:11" hidden="1">
      <c r="B10995" s="1348"/>
      <c r="C10995" s="1348"/>
      <c r="D10995" s="1348"/>
      <c r="E10995" s="1348"/>
      <c r="F10995" s="1348"/>
      <c r="G10995" s="1348"/>
      <c r="H10995" s="1348"/>
      <c r="I10995" s="1348"/>
      <c r="J10995" s="1348"/>
      <c r="K10995" s="1348"/>
    </row>
    <row r="10996" spans="2:11" hidden="1">
      <c r="B10996" s="1348"/>
      <c r="C10996" s="1348"/>
      <c r="D10996" s="1348"/>
      <c r="E10996" s="1348"/>
      <c r="F10996" s="1348"/>
      <c r="G10996" s="1348"/>
      <c r="H10996" s="1348"/>
      <c r="I10996" s="1348"/>
      <c r="J10996" s="1348"/>
      <c r="K10996" s="1348"/>
    </row>
    <row r="10997" spans="2:11" hidden="1">
      <c r="B10997" s="1348"/>
      <c r="C10997" s="1348"/>
      <c r="D10997" s="1348"/>
      <c r="E10997" s="1348"/>
      <c r="F10997" s="1348"/>
      <c r="G10997" s="1348"/>
      <c r="H10997" s="1348"/>
      <c r="I10997" s="1348"/>
      <c r="J10997" s="1348"/>
      <c r="K10997" s="1348"/>
    </row>
    <row r="10998" spans="2:11" hidden="1">
      <c r="B10998" s="1348"/>
      <c r="C10998" s="1348"/>
      <c r="D10998" s="1348"/>
      <c r="E10998" s="1348"/>
      <c r="F10998" s="1348"/>
      <c r="G10998" s="1348"/>
      <c r="H10998" s="1348"/>
      <c r="I10998" s="1348"/>
      <c r="J10998" s="1348"/>
      <c r="K10998" s="1348"/>
    </row>
    <row r="10999" spans="2:11" hidden="1">
      <c r="B10999" s="1348"/>
      <c r="C10999" s="1348"/>
      <c r="D10999" s="1348"/>
      <c r="E10999" s="1348"/>
      <c r="F10999" s="1348"/>
      <c r="G10999" s="1348"/>
      <c r="H10999" s="1348"/>
      <c r="I10999" s="1348"/>
      <c r="J10999" s="1348"/>
      <c r="K10999" s="1348"/>
    </row>
    <row r="11000" spans="2:11" hidden="1">
      <c r="B11000" s="1348"/>
      <c r="C11000" s="1348"/>
      <c r="D11000" s="1348"/>
      <c r="E11000" s="1348"/>
      <c r="F11000" s="1348"/>
      <c r="G11000" s="1348"/>
      <c r="H11000" s="1348"/>
      <c r="I11000" s="1348"/>
      <c r="J11000" s="1348"/>
      <c r="K11000" s="1348"/>
    </row>
    <row r="11001" spans="2:11" hidden="1">
      <c r="B11001" s="1348"/>
      <c r="C11001" s="1348"/>
      <c r="D11001" s="1348"/>
      <c r="E11001" s="1348"/>
      <c r="F11001" s="1348"/>
      <c r="G11001" s="1348"/>
      <c r="H11001" s="1348"/>
      <c r="I11001" s="1348"/>
      <c r="J11001" s="1348"/>
      <c r="K11001" s="1348"/>
    </row>
    <row r="11002" spans="2:11" hidden="1">
      <c r="B11002" s="1348"/>
      <c r="C11002" s="1348"/>
      <c r="D11002" s="1348"/>
      <c r="E11002" s="1348"/>
      <c r="F11002" s="1348"/>
      <c r="G11002" s="1348"/>
      <c r="H11002" s="1348"/>
      <c r="I11002" s="1348"/>
      <c r="J11002" s="1348"/>
      <c r="K11002" s="1348"/>
    </row>
    <row r="11003" spans="2:11" hidden="1">
      <c r="B11003" s="1348"/>
      <c r="C11003" s="1348"/>
      <c r="D11003" s="1348"/>
      <c r="E11003" s="1348"/>
      <c r="F11003" s="1348"/>
      <c r="G11003" s="1348"/>
      <c r="H11003" s="1348"/>
      <c r="I11003" s="1348"/>
      <c r="J11003" s="1348"/>
      <c r="K11003" s="1348"/>
    </row>
    <row r="11004" spans="2:11" hidden="1">
      <c r="B11004" s="1348"/>
      <c r="C11004" s="1348"/>
      <c r="D11004" s="1348"/>
      <c r="E11004" s="1348"/>
      <c r="F11004" s="1348"/>
      <c r="G11004" s="1348"/>
      <c r="H11004" s="1348"/>
      <c r="I11004" s="1348"/>
      <c r="J11004" s="1348"/>
      <c r="K11004" s="1348"/>
    </row>
    <row r="11005" spans="2:11" hidden="1">
      <c r="B11005" s="1348"/>
      <c r="C11005" s="1348"/>
      <c r="D11005" s="1348"/>
      <c r="E11005" s="1348"/>
      <c r="F11005" s="1348"/>
      <c r="G11005" s="1348"/>
      <c r="H11005" s="1348"/>
      <c r="I11005" s="1348"/>
      <c r="J11005" s="1348"/>
      <c r="K11005" s="1348"/>
    </row>
    <row r="11006" spans="2:11" hidden="1">
      <c r="B11006" s="1348"/>
      <c r="C11006" s="1348"/>
      <c r="D11006" s="1348"/>
      <c r="E11006" s="1348"/>
      <c r="F11006" s="1348"/>
      <c r="G11006" s="1348"/>
      <c r="H11006" s="1348"/>
      <c r="I11006" s="1348"/>
      <c r="J11006" s="1348"/>
      <c r="K11006" s="1348"/>
    </row>
    <row r="11007" spans="2:11" hidden="1">
      <c r="B11007" s="1348"/>
      <c r="C11007" s="1348"/>
      <c r="D11007" s="1348"/>
      <c r="E11007" s="1348"/>
      <c r="F11007" s="1348"/>
      <c r="G11007" s="1348"/>
      <c r="H11007" s="1348"/>
      <c r="I11007" s="1348"/>
      <c r="J11007" s="1348"/>
      <c r="K11007" s="1348"/>
    </row>
    <row r="11008" spans="2:11" hidden="1">
      <c r="B11008" s="1348"/>
      <c r="C11008" s="1348"/>
      <c r="D11008" s="1348"/>
      <c r="E11008" s="1348"/>
      <c r="F11008" s="1348"/>
      <c r="G11008" s="1348"/>
      <c r="H11008" s="1348"/>
      <c r="I11008" s="1348"/>
      <c r="J11008" s="1348"/>
      <c r="K11008" s="1348"/>
    </row>
    <row r="11009" spans="2:11" hidden="1">
      <c r="B11009" s="1348"/>
      <c r="C11009" s="1348"/>
      <c r="D11009" s="1348"/>
      <c r="E11009" s="1348"/>
      <c r="F11009" s="1348"/>
      <c r="G11009" s="1348"/>
      <c r="H11009" s="1348"/>
      <c r="I11009" s="1348"/>
      <c r="J11009" s="1348"/>
      <c r="K11009" s="1348"/>
    </row>
    <row r="11010" spans="2:11" hidden="1">
      <c r="B11010" s="1348"/>
      <c r="C11010" s="1348"/>
      <c r="D11010" s="1348"/>
      <c r="E11010" s="1348"/>
      <c r="F11010" s="1348"/>
      <c r="G11010" s="1348"/>
      <c r="H11010" s="1348"/>
      <c r="I11010" s="1348"/>
      <c r="J11010" s="1348"/>
      <c r="K11010" s="1348"/>
    </row>
    <row r="11011" spans="2:11" hidden="1">
      <c r="B11011" s="1348"/>
      <c r="C11011" s="1348"/>
      <c r="D11011" s="1348"/>
      <c r="E11011" s="1348"/>
      <c r="F11011" s="1348"/>
      <c r="G11011" s="1348"/>
      <c r="H11011" s="1348"/>
      <c r="I11011" s="1348"/>
      <c r="J11011" s="1348"/>
      <c r="K11011" s="1348"/>
    </row>
    <row r="11012" spans="2:11" hidden="1">
      <c r="B11012" s="1348"/>
      <c r="C11012" s="1348"/>
      <c r="D11012" s="1348"/>
      <c r="E11012" s="1348"/>
      <c r="F11012" s="1348"/>
      <c r="G11012" s="1348"/>
      <c r="H11012" s="1348"/>
      <c r="I11012" s="1348"/>
      <c r="J11012" s="1348"/>
      <c r="K11012" s="1348"/>
    </row>
    <row r="11013" spans="2:11" hidden="1">
      <c r="B11013" s="1348"/>
      <c r="C11013" s="1348"/>
      <c r="D11013" s="1348"/>
      <c r="E11013" s="1348"/>
      <c r="F11013" s="1348"/>
      <c r="G11013" s="1348"/>
      <c r="H11013" s="1348"/>
      <c r="I11013" s="1348"/>
      <c r="J11013" s="1348"/>
      <c r="K11013" s="1348"/>
    </row>
    <row r="11014" spans="2:11" hidden="1">
      <c r="B11014" s="1348"/>
      <c r="C11014" s="1348"/>
      <c r="D11014" s="1348"/>
      <c r="E11014" s="1348"/>
      <c r="F11014" s="1348"/>
      <c r="G11014" s="1348"/>
      <c r="H11014" s="1348"/>
      <c r="I11014" s="1348"/>
      <c r="J11014" s="1348"/>
      <c r="K11014" s="1348"/>
    </row>
    <row r="11015" spans="2:11" hidden="1">
      <c r="B11015" s="1348"/>
      <c r="C11015" s="1348"/>
      <c r="D11015" s="1348"/>
      <c r="E11015" s="1348"/>
      <c r="F11015" s="1348"/>
      <c r="G11015" s="1348"/>
      <c r="H11015" s="1348"/>
      <c r="I11015" s="1348"/>
      <c r="J11015" s="1348"/>
      <c r="K11015" s="1348"/>
    </row>
    <row r="11016" spans="2:11" hidden="1">
      <c r="B11016" s="1348"/>
      <c r="C11016" s="1348"/>
      <c r="D11016" s="1348"/>
      <c r="E11016" s="1348"/>
      <c r="F11016" s="1348"/>
      <c r="G11016" s="1348"/>
      <c r="H11016" s="1348"/>
      <c r="I11016" s="1348"/>
      <c r="J11016" s="1348"/>
      <c r="K11016" s="1348"/>
    </row>
    <row r="11017" spans="2:11" hidden="1">
      <c r="B11017" s="1348"/>
      <c r="C11017" s="1348"/>
      <c r="D11017" s="1348"/>
      <c r="E11017" s="1348"/>
      <c r="F11017" s="1348"/>
      <c r="G11017" s="1348"/>
      <c r="H11017" s="1348"/>
      <c r="I11017" s="1348"/>
      <c r="J11017" s="1348"/>
      <c r="K11017" s="1348"/>
    </row>
    <row r="11018" spans="2:11" hidden="1">
      <c r="B11018" s="1348"/>
      <c r="C11018" s="1348"/>
      <c r="D11018" s="1348"/>
      <c r="E11018" s="1348"/>
      <c r="F11018" s="1348"/>
      <c r="G11018" s="1348"/>
      <c r="H11018" s="1348"/>
      <c r="I11018" s="1348"/>
      <c r="J11018" s="1348"/>
      <c r="K11018" s="1348"/>
    </row>
    <row r="11019" spans="2:11" hidden="1">
      <c r="B11019" s="1348"/>
      <c r="C11019" s="1348"/>
      <c r="D11019" s="1348"/>
      <c r="E11019" s="1348"/>
      <c r="F11019" s="1348"/>
      <c r="G11019" s="1348"/>
      <c r="H11019" s="1348"/>
      <c r="I11019" s="1348"/>
      <c r="J11019" s="1348"/>
      <c r="K11019" s="1348"/>
    </row>
    <row r="11020" spans="2:11" hidden="1">
      <c r="B11020" s="1348"/>
      <c r="C11020" s="1348"/>
      <c r="D11020" s="1348"/>
      <c r="E11020" s="1348"/>
      <c r="F11020" s="1348"/>
      <c r="G11020" s="1348"/>
      <c r="H11020" s="1348"/>
      <c r="I11020" s="1348"/>
      <c r="J11020" s="1348"/>
      <c r="K11020" s="1348"/>
    </row>
    <row r="11021" spans="2:11" hidden="1">
      <c r="B11021" s="1348"/>
      <c r="C11021" s="1348"/>
      <c r="D11021" s="1348"/>
      <c r="E11021" s="1348"/>
      <c r="F11021" s="1348"/>
      <c r="G11021" s="1348"/>
      <c r="H11021" s="1348"/>
      <c r="I11021" s="1348"/>
      <c r="J11021" s="1348"/>
      <c r="K11021" s="1348"/>
    </row>
    <row r="11022" spans="2:11" hidden="1">
      <c r="B11022" s="1348"/>
      <c r="C11022" s="1348"/>
      <c r="D11022" s="1348"/>
      <c r="E11022" s="1348"/>
      <c r="F11022" s="1348"/>
      <c r="G11022" s="1348"/>
      <c r="H11022" s="1348"/>
      <c r="I11022" s="1348"/>
      <c r="J11022" s="1348"/>
      <c r="K11022" s="1348"/>
    </row>
    <row r="11023" spans="2:11" hidden="1">
      <c r="B11023" s="1348"/>
      <c r="C11023" s="1348"/>
      <c r="D11023" s="1348"/>
      <c r="E11023" s="1348"/>
      <c r="F11023" s="1348"/>
      <c r="G11023" s="1348"/>
      <c r="H11023" s="1348"/>
      <c r="I11023" s="1348"/>
      <c r="J11023" s="1348"/>
      <c r="K11023" s="1348"/>
    </row>
    <row r="11024" spans="2:11" hidden="1">
      <c r="B11024" s="1348"/>
      <c r="C11024" s="1348"/>
      <c r="D11024" s="1348"/>
      <c r="E11024" s="1348"/>
      <c r="F11024" s="1348"/>
      <c r="G11024" s="1348"/>
      <c r="H11024" s="1348"/>
      <c r="I11024" s="1348"/>
      <c r="J11024" s="1348"/>
      <c r="K11024" s="1348"/>
    </row>
    <row r="11025" spans="2:11" hidden="1">
      <c r="B11025" s="1348"/>
      <c r="C11025" s="1348"/>
      <c r="D11025" s="1348"/>
      <c r="E11025" s="1348"/>
      <c r="F11025" s="1348"/>
      <c r="G11025" s="1348"/>
      <c r="H11025" s="1348"/>
      <c r="I11025" s="1348"/>
      <c r="J11025" s="1348"/>
      <c r="K11025" s="1348"/>
    </row>
    <row r="11026" spans="2:11" hidden="1">
      <c r="B11026" s="1348"/>
      <c r="C11026" s="1348"/>
      <c r="D11026" s="1348"/>
      <c r="E11026" s="1348"/>
      <c r="F11026" s="1348"/>
      <c r="G11026" s="1348"/>
      <c r="H11026" s="1348"/>
      <c r="I11026" s="1348"/>
      <c r="J11026" s="1348"/>
      <c r="K11026" s="1348"/>
    </row>
    <row r="11027" spans="2:11" hidden="1">
      <c r="B11027" s="1348"/>
      <c r="C11027" s="1348"/>
      <c r="D11027" s="1348"/>
      <c r="E11027" s="1348"/>
      <c r="F11027" s="1348"/>
      <c r="G11027" s="1348"/>
      <c r="H11027" s="1348"/>
      <c r="I11027" s="1348"/>
      <c r="J11027" s="1348"/>
      <c r="K11027" s="1348"/>
    </row>
    <row r="11028" spans="2:11" hidden="1">
      <c r="B11028" s="1348"/>
      <c r="C11028" s="1348"/>
      <c r="D11028" s="1348"/>
      <c r="E11028" s="1348"/>
      <c r="F11028" s="1348"/>
      <c r="G11028" s="1348"/>
      <c r="H11028" s="1348"/>
      <c r="I11028" s="1348"/>
      <c r="J11028" s="1348"/>
      <c r="K11028" s="1348"/>
    </row>
    <row r="11029" spans="2:11" hidden="1">
      <c r="B11029" s="1348"/>
      <c r="C11029" s="1348"/>
      <c r="D11029" s="1348"/>
      <c r="E11029" s="1348"/>
      <c r="F11029" s="1348"/>
      <c r="G11029" s="1348"/>
      <c r="H11029" s="1348"/>
      <c r="I11029" s="1348"/>
      <c r="J11029" s="1348"/>
      <c r="K11029" s="1348"/>
    </row>
    <row r="11030" spans="2:11" hidden="1">
      <c r="B11030" s="1348"/>
      <c r="C11030" s="1348"/>
      <c r="D11030" s="1348"/>
      <c r="E11030" s="1348"/>
      <c r="F11030" s="1348"/>
      <c r="G11030" s="1348"/>
      <c r="H11030" s="1348"/>
      <c r="I11030" s="1348"/>
      <c r="J11030" s="1348"/>
      <c r="K11030" s="1348"/>
    </row>
    <row r="11031" spans="2:11" hidden="1">
      <c r="B11031" s="1348"/>
      <c r="C11031" s="1348"/>
      <c r="D11031" s="1348"/>
      <c r="E11031" s="1348"/>
      <c r="F11031" s="1348"/>
      <c r="G11031" s="1348"/>
      <c r="H11031" s="1348"/>
      <c r="I11031" s="1348"/>
      <c r="J11031" s="1348"/>
      <c r="K11031" s="1348"/>
    </row>
    <row r="11032" spans="2:11" hidden="1">
      <c r="B11032" s="1348"/>
      <c r="C11032" s="1348"/>
      <c r="D11032" s="1348"/>
      <c r="E11032" s="1348"/>
      <c r="F11032" s="1348"/>
      <c r="G11032" s="1348"/>
      <c r="H11032" s="1348"/>
      <c r="I11032" s="1348"/>
      <c r="J11032" s="1348"/>
      <c r="K11032" s="1348"/>
    </row>
    <row r="11033" spans="2:11" hidden="1">
      <c r="B11033" s="1348"/>
      <c r="C11033" s="1348"/>
      <c r="D11033" s="1348"/>
      <c r="E11033" s="1348"/>
      <c r="F11033" s="1348"/>
      <c r="G11033" s="1348"/>
      <c r="H11033" s="1348"/>
      <c r="I11033" s="1348"/>
      <c r="J11033" s="1348"/>
      <c r="K11033" s="1348"/>
    </row>
    <row r="11034" spans="2:11" hidden="1">
      <c r="B11034" s="1348"/>
      <c r="C11034" s="1348"/>
      <c r="D11034" s="1348"/>
      <c r="E11034" s="1348"/>
      <c r="F11034" s="1348"/>
      <c r="G11034" s="1348"/>
      <c r="H11034" s="1348"/>
      <c r="I11034" s="1348"/>
      <c r="J11034" s="1348"/>
      <c r="K11034" s="1348"/>
    </row>
    <row r="11035" spans="2:11" hidden="1">
      <c r="B11035" s="1348"/>
      <c r="C11035" s="1348"/>
      <c r="D11035" s="1348"/>
      <c r="E11035" s="1348"/>
      <c r="F11035" s="1348"/>
      <c r="G11035" s="1348"/>
      <c r="H11035" s="1348"/>
      <c r="I11035" s="1348"/>
      <c r="J11035" s="1348"/>
      <c r="K11035" s="1348"/>
    </row>
    <row r="11036" spans="2:11" hidden="1">
      <c r="B11036" s="1348"/>
      <c r="C11036" s="1348"/>
      <c r="D11036" s="1348"/>
      <c r="E11036" s="1348"/>
      <c r="F11036" s="1348"/>
      <c r="G11036" s="1348"/>
      <c r="H11036" s="1348"/>
      <c r="I11036" s="1348"/>
      <c r="J11036" s="1348"/>
      <c r="K11036" s="1348"/>
    </row>
    <row r="11037" spans="2:11" hidden="1">
      <c r="B11037" s="1348"/>
      <c r="C11037" s="1348"/>
      <c r="D11037" s="1348"/>
      <c r="E11037" s="1348"/>
      <c r="F11037" s="1348"/>
      <c r="G11037" s="1348"/>
      <c r="H11037" s="1348"/>
      <c r="I11037" s="1348"/>
      <c r="J11037" s="1348"/>
      <c r="K11037" s="1348"/>
    </row>
    <row r="11038" spans="2:11" hidden="1">
      <c r="B11038" s="1348"/>
      <c r="C11038" s="1348"/>
      <c r="D11038" s="1348"/>
      <c r="E11038" s="1348"/>
      <c r="F11038" s="1348"/>
      <c r="G11038" s="1348"/>
      <c r="H11038" s="1348"/>
      <c r="I11038" s="1348"/>
      <c r="J11038" s="1348"/>
      <c r="K11038" s="1348"/>
    </row>
    <row r="11039" spans="2:11" hidden="1">
      <c r="B11039" s="1348"/>
      <c r="C11039" s="1348"/>
      <c r="D11039" s="1348"/>
      <c r="E11039" s="1348"/>
      <c r="F11039" s="1348"/>
      <c r="G11039" s="1348"/>
      <c r="H11039" s="1348"/>
      <c r="I11039" s="1348"/>
      <c r="J11039" s="1348"/>
      <c r="K11039" s="1348"/>
    </row>
    <row r="11040" spans="2:11" hidden="1">
      <c r="B11040" s="1348"/>
      <c r="C11040" s="1348"/>
      <c r="D11040" s="1348"/>
      <c r="E11040" s="1348"/>
      <c r="F11040" s="1348"/>
      <c r="G11040" s="1348"/>
      <c r="H11040" s="1348"/>
      <c r="I11040" s="1348"/>
      <c r="J11040" s="1348"/>
      <c r="K11040" s="1348"/>
    </row>
    <row r="11041" spans="2:11" hidden="1">
      <c r="B11041" s="1348"/>
      <c r="C11041" s="1348"/>
      <c r="D11041" s="1348"/>
      <c r="E11041" s="1348"/>
      <c r="F11041" s="1348"/>
      <c r="G11041" s="1348"/>
      <c r="H11041" s="1348"/>
      <c r="I11041" s="1348"/>
      <c r="J11041" s="1348"/>
      <c r="K11041" s="1348"/>
    </row>
    <row r="11042" spans="2:11" hidden="1">
      <c r="B11042" s="1348"/>
      <c r="C11042" s="1348"/>
      <c r="D11042" s="1348"/>
      <c r="E11042" s="1348"/>
      <c r="F11042" s="1348"/>
      <c r="G11042" s="1348"/>
      <c r="H11042" s="1348"/>
      <c r="I11042" s="1348"/>
      <c r="J11042" s="1348"/>
      <c r="K11042" s="1348"/>
    </row>
    <row r="11043" spans="2:11" hidden="1">
      <c r="B11043" s="1348"/>
      <c r="C11043" s="1348"/>
      <c r="D11043" s="1348"/>
      <c r="E11043" s="1348"/>
      <c r="F11043" s="1348"/>
      <c r="G11043" s="1348"/>
      <c r="H11043" s="1348"/>
      <c r="I11043" s="1348"/>
      <c r="J11043" s="1348"/>
      <c r="K11043" s="1348"/>
    </row>
    <row r="11044" spans="2:11" hidden="1">
      <c r="B11044" s="1348"/>
      <c r="C11044" s="1348"/>
      <c r="D11044" s="1348"/>
      <c r="E11044" s="1348"/>
      <c r="F11044" s="1348"/>
      <c r="G11044" s="1348"/>
      <c r="H11044" s="1348"/>
      <c r="I11044" s="1348"/>
      <c r="J11044" s="1348"/>
      <c r="K11044" s="1348"/>
    </row>
    <row r="11045" spans="2:11" hidden="1">
      <c r="B11045" s="1348"/>
      <c r="C11045" s="1348"/>
      <c r="D11045" s="1348"/>
      <c r="E11045" s="1348"/>
      <c r="F11045" s="1348"/>
      <c r="G11045" s="1348"/>
      <c r="H11045" s="1348"/>
      <c r="I11045" s="1348"/>
      <c r="J11045" s="1348"/>
      <c r="K11045" s="1348"/>
    </row>
    <row r="11046" spans="2:11" hidden="1">
      <c r="B11046" s="1348"/>
      <c r="C11046" s="1348"/>
      <c r="D11046" s="1348"/>
      <c r="E11046" s="1348"/>
      <c r="F11046" s="1348"/>
      <c r="G11046" s="1348"/>
      <c r="H11046" s="1348"/>
      <c r="I11046" s="1348"/>
      <c r="J11046" s="1348"/>
      <c r="K11046" s="1348"/>
    </row>
    <row r="11047" spans="2:11" hidden="1">
      <c r="B11047" s="1348"/>
      <c r="C11047" s="1348"/>
      <c r="D11047" s="1348"/>
      <c r="E11047" s="1348"/>
      <c r="F11047" s="1348"/>
      <c r="G11047" s="1348"/>
      <c r="H11047" s="1348"/>
      <c r="I11047" s="1348"/>
      <c r="J11047" s="1348"/>
      <c r="K11047" s="1348"/>
    </row>
    <row r="11048" spans="2:11" hidden="1">
      <c r="B11048" s="1348"/>
      <c r="C11048" s="1348"/>
      <c r="D11048" s="1348"/>
      <c r="E11048" s="1348"/>
      <c r="F11048" s="1348"/>
      <c r="G11048" s="1348"/>
      <c r="H11048" s="1348"/>
      <c r="I11048" s="1348"/>
      <c r="J11048" s="1348"/>
      <c r="K11048" s="1348"/>
    </row>
    <row r="11049" spans="2:11" hidden="1">
      <c r="B11049" s="1348"/>
      <c r="C11049" s="1348"/>
      <c r="D11049" s="1348"/>
      <c r="E11049" s="1348"/>
      <c r="F11049" s="1348"/>
      <c r="G11049" s="1348"/>
      <c r="H11049" s="1348"/>
      <c r="I11049" s="1348"/>
      <c r="J11049" s="1348"/>
      <c r="K11049" s="1348"/>
    </row>
    <row r="11050" spans="2:11" hidden="1">
      <c r="B11050" s="1348"/>
      <c r="C11050" s="1348"/>
      <c r="D11050" s="1348"/>
      <c r="E11050" s="1348"/>
      <c r="F11050" s="1348"/>
      <c r="G11050" s="1348"/>
      <c r="H11050" s="1348"/>
      <c r="I11050" s="1348"/>
      <c r="J11050" s="1348"/>
      <c r="K11050" s="1348"/>
    </row>
    <row r="11051" spans="2:11" hidden="1">
      <c r="B11051" s="1348"/>
      <c r="C11051" s="1348"/>
      <c r="D11051" s="1348"/>
      <c r="E11051" s="1348"/>
      <c r="F11051" s="1348"/>
      <c r="G11051" s="1348"/>
      <c r="H11051" s="1348"/>
      <c r="I11051" s="1348"/>
      <c r="J11051" s="1348"/>
      <c r="K11051" s="1348"/>
    </row>
    <row r="11052" spans="2:11" hidden="1">
      <c r="B11052" s="1348"/>
      <c r="C11052" s="1348"/>
      <c r="D11052" s="1348"/>
      <c r="E11052" s="1348"/>
      <c r="F11052" s="1348"/>
      <c r="G11052" s="1348"/>
      <c r="H11052" s="1348"/>
      <c r="I11052" s="1348"/>
      <c r="J11052" s="1348"/>
      <c r="K11052" s="1348"/>
    </row>
    <row r="11053" spans="2:11" hidden="1">
      <c r="B11053" s="1348"/>
      <c r="C11053" s="1348"/>
      <c r="D11053" s="1348"/>
      <c r="E11053" s="1348"/>
      <c r="F11053" s="1348"/>
      <c r="G11053" s="1348"/>
      <c r="H11053" s="1348"/>
      <c r="I11053" s="1348"/>
      <c r="J11053" s="1348"/>
      <c r="K11053" s="1348"/>
    </row>
    <row r="11054" spans="2:11" hidden="1">
      <c r="B11054" s="1348"/>
      <c r="C11054" s="1348"/>
      <c r="D11054" s="1348"/>
      <c r="E11054" s="1348"/>
      <c r="F11054" s="1348"/>
      <c r="G11054" s="1348"/>
      <c r="H11054" s="1348"/>
      <c r="I11054" s="1348"/>
      <c r="J11054" s="1348"/>
      <c r="K11054" s="1348"/>
    </row>
    <row r="11055" spans="2:11" hidden="1">
      <c r="B11055" s="1348"/>
      <c r="C11055" s="1348"/>
      <c r="D11055" s="1348"/>
      <c r="E11055" s="1348"/>
      <c r="F11055" s="1348"/>
      <c r="G11055" s="1348"/>
      <c r="H11055" s="1348"/>
      <c r="I11055" s="1348"/>
      <c r="J11055" s="1348"/>
      <c r="K11055" s="1348"/>
    </row>
    <row r="11056" spans="2:11" hidden="1">
      <c r="B11056" s="1348"/>
      <c r="C11056" s="1348"/>
      <c r="D11056" s="1348"/>
      <c r="E11056" s="1348"/>
      <c r="F11056" s="1348"/>
      <c r="G11056" s="1348"/>
      <c r="H11056" s="1348"/>
      <c r="I11056" s="1348"/>
      <c r="J11056" s="1348"/>
      <c r="K11056" s="1348"/>
    </row>
    <row r="11057" spans="2:11" hidden="1">
      <c r="B11057" s="1348"/>
      <c r="C11057" s="1348"/>
      <c r="D11057" s="1348"/>
      <c r="E11057" s="1348"/>
      <c r="F11057" s="1348"/>
      <c r="G11057" s="1348"/>
      <c r="H11057" s="1348"/>
      <c r="I11057" s="1348"/>
      <c r="J11057" s="1348"/>
      <c r="K11057" s="1348"/>
    </row>
    <row r="11058" spans="2:11" hidden="1">
      <c r="B11058" s="1348"/>
      <c r="C11058" s="1348"/>
      <c r="D11058" s="1348"/>
      <c r="E11058" s="1348"/>
      <c r="F11058" s="1348"/>
      <c r="G11058" s="1348"/>
      <c r="H11058" s="1348"/>
      <c r="I11058" s="1348"/>
      <c r="J11058" s="1348"/>
      <c r="K11058" s="1348"/>
    </row>
    <row r="11059" spans="2:11" hidden="1">
      <c r="B11059" s="1348"/>
      <c r="C11059" s="1348"/>
      <c r="D11059" s="1348"/>
      <c r="E11059" s="1348"/>
      <c r="F11059" s="1348"/>
      <c r="G11059" s="1348"/>
      <c r="H11059" s="1348"/>
      <c r="I11059" s="1348"/>
      <c r="J11059" s="1348"/>
      <c r="K11059" s="1348"/>
    </row>
    <row r="11060" spans="2:11" hidden="1">
      <c r="B11060" s="1348"/>
      <c r="C11060" s="1348"/>
      <c r="D11060" s="1348"/>
      <c r="E11060" s="1348"/>
      <c r="F11060" s="1348"/>
      <c r="G11060" s="1348"/>
      <c r="H11060" s="1348"/>
      <c r="I11060" s="1348"/>
      <c r="J11060" s="1348"/>
      <c r="K11060" s="1348"/>
    </row>
    <row r="11061" spans="2:11" hidden="1">
      <c r="B11061" s="1348"/>
      <c r="C11061" s="1348"/>
      <c r="D11061" s="1348"/>
      <c r="E11061" s="1348"/>
      <c r="F11061" s="1348"/>
      <c r="G11061" s="1348"/>
      <c r="H11061" s="1348"/>
      <c r="I11061" s="1348"/>
      <c r="J11061" s="1348"/>
      <c r="K11061" s="1348"/>
    </row>
    <row r="11062" spans="2:11" hidden="1">
      <c r="B11062" s="1348"/>
      <c r="C11062" s="1348"/>
      <c r="D11062" s="1348"/>
      <c r="E11062" s="1348"/>
      <c r="F11062" s="1348"/>
      <c r="G11062" s="1348"/>
      <c r="H11062" s="1348"/>
      <c r="I11062" s="1348"/>
      <c r="J11062" s="1348"/>
      <c r="K11062" s="1348"/>
    </row>
    <row r="11063" spans="2:11" hidden="1">
      <c r="B11063" s="1348"/>
      <c r="C11063" s="1348"/>
      <c r="D11063" s="1348"/>
      <c r="E11063" s="1348"/>
      <c r="F11063" s="1348"/>
      <c r="G11063" s="1348"/>
      <c r="H11063" s="1348"/>
      <c r="I11063" s="1348"/>
      <c r="J11063" s="1348"/>
      <c r="K11063" s="1348"/>
    </row>
    <row r="11064" spans="2:11" hidden="1">
      <c r="B11064" s="1348"/>
      <c r="C11064" s="1348"/>
      <c r="D11064" s="1348"/>
      <c r="E11064" s="1348"/>
      <c r="F11064" s="1348"/>
      <c r="G11064" s="1348"/>
      <c r="H11064" s="1348"/>
      <c r="I11064" s="1348"/>
      <c r="J11064" s="1348"/>
      <c r="K11064" s="1348"/>
    </row>
    <row r="11065" spans="2:11" hidden="1">
      <c r="B11065" s="1348"/>
      <c r="C11065" s="1348"/>
      <c r="D11065" s="1348"/>
      <c r="E11065" s="1348"/>
      <c r="F11065" s="1348"/>
      <c r="G11065" s="1348"/>
      <c r="H11065" s="1348"/>
      <c r="I11065" s="1348"/>
      <c r="J11065" s="1348"/>
      <c r="K11065" s="1348"/>
    </row>
    <row r="11066" spans="2:11" hidden="1">
      <c r="B11066" s="1348"/>
      <c r="C11066" s="1348"/>
      <c r="D11066" s="1348"/>
      <c r="E11066" s="1348"/>
      <c r="F11066" s="1348"/>
      <c r="G11066" s="1348"/>
      <c r="H11066" s="1348"/>
      <c r="I11066" s="1348"/>
      <c r="J11066" s="1348"/>
      <c r="K11066" s="1348"/>
    </row>
    <row r="11067" spans="2:11" hidden="1">
      <c r="B11067" s="1348"/>
      <c r="C11067" s="1348"/>
      <c r="D11067" s="1348"/>
      <c r="E11067" s="1348"/>
      <c r="F11067" s="1348"/>
      <c r="G11067" s="1348"/>
      <c r="H11067" s="1348"/>
      <c r="I11067" s="1348"/>
      <c r="J11067" s="1348"/>
      <c r="K11067" s="1348"/>
    </row>
    <row r="11068" spans="2:11" hidden="1">
      <c r="B11068" s="1348"/>
      <c r="C11068" s="1348"/>
      <c r="D11068" s="1348"/>
      <c r="E11068" s="1348"/>
      <c r="F11068" s="1348"/>
      <c r="G11068" s="1348"/>
      <c r="H11068" s="1348"/>
      <c r="I11068" s="1348"/>
      <c r="J11068" s="1348"/>
      <c r="K11068" s="1348"/>
    </row>
    <row r="11069" spans="2:11" hidden="1">
      <c r="B11069" s="1348"/>
      <c r="C11069" s="1348"/>
      <c r="D11069" s="1348"/>
      <c r="E11069" s="1348"/>
      <c r="F11069" s="1348"/>
      <c r="G11069" s="1348"/>
      <c r="H11069" s="1348"/>
      <c r="I11069" s="1348"/>
      <c r="J11069" s="1348"/>
      <c r="K11069" s="1348"/>
    </row>
    <row r="11070" spans="2:11" hidden="1">
      <c r="B11070" s="1348"/>
      <c r="C11070" s="1348"/>
      <c r="D11070" s="1348"/>
      <c r="E11070" s="1348"/>
      <c r="F11070" s="1348"/>
      <c r="G11070" s="1348"/>
      <c r="H11070" s="1348"/>
      <c r="I11070" s="1348"/>
      <c r="J11070" s="1348"/>
      <c r="K11070" s="1348"/>
    </row>
    <row r="11071" spans="2:11" hidden="1">
      <c r="B11071" s="1348"/>
      <c r="C11071" s="1348"/>
      <c r="D11071" s="1348"/>
      <c r="E11071" s="1348"/>
      <c r="F11071" s="1348"/>
      <c r="G11071" s="1348"/>
      <c r="H11071" s="1348"/>
      <c r="I11071" s="1348"/>
      <c r="J11071" s="1348"/>
      <c r="K11071" s="1348"/>
    </row>
    <row r="11072" spans="2:11" hidden="1">
      <c r="B11072" s="1348"/>
      <c r="C11072" s="1348"/>
      <c r="D11072" s="1348"/>
      <c r="E11072" s="1348"/>
      <c r="F11072" s="1348"/>
      <c r="G11072" s="1348"/>
      <c r="H11072" s="1348"/>
      <c r="I11072" s="1348"/>
      <c r="J11072" s="1348"/>
      <c r="K11072" s="1348"/>
    </row>
    <row r="11073" spans="2:11" hidden="1">
      <c r="B11073" s="1348"/>
      <c r="C11073" s="1348"/>
      <c r="D11073" s="1348"/>
      <c r="E11073" s="1348"/>
      <c r="F11073" s="1348"/>
      <c r="G11073" s="1348"/>
      <c r="H11073" s="1348"/>
      <c r="I11073" s="1348"/>
      <c r="J11073" s="1348"/>
      <c r="K11073" s="1348"/>
    </row>
    <row r="11074" spans="2:11" hidden="1">
      <c r="B11074" s="1348"/>
      <c r="C11074" s="1348"/>
      <c r="D11074" s="1348"/>
      <c r="E11074" s="1348"/>
      <c r="F11074" s="1348"/>
      <c r="G11074" s="1348"/>
      <c r="H11074" s="1348"/>
      <c r="I11074" s="1348"/>
      <c r="J11074" s="1348"/>
      <c r="K11074" s="1348"/>
    </row>
    <row r="11075" spans="2:11" hidden="1">
      <c r="B11075" s="1348"/>
      <c r="C11075" s="1348"/>
      <c r="D11075" s="1348"/>
      <c r="E11075" s="1348"/>
      <c r="F11075" s="1348"/>
      <c r="G11075" s="1348"/>
      <c r="H11075" s="1348"/>
      <c r="I11075" s="1348"/>
      <c r="J11075" s="1348"/>
      <c r="K11075" s="1348"/>
    </row>
    <row r="11076" spans="2:11" hidden="1">
      <c r="B11076" s="1348"/>
      <c r="C11076" s="1348"/>
      <c r="D11076" s="1348"/>
      <c r="E11076" s="1348"/>
      <c r="F11076" s="1348"/>
      <c r="G11076" s="1348"/>
      <c r="H11076" s="1348"/>
      <c r="I11076" s="1348"/>
      <c r="J11076" s="1348"/>
      <c r="K11076" s="1348"/>
    </row>
    <row r="11077" spans="2:11" hidden="1">
      <c r="B11077" s="1348"/>
      <c r="C11077" s="1348"/>
      <c r="D11077" s="1348"/>
      <c r="E11077" s="1348"/>
      <c r="F11077" s="1348"/>
      <c r="G11077" s="1348"/>
      <c r="H11077" s="1348"/>
      <c r="I11077" s="1348"/>
      <c r="J11077" s="1348"/>
      <c r="K11077" s="1348"/>
    </row>
    <row r="11078" spans="2:11" hidden="1">
      <c r="B11078" s="1348"/>
      <c r="C11078" s="1348"/>
      <c r="D11078" s="1348"/>
      <c r="E11078" s="1348"/>
      <c r="F11078" s="1348"/>
      <c r="G11078" s="1348"/>
      <c r="H11078" s="1348"/>
      <c r="I11078" s="1348"/>
      <c r="J11078" s="1348"/>
      <c r="K11078" s="1348"/>
    </row>
    <row r="11079" spans="2:11" hidden="1">
      <c r="B11079" s="1348"/>
      <c r="C11079" s="1348"/>
      <c r="D11079" s="1348"/>
      <c r="E11079" s="1348"/>
      <c r="F11079" s="1348"/>
      <c r="G11079" s="1348"/>
      <c r="H11079" s="1348"/>
      <c r="I11079" s="1348"/>
      <c r="J11079" s="1348"/>
      <c r="K11079" s="1348"/>
    </row>
    <row r="11080" spans="2:11" hidden="1">
      <c r="B11080" s="1348"/>
      <c r="C11080" s="1348"/>
      <c r="D11080" s="1348"/>
      <c r="E11080" s="1348"/>
      <c r="F11080" s="1348"/>
      <c r="G11080" s="1348"/>
      <c r="H11080" s="1348"/>
      <c r="I11080" s="1348"/>
      <c r="J11080" s="1348"/>
      <c r="K11080" s="1348"/>
    </row>
    <row r="11081" spans="2:11" hidden="1">
      <c r="B11081" s="1348"/>
      <c r="C11081" s="1348"/>
      <c r="D11081" s="1348"/>
      <c r="E11081" s="1348"/>
      <c r="F11081" s="1348"/>
      <c r="G11081" s="1348"/>
      <c r="H11081" s="1348"/>
      <c r="I11081" s="1348"/>
      <c r="J11081" s="1348"/>
      <c r="K11081" s="1348"/>
    </row>
    <row r="11082" spans="2:11" hidden="1">
      <c r="B11082" s="1348"/>
      <c r="C11082" s="1348"/>
      <c r="D11082" s="1348"/>
      <c r="E11082" s="1348"/>
      <c r="F11082" s="1348"/>
      <c r="G11082" s="1348"/>
      <c r="H11082" s="1348"/>
      <c r="I11082" s="1348"/>
      <c r="J11082" s="1348"/>
      <c r="K11082" s="1348"/>
    </row>
    <row r="11083" spans="2:11" hidden="1">
      <c r="B11083" s="1348"/>
      <c r="C11083" s="1348"/>
      <c r="D11083" s="1348"/>
      <c r="E11083" s="1348"/>
      <c r="F11083" s="1348"/>
      <c r="G11083" s="1348"/>
      <c r="H11083" s="1348"/>
      <c r="I11083" s="1348"/>
      <c r="J11083" s="1348"/>
      <c r="K11083" s="1348"/>
    </row>
    <row r="11084" spans="2:11" hidden="1">
      <c r="B11084" s="1348"/>
      <c r="C11084" s="1348"/>
      <c r="D11084" s="1348"/>
      <c r="E11084" s="1348"/>
      <c r="F11084" s="1348"/>
      <c r="G11084" s="1348"/>
      <c r="H11084" s="1348"/>
      <c r="I11084" s="1348"/>
      <c r="J11084" s="1348"/>
      <c r="K11084" s="1348"/>
    </row>
    <row r="11085" spans="2:11" hidden="1">
      <c r="B11085" s="1348"/>
      <c r="C11085" s="1348"/>
      <c r="D11085" s="1348"/>
      <c r="E11085" s="1348"/>
      <c r="F11085" s="1348"/>
      <c r="G11085" s="1348"/>
      <c r="H11085" s="1348"/>
      <c r="I11085" s="1348"/>
      <c r="J11085" s="1348"/>
      <c r="K11085" s="1348"/>
    </row>
    <row r="11086" spans="2:11" hidden="1">
      <c r="B11086" s="1348"/>
      <c r="C11086" s="1348"/>
      <c r="D11086" s="1348"/>
      <c r="E11086" s="1348"/>
      <c r="F11086" s="1348"/>
      <c r="G11086" s="1348"/>
      <c r="H11086" s="1348"/>
      <c r="I11086" s="1348"/>
      <c r="J11086" s="1348"/>
      <c r="K11086" s="1348"/>
    </row>
    <row r="11087" spans="2:11" hidden="1">
      <c r="B11087" s="1348"/>
      <c r="C11087" s="1348"/>
      <c r="D11087" s="1348"/>
      <c r="E11087" s="1348"/>
      <c r="F11087" s="1348"/>
      <c r="G11087" s="1348"/>
      <c r="H11087" s="1348"/>
      <c r="I11087" s="1348"/>
      <c r="J11087" s="1348"/>
      <c r="K11087" s="1348"/>
    </row>
    <row r="11088" spans="2:11" hidden="1">
      <c r="B11088" s="1348"/>
      <c r="C11088" s="1348"/>
      <c r="D11088" s="1348"/>
      <c r="E11088" s="1348"/>
      <c r="F11088" s="1348"/>
      <c r="G11088" s="1348"/>
      <c r="H11088" s="1348"/>
      <c r="I11088" s="1348"/>
      <c r="J11088" s="1348"/>
      <c r="K11088" s="1348"/>
    </row>
    <row r="11089" spans="2:11" hidden="1">
      <c r="B11089" s="1348"/>
      <c r="C11089" s="1348"/>
      <c r="D11089" s="1348"/>
      <c r="E11089" s="1348"/>
      <c r="F11089" s="1348"/>
      <c r="G11089" s="1348"/>
      <c r="H11089" s="1348"/>
      <c r="I11089" s="1348"/>
      <c r="J11089" s="1348"/>
      <c r="K11089" s="1348"/>
    </row>
    <row r="11090" spans="2:11" hidden="1">
      <c r="B11090" s="1348"/>
      <c r="C11090" s="1348"/>
      <c r="D11090" s="1348"/>
      <c r="E11090" s="1348"/>
      <c r="F11090" s="1348"/>
      <c r="G11090" s="1348"/>
      <c r="H11090" s="1348"/>
      <c r="I11090" s="1348"/>
      <c r="J11090" s="1348"/>
      <c r="K11090" s="1348"/>
    </row>
    <row r="11091" spans="2:11" hidden="1">
      <c r="B11091" s="1348"/>
      <c r="C11091" s="1348"/>
      <c r="D11091" s="1348"/>
      <c r="E11091" s="1348"/>
      <c r="F11091" s="1348"/>
      <c r="G11091" s="1348"/>
      <c r="H11091" s="1348"/>
      <c r="I11091" s="1348"/>
      <c r="J11091" s="1348"/>
      <c r="K11091" s="1348"/>
    </row>
    <row r="11092" spans="2:11" hidden="1">
      <c r="B11092" s="1348"/>
      <c r="C11092" s="1348"/>
      <c r="D11092" s="1348"/>
      <c r="E11092" s="1348"/>
      <c r="F11092" s="1348"/>
      <c r="G11092" s="1348"/>
      <c r="H11092" s="1348"/>
      <c r="I11092" s="1348"/>
      <c r="J11092" s="1348"/>
      <c r="K11092" s="1348"/>
    </row>
    <row r="11093" spans="2:11" hidden="1">
      <c r="B11093" s="1348"/>
      <c r="C11093" s="1348"/>
      <c r="D11093" s="1348"/>
      <c r="E11093" s="1348"/>
      <c r="F11093" s="1348"/>
      <c r="G11093" s="1348"/>
      <c r="H11093" s="1348"/>
      <c r="I11093" s="1348"/>
      <c r="J11093" s="1348"/>
      <c r="K11093" s="1348"/>
    </row>
    <row r="11094" spans="2:11" hidden="1">
      <c r="B11094" s="1348"/>
      <c r="C11094" s="1348"/>
      <c r="D11094" s="1348"/>
      <c r="E11094" s="1348"/>
      <c r="F11094" s="1348"/>
      <c r="G11094" s="1348"/>
      <c r="H11094" s="1348"/>
      <c r="I11094" s="1348"/>
      <c r="J11094" s="1348"/>
      <c r="K11094" s="1348"/>
    </row>
    <row r="11095" spans="2:11" hidden="1">
      <c r="B11095" s="1348"/>
      <c r="C11095" s="1348"/>
      <c r="D11095" s="1348"/>
      <c r="E11095" s="1348"/>
      <c r="F11095" s="1348"/>
      <c r="G11095" s="1348"/>
      <c r="H11095" s="1348"/>
      <c r="I11095" s="1348"/>
      <c r="J11095" s="1348"/>
      <c r="K11095" s="1348"/>
    </row>
    <row r="11096" spans="2:11" hidden="1">
      <c r="B11096" s="1348"/>
      <c r="C11096" s="1348"/>
      <c r="D11096" s="1348"/>
      <c r="E11096" s="1348"/>
      <c r="F11096" s="1348"/>
      <c r="G11096" s="1348"/>
      <c r="H11096" s="1348"/>
      <c r="I11096" s="1348"/>
      <c r="J11096" s="1348"/>
      <c r="K11096" s="1348"/>
    </row>
    <row r="11097" spans="2:11" hidden="1">
      <c r="B11097" s="1348"/>
      <c r="C11097" s="1348"/>
      <c r="D11097" s="1348"/>
      <c r="E11097" s="1348"/>
      <c r="F11097" s="1348"/>
      <c r="G11097" s="1348"/>
      <c r="H11097" s="1348"/>
      <c r="I11097" s="1348"/>
      <c r="J11097" s="1348"/>
      <c r="K11097" s="1348"/>
    </row>
    <row r="11098" spans="2:11" hidden="1">
      <c r="B11098" s="1348"/>
      <c r="C11098" s="1348"/>
      <c r="D11098" s="1348"/>
      <c r="E11098" s="1348"/>
      <c r="F11098" s="1348"/>
      <c r="G11098" s="1348"/>
      <c r="H11098" s="1348"/>
      <c r="I11098" s="1348"/>
      <c r="J11098" s="1348"/>
      <c r="K11098" s="1348"/>
    </row>
    <row r="11099" spans="2:11" hidden="1">
      <c r="B11099" s="1348"/>
      <c r="C11099" s="1348"/>
      <c r="D11099" s="1348"/>
      <c r="E11099" s="1348"/>
      <c r="F11099" s="1348"/>
      <c r="G11099" s="1348"/>
      <c r="H11099" s="1348"/>
      <c r="I11099" s="1348"/>
      <c r="J11099" s="1348"/>
      <c r="K11099" s="1348"/>
    </row>
    <row r="11100" spans="2:11" hidden="1">
      <c r="B11100" s="1348"/>
      <c r="C11100" s="1348"/>
      <c r="D11100" s="1348"/>
      <c r="E11100" s="1348"/>
      <c r="F11100" s="1348"/>
      <c r="G11100" s="1348"/>
      <c r="H11100" s="1348"/>
      <c r="I11100" s="1348"/>
      <c r="J11100" s="1348"/>
      <c r="K11100" s="1348"/>
    </row>
    <row r="11101" spans="2:11" hidden="1">
      <c r="B11101" s="1348"/>
      <c r="C11101" s="1348"/>
      <c r="D11101" s="1348"/>
      <c r="E11101" s="1348"/>
      <c r="F11101" s="1348"/>
      <c r="G11101" s="1348"/>
      <c r="H11101" s="1348"/>
      <c r="I11101" s="1348"/>
      <c r="J11101" s="1348"/>
      <c r="K11101" s="1348"/>
    </row>
    <row r="11102" spans="2:11" hidden="1">
      <c r="B11102" s="1348"/>
      <c r="C11102" s="1348"/>
      <c r="D11102" s="1348"/>
      <c r="E11102" s="1348"/>
      <c r="F11102" s="1348"/>
      <c r="G11102" s="1348"/>
      <c r="H11102" s="1348"/>
      <c r="I11102" s="1348"/>
      <c r="J11102" s="1348"/>
      <c r="K11102" s="1348"/>
    </row>
    <row r="11103" spans="2:11" hidden="1">
      <c r="B11103" s="1348"/>
      <c r="C11103" s="1348"/>
      <c r="D11103" s="1348"/>
      <c r="E11103" s="1348"/>
      <c r="F11103" s="1348"/>
      <c r="G11103" s="1348"/>
      <c r="H11103" s="1348"/>
      <c r="I11103" s="1348"/>
      <c r="J11103" s="1348"/>
      <c r="K11103" s="1348"/>
    </row>
    <row r="11104" spans="2:11" hidden="1">
      <c r="B11104" s="1348"/>
      <c r="C11104" s="1348"/>
      <c r="D11104" s="1348"/>
      <c r="E11104" s="1348"/>
      <c r="F11104" s="1348"/>
      <c r="G11104" s="1348"/>
      <c r="H11104" s="1348"/>
      <c r="I11104" s="1348"/>
      <c r="J11104" s="1348"/>
      <c r="K11104" s="1348"/>
    </row>
    <row r="11105" spans="2:11" hidden="1">
      <c r="B11105" s="1348"/>
      <c r="C11105" s="1348"/>
      <c r="D11105" s="1348"/>
      <c r="E11105" s="1348"/>
      <c r="F11105" s="1348"/>
      <c r="G11105" s="1348"/>
      <c r="H11105" s="1348"/>
      <c r="I11105" s="1348"/>
      <c r="J11105" s="1348"/>
      <c r="K11105" s="1348"/>
    </row>
    <row r="11106" spans="2:11" hidden="1">
      <c r="B11106" s="1348"/>
      <c r="C11106" s="1348"/>
      <c r="D11106" s="1348"/>
      <c r="E11106" s="1348"/>
      <c r="F11106" s="1348"/>
      <c r="G11106" s="1348"/>
      <c r="H11106" s="1348"/>
      <c r="I11106" s="1348"/>
      <c r="J11106" s="1348"/>
      <c r="K11106" s="1348"/>
    </row>
    <row r="11107" spans="2:11" hidden="1">
      <c r="B11107" s="1348"/>
      <c r="C11107" s="1348"/>
      <c r="D11107" s="1348"/>
      <c r="E11107" s="1348"/>
      <c r="F11107" s="1348"/>
      <c r="G11107" s="1348"/>
      <c r="H11107" s="1348"/>
      <c r="I11107" s="1348"/>
      <c r="J11107" s="1348"/>
      <c r="K11107" s="1348"/>
    </row>
    <row r="11108" spans="2:11" hidden="1">
      <c r="B11108" s="1348"/>
      <c r="C11108" s="1348"/>
      <c r="D11108" s="1348"/>
      <c r="E11108" s="1348"/>
      <c r="F11108" s="1348"/>
      <c r="G11108" s="1348"/>
      <c r="H11108" s="1348"/>
      <c r="I11108" s="1348"/>
      <c r="J11108" s="1348"/>
      <c r="K11108" s="1348"/>
    </row>
    <row r="11109" spans="2:11" hidden="1">
      <c r="B11109" s="1348"/>
      <c r="C11109" s="1348"/>
      <c r="D11109" s="1348"/>
      <c r="E11109" s="1348"/>
      <c r="F11109" s="1348"/>
      <c r="G11109" s="1348"/>
      <c r="H11109" s="1348"/>
      <c r="I11109" s="1348"/>
      <c r="J11109" s="1348"/>
      <c r="K11109" s="1348"/>
    </row>
    <row r="11110" spans="2:11" hidden="1">
      <c r="B11110" s="1348"/>
      <c r="C11110" s="1348"/>
      <c r="D11110" s="1348"/>
      <c r="E11110" s="1348"/>
      <c r="F11110" s="1348"/>
      <c r="G11110" s="1348"/>
      <c r="H11110" s="1348"/>
      <c r="I11110" s="1348"/>
      <c r="J11110" s="1348"/>
      <c r="K11110" s="1348"/>
    </row>
    <row r="11111" spans="2:11" hidden="1">
      <c r="B11111" s="1348"/>
      <c r="C11111" s="1348"/>
      <c r="D11111" s="1348"/>
      <c r="E11111" s="1348"/>
      <c r="F11111" s="1348"/>
      <c r="G11111" s="1348"/>
      <c r="H11111" s="1348"/>
      <c r="I11111" s="1348"/>
      <c r="J11111" s="1348"/>
      <c r="K11111" s="1348"/>
    </row>
    <row r="11112" spans="2:11" hidden="1">
      <c r="B11112" s="1348"/>
      <c r="C11112" s="1348"/>
      <c r="D11112" s="1348"/>
      <c r="E11112" s="1348"/>
      <c r="F11112" s="1348"/>
      <c r="G11112" s="1348"/>
      <c r="H11112" s="1348"/>
      <c r="I11112" s="1348"/>
      <c r="J11112" s="1348"/>
      <c r="K11112" s="1348"/>
    </row>
    <row r="11113" spans="2:11" hidden="1">
      <c r="B11113" s="1348"/>
      <c r="C11113" s="1348"/>
      <c r="D11113" s="1348"/>
      <c r="E11113" s="1348"/>
      <c r="F11113" s="1348"/>
      <c r="G11113" s="1348"/>
      <c r="H11113" s="1348"/>
      <c r="I11113" s="1348"/>
      <c r="J11113" s="1348"/>
      <c r="K11113" s="1348"/>
    </row>
    <row r="11114" spans="2:11" hidden="1">
      <c r="B11114" s="1348"/>
      <c r="C11114" s="1348"/>
      <c r="D11114" s="1348"/>
      <c r="E11114" s="1348"/>
      <c r="F11114" s="1348"/>
      <c r="G11114" s="1348"/>
      <c r="H11114" s="1348"/>
      <c r="I11114" s="1348"/>
      <c r="J11114" s="1348"/>
      <c r="K11114" s="1348"/>
    </row>
    <row r="11115" spans="2:11" hidden="1">
      <c r="B11115" s="1348"/>
      <c r="C11115" s="1348"/>
      <c r="D11115" s="1348"/>
      <c r="E11115" s="1348"/>
      <c r="F11115" s="1348"/>
      <c r="G11115" s="1348"/>
      <c r="H11115" s="1348"/>
      <c r="I11115" s="1348"/>
      <c r="J11115" s="1348"/>
      <c r="K11115" s="1348"/>
    </row>
    <row r="11116" spans="2:11" hidden="1">
      <c r="B11116" s="1348"/>
      <c r="C11116" s="1348"/>
      <c r="D11116" s="1348"/>
      <c r="E11116" s="1348"/>
      <c r="F11116" s="1348"/>
      <c r="G11116" s="1348"/>
      <c r="H11116" s="1348"/>
      <c r="I11116" s="1348"/>
      <c r="J11116" s="1348"/>
      <c r="K11116" s="1348"/>
    </row>
    <row r="11117" spans="2:11" hidden="1">
      <c r="B11117" s="1348"/>
      <c r="C11117" s="1348"/>
      <c r="D11117" s="1348"/>
      <c r="E11117" s="1348"/>
      <c r="F11117" s="1348"/>
      <c r="G11117" s="1348"/>
      <c r="H11117" s="1348"/>
      <c r="I11117" s="1348"/>
      <c r="J11117" s="1348"/>
      <c r="K11117" s="1348"/>
    </row>
    <row r="11118" spans="2:11" hidden="1">
      <c r="B11118" s="1348"/>
      <c r="C11118" s="1348"/>
      <c r="D11118" s="1348"/>
      <c r="E11118" s="1348"/>
      <c r="F11118" s="1348"/>
      <c r="G11118" s="1348"/>
      <c r="H11118" s="1348"/>
      <c r="I11118" s="1348"/>
      <c r="J11118" s="1348"/>
      <c r="K11118" s="1348"/>
    </row>
    <row r="11119" spans="2:11" hidden="1">
      <c r="B11119" s="1348"/>
      <c r="C11119" s="1348"/>
      <c r="D11119" s="1348"/>
      <c r="E11119" s="1348"/>
      <c r="F11119" s="1348"/>
      <c r="G11119" s="1348"/>
      <c r="H11119" s="1348"/>
      <c r="I11119" s="1348"/>
      <c r="J11119" s="1348"/>
      <c r="K11119" s="1348"/>
    </row>
    <row r="11120" spans="2:11" hidden="1">
      <c r="B11120" s="1348"/>
      <c r="C11120" s="1348"/>
      <c r="D11120" s="1348"/>
      <c r="E11120" s="1348"/>
      <c r="F11120" s="1348"/>
      <c r="G11120" s="1348"/>
      <c r="H11120" s="1348"/>
      <c r="I11120" s="1348"/>
      <c r="J11120" s="1348"/>
      <c r="K11120" s="1348"/>
    </row>
    <row r="11121" spans="2:11" hidden="1">
      <c r="B11121" s="1348"/>
      <c r="C11121" s="1348"/>
      <c r="D11121" s="1348"/>
      <c r="E11121" s="1348"/>
      <c r="F11121" s="1348"/>
      <c r="G11121" s="1348"/>
      <c r="H11121" s="1348"/>
      <c r="I11121" s="1348"/>
      <c r="J11121" s="1348"/>
      <c r="K11121" s="1348"/>
    </row>
    <row r="11122" spans="2:11" hidden="1">
      <c r="B11122" s="1348"/>
      <c r="C11122" s="1348"/>
      <c r="D11122" s="1348"/>
      <c r="E11122" s="1348"/>
      <c r="F11122" s="1348"/>
      <c r="G11122" s="1348"/>
      <c r="H11122" s="1348"/>
      <c r="I11122" s="1348"/>
      <c r="J11122" s="1348"/>
      <c r="K11122" s="1348"/>
    </row>
    <row r="11123" spans="2:11" hidden="1">
      <c r="B11123" s="1348"/>
      <c r="C11123" s="1348"/>
      <c r="D11123" s="1348"/>
      <c r="E11123" s="1348"/>
      <c r="F11123" s="1348"/>
      <c r="G11123" s="1348"/>
      <c r="H11123" s="1348"/>
      <c r="I11123" s="1348"/>
      <c r="J11123" s="1348"/>
      <c r="K11123" s="1348"/>
    </row>
    <row r="11124" spans="2:11" hidden="1">
      <c r="B11124" s="1348"/>
      <c r="C11124" s="1348"/>
      <c r="D11124" s="1348"/>
      <c r="E11124" s="1348"/>
      <c r="F11124" s="1348"/>
      <c r="G11124" s="1348"/>
      <c r="H11124" s="1348"/>
      <c r="I11124" s="1348"/>
      <c r="J11124" s="1348"/>
      <c r="K11124" s="1348"/>
    </row>
    <row r="11125" spans="2:11" hidden="1">
      <c r="B11125" s="1348"/>
      <c r="C11125" s="1348"/>
      <c r="D11125" s="1348"/>
      <c r="E11125" s="1348"/>
      <c r="F11125" s="1348"/>
      <c r="G11125" s="1348"/>
      <c r="H11125" s="1348"/>
      <c r="I11125" s="1348"/>
      <c r="J11125" s="1348"/>
      <c r="K11125" s="1348"/>
    </row>
    <row r="11126" spans="2:11" hidden="1">
      <c r="B11126" s="1348"/>
      <c r="C11126" s="1348"/>
      <c r="D11126" s="1348"/>
      <c r="E11126" s="1348"/>
      <c r="F11126" s="1348"/>
      <c r="G11126" s="1348"/>
      <c r="H11126" s="1348"/>
      <c r="I11126" s="1348"/>
      <c r="J11126" s="1348"/>
      <c r="K11126" s="1348"/>
    </row>
    <row r="11127" spans="2:11" hidden="1">
      <c r="B11127" s="1348"/>
      <c r="C11127" s="1348"/>
      <c r="D11127" s="1348"/>
      <c r="E11127" s="1348"/>
      <c r="F11127" s="1348"/>
      <c r="G11127" s="1348"/>
      <c r="H11127" s="1348"/>
      <c r="I11127" s="1348"/>
      <c r="J11127" s="1348"/>
      <c r="K11127" s="1348"/>
    </row>
    <row r="11128" spans="2:11" hidden="1">
      <c r="B11128" s="1348"/>
      <c r="C11128" s="1348"/>
      <c r="D11128" s="1348"/>
      <c r="E11128" s="1348"/>
      <c r="F11128" s="1348"/>
      <c r="G11128" s="1348"/>
      <c r="H11128" s="1348"/>
      <c r="I11128" s="1348"/>
      <c r="J11128" s="1348"/>
      <c r="K11128" s="1348"/>
    </row>
    <row r="11129" spans="2:11" hidden="1">
      <c r="B11129" s="1348"/>
      <c r="C11129" s="1348"/>
      <c r="D11129" s="1348"/>
      <c r="E11129" s="1348"/>
      <c r="F11129" s="1348"/>
      <c r="G11129" s="1348"/>
      <c r="H11129" s="1348"/>
      <c r="I11129" s="1348"/>
      <c r="J11129" s="1348"/>
      <c r="K11129" s="1348"/>
    </row>
    <row r="11130" spans="2:11" hidden="1">
      <c r="B11130" s="1348"/>
      <c r="C11130" s="1348"/>
      <c r="D11130" s="1348"/>
      <c r="E11130" s="1348"/>
      <c r="F11130" s="1348"/>
      <c r="G11130" s="1348"/>
      <c r="H11130" s="1348"/>
      <c r="I11130" s="1348"/>
      <c r="J11130" s="1348"/>
      <c r="K11130" s="1348"/>
    </row>
    <row r="11131" spans="2:11" hidden="1">
      <c r="B11131" s="1348"/>
      <c r="C11131" s="1348"/>
      <c r="D11131" s="1348"/>
      <c r="E11131" s="1348"/>
      <c r="F11131" s="1348"/>
      <c r="G11131" s="1348"/>
      <c r="H11131" s="1348"/>
      <c r="I11131" s="1348"/>
      <c r="J11131" s="1348"/>
      <c r="K11131" s="1348"/>
    </row>
    <row r="11132" spans="2:11" hidden="1">
      <c r="B11132" s="1348"/>
      <c r="C11132" s="1348"/>
      <c r="D11132" s="1348"/>
      <c r="E11132" s="1348"/>
      <c r="F11132" s="1348"/>
      <c r="G11132" s="1348"/>
      <c r="H11132" s="1348"/>
      <c r="I11132" s="1348"/>
      <c r="J11132" s="1348"/>
      <c r="K11132" s="1348"/>
    </row>
    <row r="11133" spans="2:11" hidden="1">
      <c r="B11133" s="1348"/>
      <c r="C11133" s="1348"/>
      <c r="D11133" s="1348"/>
      <c r="E11133" s="1348"/>
      <c r="F11133" s="1348"/>
      <c r="G11133" s="1348"/>
      <c r="H11133" s="1348"/>
      <c r="I11133" s="1348"/>
      <c r="J11133" s="1348"/>
      <c r="K11133" s="1348"/>
    </row>
    <row r="11134" spans="2:11" hidden="1">
      <c r="B11134" s="1348"/>
      <c r="C11134" s="1348"/>
      <c r="D11134" s="1348"/>
      <c r="E11134" s="1348"/>
      <c r="F11134" s="1348"/>
      <c r="G11134" s="1348"/>
      <c r="H11134" s="1348"/>
      <c r="I11134" s="1348"/>
      <c r="J11134" s="1348"/>
      <c r="K11134" s="1348"/>
    </row>
    <row r="11135" spans="2:11" hidden="1">
      <c r="B11135" s="1348"/>
      <c r="C11135" s="1348"/>
      <c r="D11135" s="1348"/>
      <c r="E11135" s="1348"/>
      <c r="F11135" s="1348"/>
      <c r="G11135" s="1348"/>
      <c r="H11135" s="1348"/>
      <c r="I11135" s="1348"/>
      <c r="J11135" s="1348"/>
      <c r="K11135" s="1348"/>
    </row>
    <row r="11136" spans="2:11" hidden="1">
      <c r="B11136" s="1348"/>
      <c r="C11136" s="1348"/>
      <c r="D11136" s="1348"/>
      <c r="E11136" s="1348"/>
      <c r="F11136" s="1348"/>
      <c r="G11136" s="1348"/>
      <c r="H11136" s="1348"/>
      <c r="I11136" s="1348"/>
      <c r="J11136" s="1348"/>
      <c r="K11136" s="1348"/>
    </row>
    <row r="11137" spans="2:11" hidden="1">
      <c r="B11137" s="1348"/>
      <c r="C11137" s="1348"/>
      <c r="D11137" s="1348"/>
      <c r="E11137" s="1348"/>
      <c r="F11137" s="1348"/>
      <c r="G11137" s="1348"/>
      <c r="H11137" s="1348"/>
      <c r="I11137" s="1348"/>
      <c r="J11137" s="1348"/>
      <c r="K11137" s="1348"/>
    </row>
    <row r="11138" spans="2:11" hidden="1">
      <c r="B11138" s="1348"/>
      <c r="C11138" s="1348"/>
      <c r="D11138" s="1348"/>
      <c r="E11138" s="1348"/>
      <c r="F11138" s="1348"/>
      <c r="G11138" s="1348"/>
      <c r="H11138" s="1348"/>
      <c r="I11138" s="1348"/>
      <c r="J11138" s="1348"/>
      <c r="K11138" s="1348"/>
    </row>
    <row r="11139" spans="2:11" hidden="1">
      <c r="B11139" s="1348"/>
      <c r="C11139" s="1348"/>
      <c r="D11139" s="1348"/>
      <c r="E11139" s="1348"/>
      <c r="F11139" s="1348"/>
      <c r="G11139" s="1348"/>
      <c r="H11139" s="1348"/>
      <c r="I11139" s="1348"/>
      <c r="J11139" s="1348"/>
      <c r="K11139" s="1348"/>
    </row>
    <row r="11140" spans="2:11" hidden="1">
      <c r="B11140" s="1348"/>
      <c r="C11140" s="1348"/>
      <c r="D11140" s="1348"/>
      <c r="E11140" s="1348"/>
      <c r="F11140" s="1348"/>
      <c r="G11140" s="1348"/>
      <c r="H11140" s="1348"/>
      <c r="I11140" s="1348"/>
      <c r="J11140" s="1348"/>
      <c r="K11140" s="1348"/>
    </row>
    <row r="11141" spans="2:11" hidden="1">
      <c r="B11141" s="1348"/>
      <c r="C11141" s="1348"/>
      <c r="D11141" s="1348"/>
      <c r="E11141" s="1348"/>
      <c r="F11141" s="1348"/>
      <c r="G11141" s="1348"/>
      <c r="H11141" s="1348"/>
      <c r="I11141" s="1348"/>
      <c r="J11141" s="1348"/>
      <c r="K11141" s="1348"/>
    </row>
    <row r="11142" spans="2:11" hidden="1">
      <c r="B11142" s="1348"/>
      <c r="C11142" s="1348"/>
      <c r="D11142" s="1348"/>
      <c r="E11142" s="1348"/>
      <c r="F11142" s="1348"/>
      <c r="G11142" s="1348"/>
      <c r="H11142" s="1348"/>
      <c r="I11142" s="1348"/>
      <c r="J11142" s="1348"/>
      <c r="K11142" s="1348"/>
    </row>
    <row r="11143" spans="2:11" hidden="1">
      <c r="B11143" s="1348"/>
      <c r="C11143" s="1348"/>
      <c r="D11143" s="1348"/>
      <c r="E11143" s="1348"/>
      <c r="F11143" s="1348"/>
      <c r="G11143" s="1348"/>
      <c r="H11143" s="1348"/>
      <c r="I11143" s="1348"/>
      <c r="J11143" s="1348"/>
      <c r="K11143" s="1348"/>
    </row>
    <row r="11144" spans="2:11" hidden="1">
      <c r="B11144" s="1348"/>
      <c r="C11144" s="1348"/>
      <c r="D11144" s="1348"/>
      <c r="E11144" s="1348"/>
      <c r="F11144" s="1348"/>
      <c r="G11144" s="1348"/>
      <c r="H11144" s="1348"/>
      <c r="I11144" s="1348"/>
      <c r="J11144" s="1348"/>
      <c r="K11144" s="1348"/>
    </row>
    <row r="11145" spans="2:11" hidden="1">
      <c r="B11145" s="1348"/>
      <c r="C11145" s="1348"/>
      <c r="D11145" s="1348"/>
      <c r="E11145" s="1348"/>
      <c r="F11145" s="1348"/>
      <c r="G11145" s="1348"/>
      <c r="H11145" s="1348"/>
      <c r="I11145" s="1348"/>
      <c r="J11145" s="1348"/>
      <c r="K11145" s="1348"/>
    </row>
    <row r="11146" spans="2:11" hidden="1">
      <c r="B11146" s="1348"/>
      <c r="C11146" s="1348"/>
      <c r="D11146" s="1348"/>
      <c r="E11146" s="1348"/>
      <c r="F11146" s="1348"/>
      <c r="G11146" s="1348"/>
      <c r="H11146" s="1348"/>
      <c r="I11146" s="1348"/>
      <c r="J11146" s="1348"/>
      <c r="K11146" s="1348"/>
    </row>
    <row r="11147" spans="2:11" hidden="1">
      <c r="B11147" s="1348"/>
      <c r="C11147" s="1348"/>
      <c r="D11147" s="1348"/>
      <c r="E11147" s="1348"/>
      <c r="F11147" s="1348"/>
      <c r="G11147" s="1348"/>
      <c r="H11147" s="1348"/>
      <c r="I11147" s="1348"/>
      <c r="J11147" s="1348"/>
      <c r="K11147" s="1348"/>
    </row>
    <row r="11148" spans="2:11" hidden="1">
      <c r="B11148" s="1348"/>
      <c r="C11148" s="1348"/>
      <c r="D11148" s="1348"/>
      <c r="E11148" s="1348"/>
      <c r="F11148" s="1348"/>
      <c r="G11148" s="1348"/>
      <c r="H11148" s="1348"/>
      <c r="I11148" s="1348"/>
      <c r="J11148" s="1348"/>
      <c r="K11148" s="1348"/>
    </row>
    <row r="11149" spans="2:11" hidden="1">
      <c r="B11149" s="1348"/>
      <c r="C11149" s="1348"/>
      <c r="D11149" s="1348"/>
      <c r="E11149" s="1348"/>
      <c r="F11149" s="1348"/>
      <c r="G11149" s="1348"/>
      <c r="H11149" s="1348"/>
      <c r="I11149" s="1348"/>
      <c r="J11149" s="1348"/>
      <c r="K11149" s="1348"/>
    </row>
    <row r="11150" spans="2:11" hidden="1">
      <c r="B11150" s="1348"/>
      <c r="C11150" s="1348"/>
      <c r="D11150" s="1348"/>
      <c r="E11150" s="1348"/>
      <c r="F11150" s="1348"/>
      <c r="G11150" s="1348"/>
      <c r="H11150" s="1348"/>
      <c r="I11150" s="1348"/>
      <c r="J11150" s="1348"/>
      <c r="K11150" s="1348"/>
    </row>
    <row r="11151" spans="2:11" hidden="1">
      <c r="B11151" s="1348"/>
      <c r="C11151" s="1348"/>
      <c r="D11151" s="1348"/>
      <c r="E11151" s="1348"/>
      <c r="F11151" s="1348"/>
      <c r="G11151" s="1348"/>
      <c r="H11151" s="1348"/>
      <c r="I11151" s="1348"/>
      <c r="J11151" s="1348"/>
      <c r="K11151" s="1348"/>
    </row>
    <row r="11152" spans="2:11" hidden="1">
      <c r="B11152" s="1348"/>
      <c r="C11152" s="1348"/>
      <c r="D11152" s="1348"/>
      <c r="E11152" s="1348"/>
      <c r="F11152" s="1348"/>
      <c r="G11152" s="1348"/>
      <c r="H11152" s="1348"/>
      <c r="I11152" s="1348"/>
      <c r="J11152" s="1348"/>
      <c r="K11152" s="1348"/>
    </row>
    <row r="11153" spans="2:11" hidden="1">
      <c r="B11153" s="1348"/>
      <c r="C11153" s="1348"/>
      <c r="D11153" s="1348"/>
      <c r="E11153" s="1348"/>
      <c r="F11153" s="1348"/>
      <c r="G11153" s="1348"/>
      <c r="H11153" s="1348"/>
      <c r="I11153" s="1348"/>
      <c r="J11153" s="1348"/>
      <c r="K11153" s="1348"/>
    </row>
    <row r="11154" spans="2:11" hidden="1">
      <c r="B11154" s="1348"/>
      <c r="C11154" s="1348"/>
      <c r="D11154" s="1348"/>
      <c r="E11154" s="1348"/>
      <c r="F11154" s="1348"/>
      <c r="G11154" s="1348"/>
      <c r="H11154" s="1348"/>
      <c r="I11154" s="1348"/>
      <c r="J11154" s="1348"/>
      <c r="K11154" s="1348"/>
    </row>
    <row r="11155" spans="2:11" hidden="1">
      <c r="B11155" s="1348"/>
      <c r="C11155" s="1348"/>
      <c r="D11155" s="1348"/>
      <c r="E11155" s="1348"/>
      <c r="F11155" s="1348"/>
      <c r="G11155" s="1348"/>
      <c r="H11155" s="1348"/>
      <c r="I11155" s="1348"/>
      <c r="J11155" s="1348"/>
      <c r="K11155" s="1348"/>
    </row>
    <row r="11156" spans="2:11" hidden="1">
      <c r="B11156" s="1348"/>
      <c r="C11156" s="1348"/>
      <c r="D11156" s="1348"/>
      <c r="E11156" s="1348"/>
      <c r="F11156" s="1348"/>
      <c r="G11156" s="1348"/>
      <c r="H11156" s="1348"/>
      <c r="I11156" s="1348"/>
      <c r="J11156" s="1348"/>
      <c r="K11156" s="1348"/>
    </row>
    <row r="11157" spans="2:11" hidden="1">
      <c r="B11157" s="1348"/>
      <c r="C11157" s="1348"/>
      <c r="D11157" s="1348"/>
      <c r="E11157" s="1348"/>
      <c r="F11157" s="1348"/>
      <c r="G11157" s="1348"/>
      <c r="H11157" s="1348"/>
      <c r="I11157" s="1348"/>
      <c r="J11157" s="1348"/>
      <c r="K11157" s="1348"/>
    </row>
    <row r="11158" spans="2:11" hidden="1">
      <c r="B11158" s="1348"/>
      <c r="C11158" s="1348"/>
      <c r="D11158" s="1348"/>
      <c r="E11158" s="1348"/>
      <c r="F11158" s="1348"/>
      <c r="G11158" s="1348"/>
      <c r="H11158" s="1348"/>
      <c r="I11158" s="1348"/>
      <c r="J11158" s="1348"/>
      <c r="K11158" s="1348"/>
    </row>
    <row r="11159" spans="2:11" hidden="1">
      <c r="B11159" s="1348"/>
      <c r="C11159" s="1348"/>
      <c r="D11159" s="1348"/>
      <c r="E11159" s="1348"/>
      <c r="F11159" s="1348"/>
      <c r="G11159" s="1348"/>
      <c r="H11159" s="1348"/>
      <c r="I11159" s="1348"/>
      <c r="J11159" s="1348"/>
      <c r="K11159" s="1348"/>
    </row>
    <row r="11160" spans="2:11" hidden="1">
      <c r="B11160" s="1348"/>
      <c r="C11160" s="1348"/>
      <c r="D11160" s="1348"/>
      <c r="E11160" s="1348"/>
      <c r="F11160" s="1348"/>
      <c r="G11160" s="1348"/>
      <c r="H11160" s="1348"/>
      <c r="I11160" s="1348"/>
      <c r="J11160" s="1348"/>
      <c r="K11160" s="1348"/>
    </row>
    <row r="11161" spans="2:11" hidden="1">
      <c r="B11161" s="1348"/>
      <c r="C11161" s="1348"/>
      <c r="D11161" s="1348"/>
      <c r="E11161" s="1348"/>
      <c r="F11161" s="1348"/>
      <c r="G11161" s="1348"/>
      <c r="H11161" s="1348"/>
      <c r="I11161" s="1348"/>
      <c r="J11161" s="1348"/>
      <c r="K11161" s="1348"/>
    </row>
    <row r="11162" spans="2:11" hidden="1">
      <c r="B11162" s="1348"/>
      <c r="C11162" s="1348"/>
      <c r="D11162" s="1348"/>
      <c r="E11162" s="1348"/>
      <c r="F11162" s="1348"/>
      <c r="G11162" s="1348"/>
      <c r="H11162" s="1348"/>
      <c r="I11162" s="1348"/>
      <c r="J11162" s="1348"/>
      <c r="K11162" s="1348"/>
    </row>
    <row r="11163" spans="2:11" hidden="1">
      <c r="B11163" s="1348"/>
      <c r="C11163" s="1348"/>
      <c r="D11163" s="1348"/>
      <c r="E11163" s="1348"/>
      <c r="F11163" s="1348"/>
      <c r="G11163" s="1348"/>
      <c r="H11163" s="1348"/>
      <c r="I11163" s="1348"/>
      <c r="J11163" s="1348"/>
      <c r="K11163" s="1348"/>
    </row>
    <row r="11164" spans="2:11" hidden="1">
      <c r="B11164" s="1348"/>
      <c r="C11164" s="1348"/>
      <c r="D11164" s="1348"/>
      <c r="E11164" s="1348"/>
      <c r="F11164" s="1348"/>
      <c r="G11164" s="1348"/>
      <c r="H11164" s="1348"/>
      <c r="I11164" s="1348"/>
      <c r="J11164" s="1348"/>
      <c r="K11164" s="1348"/>
    </row>
    <row r="11165" spans="2:11" hidden="1">
      <c r="B11165" s="1348"/>
      <c r="C11165" s="1348"/>
      <c r="D11165" s="1348"/>
      <c r="E11165" s="1348"/>
      <c r="F11165" s="1348"/>
      <c r="G11165" s="1348"/>
      <c r="H11165" s="1348"/>
      <c r="I11165" s="1348"/>
      <c r="J11165" s="1348"/>
      <c r="K11165" s="1348"/>
    </row>
    <row r="11166" spans="2:11" hidden="1">
      <c r="B11166" s="1348"/>
      <c r="C11166" s="1348"/>
      <c r="D11166" s="1348"/>
      <c r="E11166" s="1348"/>
      <c r="F11166" s="1348"/>
      <c r="G11166" s="1348"/>
      <c r="H11166" s="1348"/>
      <c r="I11166" s="1348"/>
      <c r="J11166" s="1348"/>
      <c r="K11166" s="1348"/>
    </row>
    <row r="11167" spans="2:11" hidden="1">
      <c r="B11167" s="1348"/>
      <c r="C11167" s="1348"/>
      <c r="D11167" s="1348"/>
      <c r="E11167" s="1348"/>
      <c r="F11167" s="1348"/>
      <c r="G11167" s="1348"/>
      <c r="H11167" s="1348"/>
      <c r="I11167" s="1348"/>
      <c r="J11167" s="1348"/>
      <c r="K11167" s="1348"/>
    </row>
    <row r="11168" spans="2:11" hidden="1">
      <c r="B11168" s="1348"/>
      <c r="C11168" s="1348"/>
      <c r="D11168" s="1348"/>
      <c r="E11168" s="1348"/>
      <c r="F11168" s="1348"/>
      <c r="G11168" s="1348"/>
      <c r="H11168" s="1348"/>
      <c r="I11168" s="1348"/>
      <c r="J11168" s="1348"/>
      <c r="K11168" s="1348"/>
    </row>
    <row r="11169" spans="2:11" hidden="1">
      <c r="B11169" s="1348"/>
      <c r="C11169" s="1348"/>
      <c r="D11169" s="1348"/>
      <c r="E11169" s="1348"/>
      <c r="F11169" s="1348"/>
      <c r="G11169" s="1348"/>
      <c r="H11169" s="1348"/>
      <c r="I11169" s="1348"/>
      <c r="J11169" s="1348"/>
      <c r="K11169" s="1348"/>
    </row>
    <row r="11170" spans="2:11" hidden="1">
      <c r="B11170" s="1348"/>
      <c r="C11170" s="1348"/>
      <c r="D11170" s="1348"/>
      <c r="E11170" s="1348"/>
      <c r="F11170" s="1348"/>
      <c r="G11170" s="1348"/>
      <c r="H11170" s="1348"/>
      <c r="I11170" s="1348"/>
      <c r="J11170" s="1348"/>
      <c r="K11170" s="1348"/>
    </row>
    <row r="11171" spans="2:11" hidden="1">
      <c r="B11171" s="1348"/>
      <c r="C11171" s="1348"/>
      <c r="D11171" s="1348"/>
      <c r="E11171" s="1348"/>
      <c r="F11171" s="1348"/>
      <c r="G11171" s="1348"/>
      <c r="H11171" s="1348"/>
      <c r="I11171" s="1348"/>
      <c r="J11171" s="1348"/>
      <c r="K11171" s="1348"/>
    </row>
    <row r="11172" spans="2:11" hidden="1">
      <c r="B11172" s="1348"/>
      <c r="C11172" s="1348"/>
      <c r="D11172" s="1348"/>
      <c r="E11172" s="1348"/>
      <c r="F11172" s="1348"/>
      <c r="G11172" s="1348"/>
      <c r="H11172" s="1348"/>
      <c r="I11172" s="1348"/>
      <c r="J11172" s="1348"/>
      <c r="K11172" s="1348"/>
    </row>
    <row r="11173" spans="2:11" hidden="1">
      <c r="B11173" s="1348"/>
      <c r="C11173" s="1348"/>
      <c r="D11173" s="1348"/>
      <c r="E11173" s="1348"/>
      <c r="F11173" s="1348"/>
      <c r="G11173" s="1348"/>
      <c r="H11173" s="1348"/>
      <c r="I11173" s="1348"/>
      <c r="J11173" s="1348"/>
      <c r="K11173" s="1348"/>
    </row>
    <row r="11174" spans="2:11" hidden="1">
      <c r="B11174" s="1348"/>
      <c r="C11174" s="1348"/>
      <c r="D11174" s="1348"/>
      <c r="E11174" s="1348"/>
      <c r="F11174" s="1348"/>
      <c r="G11174" s="1348"/>
      <c r="H11174" s="1348"/>
      <c r="I11174" s="1348"/>
      <c r="J11174" s="1348"/>
      <c r="K11174" s="1348"/>
    </row>
    <row r="11175" spans="2:11" hidden="1">
      <c r="B11175" s="1348"/>
      <c r="C11175" s="1348"/>
      <c r="D11175" s="1348"/>
      <c r="E11175" s="1348"/>
      <c r="F11175" s="1348"/>
      <c r="G11175" s="1348"/>
      <c r="H11175" s="1348"/>
      <c r="I11175" s="1348"/>
      <c r="J11175" s="1348"/>
      <c r="K11175" s="1348"/>
    </row>
    <row r="11176" spans="2:11" hidden="1">
      <c r="B11176" s="1348"/>
      <c r="C11176" s="1348"/>
      <c r="D11176" s="1348"/>
      <c r="E11176" s="1348"/>
      <c r="F11176" s="1348"/>
      <c r="G11176" s="1348"/>
      <c r="H11176" s="1348"/>
      <c r="I11176" s="1348"/>
      <c r="J11176" s="1348"/>
      <c r="K11176" s="1348"/>
    </row>
    <row r="11177" spans="2:11" hidden="1">
      <c r="B11177" s="1348"/>
      <c r="C11177" s="1348"/>
      <c r="D11177" s="1348"/>
      <c r="E11177" s="1348"/>
      <c r="F11177" s="1348"/>
      <c r="G11177" s="1348"/>
      <c r="H11177" s="1348"/>
      <c r="I11177" s="1348"/>
      <c r="J11177" s="1348"/>
      <c r="K11177" s="1348"/>
    </row>
    <row r="11178" spans="2:11" hidden="1">
      <c r="B11178" s="1348"/>
      <c r="C11178" s="1348"/>
      <c r="D11178" s="1348"/>
      <c r="E11178" s="1348"/>
      <c r="F11178" s="1348"/>
      <c r="G11178" s="1348"/>
      <c r="H11178" s="1348"/>
      <c r="I11178" s="1348"/>
      <c r="J11178" s="1348"/>
      <c r="K11178" s="1348"/>
    </row>
    <row r="11179" spans="2:11" hidden="1">
      <c r="B11179" s="1348"/>
      <c r="C11179" s="1348"/>
      <c r="D11179" s="1348"/>
      <c r="E11179" s="1348"/>
      <c r="F11179" s="1348"/>
      <c r="G11179" s="1348"/>
      <c r="H11179" s="1348"/>
      <c r="I11179" s="1348"/>
      <c r="J11179" s="1348"/>
      <c r="K11179" s="1348"/>
    </row>
    <row r="11180" spans="2:11" hidden="1">
      <c r="B11180" s="1348"/>
      <c r="C11180" s="1348"/>
      <c r="D11180" s="1348"/>
      <c r="E11180" s="1348"/>
      <c r="F11180" s="1348"/>
      <c r="G11180" s="1348"/>
      <c r="H11180" s="1348"/>
      <c r="I11180" s="1348"/>
      <c r="J11180" s="1348"/>
      <c r="K11180" s="1348"/>
    </row>
    <row r="11181" spans="2:11" hidden="1">
      <c r="B11181" s="1348"/>
      <c r="C11181" s="1348"/>
      <c r="D11181" s="1348"/>
      <c r="E11181" s="1348"/>
      <c r="F11181" s="1348"/>
      <c r="G11181" s="1348"/>
      <c r="H11181" s="1348"/>
      <c r="I11181" s="1348"/>
      <c r="J11181" s="1348"/>
      <c r="K11181" s="1348"/>
    </row>
    <row r="11182" spans="2:11" hidden="1">
      <c r="B11182" s="1348"/>
      <c r="C11182" s="1348"/>
      <c r="D11182" s="1348"/>
      <c r="E11182" s="1348"/>
      <c r="F11182" s="1348"/>
      <c r="G11182" s="1348"/>
      <c r="H11182" s="1348"/>
      <c r="I11182" s="1348"/>
      <c r="J11182" s="1348"/>
      <c r="K11182" s="1348"/>
    </row>
    <row r="11183" spans="2:11" hidden="1">
      <c r="B11183" s="1348"/>
      <c r="C11183" s="1348"/>
      <c r="D11183" s="1348"/>
      <c r="E11183" s="1348"/>
      <c r="F11183" s="1348"/>
      <c r="G11183" s="1348"/>
      <c r="H11183" s="1348"/>
      <c r="I11183" s="1348"/>
      <c r="J11183" s="1348"/>
      <c r="K11183" s="1348"/>
    </row>
    <row r="11184" spans="2:11" hidden="1">
      <c r="B11184" s="1348"/>
      <c r="C11184" s="1348"/>
      <c r="D11184" s="1348"/>
      <c r="E11184" s="1348"/>
      <c r="F11184" s="1348"/>
      <c r="G11184" s="1348"/>
      <c r="H11184" s="1348"/>
      <c r="I11184" s="1348"/>
      <c r="J11184" s="1348"/>
      <c r="K11184" s="1348"/>
    </row>
    <row r="11185" spans="2:11" hidden="1">
      <c r="B11185" s="1348"/>
      <c r="C11185" s="1348"/>
      <c r="D11185" s="1348"/>
      <c r="E11185" s="1348"/>
      <c r="F11185" s="1348"/>
      <c r="G11185" s="1348"/>
      <c r="H11185" s="1348"/>
      <c r="I11185" s="1348"/>
      <c r="J11185" s="1348"/>
      <c r="K11185" s="1348"/>
    </row>
    <row r="11186" spans="2:11" hidden="1">
      <c r="B11186" s="1348"/>
      <c r="C11186" s="1348"/>
      <c r="D11186" s="1348"/>
      <c r="E11186" s="1348"/>
      <c r="F11186" s="1348"/>
      <c r="G11186" s="1348"/>
      <c r="H11186" s="1348"/>
      <c r="I11186" s="1348"/>
      <c r="J11186" s="1348"/>
      <c r="K11186" s="1348"/>
    </row>
    <row r="11187" spans="2:11" hidden="1">
      <c r="B11187" s="1348"/>
      <c r="C11187" s="1348"/>
      <c r="D11187" s="1348"/>
      <c r="E11187" s="1348"/>
      <c r="F11187" s="1348"/>
      <c r="G11187" s="1348"/>
      <c r="H11187" s="1348"/>
      <c r="I11187" s="1348"/>
      <c r="J11187" s="1348"/>
      <c r="K11187" s="1348"/>
    </row>
    <row r="11188" spans="2:11" hidden="1">
      <c r="B11188" s="1348"/>
      <c r="C11188" s="1348"/>
      <c r="D11188" s="1348"/>
      <c r="E11188" s="1348"/>
      <c r="F11188" s="1348"/>
      <c r="G11188" s="1348"/>
      <c r="H11188" s="1348"/>
      <c r="I11188" s="1348"/>
      <c r="J11188" s="1348"/>
      <c r="K11188" s="1348"/>
    </row>
    <row r="11189" spans="2:11" hidden="1">
      <c r="B11189" s="1348"/>
      <c r="C11189" s="1348"/>
      <c r="D11189" s="1348"/>
      <c r="E11189" s="1348"/>
      <c r="F11189" s="1348"/>
      <c r="G11189" s="1348"/>
      <c r="H11189" s="1348"/>
      <c r="I11189" s="1348"/>
      <c r="J11189" s="1348"/>
      <c r="K11189" s="1348"/>
    </row>
    <row r="11190" spans="2:11" hidden="1">
      <c r="B11190" s="1348"/>
      <c r="C11190" s="1348"/>
      <c r="D11190" s="1348"/>
      <c r="E11190" s="1348"/>
      <c r="F11190" s="1348"/>
      <c r="G11190" s="1348"/>
      <c r="H11190" s="1348"/>
      <c r="I11190" s="1348"/>
      <c r="J11190" s="1348"/>
      <c r="K11190" s="1348"/>
    </row>
    <row r="11191" spans="2:11" hidden="1">
      <c r="B11191" s="1348"/>
      <c r="C11191" s="1348"/>
      <c r="D11191" s="1348"/>
      <c r="E11191" s="1348"/>
      <c r="F11191" s="1348"/>
      <c r="G11191" s="1348"/>
      <c r="H11191" s="1348"/>
      <c r="I11191" s="1348"/>
      <c r="J11191" s="1348"/>
      <c r="K11191" s="1348"/>
    </row>
    <row r="11192" spans="2:11" hidden="1">
      <c r="B11192" s="1348"/>
      <c r="C11192" s="1348"/>
      <c r="D11192" s="1348"/>
      <c r="E11192" s="1348"/>
      <c r="F11192" s="1348"/>
      <c r="G11192" s="1348"/>
      <c r="H11192" s="1348"/>
      <c r="I11192" s="1348"/>
      <c r="J11192" s="1348"/>
      <c r="K11192" s="1348"/>
    </row>
    <row r="11193" spans="2:11" hidden="1">
      <c r="B11193" s="1348"/>
      <c r="C11193" s="1348"/>
      <c r="D11193" s="1348"/>
      <c r="E11193" s="1348"/>
      <c r="F11193" s="1348"/>
      <c r="G11193" s="1348"/>
      <c r="H11193" s="1348"/>
      <c r="I11193" s="1348"/>
      <c r="J11193" s="1348"/>
      <c r="K11193" s="1348"/>
    </row>
    <row r="11194" spans="2:11" hidden="1">
      <c r="B11194" s="1348"/>
      <c r="C11194" s="1348"/>
      <c r="D11194" s="1348"/>
      <c r="E11194" s="1348"/>
      <c r="F11194" s="1348"/>
      <c r="G11194" s="1348"/>
      <c r="H11194" s="1348"/>
      <c r="I11194" s="1348"/>
      <c r="J11194" s="1348"/>
      <c r="K11194" s="1348"/>
    </row>
    <row r="11195" spans="2:11" hidden="1">
      <c r="B11195" s="1348"/>
      <c r="C11195" s="1348"/>
      <c r="D11195" s="1348"/>
      <c r="E11195" s="1348"/>
      <c r="F11195" s="1348"/>
      <c r="G11195" s="1348"/>
      <c r="H11195" s="1348"/>
      <c r="I11195" s="1348"/>
      <c r="J11195" s="1348"/>
      <c r="K11195" s="1348"/>
    </row>
    <row r="11196" spans="2:11" hidden="1">
      <c r="B11196" s="1348"/>
      <c r="C11196" s="1348"/>
      <c r="D11196" s="1348"/>
      <c r="E11196" s="1348"/>
      <c r="F11196" s="1348"/>
      <c r="G11196" s="1348"/>
      <c r="H11196" s="1348"/>
      <c r="I11196" s="1348"/>
      <c r="J11196" s="1348"/>
      <c r="K11196" s="1348"/>
    </row>
    <row r="11197" spans="2:11" hidden="1">
      <c r="B11197" s="1348"/>
      <c r="C11197" s="1348"/>
      <c r="D11197" s="1348"/>
      <c r="E11197" s="1348"/>
      <c r="F11197" s="1348"/>
      <c r="G11197" s="1348"/>
      <c r="H11197" s="1348"/>
      <c r="I11197" s="1348"/>
      <c r="J11197" s="1348"/>
      <c r="K11197" s="1348"/>
    </row>
    <row r="11198" spans="2:11" hidden="1">
      <c r="B11198" s="1348"/>
      <c r="C11198" s="1348"/>
      <c r="D11198" s="1348"/>
      <c r="E11198" s="1348"/>
      <c r="F11198" s="1348"/>
      <c r="G11198" s="1348"/>
      <c r="H11198" s="1348"/>
      <c r="I11198" s="1348"/>
      <c r="J11198" s="1348"/>
      <c r="K11198" s="1348"/>
    </row>
    <row r="11199" spans="2:11" hidden="1">
      <c r="B11199" s="1348"/>
      <c r="C11199" s="1348"/>
      <c r="D11199" s="1348"/>
      <c r="E11199" s="1348"/>
      <c r="F11199" s="1348"/>
      <c r="G11199" s="1348"/>
      <c r="H11199" s="1348"/>
      <c r="I11199" s="1348"/>
      <c r="J11199" s="1348"/>
      <c r="K11199" s="1348"/>
    </row>
    <row r="11200" spans="2:11" hidden="1">
      <c r="B11200" s="1348"/>
      <c r="C11200" s="1348"/>
      <c r="D11200" s="1348"/>
      <c r="E11200" s="1348"/>
      <c r="F11200" s="1348"/>
      <c r="G11200" s="1348"/>
      <c r="H11200" s="1348"/>
      <c r="I11200" s="1348"/>
      <c r="J11200" s="1348"/>
      <c r="K11200" s="1348"/>
    </row>
    <row r="11201" spans="2:11" hidden="1">
      <c r="B11201" s="1348"/>
      <c r="C11201" s="1348"/>
      <c r="D11201" s="1348"/>
      <c r="E11201" s="1348"/>
      <c r="F11201" s="1348"/>
      <c r="G11201" s="1348"/>
      <c r="H11201" s="1348"/>
      <c r="I11201" s="1348"/>
      <c r="J11201" s="1348"/>
      <c r="K11201" s="1348"/>
    </row>
    <row r="11202" spans="2:11" hidden="1">
      <c r="B11202" s="1348"/>
      <c r="C11202" s="1348"/>
      <c r="D11202" s="1348"/>
      <c r="E11202" s="1348"/>
      <c r="F11202" s="1348"/>
      <c r="G11202" s="1348"/>
      <c r="H11202" s="1348"/>
      <c r="I11202" s="1348"/>
      <c r="J11202" s="1348"/>
      <c r="K11202" s="1348"/>
    </row>
    <row r="11203" spans="2:11" hidden="1">
      <c r="B11203" s="1348"/>
      <c r="C11203" s="1348"/>
      <c r="D11203" s="1348"/>
      <c r="E11203" s="1348"/>
      <c r="F11203" s="1348"/>
      <c r="G11203" s="1348"/>
      <c r="H11203" s="1348"/>
      <c r="I11203" s="1348"/>
      <c r="J11203" s="1348"/>
      <c r="K11203" s="1348"/>
    </row>
    <row r="11204" spans="2:11" hidden="1">
      <c r="B11204" s="1348"/>
      <c r="C11204" s="1348"/>
      <c r="D11204" s="1348"/>
      <c r="E11204" s="1348"/>
      <c r="F11204" s="1348"/>
      <c r="G11204" s="1348"/>
      <c r="H11204" s="1348"/>
      <c r="I11204" s="1348"/>
      <c r="J11204" s="1348"/>
      <c r="K11204" s="1348"/>
    </row>
    <row r="11205" spans="2:11" hidden="1">
      <c r="B11205" s="1348"/>
      <c r="C11205" s="1348"/>
      <c r="D11205" s="1348"/>
      <c r="E11205" s="1348"/>
      <c r="F11205" s="1348"/>
      <c r="G11205" s="1348"/>
      <c r="H11205" s="1348"/>
      <c r="I11205" s="1348"/>
      <c r="J11205" s="1348"/>
      <c r="K11205" s="1348"/>
    </row>
    <row r="11206" spans="2:11" hidden="1">
      <c r="B11206" s="1348"/>
      <c r="C11206" s="1348"/>
      <c r="D11206" s="1348"/>
      <c r="E11206" s="1348"/>
      <c r="F11206" s="1348"/>
      <c r="G11206" s="1348"/>
      <c r="H11206" s="1348"/>
      <c r="I11206" s="1348"/>
      <c r="J11206" s="1348"/>
      <c r="K11206" s="1348"/>
    </row>
    <row r="11207" spans="2:11" hidden="1">
      <c r="B11207" s="1348"/>
      <c r="C11207" s="1348"/>
      <c r="D11207" s="1348"/>
      <c r="E11207" s="1348"/>
      <c r="F11207" s="1348"/>
      <c r="G11207" s="1348"/>
      <c r="H11207" s="1348"/>
      <c r="I11207" s="1348"/>
      <c r="J11207" s="1348"/>
      <c r="K11207" s="1348"/>
    </row>
    <row r="11208" spans="2:11" hidden="1">
      <c r="B11208" s="1348"/>
      <c r="C11208" s="1348"/>
      <c r="D11208" s="1348"/>
      <c r="E11208" s="1348"/>
      <c r="F11208" s="1348"/>
      <c r="G11208" s="1348"/>
      <c r="H11208" s="1348"/>
      <c r="I11208" s="1348"/>
      <c r="J11208" s="1348"/>
      <c r="K11208" s="1348"/>
    </row>
    <row r="11209" spans="2:11" hidden="1">
      <c r="B11209" s="1348"/>
      <c r="C11209" s="1348"/>
      <c r="D11209" s="1348"/>
      <c r="E11209" s="1348"/>
      <c r="F11209" s="1348"/>
      <c r="G11209" s="1348"/>
      <c r="H11209" s="1348"/>
      <c r="I11209" s="1348"/>
      <c r="J11209" s="1348"/>
      <c r="K11209" s="1348"/>
    </row>
    <row r="11210" spans="2:11" hidden="1">
      <c r="B11210" s="1348"/>
      <c r="C11210" s="1348"/>
      <c r="D11210" s="1348"/>
      <c r="E11210" s="1348"/>
      <c r="F11210" s="1348"/>
      <c r="G11210" s="1348"/>
      <c r="H11210" s="1348"/>
      <c r="I11210" s="1348"/>
      <c r="J11210" s="1348"/>
      <c r="K11210" s="1348"/>
    </row>
    <row r="11211" spans="2:11" hidden="1">
      <c r="B11211" s="1348"/>
      <c r="C11211" s="1348"/>
      <c r="D11211" s="1348"/>
      <c r="E11211" s="1348"/>
      <c r="F11211" s="1348"/>
      <c r="G11211" s="1348"/>
      <c r="H11211" s="1348"/>
      <c r="I11211" s="1348"/>
      <c r="J11211" s="1348"/>
      <c r="K11211" s="1348"/>
    </row>
    <row r="11212" spans="2:11" hidden="1">
      <c r="B11212" s="1348"/>
      <c r="C11212" s="1348"/>
      <c r="D11212" s="1348"/>
      <c r="E11212" s="1348"/>
      <c r="F11212" s="1348"/>
      <c r="G11212" s="1348"/>
      <c r="H11212" s="1348"/>
      <c r="I11212" s="1348"/>
      <c r="J11212" s="1348"/>
      <c r="K11212" s="1348"/>
    </row>
    <row r="11213" spans="2:11" hidden="1">
      <c r="B11213" s="1348"/>
      <c r="C11213" s="1348"/>
      <c r="D11213" s="1348"/>
      <c r="E11213" s="1348"/>
      <c r="F11213" s="1348"/>
      <c r="G11213" s="1348"/>
      <c r="H11213" s="1348"/>
      <c r="I11213" s="1348"/>
      <c r="J11213" s="1348"/>
      <c r="K11213" s="1348"/>
    </row>
    <row r="11214" spans="2:11" hidden="1">
      <c r="B11214" s="1348"/>
      <c r="C11214" s="1348"/>
      <c r="D11214" s="1348"/>
      <c r="E11214" s="1348"/>
      <c r="F11214" s="1348"/>
      <c r="G11214" s="1348"/>
      <c r="H11214" s="1348"/>
      <c r="I11214" s="1348"/>
      <c r="J11214" s="1348"/>
      <c r="K11214" s="1348"/>
    </row>
    <row r="11215" spans="2:11" hidden="1">
      <c r="B11215" s="1348"/>
      <c r="C11215" s="1348"/>
      <c r="D11215" s="1348"/>
      <c r="E11215" s="1348"/>
      <c r="F11215" s="1348"/>
      <c r="G11215" s="1348"/>
      <c r="H11215" s="1348"/>
      <c r="I11215" s="1348"/>
      <c r="J11215" s="1348"/>
      <c r="K11215" s="1348"/>
    </row>
    <row r="11216" spans="2:11" hidden="1">
      <c r="B11216" s="1348"/>
      <c r="C11216" s="1348"/>
      <c r="D11216" s="1348"/>
      <c r="E11216" s="1348"/>
      <c r="F11216" s="1348"/>
      <c r="G11216" s="1348"/>
      <c r="H11216" s="1348"/>
      <c r="I11216" s="1348"/>
      <c r="J11216" s="1348"/>
      <c r="K11216" s="1348"/>
    </row>
    <row r="11217" spans="2:11" hidden="1">
      <c r="B11217" s="1348"/>
      <c r="C11217" s="1348"/>
      <c r="D11217" s="1348"/>
      <c r="E11217" s="1348"/>
      <c r="F11217" s="1348"/>
      <c r="G11217" s="1348"/>
      <c r="H11217" s="1348"/>
      <c r="I11217" s="1348"/>
      <c r="J11217" s="1348"/>
      <c r="K11217" s="1348"/>
    </row>
    <row r="11218" spans="2:11" hidden="1">
      <c r="B11218" s="1348"/>
      <c r="C11218" s="1348"/>
      <c r="D11218" s="1348"/>
      <c r="E11218" s="1348"/>
      <c r="F11218" s="1348"/>
      <c r="G11218" s="1348"/>
      <c r="H11218" s="1348"/>
      <c r="I11218" s="1348"/>
      <c r="J11218" s="1348"/>
      <c r="K11218" s="1348"/>
    </row>
    <row r="11219" spans="2:11" hidden="1">
      <c r="B11219" s="1348"/>
      <c r="C11219" s="1348"/>
      <c r="D11219" s="1348"/>
      <c r="E11219" s="1348"/>
      <c r="F11219" s="1348"/>
      <c r="G11219" s="1348"/>
      <c r="H11219" s="1348"/>
      <c r="I11219" s="1348"/>
      <c r="J11219" s="1348"/>
      <c r="K11219" s="1348"/>
    </row>
    <row r="11220" spans="2:11" hidden="1">
      <c r="B11220" s="1348"/>
      <c r="C11220" s="1348"/>
      <c r="D11220" s="1348"/>
      <c r="E11220" s="1348"/>
      <c r="F11220" s="1348"/>
      <c r="G11220" s="1348"/>
      <c r="H11220" s="1348"/>
      <c r="I11220" s="1348"/>
      <c r="J11220" s="1348"/>
      <c r="K11220" s="1348"/>
    </row>
    <row r="11221" spans="2:11" hidden="1">
      <c r="B11221" s="1348"/>
      <c r="C11221" s="1348"/>
      <c r="D11221" s="1348"/>
      <c r="E11221" s="1348"/>
      <c r="F11221" s="1348"/>
      <c r="G11221" s="1348"/>
      <c r="H11221" s="1348"/>
      <c r="I11221" s="1348"/>
      <c r="J11221" s="1348"/>
      <c r="K11221" s="1348"/>
    </row>
    <row r="11222" spans="2:11" hidden="1">
      <c r="B11222" s="1348"/>
      <c r="C11222" s="1348"/>
      <c r="D11222" s="1348"/>
      <c r="E11222" s="1348"/>
      <c r="F11222" s="1348"/>
      <c r="G11222" s="1348"/>
      <c r="H11222" s="1348"/>
      <c r="I11222" s="1348"/>
      <c r="J11222" s="1348"/>
      <c r="K11222" s="1348"/>
    </row>
    <row r="11223" spans="2:11" hidden="1">
      <c r="B11223" s="1348"/>
      <c r="C11223" s="1348"/>
      <c r="D11223" s="1348"/>
      <c r="E11223" s="1348"/>
      <c r="F11223" s="1348"/>
      <c r="G11223" s="1348"/>
      <c r="H11223" s="1348"/>
      <c r="I11223" s="1348"/>
      <c r="J11223" s="1348"/>
      <c r="K11223" s="1348"/>
    </row>
    <row r="11224" spans="2:11" hidden="1">
      <c r="B11224" s="1348"/>
      <c r="C11224" s="1348"/>
      <c r="D11224" s="1348"/>
      <c r="E11224" s="1348"/>
      <c r="F11224" s="1348"/>
      <c r="G11224" s="1348"/>
      <c r="H11224" s="1348"/>
      <c r="I11224" s="1348"/>
      <c r="J11224" s="1348"/>
      <c r="K11224" s="1348"/>
    </row>
    <row r="11225" spans="2:11" hidden="1">
      <c r="B11225" s="1348"/>
      <c r="C11225" s="1348"/>
      <c r="D11225" s="1348"/>
      <c r="E11225" s="1348"/>
      <c r="F11225" s="1348"/>
      <c r="G11225" s="1348"/>
      <c r="H11225" s="1348"/>
      <c r="I11225" s="1348"/>
      <c r="J11225" s="1348"/>
      <c r="K11225" s="1348"/>
    </row>
    <row r="11226" spans="2:11" hidden="1">
      <c r="B11226" s="1348"/>
      <c r="C11226" s="1348"/>
      <c r="D11226" s="1348"/>
      <c r="E11226" s="1348"/>
      <c r="F11226" s="1348"/>
      <c r="G11226" s="1348"/>
      <c r="H11226" s="1348"/>
      <c r="I11226" s="1348"/>
      <c r="J11226" s="1348"/>
      <c r="K11226" s="1348"/>
    </row>
    <row r="11227" spans="2:11" hidden="1">
      <c r="B11227" s="1348"/>
      <c r="C11227" s="1348"/>
      <c r="D11227" s="1348"/>
      <c r="E11227" s="1348"/>
      <c r="F11227" s="1348"/>
      <c r="G11227" s="1348"/>
      <c r="H11227" s="1348"/>
      <c r="I11227" s="1348"/>
      <c r="J11227" s="1348"/>
      <c r="K11227" s="1348"/>
    </row>
    <row r="11228" spans="2:11" hidden="1">
      <c r="B11228" s="1348"/>
      <c r="C11228" s="1348"/>
      <c r="D11228" s="1348"/>
      <c r="E11228" s="1348"/>
      <c r="F11228" s="1348"/>
      <c r="G11228" s="1348"/>
      <c r="H11228" s="1348"/>
      <c r="I11228" s="1348"/>
      <c r="J11228" s="1348"/>
      <c r="K11228" s="1348"/>
    </row>
    <row r="11229" spans="2:11" hidden="1">
      <c r="B11229" s="1348"/>
      <c r="C11229" s="1348"/>
      <c r="D11229" s="1348"/>
      <c r="E11229" s="1348"/>
      <c r="F11229" s="1348"/>
      <c r="G11229" s="1348"/>
      <c r="H11229" s="1348"/>
      <c r="I11229" s="1348"/>
      <c r="J11229" s="1348"/>
      <c r="K11229" s="1348"/>
    </row>
    <row r="11230" spans="2:11" hidden="1">
      <c r="B11230" s="1348"/>
      <c r="C11230" s="1348"/>
      <c r="D11230" s="1348"/>
      <c r="E11230" s="1348"/>
      <c r="F11230" s="1348"/>
      <c r="G11230" s="1348"/>
      <c r="H11230" s="1348"/>
      <c r="I11230" s="1348"/>
      <c r="J11230" s="1348"/>
      <c r="K11230" s="1348"/>
    </row>
    <row r="11231" spans="2:11" hidden="1">
      <c r="B11231" s="1348"/>
      <c r="C11231" s="1348"/>
      <c r="D11231" s="1348"/>
      <c r="E11231" s="1348"/>
      <c r="F11231" s="1348"/>
      <c r="G11231" s="1348"/>
      <c r="H11231" s="1348"/>
      <c r="I11231" s="1348"/>
      <c r="J11231" s="1348"/>
      <c r="K11231" s="1348"/>
    </row>
    <row r="11232" spans="2:11" hidden="1">
      <c r="B11232" s="1348"/>
      <c r="C11232" s="1348"/>
      <c r="D11232" s="1348"/>
      <c r="E11232" s="1348"/>
      <c r="F11232" s="1348"/>
      <c r="G11232" s="1348"/>
      <c r="H11232" s="1348"/>
      <c r="I11232" s="1348"/>
      <c r="J11232" s="1348"/>
      <c r="K11232" s="1348"/>
    </row>
    <row r="11233" spans="2:11" hidden="1">
      <c r="B11233" s="1348"/>
      <c r="C11233" s="1348"/>
      <c r="D11233" s="1348"/>
      <c r="E11233" s="1348"/>
      <c r="F11233" s="1348"/>
      <c r="G11233" s="1348"/>
      <c r="H11233" s="1348"/>
      <c r="I11233" s="1348"/>
      <c r="J11233" s="1348"/>
      <c r="K11233" s="1348"/>
    </row>
    <row r="11234" spans="2:11" hidden="1">
      <c r="B11234" s="1348"/>
      <c r="C11234" s="1348"/>
      <c r="D11234" s="1348"/>
      <c r="E11234" s="1348"/>
      <c r="F11234" s="1348"/>
      <c r="G11234" s="1348"/>
      <c r="H11234" s="1348"/>
      <c r="I11234" s="1348"/>
      <c r="J11234" s="1348"/>
      <c r="K11234" s="1348"/>
    </row>
    <row r="11235" spans="2:11" hidden="1">
      <c r="B11235" s="1348"/>
      <c r="C11235" s="1348"/>
      <c r="D11235" s="1348"/>
      <c r="E11235" s="1348"/>
      <c r="F11235" s="1348"/>
      <c r="G11235" s="1348"/>
      <c r="H11235" s="1348"/>
      <c r="I11235" s="1348"/>
      <c r="J11235" s="1348"/>
      <c r="K11235" s="1348"/>
    </row>
    <row r="11236" spans="2:11" hidden="1">
      <c r="B11236" s="1348"/>
      <c r="C11236" s="1348"/>
      <c r="D11236" s="1348"/>
      <c r="E11236" s="1348"/>
      <c r="F11236" s="1348"/>
      <c r="G11236" s="1348"/>
      <c r="H11236" s="1348"/>
      <c r="I11236" s="1348"/>
      <c r="J11236" s="1348"/>
      <c r="K11236" s="1348"/>
    </row>
    <row r="11237" spans="2:11" hidden="1">
      <c r="B11237" s="1348"/>
      <c r="C11237" s="1348"/>
      <c r="D11237" s="1348"/>
      <c r="E11237" s="1348"/>
      <c r="F11237" s="1348"/>
      <c r="G11237" s="1348"/>
      <c r="H11237" s="1348"/>
      <c r="I11237" s="1348"/>
      <c r="J11237" s="1348"/>
      <c r="K11237" s="1348"/>
    </row>
    <row r="11238" spans="2:11" hidden="1">
      <c r="B11238" s="1348"/>
      <c r="C11238" s="1348"/>
      <c r="D11238" s="1348"/>
      <c r="E11238" s="1348"/>
      <c r="F11238" s="1348"/>
      <c r="G11238" s="1348"/>
      <c r="H11238" s="1348"/>
      <c r="I11238" s="1348"/>
      <c r="J11238" s="1348"/>
      <c r="K11238" s="1348"/>
    </row>
    <row r="11239" spans="2:11" hidden="1">
      <c r="B11239" s="1348"/>
      <c r="C11239" s="1348"/>
      <c r="D11239" s="1348"/>
      <c r="E11239" s="1348"/>
      <c r="F11239" s="1348"/>
      <c r="G11239" s="1348"/>
      <c r="H11239" s="1348"/>
      <c r="I11239" s="1348"/>
      <c r="J11239" s="1348"/>
      <c r="K11239" s="1348"/>
    </row>
    <row r="11240" spans="2:11" hidden="1">
      <c r="B11240" s="1348"/>
      <c r="C11240" s="1348"/>
      <c r="D11240" s="1348"/>
      <c r="E11240" s="1348"/>
      <c r="F11240" s="1348"/>
      <c r="G11240" s="1348"/>
      <c r="H11240" s="1348"/>
      <c r="I11240" s="1348"/>
      <c r="J11240" s="1348"/>
      <c r="K11240" s="1348"/>
    </row>
    <row r="11241" spans="2:11" hidden="1">
      <c r="B11241" s="1348"/>
      <c r="C11241" s="1348"/>
      <c r="D11241" s="1348"/>
      <c r="E11241" s="1348"/>
      <c r="F11241" s="1348"/>
      <c r="G11241" s="1348"/>
      <c r="H11241" s="1348"/>
      <c r="I11241" s="1348"/>
      <c r="J11241" s="1348"/>
      <c r="K11241" s="1348"/>
    </row>
    <row r="11242" spans="2:11" hidden="1">
      <c r="B11242" s="1348"/>
      <c r="C11242" s="1348"/>
      <c r="D11242" s="1348"/>
      <c r="E11242" s="1348"/>
      <c r="F11242" s="1348"/>
      <c r="G11242" s="1348"/>
      <c r="H11242" s="1348"/>
      <c r="I11242" s="1348"/>
      <c r="J11242" s="1348"/>
      <c r="K11242" s="1348"/>
    </row>
    <row r="11243" spans="2:11" hidden="1">
      <c r="B11243" s="1348"/>
      <c r="C11243" s="1348"/>
      <c r="D11243" s="1348"/>
      <c r="E11243" s="1348"/>
      <c r="F11243" s="1348"/>
      <c r="G11243" s="1348"/>
      <c r="H11243" s="1348"/>
      <c r="I11243" s="1348"/>
      <c r="J11243" s="1348"/>
      <c r="K11243" s="1348"/>
    </row>
    <row r="11244" spans="2:11" hidden="1">
      <c r="B11244" s="1348"/>
      <c r="C11244" s="1348"/>
      <c r="D11244" s="1348"/>
      <c r="E11244" s="1348"/>
      <c r="F11244" s="1348"/>
      <c r="G11244" s="1348"/>
      <c r="H11244" s="1348"/>
      <c r="I11244" s="1348"/>
      <c r="J11244" s="1348"/>
      <c r="K11244" s="1348"/>
    </row>
    <row r="11245" spans="2:11" hidden="1">
      <c r="B11245" s="1348"/>
      <c r="C11245" s="1348"/>
      <c r="D11245" s="1348"/>
      <c r="E11245" s="1348"/>
      <c r="F11245" s="1348"/>
      <c r="G11245" s="1348"/>
      <c r="H11245" s="1348"/>
      <c r="I11245" s="1348"/>
      <c r="J11245" s="1348"/>
      <c r="K11245" s="1348"/>
    </row>
    <row r="11246" spans="2:11" hidden="1">
      <c r="B11246" s="1348"/>
      <c r="C11246" s="1348"/>
      <c r="D11246" s="1348"/>
      <c r="E11246" s="1348"/>
      <c r="F11246" s="1348"/>
      <c r="G11246" s="1348"/>
      <c r="H11246" s="1348"/>
      <c r="I11246" s="1348"/>
      <c r="J11246" s="1348"/>
      <c r="K11246" s="1348"/>
    </row>
    <row r="11247" spans="2:11" hidden="1">
      <c r="B11247" s="1348"/>
      <c r="C11247" s="1348"/>
      <c r="D11247" s="1348"/>
      <c r="E11247" s="1348"/>
      <c r="F11247" s="1348"/>
      <c r="G11247" s="1348"/>
      <c r="H11247" s="1348"/>
      <c r="I11247" s="1348"/>
      <c r="J11247" s="1348"/>
      <c r="K11247" s="1348"/>
    </row>
    <row r="11248" spans="2:11" hidden="1">
      <c r="B11248" s="1348"/>
      <c r="C11248" s="1348"/>
      <c r="D11248" s="1348"/>
      <c r="E11248" s="1348"/>
      <c r="F11248" s="1348"/>
      <c r="G11248" s="1348"/>
      <c r="H11248" s="1348"/>
      <c r="I11248" s="1348"/>
      <c r="J11248" s="1348"/>
      <c r="K11248" s="1348"/>
    </row>
    <row r="11249" spans="2:11" hidden="1">
      <c r="B11249" s="1348"/>
      <c r="C11249" s="1348"/>
      <c r="D11249" s="1348"/>
      <c r="E11249" s="1348"/>
      <c r="F11249" s="1348"/>
      <c r="G11249" s="1348"/>
      <c r="H11249" s="1348"/>
      <c r="I11249" s="1348"/>
      <c r="J11249" s="1348"/>
      <c r="K11249" s="1348"/>
    </row>
    <row r="11250" spans="2:11" hidden="1">
      <c r="B11250" s="1348"/>
      <c r="C11250" s="1348"/>
      <c r="D11250" s="1348"/>
      <c r="E11250" s="1348"/>
      <c r="F11250" s="1348"/>
      <c r="G11250" s="1348"/>
      <c r="H11250" s="1348"/>
      <c r="I11250" s="1348"/>
      <c r="J11250" s="1348"/>
      <c r="K11250" s="1348"/>
    </row>
    <row r="11251" spans="2:11" hidden="1">
      <c r="B11251" s="1348"/>
      <c r="C11251" s="1348"/>
      <c r="D11251" s="1348"/>
      <c r="E11251" s="1348"/>
      <c r="F11251" s="1348"/>
      <c r="G11251" s="1348"/>
      <c r="H11251" s="1348"/>
      <c r="I11251" s="1348"/>
      <c r="J11251" s="1348"/>
      <c r="K11251" s="1348"/>
    </row>
    <row r="11252" spans="2:11" hidden="1">
      <c r="B11252" s="1348"/>
      <c r="C11252" s="1348"/>
      <c r="D11252" s="1348"/>
      <c r="E11252" s="1348"/>
      <c r="F11252" s="1348"/>
      <c r="G11252" s="1348"/>
      <c r="H11252" s="1348"/>
      <c r="I11252" s="1348"/>
      <c r="J11252" s="1348"/>
      <c r="K11252" s="1348"/>
    </row>
    <row r="11253" spans="2:11" hidden="1">
      <c r="B11253" s="1348"/>
      <c r="C11253" s="1348"/>
      <c r="D11253" s="1348"/>
      <c r="E11253" s="1348"/>
      <c r="F11253" s="1348"/>
      <c r="G11253" s="1348"/>
      <c r="H11253" s="1348"/>
      <c r="I11253" s="1348"/>
      <c r="J11253" s="1348"/>
      <c r="K11253" s="1348"/>
    </row>
    <row r="11254" spans="2:11" hidden="1">
      <c r="B11254" s="1348"/>
      <c r="C11254" s="1348"/>
      <c r="D11254" s="1348"/>
      <c r="E11254" s="1348"/>
      <c r="F11254" s="1348"/>
      <c r="G11254" s="1348"/>
      <c r="H11254" s="1348"/>
      <c r="I11254" s="1348"/>
      <c r="J11254" s="1348"/>
      <c r="K11254" s="1348"/>
    </row>
    <row r="11255" spans="2:11" hidden="1">
      <c r="B11255" s="1348"/>
      <c r="C11255" s="1348"/>
      <c r="D11255" s="1348"/>
      <c r="E11255" s="1348"/>
      <c r="F11255" s="1348"/>
      <c r="G11255" s="1348"/>
      <c r="H11255" s="1348"/>
      <c r="I11255" s="1348"/>
      <c r="J11255" s="1348"/>
      <c r="K11255" s="1348"/>
    </row>
    <row r="11256" spans="2:11" hidden="1">
      <c r="B11256" s="1348"/>
      <c r="C11256" s="1348"/>
      <c r="D11256" s="1348"/>
      <c r="E11256" s="1348"/>
      <c r="F11256" s="1348"/>
      <c r="G11256" s="1348"/>
      <c r="H11256" s="1348"/>
      <c r="I11256" s="1348"/>
      <c r="J11256" s="1348"/>
      <c r="K11256" s="1348"/>
    </row>
    <row r="11257" spans="2:11" hidden="1">
      <c r="B11257" s="1348"/>
      <c r="C11257" s="1348"/>
      <c r="D11257" s="1348"/>
      <c r="E11257" s="1348"/>
      <c r="F11257" s="1348"/>
      <c r="G11257" s="1348"/>
      <c r="H11257" s="1348"/>
      <c r="I11257" s="1348"/>
      <c r="J11257" s="1348"/>
      <c r="K11257" s="1348"/>
    </row>
    <row r="11258" spans="2:11" hidden="1">
      <c r="B11258" s="1348"/>
      <c r="C11258" s="1348"/>
      <c r="D11258" s="1348"/>
      <c r="E11258" s="1348"/>
      <c r="F11258" s="1348"/>
      <c r="G11258" s="1348"/>
      <c r="H11258" s="1348"/>
      <c r="I11258" s="1348"/>
      <c r="J11258" s="1348"/>
      <c r="K11258" s="1348"/>
    </row>
    <row r="11259" spans="2:11" hidden="1">
      <c r="B11259" s="1348"/>
      <c r="C11259" s="1348"/>
      <c r="D11259" s="1348"/>
      <c r="E11259" s="1348"/>
      <c r="F11259" s="1348"/>
      <c r="G11259" s="1348"/>
      <c r="H11259" s="1348"/>
      <c r="I11259" s="1348"/>
      <c r="J11259" s="1348"/>
      <c r="K11259" s="1348"/>
    </row>
    <row r="11260" spans="2:11" hidden="1">
      <c r="B11260" s="1348"/>
      <c r="C11260" s="1348"/>
      <c r="D11260" s="1348"/>
      <c r="E11260" s="1348"/>
      <c r="F11260" s="1348"/>
      <c r="G11260" s="1348"/>
      <c r="H11260" s="1348"/>
      <c r="I11260" s="1348"/>
      <c r="J11260" s="1348"/>
      <c r="K11260" s="1348"/>
    </row>
    <row r="11261" spans="2:11" hidden="1">
      <c r="B11261" s="1348"/>
      <c r="C11261" s="1348"/>
      <c r="D11261" s="1348"/>
      <c r="E11261" s="1348"/>
      <c r="F11261" s="1348"/>
      <c r="G11261" s="1348"/>
      <c r="H11261" s="1348"/>
      <c r="I11261" s="1348"/>
      <c r="J11261" s="1348"/>
      <c r="K11261" s="1348"/>
    </row>
    <row r="11262" spans="2:11" hidden="1">
      <c r="B11262" s="1348"/>
      <c r="C11262" s="1348"/>
      <c r="D11262" s="1348"/>
      <c r="E11262" s="1348"/>
      <c r="F11262" s="1348"/>
      <c r="G11262" s="1348"/>
      <c r="H11262" s="1348"/>
      <c r="I11262" s="1348"/>
      <c r="J11262" s="1348"/>
      <c r="K11262" s="1348"/>
    </row>
    <row r="11263" spans="2:11" hidden="1">
      <c r="B11263" s="1348"/>
      <c r="C11263" s="1348"/>
      <c r="D11263" s="1348"/>
      <c r="E11263" s="1348"/>
      <c r="F11263" s="1348"/>
      <c r="G11263" s="1348"/>
      <c r="H11263" s="1348"/>
      <c r="I11263" s="1348"/>
      <c r="J11263" s="1348"/>
      <c r="K11263" s="1348"/>
    </row>
    <row r="11264" spans="2:11" hidden="1">
      <c r="B11264" s="1348"/>
      <c r="C11264" s="1348"/>
      <c r="D11264" s="1348"/>
      <c r="E11264" s="1348"/>
      <c r="F11264" s="1348"/>
      <c r="G11264" s="1348"/>
      <c r="H11264" s="1348"/>
      <c r="I11264" s="1348"/>
      <c r="J11264" s="1348"/>
      <c r="K11264" s="1348"/>
    </row>
    <row r="11265" spans="2:11" hidden="1">
      <c r="B11265" s="1348"/>
      <c r="C11265" s="1348"/>
      <c r="D11265" s="1348"/>
      <c r="E11265" s="1348"/>
      <c r="F11265" s="1348"/>
      <c r="G11265" s="1348"/>
      <c r="H11265" s="1348"/>
      <c r="I11265" s="1348"/>
      <c r="J11265" s="1348"/>
      <c r="K11265" s="1348"/>
    </row>
    <row r="11266" spans="2:11" hidden="1">
      <c r="B11266" s="1348"/>
      <c r="C11266" s="1348"/>
      <c r="D11266" s="1348"/>
      <c r="E11266" s="1348"/>
      <c r="F11266" s="1348"/>
      <c r="G11266" s="1348"/>
      <c r="H11266" s="1348"/>
      <c r="I11266" s="1348"/>
      <c r="J11266" s="1348"/>
      <c r="K11266" s="1348"/>
    </row>
    <row r="11267" spans="2:11" hidden="1">
      <c r="B11267" s="1348"/>
      <c r="C11267" s="1348"/>
      <c r="D11267" s="1348"/>
      <c r="E11267" s="1348"/>
      <c r="F11267" s="1348"/>
      <c r="G11267" s="1348"/>
      <c r="H11267" s="1348"/>
      <c r="I11267" s="1348"/>
      <c r="J11267" s="1348"/>
      <c r="K11267" s="1348"/>
    </row>
    <row r="11268" spans="2:11" hidden="1">
      <c r="B11268" s="1348"/>
      <c r="C11268" s="1348"/>
      <c r="D11268" s="1348"/>
      <c r="E11268" s="1348"/>
      <c r="F11268" s="1348"/>
      <c r="G11268" s="1348"/>
      <c r="H11268" s="1348"/>
      <c r="I11268" s="1348"/>
      <c r="J11268" s="1348"/>
      <c r="K11268" s="1348"/>
    </row>
    <row r="11269" spans="2:11" hidden="1">
      <c r="B11269" s="1348"/>
      <c r="C11269" s="1348"/>
      <c r="D11269" s="1348"/>
      <c r="E11269" s="1348"/>
      <c r="F11269" s="1348"/>
      <c r="G11269" s="1348"/>
      <c r="H11269" s="1348"/>
      <c r="I11269" s="1348"/>
      <c r="J11269" s="1348"/>
      <c r="K11269" s="1348"/>
    </row>
    <row r="11270" spans="2:11" hidden="1">
      <c r="B11270" s="1348"/>
      <c r="C11270" s="1348"/>
      <c r="D11270" s="1348"/>
      <c r="E11270" s="1348"/>
      <c r="F11270" s="1348"/>
      <c r="G11270" s="1348"/>
      <c r="H11270" s="1348"/>
      <c r="I11270" s="1348"/>
      <c r="J11270" s="1348"/>
      <c r="K11270" s="1348"/>
    </row>
    <row r="11271" spans="2:11" hidden="1">
      <c r="B11271" s="1348"/>
      <c r="C11271" s="1348"/>
      <c r="D11271" s="1348"/>
      <c r="E11271" s="1348"/>
      <c r="F11271" s="1348"/>
      <c r="G11271" s="1348"/>
      <c r="H11271" s="1348"/>
      <c r="I11271" s="1348"/>
      <c r="J11271" s="1348"/>
      <c r="K11271" s="1348"/>
    </row>
    <row r="11272" spans="2:11" hidden="1">
      <c r="B11272" s="1348"/>
      <c r="C11272" s="1348"/>
      <c r="D11272" s="1348"/>
      <c r="E11272" s="1348"/>
      <c r="F11272" s="1348"/>
      <c r="G11272" s="1348"/>
      <c r="H11272" s="1348"/>
      <c r="I11272" s="1348"/>
      <c r="J11272" s="1348"/>
      <c r="K11272" s="1348"/>
    </row>
    <row r="11273" spans="2:11" hidden="1">
      <c r="B11273" s="1348"/>
      <c r="C11273" s="1348"/>
      <c r="D11273" s="1348"/>
      <c r="E11273" s="1348"/>
      <c r="F11273" s="1348"/>
      <c r="G11273" s="1348"/>
      <c r="H11273" s="1348"/>
      <c r="I11273" s="1348"/>
      <c r="J11273" s="1348"/>
      <c r="K11273" s="1348"/>
    </row>
    <row r="11274" spans="2:11" hidden="1">
      <c r="B11274" s="1348"/>
      <c r="C11274" s="1348"/>
      <c r="D11274" s="1348"/>
      <c r="E11274" s="1348"/>
      <c r="F11274" s="1348"/>
      <c r="G11274" s="1348"/>
      <c r="H11274" s="1348"/>
      <c r="I11274" s="1348"/>
      <c r="J11274" s="1348"/>
      <c r="K11274" s="1348"/>
    </row>
    <row r="11275" spans="2:11" hidden="1">
      <c r="B11275" s="1348"/>
      <c r="C11275" s="1348"/>
      <c r="D11275" s="1348"/>
      <c r="E11275" s="1348"/>
      <c r="F11275" s="1348"/>
      <c r="G11275" s="1348"/>
      <c r="H11275" s="1348"/>
      <c r="I11275" s="1348"/>
      <c r="J11275" s="1348"/>
      <c r="K11275" s="1348"/>
    </row>
    <row r="11276" spans="2:11" hidden="1">
      <c r="B11276" s="1348"/>
      <c r="C11276" s="1348"/>
      <c r="D11276" s="1348"/>
      <c r="E11276" s="1348"/>
      <c r="F11276" s="1348"/>
      <c r="G11276" s="1348"/>
      <c r="H11276" s="1348"/>
      <c r="I11276" s="1348"/>
      <c r="J11276" s="1348"/>
      <c r="K11276" s="1348"/>
    </row>
    <row r="11277" spans="2:11" hidden="1">
      <c r="B11277" s="1348"/>
      <c r="C11277" s="1348"/>
      <c r="D11277" s="1348"/>
      <c r="E11277" s="1348"/>
      <c r="F11277" s="1348"/>
      <c r="G11277" s="1348"/>
      <c r="H11277" s="1348"/>
      <c r="I11277" s="1348"/>
      <c r="J11277" s="1348"/>
      <c r="K11277" s="1348"/>
    </row>
    <row r="11278" spans="2:11" hidden="1">
      <c r="B11278" s="1348"/>
      <c r="C11278" s="1348"/>
      <c r="D11278" s="1348"/>
      <c r="E11278" s="1348"/>
      <c r="F11278" s="1348"/>
      <c r="G11278" s="1348"/>
      <c r="H11278" s="1348"/>
      <c r="I11278" s="1348"/>
      <c r="J11278" s="1348"/>
      <c r="K11278" s="1348"/>
    </row>
    <row r="11279" spans="2:11" hidden="1">
      <c r="B11279" s="1348"/>
      <c r="C11279" s="1348"/>
      <c r="D11279" s="1348"/>
      <c r="E11279" s="1348"/>
      <c r="F11279" s="1348"/>
      <c r="G11279" s="1348"/>
      <c r="H11279" s="1348"/>
      <c r="I11279" s="1348"/>
      <c r="J11279" s="1348"/>
      <c r="K11279" s="1348"/>
    </row>
    <row r="11280" spans="2:11" hidden="1">
      <c r="B11280" s="1348"/>
      <c r="C11280" s="1348"/>
      <c r="D11280" s="1348"/>
      <c r="E11280" s="1348"/>
      <c r="F11280" s="1348"/>
      <c r="G11280" s="1348"/>
      <c r="H11280" s="1348"/>
      <c r="I11280" s="1348"/>
      <c r="J11280" s="1348"/>
      <c r="K11280" s="1348"/>
    </row>
    <row r="11281" spans="2:11" hidden="1">
      <c r="B11281" s="1348"/>
      <c r="C11281" s="1348"/>
      <c r="D11281" s="1348"/>
      <c r="E11281" s="1348"/>
      <c r="F11281" s="1348"/>
      <c r="G11281" s="1348"/>
      <c r="H11281" s="1348"/>
      <c r="I11281" s="1348"/>
      <c r="J11281" s="1348"/>
      <c r="K11281" s="1348"/>
    </row>
    <row r="11282" spans="2:11" hidden="1">
      <c r="B11282" s="1348"/>
      <c r="C11282" s="1348"/>
      <c r="D11282" s="1348"/>
      <c r="E11282" s="1348"/>
      <c r="F11282" s="1348"/>
      <c r="G11282" s="1348"/>
      <c r="H11282" s="1348"/>
      <c r="I11282" s="1348"/>
      <c r="J11282" s="1348"/>
      <c r="K11282" s="1348"/>
    </row>
    <row r="11283" spans="2:11" hidden="1">
      <c r="B11283" s="1348"/>
      <c r="C11283" s="1348"/>
      <c r="D11283" s="1348"/>
      <c r="E11283" s="1348"/>
      <c r="F11283" s="1348"/>
      <c r="G11283" s="1348"/>
      <c r="H11283" s="1348"/>
      <c r="I11283" s="1348"/>
      <c r="J11283" s="1348"/>
      <c r="K11283" s="1348"/>
    </row>
    <row r="11284" spans="2:11" hidden="1">
      <c r="B11284" s="1348"/>
      <c r="C11284" s="1348"/>
      <c r="D11284" s="1348"/>
      <c r="E11284" s="1348"/>
      <c r="F11284" s="1348"/>
      <c r="G11284" s="1348"/>
      <c r="H11284" s="1348"/>
      <c r="I11284" s="1348"/>
      <c r="J11284" s="1348"/>
      <c r="K11284" s="1348"/>
    </row>
    <row r="11285" spans="2:11" hidden="1">
      <c r="B11285" s="1348"/>
      <c r="C11285" s="1348"/>
      <c r="D11285" s="1348"/>
      <c r="E11285" s="1348"/>
      <c r="F11285" s="1348"/>
      <c r="G11285" s="1348"/>
      <c r="H11285" s="1348"/>
      <c r="I11285" s="1348"/>
      <c r="J11285" s="1348"/>
      <c r="K11285" s="1348"/>
    </row>
    <row r="11286" spans="2:11" hidden="1">
      <c r="B11286" s="1348"/>
      <c r="C11286" s="1348"/>
      <c r="D11286" s="1348"/>
      <c r="E11286" s="1348"/>
      <c r="F11286" s="1348"/>
      <c r="G11286" s="1348"/>
      <c r="H11286" s="1348"/>
      <c r="I11286" s="1348"/>
      <c r="J11286" s="1348"/>
      <c r="K11286" s="1348"/>
    </row>
    <row r="11287" spans="2:11" hidden="1">
      <c r="B11287" s="1348"/>
      <c r="C11287" s="1348"/>
      <c r="D11287" s="1348"/>
      <c r="E11287" s="1348"/>
      <c r="F11287" s="1348"/>
      <c r="G11287" s="1348"/>
      <c r="H11287" s="1348"/>
      <c r="I11287" s="1348"/>
      <c r="J11287" s="1348"/>
      <c r="K11287" s="1348"/>
    </row>
    <row r="11288" spans="2:11" hidden="1">
      <c r="B11288" s="1348"/>
      <c r="C11288" s="1348"/>
      <c r="D11288" s="1348"/>
      <c r="E11288" s="1348"/>
      <c r="F11288" s="1348"/>
      <c r="G11288" s="1348"/>
      <c r="H11288" s="1348"/>
      <c r="I11288" s="1348"/>
      <c r="J11288" s="1348"/>
      <c r="K11288" s="1348"/>
    </row>
    <row r="11289" spans="2:11" hidden="1">
      <c r="B11289" s="1348"/>
      <c r="C11289" s="1348"/>
      <c r="D11289" s="1348"/>
      <c r="E11289" s="1348"/>
      <c r="F11289" s="1348"/>
      <c r="G11289" s="1348"/>
      <c r="H11289" s="1348"/>
      <c r="I11289" s="1348"/>
      <c r="J11289" s="1348"/>
      <c r="K11289" s="1348"/>
    </row>
    <row r="11290" spans="2:11" hidden="1">
      <c r="B11290" s="1348"/>
      <c r="C11290" s="1348"/>
      <c r="D11290" s="1348"/>
      <c r="E11290" s="1348"/>
      <c r="F11290" s="1348"/>
      <c r="G11290" s="1348"/>
      <c r="H11290" s="1348"/>
      <c r="I11290" s="1348"/>
      <c r="J11290" s="1348"/>
      <c r="K11290" s="1348"/>
    </row>
    <row r="11291" spans="2:11" hidden="1">
      <c r="B11291" s="1348"/>
      <c r="C11291" s="1348"/>
      <c r="D11291" s="1348"/>
      <c r="E11291" s="1348"/>
      <c r="F11291" s="1348"/>
      <c r="G11291" s="1348"/>
      <c r="H11291" s="1348"/>
      <c r="I11291" s="1348"/>
      <c r="J11291" s="1348"/>
      <c r="K11291" s="1348"/>
    </row>
    <row r="11292" spans="2:11" hidden="1">
      <c r="B11292" s="1348"/>
      <c r="C11292" s="1348"/>
      <c r="D11292" s="1348"/>
      <c r="E11292" s="1348"/>
      <c r="F11292" s="1348"/>
      <c r="G11292" s="1348"/>
      <c r="H11292" s="1348"/>
      <c r="I11292" s="1348"/>
      <c r="J11292" s="1348"/>
      <c r="K11292" s="1348"/>
    </row>
    <row r="11293" spans="2:11" hidden="1">
      <c r="B11293" s="1348"/>
      <c r="C11293" s="1348"/>
      <c r="D11293" s="1348"/>
      <c r="E11293" s="1348"/>
      <c r="F11293" s="1348"/>
      <c r="G11293" s="1348"/>
      <c r="H11293" s="1348"/>
      <c r="I11293" s="1348"/>
      <c r="J11293" s="1348"/>
      <c r="K11293" s="1348"/>
    </row>
    <row r="11294" spans="2:11" hidden="1">
      <c r="B11294" s="1348"/>
      <c r="C11294" s="1348"/>
      <c r="D11294" s="1348"/>
      <c r="E11294" s="1348"/>
      <c r="F11294" s="1348"/>
      <c r="G11294" s="1348"/>
      <c r="H11294" s="1348"/>
      <c r="I11294" s="1348"/>
      <c r="J11294" s="1348"/>
      <c r="K11294" s="1348"/>
    </row>
    <row r="11295" spans="2:11" hidden="1">
      <c r="B11295" s="1348"/>
      <c r="C11295" s="1348"/>
      <c r="D11295" s="1348"/>
      <c r="E11295" s="1348"/>
      <c r="F11295" s="1348"/>
      <c r="G11295" s="1348"/>
      <c r="H11295" s="1348"/>
      <c r="I11295" s="1348"/>
      <c r="J11295" s="1348"/>
      <c r="K11295" s="1348"/>
    </row>
    <row r="11296" spans="2:11" hidden="1">
      <c r="B11296" s="1348"/>
      <c r="C11296" s="1348"/>
      <c r="D11296" s="1348"/>
      <c r="E11296" s="1348"/>
      <c r="F11296" s="1348"/>
      <c r="G11296" s="1348"/>
      <c r="H11296" s="1348"/>
      <c r="I11296" s="1348"/>
      <c r="J11296" s="1348"/>
      <c r="K11296" s="1348"/>
    </row>
    <row r="11297" spans="2:11" hidden="1">
      <c r="B11297" s="1348"/>
      <c r="C11297" s="1348"/>
      <c r="D11297" s="1348"/>
      <c r="E11297" s="1348"/>
      <c r="F11297" s="1348"/>
      <c r="G11297" s="1348"/>
      <c r="H11297" s="1348"/>
      <c r="I11297" s="1348"/>
      <c r="J11297" s="1348"/>
      <c r="K11297" s="1348"/>
    </row>
    <row r="11298" spans="2:11" hidden="1">
      <c r="B11298" s="1348"/>
      <c r="C11298" s="1348"/>
      <c r="D11298" s="1348"/>
      <c r="E11298" s="1348"/>
      <c r="F11298" s="1348"/>
      <c r="G11298" s="1348"/>
      <c r="H11298" s="1348"/>
      <c r="I11298" s="1348"/>
      <c r="J11298" s="1348"/>
      <c r="K11298" s="1348"/>
    </row>
    <row r="11299" spans="2:11" hidden="1">
      <c r="B11299" s="1348"/>
      <c r="C11299" s="1348"/>
      <c r="D11299" s="1348"/>
      <c r="E11299" s="1348"/>
      <c r="F11299" s="1348"/>
      <c r="G11299" s="1348"/>
      <c r="H11299" s="1348"/>
      <c r="I11299" s="1348"/>
      <c r="J11299" s="1348"/>
      <c r="K11299" s="1348"/>
    </row>
    <row r="11300" spans="2:11" hidden="1">
      <c r="B11300" s="1348"/>
      <c r="C11300" s="1348"/>
      <c r="D11300" s="1348"/>
      <c r="E11300" s="1348"/>
      <c r="F11300" s="1348"/>
      <c r="G11300" s="1348"/>
      <c r="H11300" s="1348"/>
      <c r="I11300" s="1348"/>
      <c r="J11300" s="1348"/>
      <c r="K11300" s="1348"/>
    </row>
    <row r="11301" spans="2:11" hidden="1">
      <c r="B11301" s="1348"/>
      <c r="C11301" s="1348"/>
      <c r="D11301" s="1348"/>
      <c r="E11301" s="1348"/>
      <c r="F11301" s="1348"/>
      <c r="G11301" s="1348"/>
      <c r="H11301" s="1348"/>
      <c r="I11301" s="1348"/>
      <c r="J11301" s="1348"/>
      <c r="K11301" s="1348"/>
    </row>
    <row r="11302" spans="2:11" hidden="1">
      <c r="B11302" s="1348"/>
      <c r="C11302" s="1348"/>
      <c r="D11302" s="1348"/>
      <c r="E11302" s="1348"/>
      <c r="F11302" s="1348"/>
      <c r="G11302" s="1348"/>
      <c r="H11302" s="1348"/>
      <c r="I11302" s="1348"/>
      <c r="J11302" s="1348"/>
      <c r="K11302" s="1348"/>
    </row>
    <row r="11303" spans="2:11" hidden="1">
      <c r="B11303" s="1348"/>
      <c r="C11303" s="1348"/>
      <c r="D11303" s="1348"/>
      <c r="E11303" s="1348"/>
      <c r="F11303" s="1348"/>
      <c r="G11303" s="1348"/>
      <c r="H11303" s="1348"/>
      <c r="I11303" s="1348"/>
      <c r="J11303" s="1348"/>
      <c r="K11303" s="1348"/>
    </row>
    <row r="11304" spans="2:11" hidden="1">
      <c r="B11304" s="1348"/>
      <c r="C11304" s="1348"/>
      <c r="D11304" s="1348"/>
      <c r="E11304" s="1348"/>
      <c r="F11304" s="1348"/>
      <c r="G11304" s="1348"/>
      <c r="H11304" s="1348"/>
      <c r="I11304" s="1348"/>
      <c r="J11304" s="1348"/>
      <c r="K11304" s="1348"/>
    </row>
    <row r="11305" spans="2:11" hidden="1">
      <c r="B11305" s="1348"/>
      <c r="C11305" s="1348"/>
      <c r="D11305" s="1348"/>
      <c r="E11305" s="1348"/>
      <c r="F11305" s="1348"/>
      <c r="G11305" s="1348"/>
      <c r="H11305" s="1348"/>
      <c r="I11305" s="1348"/>
      <c r="J11305" s="1348"/>
      <c r="K11305" s="1348"/>
    </row>
    <row r="11306" spans="2:11" hidden="1">
      <c r="B11306" s="1348"/>
      <c r="C11306" s="1348"/>
      <c r="D11306" s="1348"/>
      <c r="E11306" s="1348"/>
      <c r="F11306" s="1348"/>
      <c r="G11306" s="1348"/>
      <c r="H11306" s="1348"/>
      <c r="I11306" s="1348"/>
      <c r="J11306" s="1348"/>
      <c r="K11306" s="1348"/>
    </row>
    <row r="11307" spans="2:11" hidden="1">
      <c r="B11307" s="1348"/>
      <c r="C11307" s="1348"/>
      <c r="D11307" s="1348"/>
      <c r="E11307" s="1348"/>
      <c r="F11307" s="1348"/>
      <c r="G11307" s="1348"/>
      <c r="H11307" s="1348"/>
      <c r="I11307" s="1348"/>
      <c r="J11307" s="1348"/>
      <c r="K11307" s="1348"/>
    </row>
    <row r="11308" spans="2:11" hidden="1">
      <c r="B11308" s="1348"/>
      <c r="C11308" s="1348"/>
      <c r="D11308" s="1348"/>
      <c r="E11308" s="1348"/>
      <c r="F11308" s="1348"/>
      <c r="G11308" s="1348"/>
      <c r="H11308" s="1348"/>
      <c r="I11308" s="1348"/>
      <c r="J11308" s="1348"/>
      <c r="K11308" s="1348"/>
    </row>
    <row r="11309" spans="2:11" hidden="1">
      <c r="B11309" s="1348"/>
      <c r="C11309" s="1348"/>
      <c r="D11309" s="1348"/>
      <c r="E11309" s="1348"/>
      <c r="F11309" s="1348"/>
      <c r="G11309" s="1348"/>
      <c r="H11309" s="1348"/>
      <c r="I11309" s="1348"/>
      <c r="J11309" s="1348"/>
      <c r="K11309" s="1348"/>
    </row>
    <row r="11310" spans="2:11" hidden="1">
      <c r="B11310" s="1348"/>
      <c r="C11310" s="1348"/>
      <c r="D11310" s="1348"/>
      <c r="E11310" s="1348"/>
      <c r="F11310" s="1348"/>
      <c r="G11310" s="1348"/>
      <c r="H11310" s="1348"/>
      <c r="I11310" s="1348"/>
      <c r="J11310" s="1348"/>
      <c r="K11310" s="1348"/>
    </row>
    <row r="11311" spans="2:11" hidden="1">
      <c r="B11311" s="1348"/>
      <c r="C11311" s="1348"/>
      <c r="D11311" s="1348"/>
      <c r="E11311" s="1348"/>
      <c r="F11311" s="1348"/>
      <c r="G11311" s="1348"/>
      <c r="H11311" s="1348"/>
      <c r="I11311" s="1348"/>
      <c r="J11311" s="1348"/>
      <c r="K11311" s="1348"/>
    </row>
    <row r="11312" spans="2:11" hidden="1">
      <c r="B11312" s="1348"/>
      <c r="C11312" s="1348"/>
      <c r="D11312" s="1348"/>
      <c r="E11312" s="1348"/>
      <c r="F11312" s="1348"/>
      <c r="G11312" s="1348"/>
      <c r="H11312" s="1348"/>
      <c r="I11312" s="1348"/>
      <c r="J11312" s="1348"/>
      <c r="K11312" s="1348"/>
    </row>
    <row r="11313" spans="2:11" hidden="1">
      <c r="B11313" s="1348"/>
      <c r="C11313" s="1348"/>
      <c r="D11313" s="1348"/>
      <c r="E11313" s="1348"/>
      <c r="F11313" s="1348"/>
      <c r="G11313" s="1348"/>
      <c r="H11313" s="1348"/>
      <c r="I11313" s="1348"/>
      <c r="J11313" s="1348"/>
      <c r="K11313" s="1348"/>
    </row>
    <row r="11314" spans="2:11" hidden="1">
      <c r="B11314" s="1348"/>
      <c r="C11314" s="1348"/>
      <c r="D11314" s="1348"/>
      <c r="E11314" s="1348"/>
      <c r="F11314" s="1348"/>
      <c r="G11314" s="1348"/>
      <c r="H11314" s="1348"/>
      <c r="I11314" s="1348"/>
      <c r="J11314" s="1348"/>
      <c r="K11314" s="1348"/>
    </row>
    <row r="11315" spans="2:11" hidden="1">
      <c r="B11315" s="1348"/>
      <c r="C11315" s="1348"/>
      <c r="D11315" s="1348"/>
      <c r="E11315" s="1348"/>
      <c r="F11315" s="1348"/>
      <c r="G11315" s="1348"/>
      <c r="H11315" s="1348"/>
      <c r="I11315" s="1348"/>
      <c r="J11315" s="1348"/>
      <c r="K11315" s="1348"/>
    </row>
    <row r="11316" spans="2:11" hidden="1">
      <c r="B11316" s="1348"/>
      <c r="C11316" s="1348"/>
      <c r="D11316" s="1348"/>
      <c r="E11316" s="1348"/>
      <c r="F11316" s="1348"/>
      <c r="G11316" s="1348"/>
      <c r="H11316" s="1348"/>
      <c r="I11316" s="1348"/>
      <c r="J11316" s="1348"/>
      <c r="K11316" s="1348"/>
    </row>
    <row r="11317" spans="2:11" hidden="1">
      <c r="B11317" s="1348"/>
      <c r="C11317" s="1348"/>
      <c r="D11317" s="1348"/>
      <c r="E11317" s="1348"/>
      <c r="F11317" s="1348"/>
      <c r="G11317" s="1348"/>
      <c r="H11317" s="1348"/>
      <c r="I11317" s="1348"/>
      <c r="J11317" s="1348"/>
      <c r="K11317" s="1348"/>
    </row>
    <row r="11318" spans="2:11" hidden="1">
      <c r="B11318" s="1348"/>
      <c r="C11318" s="1348"/>
      <c r="D11318" s="1348"/>
      <c r="E11318" s="1348"/>
      <c r="F11318" s="1348"/>
      <c r="G11318" s="1348"/>
      <c r="H11318" s="1348"/>
      <c r="I11318" s="1348"/>
      <c r="J11318" s="1348"/>
      <c r="K11318" s="1348"/>
    </row>
    <row r="11319" spans="2:11" hidden="1">
      <c r="B11319" s="1348"/>
      <c r="C11319" s="1348"/>
      <c r="D11319" s="1348"/>
      <c r="E11319" s="1348"/>
      <c r="F11319" s="1348"/>
      <c r="G11319" s="1348"/>
      <c r="H11319" s="1348"/>
      <c r="I11319" s="1348"/>
      <c r="J11319" s="1348"/>
      <c r="K11319" s="1348"/>
    </row>
    <row r="11320" spans="2:11" hidden="1">
      <c r="B11320" s="1348"/>
      <c r="C11320" s="1348"/>
      <c r="D11320" s="1348"/>
      <c r="E11320" s="1348"/>
      <c r="F11320" s="1348"/>
      <c r="G11320" s="1348"/>
      <c r="H11320" s="1348"/>
      <c r="I11320" s="1348"/>
      <c r="J11320" s="1348"/>
      <c r="K11320" s="1348"/>
    </row>
    <row r="11321" spans="2:11" hidden="1">
      <c r="B11321" s="1348"/>
      <c r="C11321" s="1348"/>
      <c r="D11321" s="1348"/>
      <c r="E11321" s="1348"/>
      <c r="F11321" s="1348"/>
      <c r="G11321" s="1348"/>
      <c r="H11321" s="1348"/>
      <c r="I11321" s="1348"/>
      <c r="J11321" s="1348"/>
      <c r="K11321" s="1348"/>
    </row>
    <row r="11322" spans="2:11" hidden="1">
      <c r="B11322" s="1348"/>
      <c r="C11322" s="1348"/>
      <c r="D11322" s="1348"/>
      <c r="E11322" s="1348"/>
      <c r="F11322" s="1348"/>
      <c r="G11322" s="1348"/>
      <c r="H11322" s="1348"/>
      <c r="I11322" s="1348"/>
      <c r="J11322" s="1348"/>
      <c r="K11322" s="1348"/>
    </row>
    <row r="11323" spans="2:11" hidden="1">
      <c r="B11323" s="1348"/>
      <c r="C11323" s="1348"/>
      <c r="D11323" s="1348"/>
      <c r="E11323" s="1348"/>
      <c r="F11323" s="1348"/>
      <c r="G11323" s="1348"/>
      <c r="H11323" s="1348"/>
      <c r="I11323" s="1348"/>
      <c r="J11323" s="1348"/>
      <c r="K11323" s="1348"/>
    </row>
    <row r="11324" spans="2:11" hidden="1">
      <c r="B11324" s="1348"/>
      <c r="C11324" s="1348"/>
      <c r="D11324" s="1348"/>
      <c r="E11324" s="1348"/>
      <c r="F11324" s="1348"/>
      <c r="G11324" s="1348"/>
      <c r="H11324" s="1348"/>
      <c r="I11324" s="1348"/>
      <c r="J11324" s="1348"/>
      <c r="K11324" s="1348"/>
    </row>
    <row r="11325" spans="2:11" hidden="1">
      <c r="B11325" s="1348"/>
      <c r="C11325" s="1348"/>
      <c r="D11325" s="1348"/>
      <c r="E11325" s="1348"/>
      <c r="F11325" s="1348"/>
      <c r="G11325" s="1348"/>
      <c r="H11325" s="1348"/>
      <c r="I11325" s="1348"/>
      <c r="J11325" s="1348"/>
      <c r="K11325" s="1348"/>
    </row>
    <row r="11326" spans="2:11" hidden="1">
      <c r="B11326" s="1348"/>
      <c r="C11326" s="1348"/>
      <c r="D11326" s="1348"/>
      <c r="E11326" s="1348"/>
      <c r="F11326" s="1348"/>
      <c r="G11326" s="1348"/>
      <c r="H11326" s="1348"/>
      <c r="I11326" s="1348"/>
      <c r="J11326" s="1348"/>
      <c r="K11326" s="1348"/>
    </row>
    <row r="11327" spans="2:11" hidden="1">
      <c r="B11327" s="1348"/>
      <c r="C11327" s="1348"/>
      <c r="D11327" s="1348"/>
      <c r="E11327" s="1348"/>
      <c r="F11327" s="1348"/>
      <c r="G11327" s="1348"/>
      <c r="H11327" s="1348"/>
      <c r="I11327" s="1348"/>
      <c r="J11327" s="1348"/>
      <c r="K11327" s="1348"/>
    </row>
    <row r="11328" spans="2:11" hidden="1">
      <c r="B11328" s="1348"/>
      <c r="C11328" s="1348"/>
      <c r="D11328" s="1348"/>
      <c r="E11328" s="1348"/>
      <c r="F11328" s="1348"/>
      <c r="G11328" s="1348"/>
      <c r="H11328" s="1348"/>
      <c r="I11328" s="1348"/>
      <c r="J11328" s="1348"/>
      <c r="K11328" s="1348"/>
    </row>
    <row r="11329" spans="2:11" hidden="1">
      <c r="B11329" s="1348"/>
      <c r="C11329" s="1348"/>
      <c r="D11329" s="1348"/>
      <c r="E11329" s="1348"/>
      <c r="F11329" s="1348"/>
      <c r="G11329" s="1348"/>
      <c r="H11329" s="1348"/>
      <c r="I11329" s="1348"/>
      <c r="J11329" s="1348"/>
      <c r="K11329" s="1348"/>
    </row>
    <row r="11330" spans="2:11" hidden="1">
      <c r="B11330" s="1348"/>
      <c r="C11330" s="1348"/>
      <c r="D11330" s="1348"/>
      <c r="E11330" s="1348"/>
      <c r="F11330" s="1348"/>
      <c r="G11330" s="1348"/>
      <c r="H11330" s="1348"/>
      <c r="I11330" s="1348"/>
      <c r="J11330" s="1348"/>
      <c r="K11330" s="1348"/>
    </row>
    <row r="11331" spans="2:11" hidden="1">
      <c r="B11331" s="1348"/>
      <c r="C11331" s="1348"/>
      <c r="D11331" s="1348"/>
      <c r="E11331" s="1348"/>
      <c r="F11331" s="1348"/>
      <c r="G11331" s="1348"/>
      <c r="H11331" s="1348"/>
      <c r="I11331" s="1348"/>
      <c r="J11331" s="1348"/>
      <c r="K11331" s="1348"/>
    </row>
    <row r="11332" spans="2:11" hidden="1">
      <c r="B11332" s="1348"/>
      <c r="C11332" s="1348"/>
      <c r="D11332" s="1348"/>
      <c r="E11332" s="1348"/>
      <c r="F11332" s="1348"/>
      <c r="G11332" s="1348"/>
      <c r="H11332" s="1348"/>
      <c r="I11332" s="1348"/>
      <c r="J11332" s="1348"/>
      <c r="K11332" s="1348"/>
    </row>
    <row r="11333" spans="2:11" hidden="1">
      <c r="B11333" s="1348"/>
      <c r="C11333" s="1348"/>
      <c r="D11333" s="1348"/>
      <c r="E11333" s="1348"/>
      <c r="F11333" s="1348"/>
      <c r="G11333" s="1348"/>
      <c r="H11333" s="1348"/>
      <c r="I11333" s="1348"/>
      <c r="J11333" s="1348"/>
      <c r="K11333" s="1348"/>
    </row>
    <row r="11334" spans="2:11" hidden="1">
      <c r="B11334" s="1348"/>
      <c r="C11334" s="1348"/>
      <c r="D11334" s="1348"/>
      <c r="E11334" s="1348"/>
      <c r="F11334" s="1348"/>
      <c r="G11334" s="1348"/>
      <c r="H11334" s="1348"/>
      <c r="I11334" s="1348"/>
      <c r="J11334" s="1348"/>
      <c r="K11334" s="1348"/>
    </row>
    <row r="11335" spans="2:11" hidden="1">
      <c r="B11335" s="1348"/>
      <c r="C11335" s="1348"/>
      <c r="D11335" s="1348"/>
      <c r="E11335" s="1348"/>
      <c r="F11335" s="1348"/>
      <c r="G11335" s="1348"/>
      <c r="H11335" s="1348"/>
      <c r="I11335" s="1348"/>
      <c r="J11335" s="1348"/>
      <c r="K11335" s="1348"/>
    </row>
    <row r="11336" spans="2:11" hidden="1">
      <c r="B11336" s="1348"/>
      <c r="C11336" s="1348"/>
      <c r="D11336" s="1348"/>
      <c r="E11336" s="1348"/>
      <c r="F11336" s="1348"/>
      <c r="G11336" s="1348"/>
      <c r="H11336" s="1348"/>
      <c r="I11336" s="1348"/>
      <c r="J11336" s="1348"/>
      <c r="K11336" s="1348"/>
    </row>
    <row r="11337" spans="2:11" hidden="1">
      <c r="B11337" s="1348"/>
      <c r="C11337" s="1348"/>
      <c r="D11337" s="1348"/>
      <c r="E11337" s="1348"/>
      <c r="F11337" s="1348"/>
      <c r="G11337" s="1348"/>
      <c r="H11337" s="1348"/>
      <c r="I11337" s="1348"/>
      <c r="J11337" s="1348"/>
      <c r="K11337" s="1348"/>
    </row>
    <row r="11338" spans="2:11" hidden="1">
      <c r="B11338" s="1348"/>
      <c r="C11338" s="1348"/>
      <c r="D11338" s="1348"/>
      <c r="E11338" s="1348"/>
      <c r="F11338" s="1348"/>
      <c r="G11338" s="1348"/>
      <c r="H11338" s="1348"/>
      <c r="I11338" s="1348"/>
      <c r="J11338" s="1348"/>
      <c r="K11338" s="1348"/>
    </row>
    <row r="11339" spans="2:11" hidden="1">
      <c r="B11339" s="1348"/>
      <c r="C11339" s="1348"/>
      <c r="D11339" s="1348"/>
      <c r="E11339" s="1348"/>
      <c r="F11339" s="1348"/>
      <c r="G11339" s="1348"/>
      <c r="H11339" s="1348"/>
      <c r="I11339" s="1348"/>
      <c r="J11339" s="1348"/>
      <c r="K11339" s="1348"/>
    </row>
    <row r="11340" spans="2:11" hidden="1">
      <c r="B11340" s="1348"/>
      <c r="C11340" s="1348"/>
      <c r="D11340" s="1348"/>
      <c r="E11340" s="1348"/>
      <c r="F11340" s="1348"/>
      <c r="G11340" s="1348"/>
      <c r="H11340" s="1348"/>
      <c r="I11340" s="1348"/>
      <c r="J11340" s="1348"/>
      <c r="K11340" s="1348"/>
    </row>
    <row r="11341" spans="2:11" hidden="1">
      <c r="B11341" s="1348"/>
      <c r="C11341" s="1348"/>
      <c r="D11341" s="1348"/>
      <c r="E11341" s="1348"/>
      <c r="F11341" s="1348"/>
      <c r="G11341" s="1348"/>
      <c r="H11341" s="1348"/>
      <c r="I11341" s="1348"/>
      <c r="J11341" s="1348"/>
      <c r="K11341" s="1348"/>
    </row>
    <row r="11342" spans="2:11" hidden="1">
      <c r="B11342" s="1348"/>
      <c r="C11342" s="1348"/>
      <c r="D11342" s="1348"/>
      <c r="E11342" s="1348"/>
      <c r="F11342" s="1348"/>
      <c r="G11342" s="1348"/>
      <c r="H11342" s="1348"/>
      <c r="I11342" s="1348"/>
      <c r="J11342" s="1348"/>
      <c r="K11342" s="1348"/>
    </row>
    <row r="11343" spans="2:11" hidden="1">
      <c r="B11343" s="1348"/>
      <c r="C11343" s="1348"/>
      <c r="D11343" s="1348"/>
      <c r="E11343" s="1348"/>
      <c r="F11343" s="1348"/>
      <c r="G11343" s="1348"/>
      <c r="H11343" s="1348"/>
      <c r="I11343" s="1348"/>
      <c r="J11343" s="1348"/>
      <c r="K11343" s="1348"/>
    </row>
    <row r="11344" spans="2:11" hidden="1">
      <c r="B11344" s="1348"/>
      <c r="C11344" s="1348"/>
      <c r="D11344" s="1348"/>
      <c r="E11344" s="1348"/>
      <c r="F11344" s="1348"/>
      <c r="G11344" s="1348"/>
      <c r="H11344" s="1348"/>
      <c r="I11344" s="1348"/>
      <c r="J11344" s="1348"/>
      <c r="K11344" s="1348"/>
    </row>
    <row r="11345" spans="2:11" hidden="1">
      <c r="B11345" s="1348"/>
      <c r="C11345" s="1348"/>
      <c r="D11345" s="1348"/>
      <c r="E11345" s="1348"/>
      <c r="F11345" s="1348"/>
      <c r="G11345" s="1348"/>
      <c r="H11345" s="1348"/>
      <c r="I11345" s="1348"/>
      <c r="J11345" s="1348"/>
      <c r="K11345" s="1348"/>
    </row>
    <row r="11346" spans="2:11" hidden="1">
      <c r="B11346" s="1348"/>
      <c r="C11346" s="1348"/>
      <c r="D11346" s="1348"/>
      <c r="E11346" s="1348"/>
      <c r="F11346" s="1348"/>
      <c r="G11346" s="1348"/>
      <c r="H11346" s="1348"/>
      <c r="I11346" s="1348"/>
      <c r="J11346" s="1348"/>
      <c r="K11346" s="1348"/>
    </row>
    <row r="11347" spans="2:11" hidden="1">
      <c r="B11347" s="1348"/>
      <c r="C11347" s="1348"/>
      <c r="D11347" s="1348"/>
      <c r="E11347" s="1348"/>
      <c r="F11347" s="1348"/>
      <c r="G11347" s="1348"/>
      <c r="H11347" s="1348"/>
      <c r="I11347" s="1348"/>
      <c r="J11347" s="1348"/>
      <c r="K11347" s="1348"/>
    </row>
    <row r="11348" spans="2:11" hidden="1">
      <c r="B11348" s="1348"/>
      <c r="C11348" s="1348"/>
      <c r="D11348" s="1348"/>
      <c r="E11348" s="1348"/>
      <c r="F11348" s="1348"/>
      <c r="G11348" s="1348"/>
      <c r="H11348" s="1348"/>
      <c r="I11348" s="1348"/>
      <c r="J11348" s="1348"/>
      <c r="K11348" s="1348"/>
    </row>
    <row r="11349" spans="2:11" hidden="1">
      <c r="B11349" s="1348"/>
      <c r="C11349" s="1348"/>
      <c r="D11349" s="1348"/>
      <c r="E11349" s="1348"/>
      <c r="F11349" s="1348"/>
      <c r="G11349" s="1348"/>
      <c r="H11349" s="1348"/>
      <c r="I11349" s="1348"/>
      <c r="J11349" s="1348"/>
      <c r="K11349" s="1348"/>
    </row>
    <row r="11350" spans="2:11" hidden="1">
      <c r="B11350" s="1348"/>
      <c r="C11350" s="1348"/>
      <c r="D11350" s="1348"/>
      <c r="E11350" s="1348"/>
      <c r="F11350" s="1348"/>
      <c r="G11350" s="1348"/>
      <c r="H11350" s="1348"/>
      <c r="I11350" s="1348"/>
      <c r="J11350" s="1348"/>
      <c r="K11350" s="1348"/>
    </row>
    <row r="11351" spans="2:11" hidden="1">
      <c r="B11351" s="1348"/>
      <c r="C11351" s="1348"/>
      <c r="D11351" s="1348"/>
      <c r="E11351" s="1348"/>
      <c r="F11351" s="1348"/>
      <c r="G11351" s="1348"/>
      <c r="H11351" s="1348"/>
      <c r="I11351" s="1348"/>
      <c r="J11351" s="1348"/>
      <c r="K11351" s="1348"/>
    </row>
    <row r="11352" spans="2:11" hidden="1">
      <c r="B11352" s="1348"/>
      <c r="C11352" s="1348"/>
      <c r="D11352" s="1348"/>
      <c r="E11352" s="1348"/>
      <c r="F11352" s="1348"/>
      <c r="G11352" s="1348"/>
      <c r="H11352" s="1348"/>
      <c r="I11352" s="1348"/>
      <c r="J11352" s="1348"/>
      <c r="K11352" s="1348"/>
    </row>
    <row r="11353" spans="2:11" hidden="1">
      <c r="B11353" s="1348"/>
      <c r="C11353" s="1348"/>
      <c r="D11353" s="1348"/>
      <c r="E11353" s="1348"/>
      <c r="F11353" s="1348"/>
      <c r="G11353" s="1348"/>
      <c r="H11353" s="1348"/>
      <c r="I11353" s="1348"/>
      <c r="J11353" s="1348"/>
      <c r="K11353" s="1348"/>
    </row>
    <row r="11354" spans="2:11" hidden="1">
      <c r="B11354" s="1348"/>
      <c r="C11354" s="1348"/>
      <c r="D11354" s="1348"/>
      <c r="E11354" s="1348"/>
      <c r="F11354" s="1348"/>
      <c r="G11354" s="1348"/>
      <c r="H11354" s="1348"/>
      <c r="I11354" s="1348"/>
      <c r="J11354" s="1348"/>
      <c r="K11354" s="1348"/>
    </row>
    <row r="11355" spans="2:11" hidden="1">
      <c r="B11355" s="1348"/>
      <c r="C11355" s="1348"/>
      <c r="D11355" s="1348"/>
      <c r="E11355" s="1348"/>
      <c r="F11355" s="1348"/>
      <c r="G11355" s="1348"/>
      <c r="H11355" s="1348"/>
      <c r="I11355" s="1348"/>
      <c r="J11355" s="1348"/>
      <c r="K11355" s="1348"/>
    </row>
    <row r="11356" spans="2:11" hidden="1">
      <c r="B11356" s="1348"/>
      <c r="C11356" s="1348"/>
      <c r="D11356" s="1348"/>
      <c r="E11356" s="1348"/>
      <c r="F11356" s="1348"/>
      <c r="G11356" s="1348"/>
      <c r="H11356" s="1348"/>
      <c r="I11356" s="1348"/>
      <c r="J11356" s="1348"/>
      <c r="K11356" s="1348"/>
    </row>
    <row r="11357" spans="2:11" hidden="1">
      <c r="B11357" s="1348"/>
      <c r="C11357" s="1348"/>
      <c r="D11357" s="1348"/>
      <c r="E11357" s="1348"/>
      <c r="F11357" s="1348"/>
      <c r="G11357" s="1348"/>
      <c r="H11357" s="1348"/>
      <c r="I11357" s="1348"/>
      <c r="J11357" s="1348"/>
      <c r="K11357" s="1348"/>
    </row>
    <row r="11358" spans="2:11" hidden="1">
      <c r="B11358" s="1348"/>
      <c r="C11358" s="1348"/>
      <c r="D11358" s="1348"/>
      <c r="E11358" s="1348"/>
      <c r="F11358" s="1348"/>
      <c r="G11358" s="1348"/>
      <c r="H11358" s="1348"/>
      <c r="I11358" s="1348"/>
      <c r="J11358" s="1348"/>
      <c r="K11358" s="1348"/>
    </row>
    <row r="11359" spans="2:11" hidden="1">
      <c r="B11359" s="1348"/>
      <c r="C11359" s="1348"/>
      <c r="D11359" s="1348"/>
      <c r="E11359" s="1348"/>
      <c r="F11359" s="1348"/>
      <c r="G11359" s="1348"/>
      <c r="H11359" s="1348"/>
      <c r="I11359" s="1348"/>
      <c r="J11359" s="1348"/>
      <c r="K11359" s="1348"/>
    </row>
    <row r="11360" spans="2:11" hidden="1">
      <c r="B11360" s="1348"/>
      <c r="C11360" s="1348"/>
      <c r="D11360" s="1348"/>
      <c r="E11360" s="1348"/>
      <c r="F11360" s="1348"/>
      <c r="G11360" s="1348"/>
      <c r="H11360" s="1348"/>
      <c r="I11360" s="1348"/>
      <c r="J11360" s="1348"/>
      <c r="K11360" s="1348"/>
    </row>
    <row r="11361" spans="2:11" hidden="1">
      <c r="B11361" s="1348"/>
      <c r="C11361" s="1348"/>
      <c r="D11361" s="1348"/>
      <c r="E11361" s="1348"/>
      <c r="F11361" s="1348"/>
      <c r="G11361" s="1348"/>
      <c r="H11361" s="1348"/>
      <c r="I11361" s="1348"/>
      <c r="J11361" s="1348"/>
      <c r="K11361" s="1348"/>
    </row>
    <row r="11362" spans="2:11" hidden="1">
      <c r="B11362" s="1348"/>
      <c r="C11362" s="1348"/>
      <c r="D11362" s="1348"/>
      <c r="E11362" s="1348"/>
      <c r="F11362" s="1348"/>
      <c r="G11362" s="1348"/>
      <c r="H11362" s="1348"/>
      <c r="I11362" s="1348"/>
      <c r="J11362" s="1348"/>
      <c r="K11362" s="1348"/>
    </row>
    <row r="11363" spans="2:11" hidden="1">
      <c r="B11363" s="1348"/>
      <c r="C11363" s="1348"/>
      <c r="D11363" s="1348"/>
      <c r="E11363" s="1348"/>
      <c r="F11363" s="1348"/>
      <c r="G11363" s="1348"/>
      <c r="H11363" s="1348"/>
      <c r="I11363" s="1348"/>
      <c r="J11363" s="1348"/>
      <c r="K11363" s="1348"/>
    </row>
    <row r="11364" spans="2:11" hidden="1">
      <c r="B11364" s="1348"/>
      <c r="C11364" s="1348"/>
      <c r="D11364" s="1348"/>
      <c r="E11364" s="1348"/>
      <c r="F11364" s="1348"/>
      <c r="G11364" s="1348"/>
      <c r="H11364" s="1348"/>
      <c r="I11364" s="1348"/>
      <c r="J11364" s="1348"/>
      <c r="K11364" s="1348"/>
    </row>
    <row r="11365" spans="2:11" hidden="1">
      <c r="B11365" s="1348"/>
      <c r="C11365" s="1348"/>
      <c r="D11365" s="1348"/>
      <c r="E11365" s="1348"/>
      <c r="F11365" s="1348"/>
      <c r="G11365" s="1348"/>
      <c r="H11365" s="1348"/>
      <c r="I11365" s="1348"/>
      <c r="J11365" s="1348"/>
      <c r="K11365" s="1348"/>
    </row>
    <row r="11366" spans="2:11" hidden="1">
      <c r="B11366" s="1348"/>
      <c r="C11366" s="1348"/>
      <c r="D11366" s="1348"/>
      <c r="E11366" s="1348"/>
      <c r="F11366" s="1348"/>
      <c r="G11366" s="1348"/>
      <c r="H11366" s="1348"/>
      <c r="I11366" s="1348"/>
      <c r="J11366" s="1348"/>
      <c r="K11366" s="1348"/>
    </row>
    <row r="11367" spans="2:11" hidden="1">
      <c r="B11367" s="1348"/>
      <c r="C11367" s="1348"/>
      <c r="D11367" s="1348"/>
      <c r="E11367" s="1348"/>
      <c r="F11367" s="1348"/>
      <c r="G11367" s="1348"/>
      <c r="H11367" s="1348"/>
      <c r="I11367" s="1348"/>
      <c r="J11367" s="1348"/>
      <c r="K11367" s="1348"/>
    </row>
    <row r="11368" spans="2:11" hidden="1">
      <c r="B11368" s="1348"/>
      <c r="C11368" s="1348"/>
      <c r="D11368" s="1348"/>
      <c r="E11368" s="1348"/>
      <c r="F11368" s="1348"/>
      <c r="G11368" s="1348"/>
      <c r="H11368" s="1348"/>
      <c r="I11368" s="1348"/>
      <c r="J11368" s="1348"/>
      <c r="K11368" s="1348"/>
    </row>
    <row r="11369" spans="2:11" hidden="1">
      <c r="B11369" s="1348"/>
      <c r="C11369" s="1348"/>
      <c r="D11369" s="1348"/>
      <c r="E11369" s="1348"/>
      <c r="F11369" s="1348"/>
      <c r="G11369" s="1348"/>
      <c r="H11369" s="1348"/>
      <c r="I11369" s="1348"/>
      <c r="J11369" s="1348"/>
      <c r="K11369" s="1348"/>
    </row>
    <row r="11370" spans="2:11" hidden="1">
      <c r="B11370" s="1348"/>
      <c r="C11370" s="1348"/>
      <c r="D11370" s="1348"/>
      <c r="E11370" s="1348"/>
      <c r="F11370" s="1348"/>
      <c r="G11370" s="1348"/>
      <c r="H11370" s="1348"/>
      <c r="I11370" s="1348"/>
      <c r="J11370" s="1348"/>
      <c r="K11370" s="1348"/>
    </row>
    <row r="11371" spans="2:11" hidden="1">
      <c r="B11371" s="1348"/>
      <c r="C11371" s="1348"/>
      <c r="D11371" s="1348"/>
      <c r="E11371" s="1348"/>
      <c r="F11371" s="1348"/>
      <c r="G11371" s="1348"/>
      <c r="H11371" s="1348"/>
      <c r="I11371" s="1348"/>
      <c r="J11371" s="1348"/>
      <c r="K11371" s="1348"/>
    </row>
    <row r="11372" spans="2:11" hidden="1">
      <c r="B11372" s="1348"/>
      <c r="C11372" s="1348"/>
      <c r="D11372" s="1348"/>
      <c r="E11372" s="1348"/>
      <c r="F11372" s="1348"/>
      <c r="G11372" s="1348"/>
      <c r="H11372" s="1348"/>
      <c r="I11372" s="1348"/>
      <c r="J11372" s="1348"/>
      <c r="K11372" s="1348"/>
    </row>
    <row r="11373" spans="2:11" hidden="1">
      <c r="B11373" s="1348"/>
      <c r="C11373" s="1348"/>
      <c r="D11373" s="1348"/>
      <c r="E11373" s="1348"/>
      <c r="F11373" s="1348"/>
      <c r="G11373" s="1348"/>
      <c r="H11373" s="1348"/>
      <c r="I11373" s="1348"/>
      <c r="J11373" s="1348"/>
      <c r="K11373" s="1348"/>
    </row>
    <row r="11374" spans="2:11" hidden="1">
      <c r="B11374" s="1348"/>
      <c r="C11374" s="1348"/>
      <c r="D11374" s="1348"/>
      <c r="E11374" s="1348"/>
      <c r="F11374" s="1348"/>
      <c r="G11374" s="1348"/>
      <c r="H11374" s="1348"/>
      <c r="I11374" s="1348"/>
      <c r="J11374" s="1348"/>
      <c r="K11374" s="1348"/>
    </row>
    <row r="11375" spans="2:11" hidden="1">
      <c r="B11375" s="1348"/>
      <c r="C11375" s="1348"/>
      <c r="D11375" s="1348"/>
      <c r="E11375" s="1348"/>
      <c r="F11375" s="1348"/>
      <c r="G11375" s="1348"/>
      <c r="H11375" s="1348"/>
      <c r="I11375" s="1348"/>
      <c r="J11375" s="1348"/>
      <c r="K11375" s="1348"/>
    </row>
    <row r="11376" spans="2:11" hidden="1">
      <c r="B11376" s="1348"/>
      <c r="C11376" s="1348"/>
      <c r="D11376" s="1348"/>
      <c r="E11376" s="1348"/>
      <c r="F11376" s="1348"/>
      <c r="G11376" s="1348"/>
      <c r="H11376" s="1348"/>
      <c r="I11376" s="1348"/>
      <c r="J11376" s="1348"/>
      <c r="K11376" s="1348"/>
    </row>
    <row r="11377" spans="2:11" hidden="1">
      <c r="B11377" s="1348"/>
      <c r="C11377" s="1348"/>
      <c r="D11377" s="1348"/>
      <c r="E11377" s="1348"/>
      <c r="F11377" s="1348"/>
      <c r="G11377" s="1348"/>
      <c r="H11377" s="1348"/>
      <c r="I11377" s="1348"/>
      <c r="J11377" s="1348"/>
      <c r="K11377" s="1348"/>
    </row>
    <row r="11378" spans="2:11" hidden="1">
      <c r="B11378" s="1348"/>
      <c r="C11378" s="1348"/>
      <c r="D11378" s="1348"/>
      <c r="E11378" s="1348"/>
      <c r="F11378" s="1348"/>
      <c r="G11378" s="1348"/>
      <c r="H11378" s="1348"/>
      <c r="I11378" s="1348"/>
      <c r="J11378" s="1348"/>
      <c r="K11378" s="1348"/>
    </row>
    <row r="11379" spans="2:11" hidden="1">
      <c r="B11379" s="1348"/>
      <c r="C11379" s="1348"/>
      <c r="D11379" s="1348"/>
      <c r="E11379" s="1348"/>
      <c r="F11379" s="1348"/>
      <c r="G11379" s="1348"/>
      <c r="H11379" s="1348"/>
      <c r="I11379" s="1348"/>
      <c r="J11379" s="1348"/>
      <c r="K11379" s="1348"/>
    </row>
    <row r="11380" spans="2:11" hidden="1">
      <c r="B11380" s="1348"/>
      <c r="C11380" s="1348"/>
      <c r="D11380" s="1348"/>
      <c r="E11380" s="1348"/>
      <c r="F11380" s="1348"/>
      <c r="G11380" s="1348"/>
      <c r="H11380" s="1348"/>
      <c r="I11380" s="1348"/>
      <c r="J11380" s="1348"/>
      <c r="K11380" s="1348"/>
    </row>
    <row r="11381" spans="2:11" hidden="1">
      <c r="B11381" s="1348"/>
      <c r="C11381" s="1348"/>
      <c r="D11381" s="1348"/>
      <c r="E11381" s="1348"/>
      <c r="F11381" s="1348"/>
      <c r="G11381" s="1348"/>
      <c r="H11381" s="1348"/>
      <c r="I11381" s="1348"/>
      <c r="J11381" s="1348"/>
      <c r="K11381" s="1348"/>
    </row>
    <row r="11382" spans="2:11" hidden="1">
      <c r="B11382" s="1348"/>
      <c r="C11382" s="1348"/>
      <c r="D11382" s="1348"/>
      <c r="E11382" s="1348"/>
      <c r="F11382" s="1348"/>
      <c r="G11382" s="1348"/>
      <c r="H11382" s="1348"/>
      <c r="I11382" s="1348"/>
      <c r="J11382" s="1348"/>
      <c r="K11382" s="1348"/>
    </row>
    <row r="11383" spans="2:11" hidden="1">
      <c r="B11383" s="1348"/>
      <c r="C11383" s="1348"/>
      <c r="D11383" s="1348"/>
      <c r="E11383" s="1348"/>
      <c r="F11383" s="1348"/>
      <c r="G11383" s="1348"/>
      <c r="H11383" s="1348"/>
      <c r="I11383" s="1348"/>
      <c r="J11383" s="1348"/>
      <c r="K11383" s="1348"/>
    </row>
    <row r="11384" spans="2:11" hidden="1">
      <c r="B11384" s="1348"/>
      <c r="C11384" s="1348"/>
      <c r="D11384" s="1348"/>
      <c r="E11384" s="1348"/>
      <c r="F11384" s="1348"/>
      <c r="G11384" s="1348"/>
      <c r="H11384" s="1348"/>
      <c r="I11384" s="1348"/>
      <c r="J11384" s="1348"/>
      <c r="K11384" s="1348"/>
    </row>
    <row r="11385" spans="2:11" hidden="1">
      <c r="B11385" s="1348"/>
      <c r="C11385" s="1348"/>
      <c r="D11385" s="1348"/>
      <c r="E11385" s="1348"/>
      <c r="F11385" s="1348"/>
      <c r="G11385" s="1348"/>
      <c r="H11385" s="1348"/>
      <c r="I11385" s="1348"/>
      <c r="J11385" s="1348"/>
      <c r="K11385" s="1348"/>
    </row>
    <row r="11386" spans="2:11" hidden="1">
      <c r="B11386" s="1348"/>
      <c r="C11386" s="1348"/>
      <c r="D11386" s="1348"/>
      <c r="E11386" s="1348"/>
      <c r="F11386" s="1348"/>
      <c r="G11386" s="1348"/>
      <c r="H11386" s="1348"/>
      <c r="I11386" s="1348"/>
      <c r="J11386" s="1348"/>
      <c r="K11386" s="1348"/>
    </row>
    <row r="11387" spans="2:11" hidden="1">
      <c r="B11387" s="1348"/>
      <c r="C11387" s="1348"/>
      <c r="D11387" s="1348"/>
      <c r="E11387" s="1348"/>
      <c r="F11387" s="1348"/>
      <c r="G11387" s="1348"/>
      <c r="H11387" s="1348"/>
      <c r="I11387" s="1348"/>
      <c r="J11387" s="1348"/>
      <c r="K11387" s="1348"/>
    </row>
    <row r="11388" spans="2:11" hidden="1">
      <c r="B11388" s="1348"/>
      <c r="C11388" s="1348"/>
      <c r="D11388" s="1348"/>
      <c r="E11388" s="1348"/>
      <c r="F11388" s="1348"/>
      <c r="G11388" s="1348"/>
      <c r="H11388" s="1348"/>
      <c r="I11388" s="1348"/>
      <c r="J11388" s="1348"/>
      <c r="K11388" s="1348"/>
    </row>
    <row r="11389" spans="2:11" hidden="1">
      <c r="B11389" s="1348"/>
      <c r="C11389" s="1348"/>
      <c r="D11389" s="1348"/>
      <c r="E11389" s="1348"/>
      <c r="F11389" s="1348"/>
      <c r="G11389" s="1348"/>
      <c r="H11389" s="1348"/>
      <c r="I11389" s="1348"/>
      <c r="J11389" s="1348"/>
      <c r="K11389" s="1348"/>
    </row>
    <row r="11390" spans="2:11" hidden="1">
      <c r="B11390" s="1348"/>
      <c r="C11390" s="1348"/>
      <c r="D11390" s="1348"/>
      <c r="E11390" s="1348"/>
      <c r="F11390" s="1348"/>
      <c r="G11390" s="1348"/>
      <c r="H11390" s="1348"/>
      <c r="I11390" s="1348"/>
      <c r="J11390" s="1348"/>
      <c r="K11390" s="1348"/>
    </row>
    <row r="11391" spans="2:11" hidden="1">
      <c r="B11391" s="1348"/>
      <c r="C11391" s="1348"/>
      <c r="D11391" s="1348"/>
      <c r="E11391" s="1348"/>
      <c r="F11391" s="1348"/>
      <c r="G11391" s="1348"/>
      <c r="H11391" s="1348"/>
      <c r="I11391" s="1348"/>
      <c r="J11391" s="1348"/>
      <c r="K11391" s="1348"/>
    </row>
    <row r="11392" spans="2:11" hidden="1">
      <c r="B11392" s="1348"/>
      <c r="C11392" s="1348"/>
      <c r="D11392" s="1348"/>
      <c r="E11392" s="1348"/>
      <c r="F11392" s="1348"/>
      <c r="G11392" s="1348"/>
      <c r="H11392" s="1348"/>
      <c r="I11392" s="1348"/>
      <c r="J11392" s="1348"/>
      <c r="K11392" s="1348"/>
    </row>
    <row r="11393" spans="2:11" hidden="1">
      <c r="B11393" s="1348"/>
      <c r="C11393" s="1348"/>
      <c r="D11393" s="1348"/>
      <c r="E11393" s="1348"/>
      <c r="F11393" s="1348"/>
      <c r="G11393" s="1348"/>
      <c r="H11393" s="1348"/>
      <c r="I11393" s="1348"/>
      <c r="J11393" s="1348"/>
      <c r="K11393" s="1348"/>
    </row>
    <row r="11394" spans="2:11" hidden="1">
      <c r="B11394" s="1348"/>
      <c r="C11394" s="1348"/>
      <c r="D11394" s="1348"/>
      <c r="E11394" s="1348"/>
      <c r="F11394" s="1348"/>
      <c r="G11394" s="1348"/>
      <c r="H11394" s="1348"/>
      <c r="I11394" s="1348"/>
      <c r="J11394" s="1348"/>
      <c r="K11394" s="1348"/>
    </row>
    <row r="11395" spans="2:11" hidden="1">
      <c r="B11395" s="1348"/>
      <c r="C11395" s="1348"/>
      <c r="D11395" s="1348"/>
      <c r="E11395" s="1348"/>
      <c r="F11395" s="1348"/>
      <c r="G11395" s="1348"/>
      <c r="H11395" s="1348"/>
      <c r="I11395" s="1348"/>
      <c r="J11395" s="1348"/>
      <c r="K11395" s="1348"/>
    </row>
    <row r="11396" spans="2:11" hidden="1">
      <c r="B11396" s="1348"/>
      <c r="C11396" s="1348"/>
      <c r="D11396" s="1348"/>
      <c r="E11396" s="1348"/>
      <c r="F11396" s="1348"/>
      <c r="G11396" s="1348"/>
      <c r="H11396" s="1348"/>
      <c r="I11396" s="1348"/>
      <c r="J11396" s="1348"/>
      <c r="K11396" s="1348"/>
    </row>
    <row r="11397" spans="2:11" hidden="1">
      <c r="B11397" s="1348"/>
      <c r="C11397" s="1348"/>
      <c r="D11397" s="1348"/>
      <c r="E11397" s="1348"/>
      <c r="F11397" s="1348"/>
      <c r="G11397" s="1348"/>
      <c r="H11397" s="1348"/>
      <c r="I11397" s="1348"/>
      <c r="J11397" s="1348"/>
      <c r="K11397" s="1348"/>
    </row>
    <row r="11398" spans="2:11" hidden="1">
      <c r="B11398" s="1348"/>
      <c r="C11398" s="1348"/>
      <c r="D11398" s="1348"/>
      <c r="E11398" s="1348"/>
      <c r="F11398" s="1348"/>
      <c r="G11398" s="1348"/>
      <c r="H11398" s="1348"/>
      <c r="I11398" s="1348"/>
      <c r="J11398" s="1348"/>
      <c r="K11398" s="1348"/>
    </row>
    <row r="11399" spans="2:11" hidden="1">
      <c r="B11399" s="1348"/>
      <c r="C11399" s="1348"/>
      <c r="D11399" s="1348"/>
      <c r="E11399" s="1348"/>
      <c r="F11399" s="1348"/>
      <c r="G11399" s="1348"/>
      <c r="H11399" s="1348"/>
      <c r="I11399" s="1348"/>
      <c r="J11399" s="1348"/>
      <c r="K11399" s="1348"/>
    </row>
    <row r="11400" spans="2:11" hidden="1">
      <c r="B11400" s="1348"/>
      <c r="C11400" s="1348"/>
      <c r="D11400" s="1348"/>
      <c r="E11400" s="1348"/>
      <c r="F11400" s="1348"/>
      <c r="G11400" s="1348"/>
      <c r="H11400" s="1348"/>
      <c r="I11400" s="1348"/>
      <c r="J11400" s="1348"/>
      <c r="K11400" s="1348"/>
    </row>
    <row r="11401" spans="2:11" hidden="1">
      <c r="B11401" s="1348"/>
      <c r="C11401" s="1348"/>
      <c r="D11401" s="1348"/>
      <c r="E11401" s="1348"/>
      <c r="F11401" s="1348"/>
      <c r="G11401" s="1348"/>
      <c r="H11401" s="1348"/>
      <c r="I11401" s="1348"/>
      <c r="J11401" s="1348"/>
      <c r="K11401" s="1348"/>
    </row>
    <row r="11402" spans="2:11" hidden="1">
      <c r="B11402" s="1348"/>
      <c r="C11402" s="1348"/>
      <c r="D11402" s="1348"/>
      <c r="E11402" s="1348"/>
      <c r="F11402" s="1348"/>
      <c r="G11402" s="1348"/>
      <c r="H11402" s="1348"/>
      <c r="I11402" s="1348"/>
      <c r="J11402" s="1348"/>
      <c r="K11402" s="1348"/>
    </row>
    <row r="11403" spans="2:11" hidden="1">
      <c r="B11403" s="1348"/>
      <c r="C11403" s="1348"/>
      <c r="D11403" s="1348"/>
      <c r="E11403" s="1348"/>
      <c r="F11403" s="1348"/>
      <c r="G11403" s="1348"/>
      <c r="H11403" s="1348"/>
      <c r="I11403" s="1348"/>
      <c r="J11403" s="1348"/>
      <c r="K11403" s="1348"/>
    </row>
    <row r="11404" spans="2:11" hidden="1">
      <c r="B11404" s="1348"/>
      <c r="C11404" s="1348"/>
      <c r="D11404" s="1348"/>
      <c r="E11404" s="1348"/>
      <c r="F11404" s="1348"/>
      <c r="G11404" s="1348"/>
      <c r="H11404" s="1348"/>
      <c r="I11404" s="1348"/>
      <c r="J11404" s="1348"/>
      <c r="K11404" s="1348"/>
    </row>
    <row r="11405" spans="2:11" hidden="1">
      <c r="B11405" s="1348"/>
      <c r="C11405" s="1348"/>
      <c r="D11405" s="1348"/>
      <c r="E11405" s="1348"/>
      <c r="F11405" s="1348"/>
      <c r="G11405" s="1348"/>
      <c r="H11405" s="1348"/>
      <c r="I11405" s="1348"/>
      <c r="J11405" s="1348"/>
      <c r="K11405" s="1348"/>
    </row>
    <row r="11406" spans="2:11" hidden="1">
      <c r="B11406" s="1348"/>
      <c r="C11406" s="1348"/>
      <c r="D11406" s="1348"/>
      <c r="E11406" s="1348"/>
      <c r="F11406" s="1348"/>
      <c r="G11406" s="1348"/>
      <c r="H11406" s="1348"/>
      <c r="I11406" s="1348"/>
      <c r="J11406" s="1348"/>
      <c r="K11406" s="1348"/>
    </row>
    <row r="11407" spans="2:11" hidden="1">
      <c r="B11407" s="1348"/>
      <c r="C11407" s="1348"/>
      <c r="D11407" s="1348"/>
      <c r="E11407" s="1348"/>
      <c r="F11407" s="1348"/>
      <c r="G11407" s="1348"/>
      <c r="H11407" s="1348"/>
      <c r="I11407" s="1348"/>
      <c r="J11407" s="1348"/>
      <c r="K11407" s="1348"/>
    </row>
    <row r="11408" spans="2:11" hidden="1">
      <c r="B11408" s="1348"/>
      <c r="C11408" s="1348"/>
      <c r="D11408" s="1348"/>
      <c r="E11408" s="1348"/>
      <c r="F11408" s="1348"/>
      <c r="G11408" s="1348"/>
      <c r="H11408" s="1348"/>
      <c r="I11408" s="1348"/>
      <c r="J11408" s="1348"/>
      <c r="K11408" s="1348"/>
    </row>
    <row r="11409" spans="2:11" hidden="1">
      <c r="B11409" s="1348"/>
      <c r="C11409" s="1348"/>
      <c r="D11409" s="1348"/>
      <c r="E11409" s="1348"/>
      <c r="F11409" s="1348"/>
      <c r="G11409" s="1348"/>
      <c r="H11409" s="1348"/>
      <c r="I11409" s="1348"/>
      <c r="J11409" s="1348"/>
      <c r="K11409" s="1348"/>
    </row>
    <row r="11410" spans="2:11" hidden="1">
      <c r="B11410" s="1348"/>
      <c r="C11410" s="1348"/>
      <c r="D11410" s="1348"/>
      <c r="E11410" s="1348"/>
      <c r="F11410" s="1348"/>
      <c r="G11410" s="1348"/>
      <c r="H11410" s="1348"/>
      <c r="I11410" s="1348"/>
      <c r="J11410" s="1348"/>
      <c r="K11410" s="1348"/>
    </row>
    <row r="11411" spans="2:11" hidden="1">
      <c r="B11411" s="1348"/>
      <c r="C11411" s="1348"/>
      <c r="D11411" s="1348"/>
      <c r="E11411" s="1348"/>
      <c r="F11411" s="1348"/>
      <c r="G11411" s="1348"/>
      <c r="H11411" s="1348"/>
      <c r="I11411" s="1348"/>
      <c r="J11411" s="1348"/>
      <c r="K11411" s="1348"/>
    </row>
    <row r="11412" spans="2:11" hidden="1">
      <c r="B11412" s="1348"/>
      <c r="C11412" s="1348"/>
      <c r="D11412" s="1348"/>
      <c r="E11412" s="1348"/>
      <c r="F11412" s="1348"/>
      <c r="G11412" s="1348"/>
      <c r="H11412" s="1348"/>
      <c r="I11412" s="1348"/>
      <c r="J11412" s="1348"/>
      <c r="K11412" s="1348"/>
    </row>
    <row r="11413" spans="2:11" hidden="1">
      <c r="B11413" s="1348"/>
      <c r="C11413" s="1348"/>
      <c r="D11413" s="1348"/>
      <c r="E11413" s="1348"/>
      <c r="F11413" s="1348"/>
      <c r="G11413" s="1348"/>
      <c r="H11413" s="1348"/>
      <c r="I11413" s="1348"/>
      <c r="J11413" s="1348"/>
      <c r="K11413" s="1348"/>
    </row>
    <row r="11414" spans="2:11" hidden="1">
      <c r="B11414" s="1348"/>
      <c r="C11414" s="1348"/>
      <c r="D11414" s="1348"/>
      <c r="E11414" s="1348"/>
      <c r="F11414" s="1348"/>
      <c r="G11414" s="1348"/>
      <c r="H11414" s="1348"/>
      <c r="I11414" s="1348"/>
      <c r="J11414" s="1348"/>
      <c r="K11414" s="1348"/>
    </row>
    <row r="11415" spans="2:11" hidden="1">
      <c r="B11415" s="1348"/>
      <c r="C11415" s="1348"/>
      <c r="D11415" s="1348"/>
      <c r="E11415" s="1348"/>
      <c r="F11415" s="1348"/>
      <c r="G11415" s="1348"/>
      <c r="H11415" s="1348"/>
      <c r="I11415" s="1348"/>
      <c r="J11415" s="1348"/>
      <c r="K11415" s="1348"/>
    </row>
    <row r="11416" spans="2:11" hidden="1">
      <c r="B11416" s="1348"/>
      <c r="C11416" s="1348"/>
      <c r="D11416" s="1348"/>
      <c r="E11416" s="1348"/>
      <c r="F11416" s="1348"/>
      <c r="G11416" s="1348"/>
      <c r="H11416" s="1348"/>
      <c r="I11416" s="1348"/>
      <c r="J11416" s="1348"/>
      <c r="K11416" s="1348"/>
    </row>
    <row r="11417" spans="2:11" hidden="1">
      <c r="B11417" s="1348"/>
      <c r="C11417" s="1348"/>
      <c r="D11417" s="1348"/>
      <c r="E11417" s="1348"/>
      <c r="F11417" s="1348"/>
      <c r="G11417" s="1348"/>
      <c r="H11417" s="1348"/>
      <c r="I11417" s="1348"/>
      <c r="J11417" s="1348"/>
      <c r="K11417" s="1348"/>
    </row>
    <row r="11418" spans="2:11" hidden="1">
      <c r="B11418" s="1348"/>
      <c r="C11418" s="1348"/>
      <c r="D11418" s="1348"/>
      <c r="E11418" s="1348"/>
      <c r="F11418" s="1348"/>
      <c r="G11418" s="1348"/>
      <c r="H11418" s="1348"/>
      <c r="I11418" s="1348"/>
      <c r="J11418" s="1348"/>
      <c r="K11418" s="1348"/>
    </row>
    <row r="11419" spans="2:11" hidden="1">
      <c r="B11419" s="1348"/>
      <c r="C11419" s="1348"/>
      <c r="D11419" s="1348"/>
      <c r="E11419" s="1348"/>
      <c r="F11419" s="1348"/>
      <c r="G11419" s="1348"/>
      <c r="H11419" s="1348"/>
      <c r="I11419" s="1348"/>
      <c r="J11419" s="1348"/>
      <c r="K11419" s="1348"/>
    </row>
    <row r="11420" spans="2:11" hidden="1">
      <c r="B11420" s="1348"/>
      <c r="C11420" s="1348"/>
      <c r="D11420" s="1348"/>
      <c r="E11420" s="1348"/>
      <c r="F11420" s="1348"/>
      <c r="G11420" s="1348"/>
      <c r="H11420" s="1348"/>
      <c r="I11420" s="1348"/>
      <c r="J11420" s="1348"/>
      <c r="K11420" s="1348"/>
    </row>
    <row r="11421" spans="2:11" hidden="1">
      <c r="B11421" s="1348"/>
      <c r="C11421" s="1348"/>
      <c r="D11421" s="1348"/>
      <c r="E11421" s="1348"/>
      <c r="F11421" s="1348"/>
      <c r="G11421" s="1348"/>
      <c r="H11421" s="1348"/>
      <c r="I11421" s="1348"/>
      <c r="J11421" s="1348"/>
      <c r="K11421" s="1348"/>
    </row>
    <row r="11422" spans="2:11" hidden="1">
      <c r="B11422" s="1348"/>
      <c r="C11422" s="1348"/>
      <c r="D11422" s="1348"/>
      <c r="E11422" s="1348"/>
      <c r="F11422" s="1348"/>
      <c r="G11422" s="1348"/>
      <c r="H11422" s="1348"/>
      <c r="I11422" s="1348"/>
      <c r="J11422" s="1348"/>
      <c r="K11422" s="1348"/>
    </row>
    <row r="11423" spans="2:11" hidden="1">
      <c r="B11423" s="1348"/>
      <c r="C11423" s="1348"/>
      <c r="D11423" s="1348"/>
      <c r="E11423" s="1348"/>
      <c r="F11423" s="1348"/>
      <c r="G11423" s="1348"/>
      <c r="H11423" s="1348"/>
      <c r="I11423" s="1348"/>
      <c r="J11423" s="1348"/>
      <c r="K11423" s="1348"/>
    </row>
    <row r="11424" spans="2:11" hidden="1">
      <c r="B11424" s="1348"/>
      <c r="C11424" s="1348"/>
      <c r="D11424" s="1348"/>
      <c r="E11424" s="1348"/>
      <c r="F11424" s="1348"/>
      <c r="G11424" s="1348"/>
      <c r="H11424" s="1348"/>
      <c r="I11424" s="1348"/>
      <c r="J11424" s="1348"/>
      <c r="K11424" s="1348"/>
    </row>
    <row r="11425" spans="2:11" hidden="1">
      <c r="B11425" s="1348"/>
      <c r="C11425" s="1348"/>
      <c r="D11425" s="1348"/>
      <c r="E11425" s="1348"/>
      <c r="F11425" s="1348"/>
      <c r="G11425" s="1348"/>
      <c r="H11425" s="1348"/>
      <c r="I11425" s="1348"/>
      <c r="J11425" s="1348"/>
      <c r="K11425" s="1348"/>
    </row>
    <row r="11426" spans="2:11" hidden="1">
      <c r="B11426" s="1348"/>
      <c r="C11426" s="1348"/>
      <c r="D11426" s="1348"/>
      <c r="E11426" s="1348"/>
      <c r="F11426" s="1348"/>
      <c r="G11426" s="1348"/>
      <c r="H11426" s="1348"/>
      <c r="I11426" s="1348"/>
      <c r="J11426" s="1348"/>
      <c r="K11426" s="1348"/>
    </row>
    <row r="11427" spans="2:11" hidden="1">
      <c r="B11427" s="1348"/>
      <c r="C11427" s="1348"/>
      <c r="D11427" s="1348"/>
      <c r="E11427" s="1348"/>
      <c r="F11427" s="1348"/>
      <c r="G11427" s="1348"/>
      <c r="H11427" s="1348"/>
      <c r="I11427" s="1348"/>
      <c r="J11427" s="1348"/>
      <c r="K11427" s="1348"/>
    </row>
    <row r="11428" spans="2:11" hidden="1">
      <c r="B11428" s="1348"/>
      <c r="C11428" s="1348"/>
      <c r="D11428" s="1348"/>
      <c r="E11428" s="1348"/>
      <c r="F11428" s="1348"/>
      <c r="G11428" s="1348"/>
      <c r="H11428" s="1348"/>
      <c r="I11428" s="1348"/>
      <c r="J11428" s="1348"/>
      <c r="K11428" s="1348"/>
    </row>
    <row r="11429" spans="2:11" hidden="1">
      <c r="B11429" s="1348"/>
      <c r="C11429" s="1348"/>
      <c r="D11429" s="1348"/>
      <c r="E11429" s="1348"/>
      <c r="F11429" s="1348"/>
      <c r="G11429" s="1348"/>
      <c r="H11429" s="1348"/>
      <c r="I11429" s="1348"/>
      <c r="J11429" s="1348"/>
      <c r="K11429" s="1348"/>
    </row>
    <row r="11430" spans="2:11" hidden="1">
      <c r="B11430" s="1348"/>
      <c r="C11430" s="1348"/>
      <c r="D11430" s="1348"/>
      <c r="E11430" s="1348"/>
      <c r="F11430" s="1348"/>
      <c r="G11430" s="1348"/>
      <c r="H11430" s="1348"/>
      <c r="I11430" s="1348"/>
      <c r="J11430" s="1348"/>
      <c r="K11430" s="1348"/>
    </row>
    <row r="11431" spans="2:11" hidden="1">
      <c r="B11431" s="1348"/>
      <c r="C11431" s="1348"/>
      <c r="D11431" s="1348"/>
      <c r="E11431" s="1348"/>
      <c r="F11431" s="1348"/>
      <c r="G11431" s="1348"/>
      <c r="H11431" s="1348"/>
      <c r="I11431" s="1348"/>
      <c r="J11431" s="1348"/>
      <c r="K11431" s="1348"/>
    </row>
    <row r="11432" spans="2:11" hidden="1">
      <c r="B11432" s="1348"/>
      <c r="C11432" s="1348"/>
      <c r="D11432" s="1348"/>
      <c r="E11432" s="1348"/>
      <c r="F11432" s="1348"/>
      <c r="G11432" s="1348"/>
      <c r="H11432" s="1348"/>
      <c r="I11432" s="1348"/>
      <c r="J11432" s="1348"/>
      <c r="K11432" s="1348"/>
    </row>
    <row r="11433" spans="2:11" hidden="1">
      <c r="B11433" s="1348"/>
      <c r="C11433" s="1348"/>
      <c r="D11433" s="1348"/>
      <c r="E11433" s="1348"/>
      <c r="F11433" s="1348"/>
      <c r="G11433" s="1348"/>
      <c r="H11433" s="1348"/>
      <c r="I11433" s="1348"/>
      <c r="J11433" s="1348"/>
      <c r="K11433" s="1348"/>
    </row>
    <row r="11434" spans="2:11" hidden="1">
      <c r="B11434" s="1348"/>
      <c r="C11434" s="1348"/>
      <c r="D11434" s="1348"/>
      <c r="E11434" s="1348"/>
      <c r="F11434" s="1348"/>
      <c r="G11434" s="1348"/>
      <c r="H11434" s="1348"/>
      <c r="I11434" s="1348"/>
      <c r="J11434" s="1348"/>
      <c r="K11434" s="1348"/>
    </row>
    <row r="11435" spans="2:11" hidden="1">
      <c r="B11435" s="1348"/>
      <c r="C11435" s="1348"/>
      <c r="D11435" s="1348"/>
      <c r="E11435" s="1348"/>
      <c r="F11435" s="1348"/>
      <c r="G11435" s="1348"/>
      <c r="H11435" s="1348"/>
      <c r="I11435" s="1348"/>
      <c r="J11435" s="1348"/>
      <c r="K11435" s="1348"/>
    </row>
    <row r="11436" spans="2:11" hidden="1">
      <c r="B11436" s="1348"/>
      <c r="C11436" s="1348"/>
      <c r="D11436" s="1348"/>
      <c r="E11436" s="1348"/>
      <c r="F11436" s="1348"/>
      <c r="G11436" s="1348"/>
      <c r="H11436" s="1348"/>
      <c r="I11436" s="1348"/>
      <c r="J11436" s="1348"/>
      <c r="K11436" s="1348"/>
    </row>
    <row r="11437" spans="2:11" hidden="1">
      <c r="B11437" s="1348"/>
      <c r="C11437" s="1348"/>
      <c r="D11437" s="1348"/>
      <c r="E11437" s="1348"/>
      <c r="F11437" s="1348"/>
      <c r="G11437" s="1348"/>
      <c r="H11437" s="1348"/>
      <c r="I11437" s="1348"/>
      <c r="J11437" s="1348"/>
      <c r="K11437" s="1348"/>
    </row>
    <row r="11438" spans="2:11" hidden="1">
      <c r="B11438" s="1348"/>
      <c r="C11438" s="1348"/>
      <c r="D11438" s="1348"/>
      <c r="E11438" s="1348"/>
      <c r="F11438" s="1348"/>
      <c r="G11438" s="1348"/>
      <c r="H11438" s="1348"/>
      <c r="I11438" s="1348"/>
      <c r="J11438" s="1348"/>
      <c r="K11438" s="1348"/>
    </row>
    <row r="11439" spans="2:11" hidden="1">
      <c r="B11439" s="1348"/>
      <c r="C11439" s="1348"/>
      <c r="D11439" s="1348"/>
      <c r="E11439" s="1348"/>
      <c r="F11439" s="1348"/>
      <c r="G11439" s="1348"/>
      <c r="H11439" s="1348"/>
      <c r="I11439" s="1348"/>
      <c r="J11439" s="1348"/>
      <c r="K11439" s="1348"/>
    </row>
    <row r="11440" spans="2:11" hidden="1">
      <c r="B11440" s="1348"/>
      <c r="C11440" s="1348"/>
      <c r="D11440" s="1348"/>
      <c r="E11440" s="1348"/>
      <c r="F11440" s="1348"/>
      <c r="G11440" s="1348"/>
      <c r="H11440" s="1348"/>
      <c r="I11440" s="1348"/>
      <c r="J11440" s="1348"/>
      <c r="K11440" s="1348"/>
    </row>
    <row r="11441" spans="2:11" hidden="1">
      <c r="B11441" s="1348"/>
      <c r="C11441" s="1348"/>
      <c r="D11441" s="1348"/>
      <c r="E11441" s="1348"/>
      <c r="F11441" s="1348"/>
      <c r="G11441" s="1348"/>
      <c r="H11441" s="1348"/>
      <c r="I11441" s="1348"/>
      <c r="J11441" s="1348"/>
      <c r="K11441" s="1348"/>
    </row>
    <row r="11442" spans="2:11" hidden="1">
      <c r="B11442" s="1348"/>
      <c r="C11442" s="1348"/>
      <c r="D11442" s="1348"/>
      <c r="E11442" s="1348"/>
      <c r="F11442" s="1348"/>
      <c r="G11442" s="1348"/>
      <c r="H11442" s="1348"/>
      <c r="I11442" s="1348"/>
      <c r="J11442" s="1348"/>
      <c r="K11442" s="1348"/>
    </row>
    <row r="11443" spans="2:11" hidden="1">
      <c r="B11443" s="1348"/>
      <c r="C11443" s="1348"/>
      <c r="D11443" s="1348"/>
      <c r="E11443" s="1348"/>
      <c r="F11443" s="1348"/>
      <c r="G11443" s="1348"/>
      <c r="H11443" s="1348"/>
      <c r="I11443" s="1348"/>
      <c r="J11443" s="1348"/>
      <c r="K11443" s="1348"/>
    </row>
    <row r="11444" spans="2:11" hidden="1">
      <c r="B11444" s="1348"/>
      <c r="C11444" s="1348"/>
      <c r="D11444" s="1348"/>
      <c r="E11444" s="1348"/>
      <c r="F11444" s="1348"/>
      <c r="G11444" s="1348"/>
      <c r="H11444" s="1348"/>
      <c r="I11444" s="1348"/>
      <c r="J11444" s="1348"/>
      <c r="K11444" s="1348"/>
    </row>
    <row r="11445" spans="2:11" hidden="1">
      <c r="B11445" s="1348"/>
      <c r="C11445" s="1348"/>
      <c r="D11445" s="1348"/>
      <c r="E11445" s="1348"/>
      <c r="F11445" s="1348"/>
      <c r="G11445" s="1348"/>
      <c r="H11445" s="1348"/>
      <c r="I11445" s="1348"/>
      <c r="J11445" s="1348"/>
      <c r="K11445" s="1348"/>
    </row>
    <row r="11446" spans="2:11" hidden="1">
      <c r="B11446" s="1348"/>
      <c r="C11446" s="1348"/>
      <c r="D11446" s="1348"/>
      <c r="E11446" s="1348"/>
      <c r="F11446" s="1348"/>
      <c r="G11446" s="1348"/>
      <c r="H11446" s="1348"/>
      <c r="I11446" s="1348"/>
      <c r="J11446" s="1348"/>
      <c r="K11446" s="1348"/>
    </row>
    <row r="11447" spans="2:11" hidden="1">
      <c r="B11447" s="1348"/>
      <c r="C11447" s="1348"/>
      <c r="D11447" s="1348"/>
      <c r="E11447" s="1348"/>
      <c r="F11447" s="1348"/>
      <c r="G11447" s="1348"/>
      <c r="H11447" s="1348"/>
      <c r="I11447" s="1348"/>
      <c r="J11447" s="1348"/>
      <c r="K11447" s="1348"/>
    </row>
    <row r="11448" spans="2:11" hidden="1">
      <c r="B11448" s="1348"/>
      <c r="C11448" s="1348"/>
      <c r="D11448" s="1348"/>
      <c r="E11448" s="1348"/>
      <c r="F11448" s="1348"/>
      <c r="G11448" s="1348"/>
      <c r="H11448" s="1348"/>
      <c r="I11448" s="1348"/>
      <c r="J11448" s="1348"/>
      <c r="K11448" s="1348"/>
    </row>
    <row r="11449" spans="2:11" hidden="1">
      <c r="B11449" s="1348"/>
      <c r="C11449" s="1348"/>
      <c r="D11449" s="1348"/>
      <c r="E11449" s="1348"/>
      <c r="F11449" s="1348"/>
      <c r="G11449" s="1348"/>
      <c r="H11449" s="1348"/>
      <c r="I11449" s="1348"/>
      <c r="J11449" s="1348"/>
      <c r="K11449" s="1348"/>
    </row>
    <row r="11450" spans="2:11" hidden="1">
      <c r="B11450" s="1348"/>
      <c r="C11450" s="1348"/>
      <c r="D11450" s="1348"/>
      <c r="E11450" s="1348"/>
      <c r="F11450" s="1348"/>
      <c r="G11450" s="1348"/>
      <c r="H11450" s="1348"/>
      <c r="I11450" s="1348"/>
      <c r="J11450" s="1348"/>
      <c r="K11450" s="1348"/>
    </row>
    <row r="11451" spans="2:11" hidden="1">
      <c r="B11451" s="1348"/>
      <c r="C11451" s="1348"/>
      <c r="D11451" s="1348"/>
      <c r="E11451" s="1348"/>
      <c r="F11451" s="1348"/>
      <c r="G11451" s="1348"/>
      <c r="H11451" s="1348"/>
      <c r="I11451" s="1348"/>
      <c r="J11451" s="1348"/>
      <c r="K11451" s="1348"/>
    </row>
    <row r="11452" spans="2:11" hidden="1">
      <c r="B11452" s="1348"/>
      <c r="C11452" s="1348"/>
      <c r="D11452" s="1348"/>
      <c r="E11452" s="1348"/>
      <c r="F11452" s="1348"/>
      <c r="G11452" s="1348"/>
      <c r="H11452" s="1348"/>
      <c r="I11452" s="1348"/>
      <c r="J11452" s="1348"/>
      <c r="K11452" s="1348"/>
    </row>
    <row r="11453" spans="2:11" hidden="1">
      <c r="B11453" s="1348"/>
      <c r="C11453" s="1348"/>
      <c r="D11453" s="1348"/>
      <c r="E11453" s="1348"/>
      <c r="F11453" s="1348"/>
      <c r="G11453" s="1348"/>
      <c r="H11453" s="1348"/>
      <c r="I11453" s="1348"/>
      <c r="J11453" s="1348"/>
      <c r="K11453" s="1348"/>
    </row>
    <row r="11454" spans="2:11" hidden="1">
      <c r="B11454" s="1348"/>
      <c r="C11454" s="1348"/>
      <c r="D11454" s="1348"/>
      <c r="E11454" s="1348"/>
      <c r="F11454" s="1348"/>
      <c r="G11454" s="1348"/>
      <c r="H11454" s="1348"/>
      <c r="I11454" s="1348"/>
      <c r="J11454" s="1348"/>
      <c r="K11454" s="1348"/>
    </row>
    <row r="11455" spans="2:11" hidden="1">
      <c r="B11455" s="1348"/>
      <c r="C11455" s="1348"/>
      <c r="D11455" s="1348"/>
      <c r="E11455" s="1348"/>
      <c r="F11455" s="1348"/>
      <c r="G11455" s="1348"/>
      <c r="H11455" s="1348"/>
      <c r="I11455" s="1348"/>
      <c r="J11455" s="1348"/>
      <c r="K11455" s="1348"/>
    </row>
    <row r="11456" spans="2:11" hidden="1">
      <c r="B11456" s="1348"/>
      <c r="C11456" s="1348"/>
      <c r="D11456" s="1348"/>
      <c r="E11456" s="1348"/>
      <c r="F11456" s="1348"/>
      <c r="G11456" s="1348"/>
      <c r="H11456" s="1348"/>
      <c r="I11456" s="1348"/>
      <c r="J11456" s="1348"/>
      <c r="K11456" s="1348"/>
    </row>
    <row r="11457" spans="2:11" hidden="1">
      <c r="B11457" s="1348"/>
      <c r="C11457" s="1348"/>
      <c r="D11457" s="1348"/>
      <c r="E11457" s="1348"/>
      <c r="F11457" s="1348"/>
      <c r="G11457" s="1348"/>
      <c r="H11457" s="1348"/>
      <c r="I11457" s="1348"/>
      <c r="J11457" s="1348"/>
      <c r="K11457" s="1348"/>
    </row>
    <row r="11458" spans="2:11" hidden="1">
      <c r="B11458" s="1348"/>
      <c r="C11458" s="1348"/>
      <c r="D11458" s="1348"/>
      <c r="E11458" s="1348"/>
      <c r="F11458" s="1348"/>
      <c r="G11458" s="1348"/>
      <c r="H11458" s="1348"/>
      <c r="I11458" s="1348"/>
      <c r="J11458" s="1348"/>
      <c r="K11458" s="1348"/>
    </row>
    <row r="11459" spans="2:11" hidden="1">
      <c r="B11459" s="1348"/>
      <c r="C11459" s="1348"/>
      <c r="D11459" s="1348"/>
      <c r="E11459" s="1348"/>
      <c r="F11459" s="1348"/>
      <c r="G11459" s="1348"/>
      <c r="H11459" s="1348"/>
      <c r="I11459" s="1348"/>
      <c r="J11459" s="1348"/>
      <c r="K11459" s="1348"/>
    </row>
    <row r="11460" spans="2:11" hidden="1">
      <c r="B11460" s="1348"/>
      <c r="C11460" s="1348"/>
      <c r="D11460" s="1348"/>
      <c r="E11460" s="1348"/>
      <c r="F11460" s="1348"/>
      <c r="G11460" s="1348"/>
      <c r="H11460" s="1348"/>
      <c r="I11460" s="1348"/>
      <c r="J11460" s="1348"/>
      <c r="K11460" s="1348"/>
    </row>
    <row r="11461" spans="2:11" hidden="1">
      <c r="B11461" s="1348"/>
      <c r="C11461" s="1348"/>
      <c r="D11461" s="1348"/>
      <c r="E11461" s="1348"/>
      <c r="F11461" s="1348"/>
      <c r="G11461" s="1348"/>
      <c r="H11461" s="1348"/>
      <c r="I11461" s="1348"/>
      <c r="J11461" s="1348"/>
      <c r="K11461" s="1348"/>
    </row>
    <row r="11462" spans="2:11" hidden="1">
      <c r="B11462" s="1348"/>
      <c r="C11462" s="1348"/>
      <c r="D11462" s="1348"/>
      <c r="E11462" s="1348"/>
      <c r="F11462" s="1348"/>
      <c r="G11462" s="1348"/>
      <c r="H11462" s="1348"/>
      <c r="I11462" s="1348"/>
      <c r="J11462" s="1348"/>
      <c r="K11462" s="1348"/>
    </row>
    <row r="11463" spans="2:11" hidden="1">
      <c r="B11463" s="1348"/>
      <c r="C11463" s="1348"/>
      <c r="D11463" s="1348"/>
      <c r="E11463" s="1348"/>
      <c r="F11463" s="1348"/>
      <c r="G11463" s="1348"/>
      <c r="H11463" s="1348"/>
      <c r="I11463" s="1348"/>
      <c r="J11463" s="1348"/>
      <c r="K11463" s="1348"/>
    </row>
    <row r="11464" spans="2:11" hidden="1">
      <c r="B11464" s="1348"/>
      <c r="C11464" s="1348"/>
      <c r="D11464" s="1348"/>
      <c r="E11464" s="1348"/>
      <c r="F11464" s="1348"/>
      <c r="G11464" s="1348"/>
      <c r="H11464" s="1348"/>
      <c r="I11464" s="1348"/>
      <c r="J11464" s="1348"/>
      <c r="K11464" s="1348"/>
    </row>
    <row r="11465" spans="2:11" hidden="1">
      <c r="B11465" s="1348"/>
      <c r="C11465" s="1348"/>
      <c r="D11465" s="1348"/>
      <c r="E11465" s="1348"/>
      <c r="F11465" s="1348"/>
      <c r="G11465" s="1348"/>
      <c r="H11465" s="1348"/>
      <c r="I11465" s="1348"/>
      <c r="J11465" s="1348"/>
      <c r="K11465" s="1348"/>
    </row>
    <row r="11466" spans="2:11" hidden="1">
      <c r="B11466" s="1348"/>
      <c r="C11466" s="1348"/>
      <c r="D11466" s="1348"/>
      <c r="E11466" s="1348"/>
      <c r="F11466" s="1348"/>
      <c r="G11466" s="1348"/>
      <c r="H11466" s="1348"/>
      <c r="I11466" s="1348"/>
      <c r="J11466" s="1348"/>
      <c r="K11466" s="1348"/>
    </row>
    <row r="11467" spans="2:11" hidden="1">
      <c r="B11467" s="1348"/>
      <c r="C11467" s="1348"/>
      <c r="D11467" s="1348"/>
      <c r="E11467" s="1348"/>
      <c r="F11467" s="1348"/>
      <c r="G11467" s="1348"/>
      <c r="H11467" s="1348"/>
      <c r="I11467" s="1348"/>
      <c r="J11467" s="1348"/>
      <c r="K11467" s="1348"/>
    </row>
    <row r="11468" spans="2:11" hidden="1">
      <c r="B11468" s="1348"/>
      <c r="C11468" s="1348"/>
      <c r="D11468" s="1348"/>
      <c r="E11468" s="1348"/>
      <c r="F11468" s="1348"/>
      <c r="G11468" s="1348"/>
      <c r="H11468" s="1348"/>
      <c r="I11468" s="1348"/>
      <c r="J11468" s="1348"/>
      <c r="K11468" s="1348"/>
    </row>
    <row r="11469" spans="2:11" hidden="1">
      <c r="B11469" s="1348"/>
      <c r="C11469" s="1348"/>
      <c r="D11469" s="1348"/>
      <c r="E11469" s="1348"/>
      <c r="F11469" s="1348"/>
      <c r="G11469" s="1348"/>
      <c r="H11469" s="1348"/>
      <c r="I11469" s="1348"/>
      <c r="J11469" s="1348"/>
      <c r="K11469" s="1348"/>
    </row>
    <row r="11470" spans="2:11" hidden="1">
      <c r="B11470" s="1348"/>
      <c r="C11470" s="1348"/>
      <c r="D11470" s="1348"/>
      <c r="E11470" s="1348"/>
      <c r="F11470" s="1348"/>
      <c r="G11470" s="1348"/>
      <c r="H11470" s="1348"/>
      <c r="I11470" s="1348"/>
      <c r="J11470" s="1348"/>
      <c r="K11470" s="1348"/>
    </row>
    <row r="11471" spans="2:11" hidden="1">
      <c r="B11471" s="1348"/>
      <c r="C11471" s="1348"/>
      <c r="D11471" s="1348"/>
      <c r="E11471" s="1348"/>
      <c r="F11471" s="1348"/>
      <c r="G11471" s="1348"/>
      <c r="H11471" s="1348"/>
      <c r="I11471" s="1348"/>
      <c r="J11471" s="1348"/>
      <c r="K11471" s="1348"/>
    </row>
    <row r="11472" spans="2:11" hidden="1">
      <c r="B11472" s="1348"/>
      <c r="C11472" s="1348"/>
      <c r="D11472" s="1348"/>
      <c r="E11472" s="1348"/>
      <c r="F11472" s="1348"/>
      <c r="G11472" s="1348"/>
      <c r="H11472" s="1348"/>
      <c r="I11472" s="1348"/>
      <c r="J11472" s="1348"/>
      <c r="K11472" s="1348"/>
    </row>
    <row r="11473" spans="2:11" hidden="1">
      <c r="B11473" s="1348"/>
      <c r="C11473" s="1348"/>
      <c r="D11473" s="1348"/>
      <c r="E11473" s="1348"/>
      <c r="F11473" s="1348"/>
      <c r="G11473" s="1348"/>
      <c r="H11473" s="1348"/>
      <c r="I11473" s="1348"/>
      <c r="J11473" s="1348"/>
      <c r="K11473" s="1348"/>
    </row>
    <row r="11474" spans="2:11" hidden="1">
      <c r="B11474" s="1348"/>
      <c r="C11474" s="1348"/>
      <c r="D11474" s="1348"/>
      <c r="E11474" s="1348"/>
      <c r="F11474" s="1348"/>
      <c r="G11474" s="1348"/>
      <c r="H11474" s="1348"/>
      <c r="I11474" s="1348"/>
      <c r="J11474" s="1348"/>
      <c r="K11474" s="1348"/>
    </row>
    <row r="11475" spans="2:11" hidden="1">
      <c r="B11475" s="1348"/>
      <c r="C11475" s="1348"/>
      <c r="D11475" s="1348"/>
      <c r="E11475" s="1348"/>
      <c r="F11475" s="1348"/>
      <c r="G11475" s="1348"/>
      <c r="H11475" s="1348"/>
      <c r="I11475" s="1348"/>
      <c r="J11475" s="1348"/>
      <c r="K11475" s="1348"/>
    </row>
    <row r="11476" spans="2:11" hidden="1">
      <c r="B11476" s="1348"/>
      <c r="C11476" s="1348"/>
      <c r="D11476" s="1348"/>
      <c r="E11476" s="1348"/>
      <c r="F11476" s="1348"/>
      <c r="G11476" s="1348"/>
      <c r="H11476" s="1348"/>
      <c r="I11476" s="1348"/>
      <c r="J11476" s="1348"/>
      <c r="K11476" s="1348"/>
    </row>
    <row r="11477" spans="2:11" hidden="1">
      <c r="B11477" s="1348"/>
      <c r="C11477" s="1348"/>
      <c r="D11477" s="1348"/>
      <c r="E11477" s="1348"/>
      <c r="F11477" s="1348"/>
      <c r="G11477" s="1348"/>
      <c r="H11477" s="1348"/>
      <c r="I11477" s="1348"/>
      <c r="J11477" s="1348"/>
      <c r="K11477" s="1348"/>
    </row>
    <row r="11478" spans="2:11" hidden="1">
      <c r="B11478" s="1348"/>
      <c r="C11478" s="1348"/>
      <c r="D11478" s="1348"/>
      <c r="E11478" s="1348"/>
      <c r="F11478" s="1348"/>
      <c r="G11478" s="1348"/>
      <c r="H11478" s="1348"/>
      <c r="I11478" s="1348"/>
      <c r="J11478" s="1348"/>
      <c r="K11478" s="1348"/>
    </row>
    <row r="11479" spans="2:11" hidden="1">
      <c r="B11479" s="1348"/>
      <c r="C11479" s="1348"/>
      <c r="D11479" s="1348"/>
      <c r="E11479" s="1348"/>
      <c r="F11479" s="1348"/>
      <c r="G11479" s="1348"/>
      <c r="H11479" s="1348"/>
      <c r="I11479" s="1348"/>
      <c r="J11479" s="1348"/>
      <c r="K11479" s="1348"/>
    </row>
    <row r="11480" spans="2:11" hidden="1">
      <c r="B11480" s="1348"/>
      <c r="C11480" s="1348"/>
      <c r="D11480" s="1348"/>
      <c r="E11480" s="1348"/>
      <c r="F11480" s="1348"/>
      <c r="G11480" s="1348"/>
      <c r="H11480" s="1348"/>
      <c r="I11480" s="1348"/>
      <c r="J11480" s="1348"/>
      <c r="K11480" s="1348"/>
    </row>
    <row r="11481" spans="2:11" hidden="1">
      <c r="B11481" s="1348"/>
      <c r="C11481" s="1348"/>
      <c r="D11481" s="1348"/>
      <c r="E11481" s="1348"/>
      <c r="F11481" s="1348"/>
      <c r="G11481" s="1348"/>
      <c r="H11481" s="1348"/>
      <c r="I11481" s="1348"/>
      <c r="J11481" s="1348"/>
      <c r="K11481" s="1348"/>
    </row>
    <row r="11482" spans="2:11" hidden="1">
      <c r="B11482" s="1348"/>
      <c r="C11482" s="1348"/>
      <c r="D11482" s="1348"/>
      <c r="E11482" s="1348"/>
      <c r="F11482" s="1348"/>
      <c r="G11482" s="1348"/>
      <c r="H11482" s="1348"/>
      <c r="I11482" s="1348"/>
      <c r="J11482" s="1348"/>
      <c r="K11482" s="1348"/>
    </row>
    <row r="11483" spans="2:11" hidden="1">
      <c r="B11483" s="1348"/>
      <c r="C11483" s="1348"/>
      <c r="D11483" s="1348"/>
      <c r="E11483" s="1348"/>
      <c r="F11483" s="1348"/>
      <c r="G11483" s="1348"/>
      <c r="H11483" s="1348"/>
      <c r="I11483" s="1348"/>
      <c r="J11483" s="1348"/>
      <c r="K11483" s="1348"/>
    </row>
    <row r="11484" spans="2:11" hidden="1">
      <c r="B11484" s="1348"/>
      <c r="C11484" s="1348"/>
      <c r="D11484" s="1348"/>
      <c r="E11484" s="1348"/>
      <c r="F11484" s="1348"/>
      <c r="G11484" s="1348"/>
      <c r="H11484" s="1348"/>
      <c r="I11484" s="1348"/>
      <c r="J11484" s="1348"/>
      <c r="K11484" s="1348"/>
    </row>
    <row r="11485" spans="2:11" hidden="1">
      <c r="B11485" s="1348"/>
      <c r="C11485" s="1348"/>
      <c r="D11485" s="1348"/>
      <c r="E11485" s="1348"/>
      <c r="F11485" s="1348"/>
      <c r="G11485" s="1348"/>
      <c r="H11485" s="1348"/>
      <c r="I11485" s="1348"/>
      <c r="J11485" s="1348"/>
      <c r="K11485" s="1348"/>
    </row>
    <row r="11486" spans="2:11" hidden="1">
      <c r="B11486" s="1348"/>
      <c r="C11486" s="1348"/>
      <c r="D11486" s="1348"/>
      <c r="E11486" s="1348"/>
      <c r="F11486" s="1348"/>
      <c r="G11486" s="1348"/>
      <c r="H11486" s="1348"/>
      <c r="I11486" s="1348"/>
      <c r="J11486" s="1348"/>
      <c r="K11486" s="1348"/>
    </row>
    <row r="11487" spans="2:11" hidden="1">
      <c r="B11487" s="1348"/>
      <c r="C11487" s="1348"/>
      <c r="D11487" s="1348"/>
      <c r="E11487" s="1348"/>
      <c r="F11487" s="1348"/>
      <c r="G11487" s="1348"/>
      <c r="H11487" s="1348"/>
      <c r="I11487" s="1348"/>
      <c r="J11487" s="1348"/>
      <c r="K11487" s="1348"/>
    </row>
    <row r="11488" spans="2:11" hidden="1">
      <c r="B11488" s="1348"/>
      <c r="C11488" s="1348"/>
      <c r="D11488" s="1348"/>
      <c r="E11488" s="1348"/>
      <c r="F11488" s="1348"/>
      <c r="G11488" s="1348"/>
      <c r="H11488" s="1348"/>
      <c r="I11488" s="1348"/>
      <c r="J11488" s="1348"/>
      <c r="K11488" s="1348"/>
    </row>
    <row r="11489" spans="2:11" hidden="1">
      <c r="B11489" s="1348"/>
      <c r="C11489" s="1348"/>
      <c r="D11489" s="1348"/>
      <c r="E11489" s="1348"/>
      <c r="F11489" s="1348"/>
      <c r="G11489" s="1348"/>
      <c r="H11489" s="1348"/>
      <c r="I11489" s="1348"/>
      <c r="J11489" s="1348"/>
      <c r="K11489" s="1348"/>
    </row>
    <row r="11490" spans="2:11" hidden="1">
      <c r="B11490" s="1348"/>
      <c r="C11490" s="1348"/>
      <c r="D11490" s="1348"/>
      <c r="E11490" s="1348"/>
      <c r="F11490" s="1348"/>
      <c r="G11490" s="1348"/>
      <c r="H11490" s="1348"/>
      <c r="I11490" s="1348"/>
      <c r="J11490" s="1348"/>
      <c r="K11490" s="1348"/>
    </row>
    <row r="11491" spans="2:11" hidden="1">
      <c r="B11491" s="1348"/>
      <c r="C11491" s="1348"/>
      <c r="D11491" s="1348"/>
      <c r="E11491" s="1348"/>
      <c r="F11491" s="1348"/>
      <c r="G11491" s="1348"/>
      <c r="H11491" s="1348"/>
      <c r="I11491" s="1348"/>
      <c r="J11491" s="1348"/>
      <c r="K11491" s="1348"/>
    </row>
    <row r="11492" spans="2:11" hidden="1">
      <c r="B11492" s="1348"/>
      <c r="C11492" s="1348"/>
      <c r="D11492" s="1348"/>
      <c r="E11492" s="1348"/>
      <c r="F11492" s="1348"/>
      <c r="G11492" s="1348"/>
      <c r="H11492" s="1348"/>
      <c r="I11492" s="1348"/>
      <c r="J11492" s="1348"/>
      <c r="K11492" s="1348"/>
    </row>
    <row r="11493" spans="2:11" hidden="1">
      <c r="B11493" s="1348"/>
      <c r="C11493" s="1348"/>
      <c r="D11493" s="1348"/>
      <c r="E11493" s="1348"/>
      <c r="F11493" s="1348"/>
      <c r="G11493" s="1348"/>
      <c r="H11493" s="1348"/>
      <c r="I11493" s="1348"/>
      <c r="J11493" s="1348"/>
      <c r="K11493" s="1348"/>
    </row>
    <row r="11494" spans="2:11" hidden="1">
      <c r="B11494" s="1348"/>
      <c r="C11494" s="1348"/>
      <c r="D11494" s="1348"/>
      <c r="E11494" s="1348"/>
      <c r="F11494" s="1348"/>
      <c r="G11494" s="1348"/>
      <c r="H11494" s="1348"/>
      <c r="I11494" s="1348"/>
      <c r="J11494" s="1348"/>
      <c r="K11494" s="1348"/>
    </row>
    <row r="11495" spans="2:11" hidden="1">
      <c r="B11495" s="1348"/>
      <c r="C11495" s="1348"/>
      <c r="D11495" s="1348"/>
      <c r="E11495" s="1348"/>
      <c r="F11495" s="1348"/>
      <c r="G11495" s="1348"/>
      <c r="H11495" s="1348"/>
      <c r="I11495" s="1348"/>
      <c r="J11495" s="1348"/>
      <c r="K11495" s="1348"/>
    </row>
    <row r="11496" spans="2:11" hidden="1">
      <c r="B11496" s="1348"/>
      <c r="C11496" s="1348"/>
      <c r="D11496" s="1348"/>
      <c r="E11496" s="1348"/>
      <c r="F11496" s="1348"/>
      <c r="G11496" s="1348"/>
      <c r="H11496" s="1348"/>
      <c r="I11496" s="1348"/>
      <c r="J11496" s="1348"/>
      <c r="K11496" s="1348"/>
    </row>
    <row r="11497" spans="2:11" hidden="1">
      <c r="B11497" s="1348"/>
      <c r="C11497" s="1348"/>
      <c r="D11497" s="1348"/>
      <c r="E11497" s="1348"/>
      <c r="F11497" s="1348"/>
      <c r="G11497" s="1348"/>
      <c r="H11497" s="1348"/>
      <c r="I11497" s="1348"/>
      <c r="J11497" s="1348"/>
      <c r="K11497" s="1348"/>
    </row>
    <row r="11498" spans="2:11" hidden="1">
      <c r="B11498" s="1348"/>
      <c r="C11498" s="1348"/>
      <c r="D11498" s="1348"/>
      <c r="E11498" s="1348"/>
      <c r="F11498" s="1348"/>
      <c r="G11498" s="1348"/>
      <c r="H11498" s="1348"/>
      <c r="I11498" s="1348"/>
      <c r="J11498" s="1348"/>
      <c r="K11498" s="1348"/>
    </row>
    <row r="11499" spans="2:11" hidden="1">
      <c r="B11499" s="1348"/>
      <c r="C11499" s="1348"/>
      <c r="D11499" s="1348"/>
      <c r="E11499" s="1348"/>
      <c r="F11499" s="1348"/>
      <c r="G11499" s="1348"/>
      <c r="H11499" s="1348"/>
      <c r="I11499" s="1348"/>
      <c r="J11499" s="1348"/>
      <c r="K11499" s="1348"/>
    </row>
    <row r="11500" spans="2:11" hidden="1">
      <c r="B11500" s="1348"/>
      <c r="C11500" s="1348"/>
      <c r="D11500" s="1348"/>
      <c r="E11500" s="1348"/>
      <c r="F11500" s="1348"/>
      <c r="G11500" s="1348"/>
      <c r="H11500" s="1348"/>
      <c r="I11500" s="1348"/>
      <c r="J11500" s="1348"/>
      <c r="K11500" s="1348"/>
    </row>
    <row r="11501" spans="2:11" hidden="1">
      <c r="B11501" s="1348"/>
      <c r="C11501" s="1348"/>
      <c r="D11501" s="1348"/>
      <c r="E11501" s="1348"/>
      <c r="F11501" s="1348"/>
      <c r="G11501" s="1348"/>
      <c r="H11501" s="1348"/>
      <c r="I11501" s="1348"/>
      <c r="J11501" s="1348"/>
      <c r="K11501" s="1348"/>
    </row>
    <row r="11502" spans="2:11" hidden="1">
      <c r="B11502" s="1348"/>
      <c r="C11502" s="1348"/>
      <c r="D11502" s="1348"/>
      <c r="E11502" s="1348"/>
      <c r="F11502" s="1348"/>
      <c r="G11502" s="1348"/>
      <c r="H11502" s="1348"/>
      <c r="I11502" s="1348"/>
      <c r="J11502" s="1348"/>
      <c r="K11502" s="1348"/>
    </row>
    <row r="11503" spans="2:11" hidden="1">
      <c r="B11503" s="1348"/>
      <c r="C11503" s="1348"/>
      <c r="D11503" s="1348"/>
      <c r="E11503" s="1348"/>
      <c r="F11503" s="1348"/>
      <c r="G11503" s="1348"/>
      <c r="H11503" s="1348"/>
      <c r="I11503" s="1348"/>
      <c r="J11503" s="1348"/>
      <c r="K11503" s="1348"/>
    </row>
    <row r="11504" spans="2:11" hidden="1">
      <c r="B11504" s="1348"/>
      <c r="C11504" s="1348"/>
      <c r="D11504" s="1348"/>
      <c r="E11504" s="1348"/>
      <c r="F11504" s="1348"/>
      <c r="G11504" s="1348"/>
      <c r="H11504" s="1348"/>
      <c r="I11504" s="1348"/>
      <c r="J11504" s="1348"/>
      <c r="K11504" s="1348"/>
    </row>
    <row r="11505" spans="2:11" hidden="1">
      <c r="B11505" s="1348"/>
      <c r="C11505" s="1348"/>
      <c r="D11505" s="1348"/>
      <c r="E11505" s="1348"/>
      <c r="F11505" s="1348"/>
      <c r="G11505" s="1348"/>
      <c r="H11505" s="1348"/>
      <c r="I11505" s="1348"/>
      <c r="J11505" s="1348"/>
      <c r="K11505" s="1348"/>
    </row>
    <row r="11506" spans="2:11" hidden="1">
      <c r="B11506" s="1348"/>
      <c r="C11506" s="1348"/>
      <c r="D11506" s="1348"/>
      <c r="E11506" s="1348"/>
      <c r="F11506" s="1348"/>
      <c r="G11506" s="1348"/>
      <c r="H11506" s="1348"/>
      <c r="I11506" s="1348"/>
      <c r="J11506" s="1348"/>
      <c r="K11506" s="1348"/>
    </row>
    <row r="11507" spans="2:11" hidden="1">
      <c r="B11507" s="1348"/>
      <c r="C11507" s="1348"/>
      <c r="D11507" s="1348"/>
      <c r="E11507" s="1348"/>
      <c r="F11507" s="1348"/>
      <c r="G11507" s="1348"/>
      <c r="H11507" s="1348"/>
      <c r="I11507" s="1348"/>
      <c r="J11507" s="1348"/>
      <c r="K11507" s="1348"/>
    </row>
    <row r="11508" spans="2:11" hidden="1">
      <c r="B11508" s="1348"/>
      <c r="C11508" s="1348"/>
      <c r="D11508" s="1348"/>
      <c r="E11508" s="1348"/>
      <c r="F11508" s="1348"/>
      <c r="G11508" s="1348"/>
      <c r="H11508" s="1348"/>
      <c r="I11508" s="1348"/>
      <c r="J11508" s="1348"/>
      <c r="K11508" s="1348"/>
    </row>
    <row r="11509" spans="2:11" hidden="1">
      <c r="B11509" s="1348"/>
      <c r="C11509" s="1348"/>
      <c r="D11509" s="1348"/>
      <c r="E11509" s="1348"/>
      <c r="F11509" s="1348"/>
      <c r="G11509" s="1348"/>
      <c r="H11509" s="1348"/>
      <c r="I11509" s="1348"/>
      <c r="J11509" s="1348"/>
      <c r="K11509" s="1348"/>
    </row>
    <row r="11510" spans="2:11" hidden="1">
      <c r="B11510" s="1348"/>
      <c r="C11510" s="1348"/>
      <c r="D11510" s="1348"/>
      <c r="E11510" s="1348"/>
      <c r="F11510" s="1348"/>
      <c r="G11510" s="1348"/>
      <c r="H11510" s="1348"/>
      <c r="I11510" s="1348"/>
      <c r="J11510" s="1348"/>
      <c r="K11510" s="1348"/>
    </row>
    <row r="11511" spans="2:11" hidden="1">
      <c r="B11511" s="1348"/>
      <c r="C11511" s="1348"/>
      <c r="D11511" s="1348"/>
      <c r="E11511" s="1348"/>
      <c r="F11511" s="1348"/>
      <c r="G11511" s="1348"/>
      <c r="H11511" s="1348"/>
      <c r="I11511" s="1348"/>
      <c r="J11511" s="1348"/>
      <c r="K11511" s="1348"/>
    </row>
    <row r="11512" spans="2:11" hidden="1">
      <c r="B11512" s="1348"/>
      <c r="C11512" s="1348"/>
      <c r="D11512" s="1348"/>
      <c r="E11512" s="1348"/>
      <c r="F11512" s="1348"/>
      <c r="G11512" s="1348"/>
      <c r="H11512" s="1348"/>
      <c r="I11512" s="1348"/>
      <c r="J11512" s="1348"/>
      <c r="K11512" s="1348"/>
    </row>
    <row r="11513" spans="2:11" hidden="1">
      <c r="B11513" s="1348"/>
      <c r="C11513" s="1348"/>
      <c r="D11513" s="1348"/>
      <c r="E11513" s="1348"/>
      <c r="F11513" s="1348"/>
      <c r="G11513" s="1348"/>
      <c r="H11513" s="1348"/>
      <c r="I11513" s="1348"/>
      <c r="J11513" s="1348"/>
      <c r="K11513" s="1348"/>
    </row>
    <row r="11514" spans="2:11" hidden="1">
      <c r="B11514" s="1348"/>
      <c r="C11514" s="1348"/>
      <c r="D11514" s="1348"/>
      <c r="E11514" s="1348"/>
      <c r="F11514" s="1348"/>
      <c r="G11514" s="1348"/>
      <c r="H11514" s="1348"/>
      <c r="I11514" s="1348"/>
      <c r="J11514" s="1348"/>
      <c r="K11514" s="1348"/>
    </row>
    <row r="11515" spans="2:11" hidden="1">
      <c r="B11515" s="1348"/>
      <c r="C11515" s="1348"/>
      <c r="D11515" s="1348"/>
      <c r="E11515" s="1348"/>
      <c r="F11515" s="1348"/>
      <c r="G11515" s="1348"/>
      <c r="H11515" s="1348"/>
      <c r="I11515" s="1348"/>
      <c r="J11515" s="1348"/>
      <c r="K11515" s="1348"/>
    </row>
    <row r="11516" spans="2:11" hidden="1">
      <c r="B11516" s="1348"/>
      <c r="C11516" s="1348"/>
      <c r="D11516" s="1348"/>
      <c r="E11516" s="1348"/>
      <c r="F11516" s="1348"/>
      <c r="G11516" s="1348"/>
      <c r="H11516" s="1348"/>
      <c r="I11516" s="1348"/>
      <c r="J11516" s="1348"/>
      <c r="K11516" s="1348"/>
    </row>
    <row r="11517" spans="2:11" hidden="1">
      <c r="B11517" s="1348"/>
      <c r="C11517" s="1348"/>
      <c r="D11517" s="1348"/>
      <c r="E11517" s="1348"/>
      <c r="F11517" s="1348"/>
      <c r="G11517" s="1348"/>
      <c r="H11517" s="1348"/>
      <c r="I11517" s="1348"/>
      <c r="J11517" s="1348"/>
      <c r="K11517" s="1348"/>
    </row>
    <row r="11518" spans="2:11" hidden="1">
      <c r="B11518" s="1348"/>
      <c r="C11518" s="1348"/>
      <c r="D11518" s="1348"/>
      <c r="E11518" s="1348"/>
      <c r="F11518" s="1348"/>
      <c r="G11518" s="1348"/>
      <c r="H11518" s="1348"/>
      <c r="I11518" s="1348"/>
      <c r="J11518" s="1348"/>
      <c r="K11518" s="1348"/>
    </row>
    <row r="11519" spans="2:11" hidden="1">
      <c r="B11519" s="1348"/>
      <c r="C11519" s="1348"/>
      <c r="D11519" s="1348"/>
      <c r="E11519" s="1348"/>
      <c r="F11519" s="1348"/>
      <c r="G11519" s="1348"/>
      <c r="H11519" s="1348"/>
      <c r="I11519" s="1348"/>
      <c r="J11519" s="1348"/>
      <c r="K11519" s="1348"/>
    </row>
    <row r="11520" spans="2:11" hidden="1">
      <c r="B11520" s="1348"/>
      <c r="C11520" s="1348"/>
      <c r="D11520" s="1348"/>
      <c r="E11520" s="1348"/>
      <c r="F11520" s="1348"/>
      <c r="G11520" s="1348"/>
      <c r="H11520" s="1348"/>
      <c r="I11520" s="1348"/>
      <c r="J11520" s="1348"/>
      <c r="K11520" s="1348"/>
    </row>
    <row r="11521" spans="2:11" hidden="1">
      <c r="B11521" s="1348"/>
      <c r="C11521" s="1348"/>
      <c r="D11521" s="1348"/>
      <c r="E11521" s="1348"/>
      <c r="F11521" s="1348"/>
      <c r="G11521" s="1348"/>
      <c r="H11521" s="1348"/>
      <c r="I11521" s="1348"/>
      <c r="J11521" s="1348"/>
      <c r="K11521" s="1348"/>
    </row>
    <row r="11522" spans="2:11" hidden="1">
      <c r="B11522" s="1348"/>
      <c r="C11522" s="1348"/>
      <c r="D11522" s="1348"/>
      <c r="E11522" s="1348"/>
      <c r="F11522" s="1348"/>
      <c r="G11522" s="1348"/>
      <c r="H11522" s="1348"/>
      <c r="I11522" s="1348"/>
      <c r="J11522" s="1348"/>
      <c r="K11522" s="1348"/>
    </row>
    <row r="11523" spans="2:11" hidden="1">
      <c r="B11523" s="1348"/>
      <c r="C11523" s="1348"/>
      <c r="D11523" s="1348"/>
      <c r="E11523" s="1348"/>
      <c r="F11523" s="1348"/>
      <c r="G11523" s="1348"/>
      <c r="H11523" s="1348"/>
      <c r="I11523" s="1348"/>
      <c r="J11523" s="1348"/>
      <c r="K11523" s="1348"/>
    </row>
    <row r="11524" spans="2:11" hidden="1">
      <c r="B11524" s="1348"/>
      <c r="C11524" s="1348"/>
      <c r="D11524" s="1348"/>
      <c r="E11524" s="1348"/>
      <c r="F11524" s="1348"/>
      <c r="G11524" s="1348"/>
      <c r="H11524" s="1348"/>
      <c r="I11524" s="1348"/>
      <c r="J11524" s="1348"/>
      <c r="K11524" s="1348"/>
    </row>
    <row r="11525" spans="2:11" hidden="1">
      <c r="B11525" s="1348"/>
      <c r="C11525" s="1348"/>
      <c r="D11525" s="1348"/>
      <c r="E11525" s="1348"/>
      <c r="F11525" s="1348"/>
      <c r="G11525" s="1348"/>
      <c r="H11525" s="1348"/>
      <c r="I11525" s="1348"/>
      <c r="J11525" s="1348"/>
      <c r="K11525" s="1348"/>
    </row>
    <row r="11526" spans="2:11" hidden="1">
      <c r="B11526" s="1348"/>
      <c r="C11526" s="1348"/>
      <c r="D11526" s="1348"/>
      <c r="E11526" s="1348"/>
      <c r="F11526" s="1348"/>
      <c r="G11526" s="1348"/>
      <c r="H11526" s="1348"/>
      <c r="I11526" s="1348"/>
      <c r="J11526" s="1348"/>
      <c r="K11526" s="1348"/>
    </row>
    <row r="11527" spans="2:11" hidden="1">
      <c r="B11527" s="1348"/>
      <c r="C11527" s="1348"/>
      <c r="D11527" s="1348"/>
      <c r="E11527" s="1348"/>
      <c r="F11527" s="1348"/>
      <c r="G11527" s="1348"/>
      <c r="H11527" s="1348"/>
      <c r="I11527" s="1348"/>
      <c r="J11527" s="1348"/>
      <c r="K11527" s="1348"/>
    </row>
    <row r="11528" spans="2:11" hidden="1">
      <c r="B11528" s="1348"/>
      <c r="C11528" s="1348"/>
      <c r="D11528" s="1348"/>
      <c r="E11528" s="1348"/>
      <c r="F11528" s="1348"/>
      <c r="G11528" s="1348"/>
      <c r="H11528" s="1348"/>
      <c r="I11528" s="1348"/>
      <c r="J11528" s="1348"/>
      <c r="K11528" s="1348"/>
    </row>
    <row r="11529" spans="2:11" hidden="1">
      <c r="B11529" s="1348"/>
      <c r="C11529" s="1348"/>
      <c r="D11529" s="1348"/>
      <c r="E11529" s="1348"/>
      <c r="F11529" s="1348"/>
      <c r="G11529" s="1348"/>
      <c r="H11529" s="1348"/>
      <c r="I11529" s="1348"/>
      <c r="J11529" s="1348"/>
      <c r="K11529" s="1348"/>
    </row>
    <row r="11530" spans="2:11" hidden="1">
      <c r="B11530" s="1348"/>
      <c r="C11530" s="1348"/>
      <c r="D11530" s="1348"/>
      <c r="E11530" s="1348"/>
      <c r="F11530" s="1348"/>
      <c r="G11530" s="1348"/>
      <c r="H11530" s="1348"/>
      <c r="I11530" s="1348"/>
      <c r="J11530" s="1348"/>
      <c r="K11530" s="1348"/>
    </row>
    <row r="11531" spans="2:11" hidden="1">
      <c r="B11531" s="1348"/>
      <c r="C11531" s="1348"/>
      <c r="D11531" s="1348"/>
      <c r="E11531" s="1348"/>
      <c r="F11531" s="1348"/>
      <c r="G11531" s="1348"/>
      <c r="H11531" s="1348"/>
      <c r="I11531" s="1348"/>
      <c r="J11531" s="1348"/>
      <c r="K11531" s="1348"/>
    </row>
    <row r="11532" spans="2:11" hidden="1">
      <c r="B11532" s="1348"/>
      <c r="C11532" s="1348"/>
      <c r="D11532" s="1348"/>
      <c r="E11532" s="1348"/>
      <c r="F11532" s="1348"/>
      <c r="G11532" s="1348"/>
      <c r="H11532" s="1348"/>
      <c r="I11532" s="1348"/>
      <c r="J11532" s="1348"/>
      <c r="K11532" s="1348"/>
    </row>
    <row r="11533" spans="2:11" hidden="1">
      <c r="B11533" s="1348"/>
      <c r="C11533" s="1348"/>
      <c r="D11533" s="1348"/>
      <c r="E11533" s="1348"/>
      <c r="F11533" s="1348"/>
      <c r="G11533" s="1348"/>
      <c r="H11533" s="1348"/>
      <c r="I11533" s="1348"/>
      <c r="J11533" s="1348"/>
      <c r="K11533" s="1348"/>
    </row>
    <row r="11534" spans="2:11" hidden="1">
      <c r="B11534" s="1348"/>
      <c r="C11534" s="1348"/>
      <c r="D11534" s="1348"/>
      <c r="E11534" s="1348"/>
      <c r="F11534" s="1348"/>
      <c r="G11534" s="1348"/>
      <c r="H11534" s="1348"/>
      <c r="I11534" s="1348"/>
      <c r="J11534" s="1348"/>
      <c r="K11534" s="1348"/>
    </row>
    <row r="11535" spans="2:11" hidden="1">
      <c r="B11535" s="1348"/>
      <c r="C11535" s="1348"/>
      <c r="D11535" s="1348"/>
      <c r="E11535" s="1348"/>
      <c r="F11535" s="1348"/>
      <c r="G11535" s="1348"/>
      <c r="H11535" s="1348"/>
      <c r="I11535" s="1348"/>
      <c r="J11535" s="1348"/>
      <c r="K11535" s="1348"/>
    </row>
    <row r="11536" spans="2:11" hidden="1">
      <c r="B11536" s="1348"/>
      <c r="C11536" s="1348"/>
      <c r="D11536" s="1348"/>
      <c r="E11536" s="1348"/>
      <c r="F11536" s="1348"/>
      <c r="G11536" s="1348"/>
      <c r="H11536" s="1348"/>
      <c r="I11536" s="1348"/>
      <c r="J11536" s="1348"/>
      <c r="K11536" s="1348"/>
    </row>
    <row r="11537" spans="2:11" hidden="1">
      <c r="B11537" s="1348"/>
      <c r="C11537" s="1348"/>
      <c r="D11537" s="1348"/>
      <c r="E11537" s="1348"/>
      <c r="F11537" s="1348"/>
      <c r="G11537" s="1348"/>
      <c r="H11537" s="1348"/>
      <c r="I11537" s="1348"/>
      <c r="J11537" s="1348"/>
      <c r="K11537" s="1348"/>
    </row>
    <row r="11538" spans="2:11" hidden="1">
      <c r="B11538" s="1348"/>
      <c r="C11538" s="1348"/>
      <c r="D11538" s="1348"/>
      <c r="E11538" s="1348"/>
      <c r="F11538" s="1348"/>
      <c r="G11538" s="1348"/>
      <c r="H11538" s="1348"/>
      <c r="I11538" s="1348"/>
      <c r="J11538" s="1348"/>
      <c r="K11538" s="1348"/>
    </row>
    <row r="11539" spans="2:11" hidden="1">
      <c r="B11539" s="1348"/>
      <c r="C11539" s="1348"/>
      <c r="D11539" s="1348"/>
      <c r="E11539" s="1348"/>
      <c r="F11539" s="1348"/>
      <c r="G11539" s="1348"/>
      <c r="H11539" s="1348"/>
      <c r="I11539" s="1348"/>
      <c r="J11539" s="1348"/>
      <c r="K11539" s="1348"/>
    </row>
    <row r="11540" spans="2:11" hidden="1">
      <c r="B11540" s="1348"/>
      <c r="C11540" s="1348"/>
      <c r="D11540" s="1348"/>
      <c r="E11540" s="1348"/>
      <c r="F11540" s="1348"/>
      <c r="G11540" s="1348"/>
      <c r="H11540" s="1348"/>
      <c r="I11540" s="1348"/>
      <c r="J11540" s="1348"/>
      <c r="K11540" s="1348"/>
    </row>
    <row r="11541" spans="2:11" hidden="1">
      <c r="B11541" s="1348"/>
      <c r="C11541" s="1348"/>
      <c r="D11541" s="1348"/>
      <c r="E11541" s="1348"/>
      <c r="F11541" s="1348"/>
      <c r="G11541" s="1348"/>
      <c r="H11541" s="1348"/>
      <c r="I11541" s="1348"/>
      <c r="J11541" s="1348"/>
      <c r="K11541" s="1348"/>
    </row>
    <row r="11542" spans="2:11" hidden="1">
      <c r="B11542" s="1348"/>
      <c r="C11542" s="1348"/>
      <c r="D11542" s="1348"/>
      <c r="E11542" s="1348"/>
      <c r="F11542" s="1348"/>
      <c r="G11542" s="1348"/>
      <c r="H11542" s="1348"/>
      <c r="I11542" s="1348"/>
      <c r="J11542" s="1348"/>
      <c r="K11542" s="1348"/>
    </row>
    <row r="11543" spans="2:11" hidden="1">
      <c r="B11543" s="1348"/>
      <c r="C11543" s="1348"/>
      <c r="D11543" s="1348"/>
      <c r="E11543" s="1348"/>
      <c r="F11543" s="1348"/>
      <c r="G11543" s="1348"/>
      <c r="H11543" s="1348"/>
      <c r="I11543" s="1348"/>
      <c r="J11543" s="1348"/>
      <c r="K11543" s="1348"/>
    </row>
    <row r="11544" spans="2:11" hidden="1">
      <c r="B11544" s="1348"/>
      <c r="C11544" s="1348"/>
      <c r="D11544" s="1348"/>
      <c r="E11544" s="1348"/>
      <c r="F11544" s="1348"/>
      <c r="G11544" s="1348"/>
      <c r="H11544" s="1348"/>
      <c r="I11544" s="1348"/>
      <c r="J11544" s="1348"/>
      <c r="K11544" s="1348"/>
    </row>
    <row r="11545" spans="2:11" hidden="1">
      <c r="B11545" s="1348"/>
      <c r="C11545" s="1348"/>
      <c r="D11545" s="1348"/>
      <c r="E11545" s="1348"/>
      <c r="F11545" s="1348"/>
      <c r="G11545" s="1348"/>
      <c r="H11545" s="1348"/>
      <c r="I11545" s="1348"/>
      <c r="J11545" s="1348"/>
      <c r="K11545" s="1348"/>
    </row>
    <row r="11546" spans="2:11" hidden="1">
      <c r="B11546" s="1348"/>
      <c r="C11546" s="1348"/>
      <c r="D11546" s="1348"/>
      <c r="E11546" s="1348"/>
      <c r="F11546" s="1348"/>
      <c r="G11546" s="1348"/>
      <c r="H11546" s="1348"/>
      <c r="I11546" s="1348"/>
      <c r="J11546" s="1348"/>
      <c r="K11546" s="1348"/>
    </row>
    <row r="11547" spans="2:11" hidden="1">
      <c r="B11547" s="1348"/>
      <c r="C11547" s="1348"/>
      <c r="D11547" s="1348"/>
      <c r="E11547" s="1348"/>
      <c r="F11547" s="1348"/>
      <c r="G11547" s="1348"/>
      <c r="H11547" s="1348"/>
      <c r="I11547" s="1348"/>
      <c r="J11547" s="1348"/>
      <c r="K11547" s="1348"/>
    </row>
    <row r="11548" spans="2:11" hidden="1">
      <c r="B11548" s="1348"/>
      <c r="C11548" s="1348"/>
      <c r="D11548" s="1348"/>
      <c r="E11548" s="1348"/>
      <c r="F11548" s="1348"/>
      <c r="G11548" s="1348"/>
      <c r="H11548" s="1348"/>
      <c r="I11548" s="1348"/>
      <c r="J11548" s="1348"/>
      <c r="K11548" s="1348"/>
    </row>
    <row r="11549" spans="2:11" hidden="1">
      <c r="B11549" s="1348"/>
      <c r="C11549" s="1348"/>
      <c r="D11549" s="1348"/>
      <c r="E11549" s="1348"/>
      <c r="F11549" s="1348"/>
      <c r="G11549" s="1348"/>
      <c r="H11549" s="1348"/>
      <c r="I11549" s="1348"/>
      <c r="J11549" s="1348"/>
      <c r="K11549" s="1348"/>
    </row>
    <row r="11550" spans="2:11" hidden="1">
      <c r="B11550" s="1348"/>
      <c r="C11550" s="1348"/>
      <c r="D11550" s="1348"/>
      <c r="E11550" s="1348"/>
      <c r="F11550" s="1348"/>
      <c r="G11550" s="1348"/>
      <c r="H11550" s="1348"/>
      <c r="I11550" s="1348"/>
      <c r="J11550" s="1348"/>
      <c r="K11550" s="1348"/>
    </row>
    <row r="11551" spans="2:11" hidden="1">
      <c r="B11551" s="1348"/>
      <c r="C11551" s="1348"/>
      <c r="D11551" s="1348"/>
      <c r="E11551" s="1348"/>
      <c r="F11551" s="1348"/>
      <c r="G11551" s="1348"/>
      <c r="H11551" s="1348"/>
      <c r="I11551" s="1348"/>
      <c r="J11551" s="1348"/>
      <c r="K11551" s="1348"/>
    </row>
    <row r="11552" spans="2:11" hidden="1">
      <c r="B11552" s="1348"/>
      <c r="C11552" s="1348"/>
      <c r="D11552" s="1348"/>
      <c r="E11552" s="1348"/>
      <c r="F11552" s="1348"/>
      <c r="G11552" s="1348"/>
      <c r="H11552" s="1348"/>
      <c r="I11552" s="1348"/>
      <c r="J11552" s="1348"/>
      <c r="K11552" s="1348"/>
    </row>
    <row r="11553" spans="2:11" hidden="1">
      <c r="B11553" s="1348"/>
      <c r="C11553" s="1348"/>
      <c r="D11553" s="1348"/>
      <c r="E11553" s="1348"/>
      <c r="F11553" s="1348"/>
      <c r="G11553" s="1348"/>
      <c r="H11553" s="1348"/>
      <c r="I11553" s="1348"/>
      <c r="J11553" s="1348"/>
      <c r="K11553" s="1348"/>
    </row>
    <row r="11554" spans="2:11" hidden="1">
      <c r="B11554" s="1348"/>
      <c r="C11554" s="1348"/>
      <c r="D11554" s="1348"/>
      <c r="E11554" s="1348"/>
      <c r="F11554" s="1348"/>
      <c r="G11554" s="1348"/>
      <c r="H11554" s="1348"/>
      <c r="I11554" s="1348"/>
      <c r="J11554" s="1348"/>
      <c r="K11554" s="1348"/>
    </row>
    <row r="11555" spans="2:11" hidden="1">
      <c r="B11555" s="1348"/>
      <c r="C11555" s="1348"/>
      <c r="D11555" s="1348"/>
      <c r="E11555" s="1348"/>
      <c r="F11555" s="1348"/>
      <c r="G11555" s="1348"/>
      <c r="H11555" s="1348"/>
      <c r="I11555" s="1348"/>
      <c r="J11555" s="1348"/>
      <c r="K11555" s="1348"/>
    </row>
    <row r="11556" spans="2:11" hidden="1">
      <c r="B11556" s="1348"/>
      <c r="C11556" s="1348"/>
      <c r="D11556" s="1348"/>
      <c r="E11556" s="1348"/>
      <c r="F11556" s="1348"/>
      <c r="G11556" s="1348"/>
      <c r="H11556" s="1348"/>
      <c r="I11556" s="1348"/>
      <c r="J11556" s="1348"/>
      <c r="K11556" s="1348"/>
    </row>
    <row r="11557" spans="2:11" hidden="1">
      <c r="B11557" s="1348"/>
      <c r="C11557" s="1348"/>
      <c r="D11557" s="1348"/>
      <c r="E11557" s="1348"/>
      <c r="F11557" s="1348"/>
      <c r="G11557" s="1348"/>
      <c r="H11557" s="1348"/>
      <c r="I11557" s="1348"/>
      <c r="J11557" s="1348"/>
      <c r="K11557" s="1348"/>
    </row>
    <row r="11558" spans="2:11" hidden="1">
      <c r="B11558" s="1348"/>
      <c r="C11558" s="1348"/>
      <c r="D11558" s="1348"/>
      <c r="E11558" s="1348"/>
      <c r="F11558" s="1348"/>
      <c r="G11558" s="1348"/>
      <c r="H11558" s="1348"/>
      <c r="I11558" s="1348"/>
      <c r="J11558" s="1348"/>
      <c r="K11558" s="1348"/>
    </row>
    <row r="11559" spans="2:11" hidden="1">
      <c r="B11559" s="1348"/>
      <c r="C11559" s="1348"/>
      <c r="D11559" s="1348"/>
      <c r="E11559" s="1348"/>
      <c r="F11559" s="1348"/>
      <c r="G11559" s="1348"/>
      <c r="H11559" s="1348"/>
      <c r="I11559" s="1348"/>
      <c r="J11559" s="1348"/>
      <c r="K11559" s="1348"/>
    </row>
    <row r="11560" spans="2:11" hidden="1">
      <c r="B11560" s="1348"/>
      <c r="C11560" s="1348"/>
      <c r="D11560" s="1348"/>
      <c r="E11560" s="1348"/>
      <c r="F11560" s="1348"/>
      <c r="G11560" s="1348"/>
      <c r="H11560" s="1348"/>
      <c r="I11560" s="1348"/>
      <c r="J11560" s="1348"/>
      <c r="K11560" s="1348"/>
    </row>
    <row r="11561" spans="2:11" hidden="1">
      <c r="B11561" s="1348"/>
      <c r="C11561" s="1348"/>
      <c r="D11561" s="1348"/>
      <c r="E11561" s="1348"/>
      <c r="F11561" s="1348"/>
      <c r="G11561" s="1348"/>
      <c r="H11561" s="1348"/>
      <c r="I11561" s="1348"/>
      <c r="J11561" s="1348"/>
      <c r="K11561" s="1348"/>
    </row>
    <row r="11562" spans="2:11" hidden="1">
      <c r="B11562" s="1348"/>
      <c r="C11562" s="1348"/>
      <c r="D11562" s="1348"/>
      <c r="E11562" s="1348"/>
      <c r="F11562" s="1348"/>
      <c r="G11562" s="1348"/>
      <c r="H11562" s="1348"/>
      <c r="I11562" s="1348"/>
      <c r="J11562" s="1348"/>
      <c r="K11562" s="1348"/>
    </row>
    <row r="11563" spans="2:11" hidden="1">
      <c r="B11563" s="1348"/>
      <c r="C11563" s="1348"/>
      <c r="D11563" s="1348"/>
      <c r="E11563" s="1348"/>
      <c r="F11563" s="1348"/>
      <c r="G11563" s="1348"/>
      <c r="H11563" s="1348"/>
      <c r="I11563" s="1348"/>
      <c r="J11563" s="1348"/>
      <c r="K11563" s="1348"/>
    </row>
    <row r="11564" spans="2:11" hidden="1">
      <c r="B11564" s="1348"/>
      <c r="C11564" s="1348"/>
      <c r="D11564" s="1348"/>
      <c r="E11564" s="1348"/>
      <c r="F11564" s="1348"/>
      <c r="G11564" s="1348"/>
      <c r="H11564" s="1348"/>
      <c r="I11564" s="1348"/>
      <c r="J11564" s="1348"/>
      <c r="K11564" s="1348"/>
    </row>
    <row r="11565" spans="2:11" hidden="1">
      <c r="B11565" s="1348"/>
      <c r="C11565" s="1348"/>
      <c r="D11565" s="1348"/>
      <c r="E11565" s="1348"/>
      <c r="F11565" s="1348"/>
      <c r="G11565" s="1348"/>
      <c r="H11565" s="1348"/>
      <c r="I11565" s="1348"/>
      <c r="J11565" s="1348"/>
      <c r="K11565" s="1348"/>
    </row>
    <row r="11566" spans="2:11" hidden="1">
      <c r="B11566" s="1348"/>
      <c r="C11566" s="1348"/>
      <c r="D11566" s="1348"/>
      <c r="E11566" s="1348"/>
      <c r="F11566" s="1348"/>
      <c r="G11566" s="1348"/>
      <c r="H11566" s="1348"/>
      <c r="I11566" s="1348"/>
      <c r="J11566" s="1348"/>
      <c r="K11566" s="1348"/>
    </row>
    <row r="11567" spans="2:11" hidden="1">
      <c r="B11567" s="1348"/>
      <c r="C11567" s="1348"/>
      <c r="D11567" s="1348"/>
      <c r="E11567" s="1348"/>
      <c r="F11567" s="1348"/>
      <c r="G11567" s="1348"/>
      <c r="H11567" s="1348"/>
      <c r="I11567" s="1348"/>
      <c r="J11567" s="1348"/>
      <c r="K11567" s="1348"/>
    </row>
    <row r="11568" spans="2:11" hidden="1">
      <c r="B11568" s="1348"/>
      <c r="C11568" s="1348"/>
      <c r="D11568" s="1348"/>
      <c r="E11568" s="1348"/>
      <c r="F11568" s="1348"/>
      <c r="G11568" s="1348"/>
      <c r="H11568" s="1348"/>
      <c r="I11568" s="1348"/>
      <c r="J11568" s="1348"/>
      <c r="K11568" s="1348"/>
    </row>
    <row r="11569" spans="2:11" hidden="1">
      <c r="B11569" s="1348"/>
      <c r="C11569" s="1348"/>
      <c r="D11569" s="1348"/>
      <c r="E11569" s="1348"/>
      <c r="F11569" s="1348"/>
      <c r="G11569" s="1348"/>
      <c r="H11569" s="1348"/>
      <c r="I11569" s="1348"/>
      <c r="J11569" s="1348"/>
      <c r="K11569" s="1348"/>
    </row>
    <row r="11570" spans="2:11" hidden="1">
      <c r="B11570" s="1348"/>
      <c r="C11570" s="1348"/>
      <c r="D11570" s="1348"/>
      <c r="E11570" s="1348"/>
      <c r="F11570" s="1348"/>
      <c r="G11570" s="1348"/>
      <c r="H11570" s="1348"/>
      <c r="I11570" s="1348"/>
      <c r="J11570" s="1348"/>
      <c r="K11570" s="1348"/>
    </row>
    <row r="11571" spans="2:11" hidden="1">
      <c r="B11571" s="1348"/>
      <c r="C11571" s="1348"/>
      <c r="D11571" s="1348"/>
      <c r="E11571" s="1348"/>
      <c r="F11571" s="1348"/>
      <c r="G11571" s="1348"/>
      <c r="H11571" s="1348"/>
      <c r="I11571" s="1348"/>
      <c r="J11571" s="1348"/>
      <c r="K11571" s="1348"/>
    </row>
    <row r="11572" spans="2:11" hidden="1">
      <c r="B11572" s="1348"/>
      <c r="C11572" s="1348"/>
      <c r="D11572" s="1348"/>
      <c r="E11572" s="1348"/>
      <c r="F11572" s="1348"/>
      <c r="G11572" s="1348"/>
      <c r="H11572" s="1348"/>
      <c r="I11572" s="1348"/>
      <c r="J11572" s="1348"/>
      <c r="K11572" s="1348"/>
    </row>
    <row r="11573" spans="2:11" hidden="1">
      <c r="B11573" s="1348"/>
      <c r="C11573" s="1348"/>
      <c r="D11573" s="1348"/>
      <c r="E11573" s="1348"/>
      <c r="F11573" s="1348"/>
      <c r="G11573" s="1348"/>
      <c r="H11573" s="1348"/>
      <c r="I11573" s="1348"/>
      <c r="J11573" s="1348"/>
      <c r="K11573" s="1348"/>
    </row>
    <row r="11574" spans="2:11" hidden="1">
      <c r="B11574" s="1348"/>
      <c r="C11574" s="1348"/>
      <c r="D11574" s="1348"/>
      <c r="E11574" s="1348"/>
      <c r="F11574" s="1348"/>
      <c r="G11574" s="1348"/>
      <c r="H11574" s="1348"/>
      <c r="I11574" s="1348"/>
      <c r="J11574" s="1348"/>
      <c r="K11574" s="1348"/>
    </row>
    <row r="11575" spans="2:11" hidden="1">
      <c r="B11575" s="1348"/>
      <c r="C11575" s="1348"/>
      <c r="D11575" s="1348"/>
      <c r="E11575" s="1348"/>
      <c r="F11575" s="1348"/>
      <c r="G11575" s="1348"/>
      <c r="H11575" s="1348"/>
      <c r="I11575" s="1348"/>
      <c r="J11575" s="1348"/>
      <c r="K11575" s="1348"/>
    </row>
    <row r="11576" spans="2:11" hidden="1">
      <c r="B11576" s="1348"/>
      <c r="C11576" s="1348"/>
      <c r="D11576" s="1348"/>
      <c r="E11576" s="1348"/>
      <c r="F11576" s="1348"/>
      <c r="G11576" s="1348"/>
      <c r="H11576" s="1348"/>
      <c r="I11576" s="1348"/>
      <c r="J11576" s="1348"/>
      <c r="K11576" s="1348"/>
    </row>
    <row r="11577" spans="2:11" hidden="1">
      <c r="B11577" s="1348"/>
      <c r="C11577" s="1348"/>
      <c r="D11577" s="1348"/>
      <c r="E11577" s="1348"/>
      <c r="F11577" s="1348"/>
      <c r="G11577" s="1348"/>
      <c r="H11577" s="1348"/>
      <c r="I11577" s="1348"/>
      <c r="J11577" s="1348"/>
      <c r="K11577" s="1348"/>
    </row>
    <row r="11578" spans="2:11" hidden="1">
      <c r="B11578" s="1348"/>
      <c r="C11578" s="1348"/>
      <c r="D11578" s="1348"/>
      <c r="E11578" s="1348"/>
      <c r="F11578" s="1348"/>
      <c r="G11578" s="1348"/>
      <c r="H11578" s="1348"/>
      <c r="I11578" s="1348"/>
      <c r="J11578" s="1348"/>
      <c r="K11578" s="1348"/>
    </row>
    <row r="11579" spans="2:11" hidden="1">
      <c r="B11579" s="1348"/>
      <c r="C11579" s="1348"/>
      <c r="D11579" s="1348"/>
      <c r="E11579" s="1348"/>
      <c r="F11579" s="1348"/>
      <c r="G11579" s="1348"/>
      <c r="H11579" s="1348"/>
      <c r="I11579" s="1348"/>
      <c r="J11579" s="1348"/>
      <c r="K11579" s="1348"/>
    </row>
    <row r="11580" spans="2:11" hidden="1">
      <c r="B11580" s="1348"/>
      <c r="C11580" s="1348"/>
      <c r="D11580" s="1348"/>
      <c r="E11580" s="1348"/>
      <c r="F11580" s="1348"/>
      <c r="G11580" s="1348"/>
      <c r="H11580" s="1348"/>
      <c r="I11580" s="1348"/>
      <c r="J11580" s="1348"/>
      <c r="K11580" s="1348"/>
    </row>
    <row r="11581" spans="2:11" hidden="1">
      <c r="B11581" s="1348"/>
      <c r="C11581" s="1348"/>
      <c r="D11581" s="1348"/>
      <c r="E11581" s="1348"/>
      <c r="F11581" s="1348"/>
      <c r="G11581" s="1348"/>
      <c r="H11581" s="1348"/>
      <c r="I11581" s="1348"/>
      <c r="J11581" s="1348"/>
      <c r="K11581" s="1348"/>
    </row>
    <row r="11582" spans="2:11" hidden="1">
      <c r="B11582" s="1348"/>
      <c r="C11582" s="1348"/>
      <c r="D11582" s="1348"/>
      <c r="E11582" s="1348"/>
      <c r="F11582" s="1348"/>
      <c r="G11582" s="1348"/>
      <c r="H11582" s="1348"/>
      <c r="I11582" s="1348"/>
      <c r="J11582" s="1348"/>
      <c r="K11582" s="1348"/>
    </row>
    <row r="11583" spans="2:11" hidden="1">
      <c r="B11583" s="1348"/>
      <c r="C11583" s="1348"/>
      <c r="D11583" s="1348"/>
      <c r="E11583" s="1348"/>
      <c r="F11583" s="1348"/>
      <c r="G11583" s="1348"/>
      <c r="H11583" s="1348"/>
      <c r="I11583" s="1348"/>
      <c r="J11583" s="1348"/>
      <c r="K11583" s="1348"/>
    </row>
    <row r="11584" spans="2:11" hidden="1">
      <c r="B11584" s="1348"/>
      <c r="C11584" s="1348"/>
      <c r="D11584" s="1348"/>
      <c r="E11584" s="1348"/>
      <c r="F11584" s="1348"/>
      <c r="G11584" s="1348"/>
      <c r="H11584" s="1348"/>
      <c r="I11584" s="1348"/>
      <c r="J11584" s="1348"/>
      <c r="K11584" s="1348"/>
    </row>
    <row r="11585" spans="2:11" hidden="1">
      <c r="B11585" s="1348"/>
      <c r="C11585" s="1348"/>
      <c r="D11585" s="1348"/>
      <c r="E11585" s="1348"/>
      <c r="F11585" s="1348"/>
      <c r="G11585" s="1348"/>
      <c r="H11585" s="1348"/>
      <c r="I11585" s="1348"/>
      <c r="J11585" s="1348"/>
      <c r="K11585" s="1348"/>
    </row>
    <row r="11586" spans="2:11" hidden="1">
      <c r="B11586" s="1348"/>
      <c r="C11586" s="1348"/>
      <c r="D11586" s="1348"/>
      <c r="E11586" s="1348"/>
      <c r="F11586" s="1348"/>
      <c r="G11586" s="1348"/>
      <c r="H11586" s="1348"/>
      <c r="I11586" s="1348"/>
      <c r="J11586" s="1348"/>
      <c r="K11586" s="1348"/>
    </row>
    <row r="11587" spans="2:11" hidden="1">
      <c r="B11587" s="1348"/>
      <c r="C11587" s="1348"/>
      <c r="D11587" s="1348"/>
      <c r="E11587" s="1348"/>
      <c r="F11587" s="1348"/>
      <c r="G11587" s="1348"/>
      <c r="H11587" s="1348"/>
      <c r="I11587" s="1348"/>
      <c r="J11587" s="1348"/>
      <c r="K11587" s="1348"/>
    </row>
    <row r="11588" spans="2:11" hidden="1">
      <c r="B11588" s="1348"/>
      <c r="C11588" s="1348"/>
      <c r="D11588" s="1348"/>
      <c r="E11588" s="1348"/>
      <c r="F11588" s="1348"/>
      <c r="G11588" s="1348"/>
      <c r="H11588" s="1348"/>
      <c r="I11588" s="1348"/>
      <c r="J11588" s="1348"/>
      <c r="K11588" s="1348"/>
    </row>
    <row r="11589" spans="2:11" hidden="1">
      <c r="B11589" s="1348"/>
      <c r="C11589" s="1348"/>
      <c r="D11589" s="1348"/>
      <c r="E11589" s="1348"/>
      <c r="F11589" s="1348"/>
      <c r="G11589" s="1348"/>
      <c r="H11589" s="1348"/>
      <c r="I11589" s="1348"/>
      <c r="J11589" s="1348"/>
      <c r="K11589" s="1348"/>
    </row>
    <row r="11590" spans="2:11" hidden="1">
      <c r="B11590" s="1348"/>
      <c r="C11590" s="1348"/>
      <c r="D11590" s="1348"/>
      <c r="E11590" s="1348"/>
      <c r="F11590" s="1348"/>
      <c r="G11590" s="1348"/>
      <c r="H11590" s="1348"/>
      <c r="I11590" s="1348"/>
      <c r="J11590" s="1348"/>
      <c r="K11590" s="1348"/>
    </row>
    <row r="11591" spans="2:11" hidden="1">
      <c r="B11591" s="1348"/>
      <c r="C11591" s="1348"/>
      <c r="D11591" s="1348"/>
      <c r="E11591" s="1348"/>
      <c r="F11591" s="1348"/>
      <c r="G11591" s="1348"/>
      <c r="H11591" s="1348"/>
      <c r="I11591" s="1348"/>
      <c r="J11591" s="1348"/>
      <c r="K11591" s="1348"/>
    </row>
    <row r="11592" spans="2:11" hidden="1">
      <c r="B11592" s="1348"/>
      <c r="C11592" s="1348"/>
      <c r="D11592" s="1348"/>
      <c r="E11592" s="1348"/>
      <c r="F11592" s="1348"/>
      <c r="G11592" s="1348"/>
      <c r="H11592" s="1348"/>
      <c r="I11592" s="1348"/>
      <c r="J11592" s="1348"/>
      <c r="K11592" s="1348"/>
    </row>
    <row r="11593" spans="2:11" hidden="1">
      <c r="B11593" s="1348"/>
      <c r="C11593" s="1348"/>
      <c r="D11593" s="1348"/>
      <c r="E11593" s="1348"/>
      <c r="F11593" s="1348"/>
      <c r="G11593" s="1348"/>
      <c r="H11593" s="1348"/>
      <c r="I11593" s="1348"/>
      <c r="J11593" s="1348"/>
      <c r="K11593" s="1348"/>
    </row>
    <row r="11594" spans="2:11" hidden="1">
      <c r="B11594" s="1348"/>
      <c r="C11594" s="1348"/>
      <c r="D11594" s="1348"/>
      <c r="E11594" s="1348"/>
      <c r="F11594" s="1348"/>
      <c r="G11594" s="1348"/>
      <c r="H11594" s="1348"/>
      <c r="I11594" s="1348"/>
      <c r="J11594" s="1348"/>
      <c r="K11594" s="1348"/>
    </row>
    <row r="11595" spans="2:11" hidden="1">
      <c r="B11595" s="1348"/>
      <c r="C11595" s="1348"/>
      <c r="D11595" s="1348"/>
      <c r="E11595" s="1348"/>
      <c r="F11595" s="1348"/>
      <c r="G11595" s="1348"/>
      <c r="H11595" s="1348"/>
      <c r="I11595" s="1348"/>
      <c r="J11595" s="1348"/>
      <c r="K11595" s="1348"/>
    </row>
    <row r="11596" spans="2:11" hidden="1">
      <c r="B11596" s="1348"/>
      <c r="C11596" s="1348"/>
      <c r="D11596" s="1348"/>
      <c r="E11596" s="1348"/>
      <c r="F11596" s="1348"/>
      <c r="G11596" s="1348"/>
      <c r="H11596" s="1348"/>
      <c r="I11596" s="1348"/>
      <c r="J11596" s="1348"/>
      <c r="K11596" s="1348"/>
    </row>
    <row r="11597" spans="2:11" hidden="1">
      <c r="B11597" s="1348"/>
      <c r="C11597" s="1348"/>
      <c r="D11597" s="1348"/>
      <c r="E11597" s="1348"/>
      <c r="F11597" s="1348"/>
      <c r="G11597" s="1348"/>
      <c r="H11597" s="1348"/>
      <c r="I11597" s="1348"/>
      <c r="J11597" s="1348"/>
      <c r="K11597" s="1348"/>
    </row>
    <row r="11598" spans="2:11" hidden="1">
      <c r="B11598" s="1348"/>
      <c r="C11598" s="1348"/>
      <c r="D11598" s="1348"/>
      <c r="E11598" s="1348"/>
      <c r="F11598" s="1348"/>
      <c r="G11598" s="1348"/>
      <c r="H11598" s="1348"/>
      <c r="I11598" s="1348"/>
      <c r="J11598" s="1348"/>
      <c r="K11598" s="1348"/>
    </row>
    <row r="11599" spans="2:11" hidden="1">
      <c r="B11599" s="1348"/>
      <c r="C11599" s="1348"/>
      <c r="D11599" s="1348"/>
      <c r="E11599" s="1348"/>
      <c r="F11599" s="1348"/>
      <c r="G11599" s="1348"/>
      <c r="H11599" s="1348"/>
      <c r="I11599" s="1348"/>
      <c r="J11599" s="1348"/>
      <c r="K11599" s="1348"/>
    </row>
    <row r="11600" spans="2:11" hidden="1">
      <c r="B11600" s="1348"/>
      <c r="C11600" s="1348"/>
      <c r="D11600" s="1348"/>
      <c r="E11600" s="1348"/>
      <c r="F11600" s="1348"/>
      <c r="G11600" s="1348"/>
      <c r="H11600" s="1348"/>
      <c r="I11600" s="1348"/>
      <c r="J11600" s="1348"/>
      <c r="K11600" s="1348"/>
    </row>
    <row r="11601" spans="2:11" hidden="1">
      <c r="B11601" s="1348"/>
      <c r="C11601" s="1348"/>
      <c r="D11601" s="1348"/>
      <c r="E11601" s="1348"/>
      <c r="F11601" s="1348"/>
      <c r="G11601" s="1348"/>
      <c r="H11601" s="1348"/>
      <c r="I11601" s="1348"/>
      <c r="J11601" s="1348"/>
      <c r="K11601" s="1348"/>
    </row>
    <row r="11602" spans="2:11" hidden="1">
      <c r="B11602" s="1348"/>
      <c r="C11602" s="1348"/>
      <c r="D11602" s="1348"/>
      <c r="E11602" s="1348"/>
      <c r="F11602" s="1348"/>
      <c r="G11602" s="1348"/>
      <c r="H11602" s="1348"/>
      <c r="I11602" s="1348"/>
      <c r="J11602" s="1348"/>
      <c r="K11602" s="1348"/>
    </row>
    <row r="11603" spans="2:11" hidden="1">
      <c r="B11603" s="1348"/>
      <c r="C11603" s="1348"/>
      <c r="D11603" s="1348"/>
      <c r="E11603" s="1348"/>
      <c r="F11603" s="1348"/>
      <c r="G11603" s="1348"/>
      <c r="H11603" s="1348"/>
      <c r="I11603" s="1348"/>
      <c r="J11603" s="1348"/>
      <c r="K11603" s="1348"/>
    </row>
    <row r="11604" spans="2:11" hidden="1">
      <c r="B11604" s="1348"/>
      <c r="C11604" s="1348"/>
      <c r="D11604" s="1348"/>
      <c r="E11604" s="1348"/>
      <c r="F11604" s="1348"/>
      <c r="G11604" s="1348"/>
      <c r="H11604" s="1348"/>
      <c r="I11604" s="1348"/>
      <c r="J11604" s="1348"/>
      <c r="K11604" s="1348"/>
    </row>
    <row r="11605" spans="2:11" hidden="1">
      <c r="B11605" s="1348"/>
      <c r="C11605" s="1348"/>
      <c r="D11605" s="1348"/>
      <c r="E11605" s="1348"/>
      <c r="F11605" s="1348"/>
      <c r="G11605" s="1348"/>
      <c r="H11605" s="1348"/>
      <c r="I11605" s="1348"/>
      <c r="J11605" s="1348"/>
      <c r="K11605" s="1348"/>
    </row>
    <row r="11606" spans="2:11" hidden="1">
      <c r="B11606" s="1348"/>
      <c r="C11606" s="1348"/>
      <c r="D11606" s="1348"/>
      <c r="E11606" s="1348"/>
      <c r="F11606" s="1348"/>
      <c r="G11606" s="1348"/>
      <c r="H11606" s="1348"/>
      <c r="I11606" s="1348"/>
      <c r="J11606" s="1348"/>
      <c r="K11606" s="1348"/>
    </row>
    <row r="11607" spans="2:11" hidden="1">
      <c r="B11607" s="1348"/>
      <c r="C11607" s="1348"/>
      <c r="D11607" s="1348"/>
      <c r="E11607" s="1348"/>
      <c r="F11607" s="1348"/>
      <c r="G11607" s="1348"/>
      <c r="H11607" s="1348"/>
      <c r="I11607" s="1348"/>
      <c r="J11607" s="1348"/>
      <c r="K11607" s="1348"/>
    </row>
    <row r="11608" spans="2:11" hidden="1">
      <c r="B11608" s="1348"/>
      <c r="C11608" s="1348"/>
      <c r="D11608" s="1348"/>
      <c r="E11608" s="1348"/>
      <c r="F11608" s="1348"/>
      <c r="G11608" s="1348"/>
      <c r="H11608" s="1348"/>
      <c r="I11608" s="1348"/>
      <c r="J11608" s="1348"/>
      <c r="K11608" s="1348"/>
    </row>
    <row r="11609" spans="2:11" hidden="1">
      <c r="B11609" s="1348"/>
      <c r="C11609" s="1348"/>
      <c r="D11609" s="1348"/>
      <c r="E11609" s="1348"/>
      <c r="F11609" s="1348"/>
      <c r="G11609" s="1348"/>
      <c r="H11609" s="1348"/>
      <c r="I11609" s="1348"/>
      <c r="J11609" s="1348"/>
      <c r="K11609" s="1348"/>
    </row>
    <row r="11610" spans="2:11" hidden="1">
      <c r="B11610" s="1348"/>
      <c r="C11610" s="1348"/>
      <c r="D11610" s="1348"/>
      <c r="E11610" s="1348"/>
      <c r="F11610" s="1348"/>
      <c r="G11610" s="1348"/>
      <c r="H11610" s="1348"/>
      <c r="I11610" s="1348"/>
      <c r="J11610" s="1348"/>
      <c r="K11610" s="1348"/>
    </row>
    <row r="11611" spans="2:11" hidden="1">
      <c r="B11611" s="1348"/>
      <c r="C11611" s="1348"/>
      <c r="D11611" s="1348"/>
      <c r="E11611" s="1348"/>
      <c r="F11611" s="1348"/>
      <c r="G11611" s="1348"/>
      <c r="H11611" s="1348"/>
      <c r="I11611" s="1348"/>
      <c r="J11611" s="1348"/>
      <c r="K11611" s="1348"/>
    </row>
    <row r="11612" spans="2:11" hidden="1">
      <c r="B11612" s="1348"/>
      <c r="C11612" s="1348"/>
      <c r="D11612" s="1348"/>
      <c r="E11612" s="1348"/>
      <c r="F11612" s="1348"/>
      <c r="G11612" s="1348"/>
      <c r="H11612" s="1348"/>
      <c r="I11612" s="1348"/>
      <c r="J11612" s="1348"/>
      <c r="K11612" s="1348"/>
    </row>
    <row r="11613" spans="2:11" hidden="1">
      <c r="B11613" s="1348"/>
      <c r="C11613" s="1348"/>
      <c r="D11613" s="1348"/>
      <c r="E11613" s="1348"/>
      <c r="F11613" s="1348"/>
      <c r="G11613" s="1348"/>
      <c r="H11613" s="1348"/>
      <c r="I11613" s="1348"/>
      <c r="J11613" s="1348"/>
      <c r="K11613" s="1348"/>
    </row>
    <row r="11614" spans="2:11" hidden="1">
      <c r="B11614" s="1348"/>
      <c r="C11614" s="1348"/>
      <c r="D11614" s="1348"/>
      <c r="E11614" s="1348"/>
      <c r="F11614" s="1348"/>
      <c r="G11614" s="1348"/>
      <c r="H11614" s="1348"/>
      <c r="I11614" s="1348"/>
      <c r="J11614" s="1348"/>
      <c r="K11614" s="1348"/>
    </row>
    <row r="11615" spans="2:11" hidden="1">
      <c r="B11615" s="1348"/>
      <c r="C11615" s="1348"/>
      <c r="D11615" s="1348"/>
      <c r="E11615" s="1348"/>
      <c r="F11615" s="1348"/>
      <c r="G11615" s="1348"/>
      <c r="H11615" s="1348"/>
      <c r="I11615" s="1348"/>
      <c r="J11615" s="1348"/>
      <c r="K11615" s="1348"/>
    </row>
    <row r="11616" spans="2:11" hidden="1">
      <c r="B11616" s="1348"/>
      <c r="C11616" s="1348"/>
      <c r="D11616" s="1348"/>
      <c r="E11616" s="1348"/>
      <c r="F11616" s="1348"/>
      <c r="G11616" s="1348"/>
      <c r="H11616" s="1348"/>
      <c r="I11616" s="1348"/>
      <c r="J11616" s="1348"/>
      <c r="K11616" s="1348"/>
    </row>
    <row r="11617" spans="2:11" hidden="1">
      <c r="B11617" s="1348"/>
      <c r="C11617" s="1348"/>
      <c r="D11617" s="1348"/>
      <c r="E11617" s="1348"/>
      <c r="F11617" s="1348"/>
      <c r="G11617" s="1348"/>
      <c r="H11617" s="1348"/>
      <c r="I11617" s="1348"/>
      <c r="J11617" s="1348"/>
      <c r="K11617" s="1348"/>
    </row>
    <row r="11618" spans="2:11" hidden="1">
      <c r="B11618" s="1348"/>
      <c r="C11618" s="1348"/>
      <c r="D11618" s="1348"/>
      <c r="E11618" s="1348"/>
      <c r="F11618" s="1348"/>
      <c r="G11618" s="1348"/>
      <c r="H11618" s="1348"/>
      <c r="I11618" s="1348"/>
      <c r="J11618" s="1348"/>
      <c r="K11618" s="1348"/>
    </row>
    <row r="11619" spans="2:11" hidden="1">
      <c r="B11619" s="1348"/>
      <c r="C11619" s="1348"/>
      <c r="D11619" s="1348"/>
      <c r="E11619" s="1348"/>
      <c r="F11619" s="1348"/>
      <c r="G11619" s="1348"/>
      <c r="H11619" s="1348"/>
      <c r="I11619" s="1348"/>
      <c r="J11619" s="1348"/>
      <c r="K11619" s="1348"/>
    </row>
    <row r="11620" spans="2:11" hidden="1">
      <c r="B11620" s="1348"/>
      <c r="C11620" s="1348"/>
      <c r="D11620" s="1348"/>
      <c r="E11620" s="1348"/>
      <c r="F11620" s="1348"/>
      <c r="G11620" s="1348"/>
      <c r="H11620" s="1348"/>
      <c r="I11620" s="1348"/>
      <c r="J11620" s="1348"/>
      <c r="K11620" s="1348"/>
    </row>
    <row r="11621" spans="2:11" hidden="1">
      <c r="B11621" s="1348"/>
      <c r="C11621" s="1348"/>
      <c r="D11621" s="1348"/>
      <c r="E11621" s="1348"/>
      <c r="F11621" s="1348"/>
      <c r="G11621" s="1348"/>
      <c r="H11621" s="1348"/>
      <c r="I11621" s="1348"/>
      <c r="J11621" s="1348"/>
      <c r="K11621" s="1348"/>
    </row>
    <row r="11622" spans="2:11" hidden="1">
      <c r="B11622" s="1348"/>
      <c r="C11622" s="1348"/>
      <c r="D11622" s="1348"/>
      <c r="E11622" s="1348"/>
      <c r="F11622" s="1348"/>
      <c r="G11622" s="1348"/>
      <c r="H11622" s="1348"/>
      <c r="I11622" s="1348"/>
      <c r="J11622" s="1348"/>
      <c r="K11622" s="1348"/>
    </row>
    <row r="11623" spans="2:11" hidden="1">
      <c r="B11623" s="1348"/>
      <c r="C11623" s="1348"/>
      <c r="D11623" s="1348"/>
      <c r="E11623" s="1348"/>
      <c r="F11623" s="1348"/>
      <c r="G11623" s="1348"/>
      <c r="H11623" s="1348"/>
      <c r="I11623" s="1348"/>
      <c r="J11623" s="1348"/>
      <c r="K11623" s="1348"/>
    </row>
    <row r="11624" spans="2:11" hidden="1">
      <c r="B11624" s="1348"/>
      <c r="C11624" s="1348"/>
      <c r="D11624" s="1348"/>
      <c r="E11624" s="1348"/>
      <c r="F11624" s="1348"/>
      <c r="G11624" s="1348"/>
      <c r="H11624" s="1348"/>
      <c r="I11624" s="1348"/>
      <c r="J11624" s="1348"/>
      <c r="K11624" s="1348"/>
    </row>
    <row r="11625" spans="2:11" hidden="1">
      <c r="B11625" s="1348"/>
      <c r="C11625" s="1348"/>
      <c r="D11625" s="1348"/>
      <c r="E11625" s="1348"/>
      <c r="F11625" s="1348"/>
      <c r="G11625" s="1348"/>
      <c r="H11625" s="1348"/>
      <c r="I11625" s="1348"/>
      <c r="J11625" s="1348"/>
      <c r="K11625" s="1348"/>
    </row>
    <row r="11626" spans="2:11" hidden="1">
      <c r="B11626" s="1348"/>
      <c r="C11626" s="1348"/>
      <c r="D11626" s="1348"/>
      <c r="E11626" s="1348"/>
      <c r="F11626" s="1348"/>
      <c r="G11626" s="1348"/>
      <c r="H11626" s="1348"/>
      <c r="I11626" s="1348"/>
      <c r="J11626" s="1348"/>
      <c r="K11626" s="1348"/>
    </row>
    <row r="11627" spans="2:11" hidden="1">
      <c r="B11627" s="1348"/>
      <c r="C11627" s="1348"/>
      <c r="D11627" s="1348"/>
      <c r="E11627" s="1348"/>
      <c r="F11627" s="1348"/>
      <c r="G11627" s="1348"/>
      <c r="H11627" s="1348"/>
      <c r="I11627" s="1348"/>
      <c r="J11627" s="1348"/>
      <c r="K11627" s="1348"/>
    </row>
    <row r="11628" spans="2:11" hidden="1">
      <c r="B11628" s="1348"/>
      <c r="C11628" s="1348"/>
      <c r="D11628" s="1348"/>
      <c r="E11628" s="1348"/>
      <c r="F11628" s="1348"/>
      <c r="G11628" s="1348"/>
      <c r="H11628" s="1348"/>
      <c r="I11628" s="1348"/>
      <c r="J11628" s="1348"/>
      <c r="K11628" s="1348"/>
    </row>
    <row r="11629" spans="2:11" hidden="1">
      <c r="B11629" s="1348"/>
      <c r="C11629" s="1348"/>
      <c r="D11629" s="1348"/>
      <c r="E11629" s="1348"/>
      <c r="F11629" s="1348"/>
      <c r="G11629" s="1348"/>
      <c r="H11629" s="1348"/>
      <c r="I11629" s="1348"/>
      <c r="J11629" s="1348"/>
      <c r="K11629" s="1348"/>
    </row>
    <row r="11630" spans="2:11" hidden="1">
      <c r="B11630" s="1348"/>
      <c r="C11630" s="1348"/>
      <c r="D11630" s="1348"/>
      <c r="E11630" s="1348"/>
      <c r="F11630" s="1348"/>
      <c r="G11630" s="1348"/>
      <c r="H11630" s="1348"/>
      <c r="I11630" s="1348"/>
      <c r="J11630" s="1348"/>
      <c r="K11630" s="1348"/>
    </row>
    <row r="11631" spans="2:11" hidden="1">
      <c r="B11631" s="1348"/>
      <c r="C11631" s="1348"/>
      <c r="D11631" s="1348"/>
      <c r="E11631" s="1348"/>
      <c r="F11631" s="1348"/>
      <c r="G11631" s="1348"/>
      <c r="H11631" s="1348"/>
      <c r="I11631" s="1348"/>
      <c r="J11631" s="1348"/>
      <c r="K11631" s="1348"/>
    </row>
    <row r="11632" spans="2:11" hidden="1">
      <c r="B11632" s="1348"/>
      <c r="C11632" s="1348"/>
      <c r="D11632" s="1348"/>
      <c r="E11632" s="1348"/>
      <c r="F11632" s="1348"/>
      <c r="G11632" s="1348"/>
      <c r="H11632" s="1348"/>
      <c r="I11632" s="1348"/>
      <c r="J11632" s="1348"/>
      <c r="K11632" s="1348"/>
    </row>
    <row r="11633" spans="2:11" hidden="1">
      <c r="B11633" s="1348"/>
      <c r="C11633" s="1348"/>
      <c r="D11633" s="1348"/>
      <c r="E11633" s="1348"/>
      <c r="F11633" s="1348"/>
      <c r="G11633" s="1348"/>
      <c r="H11633" s="1348"/>
      <c r="I11633" s="1348"/>
      <c r="J11633" s="1348"/>
      <c r="K11633" s="1348"/>
    </row>
    <row r="11634" spans="2:11" hidden="1">
      <c r="B11634" s="1348"/>
      <c r="C11634" s="1348"/>
      <c r="D11634" s="1348"/>
      <c r="E11634" s="1348"/>
      <c r="F11634" s="1348"/>
      <c r="G11634" s="1348"/>
      <c r="H11634" s="1348"/>
      <c r="I11634" s="1348"/>
      <c r="J11634" s="1348"/>
      <c r="K11634" s="1348"/>
    </row>
    <row r="11635" spans="2:11" hidden="1">
      <c r="B11635" s="1348"/>
      <c r="C11635" s="1348"/>
      <c r="D11635" s="1348"/>
      <c r="E11635" s="1348"/>
      <c r="F11635" s="1348"/>
      <c r="G11635" s="1348"/>
      <c r="H11635" s="1348"/>
      <c r="I11635" s="1348"/>
      <c r="J11635" s="1348"/>
      <c r="K11635" s="1348"/>
    </row>
    <row r="11636" spans="2:11" hidden="1">
      <c r="B11636" s="1348"/>
      <c r="C11636" s="1348"/>
      <c r="D11636" s="1348"/>
      <c r="E11636" s="1348"/>
      <c r="F11636" s="1348"/>
      <c r="G11636" s="1348"/>
      <c r="H11636" s="1348"/>
      <c r="I11636" s="1348"/>
      <c r="J11636" s="1348"/>
      <c r="K11636" s="1348"/>
    </row>
    <row r="11637" spans="2:11" hidden="1">
      <c r="B11637" s="1348"/>
      <c r="C11637" s="1348"/>
      <c r="D11637" s="1348"/>
      <c r="E11637" s="1348"/>
      <c r="F11637" s="1348"/>
      <c r="G11637" s="1348"/>
      <c r="H11637" s="1348"/>
      <c r="I11637" s="1348"/>
      <c r="J11637" s="1348"/>
      <c r="K11637" s="1348"/>
    </row>
    <row r="11638" spans="2:11" hidden="1">
      <c r="B11638" s="1348"/>
      <c r="C11638" s="1348"/>
      <c r="D11638" s="1348"/>
      <c r="E11638" s="1348"/>
      <c r="F11638" s="1348"/>
      <c r="G11638" s="1348"/>
      <c r="H11638" s="1348"/>
      <c r="I11638" s="1348"/>
      <c r="J11638" s="1348"/>
      <c r="K11638" s="1348"/>
    </row>
    <row r="11639" spans="2:11" hidden="1">
      <c r="B11639" s="1348"/>
      <c r="C11639" s="1348"/>
      <c r="D11639" s="1348"/>
      <c r="E11639" s="1348"/>
      <c r="F11639" s="1348"/>
      <c r="G11639" s="1348"/>
      <c r="H11639" s="1348"/>
      <c r="I11639" s="1348"/>
      <c r="J11639" s="1348"/>
      <c r="K11639" s="1348"/>
    </row>
    <row r="11640" spans="2:11" hidden="1">
      <c r="B11640" s="1348"/>
      <c r="C11640" s="1348"/>
      <c r="D11640" s="1348"/>
      <c r="E11640" s="1348"/>
      <c r="F11640" s="1348"/>
      <c r="G11640" s="1348"/>
      <c r="H11640" s="1348"/>
      <c r="I11640" s="1348"/>
      <c r="J11640" s="1348"/>
      <c r="K11640" s="1348"/>
    </row>
    <row r="11641" spans="2:11" hidden="1">
      <c r="B11641" s="1348"/>
      <c r="C11641" s="1348"/>
      <c r="D11641" s="1348"/>
      <c r="E11641" s="1348"/>
      <c r="F11641" s="1348"/>
      <c r="G11641" s="1348"/>
      <c r="H11641" s="1348"/>
      <c r="I11641" s="1348"/>
      <c r="J11641" s="1348"/>
      <c r="K11641" s="1348"/>
    </row>
    <row r="11642" spans="2:11" hidden="1">
      <c r="B11642" s="1348"/>
      <c r="C11642" s="1348"/>
      <c r="D11642" s="1348"/>
      <c r="E11642" s="1348"/>
      <c r="F11642" s="1348"/>
      <c r="G11642" s="1348"/>
      <c r="H11642" s="1348"/>
      <c r="I11642" s="1348"/>
      <c r="J11642" s="1348"/>
      <c r="K11642" s="1348"/>
    </row>
    <row r="11643" spans="2:11" hidden="1">
      <c r="B11643" s="1348"/>
      <c r="C11643" s="1348"/>
      <c r="D11643" s="1348"/>
      <c r="E11643" s="1348"/>
      <c r="F11643" s="1348"/>
      <c r="G11643" s="1348"/>
      <c r="H11643" s="1348"/>
      <c r="I11643" s="1348"/>
      <c r="J11643" s="1348"/>
      <c r="K11643" s="1348"/>
    </row>
    <row r="11644" spans="2:11" hidden="1">
      <c r="B11644" s="1348"/>
      <c r="C11644" s="1348"/>
      <c r="D11644" s="1348"/>
      <c r="E11644" s="1348"/>
      <c r="F11644" s="1348"/>
      <c r="G11644" s="1348"/>
      <c r="H11644" s="1348"/>
      <c r="I11644" s="1348"/>
      <c r="J11644" s="1348"/>
      <c r="K11644" s="1348"/>
    </row>
    <row r="11645" spans="2:11" hidden="1">
      <c r="B11645" s="1348"/>
      <c r="C11645" s="1348"/>
      <c r="D11645" s="1348"/>
      <c r="E11645" s="1348"/>
      <c r="F11645" s="1348"/>
      <c r="G11645" s="1348"/>
      <c r="H11645" s="1348"/>
      <c r="I11645" s="1348"/>
      <c r="J11645" s="1348"/>
      <c r="K11645" s="1348"/>
    </row>
    <row r="11646" spans="2:11" hidden="1">
      <c r="B11646" s="1348"/>
      <c r="C11646" s="1348"/>
      <c r="D11646" s="1348"/>
      <c r="E11646" s="1348"/>
      <c r="F11646" s="1348"/>
      <c r="G11646" s="1348"/>
      <c r="H11646" s="1348"/>
      <c r="I11646" s="1348"/>
      <c r="J11646" s="1348"/>
      <c r="K11646" s="1348"/>
    </row>
    <row r="11647" spans="2:11" hidden="1">
      <c r="B11647" s="1348"/>
      <c r="C11647" s="1348"/>
      <c r="D11647" s="1348"/>
      <c r="E11647" s="1348"/>
      <c r="F11647" s="1348"/>
      <c r="G11647" s="1348"/>
      <c r="H11647" s="1348"/>
      <c r="I11647" s="1348"/>
      <c r="J11647" s="1348"/>
      <c r="K11647" s="1348"/>
    </row>
    <row r="11648" spans="2:11" hidden="1">
      <c r="B11648" s="1348"/>
      <c r="C11648" s="1348"/>
      <c r="D11648" s="1348"/>
      <c r="E11648" s="1348"/>
      <c r="F11648" s="1348"/>
      <c r="G11648" s="1348"/>
      <c r="H11648" s="1348"/>
      <c r="I11648" s="1348"/>
      <c r="J11648" s="1348"/>
      <c r="K11648" s="1348"/>
    </row>
    <row r="11649" spans="2:11" hidden="1">
      <c r="B11649" s="1348"/>
      <c r="C11649" s="1348"/>
      <c r="D11649" s="1348"/>
      <c r="E11649" s="1348"/>
      <c r="F11649" s="1348"/>
      <c r="G11649" s="1348"/>
      <c r="H11649" s="1348"/>
      <c r="I11649" s="1348"/>
      <c r="J11649" s="1348"/>
      <c r="K11649" s="1348"/>
    </row>
    <row r="11650" spans="2:11" hidden="1">
      <c r="B11650" s="1348"/>
      <c r="C11650" s="1348"/>
      <c r="D11650" s="1348"/>
      <c r="E11650" s="1348"/>
      <c r="F11650" s="1348"/>
      <c r="G11650" s="1348"/>
      <c r="H11650" s="1348"/>
      <c r="I11650" s="1348"/>
      <c r="J11650" s="1348"/>
      <c r="K11650" s="1348"/>
    </row>
    <row r="11651" spans="2:11" hidden="1">
      <c r="B11651" s="1348"/>
      <c r="C11651" s="1348"/>
      <c r="D11651" s="1348"/>
      <c r="E11651" s="1348"/>
      <c r="F11651" s="1348"/>
      <c r="G11651" s="1348"/>
      <c r="H11651" s="1348"/>
      <c r="I11651" s="1348"/>
      <c r="J11651" s="1348"/>
      <c r="K11651" s="1348"/>
    </row>
    <row r="11652" spans="2:11" hidden="1">
      <c r="B11652" s="1348"/>
      <c r="C11652" s="1348"/>
      <c r="D11652" s="1348"/>
      <c r="E11652" s="1348"/>
      <c r="F11652" s="1348"/>
      <c r="G11652" s="1348"/>
      <c r="H11652" s="1348"/>
      <c r="I11652" s="1348"/>
      <c r="J11652" s="1348"/>
      <c r="K11652" s="1348"/>
    </row>
    <row r="11653" spans="2:11" hidden="1">
      <c r="B11653" s="1348"/>
      <c r="C11653" s="1348"/>
      <c r="D11653" s="1348"/>
      <c r="E11653" s="1348"/>
      <c r="F11653" s="1348"/>
      <c r="G11653" s="1348"/>
      <c r="H11653" s="1348"/>
      <c r="I11653" s="1348"/>
      <c r="J11653" s="1348"/>
      <c r="K11653" s="1348"/>
    </row>
    <row r="11654" spans="2:11" hidden="1">
      <c r="B11654" s="1348"/>
      <c r="C11654" s="1348"/>
      <c r="D11654" s="1348"/>
      <c r="E11654" s="1348"/>
      <c r="F11654" s="1348"/>
      <c r="G11654" s="1348"/>
      <c r="H11654" s="1348"/>
      <c r="I11654" s="1348"/>
      <c r="J11654" s="1348"/>
      <c r="K11654" s="1348"/>
    </row>
    <row r="11655" spans="2:11" hidden="1">
      <c r="B11655" s="1348"/>
      <c r="C11655" s="1348"/>
      <c r="D11655" s="1348"/>
      <c r="E11655" s="1348"/>
      <c r="F11655" s="1348"/>
      <c r="G11655" s="1348"/>
      <c r="H11655" s="1348"/>
      <c r="I11655" s="1348"/>
      <c r="J11655" s="1348"/>
      <c r="K11655" s="1348"/>
    </row>
    <row r="11656" spans="2:11" hidden="1">
      <c r="B11656" s="1348"/>
      <c r="C11656" s="1348"/>
      <c r="D11656" s="1348"/>
      <c r="E11656" s="1348"/>
      <c r="F11656" s="1348"/>
      <c r="G11656" s="1348"/>
      <c r="H11656" s="1348"/>
      <c r="I11656" s="1348"/>
      <c r="J11656" s="1348"/>
      <c r="K11656" s="1348"/>
    </row>
    <row r="11657" spans="2:11" hidden="1">
      <c r="B11657" s="1348"/>
      <c r="C11657" s="1348"/>
      <c r="D11657" s="1348"/>
      <c r="E11657" s="1348"/>
      <c r="F11657" s="1348"/>
      <c r="G11657" s="1348"/>
      <c r="H11657" s="1348"/>
      <c r="I11657" s="1348"/>
      <c r="J11657" s="1348"/>
      <c r="K11657" s="1348"/>
    </row>
    <row r="11658" spans="2:11" hidden="1">
      <c r="B11658" s="1348"/>
      <c r="C11658" s="1348"/>
      <c r="D11658" s="1348"/>
      <c r="E11658" s="1348"/>
      <c r="F11658" s="1348"/>
      <c r="G11658" s="1348"/>
      <c r="H11658" s="1348"/>
      <c r="I11658" s="1348"/>
      <c r="J11658" s="1348"/>
      <c r="K11658" s="1348"/>
    </row>
    <row r="11659" spans="2:11" hidden="1">
      <c r="B11659" s="1348"/>
      <c r="C11659" s="1348"/>
      <c r="D11659" s="1348"/>
      <c r="E11659" s="1348"/>
      <c r="F11659" s="1348"/>
      <c r="G11659" s="1348"/>
      <c r="H11659" s="1348"/>
      <c r="I11659" s="1348"/>
      <c r="J11659" s="1348"/>
      <c r="K11659" s="1348"/>
    </row>
    <row r="11660" spans="2:11" hidden="1">
      <c r="B11660" s="1348"/>
      <c r="C11660" s="1348"/>
      <c r="D11660" s="1348"/>
      <c r="E11660" s="1348"/>
      <c r="F11660" s="1348"/>
      <c r="G11660" s="1348"/>
      <c r="H11660" s="1348"/>
      <c r="I11660" s="1348"/>
      <c r="J11660" s="1348"/>
      <c r="K11660" s="1348"/>
    </row>
    <row r="11661" spans="2:11" hidden="1">
      <c r="B11661" s="1348"/>
      <c r="C11661" s="1348"/>
      <c r="D11661" s="1348"/>
      <c r="E11661" s="1348"/>
      <c r="F11661" s="1348"/>
      <c r="G11661" s="1348"/>
      <c r="H11661" s="1348"/>
      <c r="I11661" s="1348"/>
      <c r="J11661" s="1348"/>
      <c r="K11661" s="1348"/>
    </row>
    <row r="11662" spans="2:11" hidden="1">
      <c r="B11662" s="1348"/>
      <c r="C11662" s="1348"/>
      <c r="D11662" s="1348"/>
      <c r="E11662" s="1348"/>
      <c r="F11662" s="1348"/>
      <c r="G11662" s="1348"/>
      <c r="H11662" s="1348"/>
      <c r="I11662" s="1348"/>
      <c r="J11662" s="1348"/>
      <c r="K11662" s="1348"/>
    </row>
    <row r="11663" spans="2:11" hidden="1">
      <c r="B11663" s="1348"/>
      <c r="C11663" s="1348"/>
      <c r="D11663" s="1348"/>
      <c r="E11663" s="1348"/>
      <c r="F11663" s="1348"/>
      <c r="G11663" s="1348"/>
      <c r="H11663" s="1348"/>
      <c r="I11663" s="1348"/>
      <c r="J11663" s="1348"/>
      <c r="K11663" s="1348"/>
    </row>
    <row r="11664" spans="2:11" hidden="1">
      <c r="B11664" s="1348"/>
      <c r="C11664" s="1348"/>
      <c r="D11664" s="1348"/>
      <c r="E11664" s="1348"/>
      <c r="F11664" s="1348"/>
      <c r="G11664" s="1348"/>
      <c r="H11664" s="1348"/>
      <c r="I11664" s="1348"/>
      <c r="J11664" s="1348"/>
      <c r="K11664" s="1348"/>
    </row>
    <row r="11665" spans="2:11" hidden="1">
      <c r="B11665" s="1348"/>
      <c r="C11665" s="1348"/>
      <c r="D11665" s="1348"/>
      <c r="E11665" s="1348"/>
      <c r="F11665" s="1348"/>
      <c r="G11665" s="1348"/>
      <c r="H11665" s="1348"/>
      <c r="I11665" s="1348"/>
      <c r="J11665" s="1348"/>
      <c r="K11665" s="1348"/>
    </row>
    <row r="11666" spans="2:11" hidden="1">
      <c r="B11666" s="1348"/>
      <c r="C11666" s="1348"/>
      <c r="D11666" s="1348"/>
      <c r="E11666" s="1348"/>
      <c r="F11666" s="1348"/>
      <c r="G11666" s="1348"/>
      <c r="H11666" s="1348"/>
      <c r="I11666" s="1348"/>
      <c r="J11666" s="1348"/>
      <c r="K11666" s="1348"/>
    </row>
    <row r="11667" spans="2:11" hidden="1">
      <c r="B11667" s="1348"/>
      <c r="C11667" s="1348"/>
      <c r="D11667" s="1348"/>
      <c r="E11667" s="1348"/>
      <c r="F11667" s="1348"/>
      <c r="G11667" s="1348"/>
      <c r="H11667" s="1348"/>
      <c r="I11667" s="1348"/>
      <c r="J11667" s="1348"/>
      <c r="K11667" s="1348"/>
    </row>
    <row r="11668" spans="2:11" hidden="1">
      <c r="B11668" s="1348"/>
      <c r="C11668" s="1348"/>
      <c r="D11668" s="1348"/>
      <c r="E11668" s="1348"/>
      <c r="F11668" s="1348"/>
      <c r="G11668" s="1348"/>
      <c r="H11668" s="1348"/>
      <c r="I11668" s="1348"/>
      <c r="J11668" s="1348"/>
      <c r="K11668" s="1348"/>
    </row>
    <row r="11669" spans="2:11" hidden="1">
      <c r="B11669" s="1348"/>
      <c r="C11669" s="1348"/>
      <c r="D11669" s="1348"/>
      <c r="E11669" s="1348"/>
      <c r="F11669" s="1348"/>
      <c r="G11669" s="1348"/>
      <c r="H11669" s="1348"/>
      <c r="I11669" s="1348"/>
      <c r="J11669" s="1348"/>
      <c r="K11669" s="1348"/>
    </row>
    <row r="11670" spans="2:11" hidden="1">
      <c r="B11670" s="1348"/>
      <c r="C11670" s="1348"/>
      <c r="D11670" s="1348"/>
      <c r="E11670" s="1348"/>
      <c r="F11670" s="1348"/>
      <c r="G11670" s="1348"/>
      <c r="H11670" s="1348"/>
      <c r="I11670" s="1348"/>
      <c r="J11670" s="1348"/>
      <c r="K11670" s="1348"/>
    </row>
    <row r="11671" spans="2:11" hidden="1">
      <c r="B11671" s="1348"/>
      <c r="C11671" s="1348"/>
      <c r="D11671" s="1348"/>
      <c r="E11671" s="1348"/>
      <c r="F11671" s="1348"/>
      <c r="G11671" s="1348"/>
      <c r="H11671" s="1348"/>
      <c r="I11671" s="1348"/>
      <c r="J11671" s="1348"/>
      <c r="K11671" s="1348"/>
    </row>
    <row r="11672" spans="2:11" hidden="1">
      <c r="B11672" s="1348"/>
      <c r="C11672" s="1348"/>
      <c r="D11672" s="1348"/>
      <c r="E11672" s="1348"/>
      <c r="F11672" s="1348"/>
      <c r="G11672" s="1348"/>
      <c r="H11672" s="1348"/>
      <c r="I11672" s="1348"/>
      <c r="J11672" s="1348"/>
      <c r="K11672" s="1348"/>
    </row>
    <row r="11673" spans="2:11" hidden="1">
      <c r="B11673" s="1348"/>
      <c r="C11673" s="1348"/>
      <c r="D11673" s="1348"/>
      <c r="E11673" s="1348"/>
      <c r="F11673" s="1348"/>
      <c r="G11673" s="1348"/>
      <c r="H11673" s="1348"/>
      <c r="I11673" s="1348"/>
      <c r="J11673" s="1348"/>
      <c r="K11673" s="1348"/>
    </row>
    <row r="11674" spans="2:11" hidden="1">
      <c r="B11674" s="1348"/>
      <c r="C11674" s="1348"/>
      <c r="D11674" s="1348"/>
      <c r="E11674" s="1348"/>
      <c r="F11674" s="1348"/>
      <c r="G11674" s="1348"/>
      <c r="H11674" s="1348"/>
      <c r="I11674" s="1348"/>
      <c r="J11674" s="1348"/>
      <c r="K11674" s="1348"/>
    </row>
    <row r="11675" spans="2:11" hidden="1">
      <c r="B11675" s="1348"/>
      <c r="C11675" s="1348"/>
      <c r="D11675" s="1348"/>
      <c r="E11675" s="1348"/>
      <c r="F11675" s="1348"/>
      <c r="G11675" s="1348"/>
      <c r="H11675" s="1348"/>
      <c r="I11675" s="1348"/>
      <c r="J11675" s="1348"/>
      <c r="K11675" s="1348"/>
    </row>
    <row r="11676" spans="2:11" hidden="1">
      <c r="B11676" s="1348"/>
      <c r="C11676" s="1348"/>
      <c r="D11676" s="1348"/>
      <c r="E11676" s="1348"/>
      <c r="F11676" s="1348"/>
      <c r="G11676" s="1348"/>
      <c r="H11676" s="1348"/>
      <c r="I11676" s="1348"/>
      <c r="J11676" s="1348"/>
      <c r="K11676" s="1348"/>
    </row>
    <row r="11677" spans="2:11" hidden="1">
      <c r="B11677" s="1348"/>
      <c r="C11677" s="1348"/>
      <c r="D11677" s="1348"/>
      <c r="E11677" s="1348"/>
      <c r="F11677" s="1348"/>
      <c r="G11677" s="1348"/>
      <c r="H11677" s="1348"/>
      <c r="I11677" s="1348"/>
      <c r="J11677" s="1348"/>
      <c r="K11677" s="1348"/>
    </row>
    <row r="11678" spans="2:11" hidden="1">
      <c r="B11678" s="1348"/>
      <c r="C11678" s="1348"/>
      <c r="D11678" s="1348"/>
      <c r="E11678" s="1348"/>
      <c r="F11678" s="1348"/>
      <c r="G11678" s="1348"/>
      <c r="H11678" s="1348"/>
      <c r="I11678" s="1348"/>
      <c r="J11678" s="1348"/>
      <c r="K11678" s="1348"/>
    </row>
    <row r="11679" spans="2:11" hidden="1">
      <c r="B11679" s="1348"/>
      <c r="C11679" s="1348"/>
      <c r="D11679" s="1348"/>
      <c r="E11679" s="1348"/>
      <c r="F11679" s="1348"/>
      <c r="G11679" s="1348"/>
      <c r="H11679" s="1348"/>
      <c r="I11679" s="1348"/>
      <c r="J11679" s="1348"/>
      <c r="K11679" s="1348"/>
    </row>
    <row r="11680" spans="2:11" hidden="1">
      <c r="B11680" s="1348"/>
      <c r="C11680" s="1348"/>
      <c r="D11680" s="1348"/>
      <c r="E11680" s="1348"/>
      <c r="F11680" s="1348"/>
      <c r="G11680" s="1348"/>
      <c r="H11680" s="1348"/>
      <c r="I11680" s="1348"/>
      <c r="J11680" s="1348"/>
      <c r="K11680" s="1348"/>
    </row>
    <row r="11681" spans="2:11" hidden="1">
      <c r="B11681" s="1348"/>
      <c r="C11681" s="1348"/>
      <c r="D11681" s="1348"/>
      <c r="E11681" s="1348"/>
      <c r="F11681" s="1348"/>
      <c r="G11681" s="1348"/>
      <c r="H11681" s="1348"/>
      <c r="I11681" s="1348"/>
      <c r="J11681" s="1348"/>
      <c r="K11681" s="1348"/>
    </row>
    <row r="11682" spans="2:11" hidden="1">
      <c r="B11682" s="1348"/>
      <c r="C11682" s="1348"/>
      <c r="D11682" s="1348"/>
      <c r="E11682" s="1348"/>
      <c r="F11682" s="1348"/>
      <c r="G11682" s="1348"/>
      <c r="H11682" s="1348"/>
      <c r="I11682" s="1348"/>
      <c r="J11682" s="1348"/>
      <c r="K11682" s="1348"/>
    </row>
    <row r="11683" spans="2:11" hidden="1">
      <c r="B11683" s="1348"/>
      <c r="C11683" s="1348"/>
      <c r="D11683" s="1348"/>
      <c r="E11683" s="1348"/>
      <c r="F11683" s="1348"/>
      <c r="G11683" s="1348"/>
      <c r="H11683" s="1348"/>
      <c r="I11683" s="1348"/>
      <c r="J11683" s="1348"/>
      <c r="K11683" s="1348"/>
    </row>
    <row r="11684" spans="2:11" hidden="1">
      <c r="B11684" s="1348"/>
      <c r="C11684" s="1348"/>
      <c r="D11684" s="1348"/>
      <c r="E11684" s="1348"/>
      <c r="F11684" s="1348"/>
      <c r="G11684" s="1348"/>
      <c r="H11684" s="1348"/>
      <c r="I11684" s="1348"/>
      <c r="J11684" s="1348"/>
      <c r="K11684" s="1348"/>
    </row>
    <row r="11685" spans="2:11" hidden="1">
      <c r="B11685" s="1348"/>
      <c r="C11685" s="1348"/>
      <c r="D11685" s="1348"/>
      <c r="E11685" s="1348"/>
      <c r="F11685" s="1348"/>
      <c r="G11685" s="1348"/>
      <c r="H11685" s="1348"/>
      <c r="I11685" s="1348"/>
      <c r="J11685" s="1348"/>
      <c r="K11685" s="1348"/>
    </row>
    <row r="11686" spans="2:11" hidden="1">
      <c r="B11686" s="1348"/>
      <c r="C11686" s="1348"/>
      <c r="D11686" s="1348"/>
      <c r="E11686" s="1348"/>
      <c r="F11686" s="1348"/>
      <c r="G11686" s="1348"/>
      <c r="H11686" s="1348"/>
      <c r="I11686" s="1348"/>
      <c r="J11686" s="1348"/>
      <c r="K11686" s="1348"/>
    </row>
    <row r="11687" spans="2:11" hidden="1">
      <c r="B11687" s="1348"/>
      <c r="C11687" s="1348"/>
      <c r="D11687" s="1348"/>
      <c r="E11687" s="1348"/>
      <c r="F11687" s="1348"/>
      <c r="G11687" s="1348"/>
      <c r="H11687" s="1348"/>
      <c r="I11687" s="1348"/>
      <c r="J11687" s="1348"/>
      <c r="K11687" s="1348"/>
    </row>
    <row r="11688" spans="2:11" hidden="1">
      <c r="B11688" s="1348"/>
      <c r="C11688" s="1348"/>
      <c r="D11688" s="1348"/>
      <c r="E11688" s="1348"/>
      <c r="F11688" s="1348"/>
      <c r="G11688" s="1348"/>
      <c r="H11688" s="1348"/>
      <c r="I11688" s="1348"/>
      <c r="J11688" s="1348"/>
      <c r="K11688" s="1348"/>
    </row>
    <row r="11689" spans="2:11" hidden="1">
      <c r="B11689" s="1348"/>
      <c r="C11689" s="1348"/>
      <c r="D11689" s="1348"/>
      <c r="E11689" s="1348"/>
      <c r="F11689" s="1348"/>
      <c r="G11689" s="1348"/>
      <c r="H11689" s="1348"/>
      <c r="I11689" s="1348"/>
      <c r="J11689" s="1348"/>
      <c r="K11689" s="1348"/>
    </row>
    <row r="11690" spans="2:11" hidden="1">
      <c r="B11690" s="1348"/>
      <c r="C11690" s="1348"/>
      <c r="D11690" s="1348"/>
      <c r="E11690" s="1348"/>
      <c r="F11690" s="1348"/>
      <c r="G11690" s="1348"/>
      <c r="H11690" s="1348"/>
      <c r="I11690" s="1348"/>
      <c r="J11690" s="1348"/>
      <c r="K11690" s="1348"/>
    </row>
    <row r="11691" spans="2:11" hidden="1">
      <c r="B11691" s="1348"/>
      <c r="C11691" s="1348"/>
      <c r="D11691" s="1348"/>
      <c r="E11691" s="1348"/>
      <c r="F11691" s="1348"/>
      <c r="G11691" s="1348"/>
      <c r="H11691" s="1348"/>
      <c r="I11691" s="1348"/>
      <c r="J11691" s="1348"/>
      <c r="K11691" s="1348"/>
    </row>
    <row r="11692" spans="2:11" hidden="1">
      <c r="B11692" s="1348"/>
      <c r="C11692" s="1348"/>
      <c r="D11692" s="1348"/>
      <c r="E11692" s="1348"/>
      <c r="F11692" s="1348"/>
      <c r="G11692" s="1348"/>
      <c r="H11692" s="1348"/>
      <c r="I11692" s="1348"/>
      <c r="J11692" s="1348"/>
      <c r="K11692" s="1348"/>
    </row>
    <row r="11693" spans="2:11" hidden="1">
      <c r="B11693" s="1348"/>
      <c r="C11693" s="1348"/>
      <c r="D11693" s="1348"/>
      <c r="E11693" s="1348"/>
      <c r="F11693" s="1348"/>
      <c r="G11693" s="1348"/>
      <c r="H11693" s="1348"/>
      <c r="I11693" s="1348"/>
      <c r="J11693" s="1348"/>
      <c r="K11693" s="1348"/>
    </row>
    <row r="11694" spans="2:11" hidden="1">
      <c r="B11694" s="1348"/>
      <c r="C11694" s="1348"/>
      <c r="D11694" s="1348"/>
      <c r="E11694" s="1348"/>
      <c r="F11694" s="1348"/>
      <c r="G11694" s="1348"/>
      <c r="H11694" s="1348"/>
      <c r="I11694" s="1348"/>
      <c r="J11694" s="1348"/>
      <c r="K11694" s="1348"/>
    </row>
    <row r="11695" spans="2:11" hidden="1">
      <c r="B11695" s="1348"/>
      <c r="C11695" s="1348"/>
      <c r="D11695" s="1348"/>
      <c r="E11695" s="1348"/>
      <c r="F11695" s="1348"/>
      <c r="G11695" s="1348"/>
      <c r="H11695" s="1348"/>
      <c r="I11695" s="1348"/>
      <c r="J11695" s="1348"/>
      <c r="K11695" s="1348"/>
    </row>
    <row r="11696" spans="2:11" hidden="1">
      <c r="B11696" s="1348"/>
      <c r="C11696" s="1348"/>
      <c r="D11696" s="1348"/>
      <c r="E11696" s="1348"/>
      <c r="F11696" s="1348"/>
      <c r="G11696" s="1348"/>
      <c r="H11696" s="1348"/>
      <c r="I11696" s="1348"/>
      <c r="J11696" s="1348"/>
      <c r="K11696" s="1348"/>
    </row>
    <row r="11697" spans="2:11" hidden="1">
      <c r="B11697" s="1348"/>
      <c r="C11697" s="1348"/>
      <c r="D11697" s="1348"/>
      <c r="E11697" s="1348"/>
      <c r="F11697" s="1348"/>
      <c r="G11697" s="1348"/>
      <c r="H11697" s="1348"/>
      <c r="I11697" s="1348"/>
      <c r="J11697" s="1348"/>
      <c r="K11697" s="1348"/>
    </row>
    <row r="11698" spans="2:11" hidden="1">
      <c r="B11698" s="1348"/>
      <c r="C11698" s="1348"/>
      <c r="D11698" s="1348"/>
      <c r="E11698" s="1348"/>
      <c r="F11698" s="1348"/>
      <c r="G11698" s="1348"/>
      <c r="H11698" s="1348"/>
      <c r="I11698" s="1348"/>
      <c r="J11698" s="1348"/>
      <c r="K11698" s="1348"/>
    </row>
    <row r="11699" spans="2:11" hidden="1">
      <c r="B11699" s="1348"/>
      <c r="C11699" s="1348"/>
      <c r="D11699" s="1348"/>
      <c r="E11699" s="1348"/>
      <c r="F11699" s="1348"/>
      <c r="G11699" s="1348"/>
      <c r="H11699" s="1348"/>
      <c r="I11699" s="1348"/>
      <c r="J11699" s="1348"/>
      <c r="K11699" s="1348"/>
    </row>
    <row r="11700" spans="2:11" hidden="1">
      <c r="B11700" s="1348"/>
      <c r="C11700" s="1348"/>
      <c r="D11700" s="1348"/>
      <c r="E11700" s="1348"/>
      <c r="F11700" s="1348"/>
      <c r="G11700" s="1348"/>
      <c r="H11700" s="1348"/>
      <c r="I11700" s="1348"/>
      <c r="J11700" s="1348"/>
      <c r="K11700" s="1348"/>
    </row>
    <row r="11701" spans="2:11" hidden="1">
      <c r="B11701" s="1348"/>
      <c r="C11701" s="1348"/>
      <c r="D11701" s="1348"/>
      <c r="E11701" s="1348"/>
      <c r="F11701" s="1348"/>
      <c r="G11701" s="1348"/>
      <c r="H11701" s="1348"/>
      <c r="I11701" s="1348"/>
      <c r="J11701" s="1348"/>
      <c r="K11701" s="1348"/>
    </row>
    <row r="11702" spans="2:11" hidden="1">
      <c r="B11702" s="1348"/>
      <c r="C11702" s="1348"/>
      <c r="D11702" s="1348"/>
      <c r="E11702" s="1348"/>
      <c r="F11702" s="1348"/>
      <c r="G11702" s="1348"/>
      <c r="H11702" s="1348"/>
      <c r="I11702" s="1348"/>
      <c r="J11702" s="1348"/>
      <c r="K11702" s="1348"/>
    </row>
    <row r="11703" spans="2:11" hidden="1">
      <c r="B11703" s="1348"/>
      <c r="C11703" s="1348"/>
      <c r="D11703" s="1348"/>
      <c r="E11703" s="1348"/>
      <c r="F11703" s="1348"/>
      <c r="G11703" s="1348"/>
      <c r="H11703" s="1348"/>
      <c r="I11703" s="1348"/>
      <c r="J11703" s="1348"/>
      <c r="K11703" s="1348"/>
    </row>
    <row r="11704" spans="2:11" hidden="1">
      <c r="B11704" s="1348"/>
      <c r="C11704" s="1348"/>
      <c r="D11704" s="1348"/>
      <c r="E11704" s="1348"/>
      <c r="F11704" s="1348"/>
      <c r="G11704" s="1348"/>
      <c r="H11704" s="1348"/>
      <c r="I11704" s="1348"/>
      <c r="J11704" s="1348"/>
      <c r="K11704" s="1348"/>
    </row>
    <row r="11705" spans="2:11" hidden="1">
      <c r="B11705" s="1348"/>
      <c r="C11705" s="1348"/>
      <c r="D11705" s="1348"/>
      <c r="E11705" s="1348"/>
      <c r="F11705" s="1348"/>
      <c r="G11705" s="1348"/>
      <c r="H11705" s="1348"/>
      <c r="I11705" s="1348"/>
      <c r="J11705" s="1348"/>
      <c r="K11705" s="1348"/>
    </row>
    <row r="11706" spans="2:11" hidden="1">
      <c r="B11706" s="1348"/>
      <c r="C11706" s="1348"/>
      <c r="D11706" s="1348"/>
      <c r="E11706" s="1348"/>
      <c r="F11706" s="1348"/>
      <c r="G11706" s="1348"/>
      <c r="H11706" s="1348"/>
      <c r="I11706" s="1348"/>
      <c r="J11706" s="1348"/>
      <c r="K11706" s="1348"/>
    </row>
    <row r="11707" spans="2:11" hidden="1">
      <c r="B11707" s="1348"/>
      <c r="C11707" s="1348"/>
      <c r="D11707" s="1348"/>
      <c r="E11707" s="1348"/>
      <c r="F11707" s="1348"/>
      <c r="G11707" s="1348"/>
      <c r="H11707" s="1348"/>
      <c r="I11707" s="1348"/>
      <c r="J11707" s="1348"/>
      <c r="K11707" s="1348"/>
    </row>
    <row r="11708" spans="2:11" hidden="1">
      <c r="B11708" s="1348"/>
      <c r="C11708" s="1348"/>
      <c r="D11708" s="1348"/>
      <c r="E11708" s="1348"/>
      <c r="F11708" s="1348"/>
      <c r="G11708" s="1348"/>
      <c r="H11708" s="1348"/>
      <c r="I11708" s="1348"/>
      <c r="J11708" s="1348"/>
      <c r="K11708" s="1348"/>
    </row>
    <row r="11709" spans="2:11" hidden="1">
      <c r="B11709" s="1348"/>
      <c r="C11709" s="1348"/>
      <c r="D11709" s="1348"/>
      <c r="E11709" s="1348"/>
      <c r="F11709" s="1348"/>
      <c r="G11709" s="1348"/>
      <c r="H11709" s="1348"/>
      <c r="I11709" s="1348"/>
      <c r="J11709" s="1348"/>
      <c r="K11709" s="1348"/>
    </row>
    <row r="11710" spans="2:11" hidden="1">
      <c r="B11710" s="1348"/>
      <c r="C11710" s="1348"/>
      <c r="D11710" s="1348"/>
      <c r="E11710" s="1348"/>
      <c r="F11710" s="1348"/>
      <c r="G11710" s="1348"/>
      <c r="H11710" s="1348"/>
      <c r="I11710" s="1348"/>
      <c r="J11710" s="1348"/>
      <c r="K11710" s="1348"/>
    </row>
    <row r="11711" spans="2:11" hidden="1">
      <c r="B11711" s="1348"/>
      <c r="C11711" s="1348"/>
      <c r="D11711" s="1348"/>
      <c r="E11711" s="1348"/>
      <c r="F11711" s="1348"/>
      <c r="G11711" s="1348"/>
      <c r="H11711" s="1348"/>
      <c r="I11711" s="1348"/>
      <c r="J11711" s="1348"/>
      <c r="K11711" s="1348"/>
    </row>
    <row r="11712" spans="2:11" hidden="1">
      <c r="B11712" s="1348"/>
      <c r="C11712" s="1348"/>
      <c r="D11712" s="1348"/>
      <c r="E11712" s="1348"/>
      <c r="F11712" s="1348"/>
      <c r="G11712" s="1348"/>
      <c r="H11712" s="1348"/>
      <c r="I11712" s="1348"/>
      <c r="J11712" s="1348"/>
      <c r="K11712" s="1348"/>
    </row>
    <row r="11713" spans="2:11" hidden="1">
      <c r="B11713" s="1348"/>
      <c r="C11713" s="1348"/>
      <c r="D11713" s="1348"/>
      <c r="E11713" s="1348"/>
      <c r="F11713" s="1348"/>
      <c r="G11713" s="1348"/>
      <c r="H11713" s="1348"/>
      <c r="I11713" s="1348"/>
      <c r="J11713" s="1348"/>
      <c r="K11713" s="1348"/>
    </row>
    <row r="11714" spans="2:11" hidden="1">
      <c r="B11714" s="1348"/>
      <c r="C11714" s="1348"/>
      <c r="D11714" s="1348"/>
      <c r="E11714" s="1348"/>
      <c r="F11714" s="1348"/>
      <c r="G11714" s="1348"/>
      <c r="H11714" s="1348"/>
      <c r="I11714" s="1348"/>
      <c r="J11714" s="1348"/>
      <c r="K11714" s="1348"/>
    </row>
    <row r="11715" spans="2:11" hidden="1">
      <c r="B11715" s="1348"/>
      <c r="C11715" s="1348"/>
      <c r="D11715" s="1348"/>
      <c r="E11715" s="1348"/>
      <c r="F11715" s="1348"/>
      <c r="G11715" s="1348"/>
      <c r="H11715" s="1348"/>
      <c r="I11715" s="1348"/>
      <c r="J11715" s="1348"/>
      <c r="K11715" s="1348"/>
    </row>
    <row r="11716" spans="2:11" hidden="1">
      <c r="B11716" s="1348"/>
      <c r="C11716" s="1348"/>
      <c r="D11716" s="1348"/>
      <c r="E11716" s="1348"/>
      <c r="F11716" s="1348"/>
      <c r="G11716" s="1348"/>
      <c r="H11716" s="1348"/>
      <c r="I11716" s="1348"/>
      <c r="J11716" s="1348"/>
      <c r="K11716" s="1348"/>
    </row>
    <row r="11717" spans="2:11" hidden="1">
      <c r="B11717" s="1348"/>
      <c r="C11717" s="1348"/>
      <c r="D11717" s="1348"/>
      <c r="E11717" s="1348"/>
      <c r="F11717" s="1348"/>
      <c r="G11717" s="1348"/>
      <c r="H11717" s="1348"/>
      <c r="I11717" s="1348"/>
      <c r="J11717" s="1348"/>
      <c r="K11717" s="1348"/>
    </row>
    <row r="11718" spans="2:11" hidden="1">
      <c r="B11718" s="1348"/>
      <c r="C11718" s="1348"/>
      <c r="D11718" s="1348"/>
      <c r="E11718" s="1348"/>
      <c r="F11718" s="1348"/>
      <c r="G11718" s="1348"/>
      <c r="H11718" s="1348"/>
      <c r="I11718" s="1348"/>
      <c r="J11718" s="1348"/>
      <c r="K11718" s="1348"/>
    </row>
    <row r="11719" spans="2:11" hidden="1">
      <c r="B11719" s="1348"/>
      <c r="C11719" s="1348"/>
      <c r="D11719" s="1348"/>
      <c r="E11719" s="1348"/>
      <c r="F11719" s="1348"/>
      <c r="G11719" s="1348"/>
      <c r="H11719" s="1348"/>
      <c r="I11719" s="1348"/>
      <c r="J11719" s="1348"/>
      <c r="K11719" s="1348"/>
    </row>
    <row r="11720" spans="2:11" hidden="1">
      <c r="B11720" s="1348"/>
      <c r="C11720" s="1348"/>
      <c r="D11720" s="1348"/>
      <c r="E11720" s="1348"/>
      <c r="F11720" s="1348"/>
      <c r="G11720" s="1348"/>
      <c r="H11720" s="1348"/>
      <c r="I11720" s="1348"/>
      <c r="J11720" s="1348"/>
      <c r="K11720" s="1348"/>
    </row>
    <row r="11721" spans="2:11" hidden="1">
      <c r="B11721" s="1348"/>
      <c r="C11721" s="1348"/>
      <c r="D11721" s="1348"/>
      <c r="E11721" s="1348"/>
      <c r="F11721" s="1348"/>
      <c r="G11721" s="1348"/>
      <c r="H11721" s="1348"/>
      <c r="I11721" s="1348"/>
      <c r="J11721" s="1348"/>
      <c r="K11721" s="1348"/>
    </row>
    <row r="11722" spans="2:11" hidden="1">
      <c r="B11722" s="1348"/>
      <c r="C11722" s="1348"/>
      <c r="D11722" s="1348"/>
      <c r="E11722" s="1348"/>
      <c r="F11722" s="1348"/>
      <c r="G11722" s="1348"/>
      <c r="H11722" s="1348"/>
      <c r="I11722" s="1348"/>
      <c r="J11722" s="1348"/>
      <c r="K11722" s="1348"/>
    </row>
    <row r="11723" spans="2:11" hidden="1">
      <c r="B11723" s="1348"/>
      <c r="C11723" s="1348"/>
      <c r="D11723" s="1348"/>
      <c r="E11723" s="1348"/>
      <c r="F11723" s="1348"/>
      <c r="G11723" s="1348"/>
      <c r="H11723" s="1348"/>
      <c r="I11723" s="1348"/>
      <c r="J11723" s="1348"/>
      <c r="K11723" s="1348"/>
    </row>
    <row r="11724" spans="2:11" hidden="1">
      <c r="B11724" s="1348"/>
      <c r="C11724" s="1348"/>
      <c r="D11724" s="1348"/>
      <c r="E11724" s="1348"/>
      <c r="F11724" s="1348"/>
      <c r="G11724" s="1348"/>
      <c r="H11724" s="1348"/>
      <c r="I11724" s="1348"/>
      <c r="J11724" s="1348"/>
      <c r="K11724" s="1348"/>
    </row>
    <row r="11725" spans="2:11" hidden="1">
      <c r="B11725" s="1348"/>
      <c r="C11725" s="1348"/>
      <c r="D11725" s="1348"/>
      <c r="E11725" s="1348"/>
      <c r="F11725" s="1348"/>
      <c r="G11725" s="1348"/>
      <c r="H11725" s="1348"/>
      <c r="I11725" s="1348"/>
      <c r="J11725" s="1348"/>
      <c r="K11725" s="1348"/>
    </row>
    <row r="11726" spans="2:11" hidden="1">
      <c r="B11726" s="1348"/>
      <c r="C11726" s="1348"/>
      <c r="D11726" s="1348"/>
      <c r="E11726" s="1348"/>
      <c r="F11726" s="1348"/>
      <c r="G11726" s="1348"/>
      <c r="H11726" s="1348"/>
      <c r="I11726" s="1348"/>
      <c r="J11726" s="1348"/>
      <c r="K11726" s="1348"/>
    </row>
    <row r="11727" spans="2:11" hidden="1">
      <c r="B11727" s="1348"/>
      <c r="C11727" s="1348"/>
      <c r="D11727" s="1348"/>
      <c r="E11727" s="1348"/>
      <c r="F11727" s="1348"/>
      <c r="G11727" s="1348"/>
      <c r="H11727" s="1348"/>
      <c r="I11727" s="1348"/>
      <c r="J11727" s="1348"/>
      <c r="K11727" s="1348"/>
    </row>
    <row r="11728" spans="2:11" hidden="1">
      <c r="B11728" s="1348"/>
      <c r="C11728" s="1348"/>
      <c r="D11728" s="1348"/>
      <c r="E11728" s="1348"/>
      <c r="F11728" s="1348"/>
      <c r="G11728" s="1348"/>
      <c r="H11728" s="1348"/>
      <c r="I11728" s="1348"/>
      <c r="J11728" s="1348"/>
      <c r="K11728" s="1348"/>
    </row>
    <row r="11729" spans="2:11" hidden="1">
      <c r="B11729" s="1348"/>
      <c r="C11729" s="1348"/>
      <c r="D11729" s="1348"/>
      <c r="E11729" s="1348"/>
      <c r="F11729" s="1348"/>
      <c r="G11729" s="1348"/>
      <c r="H11729" s="1348"/>
      <c r="I11729" s="1348"/>
      <c r="J11729" s="1348"/>
      <c r="K11729" s="1348"/>
    </row>
    <row r="11730" spans="2:11" hidden="1">
      <c r="B11730" s="1348"/>
      <c r="C11730" s="1348"/>
      <c r="D11730" s="1348"/>
      <c r="E11730" s="1348"/>
      <c r="F11730" s="1348"/>
      <c r="G11730" s="1348"/>
      <c r="H11730" s="1348"/>
      <c r="I11730" s="1348"/>
      <c r="J11730" s="1348"/>
      <c r="K11730" s="1348"/>
    </row>
    <row r="11731" spans="2:11" hidden="1">
      <c r="B11731" s="1348"/>
      <c r="C11731" s="1348"/>
      <c r="D11731" s="1348"/>
      <c r="E11731" s="1348"/>
      <c r="F11731" s="1348"/>
      <c r="G11731" s="1348"/>
      <c r="H11731" s="1348"/>
      <c r="I11731" s="1348"/>
      <c r="J11731" s="1348"/>
      <c r="K11731" s="1348"/>
    </row>
    <row r="11732" spans="2:11" hidden="1">
      <c r="B11732" s="1348"/>
      <c r="C11732" s="1348"/>
      <c r="D11732" s="1348"/>
      <c r="E11732" s="1348"/>
      <c r="F11732" s="1348"/>
      <c r="G11732" s="1348"/>
      <c r="H11732" s="1348"/>
      <c r="I11732" s="1348"/>
      <c r="J11732" s="1348"/>
      <c r="K11732" s="1348"/>
    </row>
    <row r="11733" spans="2:11" hidden="1">
      <c r="B11733" s="1348"/>
      <c r="C11733" s="1348"/>
      <c r="D11733" s="1348"/>
      <c r="E11733" s="1348"/>
      <c r="F11733" s="1348"/>
      <c r="G11733" s="1348"/>
      <c r="H11733" s="1348"/>
      <c r="I11733" s="1348"/>
      <c r="J11733" s="1348"/>
      <c r="K11733" s="1348"/>
    </row>
    <row r="11734" spans="2:11" hidden="1">
      <c r="B11734" s="1348"/>
      <c r="C11734" s="1348"/>
      <c r="D11734" s="1348"/>
      <c r="E11734" s="1348"/>
      <c r="F11734" s="1348"/>
      <c r="G11734" s="1348"/>
      <c r="H11734" s="1348"/>
      <c r="I11734" s="1348"/>
      <c r="J11734" s="1348"/>
      <c r="K11734" s="1348"/>
    </row>
    <row r="11735" spans="2:11" hidden="1">
      <c r="B11735" s="1348"/>
      <c r="C11735" s="1348"/>
      <c r="D11735" s="1348"/>
      <c r="E11735" s="1348"/>
      <c r="F11735" s="1348"/>
      <c r="G11735" s="1348"/>
      <c r="H11735" s="1348"/>
      <c r="I11735" s="1348"/>
      <c r="J11735" s="1348"/>
      <c r="K11735" s="1348"/>
    </row>
    <row r="11736" spans="2:11" hidden="1">
      <c r="B11736" s="1348"/>
      <c r="C11736" s="1348"/>
      <c r="D11736" s="1348"/>
      <c r="E11736" s="1348"/>
      <c r="F11736" s="1348"/>
      <c r="G11736" s="1348"/>
      <c r="H11736" s="1348"/>
      <c r="I11736" s="1348"/>
      <c r="J11736" s="1348"/>
      <c r="K11736" s="1348"/>
    </row>
    <row r="11737" spans="2:11" hidden="1">
      <c r="B11737" s="1348"/>
      <c r="C11737" s="1348"/>
      <c r="D11737" s="1348"/>
      <c r="E11737" s="1348"/>
      <c r="F11737" s="1348"/>
      <c r="G11737" s="1348"/>
      <c r="H11737" s="1348"/>
      <c r="I11737" s="1348"/>
      <c r="J11737" s="1348"/>
      <c r="K11737" s="1348"/>
    </row>
    <row r="11738" spans="2:11" hidden="1">
      <c r="B11738" s="1348"/>
      <c r="C11738" s="1348"/>
      <c r="D11738" s="1348"/>
      <c r="E11738" s="1348"/>
      <c r="F11738" s="1348"/>
      <c r="G11738" s="1348"/>
      <c r="H11738" s="1348"/>
      <c r="I11738" s="1348"/>
      <c r="J11738" s="1348"/>
      <c r="K11738" s="1348"/>
    </row>
    <row r="11739" spans="2:11" hidden="1">
      <c r="B11739" s="1348"/>
      <c r="C11739" s="1348"/>
      <c r="D11739" s="1348"/>
      <c r="E11739" s="1348"/>
      <c r="F11739" s="1348"/>
      <c r="G11739" s="1348"/>
      <c r="H11739" s="1348"/>
      <c r="I11739" s="1348"/>
      <c r="J11739" s="1348"/>
      <c r="K11739" s="1348"/>
    </row>
    <row r="11740" spans="2:11" hidden="1">
      <c r="B11740" s="1348"/>
      <c r="C11740" s="1348"/>
      <c r="D11740" s="1348"/>
      <c r="E11740" s="1348"/>
      <c r="F11740" s="1348"/>
      <c r="G11740" s="1348"/>
      <c r="H11740" s="1348"/>
      <c r="I11740" s="1348"/>
      <c r="J11740" s="1348"/>
      <c r="K11740" s="1348"/>
    </row>
    <row r="11741" spans="2:11" hidden="1">
      <c r="B11741" s="1348"/>
      <c r="C11741" s="1348"/>
      <c r="D11741" s="1348"/>
      <c r="E11741" s="1348"/>
      <c r="F11741" s="1348"/>
      <c r="G11741" s="1348"/>
      <c r="H11741" s="1348"/>
      <c r="I11741" s="1348"/>
      <c r="J11741" s="1348"/>
      <c r="K11741" s="1348"/>
    </row>
    <row r="11742" spans="2:11" hidden="1">
      <c r="B11742" s="1348"/>
      <c r="C11742" s="1348"/>
      <c r="D11742" s="1348"/>
      <c r="E11742" s="1348"/>
      <c r="F11742" s="1348"/>
      <c r="G11742" s="1348"/>
      <c r="H11742" s="1348"/>
      <c r="I11742" s="1348"/>
      <c r="J11742" s="1348"/>
      <c r="K11742" s="1348"/>
    </row>
    <row r="11743" spans="2:11" hidden="1">
      <c r="B11743" s="1348"/>
      <c r="C11743" s="1348"/>
      <c r="D11743" s="1348"/>
      <c r="E11743" s="1348"/>
      <c r="F11743" s="1348"/>
      <c r="G11743" s="1348"/>
      <c r="H11743" s="1348"/>
      <c r="I11743" s="1348"/>
      <c r="J11743" s="1348"/>
      <c r="K11743" s="1348"/>
    </row>
    <row r="11744" spans="2:11" hidden="1">
      <c r="B11744" s="1348"/>
      <c r="C11744" s="1348"/>
      <c r="D11744" s="1348"/>
      <c r="E11744" s="1348"/>
      <c r="F11744" s="1348"/>
      <c r="G11744" s="1348"/>
      <c r="H11744" s="1348"/>
      <c r="I11744" s="1348"/>
      <c r="J11744" s="1348"/>
      <c r="K11744" s="1348"/>
    </row>
    <row r="11745" spans="2:11" hidden="1">
      <c r="B11745" s="1348"/>
      <c r="C11745" s="1348"/>
      <c r="D11745" s="1348"/>
      <c r="E11745" s="1348"/>
      <c r="F11745" s="1348"/>
      <c r="G11745" s="1348"/>
      <c r="H11745" s="1348"/>
      <c r="I11745" s="1348"/>
      <c r="J11745" s="1348"/>
      <c r="K11745" s="1348"/>
    </row>
    <row r="11746" spans="2:11" hidden="1">
      <c r="B11746" s="1348"/>
      <c r="C11746" s="1348"/>
      <c r="D11746" s="1348"/>
      <c r="E11746" s="1348"/>
      <c r="F11746" s="1348"/>
      <c r="G11746" s="1348"/>
      <c r="H11746" s="1348"/>
      <c r="I11746" s="1348"/>
      <c r="J11746" s="1348"/>
      <c r="K11746" s="1348"/>
    </row>
    <row r="11747" spans="2:11" hidden="1">
      <c r="B11747" s="1348"/>
      <c r="C11747" s="1348"/>
      <c r="D11747" s="1348"/>
      <c r="E11747" s="1348"/>
      <c r="F11747" s="1348"/>
      <c r="G11747" s="1348"/>
      <c r="H11747" s="1348"/>
      <c r="I11747" s="1348"/>
      <c r="J11747" s="1348"/>
      <c r="K11747" s="1348"/>
    </row>
    <row r="11748" spans="2:11" hidden="1">
      <c r="B11748" s="1348"/>
      <c r="C11748" s="1348"/>
      <c r="D11748" s="1348"/>
      <c r="E11748" s="1348"/>
      <c r="F11748" s="1348"/>
      <c r="G11748" s="1348"/>
      <c r="H11748" s="1348"/>
      <c r="I11748" s="1348"/>
      <c r="J11748" s="1348"/>
      <c r="K11748" s="1348"/>
    </row>
    <row r="11749" spans="2:11" hidden="1">
      <c r="B11749" s="1348"/>
      <c r="C11749" s="1348"/>
      <c r="D11749" s="1348"/>
      <c r="E11749" s="1348"/>
      <c r="F11749" s="1348"/>
      <c r="G11749" s="1348"/>
      <c r="H11749" s="1348"/>
      <c r="I11749" s="1348"/>
      <c r="J11749" s="1348"/>
      <c r="K11749" s="1348"/>
    </row>
    <row r="11750" spans="2:11" hidden="1">
      <c r="B11750" s="1348"/>
      <c r="C11750" s="1348"/>
      <c r="D11750" s="1348"/>
      <c r="E11750" s="1348"/>
      <c r="F11750" s="1348"/>
      <c r="G11750" s="1348"/>
      <c r="H11750" s="1348"/>
      <c r="I11750" s="1348"/>
      <c r="J11750" s="1348"/>
      <c r="K11750" s="1348"/>
    </row>
    <row r="11751" spans="2:11" hidden="1">
      <c r="B11751" s="1348"/>
      <c r="C11751" s="1348"/>
      <c r="D11751" s="1348"/>
      <c r="E11751" s="1348"/>
      <c r="F11751" s="1348"/>
      <c r="G11751" s="1348"/>
      <c r="H11751" s="1348"/>
      <c r="I11751" s="1348"/>
      <c r="J11751" s="1348"/>
      <c r="K11751" s="1348"/>
    </row>
    <row r="11752" spans="2:11" hidden="1">
      <c r="B11752" s="1348"/>
      <c r="C11752" s="1348"/>
      <c r="D11752" s="1348"/>
      <c r="E11752" s="1348"/>
      <c r="F11752" s="1348"/>
      <c r="G11752" s="1348"/>
      <c r="H11752" s="1348"/>
      <c r="I11752" s="1348"/>
      <c r="J11752" s="1348"/>
      <c r="K11752" s="1348"/>
    </row>
    <row r="11753" spans="2:11" hidden="1">
      <c r="B11753" s="1348"/>
      <c r="C11753" s="1348"/>
      <c r="D11753" s="1348"/>
      <c r="E11753" s="1348"/>
      <c r="F11753" s="1348"/>
      <c r="G11753" s="1348"/>
      <c r="H11753" s="1348"/>
      <c r="I11753" s="1348"/>
      <c r="J11753" s="1348"/>
      <c r="K11753" s="1348"/>
    </row>
    <row r="11754" spans="2:11" hidden="1">
      <c r="B11754" s="1348"/>
      <c r="C11754" s="1348"/>
      <c r="D11754" s="1348"/>
      <c r="E11754" s="1348"/>
      <c r="F11754" s="1348"/>
      <c r="G11754" s="1348"/>
      <c r="H11754" s="1348"/>
      <c r="I11754" s="1348"/>
      <c r="J11754" s="1348"/>
      <c r="K11754" s="1348"/>
    </row>
    <row r="11755" spans="2:11" hidden="1">
      <c r="B11755" s="1348"/>
      <c r="C11755" s="1348"/>
      <c r="D11755" s="1348"/>
      <c r="E11755" s="1348"/>
      <c r="F11755" s="1348"/>
      <c r="G11755" s="1348"/>
      <c r="H11755" s="1348"/>
      <c r="I11755" s="1348"/>
      <c r="J11755" s="1348"/>
      <c r="K11755" s="1348"/>
    </row>
    <row r="11756" spans="2:11" hidden="1">
      <c r="B11756" s="1348"/>
      <c r="C11756" s="1348"/>
      <c r="D11756" s="1348"/>
      <c r="E11756" s="1348"/>
      <c r="F11756" s="1348"/>
      <c r="G11756" s="1348"/>
      <c r="H11756" s="1348"/>
      <c r="I11756" s="1348"/>
      <c r="J11756" s="1348"/>
      <c r="K11756" s="1348"/>
    </row>
    <row r="11757" spans="2:11" hidden="1">
      <c r="B11757" s="1348"/>
      <c r="C11757" s="1348"/>
      <c r="D11757" s="1348"/>
      <c r="E11757" s="1348"/>
      <c r="F11757" s="1348"/>
      <c r="G11757" s="1348"/>
      <c r="H11757" s="1348"/>
      <c r="I11757" s="1348"/>
      <c r="J11757" s="1348"/>
      <c r="K11757" s="1348"/>
    </row>
    <row r="11758" spans="2:11" hidden="1">
      <c r="B11758" s="1348"/>
      <c r="C11758" s="1348"/>
      <c r="D11758" s="1348"/>
      <c r="E11758" s="1348"/>
      <c r="F11758" s="1348"/>
      <c r="G11758" s="1348"/>
      <c r="H11758" s="1348"/>
      <c r="I11758" s="1348"/>
      <c r="J11758" s="1348"/>
      <c r="K11758" s="1348"/>
    </row>
    <row r="11759" spans="2:11" hidden="1">
      <c r="B11759" s="1348"/>
      <c r="C11759" s="1348"/>
      <c r="D11759" s="1348"/>
      <c r="E11759" s="1348"/>
      <c r="F11759" s="1348"/>
      <c r="G11759" s="1348"/>
      <c r="H11759" s="1348"/>
      <c r="I11759" s="1348"/>
      <c r="J11759" s="1348"/>
      <c r="K11759" s="1348"/>
    </row>
    <row r="11760" spans="2:11" hidden="1">
      <c r="B11760" s="1348"/>
      <c r="C11760" s="1348"/>
      <c r="D11760" s="1348"/>
      <c r="E11760" s="1348"/>
      <c r="F11760" s="1348"/>
      <c r="G11760" s="1348"/>
      <c r="H11760" s="1348"/>
      <c r="I11760" s="1348"/>
      <c r="J11760" s="1348"/>
      <c r="K11760" s="1348"/>
    </row>
    <row r="11761" spans="2:11" hidden="1">
      <c r="B11761" s="1348"/>
      <c r="C11761" s="1348"/>
      <c r="D11761" s="1348"/>
      <c r="E11761" s="1348"/>
      <c r="F11761" s="1348"/>
      <c r="G11761" s="1348"/>
      <c r="H11761" s="1348"/>
      <c r="I11761" s="1348"/>
      <c r="J11761" s="1348"/>
      <c r="K11761" s="1348"/>
    </row>
    <row r="11762" spans="2:11" hidden="1">
      <c r="B11762" s="1348"/>
      <c r="C11762" s="1348"/>
      <c r="D11762" s="1348"/>
      <c r="E11762" s="1348"/>
      <c r="F11762" s="1348"/>
      <c r="G11762" s="1348"/>
      <c r="H11762" s="1348"/>
      <c r="I11762" s="1348"/>
      <c r="J11762" s="1348"/>
      <c r="K11762" s="1348"/>
    </row>
    <row r="11763" spans="2:11" hidden="1">
      <c r="B11763" s="1348"/>
      <c r="C11763" s="1348"/>
      <c r="D11763" s="1348"/>
      <c r="E11763" s="1348"/>
      <c r="F11763" s="1348"/>
      <c r="G11763" s="1348"/>
      <c r="H11763" s="1348"/>
      <c r="I11763" s="1348"/>
      <c r="J11763" s="1348"/>
      <c r="K11763" s="1348"/>
    </row>
    <row r="11764" spans="2:11" hidden="1">
      <c r="B11764" s="1348"/>
      <c r="C11764" s="1348"/>
      <c r="D11764" s="1348"/>
      <c r="E11764" s="1348"/>
      <c r="F11764" s="1348"/>
      <c r="G11764" s="1348"/>
      <c r="H11764" s="1348"/>
      <c r="I11764" s="1348"/>
      <c r="J11764" s="1348"/>
      <c r="K11764" s="1348"/>
    </row>
    <row r="11765" spans="2:11" hidden="1">
      <c r="B11765" s="1348"/>
      <c r="C11765" s="1348"/>
      <c r="D11765" s="1348"/>
      <c r="E11765" s="1348"/>
      <c r="F11765" s="1348"/>
      <c r="G11765" s="1348"/>
      <c r="H11765" s="1348"/>
      <c r="I11765" s="1348"/>
      <c r="J11765" s="1348"/>
      <c r="K11765" s="1348"/>
    </row>
    <row r="11766" spans="2:11" hidden="1">
      <c r="B11766" s="1348"/>
      <c r="C11766" s="1348"/>
      <c r="D11766" s="1348"/>
      <c r="E11766" s="1348"/>
      <c r="F11766" s="1348"/>
      <c r="G11766" s="1348"/>
      <c r="H11766" s="1348"/>
      <c r="I11766" s="1348"/>
      <c r="J11766" s="1348"/>
      <c r="K11766" s="1348"/>
    </row>
    <row r="11767" spans="2:11" hidden="1">
      <c r="B11767" s="1348"/>
      <c r="C11767" s="1348"/>
      <c r="D11767" s="1348"/>
      <c r="E11767" s="1348"/>
      <c r="F11767" s="1348"/>
      <c r="G11767" s="1348"/>
      <c r="H11767" s="1348"/>
      <c r="I11767" s="1348"/>
      <c r="J11767" s="1348"/>
      <c r="K11767" s="1348"/>
    </row>
    <row r="11768" spans="2:11" hidden="1">
      <c r="B11768" s="1348"/>
      <c r="C11768" s="1348"/>
      <c r="D11768" s="1348"/>
      <c r="E11768" s="1348"/>
      <c r="F11768" s="1348"/>
      <c r="G11768" s="1348"/>
      <c r="H11768" s="1348"/>
      <c r="I11768" s="1348"/>
      <c r="J11768" s="1348"/>
      <c r="K11768" s="1348"/>
    </row>
    <row r="11769" spans="2:11" hidden="1">
      <c r="B11769" s="1348"/>
      <c r="C11769" s="1348"/>
      <c r="D11769" s="1348"/>
      <c r="E11769" s="1348"/>
      <c r="F11769" s="1348"/>
      <c r="G11769" s="1348"/>
      <c r="H11769" s="1348"/>
      <c r="I11769" s="1348"/>
      <c r="J11769" s="1348"/>
      <c r="K11769" s="1348"/>
    </row>
    <row r="11770" spans="2:11" hidden="1">
      <c r="B11770" s="1348"/>
      <c r="C11770" s="1348"/>
      <c r="D11770" s="1348"/>
      <c r="E11770" s="1348"/>
      <c r="F11770" s="1348"/>
      <c r="G11770" s="1348"/>
      <c r="H11770" s="1348"/>
      <c r="I11770" s="1348"/>
      <c r="J11770" s="1348"/>
      <c r="K11770" s="1348"/>
    </row>
    <row r="11771" spans="2:11" hidden="1">
      <c r="B11771" s="1348"/>
      <c r="C11771" s="1348"/>
      <c r="D11771" s="1348"/>
      <c r="E11771" s="1348"/>
      <c r="F11771" s="1348"/>
      <c r="G11771" s="1348"/>
      <c r="H11771" s="1348"/>
      <c r="I11771" s="1348"/>
      <c r="J11771" s="1348"/>
      <c r="K11771" s="1348"/>
    </row>
    <row r="11772" spans="2:11" hidden="1">
      <c r="B11772" s="1348"/>
      <c r="C11772" s="1348"/>
      <c r="D11772" s="1348"/>
      <c r="E11772" s="1348"/>
      <c r="F11772" s="1348"/>
      <c r="G11772" s="1348"/>
      <c r="H11772" s="1348"/>
      <c r="I11772" s="1348"/>
      <c r="J11772" s="1348"/>
      <c r="K11772" s="1348"/>
    </row>
    <row r="11773" spans="2:11" hidden="1">
      <c r="B11773" s="1348"/>
      <c r="C11773" s="1348"/>
      <c r="D11773" s="1348"/>
      <c r="E11773" s="1348"/>
      <c r="F11773" s="1348"/>
      <c r="G11773" s="1348"/>
      <c r="H11773" s="1348"/>
      <c r="I11773" s="1348"/>
      <c r="J11773" s="1348"/>
      <c r="K11773" s="1348"/>
    </row>
    <row r="11774" spans="2:11" hidden="1">
      <c r="B11774" s="1348"/>
      <c r="C11774" s="1348"/>
      <c r="D11774" s="1348"/>
      <c r="E11774" s="1348"/>
      <c r="F11774" s="1348"/>
      <c r="G11774" s="1348"/>
      <c r="H11774" s="1348"/>
      <c r="I11774" s="1348"/>
      <c r="J11774" s="1348"/>
      <c r="K11774" s="1348"/>
    </row>
    <row r="11775" spans="2:11" hidden="1">
      <c r="B11775" s="1348"/>
      <c r="C11775" s="1348"/>
      <c r="D11775" s="1348"/>
      <c r="E11775" s="1348"/>
      <c r="F11775" s="1348"/>
      <c r="G11775" s="1348"/>
      <c r="H11775" s="1348"/>
      <c r="I11775" s="1348"/>
      <c r="J11775" s="1348"/>
      <c r="K11775" s="1348"/>
    </row>
    <row r="11776" spans="2:11" hidden="1">
      <c r="B11776" s="1348"/>
      <c r="C11776" s="1348"/>
      <c r="D11776" s="1348"/>
      <c r="E11776" s="1348"/>
      <c r="F11776" s="1348"/>
      <c r="G11776" s="1348"/>
      <c r="H11776" s="1348"/>
      <c r="I11776" s="1348"/>
      <c r="J11776" s="1348"/>
      <c r="K11776" s="1348"/>
    </row>
    <row r="11777" spans="2:11" hidden="1">
      <c r="B11777" s="1348"/>
      <c r="C11777" s="1348"/>
      <c r="D11777" s="1348"/>
      <c r="E11777" s="1348"/>
      <c r="F11777" s="1348"/>
      <c r="G11777" s="1348"/>
      <c r="H11777" s="1348"/>
      <c r="I11777" s="1348"/>
      <c r="J11777" s="1348"/>
      <c r="K11777" s="1348"/>
    </row>
    <row r="11778" spans="2:11" hidden="1">
      <c r="B11778" s="1348"/>
      <c r="C11778" s="1348"/>
      <c r="D11778" s="1348"/>
      <c r="E11778" s="1348"/>
      <c r="F11778" s="1348"/>
      <c r="G11778" s="1348"/>
      <c r="H11778" s="1348"/>
      <c r="I11778" s="1348"/>
      <c r="J11778" s="1348"/>
      <c r="K11778" s="1348"/>
    </row>
    <row r="11779" spans="2:11" hidden="1">
      <c r="B11779" s="1348"/>
      <c r="C11779" s="1348"/>
      <c r="D11779" s="1348"/>
      <c r="E11779" s="1348"/>
      <c r="F11779" s="1348"/>
      <c r="G11779" s="1348"/>
      <c r="H11779" s="1348"/>
      <c r="I11779" s="1348"/>
      <c r="J11779" s="1348"/>
      <c r="K11779" s="1348"/>
    </row>
    <row r="11780" spans="2:11" hidden="1">
      <c r="B11780" s="1348"/>
      <c r="C11780" s="1348"/>
      <c r="D11780" s="1348"/>
      <c r="E11780" s="1348"/>
      <c r="F11780" s="1348"/>
      <c r="G11780" s="1348"/>
      <c r="H11780" s="1348"/>
      <c r="I11780" s="1348"/>
      <c r="J11780" s="1348"/>
      <c r="K11780" s="1348"/>
    </row>
    <row r="11781" spans="2:11" hidden="1">
      <c r="B11781" s="1348"/>
      <c r="C11781" s="1348"/>
      <c r="D11781" s="1348"/>
      <c r="E11781" s="1348"/>
      <c r="F11781" s="1348"/>
      <c r="G11781" s="1348"/>
      <c r="H11781" s="1348"/>
      <c r="I11781" s="1348"/>
      <c r="J11781" s="1348"/>
      <c r="K11781" s="1348"/>
    </row>
    <row r="11782" spans="2:11" hidden="1">
      <c r="B11782" s="1348"/>
      <c r="C11782" s="1348"/>
      <c r="D11782" s="1348"/>
      <c r="E11782" s="1348"/>
      <c r="F11782" s="1348"/>
      <c r="G11782" s="1348"/>
      <c r="H11782" s="1348"/>
      <c r="I11782" s="1348"/>
      <c r="J11782" s="1348"/>
      <c r="K11782" s="1348"/>
    </row>
    <row r="11783" spans="2:11" hidden="1">
      <c r="B11783" s="1348"/>
      <c r="C11783" s="1348"/>
      <c r="D11783" s="1348"/>
      <c r="E11783" s="1348"/>
      <c r="F11783" s="1348"/>
      <c r="G11783" s="1348"/>
      <c r="H11783" s="1348"/>
      <c r="I11783" s="1348"/>
      <c r="J11783" s="1348"/>
      <c r="K11783" s="1348"/>
    </row>
    <row r="11784" spans="2:11" hidden="1">
      <c r="B11784" s="1348"/>
      <c r="C11784" s="1348"/>
      <c r="D11784" s="1348"/>
      <c r="E11784" s="1348"/>
      <c r="F11784" s="1348"/>
      <c r="G11784" s="1348"/>
      <c r="H11784" s="1348"/>
      <c r="I11784" s="1348"/>
      <c r="J11784" s="1348"/>
      <c r="K11784" s="1348"/>
    </row>
    <row r="11785" spans="2:11" hidden="1">
      <c r="B11785" s="1348"/>
      <c r="C11785" s="1348"/>
      <c r="D11785" s="1348"/>
      <c r="E11785" s="1348"/>
      <c r="F11785" s="1348"/>
      <c r="G11785" s="1348"/>
      <c r="H11785" s="1348"/>
      <c r="I11785" s="1348"/>
      <c r="J11785" s="1348"/>
      <c r="K11785" s="1348"/>
    </row>
    <row r="11786" spans="2:11" hidden="1">
      <c r="B11786" s="1348"/>
      <c r="C11786" s="1348"/>
      <c r="D11786" s="1348"/>
      <c r="E11786" s="1348"/>
      <c r="F11786" s="1348"/>
      <c r="G11786" s="1348"/>
      <c r="H11786" s="1348"/>
      <c r="I11786" s="1348"/>
      <c r="J11786" s="1348"/>
      <c r="K11786" s="1348"/>
    </row>
    <row r="11787" spans="2:11" hidden="1">
      <c r="B11787" s="1348"/>
      <c r="C11787" s="1348"/>
      <c r="D11787" s="1348"/>
      <c r="E11787" s="1348"/>
      <c r="F11787" s="1348"/>
      <c r="G11787" s="1348"/>
      <c r="H11787" s="1348"/>
      <c r="I11787" s="1348"/>
      <c r="J11787" s="1348"/>
      <c r="K11787" s="1348"/>
    </row>
    <row r="11788" spans="2:11" hidden="1">
      <c r="B11788" s="1348"/>
      <c r="C11788" s="1348"/>
      <c r="D11788" s="1348"/>
      <c r="E11788" s="1348"/>
      <c r="F11788" s="1348"/>
      <c r="G11788" s="1348"/>
      <c r="H11788" s="1348"/>
      <c r="I11788" s="1348"/>
      <c r="J11788" s="1348"/>
      <c r="K11788" s="1348"/>
    </row>
    <row r="11789" spans="2:11" hidden="1">
      <c r="B11789" s="1348"/>
      <c r="C11789" s="1348"/>
      <c r="D11789" s="1348"/>
      <c r="E11789" s="1348"/>
      <c r="F11789" s="1348"/>
      <c r="G11789" s="1348"/>
      <c r="H11789" s="1348"/>
      <c r="I11789" s="1348"/>
      <c r="J11789" s="1348"/>
      <c r="K11789" s="1348"/>
    </row>
    <row r="11790" spans="2:11" hidden="1">
      <c r="B11790" s="1348"/>
      <c r="C11790" s="1348"/>
      <c r="D11790" s="1348"/>
      <c r="E11790" s="1348"/>
      <c r="F11790" s="1348"/>
      <c r="G11790" s="1348"/>
      <c r="H11790" s="1348"/>
      <c r="I11790" s="1348"/>
      <c r="J11790" s="1348"/>
      <c r="K11790" s="1348"/>
    </row>
    <row r="11791" spans="2:11" hidden="1">
      <c r="B11791" s="1348"/>
      <c r="C11791" s="1348"/>
      <c r="D11791" s="1348"/>
      <c r="E11791" s="1348"/>
      <c r="F11791" s="1348"/>
      <c r="G11791" s="1348"/>
      <c r="H11791" s="1348"/>
      <c r="I11791" s="1348"/>
      <c r="J11791" s="1348"/>
      <c r="K11791" s="1348"/>
    </row>
    <row r="11792" spans="2:11" hidden="1">
      <c r="B11792" s="1348"/>
      <c r="C11792" s="1348"/>
      <c r="D11792" s="1348"/>
      <c r="E11792" s="1348"/>
      <c r="F11792" s="1348"/>
      <c r="G11792" s="1348"/>
      <c r="H11792" s="1348"/>
      <c r="I11792" s="1348"/>
      <c r="J11792" s="1348"/>
      <c r="K11792" s="1348"/>
    </row>
    <row r="11793" spans="2:11" hidden="1">
      <c r="B11793" s="1348"/>
      <c r="C11793" s="1348"/>
      <c r="D11793" s="1348"/>
      <c r="E11793" s="1348"/>
      <c r="F11793" s="1348"/>
      <c r="G11793" s="1348"/>
      <c r="H11793" s="1348"/>
      <c r="I11793" s="1348"/>
      <c r="J11793" s="1348"/>
      <c r="K11793" s="1348"/>
    </row>
    <row r="11794" spans="2:11" hidden="1">
      <c r="B11794" s="1348"/>
      <c r="C11794" s="1348"/>
      <c r="D11794" s="1348"/>
      <c r="E11794" s="1348"/>
      <c r="F11794" s="1348"/>
      <c r="G11794" s="1348"/>
      <c r="H11794" s="1348"/>
      <c r="I11794" s="1348"/>
      <c r="J11794" s="1348"/>
      <c r="K11794" s="1348"/>
    </row>
    <row r="11795" spans="2:11" hidden="1">
      <c r="B11795" s="1348"/>
      <c r="C11795" s="1348"/>
      <c r="D11795" s="1348"/>
      <c r="E11795" s="1348"/>
      <c r="F11795" s="1348"/>
      <c r="G11795" s="1348"/>
      <c r="H11795" s="1348"/>
      <c r="I11795" s="1348"/>
      <c r="J11795" s="1348"/>
      <c r="K11795" s="1348"/>
    </row>
    <row r="11796" spans="2:11" hidden="1">
      <c r="B11796" s="1348"/>
      <c r="C11796" s="1348"/>
      <c r="D11796" s="1348"/>
      <c r="E11796" s="1348"/>
      <c r="F11796" s="1348"/>
      <c r="G11796" s="1348"/>
      <c r="H11796" s="1348"/>
      <c r="I11796" s="1348"/>
      <c r="J11796" s="1348"/>
      <c r="K11796" s="1348"/>
    </row>
    <row r="11797" spans="2:11" hidden="1">
      <c r="B11797" s="1348"/>
      <c r="C11797" s="1348"/>
      <c r="D11797" s="1348"/>
      <c r="E11797" s="1348"/>
      <c r="F11797" s="1348"/>
      <c r="G11797" s="1348"/>
      <c r="H11797" s="1348"/>
      <c r="I11797" s="1348"/>
      <c r="J11797" s="1348"/>
      <c r="K11797" s="1348"/>
    </row>
    <row r="11798" spans="2:11" hidden="1">
      <c r="B11798" s="1348"/>
      <c r="C11798" s="1348"/>
      <c r="D11798" s="1348"/>
      <c r="E11798" s="1348"/>
      <c r="F11798" s="1348"/>
      <c r="G11798" s="1348"/>
      <c r="H11798" s="1348"/>
      <c r="I11798" s="1348"/>
      <c r="J11798" s="1348"/>
      <c r="K11798" s="1348"/>
    </row>
    <row r="11799" spans="2:11" hidden="1">
      <c r="B11799" s="1348"/>
      <c r="C11799" s="1348"/>
      <c r="D11799" s="1348"/>
      <c r="E11799" s="1348"/>
      <c r="F11799" s="1348"/>
      <c r="G11799" s="1348"/>
      <c r="H11799" s="1348"/>
      <c r="I11799" s="1348"/>
      <c r="J11799" s="1348"/>
      <c r="K11799" s="1348"/>
    </row>
    <row r="11800" spans="2:11" hidden="1">
      <c r="B11800" s="1348"/>
      <c r="C11800" s="1348"/>
      <c r="D11800" s="1348"/>
      <c r="E11800" s="1348"/>
      <c r="F11800" s="1348"/>
      <c r="G11800" s="1348"/>
      <c r="H11800" s="1348"/>
      <c r="I11800" s="1348"/>
      <c r="J11800" s="1348"/>
      <c r="K11800" s="1348"/>
    </row>
    <row r="11801" spans="2:11" hidden="1">
      <c r="B11801" s="1348"/>
      <c r="C11801" s="1348"/>
      <c r="D11801" s="1348"/>
      <c r="E11801" s="1348"/>
      <c r="F11801" s="1348"/>
      <c r="G11801" s="1348"/>
      <c r="H11801" s="1348"/>
      <c r="I11801" s="1348"/>
      <c r="J11801" s="1348"/>
      <c r="K11801" s="1348"/>
    </row>
    <row r="11802" spans="2:11" hidden="1">
      <c r="B11802" s="1348"/>
      <c r="C11802" s="1348"/>
      <c r="D11802" s="1348"/>
      <c r="E11802" s="1348"/>
      <c r="F11802" s="1348"/>
      <c r="G11802" s="1348"/>
      <c r="H11802" s="1348"/>
      <c r="I11802" s="1348"/>
      <c r="J11802" s="1348"/>
      <c r="K11802" s="1348"/>
    </row>
    <row r="11803" spans="2:11" hidden="1">
      <c r="B11803" s="1348"/>
      <c r="C11803" s="1348"/>
      <c r="D11803" s="1348"/>
      <c r="E11803" s="1348"/>
      <c r="F11803" s="1348"/>
      <c r="G11803" s="1348"/>
      <c r="H11803" s="1348"/>
      <c r="I11803" s="1348"/>
      <c r="J11803" s="1348"/>
      <c r="K11803" s="1348"/>
    </row>
    <row r="11804" spans="2:11" hidden="1">
      <c r="B11804" s="1348"/>
      <c r="C11804" s="1348"/>
      <c r="D11804" s="1348"/>
      <c r="E11804" s="1348"/>
      <c r="F11804" s="1348"/>
      <c r="G11804" s="1348"/>
      <c r="H11804" s="1348"/>
      <c r="I11804" s="1348"/>
      <c r="J11804" s="1348"/>
      <c r="K11804" s="1348"/>
    </row>
    <row r="11805" spans="2:11" hidden="1">
      <c r="B11805" s="1348"/>
      <c r="C11805" s="1348"/>
      <c r="D11805" s="1348"/>
      <c r="E11805" s="1348"/>
      <c r="F11805" s="1348"/>
      <c r="G11805" s="1348"/>
      <c r="H11805" s="1348"/>
      <c r="I11805" s="1348"/>
      <c r="J11805" s="1348"/>
      <c r="K11805" s="1348"/>
    </row>
    <row r="11806" spans="2:11" hidden="1">
      <c r="B11806" s="1348"/>
      <c r="C11806" s="1348"/>
      <c r="D11806" s="1348"/>
      <c r="E11806" s="1348"/>
      <c r="F11806" s="1348"/>
      <c r="G11806" s="1348"/>
      <c r="H11806" s="1348"/>
      <c r="I11806" s="1348"/>
      <c r="J11806" s="1348"/>
      <c r="K11806" s="1348"/>
    </row>
    <row r="11807" spans="2:11" hidden="1">
      <c r="B11807" s="1348"/>
      <c r="C11807" s="1348"/>
      <c r="D11807" s="1348"/>
      <c r="E11807" s="1348"/>
      <c r="F11807" s="1348"/>
      <c r="G11807" s="1348"/>
      <c r="H11807" s="1348"/>
      <c r="I11807" s="1348"/>
      <c r="J11807" s="1348"/>
      <c r="K11807" s="1348"/>
    </row>
    <row r="11808" spans="2:11" hidden="1">
      <c r="B11808" s="1348"/>
      <c r="C11808" s="1348"/>
      <c r="D11808" s="1348"/>
      <c r="E11808" s="1348"/>
      <c r="F11808" s="1348"/>
      <c r="G11808" s="1348"/>
      <c r="H11808" s="1348"/>
      <c r="I11808" s="1348"/>
      <c r="J11808" s="1348"/>
      <c r="K11808" s="1348"/>
    </row>
    <row r="11809" spans="2:11" hidden="1">
      <c r="B11809" s="1348"/>
      <c r="C11809" s="1348"/>
      <c r="D11809" s="1348"/>
      <c r="E11809" s="1348"/>
      <c r="F11809" s="1348"/>
      <c r="G11809" s="1348"/>
      <c r="H11809" s="1348"/>
      <c r="I11809" s="1348"/>
      <c r="J11809" s="1348"/>
      <c r="K11809" s="1348"/>
    </row>
    <row r="11810" spans="2:11" hidden="1">
      <c r="B11810" s="1348"/>
      <c r="C11810" s="1348"/>
      <c r="D11810" s="1348"/>
      <c r="E11810" s="1348"/>
      <c r="F11810" s="1348"/>
      <c r="G11810" s="1348"/>
      <c r="H11810" s="1348"/>
      <c r="I11810" s="1348"/>
      <c r="J11810" s="1348"/>
      <c r="K11810" s="1348"/>
    </row>
    <row r="11811" spans="2:11" hidden="1">
      <c r="B11811" s="1348"/>
      <c r="C11811" s="1348"/>
      <c r="D11811" s="1348"/>
      <c r="E11811" s="1348"/>
      <c r="F11811" s="1348"/>
      <c r="G11811" s="1348"/>
      <c r="H11811" s="1348"/>
      <c r="I11811" s="1348"/>
      <c r="J11811" s="1348"/>
      <c r="K11811" s="1348"/>
    </row>
    <row r="11812" spans="2:11" hidden="1">
      <c r="B11812" s="1348"/>
      <c r="C11812" s="1348"/>
      <c r="D11812" s="1348"/>
      <c r="E11812" s="1348"/>
      <c r="F11812" s="1348"/>
      <c r="G11812" s="1348"/>
      <c r="H11812" s="1348"/>
      <c r="I11812" s="1348"/>
      <c r="J11812" s="1348"/>
      <c r="K11812" s="1348"/>
    </row>
    <row r="11813" spans="2:11" hidden="1">
      <c r="B11813" s="1348"/>
      <c r="C11813" s="1348"/>
      <c r="D11813" s="1348"/>
      <c r="E11813" s="1348"/>
      <c r="F11813" s="1348"/>
      <c r="G11813" s="1348"/>
      <c r="H11813" s="1348"/>
      <c r="I11813" s="1348"/>
      <c r="J11813" s="1348"/>
      <c r="K11813" s="1348"/>
    </row>
    <row r="11814" spans="2:11" hidden="1">
      <c r="B11814" s="1348"/>
      <c r="C11814" s="1348"/>
      <c r="D11814" s="1348"/>
      <c r="E11814" s="1348"/>
      <c r="F11814" s="1348"/>
      <c r="G11814" s="1348"/>
      <c r="H11814" s="1348"/>
      <c r="I11814" s="1348"/>
      <c r="J11814" s="1348"/>
      <c r="K11814" s="1348"/>
    </row>
    <row r="11815" spans="2:11" hidden="1">
      <c r="B11815" s="1348"/>
      <c r="C11815" s="1348"/>
      <c r="D11815" s="1348"/>
      <c r="E11815" s="1348"/>
      <c r="F11815" s="1348"/>
      <c r="G11815" s="1348"/>
      <c r="H11815" s="1348"/>
      <c r="I11815" s="1348"/>
      <c r="J11815" s="1348"/>
      <c r="K11815" s="1348"/>
    </row>
    <row r="11816" spans="2:11" hidden="1">
      <c r="B11816" s="1348"/>
      <c r="C11816" s="1348"/>
      <c r="D11816" s="1348"/>
      <c r="E11816" s="1348"/>
      <c r="F11816" s="1348"/>
      <c r="G11816" s="1348"/>
      <c r="H11816" s="1348"/>
      <c r="I11816" s="1348"/>
      <c r="J11816" s="1348"/>
      <c r="K11816" s="1348"/>
    </row>
    <row r="11817" spans="2:11" hidden="1">
      <c r="B11817" s="1348"/>
      <c r="C11817" s="1348"/>
      <c r="D11817" s="1348"/>
      <c r="E11817" s="1348"/>
      <c r="F11817" s="1348"/>
      <c r="G11817" s="1348"/>
      <c r="H11817" s="1348"/>
      <c r="I11817" s="1348"/>
      <c r="J11817" s="1348"/>
      <c r="K11817" s="1348"/>
    </row>
    <row r="11818" spans="2:11" hidden="1">
      <c r="B11818" s="1348"/>
      <c r="C11818" s="1348"/>
      <c r="D11818" s="1348"/>
      <c r="E11818" s="1348"/>
      <c r="F11818" s="1348"/>
      <c r="G11818" s="1348"/>
      <c r="H11818" s="1348"/>
      <c r="I11818" s="1348"/>
      <c r="J11818" s="1348"/>
      <c r="K11818" s="1348"/>
    </row>
    <row r="11819" spans="2:11" hidden="1">
      <c r="B11819" s="1348"/>
      <c r="C11819" s="1348"/>
      <c r="D11819" s="1348"/>
      <c r="E11819" s="1348"/>
      <c r="F11819" s="1348"/>
      <c r="G11819" s="1348"/>
      <c r="H11819" s="1348"/>
      <c r="I11819" s="1348"/>
      <c r="J11819" s="1348"/>
      <c r="K11819" s="1348"/>
    </row>
    <row r="11820" spans="2:11" hidden="1">
      <c r="B11820" s="1348"/>
      <c r="C11820" s="1348"/>
      <c r="D11820" s="1348"/>
      <c r="E11820" s="1348"/>
      <c r="F11820" s="1348"/>
      <c r="G11820" s="1348"/>
      <c r="H11820" s="1348"/>
      <c r="I11820" s="1348"/>
      <c r="J11820" s="1348"/>
      <c r="K11820" s="1348"/>
    </row>
    <row r="11821" spans="2:11" hidden="1">
      <c r="B11821" s="1348"/>
      <c r="C11821" s="1348"/>
      <c r="D11821" s="1348"/>
      <c r="E11821" s="1348"/>
      <c r="F11821" s="1348"/>
      <c r="G11821" s="1348"/>
      <c r="H11821" s="1348"/>
      <c r="I11821" s="1348"/>
      <c r="J11821" s="1348"/>
      <c r="K11821" s="1348"/>
    </row>
    <row r="11822" spans="2:11" hidden="1">
      <c r="B11822" s="1348"/>
      <c r="C11822" s="1348"/>
      <c r="D11822" s="1348"/>
      <c r="E11822" s="1348"/>
      <c r="F11822" s="1348"/>
      <c r="G11822" s="1348"/>
      <c r="H11822" s="1348"/>
      <c r="I11822" s="1348"/>
      <c r="J11822" s="1348"/>
      <c r="K11822" s="1348"/>
    </row>
    <row r="11823" spans="2:11" hidden="1">
      <c r="B11823" s="1348"/>
      <c r="C11823" s="1348"/>
      <c r="D11823" s="1348"/>
      <c r="E11823" s="1348"/>
      <c r="F11823" s="1348"/>
      <c r="G11823" s="1348"/>
      <c r="H11823" s="1348"/>
      <c r="I11823" s="1348"/>
      <c r="J11823" s="1348"/>
      <c r="K11823" s="1348"/>
    </row>
    <row r="11824" spans="2:11" hidden="1">
      <c r="B11824" s="1348"/>
      <c r="C11824" s="1348"/>
      <c r="D11824" s="1348"/>
      <c r="E11824" s="1348"/>
      <c r="F11824" s="1348"/>
      <c r="G11824" s="1348"/>
      <c r="H11824" s="1348"/>
      <c r="I11824" s="1348"/>
      <c r="J11824" s="1348"/>
      <c r="K11824" s="1348"/>
    </row>
    <row r="11825" spans="2:11" hidden="1">
      <c r="B11825" s="1348"/>
      <c r="C11825" s="1348"/>
      <c r="D11825" s="1348"/>
      <c r="E11825" s="1348"/>
      <c r="F11825" s="1348"/>
      <c r="G11825" s="1348"/>
      <c r="H11825" s="1348"/>
      <c r="I11825" s="1348"/>
      <c r="J11825" s="1348"/>
      <c r="K11825" s="1348"/>
    </row>
    <row r="11826" spans="2:11" hidden="1">
      <c r="B11826" s="1348"/>
      <c r="C11826" s="1348"/>
      <c r="D11826" s="1348"/>
      <c r="E11826" s="1348"/>
      <c r="F11826" s="1348"/>
      <c r="G11826" s="1348"/>
      <c r="H11826" s="1348"/>
      <c r="I11826" s="1348"/>
      <c r="J11826" s="1348"/>
      <c r="K11826" s="1348"/>
    </row>
    <row r="11827" spans="2:11" hidden="1">
      <c r="B11827" s="1348"/>
      <c r="C11827" s="1348"/>
      <c r="D11827" s="1348"/>
      <c r="E11827" s="1348"/>
      <c r="F11827" s="1348"/>
      <c r="G11827" s="1348"/>
      <c r="H11827" s="1348"/>
      <c r="I11827" s="1348"/>
      <c r="J11827" s="1348"/>
      <c r="K11827" s="1348"/>
    </row>
    <row r="11828" spans="2:11" hidden="1">
      <c r="B11828" s="1348"/>
      <c r="C11828" s="1348"/>
      <c r="D11828" s="1348"/>
      <c r="E11828" s="1348"/>
      <c r="F11828" s="1348"/>
      <c r="G11828" s="1348"/>
      <c r="H11828" s="1348"/>
      <c r="I11828" s="1348"/>
      <c r="J11828" s="1348"/>
      <c r="K11828" s="1348"/>
    </row>
    <row r="11829" spans="2:11" hidden="1">
      <c r="B11829" s="1348"/>
      <c r="C11829" s="1348"/>
      <c r="D11829" s="1348"/>
      <c r="E11829" s="1348"/>
      <c r="F11829" s="1348"/>
      <c r="G11829" s="1348"/>
      <c r="H11829" s="1348"/>
      <c r="I11829" s="1348"/>
      <c r="J11829" s="1348"/>
      <c r="K11829" s="1348"/>
    </row>
    <row r="11830" spans="2:11" hidden="1">
      <c r="B11830" s="1348"/>
      <c r="C11830" s="1348"/>
      <c r="D11830" s="1348"/>
      <c r="E11830" s="1348"/>
      <c r="F11830" s="1348"/>
      <c r="G11830" s="1348"/>
      <c r="H11830" s="1348"/>
      <c r="I11830" s="1348"/>
      <c r="J11830" s="1348"/>
      <c r="K11830" s="1348"/>
    </row>
    <row r="11831" spans="2:11" hidden="1">
      <c r="B11831" s="1348"/>
      <c r="C11831" s="1348"/>
      <c r="D11831" s="1348"/>
      <c r="E11831" s="1348"/>
      <c r="F11831" s="1348"/>
      <c r="G11831" s="1348"/>
      <c r="H11831" s="1348"/>
      <c r="I11831" s="1348"/>
      <c r="J11831" s="1348"/>
      <c r="K11831" s="1348"/>
    </row>
    <row r="11832" spans="2:11" hidden="1">
      <c r="B11832" s="1348"/>
      <c r="C11832" s="1348"/>
      <c r="D11832" s="1348"/>
      <c r="E11832" s="1348"/>
      <c r="F11832" s="1348"/>
      <c r="G11832" s="1348"/>
      <c r="H11832" s="1348"/>
      <c r="I11832" s="1348"/>
      <c r="J11832" s="1348"/>
      <c r="K11832" s="1348"/>
    </row>
    <row r="11833" spans="2:11" hidden="1">
      <c r="B11833" s="1348"/>
      <c r="C11833" s="1348"/>
      <c r="D11833" s="1348"/>
      <c r="E11833" s="1348"/>
      <c r="F11833" s="1348"/>
      <c r="G11833" s="1348"/>
      <c r="H11833" s="1348"/>
      <c r="I11833" s="1348"/>
      <c r="J11833" s="1348"/>
      <c r="K11833" s="1348"/>
    </row>
    <row r="11834" spans="2:11" hidden="1">
      <c r="B11834" s="1348"/>
      <c r="C11834" s="1348"/>
      <c r="D11834" s="1348"/>
      <c r="E11834" s="1348"/>
      <c r="F11834" s="1348"/>
      <c r="G11834" s="1348"/>
      <c r="H11834" s="1348"/>
      <c r="I11834" s="1348"/>
      <c r="J11834" s="1348"/>
      <c r="K11834" s="1348"/>
    </row>
    <row r="11835" spans="2:11" hidden="1">
      <c r="B11835" s="1348"/>
      <c r="C11835" s="1348"/>
      <c r="D11835" s="1348"/>
      <c r="E11835" s="1348"/>
      <c r="F11835" s="1348"/>
      <c r="G11835" s="1348"/>
      <c r="H11835" s="1348"/>
      <c r="I11835" s="1348"/>
      <c r="J11835" s="1348"/>
      <c r="K11835" s="1348"/>
    </row>
    <row r="11836" spans="2:11" hidden="1">
      <c r="B11836" s="1348"/>
      <c r="C11836" s="1348"/>
      <c r="D11836" s="1348"/>
      <c r="E11836" s="1348"/>
      <c r="F11836" s="1348"/>
      <c r="G11836" s="1348"/>
      <c r="H11836" s="1348"/>
      <c r="I11836" s="1348"/>
      <c r="J11836" s="1348"/>
      <c r="K11836" s="1348"/>
    </row>
    <row r="11837" spans="2:11" hidden="1">
      <c r="B11837" s="1348"/>
      <c r="C11837" s="1348"/>
      <c r="D11837" s="1348"/>
      <c r="E11837" s="1348"/>
      <c r="F11837" s="1348"/>
      <c r="G11837" s="1348"/>
      <c r="H11837" s="1348"/>
      <c r="I11837" s="1348"/>
      <c r="J11837" s="1348"/>
      <c r="K11837" s="1348"/>
    </row>
    <row r="11838" spans="2:11" hidden="1">
      <c r="B11838" s="1348"/>
      <c r="C11838" s="1348"/>
      <c r="D11838" s="1348"/>
      <c r="E11838" s="1348"/>
      <c r="F11838" s="1348"/>
      <c r="G11838" s="1348"/>
      <c r="H11838" s="1348"/>
      <c r="I11838" s="1348"/>
      <c r="J11838" s="1348"/>
      <c r="K11838" s="1348"/>
    </row>
    <row r="11839" spans="2:11" hidden="1">
      <c r="B11839" s="1348"/>
      <c r="C11839" s="1348"/>
      <c r="D11839" s="1348"/>
      <c r="E11839" s="1348"/>
      <c r="F11839" s="1348"/>
      <c r="G11839" s="1348"/>
      <c r="H11839" s="1348"/>
      <c r="I11839" s="1348"/>
      <c r="J11839" s="1348"/>
      <c r="K11839" s="1348"/>
    </row>
    <row r="11840" spans="2:11" hidden="1">
      <c r="B11840" s="1348"/>
      <c r="C11840" s="1348"/>
      <c r="D11840" s="1348"/>
      <c r="E11840" s="1348"/>
      <c r="F11840" s="1348"/>
      <c r="G11840" s="1348"/>
      <c r="H11840" s="1348"/>
      <c r="I11840" s="1348"/>
      <c r="J11840" s="1348"/>
      <c r="K11840" s="1348"/>
    </row>
    <row r="11841" spans="2:11" hidden="1">
      <c r="B11841" s="1348"/>
      <c r="C11841" s="1348"/>
      <c r="D11841" s="1348"/>
      <c r="E11841" s="1348"/>
      <c r="F11841" s="1348"/>
      <c r="G11841" s="1348"/>
      <c r="H11841" s="1348"/>
      <c r="I11841" s="1348"/>
      <c r="J11841" s="1348"/>
      <c r="K11841" s="1348"/>
    </row>
    <row r="11842" spans="2:11" hidden="1">
      <c r="B11842" s="1348"/>
      <c r="C11842" s="1348"/>
      <c r="D11842" s="1348"/>
      <c r="E11842" s="1348"/>
      <c r="F11842" s="1348"/>
      <c r="G11842" s="1348"/>
      <c r="H11842" s="1348"/>
      <c r="I11842" s="1348"/>
      <c r="J11842" s="1348"/>
      <c r="K11842" s="1348"/>
    </row>
    <row r="11843" spans="2:11" hidden="1">
      <c r="B11843" s="1348"/>
      <c r="C11843" s="1348"/>
      <c r="D11843" s="1348"/>
      <c r="E11843" s="1348"/>
      <c r="F11843" s="1348"/>
      <c r="G11843" s="1348"/>
      <c r="H11843" s="1348"/>
      <c r="I11843" s="1348"/>
      <c r="J11843" s="1348"/>
      <c r="K11843" s="1348"/>
    </row>
    <row r="11844" spans="2:11" hidden="1">
      <c r="B11844" s="1348"/>
      <c r="C11844" s="1348"/>
      <c r="D11844" s="1348"/>
      <c r="E11844" s="1348"/>
      <c r="F11844" s="1348"/>
      <c r="G11844" s="1348"/>
      <c r="H11844" s="1348"/>
      <c r="I11844" s="1348"/>
      <c r="J11844" s="1348"/>
      <c r="K11844" s="1348"/>
    </row>
    <row r="11845" spans="2:11" hidden="1">
      <c r="B11845" s="1348"/>
      <c r="C11845" s="1348"/>
      <c r="D11845" s="1348"/>
      <c r="E11845" s="1348"/>
      <c r="F11845" s="1348"/>
      <c r="G11845" s="1348"/>
      <c r="H11845" s="1348"/>
      <c r="I11845" s="1348"/>
      <c r="J11845" s="1348"/>
      <c r="K11845" s="1348"/>
    </row>
    <row r="11846" spans="2:11" hidden="1">
      <c r="B11846" s="1348"/>
      <c r="C11846" s="1348"/>
      <c r="D11846" s="1348"/>
      <c r="E11846" s="1348"/>
      <c r="F11846" s="1348"/>
      <c r="G11846" s="1348"/>
      <c r="H11846" s="1348"/>
      <c r="I11846" s="1348"/>
      <c r="J11846" s="1348"/>
      <c r="K11846" s="1348"/>
    </row>
    <row r="11847" spans="2:11" hidden="1">
      <c r="B11847" s="1348"/>
      <c r="C11847" s="1348"/>
      <c r="D11847" s="1348"/>
      <c r="E11847" s="1348"/>
      <c r="F11847" s="1348"/>
      <c r="G11847" s="1348"/>
      <c r="H11847" s="1348"/>
      <c r="I11847" s="1348"/>
      <c r="J11847" s="1348"/>
      <c r="K11847" s="1348"/>
    </row>
    <row r="11848" spans="2:11" hidden="1">
      <c r="B11848" s="1348"/>
      <c r="C11848" s="1348"/>
      <c r="D11848" s="1348"/>
      <c r="E11848" s="1348"/>
      <c r="F11848" s="1348"/>
      <c r="G11848" s="1348"/>
      <c r="H11848" s="1348"/>
      <c r="I11848" s="1348"/>
      <c r="J11848" s="1348"/>
      <c r="K11848" s="1348"/>
    </row>
    <row r="11849" spans="2:11" hidden="1">
      <c r="B11849" s="1348"/>
      <c r="C11849" s="1348"/>
      <c r="D11849" s="1348"/>
      <c r="E11849" s="1348"/>
      <c r="F11849" s="1348"/>
      <c r="G11849" s="1348"/>
      <c r="H11849" s="1348"/>
      <c r="I11849" s="1348"/>
      <c r="J11849" s="1348"/>
      <c r="K11849" s="1348"/>
    </row>
    <row r="11850" spans="2:11" hidden="1">
      <c r="B11850" s="1348"/>
      <c r="C11850" s="1348"/>
      <c r="D11850" s="1348"/>
      <c r="E11850" s="1348"/>
      <c r="F11850" s="1348"/>
      <c r="G11850" s="1348"/>
      <c r="H11850" s="1348"/>
      <c r="I11850" s="1348"/>
      <c r="J11850" s="1348"/>
      <c r="K11850" s="1348"/>
    </row>
    <row r="11851" spans="2:11" hidden="1">
      <c r="B11851" s="1348"/>
      <c r="C11851" s="1348"/>
      <c r="D11851" s="1348"/>
      <c r="E11851" s="1348"/>
      <c r="F11851" s="1348"/>
      <c r="G11851" s="1348"/>
      <c r="H11851" s="1348"/>
      <c r="I11851" s="1348"/>
      <c r="J11851" s="1348"/>
      <c r="K11851" s="1348"/>
    </row>
    <row r="11852" spans="2:11" hidden="1">
      <c r="B11852" s="1348"/>
      <c r="C11852" s="1348"/>
      <c r="D11852" s="1348"/>
      <c r="E11852" s="1348"/>
      <c r="F11852" s="1348"/>
      <c r="G11852" s="1348"/>
      <c r="H11852" s="1348"/>
      <c r="I11852" s="1348"/>
      <c r="J11852" s="1348"/>
      <c r="K11852" s="1348"/>
    </row>
    <row r="11853" spans="2:11" hidden="1">
      <c r="B11853" s="1348"/>
      <c r="C11853" s="1348"/>
      <c r="D11853" s="1348"/>
      <c r="E11853" s="1348"/>
      <c r="F11853" s="1348"/>
      <c r="G11853" s="1348"/>
      <c r="H11853" s="1348"/>
      <c r="I11853" s="1348"/>
      <c r="J11853" s="1348"/>
      <c r="K11853" s="1348"/>
    </row>
    <row r="11854" spans="2:11" hidden="1">
      <c r="B11854" s="1348"/>
      <c r="C11854" s="1348"/>
      <c r="D11854" s="1348"/>
      <c r="E11854" s="1348"/>
      <c r="F11854" s="1348"/>
      <c r="G11854" s="1348"/>
      <c r="H11854" s="1348"/>
      <c r="I11854" s="1348"/>
      <c r="J11854" s="1348"/>
      <c r="K11854" s="1348"/>
    </row>
    <row r="11855" spans="2:11" hidden="1">
      <c r="B11855" s="1348"/>
      <c r="C11855" s="1348"/>
      <c r="D11855" s="1348"/>
      <c r="E11855" s="1348"/>
      <c r="F11855" s="1348"/>
      <c r="G11855" s="1348"/>
      <c r="H11855" s="1348"/>
      <c r="I11855" s="1348"/>
      <c r="J11855" s="1348"/>
      <c r="K11855" s="1348"/>
    </row>
    <row r="11856" spans="2:11" hidden="1">
      <c r="B11856" s="1348"/>
      <c r="C11856" s="1348"/>
      <c r="D11856" s="1348"/>
      <c r="E11856" s="1348"/>
      <c r="F11856" s="1348"/>
      <c r="G11856" s="1348"/>
      <c r="H11856" s="1348"/>
      <c r="I11856" s="1348"/>
      <c r="J11856" s="1348"/>
      <c r="K11856" s="1348"/>
    </row>
    <row r="11857" spans="2:11" hidden="1">
      <c r="B11857" s="1348"/>
      <c r="C11857" s="1348"/>
      <c r="D11857" s="1348"/>
      <c r="E11857" s="1348"/>
      <c r="F11857" s="1348"/>
      <c r="G11857" s="1348"/>
      <c r="H11857" s="1348"/>
      <c r="I11857" s="1348"/>
      <c r="J11857" s="1348"/>
      <c r="K11857" s="1348"/>
    </row>
    <row r="11858" spans="2:11" hidden="1">
      <c r="B11858" s="1348"/>
      <c r="C11858" s="1348"/>
      <c r="D11858" s="1348"/>
      <c r="E11858" s="1348"/>
      <c r="F11858" s="1348"/>
      <c r="G11858" s="1348"/>
      <c r="H11858" s="1348"/>
      <c r="I11858" s="1348"/>
      <c r="J11858" s="1348"/>
      <c r="K11858" s="1348"/>
    </row>
    <row r="11859" spans="2:11" hidden="1">
      <c r="B11859" s="1348"/>
      <c r="C11859" s="1348"/>
      <c r="D11859" s="1348"/>
      <c r="E11859" s="1348"/>
      <c r="F11859" s="1348"/>
      <c r="G11859" s="1348"/>
      <c r="H11859" s="1348"/>
      <c r="I11859" s="1348"/>
      <c r="J11859" s="1348"/>
      <c r="K11859" s="1348"/>
    </row>
    <row r="11860" spans="2:11" hidden="1">
      <c r="B11860" s="1348"/>
      <c r="C11860" s="1348"/>
      <c r="D11860" s="1348"/>
      <c r="E11860" s="1348"/>
      <c r="F11860" s="1348"/>
      <c r="G11860" s="1348"/>
      <c r="H11860" s="1348"/>
      <c r="I11860" s="1348"/>
      <c r="J11860" s="1348"/>
      <c r="K11860" s="1348"/>
    </row>
    <row r="11861" spans="2:11" hidden="1">
      <c r="B11861" s="1348"/>
      <c r="C11861" s="1348"/>
      <c r="D11861" s="1348"/>
      <c r="E11861" s="1348"/>
      <c r="F11861" s="1348"/>
      <c r="G11861" s="1348"/>
      <c r="H11861" s="1348"/>
      <c r="I11861" s="1348"/>
      <c r="J11861" s="1348"/>
      <c r="K11861" s="1348"/>
    </row>
    <row r="11862" spans="2:11" hidden="1">
      <c r="B11862" s="1348"/>
      <c r="C11862" s="1348"/>
      <c r="D11862" s="1348"/>
      <c r="E11862" s="1348"/>
      <c r="F11862" s="1348"/>
      <c r="G11862" s="1348"/>
      <c r="H11862" s="1348"/>
      <c r="I11862" s="1348"/>
      <c r="J11862" s="1348"/>
      <c r="K11862" s="1348"/>
    </row>
    <row r="11863" spans="2:11" hidden="1">
      <c r="B11863" s="1348"/>
      <c r="C11863" s="1348"/>
      <c r="D11863" s="1348"/>
      <c r="E11863" s="1348"/>
      <c r="F11863" s="1348"/>
      <c r="G11863" s="1348"/>
      <c r="H11863" s="1348"/>
      <c r="I11863" s="1348"/>
      <c r="J11863" s="1348"/>
      <c r="K11863" s="1348"/>
    </row>
    <row r="11864" spans="2:11" hidden="1">
      <c r="B11864" s="1348"/>
      <c r="C11864" s="1348"/>
      <c r="D11864" s="1348"/>
      <c r="E11864" s="1348"/>
      <c r="F11864" s="1348"/>
      <c r="G11864" s="1348"/>
      <c r="H11864" s="1348"/>
      <c r="I11864" s="1348"/>
      <c r="J11864" s="1348"/>
      <c r="K11864" s="1348"/>
    </row>
    <row r="11865" spans="2:11" hidden="1">
      <c r="B11865" s="1348"/>
      <c r="C11865" s="1348"/>
      <c r="D11865" s="1348"/>
      <c r="E11865" s="1348"/>
      <c r="F11865" s="1348"/>
      <c r="G11865" s="1348"/>
      <c r="H11865" s="1348"/>
      <c r="I11865" s="1348"/>
      <c r="J11865" s="1348"/>
      <c r="K11865" s="1348"/>
    </row>
    <row r="11866" spans="2:11" hidden="1">
      <c r="B11866" s="1348"/>
      <c r="C11866" s="1348"/>
      <c r="D11866" s="1348"/>
      <c r="E11866" s="1348"/>
      <c r="F11866" s="1348"/>
      <c r="G11866" s="1348"/>
      <c r="H11866" s="1348"/>
      <c r="I11866" s="1348"/>
      <c r="J11866" s="1348"/>
      <c r="K11866" s="1348"/>
    </row>
    <row r="11867" spans="2:11" hidden="1">
      <c r="B11867" s="1348"/>
      <c r="C11867" s="1348"/>
      <c r="D11867" s="1348"/>
      <c r="E11867" s="1348"/>
      <c r="F11867" s="1348"/>
      <c r="G11867" s="1348"/>
      <c r="H11867" s="1348"/>
      <c r="I11867" s="1348"/>
      <c r="J11867" s="1348"/>
      <c r="K11867" s="1348"/>
    </row>
    <row r="11868" spans="2:11" hidden="1">
      <c r="B11868" s="1348"/>
      <c r="C11868" s="1348"/>
      <c r="D11868" s="1348"/>
      <c r="E11868" s="1348"/>
      <c r="F11868" s="1348"/>
      <c r="G11868" s="1348"/>
      <c r="H11868" s="1348"/>
      <c r="I11868" s="1348"/>
      <c r="J11868" s="1348"/>
      <c r="K11868" s="1348"/>
    </row>
    <row r="11869" spans="2:11" hidden="1">
      <c r="B11869" s="1348"/>
      <c r="C11869" s="1348"/>
      <c r="D11869" s="1348"/>
      <c r="E11869" s="1348"/>
      <c r="F11869" s="1348"/>
      <c r="G11869" s="1348"/>
      <c r="H11869" s="1348"/>
      <c r="I11869" s="1348"/>
      <c r="J11869" s="1348"/>
      <c r="K11869" s="1348"/>
    </row>
    <row r="11870" spans="2:11" hidden="1">
      <c r="B11870" s="1348"/>
      <c r="C11870" s="1348"/>
      <c r="D11870" s="1348"/>
      <c r="E11870" s="1348"/>
      <c r="F11870" s="1348"/>
      <c r="G11870" s="1348"/>
      <c r="H11870" s="1348"/>
      <c r="I11870" s="1348"/>
      <c r="J11870" s="1348"/>
      <c r="K11870" s="1348"/>
    </row>
    <row r="11871" spans="2:11" hidden="1">
      <c r="B11871" s="1348"/>
      <c r="C11871" s="1348"/>
      <c r="D11871" s="1348"/>
      <c r="E11871" s="1348"/>
      <c r="F11871" s="1348"/>
      <c r="G11871" s="1348"/>
      <c r="H11871" s="1348"/>
      <c r="I11871" s="1348"/>
      <c r="J11871" s="1348"/>
      <c r="K11871" s="1348"/>
    </row>
    <row r="11872" spans="2:11" hidden="1">
      <c r="B11872" s="1348"/>
      <c r="C11872" s="1348"/>
      <c r="D11872" s="1348"/>
      <c r="E11872" s="1348"/>
      <c r="F11872" s="1348"/>
      <c r="G11872" s="1348"/>
      <c r="H11872" s="1348"/>
      <c r="I11872" s="1348"/>
      <c r="J11872" s="1348"/>
      <c r="K11872" s="1348"/>
    </row>
    <row r="11873" spans="2:11" hidden="1">
      <c r="B11873" s="1348"/>
      <c r="C11873" s="1348"/>
      <c r="D11873" s="1348"/>
      <c r="E11873" s="1348"/>
      <c r="F11873" s="1348"/>
      <c r="G11873" s="1348"/>
      <c r="H11873" s="1348"/>
      <c r="I11873" s="1348"/>
      <c r="J11873" s="1348"/>
      <c r="K11873" s="1348"/>
    </row>
    <row r="11874" spans="2:11" hidden="1">
      <c r="B11874" s="1348"/>
      <c r="C11874" s="1348"/>
      <c r="D11874" s="1348"/>
      <c r="E11874" s="1348"/>
      <c r="F11874" s="1348"/>
      <c r="G11874" s="1348"/>
      <c r="H11874" s="1348"/>
      <c r="I11874" s="1348"/>
      <c r="J11874" s="1348"/>
      <c r="K11874" s="1348"/>
    </row>
    <row r="11875" spans="2:11" hidden="1">
      <c r="B11875" s="1348"/>
      <c r="C11875" s="1348"/>
      <c r="D11875" s="1348"/>
      <c r="E11875" s="1348"/>
      <c r="F11875" s="1348"/>
      <c r="G11875" s="1348"/>
      <c r="H11875" s="1348"/>
      <c r="I11875" s="1348"/>
      <c r="J11875" s="1348"/>
      <c r="K11875" s="1348"/>
    </row>
    <row r="11876" spans="2:11" hidden="1">
      <c r="B11876" s="1348"/>
      <c r="C11876" s="1348"/>
      <c r="D11876" s="1348"/>
      <c r="E11876" s="1348"/>
      <c r="F11876" s="1348"/>
      <c r="G11876" s="1348"/>
      <c r="H11876" s="1348"/>
      <c r="I11876" s="1348"/>
      <c r="J11876" s="1348"/>
      <c r="K11876" s="1348"/>
    </row>
    <row r="11877" spans="2:11" hidden="1">
      <c r="B11877" s="1348"/>
      <c r="C11877" s="1348"/>
      <c r="D11877" s="1348"/>
      <c r="E11877" s="1348"/>
      <c r="F11877" s="1348"/>
      <c r="G11877" s="1348"/>
      <c r="H11877" s="1348"/>
      <c r="I11877" s="1348"/>
      <c r="J11877" s="1348"/>
      <c r="K11877" s="1348"/>
    </row>
    <row r="11878" spans="2:11" hidden="1">
      <c r="B11878" s="1348"/>
      <c r="C11878" s="1348"/>
      <c r="D11878" s="1348"/>
      <c r="E11878" s="1348"/>
      <c r="F11878" s="1348"/>
      <c r="G11878" s="1348"/>
      <c r="H11878" s="1348"/>
      <c r="I11878" s="1348"/>
      <c r="J11878" s="1348"/>
      <c r="K11878" s="1348"/>
    </row>
    <row r="11879" spans="2:11" hidden="1">
      <c r="B11879" s="1348"/>
      <c r="C11879" s="1348"/>
      <c r="D11879" s="1348"/>
      <c r="E11879" s="1348"/>
      <c r="F11879" s="1348"/>
      <c r="G11879" s="1348"/>
      <c r="H11879" s="1348"/>
      <c r="I11879" s="1348"/>
      <c r="J11879" s="1348"/>
      <c r="K11879" s="1348"/>
    </row>
    <row r="11880" spans="2:11" hidden="1">
      <c r="B11880" s="1348"/>
      <c r="C11880" s="1348"/>
      <c r="D11880" s="1348"/>
      <c r="E11880" s="1348"/>
      <c r="F11880" s="1348"/>
      <c r="G11880" s="1348"/>
      <c r="H11880" s="1348"/>
      <c r="I11880" s="1348"/>
      <c r="J11880" s="1348"/>
      <c r="K11880" s="1348"/>
    </row>
    <row r="11881" spans="2:11" hidden="1">
      <c r="B11881" s="1348"/>
      <c r="C11881" s="1348"/>
      <c r="D11881" s="1348"/>
      <c r="E11881" s="1348"/>
      <c r="F11881" s="1348"/>
      <c r="G11881" s="1348"/>
      <c r="H11881" s="1348"/>
      <c r="I11881" s="1348"/>
      <c r="J11881" s="1348"/>
      <c r="K11881" s="1348"/>
    </row>
    <row r="11882" spans="2:11" hidden="1">
      <c r="B11882" s="1348"/>
      <c r="C11882" s="1348"/>
      <c r="D11882" s="1348"/>
      <c r="E11882" s="1348"/>
      <c r="F11882" s="1348"/>
      <c r="G11882" s="1348"/>
      <c r="H11882" s="1348"/>
      <c r="I11882" s="1348"/>
      <c r="J11882" s="1348"/>
      <c r="K11882" s="1348"/>
    </row>
    <row r="11883" spans="2:11" hidden="1">
      <c r="B11883" s="1348"/>
      <c r="C11883" s="1348"/>
      <c r="D11883" s="1348"/>
      <c r="E11883" s="1348"/>
      <c r="F11883" s="1348"/>
      <c r="G11883" s="1348"/>
      <c r="H11883" s="1348"/>
      <c r="I11883" s="1348"/>
      <c r="J11883" s="1348"/>
      <c r="K11883" s="1348"/>
    </row>
    <row r="11884" spans="2:11" hidden="1">
      <c r="B11884" s="1348"/>
      <c r="C11884" s="1348"/>
      <c r="D11884" s="1348"/>
      <c r="E11884" s="1348"/>
      <c r="F11884" s="1348"/>
      <c r="G11884" s="1348"/>
      <c r="H11884" s="1348"/>
      <c r="I11884" s="1348"/>
      <c r="J11884" s="1348"/>
      <c r="K11884" s="1348"/>
    </row>
    <row r="11885" spans="2:11" hidden="1">
      <c r="B11885" s="1348"/>
      <c r="C11885" s="1348"/>
      <c r="D11885" s="1348"/>
      <c r="E11885" s="1348"/>
      <c r="F11885" s="1348"/>
      <c r="G11885" s="1348"/>
      <c r="H11885" s="1348"/>
      <c r="I11885" s="1348"/>
      <c r="J11885" s="1348"/>
      <c r="K11885" s="1348"/>
    </row>
    <row r="11886" spans="2:11" hidden="1">
      <c r="B11886" s="1348"/>
      <c r="C11886" s="1348"/>
      <c r="D11886" s="1348"/>
      <c r="E11886" s="1348"/>
      <c r="F11886" s="1348"/>
      <c r="G11886" s="1348"/>
      <c r="H11886" s="1348"/>
      <c r="I11886" s="1348"/>
      <c r="J11886" s="1348"/>
      <c r="K11886" s="1348"/>
    </row>
    <row r="11887" spans="2:11" hidden="1">
      <c r="B11887" s="1348"/>
      <c r="C11887" s="1348"/>
      <c r="D11887" s="1348"/>
      <c r="E11887" s="1348"/>
      <c r="F11887" s="1348"/>
      <c r="G11887" s="1348"/>
      <c r="H11887" s="1348"/>
      <c r="I11887" s="1348"/>
      <c r="J11887" s="1348"/>
      <c r="K11887" s="1348"/>
    </row>
    <row r="11888" spans="2:11" hidden="1">
      <c r="B11888" s="1348"/>
      <c r="C11888" s="1348"/>
      <c r="D11888" s="1348"/>
      <c r="E11888" s="1348"/>
      <c r="F11888" s="1348"/>
      <c r="G11888" s="1348"/>
      <c r="H11888" s="1348"/>
      <c r="I11888" s="1348"/>
      <c r="J11888" s="1348"/>
      <c r="K11888" s="1348"/>
    </row>
    <row r="11889" spans="2:11" hidden="1">
      <c r="B11889" s="1348"/>
      <c r="C11889" s="1348"/>
      <c r="D11889" s="1348"/>
      <c r="E11889" s="1348"/>
      <c r="F11889" s="1348"/>
      <c r="G11889" s="1348"/>
      <c r="H11889" s="1348"/>
      <c r="I11889" s="1348"/>
      <c r="J11889" s="1348"/>
      <c r="K11889" s="1348"/>
    </row>
    <row r="11890" spans="2:11" hidden="1">
      <c r="B11890" s="1348"/>
      <c r="C11890" s="1348"/>
      <c r="D11890" s="1348"/>
      <c r="E11890" s="1348"/>
      <c r="F11890" s="1348"/>
      <c r="G11890" s="1348"/>
      <c r="H11890" s="1348"/>
      <c r="I11890" s="1348"/>
      <c r="J11890" s="1348"/>
      <c r="K11890" s="1348"/>
    </row>
    <row r="11891" spans="2:11" hidden="1">
      <c r="B11891" s="1348"/>
      <c r="C11891" s="1348"/>
      <c r="D11891" s="1348"/>
      <c r="E11891" s="1348"/>
      <c r="F11891" s="1348"/>
      <c r="G11891" s="1348"/>
      <c r="H11891" s="1348"/>
      <c r="I11891" s="1348"/>
      <c r="J11891" s="1348"/>
      <c r="K11891" s="1348"/>
    </row>
    <row r="11892" spans="2:11" hidden="1">
      <c r="B11892" s="1348"/>
      <c r="C11892" s="1348"/>
      <c r="D11892" s="1348"/>
      <c r="E11892" s="1348"/>
      <c r="F11892" s="1348"/>
      <c r="G11892" s="1348"/>
      <c r="H11892" s="1348"/>
      <c r="I11892" s="1348"/>
      <c r="J11892" s="1348"/>
      <c r="K11892" s="1348"/>
    </row>
    <row r="11893" spans="2:11" hidden="1">
      <c r="B11893" s="1348"/>
      <c r="C11893" s="1348"/>
      <c r="D11893" s="1348"/>
      <c r="E11893" s="1348"/>
      <c r="F11893" s="1348"/>
      <c r="G11893" s="1348"/>
      <c r="H11893" s="1348"/>
      <c r="I11893" s="1348"/>
      <c r="J11893" s="1348"/>
      <c r="K11893" s="1348"/>
    </row>
    <row r="11894" spans="2:11" hidden="1">
      <c r="B11894" s="1348"/>
      <c r="C11894" s="1348"/>
      <c r="D11894" s="1348"/>
      <c r="E11894" s="1348"/>
      <c r="F11894" s="1348"/>
      <c r="G11894" s="1348"/>
      <c r="H11894" s="1348"/>
      <c r="I11894" s="1348"/>
      <c r="J11894" s="1348"/>
      <c r="K11894" s="1348"/>
    </row>
    <row r="11895" spans="2:11" hidden="1">
      <c r="B11895" s="1348"/>
      <c r="C11895" s="1348"/>
      <c r="D11895" s="1348"/>
      <c r="E11895" s="1348"/>
      <c r="F11895" s="1348"/>
      <c r="G11895" s="1348"/>
      <c r="H11895" s="1348"/>
      <c r="I11895" s="1348"/>
      <c r="J11895" s="1348"/>
      <c r="K11895" s="1348"/>
    </row>
    <row r="11896" spans="2:11" hidden="1">
      <c r="B11896" s="1348"/>
      <c r="C11896" s="1348"/>
      <c r="D11896" s="1348"/>
      <c r="E11896" s="1348"/>
      <c r="F11896" s="1348"/>
      <c r="G11896" s="1348"/>
      <c r="H11896" s="1348"/>
      <c r="I11896" s="1348"/>
      <c r="J11896" s="1348"/>
      <c r="K11896" s="1348"/>
    </row>
    <row r="11897" spans="2:11" hidden="1">
      <c r="B11897" s="1348"/>
      <c r="C11897" s="1348"/>
      <c r="D11897" s="1348"/>
      <c r="E11897" s="1348"/>
      <c r="F11897" s="1348"/>
      <c r="G11897" s="1348"/>
      <c r="H11897" s="1348"/>
      <c r="I11897" s="1348"/>
      <c r="J11897" s="1348"/>
      <c r="K11897" s="1348"/>
    </row>
    <row r="11898" spans="2:11" hidden="1">
      <c r="B11898" s="1348"/>
      <c r="C11898" s="1348"/>
      <c r="D11898" s="1348"/>
      <c r="E11898" s="1348"/>
      <c r="F11898" s="1348"/>
      <c r="G11898" s="1348"/>
      <c r="H11898" s="1348"/>
      <c r="I11898" s="1348"/>
      <c r="J11898" s="1348"/>
      <c r="K11898" s="1348"/>
    </row>
    <row r="11899" spans="2:11" hidden="1">
      <c r="B11899" s="1348"/>
      <c r="C11899" s="1348"/>
      <c r="D11899" s="1348"/>
      <c r="E11899" s="1348"/>
      <c r="F11899" s="1348"/>
      <c r="G11899" s="1348"/>
      <c r="H11899" s="1348"/>
      <c r="I11899" s="1348"/>
      <c r="J11899" s="1348"/>
      <c r="K11899" s="1348"/>
    </row>
    <row r="11900" spans="2:11" hidden="1">
      <c r="B11900" s="1348"/>
      <c r="C11900" s="1348"/>
      <c r="D11900" s="1348"/>
      <c r="E11900" s="1348"/>
      <c r="F11900" s="1348"/>
      <c r="G11900" s="1348"/>
      <c r="H11900" s="1348"/>
      <c r="I11900" s="1348"/>
      <c r="J11900" s="1348"/>
      <c r="K11900" s="1348"/>
    </row>
    <row r="11901" spans="2:11" hidden="1">
      <c r="B11901" s="1348"/>
      <c r="C11901" s="1348"/>
      <c r="D11901" s="1348"/>
      <c r="E11901" s="1348"/>
      <c r="F11901" s="1348"/>
      <c r="G11901" s="1348"/>
      <c r="H11901" s="1348"/>
      <c r="I11901" s="1348"/>
      <c r="J11901" s="1348"/>
      <c r="K11901" s="1348"/>
    </row>
    <row r="11902" spans="2:11" hidden="1">
      <c r="B11902" s="1348"/>
      <c r="C11902" s="1348"/>
      <c r="D11902" s="1348"/>
      <c r="E11902" s="1348"/>
      <c r="F11902" s="1348"/>
      <c r="G11902" s="1348"/>
      <c r="H11902" s="1348"/>
      <c r="I11902" s="1348"/>
      <c r="J11902" s="1348"/>
      <c r="K11902" s="1348"/>
    </row>
    <row r="11903" spans="2:11" hidden="1">
      <c r="B11903" s="1348"/>
      <c r="C11903" s="1348"/>
      <c r="D11903" s="1348"/>
      <c r="E11903" s="1348"/>
      <c r="F11903" s="1348"/>
      <c r="G11903" s="1348"/>
      <c r="H11903" s="1348"/>
      <c r="I11903" s="1348"/>
      <c r="J11903" s="1348"/>
      <c r="K11903" s="1348"/>
    </row>
    <row r="11904" spans="2:11" hidden="1">
      <c r="B11904" s="1348"/>
      <c r="C11904" s="1348"/>
      <c r="D11904" s="1348"/>
      <c r="E11904" s="1348"/>
      <c r="F11904" s="1348"/>
      <c r="G11904" s="1348"/>
      <c r="H11904" s="1348"/>
      <c r="I11904" s="1348"/>
      <c r="J11904" s="1348"/>
      <c r="K11904" s="1348"/>
    </row>
    <row r="11905" spans="2:11" hidden="1">
      <c r="B11905" s="1348"/>
      <c r="C11905" s="1348"/>
      <c r="D11905" s="1348"/>
      <c r="E11905" s="1348"/>
      <c r="F11905" s="1348"/>
      <c r="G11905" s="1348"/>
      <c r="H11905" s="1348"/>
      <c r="I11905" s="1348"/>
      <c r="J11905" s="1348"/>
      <c r="K11905" s="1348"/>
    </row>
    <row r="11906" spans="2:11" hidden="1">
      <c r="B11906" s="1348"/>
      <c r="C11906" s="1348"/>
      <c r="D11906" s="1348"/>
      <c r="E11906" s="1348"/>
      <c r="F11906" s="1348"/>
      <c r="G11906" s="1348"/>
      <c r="H11906" s="1348"/>
      <c r="I11906" s="1348"/>
      <c r="J11906" s="1348"/>
      <c r="K11906" s="1348"/>
    </row>
    <row r="11907" spans="2:11" hidden="1">
      <c r="B11907" s="1348"/>
      <c r="C11907" s="1348"/>
      <c r="D11907" s="1348"/>
      <c r="E11907" s="1348"/>
      <c r="F11907" s="1348"/>
      <c r="G11907" s="1348"/>
      <c r="H11907" s="1348"/>
      <c r="I11907" s="1348"/>
      <c r="J11907" s="1348"/>
      <c r="K11907" s="1348"/>
    </row>
    <row r="11908" spans="2:11" hidden="1">
      <c r="B11908" s="1348"/>
      <c r="C11908" s="1348"/>
      <c r="D11908" s="1348"/>
      <c r="E11908" s="1348"/>
      <c r="F11908" s="1348"/>
      <c r="G11908" s="1348"/>
      <c r="H11908" s="1348"/>
      <c r="I11908" s="1348"/>
      <c r="J11908" s="1348"/>
      <c r="K11908" s="1348"/>
    </row>
    <row r="11909" spans="2:11" hidden="1">
      <c r="B11909" s="1348"/>
      <c r="C11909" s="1348"/>
      <c r="D11909" s="1348"/>
      <c r="E11909" s="1348"/>
      <c r="F11909" s="1348"/>
      <c r="G11909" s="1348"/>
      <c r="H11909" s="1348"/>
      <c r="I11909" s="1348"/>
      <c r="J11909" s="1348"/>
      <c r="K11909" s="1348"/>
    </row>
    <row r="11910" spans="2:11" hidden="1">
      <c r="B11910" s="1348"/>
      <c r="C11910" s="1348"/>
      <c r="D11910" s="1348"/>
      <c r="E11910" s="1348"/>
      <c r="F11910" s="1348"/>
      <c r="G11910" s="1348"/>
      <c r="H11910" s="1348"/>
      <c r="I11910" s="1348"/>
      <c r="J11910" s="1348"/>
      <c r="K11910" s="1348"/>
    </row>
    <row r="11911" spans="2:11" hidden="1">
      <c r="B11911" s="1348"/>
      <c r="C11911" s="1348"/>
      <c r="D11911" s="1348"/>
      <c r="E11911" s="1348"/>
      <c r="F11911" s="1348"/>
      <c r="G11911" s="1348"/>
      <c r="H11911" s="1348"/>
      <c r="I11911" s="1348"/>
      <c r="J11911" s="1348"/>
      <c r="K11911" s="1348"/>
    </row>
    <row r="11912" spans="2:11" hidden="1">
      <c r="B11912" s="1348"/>
      <c r="C11912" s="1348"/>
      <c r="D11912" s="1348"/>
      <c r="E11912" s="1348"/>
      <c r="F11912" s="1348"/>
      <c r="G11912" s="1348"/>
      <c r="H11912" s="1348"/>
      <c r="I11912" s="1348"/>
      <c r="J11912" s="1348"/>
      <c r="K11912" s="1348"/>
    </row>
    <row r="11913" spans="2:11" hidden="1">
      <c r="B11913" s="1348"/>
      <c r="C11913" s="1348"/>
      <c r="D11913" s="1348"/>
      <c r="E11913" s="1348"/>
      <c r="F11913" s="1348"/>
      <c r="G11913" s="1348"/>
      <c r="H11913" s="1348"/>
      <c r="I11913" s="1348"/>
      <c r="J11913" s="1348"/>
      <c r="K11913" s="1348"/>
    </row>
    <row r="11914" spans="2:11" hidden="1">
      <c r="B11914" s="1348"/>
      <c r="C11914" s="1348"/>
      <c r="D11914" s="1348"/>
      <c r="E11914" s="1348"/>
      <c r="F11914" s="1348"/>
      <c r="G11914" s="1348"/>
      <c r="H11914" s="1348"/>
      <c r="I11914" s="1348"/>
      <c r="J11914" s="1348"/>
      <c r="K11914" s="1348"/>
    </row>
    <row r="11915" spans="2:11" hidden="1">
      <c r="B11915" s="1348"/>
      <c r="C11915" s="1348"/>
      <c r="D11915" s="1348"/>
      <c r="E11915" s="1348"/>
      <c r="F11915" s="1348"/>
      <c r="G11915" s="1348"/>
      <c r="H11915" s="1348"/>
      <c r="I11915" s="1348"/>
      <c r="J11915" s="1348"/>
      <c r="K11915" s="1348"/>
    </row>
    <row r="11916" spans="2:11" hidden="1">
      <c r="B11916" s="1348"/>
      <c r="C11916" s="1348"/>
      <c r="D11916" s="1348"/>
      <c r="E11916" s="1348"/>
      <c r="F11916" s="1348"/>
      <c r="G11916" s="1348"/>
      <c r="H11916" s="1348"/>
      <c r="I11916" s="1348"/>
      <c r="J11916" s="1348"/>
      <c r="K11916" s="1348"/>
    </row>
    <row r="11917" spans="2:11" hidden="1">
      <c r="B11917" s="1348"/>
      <c r="C11917" s="1348"/>
      <c r="D11917" s="1348"/>
      <c r="E11917" s="1348"/>
      <c r="F11917" s="1348"/>
      <c r="G11917" s="1348"/>
      <c r="H11917" s="1348"/>
      <c r="I11917" s="1348"/>
      <c r="J11917" s="1348"/>
      <c r="K11917" s="1348"/>
    </row>
    <row r="11918" spans="2:11" hidden="1">
      <c r="B11918" s="1348"/>
      <c r="C11918" s="1348"/>
      <c r="D11918" s="1348"/>
      <c r="E11918" s="1348"/>
      <c r="F11918" s="1348"/>
      <c r="G11918" s="1348"/>
      <c r="H11918" s="1348"/>
      <c r="I11918" s="1348"/>
      <c r="J11918" s="1348"/>
      <c r="K11918" s="1348"/>
    </row>
    <row r="11919" spans="2:11" hidden="1">
      <c r="B11919" s="1348"/>
      <c r="C11919" s="1348"/>
      <c r="D11919" s="1348"/>
      <c r="E11919" s="1348"/>
      <c r="F11919" s="1348"/>
      <c r="G11919" s="1348"/>
      <c r="H11919" s="1348"/>
      <c r="I11919" s="1348"/>
      <c r="J11919" s="1348"/>
      <c r="K11919" s="1348"/>
    </row>
    <row r="11920" spans="2:11" hidden="1">
      <c r="B11920" s="1348"/>
      <c r="C11920" s="1348"/>
      <c r="D11920" s="1348"/>
      <c r="E11920" s="1348"/>
      <c r="F11920" s="1348"/>
      <c r="G11920" s="1348"/>
      <c r="H11920" s="1348"/>
      <c r="I11920" s="1348"/>
      <c r="J11920" s="1348"/>
      <c r="K11920" s="1348"/>
    </row>
    <row r="11921" spans="2:11" hidden="1">
      <c r="B11921" s="1348"/>
      <c r="C11921" s="1348"/>
      <c r="D11921" s="1348"/>
      <c r="E11921" s="1348"/>
      <c r="F11921" s="1348"/>
      <c r="G11921" s="1348"/>
      <c r="H11921" s="1348"/>
      <c r="I11921" s="1348"/>
      <c r="J11921" s="1348"/>
      <c r="K11921" s="1348"/>
    </row>
    <row r="11922" spans="2:11" hidden="1">
      <c r="B11922" s="1348"/>
      <c r="C11922" s="1348"/>
      <c r="D11922" s="1348"/>
      <c r="E11922" s="1348"/>
      <c r="F11922" s="1348"/>
      <c r="G11922" s="1348"/>
      <c r="H11922" s="1348"/>
      <c r="I11922" s="1348"/>
      <c r="J11922" s="1348"/>
      <c r="K11922" s="1348"/>
    </row>
    <row r="11923" spans="2:11" hidden="1">
      <c r="B11923" s="1348"/>
      <c r="C11923" s="1348"/>
      <c r="D11923" s="1348"/>
      <c r="E11923" s="1348"/>
      <c r="F11923" s="1348"/>
      <c r="G11923" s="1348"/>
      <c r="H11923" s="1348"/>
      <c r="I11923" s="1348"/>
      <c r="J11923" s="1348"/>
      <c r="K11923" s="1348"/>
    </row>
    <row r="11924" spans="2:11" hidden="1">
      <c r="B11924" s="1348"/>
      <c r="C11924" s="1348"/>
      <c r="D11924" s="1348"/>
      <c r="E11924" s="1348"/>
      <c r="F11924" s="1348"/>
      <c r="G11924" s="1348"/>
      <c r="H11924" s="1348"/>
      <c r="I11924" s="1348"/>
      <c r="J11924" s="1348"/>
      <c r="K11924" s="1348"/>
    </row>
    <row r="11925" spans="2:11" hidden="1">
      <c r="B11925" s="1348"/>
      <c r="C11925" s="1348"/>
      <c r="D11925" s="1348"/>
      <c r="E11925" s="1348"/>
      <c r="F11925" s="1348"/>
      <c r="G11925" s="1348"/>
      <c r="H11925" s="1348"/>
      <c r="I11925" s="1348"/>
      <c r="J11925" s="1348"/>
      <c r="K11925" s="1348"/>
    </row>
    <row r="11926" spans="2:11" hidden="1">
      <c r="B11926" s="1348"/>
      <c r="C11926" s="1348"/>
      <c r="D11926" s="1348"/>
      <c r="E11926" s="1348"/>
      <c r="F11926" s="1348"/>
      <c r="G11926" s="1348"/>
      <c r="H11926" s="1348"/>
      <c r="I11926" s="1348"/>
      <c r="J11926" s="1348"/>
      <c r="K11926" s="1348"/>
    </row>
    <row r="11927" spans="2:11" hidden="1">
      <c r="B11927" s="1348"/>
      <c r="C11927" s="1348"/>
      <c r="D11927" s="1348"/>
      <c r="E11927" s="1348"/>
      <c r="F11927" s="1348"/>
      <c r="G11927" s="1348"/>
      <c r="H11927" s="1348"/>
      <c r="I11927" s="1348"/>
      <c r="J11927" s="1348"/>
      <c r="K11927" s="1348"/>
    </row>
    <row r="11928" spans="2:11" hidden="1">
      <c r="B11928" s="1348"/>
      <c r="C11928" s="1348"/>
      <c r="D11928" s="1348"/>
      <c r="E11928" s="1348"/>
      <c r="F11928" s="1348"/>
      <c r="G11928" s="1348"/>
      <c r="H11928" s="1348"/>
      <c r="I11928" s="1348"/>
      <c r="J11928" s="1348"/>
      <c r="K11928" s="1348"/>
    </row>
    <row r="11929" spans="2:11" hidden="1">
      <c r="B11929" s="1348"/>
      <c r="C11929" s="1348"/>
      <c r="D11929" s="1348"/>
      <c r="E11929" s="1348"/>
      <c r="F11929" s="1348"/>
      <c r="G11929" s="1348"/>
      <c r="H11929" s="1348"/>
      <c r="I11929" s="1348"/>
      <c r="J11929" s="1348"/>
      <c r="K11929" s="1348"/>
    </row>
    <row r="11930" spans="2:11" hidden="1">
      <c r="B11930" s="1348"/>
      <c r="C11930" s="1348"/>
      <c r="D11930" s="1348"/>
      <c r="E11930" s="1348"/>
      <c r="F11930" s="1348"/>
      <c r="G11930" s="1348"/>
      <c r="H11930" s="1348"/>
      <c r="I11930" s="1348"/>
      <c r="J11930" s="1348"/>
      <c r="K11930" s="1348"/>
    </row>
    <row r="11931" spans="2:11" hidden="1">
      <c r="B11931" s="1348"/>
      <c r="C11931" s="1348"/>
      <c r="D11931" s="1348"/>
      <c r="E11931" s="1348"/>
      <c r="F11931" s="1348"/>
      <c r="G11931" s="1348"/>
      <c r="H11931" s="1348"/>
      <c r="I11931" s="1348"/>
      <c r="J11931" s="1348"/>
      <c r="K11931" s="1348"/>
    </row>
    <row r="11932" spans="2:11" hidden="1">
      <c r="B11932" s="1348"/>
      <c r="C11932" s="1348"/>
      <c r="D11932" s="1348"/>
      <c r="E11932" s="1348"/>
      <c r="F11932" s="1348"/>
      <c r="G11932" s="1348"/>
      <c r="H11932" s="1348"/>
      <c r="I11932" s="1348"/>
      <c r="J11932" s="1348"/>
      <c r="K11932" s="1348"/>
    </row>
    <row r="11933" spans="2:11" hidden="1">
      <c r="B11933" s="1348"/>
      <c r="C11933" s="1348"/>
      <c r="D11933" s="1348"/>
      <c r="E11933" s="1348"/>
      <c r="F11933" s="1348"/>
      <c r="G11933" s="1348"/>
      <c r="H11933" s="1348"/>
      <c r="I11933" s="1348"/>
      <c r="J11933" s="1348"/>
      <c r="K11933" s="1348"/>
    </row>
    <row r="11934" spans="2:11" hidden="1">
      <c r="B11934" s="1348"/>
      <c r="C11934" s="1348"/>
      <c r="D11934" s="1348"/>
      <c r="E11934" s="1348"/>
      <c r="F11934" s="1348"/>
      <c r="G11934" s="1348"/>
      <c r="H11934" s="1348"/>
      <c r="I11934" s="1348"/>
      <c r="J11934" s="1348"/>
      <c r="K11934" s="1348"/>
    </row>
    <row r="11935" spans="2:11" hidden="1">
      <c r="B11935" s="1348"/>
      <c r="C11935" s="1348"/>
      <c r="D11935" s="1348"/>
      <c r="E11935" s="1348"/>
      <c r="F11935" s="1348"/>
      <c r="G11935" s="1348"/>
      <c r="H11935" s="1348"/>
      <c r="I11935" s="1348"/>
      <c r="J11935" s="1348"/>
      <c r="K11935" s="1348"/>
    </row>
    <row r="11936" spans="2:11" hidden="1">
      <c r="B11936" s="1348"/>
      <c r="C11936" s="1348"/>
      <c r="D11936" s="1348"/>
      <c r="E11936" s="1348"/>
      <c r="F11936" s="1348"/>
      <c r="G11936" s="1348"/>
      <c r="H11936" s="1348"/>
      <c r="I11936" s="1348"/>
      <c r="J11936" s="1348"/>
      <c r="K11936" s="1348"/>
    </row>
    <row r="11937" spans="2:11" hidden="1">
      <c r="B11937" s="1348"/>
      <c r="C11937" s="1348"/>
      <c r="D11937" s="1348"/>
      <c r="E11937" s="1348"/>
      <c r="F11937" s="1348"/>
      <c r="G11937" s="1348"/>
      <c r="H11937" s="1348"/>
      <c r="I11937" s="1348"/>
      <c r="J11937" s="1348"/>
      <c r="K11937" s="1348"/>
    </row>
    <row r="11938" spans="2:11" hidden="1">
      <c r="B11938" s="1348"/>
      <c r="C11938" s="1348"/>
      <c r="D11938" s="1348"/>
      <c r="E11938" s="1348"/>
      <c r="F11938" s="1348"/>
      <c r="G11938" s="1348"/>
      <c r="H11938" s="1348"/>
      <c r="I11938" s="1348"/>
      <c r="J11938" s="1348"/>
      <c r="K11938" s="1348"/>
    </row>
    <row r="11939" spans="2:11" hidden="1">
      <c r="B11939" s="1348"/>
      <c r="C11939" s="1348"/>
      <c r="D11939" s="1348"/>
      <c r="E11939" s="1348"/>
      <c r="F11939" s="1348"/>
      <c r="G11939" s="1348"/>
      <c r="H11939" s="1348"/>
      <c r="I11939" s="1348"/>
      <c r="J11939" s="1348"/>
      <c r="K11939" s="1348"/>
    </row>
    <row r="11940" spans="2:11" hidden="1">
      <c r="B11940" s="1348"/>
      <c r="C11940" s="1348"/>
      <c r="D11940" s="1348"/>
      <c r="E11940" s="1348"/>
      <c r="F11940" s="1348"/>
      <c r="G11940" s="1348"/>
      <c r="H11940" s="1348"/>
      <c r="I11940" s="1348"/>
      <c r="J11940" s="1348"/>
      <c r="K11940" s="1348"/>
    </row>
    <row r="11941" spans="2:11" hidden="1">
      <c r="B11941" s="1348"/>
      <c r="C11941" s="1348"/>
      <c r="D11941" s="1348"/>
      <c r="E11941" s="1348"/>
      <c r="F11941" s="1348"/>
      <c r="G11941" s="1348"/>
      <c r="H11941" s="1348"/>
      <c r="I11941" s="1348"/>
      <c r="J11941" s="1348"/>
      <c r="K11941" s="1348"/>
    </row>
    <row r="11942" spans="2:11" hidden="1">
      <c r="B11942" s="1348"/>
      <c r="C11942" s="1348"/>
      <c r="D11942" s="1348"/>
      <c r="E11942" s="1348"/>
      <c r="F11942" s="1348"/>
      <c r="G11942" s="1348"/>
      <c r="H11942" s="1348"/>
      <c r="I11942" s="1348"/>
      <c r="J11942" s="1348"/>
      <c r="K11942" s="1348"/>
    </row>
    <row r="11943" spans="2:11" hidden="1">
      <c r="B11943" s="1348"/>
      <c r="C11943" s="1348"/>
      <c r="D11943" s="1348"/>
      <c r="E11943" s="1348"/>
      <c r="F11943" s="1348"/>
      <c r="G11943" s="1348"/>
      <c r="H11943" s="1348"/>
      <c r="I11943" s="1348"/>
      <c r="J11943" s="1348"/>
      <c r="K11943" s="1348"/>
    </row>
    <row r="11944" spans="2:11" hidden="1">
      <c r="B11944" s="1348"/>
      <c r="C11944" s="1348"/>
      <c r="D11944" s="1348"/>
      <c r="E11944" s="1348"/>
      <c r="F11944" s="1348"/>
      <c r="G11944" s="1348"/>
      <c r="H11944" s="1348"/>
      <c r="I11944" s="1348"/>
      <c r="J11944" s="1348"/>
      <c r="K11944" s="1348"/>
    </row>
    <row r="11945" spans="2:11" hidden="1">
      <c r="B11945" s="1348"/>
      <c r="C11945" s="1348"/>
      <c r="D11945" s="1348"/>
      <c r="E11945" s="1348"/>
      <c r="F11945" s="1348"/>
      <c r="G11945" s="1348"/>
      <c r="H11945" s="1348"/>
      <c r="I11945" s="1348"/>
      <c r="J11945" s="1348"/>
      <c r="K11945" s="1348"/>
    </row>
    <row r="11946" spans="2:11" hidden="1">
      <c r="B11946" s="1348"/>
      <c r="C11946" s="1348"/>
      <c r="D11946" s="1348"/>
      <c r="E11946" s="1348"/>
      <c r="F11946" s="1348"/>
      <c r="G11946" s="1348"/>
      <c r="H11946" s="1348"/>
      <c r="I11946" s="1348"/>
      <c r="J11946" s="1348"/>
      <c r="K11946" s="1348"/>
    </row>
    <row r="11947" spans="2:11" hidden="1">
      <c r="B11947" s="1348"/>
      <c r="C11947" s="1348"/>
      <c r="D11947" s="1348"/>
      <c r="E11947" s="1348"/>
      <c r="F11947" s="1348"/>
      <c r="G11947" s="1348"/>
      <c r="H11947" s="1348"/>
      <c r="I11947" s="1348"/>
      <c r="J11947" s="1348"/>
      <c r="K11947" s="1348"/>
    </row>
    <row r="11948" spans="2:11" hidden="1">
      <c r="B11948" s="1348"/>
      <c r="C11948" s="1348"/>
      <c r="D11948" s="1348"/>
      <c r="E11948" s="1348"/>
      <c r="F11948" s="1348"/>
      <c r="G11948" s="1348"/>
      <c r="H11948" s="1348"/>
      <c r="I11948" s="1348"/>
      <c r="J11948" s="1348"/>
      <c r="K11948" s="1348"/>
    </row>
    <row r="11949" spans="2:11" hidden="1">
      <c r="B11949" s="1348"/>
      <c r="C11949" s="1348"/>
      <c r="D11949" s="1348"/>
      <c r="E11949" s="1348"/>
      <c r="F11949" s="1348"/>
      <c r="G11949" s="1348"/>
      <c r="H11949" s="1348"/>
      <c r="I11949" s="1348"/>
      <c r="J11949" s="1348"/>
      <c r="K11949" s="1348"/>
    </row>
    <row r="11950" spans="2:11" hidden="1">
      <c r="B11950" s="1348"/>
      <c r="C11950" s="1348"/>
      <c r="D11950" s="1348"/>
      <c r="E11950" s="1348"/>
      <c r="F11950" s="1348"/>
      <c r="G11950" s="1348"/>
      <c r="H11950" s="1348"/>
      <c r="I11950" s="1348"/>
      <c r="J11950" s="1348"/>
      <c r="K11950" s="1348"/>
    </row>
    <row r="11951" spans="2:11" hidden="1">
      <c r="B11951" s="1348"/>
      <c r="C11951" s="1348"/>
      <c r="D11951" s="1348"/>
      <c r="E11951" s="1348"/>
      <c r="F11951" s="1348"/>
      <c r="G11951" s="1348"/>
      <c r="H11951" s="1348"/>
      <c r="I11951" s="1348"/>
      <c r="J11951" s="1348"/>
      <c r="K11951" s="1348"/>
    </row>
    <row r="11952" spans="2:11" hidden="1">
      <c r="B11952" s="1348"/>
      <c r="C11952" s="1348"/>
      <c r="D11952" s="1348"/>
      <c r="E11952" s="1348"/>
      <c r="F11952" s="1348"/>
      <c r="G11952" s="1348"/>
      <c r="H11952" s="1348"/>
      <c r="I11952" s="1348"/>
      <c r="J11952" s="1348"/>
      <c r="K11952" s="1348"/>
    </row>
    <row r="11953" spans="2:11" hidden="1">
      <c r="B11953" s="1348"/>
      <c r="C11953" s="1348"/>
      <c r="D11953" s="1348"/>
      <c r="E11953" s="1348"/>
      <c r="F11953" s="1348"/>
      <c r="G11953" s="1348"/>
      <c r="H11953" s="1348"/>
      <c r="I11953" s="1348"/>
      <c r="J11953" s="1348"/>
      <c r="K11953" s="1348"/>
    </row>
    <row r="11954" spans="2:11" hidden="1">
      <c r="B11954" s="1348"/>
      <c r="C11954" s="1348"/>
      <c r="D11954" s="1348"/>
      <c r="E11954" s="1348"/>
      <c r="F11954" s="1348"/>
      <c r="G11954" s="1348"/>
      <c r="H11954" s="1348"/>
      <c r="I11954" s="1348"/>
      <c r="J11954" s="1348"/>
      <c r="K11954" s="1348"/>
    </row>
    <row r="11955" spans="2:11" hidden="1">
      <c r="B11955" s="1348"/>
      <c r="C11955" s="1348"/>
      <c r="D11955" s="1348"/>
      <c r="E11955" s="1348"/>
      <c r="F11955" s="1348"/>
      <c r="G11955" s="1348"/>
      <c r="H11955" s="1348"/>
      <c r="I11955" s="1348"/>
      <c r="J11955" s="1348"/>
      <c r="K11955" s="1348"/>
    </row>
    <row r="11956" spans="2:11" hidden="1">
      <c r="B11956" s="1348"/>
      <c r="C11956" s="1348"/>
      <c r="D11956" s="1348"/>
    </row>
    <row r="11957" spans="2:11"/>
    <row r="11958" spans="2:11"/>
    <row r="11959" spans="2:11"/>
    <row r="11960" spans="2:11"/>
    <row r="11961" spans="2:11"/>
  </sheetData>
  <mergeCells count="151">
    <mergeCell ref="C10:F10"/>
    <mergeCell ref="I10:L10"/>
    <mergeCell ref="B21:L21"/>
    <mergeCell ref="C4:F4"/>
    <mergeCell ref="I4:L4"/>
    <mergeCell ref="B7:L7"/>
    <mergeCell ref="C28:D28"/>
    <mergeCell ref="E28:F28"/>
    <mergeCell ref="G28:H28"/>
    <mergeCell ref="K28:L28"/>
    <mergeCell ref="C29:D29"/>
    <mergeCell ref="E29:F29"/>
    <mergeCell ref="G29:H29"/>
    <mergeCell ref="K29:L29"/>
    <mergeCell ref="B25:L25"/>
    <mergeCell ref="C26:D26"/>
    <mergeCell ref="E26:F26"/>
    <mergeCell ref="G26:H26"/>
    <mergeCell ref="K26:L26"/>
    <mergeCell ref="C27:D27"/>
    <mergeCell ref="E27:F27"/>
    <mergeCell ref="G27:H27"/>
    <mergeCell ref="K27:L27"/>
    <mergeCell ref="C32:D32"/>
    <mergeCell ref="E32:F32"/>
    <mergeCell ref="G32:H32"/>
    <mergeCell ref="K32:L32"/>
    <mergeCell ref="C33:D33"/>
    <mergeCell ref="E33:F33"/>
    <mergeCell ref="G33:H33"/>
    <mergeCell ref="K33:L33"/>
    <mergeCell ref="C30:D30"/>
    <mergeCell ref="E30:F30"/>
    <mergeCell ref="G30:H30"/>
    <mergeCell ref="K30:L30"/>
    <mergeCell ref="C31:D31"/>
    <mergeCell ref="E31:F31"/>
    <mergeCell ref="G31:H31"/>
    <mergeCell ref="K31:L31"/>
    <mergeCell ref="K36:L36"/>
    <mergeCell ref="B39:L39"/>
    <mergeCell ref="F40:H40"/>
    <mergeCell ref="C34:D34"/>
    <mergeCell ref="E34:F34"/>
    <mergeCell ref="G34:H34"/>
    <mergeCell ref="K34:L34"/>
    <mergeCell ref="C35:D35"/>
    <mergeCell ref="E35:F35"/>
    <mergeCell ref="G35:H35"/>
    <mergeCell ref="K35:L35"/>
    <mergeCell ref="C44:D44"/>
    <mergeCell ref="E44:F44"/>
    <mergeCell ref="G44:H44"/>
    <mergeCell ref="I44:J44"/>
    <mergeCell ref="C45:D45"/>
    <mergeCell ref="E45:F45"/>
    <mergeCell ref="G45:H45"/>
    <mergeCell ref="I45:J45"/>
    <mergeCell ref="C36:D36"/>
    <mergeCell ref="E36:F36"/>
    <mergeCell ref="G36:H36"/>
    <mergeCell ref="C48:D48"/>
    <mergeCell ref="E48:F48"/>
    <mergeCell ref="G48:H48"/>
    <mergeCell ref="I48:J48"/>
    <mergeCell ref="C49:D49"/>
    <mergeCell ref="E49:F49"/>
    <mergeCell ref="G49:H49"/>
    <mergeCell ref="I49:J49"/>
    <mergeCell ref="C46:D46"/>
    <mergeCell ref="E46:F46"/>
    <mergeCell ref="G46:H46"/>
    <mergeCell ref="I46:J46"/>
    <mergeCell ref="C47:D47"/>
    <mergeCell ref="E47:F47"/>
    <mergeCell ref="G47:H47"/>
    <mergeCell ref="I47:J47"/>
    <mergeCell ref="C52:D52"/>
    <mergeCell ref="E52:F52"/>
    <mergeCell ref="G52:H52"/>
    <mergeCell ref="I52:J52"/>
    <mergeCell ref="C53:D53"/>
    <mergeCell ref="E53:F53"/>
    <mergeCell ref="G53:H53"/>
    <mergeCell ref="I53:J53"/>
    <mergeCell ref="C50:D50"/>
    <mergeCell ref="E50:F50"/>
    <mergeCell ref="G50:H50"/>
    <mergeCell ref="I50:J50"/>
    <mergeCell ref="C51:D51"/>
    <mergeCell ref="E51:F51"/>
    <mergeCell ref="G51:H51"/>
    <mergeCell ref="I51:J51"/>
    <mergeCell ref="C57:D57"/>
    <mergeCell ref="E57:F57"/>
    <mergeCell ref="G57:H57"/>
    <mergeCell ref="K57:L57"/>
    <mergeCell ref="C58:D58"/>
    <mergeCell ref="E58:F58"/>
    <mergeCell ref="G58:H58"/>
    <mergeCell ref="K58:L58"/>
    <mergeCell ref="C54:D54"/>
    <mergeCell ref="E54:F54"/>
    <mergeCell ref="G54:H54"/>
    <mergeCell ref="I54:J54"/>
    <mergeCell ref="B55:L55"/>
    <mergeCell ref="C56:D56"/>
    <mergeCell ref="E56:F56"/>
    <mergeCell ref="G56:H56"/>
    <mergeCell ref="K56:L56"/>
    <mergeCell ref="C61:D61"/>
    <mergeCell ref="E61:F61"/>
    <mergeCell ref="G61:H61"/>
    <mergeCell ref="K61:L61"/>
    <mergeCell ref="C62:D62"/>
    <mergeCell ref="E62:F62"/>
    <mergeCell ref="G62:H62"/>
    <mergeCell ref="K62:L62"/>
    <mergeCell ref="C59:D59"/>
    <mergeCell ref="E59:F59"/>
    <mergeCell ref="G59:H59"/>
    <mergeCell ref="K59:L59"/>
    <mergeCell ref="C60:D60"/>
    <mergeCell ref="E60:F60"/>
    <mergeCell ref="G60:H60"/>
    <mergeCell ref="K60:L60"/>
    <mergeCell ref="C65:D65"/>
    <mergeCell ref="E65:F65"/>
    <mergeCell ref="G65:H65"/>
    <mergeCell ref="K65:L65"/>
    <mergeCell ref="C66:D66"/>
    <mergeCell ref="E66:F66"/>
    <mergeCell ref="G66:H66"/>
    <mergeCell ref="K66:L66"/>
    <mergeCell ref="C63:D63"/>
    <mergeCell ref="E63:F63"/>
    <mergeCell ref="G63:H63"/>
    <mergeCell ref="K63:L63"/>
    <mergeCell ref="C64:D64"/>
    <mergeCell ref="E64:F64"/>
    <mergeCell ref="G64:H64"/>
    <mergeCell ref="K64:L64"/>
    <mergeCell ref="B74:L74"/>
    <mergeCell ref="D76:G76"/>
    <mergeCell ref="K76:L76"/>
    <mergeCell ref="D71:E71"/>
    <mergeCell ref="F71:G71"/>
    <mergeCell ref="H71:I71"/>
    <mergeCell ref="J71:K71"/>
    <mergeCell ref="C72:L72"/>
    <mergeCell ref="B73:L73"/>
  </mergeCells>
  <conditionalFormatting sqref="C27:I36">
    <cfRule type="expression" dxfId="6" priority="2" stopIfTrue="1">
      <formula>C27&lt;&gt;""</formula>
    </cfRule>
  </conditionalFormatting>
  <conditionalFormatting sqref="C57:I66">
    <cfRule type="expression" dxfId="5" priority="1" stopIfTrue="1">
      <formula>C57&lt;&gt;""</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9233" r:id="rId4" name="Check Box 1">
              <controlPr defaultSize="0" autoFill="0" autoLine="0" autoPict="0">
                <anchor moveWithCells="1">
                  <from>
                    <xdr:col>1</xdr:col>
                    <xdr:colOff>107950</xdr:colOff>
                    <xdr:row>13</xdr:row>
                    <xdr:rowOff>12700</xdr:rowOff>
                  </from>
                  <to>
                    <xdr:col>1</xdr:col>
                    <xdr:colOff>698500</xdr:colOff>
                    <xdr:row>13</xdr:row>
                    <xdr:rowOff>241300</xdr:rowOff>
                  </to>
                </anchor>
              </controlPr>
            </control>
          </mc:Choice>
        </mc:AlternateContent>
        <mc:AlternateContent xmlns:mc="http://schemas.openxmlformats.org/markup-compatibility/2006">
          <mc:Choice Requires="x14">
            <control shapeId="479234" r:id="rId5" name="Check Box 2">
              <controlPr defaultSize="0" autoFill="0" autoLine="0" autoPict="0">
                <anchor moveWithCells="1">
                  <from>
                    <xdr:col>1</xdr:col>
                    <xdr:colOff>736600</xdr:colOff>
                    <xdr:row>13</xdr:row>
                    <xdr:rowOff>12700</xdr:rowOff>
                  </from>
                  <to>
                    <xdr:col>2</xdr:col>
                    <xdr:colOff>355600</xdr:colOff>
                    <xdr:row>13</xdr:row>
                    <xdr:rowOff>260350</xdr:rowOff>
                  </to>
                </anchor>
              </controlPr>
            </control>
          </mc:Choice>
        </mc:AlternateContent>
        <mc:AlternateContent xmlns:mc="http://schemas.openxmlformats.org/markup-compatibility/2006">
          <mc:Choice Requires="x14">
            <control shapeId="479235" r:id="rId6" name="Check Box 3">
              <controlPr defaultSize="0" autoFill="0" autoLine="0" autoPict="0">
                <anchor moveWithCells="1">
                  <from>
                    <xdr:col>1</xdr:col>
                    <xdr:colOff>107950</xdr:colOff>
                    <xdr:row>15</xdr:row>
                    <xdr:rowOff>12700</xdr:rowOff>
                  </from>
                  <to>
                    <xdr:col>1</xdr:col>
                    <xdr:colOff>698500</xdr:colOff>
                    <xdr:row>15</xdr:row>
                    <xdr:rowOff>241300</xdr:rowOff>
                  </to>
                </anchor>
              </controlPr>
            </control>
          </mc:Choice>
        </mc:AlternateContent>
        <mc:AlternateContent xmlns:mc="http://schemas.openxmlformats.org/markup-compatibility/2006">
          <mc:Choice Requires="x14">
            <control shapeId="479236" r:id="rId7" name="Check Box 4">
              <controlPr defaultSize="0" autoFill="0" autoLine="0" autoPict="0">
                <anchor moveWithCells="1">
                  <from>
                    <xdr:col>1</xdr:col>
                    <xdr:colOff>736600</xdr:colOff>
                    <xdr:row>15</xdr:row>
                    <xdr:rowOff>0</xdr:rowOff>
                  </from>
                  <to>
                    <xdr:col>2</xdr:col>
                    <xdr:colOff>355600</xdr:colOff>
                    <xdr:row>15</xdr:row>
                    <xdr:rowOff>247650</xdr:rowOff>
                  </to>
                </anchor>
              </controlPr>
            </control>
          </mc:Choice>
        </mc:AlternateContent>
        <mc:AlternateContent xmlns:mc="http://schemas.openxmlformats.org/markup-compatibility/2006">
          <mc:Choice Requires="x14">
            <control shapeId="479237" r:id="rId8" name="Check Box 5">
              <controlPr defaultSize="0" autoFill="0" autoLine="0" autoPict="0">
                <anchor moveWithCells="1">
                  <from>
                    <xdr:col>1</xdr:col>
                    <xdr:colOff>114300</xdr:colOff>
                    <xdr:row>17</xdr:row>
                    <xdr:rowOff>50800</xdr:rowOff>
                  </from>
                  <to>
                    <xdr:col>1</xdr:col>
                    <xdr:colOff>704850</xdr:colOff>
                    <xdr:row>17</xdr:row>
                    <xdr:rowOff>260350</xdr:rowOff>
                  </to>
                </anchor>
              </controlPr>
            </control>
          </mc:Choice>
        </mc:AlternateContent>
        <mc:AlternateContent xmlns:mc="http://schemas.openxmlformats.org/markup-compatibility/2006">
          <mc:Choice Requires="x14">
            <control shapeId="479238" r:id="rId9" name="Check Box 6">
              <controlPr defaultSize="0" autoFill="0" autoLine="0" autoPict="0">
                <anchor moveWithCells="1">
                  <from>
                    <xdr:col>1</xdr:col>
                    <xdr:colOff>736600</xdr:colOff>
                    <xdr:row>17</xdr:row>
                    <xdr:rowOff>31750</xdr:rowOff>
                  </from>
                  <to>
                    <xdr:col>2</xdr:col>
                    <xdr:colOff>355600</xdr:colOff>
                    <xdr:row>17</xdr:row>
                    <xdr:rowOff>298450</xdr:rowOff>
                  </to>
                </anchor>
              </controlPr>
            </control>
          </mc:Choice>
        </mc:AlternateContent>
      </controls>
    </mc:Choice>
  </mc:AlternateContent>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A6C9D6-4B9D-4106-996B-B2CDAB3E2151}">
  <sheetPr codeName="Sheet54">
    <tabColor rgb="FF00B0F0"/>
  </sheetPr>
  <dimension ref="A1:N65565"/>
  <sheetViews>
    <sheetView showGridLines="0" zoomScaleNormal="100" workbookViewId="0">
      <selection activeCell="J41" sqref="J41"/>
    </sheetView>
  </sheetViews>
  <sheetFormatPr defaultColWidth="0" defaultRowHeight="0" customHeight="1" zeroHeight="1"/>
  <cols>
    <col min="1" max="1" width="3.453125" style="1" customWidth="1"/>
    <col min="2" max="2" width="15.54296875" style="1" customWidth="1"/>
    <col min="3" max="4" width="8.81640625" style="1" customWidth="1"/>
    <col min="5" max="5" width="10.453125" style="1" customWidth="1"/>
    <col min="6" max="6" width="11.54296875" style="1" customWidth="1"/>
    <col min="7" max="7" width="12.453125" style="1" customWidth="1"/>
    <col min="8" max="8" width="14.54296875" style="1" customWidth="1"/>
    <col min="9" max="10" width="15.453125" style="1" customWidth="1"/>
    <col min="11" max="11" width="8.81640625" style="1" customWidth="1"/>
    <col min="12" max="12" width="14.453125" style="1" customWidth="1"/>
    <col min="13" max="13" width="3.453125" style="1" customWidth="1"/>
    <col min="14" max="14" width="8.7265625" style="1" customWidth="1"/>
    <col min="15" max="16384" width="8.7265625" style="1" hidden="1"/>
  </cols>
  <sheetData>
    <row r="1" spans="1:14" s="1814" customFormat="1" ht="78.650000000000006" customHeight="1">
      <c r="B1" s="1385" t="s">
        <v>5429</v>
      </c>
      <c r="C1" s="1385"/>
      <c r="D1" s="1385"/>
      <c r="E1" s="1385"/>
      <c r="F1" s="1385"/>
      <c r="G1" s="1385"/>
      <c r="H1" s="1385"/>
      <c r="I1" s="1385"/>
    </row>
    <row r="2" spans="1:14" s="1816" customFormat="1" ht="5.15" customHeight="1">
      <c r="A2" s="1383"/>
      <c r="B2" s="1383"/>
      <c r="C2" s="1383"/>
      <c r="D2" s="1383"/>
      <c r="E2" s="1383"/>
      <c r="F2" s="1383"/>
      <c r="G2" s="1383"/>
      <c r="H2" s="1383"/>
      <c r="I2" s="1383"/>
    </row>
    <row r="3" spans="1:14" ht="18.649999999999999" customHeight="1">
      <c r="A3" s="1380"/>
      <c r="B3" s="1380"/>
      <c r="C3" s="1380"/>
      <c r="D3" s="1380"/>
      <c r="E3" s="1380"/>
      <c r="F3" s="1380"/>
      <c r="G3" s="1380"/>
      <c r="H3" s="1380"/>
      <c r="I3" s="1380"/>
      <c r="J3" s="1379"/>
      <c r="K3" s="1379"/>
      <c r="L3" s="1379"/>
    </row>
    <row r="4" spans="1:14" ht="25.4" customHeight="1">
      <c r="B4" s="1" t="s">
        <v>243</v>
      </c>
      <c r="C4" s="2116"/>
      <c r="D4" s="2116"/>
      <c r="E4" s="2116"/>
      <c r="F4" s="2116"/>
      <c r="H4" s="1" t="s">
        <v>220</v>
      </c>
      <c r="I4" s="1879" t="str">
        <f>IF('Customer Information'!C5="","",'Customer Information'!C5)</f>
        <v/>
      </c>
      <c r="J4" s="1874"/>
      <c r="K4" s="1874"/>
      <c r="L4" s="1874"/>
    </row>
    <row r="5" spans="1:14" ht="18" customHeight="1"/>
    <row r="6" spans="1:14" ht="25.5" customHeight="1">
      <c r="B6" s="1348"/>
      <c r="C6" s="1348"/>
      <c r="D6" s="1348"/>
      <c r="E6" s="1348"/>
      <c r="F6" s="1348"/>
      <c r="G6" s="1348"/>
      <c r="H6" s="1348"/>
      <c r="I6" s="1348"/>
      <c r="J6" s="1348"/>
      <c r="K6" s="1348"/>
      <c r="L6" s="1348"/>
      <c r="M6" s="1348"/>
      <c r="N6" s="1348"/>
    </row>
    <row r="7" spans="1:14" ht="25.5" customHeight="1" thickBot="1">
      <c r="B7" s="2565" t="s">
        <v>164</v>
      </c>
      <c r="C7" s="2565"/>
      <c r="D7" s="2565"/>
      <c r="E7" s="2565"/>
      <c r="F7" s="2565"/>
      <c r="G7" s="2565"/>
      <c r="H7" s="2565"/>
      <c r="I7" s="2565"/>
      <c r="J7" s="2565"/>
      <c r="K7" s="2565"/>
      <c r="L7" s="2565"/>
      <c r="M7" s="1364"/>
      <c r="N7" s="1364"/>
    </row>
    <row r="8" spans="1:14" ht="25.5" customHeight="1">
      <c r="B8" s="1821" t="s">
        <v>10</v>
      </c>
      <c r="C8" s="1874" t="str">
        <f>IF('Customer Information'!C6="","",'Customer Information'!C6)</f>
        <v/>
      </c>
      <c r="D8" s="1874"/>
      <c r="E8" s="1874"/>
      <c r="F8" s="1874"/>
      <c r="G8" s="1821"/>
      <c r="H8" s="1822" t="s">
        <v>5342</v>
      </c>
      <c r="I8" s="1874" t="str">
        <f>IF('Customer Information'!C7="","",'Customer Information'!C7)</f>
        <v/>
      </c>
      <c r="J8" s="1874"/>
      <c r="K8" s="1874"/>
      <c r="L8" s="1874"/>
      <c r="M8" s="1823"/>
      <c r="N8" s="1823"/>
    </row>
    <row r="9" spans="1:14" ht="25.5" customHeight="1">
      <c r="B9" s="1821" t="s">
        <v>5343</v>
      </c>
      <c r="C9" s="1875" t="str">
        <f>IF('Customer Information'!I7="","",'Customer Information'!I7)</f>
        <v/>
      </c>
      <c r="D9" s="1875"/>
      <c r="E9" s="1875"/>
      <c r="F9" s="1875"/>
      <c r="G9" s="1821"/>
      <c r="H9" s="1822" t="s">
        <v>5344</v>
      </c>
      <c r="I9" s="1880" t="str">
        <f>IF('Customer Information'!K9="","",'Customer Information'!K9)</f>
        <v/>
      </c>
      <c r="J9" s="1875"/>
      <c r="K9" s="1875"/>
      <c r="L9" s="1875"/>
      <c r="M9" s="1823"/>
      <c r="N9" s="1823"/>
    </row>
    <row r="10" spans="1:14" ht="25.5" customHeight="1">
      <c r="B10" s="1821" t="s">
        <v>5345</v>
      </c>
      <c r="C10" s="2819"/>
      <c r="D10" s="2819"/>
      <c r="E10" s="2819"/>
      <c r="F10" s="2819"/>
      <c r="G10" s="1821"/>
      <c r="H10" s="1822" t="s">
        <v>5430</v>
      </c>
      <c r="I10" s="2819"/>
      <c r="J10" s="2819"/>
      <c r="K10" s="2819"/>
      <c r="L10" s="2819"/>
      <c r="M10" s="1823"/>
      <c r="N10" s="1823"/>
    </row>
    <row r="11" spans="1:14" ht="25.5" customHeight="1" thickBot="1">
      <c r="B11" s="1821"/>
      <c r="C11" s="1824"/>
      <c r="D11" s="1824"/>
      <c r="E11" s="1824"/>
      <c r="F11" s="1824"/>
      <c r="G11" s="1821"/>
      <c r="H11" s="1822"/>
      <c r="I11" s="1824"/>
      <c r="J11" s="1824"/>
      <c r="K11" s="1824"/>
      <c r="L11" s="1824"/>
      <c r="M11" s="1823"/>
      <c r="N11" s="1823"/>
    </row>
    <row r="12" spans="1:14" ht="25.5" customHeight="1" thickBot="1">
      <c r="B12" s="1651" t="s">
        <v>5337</v>
      </c>
      <c r="C12" s="1652"/>
      <c r="D12" s="1652"/>
      <c r="E12" s="1652"/>
      <c r="F12" s="1652"/>
      <c r="G12" s="1652"/>
      <c r="H12" s="1652"/>
      <c r="I12" s="1652"/>
      <c r="J12" s="1652"/>
      <c r="K12" s="1652"/>
      <c r="L12" s="1652"/>
      <c r="M12" s="1653"/>
      <c r="N12" s="1823"/>
    </row>
    <row r="13" spans="1:14" ht="25.5" customHeight="1">
      <c r="B13" s="1654" t="s">
        <v>5338</v>
      </c>
      <c r="C13" s="157"/>
      <c r="D13" s="157"/>
      <c r="E13" s="157"/>
      <c r="F13" s="157"/>
      <c r="G13" s="157"/>
      <c r="H13" s="157"/>
      <c r="I13" s="157"/>
      <c r="J13" s="157"/>
      <c r="K13" s="186"/>
      <c r="L13" s="186"/>
      <c r="M13" s="1655"/>
      <c r="N13" s="1823"/>
    </row>
    <row r="14" spans="1:14" ht="25.5" customHeight="1">
      <c r="B14" s="1654"/>
      <c r="C14" s="157"/>
      <c r="D14" s="157"/>
      <c r="E14" s="157"/>
      <c r="F14" s="157"/>
      <c r="G14" s="157"/>
      <c r="H14" s="157"/>
      <c r="I14" s="157"/>
      <c r="J14" s="157"/>
      <c r="K14" s="186"/>
      <c r="L14" s="186"/>
      <c r="M14" s="1655"/>
      <c r="N14" s="1823"/>
    </row>
    <row r="15" spans="1:14" ht="25.5" customHeight="1">
      <c r="B15" s="1654" t="s">
        <v>5407</v>
      </c>
      <c r="C15" s="157"/>
      <c r="D15" s="157"/>
      <c r="E15" s="157"/>
      <c r="F15" s="157"/>
      <c r="G15" s="157"/>
      <c r="H15" s="157"/>
      <c r="I15" s="157"/>
      <c r="J15" s="157"/>
      <c r="K15" s="186"/>
      <c r="L15" s="186"/>
      <c r="M15" s="1655"/>
      <c r="N15" s="1823"/>
    </row>
    <row r="16" spans="1:14" ht="25.5" customHeight="1">
      <c r="B16" s="1654"/>
      <c r="C16" s="157"/>
      <c r="D16" s="157"/>
      <c r="E16" s="157"/>
      <c r="F16" s="157"/>
      <c r="G16" s="157"/>
      <c r="H16" s="157"/>
      <c r="I16" s="157"/>
      <c r="J16" s="157"/>
      <c r="K16" s="186"/>
      <c r="L16" s="186"/>
      <c r="M16" s="1655"/>
      <c r="N16" s="1823"/>
    </row>
    <row r="17" spans="2:14" ht="25.5" customHeight="1">
      <c r="B17" s="1654" t="s">
        <v>5340</v>
      </c>
      <c r="C17" s="157"/>
      <c r="D17" s="157"/>
      <c r="E17" s="157"/>
      <c r="F17" s="157"/>
      <c r="G17" s="157"/>
      <c r="H17" s="157"/>
      <c r="I17" s="157"/>
      <c r="J17" s="157"/>
      <c r="K17" s="186"/>
      <c r="L17" s="186"/>
      <c r="M17" s="1655"/>
      <c r="N17" s="1823"/>
    </row>
    <row r="18" spans="2:14" ht="25.5" customHeight="1">
      <c r="B18" s="1654"/>
      <c r="C18" s="157"/>
      <c r="D18" s="157"/>
      <c r="E18" s="157"/>
      <c r="F18" s="157"/>
      <c r="G18" s="157"/>
      <c r="H18" s="157"/>
      <c r="I18" s="157"/>
      <c r="J18" s="157"/>
      <c r="K18" s="186"/>
      <c r="L18" s="186"/>
      <c r="M18" s="1655"/>
      <c r="N18" s="1823"/>
    </row>
    <row r="19" spans="2:14" ht="25.5" customHeight="1" thickBot="1">
      <c r="B19" s="1656" t="s">
        <v>5341</v>
      </c>
      <c r="C19" s="1657"/>
      <c r="D19" s="1657"/>
      <c r="E19" s="1657"/>
      <c r="F19" s="1657"/>
      <c r="G19" s="1657"/>
      <c r="H19" s="1657"/>
      <c r="I19" s="1657"/>
      <c r="J19" s="1657"/>
      <c r="K19" s="1657"/>
      <c r="L19" s="1657"/>
      <c r="M19" s="1658"/>
      <c r="N19" s="1823"/>
    </row>
    <row r="20" spans="2:14" ht="25.5" customHeight="1">
      <c r="B20" s="1821"/>
      <c r="C20" s="1824"/>
      <c r="D20" s="1824"/>
      <c r="E20" s="1824"/>
      <c r="F20" s="1824"/>
      <c r="G20" s="1821"/>
      <c r="H20" s="1822"/>
      <c r="I20" s="1824"/>
      <c r="J20" s="1824"/>
      <c r="K20" s="1824"/>
      <c r="L20" s="1824"/>
      <c r="M20" s="1823"/>
      <c r="N20" s="1823"/>
    </row>
    <row r="21" spans="2:14" ht="16.5" customHeight="1" thickBot="1">
      <c r="B21" s="2565" t="s">
        <v>6</v>
      </c>
      <c r="C21" s="2821"/>
      <c r="D21" s="2821"/>
      <c r="E21" s="2821"/>
      <c r="F21" s="2821"/>
      <c r="G21" s="2821"/>
      <c r="H21" s="2821"/>
      <c r="I21" s="2821"/>
      <c r="J21" s="2821"/>
      <c r="K21" s="2821"/>
      <c r="L21" s="2821"/>
      <c r="M21" s="1833"/>
      <c r="N21" s="1833"/>
    </row>
    <row r="22" spans="2:14" ht="25.5" customHeight="1">
      <c r="B22" s="1821" t="s">
        <v>5347</v>
      </c>
      <c r="C22" s="2820" t="str">
        <f>IF('Customer Information'!C21="","",'Customer Information'!C21)</f>
        <v/>
      </c>
      <c r="D22" s="2820"/>
      <c r="E22" s="2820"/>
      <c r="F22" s="2820"/>
      <c r="G22" s="1821"/>
      <c r="H22" s="1822" t="s">
        <v>5348</v>
      </c>
      <c r="I22" s="2820" t="str">
        <f>IF('Customer Information'!C23="","",'Customer Information'!C23)</f>
        <v/>
      </c>
      <c r="J22" s="2820"/>
      <c r="K22" s="2820"/>
      <c r="L22" s="2820"/>
      <c r="M22" s="1823"/>
      <c r="N22" s="1823"/>
    </row>
    <row r="23" spans="2:14" ht="25.5" customHeight="1">
      <c r="B23" s="1821" t="s">
        <v>5344</v>
      </c>
      <c r="C23" s="2822" t="str">
        <f>IF('Customer Information'!K23="","",'Customer Information'!K23)</f>
        <v/>
      </c>
      <c r="D23" s="2822"/>
      <c r="E23" s="2822"/>
      <c r="F23" s="2822"/>
      <c r="G23" s="1821"/>
      <c r="H23" s="1822" t="s">
        <v>5431</v>
      </c>
      <c r="I23" s="2823" t="str">
        <f>IF('Customer Information'!L43="","",'Customer Information'!L43)</f>
        <v/>
      </c>
      <c r="J23" s="2823"/>
      <c r="K23" s="2823"/>
      <c r="L23" s="2823"/>
      <c r="M23" s="1823"/>
      <c r="N23" s="1823"/>
    </row>
    <row r="24" spans="2:14" ht="25.5" customHeight="1">
      <c r="B24" s="1834"/>
      <c r="C24" s="1823"/>
      <c r="D24" s="1823"/>
      <c r="E24" s="1823"/>
      <c r="F24" s="1823"/>
      <c r="G24" s="1823"/>
      <c r="H24" s="1835"/>
      <c r="I24" s="1823"/>
      <c r="J24" s="1823"/>
      <c r="K24" s="1823"/>
      <c r="L24" s="1823"/>
      <c r="M24" s="1823"/>
      <c r="N24" s="1823"/>
    </row>
    <row r="25" spans="2:14" ht="16.5" customHeight="1" thickBot="1">
      <c r="B25" s="2565" t="s">
        <v>5442</v>
      </c>
      <c r="C25" s="2565"/>
      <c r="D25" s="2565"/>
      <c r="E25" s="2565"/>
      <c r="F25" s="2565"/>
      <c r="G25" s="2565"/>
      <c r="H25" s="2565"/>
      <c r="I25" s="2565"/>
      <c r="J25" s="2565"/>
      <c r="K25" s="2565"/>
      <c r="L25" s="2565"/>
      <c r="M25" s="1833"/>
      <c r="N25" s="1833"/>
    </row>
    <row r="26" spans="2:14" ht="26.25" customHeight="1">
      <c r="B26" s="1352" t="s">
        <v>5376</v>
      </c>
      <c r="C26" s="2812" t="s">
        <v>240</v>
      </c>
      <c r="D26" s="2812"/>
      <c r="E26" s="2812" t="s">
        <v>80</v>
      </c>
      <c r="F26" s="2812"/>
      <c r="G26" s="2812" t="s">
        <v>5355</v>
      </c>
      <c r="H26" s="2812"/>
      <c r="I26" s="1836" t="s">
        <v>5375</v>
      </c>
      <c r="J26" s="1836" t="s">
        <v>4285</v>
      </c>
      <c r="K26" s="2813" t="s">
        <v>5371</v>
      </c>
      <c r="L26" s="2813"/>
      <c r="M26" s="1838"/>
      <c r="N26" s="1838"/>
    </row>
    <row r="27" spans="2:14" ht="25.5" customHeight="1">
      <c r="B27" s="1839">
        <v>1</v>
      </c>
      <c r="C27" s="2804" t="str">
        <f>IF('Space Heating Worksheet'!G37="","",'Space Heating Worksheet'!G37)</f>
        <v/>
      </c>
      <c r="D27" s="2805"/>
      <c r="E27" s="2804" t="str">
        <f>IF('Space Heating Worksheet'!C56="","",'Space Heating Worksheet'!C56)</f>
        <v/>
      </c>
      <c r="F27" s="2805"/>
      <c r="G27" s="2804" t="str">
        <f>IF('Space Heating Worksheet'!F56="","",'Space Heating Worksheet'!F56)</f>
        <v/>
      </c>
      <c r="H27" s="2805"/>
      <c r="I27" s="1841" t="str">
        <f>IF('Space Heating Worksheet'!I56="","",'Space Heating Worksheet'!I56)</f>
        <v/>
      </c>
      <c r="J27" s="1840" t="str">
        <f>IF('Space Heating Worksheet'!V56="","",'Space Heating Worksheet'!V56)</f>
        <v/>
      </c>
      <c r="K27" s="2824"/>
      <c r="L27" s="2825"/>
      <c r="M27" s="1821"/>
      <c r="N27" s="1821"/>
    </row>
    <row r="28" spans="2:14" ht="25.5" customHeight="1">
      <c r="B28" s="1839">
        <f t="shared" ref="B28:B36" si="0">B27+1</f>
        <v>2</v>
      </c>
      <c r="C28" s="2804" t="str">
        <f>IF('Space Heating Worksheet'!G38="","",'Space Heating Worksheet'!G38)</f>
        <v/>
      </c>
      <c r="D28" s="2805"/>
      <c r="E28" s="2804" t="str">
        <f>IF('Space Heating Worksheet'!C57="","",'Space Heating Worksheet'!C57)</f>
        <v/>
      </c>
      <c r="F28" s="2805"/>
      <c r="G28" s="2804" t="str">
        <f>IF('Space Heating Worksheet'!F57="","",'Space Heating Worksheet'!F57)</f>
        <v/>
      </c>
      <c r="H28" s="2805"/>
      <c r="I28" s="1841" t="str">
        <f>IF('Space Heating Worksheet'!I57="","",'Space Heating Worksheet'!I57)</f>
        <v/>
      </c>
      <c r="J28" s="1840" t="str">
        <f>IF('Space Heating Worksheet'!V57="","",'Space Heating Worksheet'!V57)</f>
        <v/>
      </c>
      <c r="K28" s="2824"/>
      <c r="L28" s="2825"/>
      <c r="M28" s="1821"/>
      <c r="N28" s="1821"/>
    </row>
    <row r="29" spans="2:14" ht="25.5" customHeight="1">
      <c r="B29" s="1839">
        <f t="shared" si="0"/>
        <v>3</v>
      </c>
      <c r="C29" s="2804" t="str">
        <f>IF('Space Heating Worksheet'!G39="","",'Space Heating Worksheet'!G39)</f>
        <v/>
      </c>
      <c r="D29" s="2805"/>
      <c r="E29" s="2804" t="str">
        <f>IF('Space Heating Worksheet'!C58="","",'Space Heating Worksheet'!C58)</f>
        <v/>
      </c>
      <c r="F29" s="2805"/>
      <c r="G29" s="2804" t="str">
        <f>IF('Space Heating Worksheet'!F58="","",'Space Heating Worksheet'!F58)</f>
        <v/>
      </c>
      <c r="H29" s="2805"/>
      <c r="I29" s="1841" t="str">
        <f>IF('Space Heating Worksheet'!I58="","",'Space Heating Worksheet'!I58)</f>
        <v/>
      </c>
      <c r="J29" s="1840" t="str">
        <f>IF('Space Heating Worksheet'!V58="","",'Space Heating Worksheet'!V58)</f>
        <v/>
      </c>
      <c r="K29" s="2824"/>
      <c r="L29" s="2825"/>
      <c r="M29" s="1821"/>
      <c r="N29" s="1821"/>
    </row>
    <row r="30" spans="2:14" ht="25.5" customHeight="1">
      <c r="B30" s="1839">
        <f t="shared" si="0"/>
        <v>4</v>
      </c>
      <c r="C30" s="2804" t="str">
        <f>IF('Space Heating Worksheet'!G40="","",'Space Heating Worksheet'!G40)</f>
        <v/>
      </c>
      <c r="D30" s="2805"/>
      <c r="E30" s="2804" t="str">
        <f>IF('Space Heating Worksheet'!C59="","",'Space Heating Worksheet'!C59)</f>
        <v/>
      </c>
      <c r="F30" s="2805"/>
      <c r="G30" s="2804" t="str">
        <f>IF('Space Heating Worksheet'!F59="","",'Space Heating Worksheet'!F59)</f>
        <v/>
      </c>
      <c r="H30" s="2805"/>
      <c r="I30" s="1841" t="str">
        <f>IF('Space Heating Worksheet'!I59="","",'Space Heating Worksheet'!I59)</f>
        <v/>
      </c>
      <c r="J30" s="1840" t="str">
        <f>IF('Space Heating Worksheet'!V59="","",'Space Heating Worksheet'!V59)</f>
        <v/>
      </c>
      <c r="K30" s="2824"/>
      <c r="L30" s="2825"/>
      <c r="M30" s="1821"/>
      <c r="N30" s="1821"/>
    </row>
    <row r="31" spans="2:14" ht="25.5" customHeight="1">
      <c r="B31" s="1839">
        <f t="shared" si="0"/>
        <v>5</v>
      </c>
      <c r="C31" s="2804" t="str">
        <f>IF('Space Heating Worksheet'!G41="","",'Space Heating Worksheet'!G41)</f>
        <v/>
      </c>
      <c r="D31" s="2805"/>
      <c r="E31" s="2804" t="str">
        <f>IF('Space Heating Worksheet'!C60="","",'Space Heating Worksheet'!C60)</f>
        <v/>
      </c>
      <c r="F31" s="2805"/>
      <c r="G31" s="2804" t="str">
        <f>IF('Space Heating Worksheet'!F60="","",'Space Heating Worksheet'!F60)</f>
        <v/>
      </c>
      <c r="H31" s="2805"/>
      <c r="I31" s="1841" t="str">
        <f>IF('Space Heating Worksheet'!I60="","",'Space Heating Worksheet'!I60)</f>
        <v/>
      </c>
      <c r="J31" s="1840" t="str">
        <f>IF('Space Heating Worksheet'!V60="","",'Space Heating Worksheet'!V60)</f>
        <v/>
      </c>
      <c r="K31" s="2824"/>
      <c r="L31" s="2825"/>
      <c r="M31" s="1821"/>
      <c r="N31" s="1821"/>
    </row>
    <row r="32" spans="2:14" ht="25.5" customHeight="1">
      <c r="B32" s="1839">
        <f t="shared" si="0"/>
        <v>6</v>
      </c>
      <c r="C32" s="2804" t="str">
        <f>IF('Space Heating Worksheet'!G42="","",'Space Heating Worksheet'!G42)</f>
        <v/>
      </c>
      <c r="D32" s="2805"/>
      <c r="E32" s="2804" t="str">
        <f>IF('Space Heating Worksheet'!C61="","",'Space Heating Worksheet'!C61)</f>
        <v/>
      </c>
      <c r="F32" s="2805"/>
      <c r="G32" s="2804" t="str">
        <f>IF('Space Heating Worksheet'!F61="","",'Space Heating Worksheet'!F61)</f>
        <v/>
      </c>
      <c r="H32" s="2805"/>
      <c r="I32" s="1841" t="str">
        <f>IF('Space Heating Worksheet'!I61="","",'Space Heating Worksheet'!I61)</f>
        <v/>
      </c>
      <c r="J32" s="1840" t="str">
        <f>IF('Space Heating Worksheet'!V61="","",'Space Heating Worksheet'!V61)</f>
        <v/>
      </c>
      <c r="K32" s="2824"/>
      <c r="L32" s="2825"/>
      <c r="M32" s="1821"/>
      <c r="N32" s="1821"/>
    </row>
    <row r="33" spans="2:14" ht="25.5" customHeight="1">
      <c r="B33" s="1839">
        <f t="shared" si="0"/>
        <v>7</v>
      </c>
      <c r="C33" s="2804" t="str">
        <f>IF('Space Heating Worksheet'!G43="","",'Space Heating Worksheet'!G43)</f>
        <v/>
      </c>
      <c r="D33" s="2805"/>
      <c r="E33" s="2804" t="str">
        <f>IF('Space Heating Worksheet'!C62="","",'Space Heating Worksheet'!C62)</f>
        <v/>
      </c>
      <c r="F33" s="2805"/>
      <c r="G33" s="2804" t="str">
        <f>IF('Space Heating Worksheet'!F62="","",'Space Heating Worksheet'!F62)</f>
        <v/>
      </c>
      <c r="H33" s="2805"/>
      <c r="I33" s="1841" t="str">
        <f>IF('Space Heating Worksheet'!I62="","",'Space Heating Worksheet'!I62)</f>
        <v/>
      </c>
      <c r="J33" s="1840" t="str">
        <f>IF('Space Heating Worksheet'!V62="","",'Space Heating Worksheet'!V62)</f>
        <v/>
      </c>
      <c r="K33" s="2824"/>
      <c r="L33" s="2825"/>
      <c r="M33" s="1821"/>
      <c r="N33" s="1821"/>
    </row>
    <row r="34" spans="2:14" ht="30.65" customHeight="1">
      <c r="B34" s="1839">
        <f t="shared" si="0"/>
        <v>8</v>
      </c>
      <c r="C34" s="2804" t="str">
        <f>IF('Space Heating Worksheet'!G44="","",'Space Heating Worksheet'!G44)</f>
        <v/>
      </c>
      <c r="D34" s="2805"/>
      <c r="E34" s="2804" t="str">
        <f>IF('Space Heating Worksheet'!C63="","",'Space Heating Worksheet'!C63)</f>
        <v/>
      </c>
      <c r="F34" s="2805"/>
      <c r="G34" s="2804" t="str">
        <f>IF('Space Heating Worksheet'!F63="","",'Space Heating Worksheet'!F63)</f>
        <v/>
      </c>
      <c r="H34" s="2805"/>
      <c r="I34" s="1841" t="str">
        <f>IF('Space Heating Worksheet'!I63="","",'Space Heating Worksheet'!I63)</f>
        <v/>
      </c>
      <c r="J34" s="1840" t="str">
        <f>IF('Space Heating Worksheet'!V63="","",'Space Heating Worksheet'!V63)</f>
        <v/>
      </c>
      <c r="K34" s="2824"/>
      <c r="L34" s="2825"/>
      <c r="M34" s="1821"/>
      <c r="N34" s="1821"/>
    </row>
    <row r="35" spans="2:14" ht="25.5" customHeight="1">
      <c r="B35" s="1839">
        <f t="shared" si="0"/>
        <v>9</v>
      </c>
      <c r="C35" s="2804" t="str">
        <f>IF('Space Heating Worksheet'!G45="","",'Space Heating Worksheet'!G45)</f>
        <v/>
      </c>
      <c r="D35" s="2805"/>
      <c r="E35" s="2804" t="str">
        <f>IF('Space Heating Worksheet'!C64="","",'Space Heating Worksheet'!C64)</f>
        <v/>
      </c>
      <c r="F35" s="2805"/>
      <c r="G35" s="2804" t="str">
        <f>IF('Space Heating Worksheet'!F64="","",'Space Heating Worksheet'!F64)</f>
        <v/>
      </c>
      <c r="H35" s="2805"/>
      <c r="I35" s="1841" t="str">
        <f>IF('Space Heating Worksheet'!I64="","",'Space Heating Worksheet'!I64)</f>
        <v/>
      </c>
      <c r="J35" s="1840" t="str">
        <f>IF('Space Heating Worksheet'!V64="","",'Space Heating Worksheet'!V64)</f>
        <v/>
      </c>
      <c r="K35" s="2824"/>
      <c r="L35" s="2825"/>
      <c r="M35" s="1821"/>
      <c r="N35" s="1821"/>
    </row>
    <row r="36" spans="2:14" ht="25.5" customHeight="1">
      <c r="B36" s="1839">
        <f t="shared" si="0"/>
        <v>10</v>
      </c>
      <c r="C36" s="2804" t="str">
        <f>IF('Space Heating Worksheet'!G46="","",'Space Heating Worksheet'!G46)</f>
        <v/>
      </c>
      <c r="D36" s="2805"/>
      <c r="E36" s="2804" t="str">
        <f>IF('Space Heating Worksheet'!C65="","",'Space Heating Worksheet'!C65)</f>
        <v/>
      </c>
      <c r="F36" s="2805"/>
      <c r="G36" s="2804" t="str">
        <f>IF('Space Heating Worksheet'!F65="","",'Space Heating Worksheet'!F65)</f>
        <v/>
      </c>
      <c r="H36" s="2805"/>
      <c r="I36" s="1841" t="str">
        <f>IF('Space Heating Worksheet'!I65="","",'Space Heating Worksheet'!I65)</f>
        <v/>
      </c>
      <c r="J36" s="1840" t="str">
        <f>IF('Space Heating Worksheet'!V65="","",'Space Heating Worksheet'!V65)</f>
        <v/>
      </c>
      <c r="K36" s="2824"/>
      <c r="L36" s="2825"/>
      <c r="M36" s="1821"/>
      <c r="N36" s="1821"/>
    </row>
    <row r="37" spans="2:14" ht="21.75" customHeight="1">
      <c r="B37" s="1842"/>
      <c r="C37" s="1842"/>
      <c r="D37" s="1820"/>
      <c r="E37" s="1820"/>
      <c r="F37" s="1820"/>
      <c r="G37" s="1820"/>
      <c r="H37" s="1820"/>
      <c r="I37" s="1820"/>
      <c r="J37" s="1820"/>
      <c r="K37" s="1820"/>
      <c r="L37" s="1820"/>
      <c r="M37" s="1820"/>
      <c r="N37" s="1820"/>
    </row>
    <row r="38" spans="2:14" ht="21.75" customHeight="1">
      <c r="B38" s="1842"/>
      <c r="C38" s="1842"/>
      <c r="D38" s="1820"/>
      <c r="E38" s="1820"/>
      <c r="F38" s="1820"/>
      <c r="G38" s="1820"/>
      <c r="H38" s="1820"/>
      <c r="I38" s="1820"/>
      <c r="J38" s="1820"/>
      <c r="K38" s="1820"/>
      <c r="L38" s="1820"/>
      <c r="M38" s="1820"/>
      <c r="N38" s="1820"/>
    </row>
    <row r="39" spans="2:14" ht="16.5" customHeight="1" thickBot="1">
      <c r="B39" s="2565" t="s">
        <v>5358</v>
      </c>
      <c r="C39" s="2565"/>
      <c r="D39" s="2565"/>
      <c r="E39" s="2565"/>
      <c r="F39" s="2565"/>
      <c r="G39" s="2565"/>
      <c r="H39" s="2565"/>
      <c r="I39" s="2565"/>
      <c r="J39" s="2565"/>
      <c r="K39" s="2565"/>
      <c r="L39" s="2565"/>
      <c r="M39" s="1843"/>
      <c r="N39" s="1843"/>
    </row>
    <row r="40" spans="2:14" ht="20.149999999999999" customHeight="1">
      <c r="B40" s="1844"/>
      <c r="C40" s="1845"/>
      <c r="E40" s="1846" t="s">
        <v>5359</v>
      </c>
      <c r="F40" s="2564"/>
      <c r="G40" s="2564"/>
      <c r="H40" s="2564"/>
      <c r="I40" s="1348"/>
      <c r="J40" s="1348"/>
      <c r="K40" s="1348"/>
      <c r="L40" s="1820"/>
      <c r="M40" s="1820"/>
      <c r="N40" s="1820"/>
    </row>
    <row r="41" spans="2:14" ht="21.75" customHeight="1">
      <c r="E41" s="1873"/>
      <c r="F41" s="1873"/>
      <c r="G41" s="1873"/>
      <c r="H41" s="1873"/>
      <c r="I41" s="1873"/>
      <c r="J41" s="1873"/>
      <c r="K41" s="1873"/>
      <c r="L41" s="1873"/>
      <c r="M41" s="1873"/>
      <c r="N41" s="1873"/>
    </row>
    <row r="42" spans="2:14" ht="16.5" customHeight="1">
      <c r="B42" s="1821" t="s">
        <v>5360</v>
      </c>
      <c r="C42" s="1834"/>
      <c r="D42" s="1872" t="str">
        <f>IF(SUM(C45:D54)&lt;=0,"",SUM(C45:D54)/12000)</f>
        <v/>
      </c>
      <c r="N42" s="1834"/>
    </row>
    <row r="43" spans="2:14" ht="16.5" customHeight="1">
      <c r="B43" s="1834"/>
      <c r="C43" s="1834"/>
      <c r="D43" s="1871"/>
      <c r="N43" s="1834"/>
    </row>
    <row r="44" spans="2:14" ht="36" customHeight="1">
      <c r="C44" s="2816" t="s">
        <v>5437</v>
      </c>
      <c r="D44" s="2816"/>
      <c r="E44" s="2816" t="s">
        <v>5438</v>
      </c>
      <c r="F44" s="2816"/>
      <c r="G44" s="2817" t="s">
        <v>5362</v>
      </c>
      <c r="H44" s="2817"/>
      <c r="I44" s="2818" t="s">
        <v>5363</v>
      </c>
      <c r="J44" s="2818"/>
    </row>
    <row r="45" spans="2:14" ht="16.5" customHeight="1">
      <c r="B45" s="1850" t="s">
        <v>151</v>
      </c>
      <c r="C45" s="2806" t="str">
        <f>IF('Space Heating Worksheet'!AI56="","",'Space Heating Worksheet'!AI56)</f>
        <v/>
      </c>
      <c r="D45" s="2814"/>
      <c r="E45" s="2806" t="str">
        <f>IF('Space Heating Worksheet'!AJ56="","",'Space Heating Worksheet'!AJ56)</f>
        <v/>
      </c>
      <c r="F45" s="2814"/>
      <c r="G45" s="2815" t="str">
        <f>IF('Space Heating Worksheet'!S37="","",'Space Heating Worksheet'!S37)</f>
        <v/>
      </c>
      <c r="H45" s="2811"/>
      <c r="I45" s="2815" t="str">
        <f ca="1">CONCATENATE(IF(INDIRECT("'Space Heating Worksheet'!V"&amp;M45)="","",TEXT(INDIRECT("'Space Heating Worksheet'!V"&amp;M45),"0.0")&amp;" EER"),IF(AND(INDIRECT("'Space Heating Worksheet'!Y"&amp;M45)&lt;&gt;"",NOT(ISERROR(SEARCH("HP",INDIRECT("'Space Heating Worksheet'!G"&amp;M45),1))))," / "&amp;TEXT(INDIRECT("'Space Heating Worksheet'!Y"&amp;M45),"0.0")&amp;" HSPF",IF(AND(INDIRECT("'Space Heating Worksheet'!W"&amp;M45)&lt;&gt;"",NOT(ISERROR(SEARCH("Geo",INDIRECT("'Space Heating Worksheet'!G"&amp;M45),1))))," / "&amp;TEXT(INDIRECT("'Space Heating Worksheet'!W"&amp;M45),"0.0")&amp;" COP","")))</f>
        <v/>
      </c>
      <c r="J45" s="2811"/>
      <c r="K45" s="268"/>
      <c r="L45" s="268"/>
      <c r="M45" s="1703">
        <f>ROW('Space Heating Worksheet'!$B37)</f>
        <v>37</v>
      </c>
      <c r="N45" s="268"/>
    </row>
    <row r="46" spans="2:14" ht="14">
      <c r="B46" s="1850" t="s">
        <v>152</v>
      </c>
      <c r="C46" s="2806" t="str">
        <f>IF('Space Heating Worksheet'!AI57="","",'Space Heating Worksheet'!AI57)</f>
        <v/>
      </c>
      <c r="D46" s="2814"/>
      <c r="E46" s="2806" t="str">
        <f>IF('Space Heating Worksheet'!AJ57="","",'Space Heating Worksheet'!AJ57)</f>
        <v/>
      </c>
      <c r="F46" s="2814"/>
      <c r="G46" s="2815" t="str">
        <f>IF('Space Heating Worksheet'!S38="","",'Space Heating Worksheet'!S38)</f>
        <v/>
      </c>
      <c r="H46" s="2811"/>
      <c r="I46" s="2815" t="str">
        <f t="shared" ref="I46:I54" ca="1" si="1">CONCATENATE(IF(INDIRECT("'Space Heating Worksheet'!V"&amp;M46)="","",TEXT(INDIRECT("'Space Heating Worksheet'!V"&amp;M46),"0.0")&amp;" EER"),IF(AND(INDIRECT("'Space Heating Worksheet'!Y"&amp;M46)&lt;&gt;"",NOT(ISERROR(SEARCH("HP",INDIRECT("'Space Heating Worksheet'!G"&amp;M46),1))))," / "&amp;TEXT(INDIRECT("'Space Heating Worksheet'!Y"&amp;M46),"0.0")&amp;" HSPF",IF(AND(INDIRECT("'Space Heating Worksheet'!W"&amp;M46)&lt;&gt;"",NOT(ISERROR(SEARCH("Geo",INDIRECT("'Space Heating Worksheet'!G"&amp;M46),1))))," / "&amp;TEXT(INDIRECT("'Space Heating Worksheet'!W"&amp;M46),"0.0")&amp;" COP","")))</f>
        <v/>
      </c>
      <c r="J46" s="2811"/>
      <c r="K46" s="268"/>
      <c r="L46" s="268"/>
      <c r="M46" s="1703">
        <f>ROW('Space Heating Worksheet'!$B38)</f>
        <v>38</v>
      </c>
      <c r="N46" s="268"/>
    </row>
    <row r="47" spans="2:14" ht="14">
      <c r="B47" s="1850" t="s">
        <v>161</v>
      </c>
      <c r="C47" s="2806" t="str">
        <f>IF('Space Heating Worksheet'!AI58="","",'Space Heating Worksheet'!AI58)</f>
        <v/>
      </c>
      <c r="D47" s="2814"/>
      <c r="E47" s="2806" t="str">
        <f>IF('Space Heating Worksheet'!AJ58="","",'Space Heating Worksheet'!AJ58)</f>
        <v/>
      </c>
      <c r="F47" s="2814"/>
      <c r="G47" s="2815" t="str">
        <f>IF('Space Heating Worksheet'!S39="","",'Space Heating Worksheet'!S39)</f>
        <v/>
      </c>
      <c r="H47" s="2811"/>
      <c r="I47" s="2815" t="str">
        <f t="shared" ca="1" si="1"/>
        <v/>
      </c>
      <c r="J47" s="2811"/>
      <c r="K47" s="268"/>
      <c r="L47" s="268"/>
      <c r="M47" s="1703">
        <f>ROW('Space Heating Worksheet'!$B39)</f>
        <v>39</v>
      </c>
      <c r="N47" s="268"/>
    </row>
    <row r="48" spans="2:14" ht="14">
      <c r="B48" s="1850" t="s">
        <v>5364</v>
      </c>
      <c r="C48" s="2806" t="str">
        <f>IF('Space Heating Worksheet'!AI59="","",'Space Heating Worksheet'!AI59)</f>
        <v/>
      </c>
      <c r="D48" s="2814"/>
      <c r="E48" s="2806" t="str">
        <f>IF('Space Heating Worksheet'!AJ59="","",'Space Heating Worksheet'!AJ59)</f>
        <v/>
      </c>
      <c r="F48" s="2814"/>
      <c r="G48" s="2815" t="str">
        <f>IF('Space Heating Worksheet'!S40="","",'Space Heating Worksheet'!S40)</f>
        <v/>
      </c>
      <c r="H48" s="2811"/>
      <c r="I48" s="2815" t="str">
        <f t="shared" ca="1" si="1"/>
        <v/>
      </c>
      <c r="J48" s="2811"/>
      <c r="K48" s="268"/>
      <c r="L48" s="268"/>
      <c r="M48" s="1703">
        <f>ROW('Space Heating Worksheet'!$B40)</f>
        <v>40</v>
      </c>
      <c r="N48" s="268"/>
    </row>
    <row r="49" spans="2:14" ht="14">
      <c r="B49" s="1852" t="s">
        <v>180</v>
      </c>
      <c r="C49" s="2806" t="str">
        <f>IF('Space Heating Worksheet'!AI60="","",'Space Heating Worksheet'!AI60)</f>
        <v/>
      </c>
      <c r="D49" s="2814"/>
      <c r="E49" s="2806" t="str">
        <f>IF('Space Heating Worksheet'!AJ60="","",'Space Heating Worksheet'!AJ60)</f>
        <v/>
      </c>
      <c r="F49" s="2814"/>
      <c r="G49" s="2815" t="str">
        <f>IF('Space Heating Worksheet'!S41="","",'Space Heating Worksheet'!S41)</f>
        <v/>
      </c>
      <c r="H49" s="2811"/>
      <c r="I49" s="2815" t="str">
        <f t="shared" ca="1" si="1"/>
        <v/>
      </c>
      <c r="J49" s="2811"/>
      <c r="K49" s="268"/>
      <c r="L49" s="268"/>
      <c r="M49" s="1703">
        <f>ROW('Space Heating Worksheet'!$B41)</f>
        <v>41</v>
      </c>
      <c r="N49" s="268"/>
    </row>
    <row r="50" spans="2:14" ht="14">
      <c r="B50" s="1852" t="s">
        <v>5365</v>
      </c>
      <c r="C50" s="2806" t="str">
        <f>IF('Space Heating Worksheet'!AI61="","",'Space Heating Worksheet'!AI61)</f>
        <v/>
      </c>
      <c r="D50" s="2814"/>
      <c r="E50" s="2806" t="str">
        <f>IF('Space Heating Worksheet'!AJ61="","",'Space Heating Worksheet'!AJ61)</f>
        <v/>
      </c>
      <c r="F50" s="2814"/>
      <c r="G50" s="2815" t="str">
        <f>IF('Space Heating Worksheet'!S42="","",'Space Heating Worksheet'!S42)</f>
        <v/>
      </c>
      <c r="H50" s="2811"/>
      <c r="I50" s="2815" t="str">
        <f t="shared" ca="1" si="1"/>
        <v/>
      </c>
      <c r="J50" s="2811"/>
      <c r="K50" s="268"/>
      <c r="L50" s="268"/>
      <c r="M50" s="1703">
        <f>ROW('Space Heating Worksheet'!$B42)</f>
        <v>42</v>
      </c>
      <c r="N50" s="268"/>
    </row>
    <row r="51" spans="2:14" ht="14">
      <c r="B51" s="1852" t="s">
        <v>5366</v>
      </c>
      <c r="C51" s="2806" t="str">
        <f>IF('Space Heating Worksheet'!AI62="","",'Space Heating Worksheet'!AI62)</f>
        <v/>
      </c>
      <c r="D51" s="2814"/>
      <c r="E51" s="2806" t="str">
        <f>IF('Space Heating Worksheet'!AJ62="","",'Space Heating Worksheet'!AJ62)</f>
        <v/>
      </c>
      <c r="F51" s="2814"/>
      <c r="G51" s="2815" t="str">
        <f>IF('Space Heating Worksheet'!S43="","",'Space Heating Worksheet'!S43)</f>
        <v/>
      </c>
      <c r="H51" s="2811"/>
      <c r="I51" s="2815" t="str">
        <f t="shared" ca="1" si="1"/>
        <v/>
      </c>
      <c r="J51" s="2811"/>
      <c r="K51" s="268"/>
      <c r="L51" s="268"/>
      <c r="M51" s="1703">
        <f>ROW('Space Heating Worksheet'!$B43)</f>
        <v>43</v>
      </c>
      <c r="N51" s="268"/>
    </row>
    <row r="52" spans="2:14" ht="14">
      <c r="B52" s="1852" t="s">
        <v>5367</v>
      </c>
      <c r="C52" s="2806" t="str">
        <f>IF('Space Heating Worksheet'!AI63="","",'Space Heating Worksheet'!AI63)</f>
        <v/>
      </c>
      <c r="D52" s="2814"/>
      <c r="E52" s="2806" t="str">
        <f>IF('Space Heating Worksheet'!AJ63="","",'Space Heating Worksheet'!AJ63)</f>
        <v/>
      </c>
      <c r="F52" s="2814"/>
      <c r="G52" s="2815" t="str">
        <f>IF('Space Heating Worksheet'!S44="","",'Space Heating Worksheet'!S44)</f>
        <v/>
      </c>
      <c r="H52" s="2811"/>
      <c r="I52" s="2815" t="str">
        <f t="shared" ca="1" si="1"/>
        <v/>
      </c>
      <c r="J52" s="2811"/>
      <c r="K52" s="268"/>
      <c r="L52" s="268"/>
      <c r="M52" s="1703">
        <f>ROW('Space Heating Worksheet'!$B44)</f>
        <v>44</v>
      </c>
      <c r="N52" s="1851"/>
    </row>
    <row r="53" spans="2:14" ht="14">
      <c r="B53" s="1852" t="s">
        <v>5368</v>
      </c>
      <c r="C53" s="2806" t="str">
        <f>IF('Space Heating Worksheet'!AI64="","",'Space Heating Worksheet'!AI64)</f>
        <v/>
      </c>
      <c r="D53" s="2814"/>
      <c r="E53" s="2806" t="str">
        <f>IF('Space Heating Worksheet'!AJ64="","",'Space Heating Worksheet'!AJ64)</f>
        <v/>
      </c>
      <c r="F53" s="2814"/>
      <c r="G53" s="2815" t="str">
        <f>IF('Space Heating Worksheet'!S45="","",'Space Heating Worksheet'!S45)</f>
        <v/>
      </c>
      <c r="H53" s="2811"/>
      <c r="I53" s="2815" t="str">
        <f t="shared" ca="1" si="1"/>
        <v/>
      </c>
      <c r="J53" s="2811"/>
      <c r="K53" s="268"/>
      <c r="L53" s="268"/>
      <c r="M53" s="1703">
        <f>ROW('Space Heating Worksheet'!$B45)</f>
        <v>45</v>
      </c>
      <c r="N53" s="1870"/>
    </row>
    <row r="54" spans="2:14" ht="14">
      <c r="B54" s="1852" t="s">
        <v>5369</v>
      </c>
      <c r="C54" s="2806" t="str">
        <f>IF('Space Heating Worksheet'!AI65="","",'Space Heating Worksheet'!AI65)</f>
        <v/>
      </c>
      <c r="D54" s="2814"/>
      <c r="E54" s="2806" t="str">
        <f>IF('Space Heating Worksheet'!AJ65="","",'Space Heating Worksheet'!AJ65)</f>
        <v/>
      </c>
      <c r="F54" s="2814"/>
      <c r="G54" s="2815" t="str">
        <f>IF('Space Heating Worksheet'!S46="","",'Space Heating Worksheet'!S46)</f>
        <v/>
      </c>
      <c r="H54" s="2811"/>
      <c r="I54" s="2815" t="str">
        <f t="shared" ca="1" si="1"/>
        <v/>
      </c>
      <c r="J54" s="2811"/>
      <c r="K54" s="268"/>
      <c r="L54" s="268"/>
      <c r="M54" s="1703">
        <f>ROW('Space Heating Worksheet'!$B46)</f>
        <v>46</v>
      </c>
      <c r="N54" s="268"/>
    </row>
    <row r="55" spans="2:14" ht="22.4" customHeight="1">
      <c r="C55" s="1858"/>
      <c r="D55" s="2826"/>
      <c r="E55" s="2826"/>
      <c r="F55" s="2826"/>
      <c r="G55" s="2826"/>
      <c r="H55" s="2826"/>
      <c r="I55" s="2803"/>
      <c r="J55" s="2803"/>
      <c r="K55" s="2803"/>
      <c r="L55" s="1859"/>
      <c r="M55" s="1858"/>
      <c r="N55" s="1820"/>
    </row>
    <row r="56" spans="2:14" ht="22.4" customHeight="1" thickBot="1">
      <c r="B56" s="2565" t="s">
        <v>5441</v>
      </c>
      <c r="C56" s="2565"/>
      <c r="D56" s="2565"/>
      <c r="E56" s="2565"/>
      <c r="F56" s="2565"/>
      <c r="G56" s="2565"/>
      <c r="H56" s="2565"/>
      <c r="I56" s="2565"/>
      <c r="J56" s="2565"/>
      <c r="K56" s="2565"/>
      <c r="L56" s="2565"/>
      <c r="M56" s="1858"/>
      <c r="N56" s="1820"/>
    </row>
    <row r="57" spans="2:14" ht="32.15" customHeight="1">
      <c r="B57" s="1352" t="s">
        <v>5376</v>
      </c>
      <c r="C57" s="2812" t="s">
        <v>240</v>
      </c>
      <c r="D57" s="2812"/>
      <c r="E57" s="2812" t="s">
        <v>80</v>
      </c>
      <c r="F57" s="2812"/>
      <c r="G57" s="2812" t="s">
        <v>5355</v>
      </c>
      <c r="H57" s="2812"/>
      <c r="I57" s="1836" t="s">
        <v>5375</v>
      </c>
      <c r="J57" s="1837" t="s">
        <v>4364</v>
      </c>
      <c r="K57" s="2813" t="s">
        <v>5371</v>
      </c>
      <c r="L57" s="2813"/>
      <c r="M57" s="1858"/>
      <c r="N57" s="1820"/>
    </row>
    <row r="58" spans="2:14" ht="22.4" customHeight="1">
      <c r="B58" s="1839">
        <v>1</v>
      </c>
      <c r="C58" s="2804" t="str">
        <f>IF('Dedicated Water Heating'!G30="","",'Dedicated Water Heating'!G30)</f>
        <v/>
      </c>
      <c r="D58" s="2805"/>
      <c r="E58" s="2804" t="str">
        <f>IF('Dedicated Water Heating'!C49="","",'Dedicated Water Heating'!C49)</f>
        <v/>
      </c>
      <c r="F58" s="2805"/>
      <c r="G58" s="2804" t="str">
        <f>IF('Dedicated Water Heating'!E49="","",'Dedicated Water Heating'!E49)</f>
        <v/>
      </c>
      <c r="H58" s="2805"/>
      <c r="I58" s="1841" t="str">
        <f>IF('Dedicated Water Heating'!H49="","",'Dedicated Water Heating'!H49)</f>
        <v/>
      </c>
      <c r="J58" s="1840" t="str">
        <f>IF('Dedicated Water Heating'!P49="","",'Dedicated Water Heating'!P49)</f>
        <v/>
      </c>
      <c r="K58" s="2824"/>
      <c r="L58" s="2825"/>
      <c r="M58" s="1858"/>
      <c r="N58" s="1820"/>
    </row>
    <row r="59" spans="2:14" ht="22.4" customHeight="1">
      <c r="B59" s="1839">
        <f t="shared" ref="B59:B67" si="2">B58+1</f>
        <v>2</v>
      </c>
      <c r="C59" s="2804" t="str">
        <f>IF('Dedicated Water Heating'!G31="","",'Dedicated Water Heating'!G31)</f>
        <v/>
      </c>
      <c r="D59" s="2805"/>
      <c r="E59" s="2804" t="str">
        <f>IF('Dedicated Water Heating'!C50="","",'Dedicated Water Heating'!C50)</f>
        <v/>
      </c>
      <c r="F59" s="2805"/>
      <c r="G59" s="2804" t="str">
        <f>IF('Dedicated Water Heating'!E50="","",'Dedicated Water Heating'!E50)</f>
        <v/>
      </c>
      <c r="H59" s="2805"/>
      <c r="I59" s="1841" t="str">
        <f>IF('Dedicated Water Heating'!H50="","",'Dedicated Water Heating'!H50)</f>
        <v/>
      </c>
      <c r="J59" s="1840" t="str">
        <f>IF('Dedicated Water Heating'!P50="","",'Dedicated Water Heating'!P50)</f>
        <v/>
      </c>
      <c r="K59" s="2824"/>
      <c r="L59" s="2825"/>
      <c r="M59" s="1858"/>
      <c r="N59" s="1820"/>
    </row>
    <row r="60" spans="2:14" ht="22.4" customHeight="1">
      <c r="B60" s="1839">
        <f t="shared" si="2"/>
        <v>3</v>
      </c>
      <c r="C60" s="2804" t="str">
        <f>IF('Dedicated Water Heating'!G32="","",'Dedicated Water Heating'!G32)</f>
        <v/>
      </c>
      <c r="D60" s="2805"/>
      <c r="E60" s="2804" t="str">
        <f>IF('Dedicated Water Heating'!C51="","",'Dedicated Water Heating'!C51)</f>
        <v/>
      </c>
      <c r="F60" s="2805"/>
      <c r="G60" s="2804" t="str">
        <f>IF('Dedicated Water Heating'!E51="","",'Dedicated Water Heating'!E51)</f>
        <v/>
      </c>
      <c r="H60" s="2805"/>
      <c r="I60" s="1841" t="str">
        <f>IF('Dedicated Water Heating'!H51="","",'Dedicated Water Heating'!H51)</f>
        <v/>
      </c>
      <c r="J60" s="1840" t="str">
        <f>IF('Dedicated Water Heating'!P51="","",'Dedicated Water Heating'!P51)</f>
        <v/>
      </c>
      <c r="K60" s="2824"/>
      <c r="L60" s="2825"/>
      <c r="M60" s="1858"/>
      <c r="N60" s="1820"/>
    </row>
    <row r="61" spans="2:14" ht="22.4" customHeight="1">
      <c r="B61" s="1839">
        <f t="shared" si="2"/>
        <v>4</v>
      </c>
      <c r="C61" s="2804" t="str">
        <f>IF('Dedicated Water Heating'!G33="","",'Dedicated Water Heating'!G33)</f>
        <v/>
      </c>
      <c r="D61" s="2805"/>
      <c r="E61" s="2804" t="str">
        <f>IF('Dedicated Water Heating'!C52="","",'Dedicated Water Heating'!C52)</f>
        <v/>
      </c>
      <c r="F61" s="2805"/>
      <c r="G61" s="2804" t="str">
        <f>IF('Dedicated Water Heating'!E52="","",'Dedicated Water Heating'!E52)</f>
        <v/>
      </c>
      <c r="H61" s="2805"/>
      <c r="I61" s="1841" t="str">
        <f>IF('Dedicated Water Heating'!H52="","",'Dedicated Water Heating'!H52)</f>
        <v/>
      </c>
      <c r="J61" s="1840" t="str">
        <f>IF('Dedicated Water Heating'!P52="","",'Dedicated Water Heating'!P52)</f>
        <v/>
      </c>
      <c r="K61" s="2824"/>
      <c r="L61" s="2825"/>
      <c r="M61" s="1858"/>
      <c r="N61" s="1820"/>
    </row>
    <row r="62" spans="2:14" ht="22.4" customHeight="1">
      <c r="B62" s="1839">
        <f t="shared" si="2"/>
        <v>5</v>
      </c>
      <c r="C62" s="2804" t="str">
        <f>IF('Dedicated Water Heating'!G34="","",'Dedicated Water Heating'!G34)</f>
        <v/>
      </c>
      <c r="D62" s="2805"/>
      <c r="E62" s="2804" t="str">
        <f>IF('Dedicated Water Heating'!C53="","",'Dedicated Water Heating'!C53)</f>
        <v/>
      </c>
      <c r="F62" s="2805"/>
      <c r="G62" s="2804" t="str">
        <f>IF('Dedicated Water Heating'!E53="","",'Dedicated Water Heating'!E53)</f>
        <v/>
      </c>
      <c r="H62" s="2805"/>
      <c r="I62" s="1841" t="str">
        <f>IF('Dedicated Water Heating'!H53="","",'Dedicated Water Heating'!H53)</f>
        <v/>
      </c>
      <c r="J62" s="1840" t="str">
        <f>IF('Dedicated Water Heating'!P53="","",'Dedicated Water Heating'!P53)</f>
        <v/>
      </c>
      <c r="K62" s="2824"/>
      <c r="L62" s="2825"/>
      <c r="M62" s="1858"/>
      <c r="N62" s="1820"/>
    </row>
    <row r="63" spans="2:14" ht="22.4" customHeight="1">
      <c r="B63" s="1839">
        <f t="shared" si="2"/>
        <v>6</v>
      </c>
      <c r="C63" s="2804" t="str">
        <f>IF('Dedicated Water Heating'!G35="","",'Dedicated Water Heating'!G35)</f>
        <v/>
      </c>
      <c r="D63" s="2805"/>
      <c r="E63" s="2804" t="str">
        <f>IF('Dedicated Water Heating'!C54="","",'Dedicated Water Heating'!C54)</f>
        <v/>
      </c>
      <c r="F63" s="2805"/>
      <c r="G63" s="2804" t="str">
        <f>IF('Dedicated Water Heating'!E54="","",'Dedicated Water Heating'!E54)</f>
        <v/>
      </c>
      <c r="H63" s="2805"/>
      <c r="I63" s="1841" t="str">
        <f>IF('Dedicated Water Heating'!H54="","",'Dedicated Water Heating'!H54)</f>
        <v/>
      </c>
      <c r="J63" s="1840" t="str">
        <f>IF('Dedicated Water Heating'!P54="","",'Dedicated Water Heating'!P54)</f>
        <v/>
      </c>
      <c r="K63" s="2824"/>
      <c r="L63" s="2825"/>
      <c r="M63" s="1858"/>
      <c r="N63" s="1820"/>
    </row>
    <row r="64" spans="2:14" ht="22.4" customHeight="1">
      <c r="B64" s="1839">
        <f t="shared" si="2"/>
        <v>7</v>
      </c>
      <c r="C64" s="2804" t="str">
        <f>IF('Dedicated Water Heating'!G36="","",'Dedicated Water Heating'!G36)</f>
        <v/>
      </c>
      <c r="D64" s="2805"/>
      <c r="E64" s="2804" t="str">
        <f>IF('Dedicated Water Heating'!C55="","",'Dedicated Water Heating'!C55)</f>
        <v/>
      </c>
      <c r="F64" s="2805"/>
      <c r="G64" s="2804" t="str">
        <f>IF('Dedicated Water Heating'!E55="","",'Dedicated Water Heating'!E55)</f>
        <v/>
      </c>
      <c r="H64" s="2805"/>
      <c r="I64" s="1841" t="str">
        <f>IF('Dedicated Water Heating'!H55="","",'Dedicated Water Heating'!H55)</f>
        <v/>
      </c>
      <c r="J64" s="1840" t="str">
        <f>IF('Dedicated Water Heating'!P55="","",'Dedicated Water Heating'!P55)</f>
        <v/>
      </c>
      <c r="K64" s="2824"/>
      <c r="L64" s="2825"/>
      <c r="M64" s="1858"/>
      <c r="N64" s="1820"/>
    </row>
    <row r="65" spans="2:14" ht="22.4" customHeight="1">
      <c r="B65" s="1839">
        <f t="shared" si="2"/>
        <v>8</v>
      </c>
      <c r="C65" s="2804" t="str">
        <f>IF('Dedicated Water Heating'!G37="","",'Dedicated Water Heating'!G37)</f>
        <v/>
      </c>
      <c r="D65" s="2805"/>
      <c r="E65" s="2804" t="str">
        <f>IF('Dedicated Water Heating'!C56="","",'Dedicated Water Heating'!C56)</f>
        <v/>
      </c>
      <c r="F65" s="2805"/>
      <c r="G65" s="2804" t="str">
        <f>IF('Dedicated Water Heating'!E56="","",'Dedicated Water Heating'!E56)</f>
        <v/>
      </c>
      <c r="H65" s="2805"/>
      <c r="I65" s="1841" t="str">
        <f>IF('Dedicated Water Heating'!H56="","",'Dedicated Water Heating'!H56)</f>
        <v/>
      </c>
      <c r="J65" s="1840" t="str">
        <f>IF('Dedicated Water Heating'!P56="","",'Dedicated Water Heating'!P56)</f>
        <v/>
      </c>
      <c r="K65" s="2824"/>
      <c r="L65" s="2825"/>
      <c r="M65" s="1858"/>
      <c r="N65" s="1820"/>
    </row>
    <row r="66" spans="2:14" ht="22.4" customHeight="1">
      <c r="B66" s="1839">
        <f t="shared" si="2"/>
        <v>9</v>
      </c>
      <c r="C66" s="2804" t="str">
        <f>IF('Dedicated Water Heating'!G38="","",'Dedicated Water Heating'!G38)</f>
        <v/>
      </c>
      <c r="D66" s="2805"/>
      <c r="E66" s="2804" t="str">
        <f>IF('Dedicated Water Heating'!C57="","",'Dedicated Water Heating'!C57)</f>
        <v/>
      </c>
      <c r="F66" s="2805"/>
      <c r="G66" s="2804" t="str">
        <f>IF('Dedicated Water Heating'!E57="","",'Dedicated Water Heating'!E57)</f>
        <v/>
      </c>
      <c r="H66" s="2805"/>
      <c r="I66" s="1841" t="str">
        <f>IF('Dedicated Water Heating'!H57="","",'Dedicated Water Heating'!H57)</f>
        <v/>
      </c>
      <c r="J66" s="1840" t="str">
        <f>IF('Dedicated Water Heating'!P57="","",'Dedicated Water Heating'!P57)</f>
        <v/>
      </c>
      <c r="K66" s="2824"/>
      <c r="L66" s="2825"/>
      <c r="M66" s="1858"/>
      <c r="N66" s="1820"/>
    </row>
    <row r="67" spans="2:14" ht="22.4" customHeight="1">
      <c r="B67" s="1839">
        <f t="shared" si="2"/>
        <v>10</v>
      </c>
      <c r="C67" s="2804" t="str">
        <f>IF('Dedicated Water Heating'!G39="","",'Dedicated Water Heating'!G39)</f>
        <v/>
      </c>
      <c r="D67" s="2805"/>
      <c r="E67" s="2804" t="str">
        <f>IF('Dedicated Water Heating'!C58="","",'Dedicated Water Heating'!C58)</f>
        <v/>
      </c>
      <c r="F67" s="2805"/>
      <c r="G67" s="2804" t="str">
        <f>IF('Dedicated Water Heating'!E58="","",'Dedicated Water Heating'!E58)</f>
        <v/>
      </c>
      <c r="H67" s="2805"/>
      <c r="I67" s="1841" t="str">
        <f>IF('Dedicated Water Heating'!H58="","",'Dedicated Water Heating'!H58)</f>
        <v/>
      </c>
      <c r="J67" s="1840" t="str">
        <f>IF('Dedicated Water Heating'!P58="","",'Dedicated Water Heating'!P58)</f>
        <v/>
      </c>
      <c r="K67" s="2824"/>
      <c r="L67" s="2825"/>
      <c r="M67" s="1858"/>
      <c r="N67" s="1820"/>
    </row>
    <row r="68" spans="2:14" ht="22.4" customHeight="1">
      <c r="C68" s="1858"/>
      <c r="D68" s="1354"/>
      <c r="E68" s="1354"/>
      <c r="F68" s="1354"/>
      <c r="G68" s="1354"/>
      <c r="H68" s="1354"/>
      <c r="I68" s="1354"/>
      <c r="J68" s="1354"/>
      <c r="K68" s="1354"/>
      <c r="L68" s="1859"/>
      <c r="M68" s="1858"/>
      <c r="N68" s="1820"/>
    </row>
    <row r="69" spans="2:14" ht="22.4" customHeight="1">
      <c r="C69" s="1858"/>
      <c r="D69" s="1354"/>
      <c r="E69" s="1354"/>
      <c r="F69" s="1354"/>
      <c r="G69" s="1354"/>
      <c r="H69" s="1354"/>
      <c r="I69" s="1354"/>
      <c r="J69" s="1354"/>
      <c r="K69" s="1354"/>
      <c r="L69" s="1859"/>
      <c r="M69" s="1858"/>
      <c r="N69" s="1820"/>
    </row>
    <row r="70" spans="2:14" ht="22.4" customHeight="1">
      <c r="B70" s="1860" t="s">
        <v>241</v>
      </c>
      <c r="C70" s="2428"/>
      <c r="D70" s="2428"/>
      <c r="E70" s="2428"/>
      <c r="F70" s="2428"/>
      <c r="G70" s="2428"/>
      <c r="H70" s="2428"/>
      <c r="I70" s="2428"/>
      <c r="J70" s="2428"/>
      <c r="K70" s="2428"/>
      <c r="L70" s="2428"/>
      <c r="M70" s="1858"/>
      <c r="N70" s="1820"/>
    </row>
    <row r="71" spans="2:14" ht="22.4" customHeight="1">
      <c r="B71" s="2426"/>
      <c r="C71" s="2426"/>
      <c r="D71" s="2426"/>
      <c r="E71" s="2426"/>
      <c r="F71" s="2426"/>
      <c r="G71" s="2426"/>
      <c r="H71" s="2426"/>
      <c r="I71" s="2426"/>
      <c r="J71" s="2426"/>
      <c r="K71" s="2426"/>
      <c r="L71" s="2426"/>
      <c r="M71" s="1858"/>
      <c r="N71" s="1820"/>
    </row>
    <row r="72" spans="2:14" ht="22.4" customHeight="1">
      <c r="B72" s="2427"/>
      <c r="C72" s="2427"/>
      <c r="D72" s="2427"/>
      <c r="E72" s="2427"/>
      <c r="F72" s="2427"/>
      <c r="G72" s="2427"/>
      <c r="H72" s="2427"/>
      <c r="I72" s="2427"/>
      <c r="J72" s="2427"/>
      <c r="K72" s="2427"/>
      <c r="L72" s="2427"/>
      <c r="M72" s="1858"/>
      <c r="N72" s="1820"/>
    </row>
    <row r="73" spans="2:14" ht="15.5">
      <c r="B73" s="1861"/>
      <c r="J73" s="1862"/>
    </row>
    <row r="74" spans="2:14" ht="32.15" customHeight="1">
      <c r="B74" s="1861" t="s">
        <v>140</v>
      </c>
      <c r="D74" s="2116"/>
      <c r="E74" s="2116"/>
      <c r="F74" s="2116"/>
      <c r="G74" s="2116"/>
      <c r="J74" s="1862" t="s">
        <v>9</v>
      </c>
      <c r="K74" s="2429"/>
      <c r="L74" s="2429"/>
    </row>
    <row r="75" spans="2:14" customFormat="1" ht="14.5"/>
    <row r="76" spans="2:14" ht="14">
      <c r="B76" s="63" t="s">
        <v>223</v>
      </c>
      <c r="C76" s="1344" t="str">
        <f>Version</f>
        <v>2.0</v>
      </c>
      <c r="D76" s="1869"/>
      <c r="E76" s="1869"/>
      <c r="F76" s="1344"/>
      <c r="G76" s="1344"/>
      <c r="H76" s="1344"/>
      <c r="I76" s="67"/>
      <c r="J76" s="66"/>
      <c r="K76" s="66" t="s">
        <v>225</v>
      </c>
      <c r="L76" s="65" t="str">
        <f>Development!A4</f>
        <v>4.01.2024</v>
      </c>
    </row>
    <row r="77" spans="2:14" ht="14" hidden="1">
      <c r="B77" s="1342"/>
      <c r="C77" s="1342"/>
      <c r="D77" s="1342"/>
      <c r="E77" s="1342"/>
      <c r="F77" s="1342"/>
      <c r="G77" s="1342"/>
      <c r="H77" s="1342"/>
      <c r="I77" s="1342"/>
      <c r="J77" s="1342"/>
      <c r="K77" s="1342"/>
    </row>
    <row r="78" spans="2:14" ht="14" hidden="1">
      <c r="B78" s="1342"/>
      <c r="C78" s="1342"/>
      <c r="D78" s="1342"/>
      <c r="E78" s="1342"/>
      <c r="F78" s="1342"/>
      <c r="G78" s="1342"/>
      <c r="H78" s="1342"/>
      <c r="I78" s="1342"/>
      <c r="J78" s="1342"/>
      <c r="K78" s="1342"/>
    </row>
    <row r="79" spans="2:14" ht="14" hidden="1">
      <c r="B79" s="1342"/>
      <c r="C79" s="1342"/>
      <c r="D79" s="1342"/>
      <c r="E79" s="1342"/>
      <c r="F79" s="1342"/>
      <c r="G79" s="1342"/>
      <c r="H79" s="1342"/>
      <c r="I79" s="1342"/>
      <c r="J79" s="1342"/>
      <c r="K79" s="1342"/>
    </row>
    <row r="80" spans="2:14" ht="14" hidden="1">
      <c r="B80" s="1342"/>
      <c r="C80" s="1342"/>
      <c r="D80" s="1342"/>
      <c r="E80" s="1342"/>
      <c r="F80" s="1342"/>
      <c r="G80" s="1342"/>
      <c r="H80" s="1342"/>
      <c r="I80" s="1342"/>
      <c r="J80" s="1342"/>
      <c r="K80" s="1342"/>
    </row>
    <row r="81" spans="2:11" ht="14" hidden="1">
      <c r="B81" s="1342"/>
      <c r="C81" s="1342"/>
      <c r="D81" s="1342"/>
      <c r="E81" s="1342"/>
      <c r="F81" s="1342"/>
      <c r="G81" s="1342"/>
      <c r="H81" s="1342"/>
      <c r="I81" s="1342"/>
      <c r="J81" s="1342"/>
      <c r="K81" s="1342"/>
    </row>
    <row r="82" spans="2:11" ht="14" hidden="1">
      <c r="B82" s="1342"/>
      <c r="C82" s="1342"/>
      <c r="D82" s="1342"/>
      <c r="E82" s="1342"/>
      <c r="F82" s="1342"/>
      <c r="G82" s="1342"/>
      <c r="H82" s="1342"/>
      <c r="I82" s="1342"/>
      <c r="J82" s="1342"/>
      <c r="K82" s="1342"/>
    </row>
    <row r="83" spans="2:11" ht="14" hidden="1">
      <c r="B83" s="1342"/>
      <c r="C83" s="1342"/>
      <c r="D83" s="1342"/>
      <c r="E83" s="1342"/>
      <c r="F83" s="1342"/>
      <c r="G83" s="1342"/>
      <c r="H83" s="1342"/>
      <c r="I83" s="1342"/>
      <c r="J83" s="1342"/>
      <c r="K83" s="1342"/>
    </row>
    <row r="84" spans="2:11" ht="14" hidden="1">
      <c r="B84" s="1342"/>
      <c r="C84" s="1342"/>
      <c r="D84" s="1342"/>
      <c r="E84" s="1342"/>
      <c r="F84" s="1342"/>
      <c r="G84" s="1342"/>
      <c r="H84" s="1342"/>
      <c r="I84" s="1342"/>
      <c r="J84" s="1342"/>
      <c r="K84" s="1342"/>
    </row>
    <row r="85" spans="2:11" ht="14" hidden="1">
      <c r="B85" s="1342"/>
      <c r="C85" s="1342"/>
      <c r="D85" s="1342"/>
      <c r="E85" s="1342"/>
      <c r="F85" s="1342"/>
      <c r="G85" s="1342"/>
      <c r="H85" s="1342"/>
      <c r="I85" s="1342"/>
      <c r="J85" s="1342"/>
      <c r="K85" s="1342"/>
    </row>
    <row r="86" spans="2:11" ht="14" hidden="1">
      <c r="B86" s="1342"/>
      <c r="C86" s="1342"/>
      <c r="D86" s="1342"/>
      <c r="E86" s="1342"/>
      <c r="F86" s="1342"/>
      <c r="G86" s="1342"/>
      <c r="H86" s="1342"/>
      <c r="I86" s="1342"/>
      <c r="J86" s="1342"/>
      <c r="K86" s="1342"/>
    </row>
    <row r="87" spans="2:11" ht="14" hidden="1">
      <c r="B87" s="1342"/>
      <c r="C87" s="1342"/>
      <c r="D87" s="1342"/>
      <c r="E87" s="1342"/>
      <c r="F87" s="1342"/>
      <c r="G87" s="1342"/>
      <c r="H87" s="1342"/>
      <c r="I87" s="1342"/>
      <c r="J87" s="1342"/>
      <c r="K87" s="1342"/>
    </row>
    <row r="88" spans="2:11" ht="14" hidden="1">
      <c r="B88" s="1342"/>
      <c r="C88" s="1342"/>
      <c r="D88" s="1342"/>
      <c r="E88" s="1342"/>
      <c r="F88" s="1342"/>
      <c r="G88" s="1342"/>
      <c r="H88" s="1342"/>
      <c r="I88" s="1342"/>
      <c r="J88" s="1342"/>
      <c r="K88" s="1342"/>
    </row>
    <row r="89" spans="2:11" ht="14" hidden="1">
      <c r="B89" s="1342"/>
      <c r="C89" s="1342"/>
      <c r="D89" s="1342"/>
      <c r="E89" s="1342"/>
      <c r="F89" s="1342"/>
      <c r="G89" s="1342"/>
      <c r="H89" s="1342"/>
      <c r="I89" s="1342"/>
      <c r="J89" s="1342"/>
      <c r="K89" s="1342"/>
    </row>
    <row r="90" spans="2:11" ht="14" hidden="1">
      <c r="B90" s="1342"/>
      <c r="C90" s="1342"/>
      <c r="D90" s="1342"/>
      <c r="E90" s="1342"/>
      <c r="F90" s="1342"/>
      <c r="G90" s="1342"/>
      <c r="H90" s="1342"/>
      <c r="I90" s="1342"/>
      <c r="J90" s="1342"/>
      <c r="K90" s="1342"/>
    </row>
    <row r="91" spans="2:11" ht="14" hidden="1">
      <c r="B91" s="1342"/>
      <c r="C91" s="1342"/>
      <c r="D91" s="1342"/>
      <c r="E91" s="1342"/>
      <c r="F91" s="1342"/>
      <c r="G91" s="1342"/>
      <c r="H91" s="1342"/>
      <c r="I91" s="1342"/>
      <c r="J91" s="1342"/>
      <c r="K91" s="1342"/>
    </row>
    <row r="92" spans="2:11" ht="14" hidden="1">
      <c r="B92" s="1342"/>
      <c r="C92" s="1342"/>
      <c r="D92" s="1342"/>
      <c r="E92" s="1342"/>
      <c r="F92" s="1342"/>
      <c r="G92" s="1342"/>
      <c r="H92" s="1342"/>
      <c r="I92" s="1342"/>
      <c r="J92" s="1342"/>
      <c r="K92" s="1342"/>
    </row>
    <row r="93" spans="2:11" ht="14" hidden="1">
      <c r="B93" s="1342"/>
      <c r="C93" s="1342"/>
      <c r="D93" s="1342"/>
      <c r="E93" s="1342"/>
      <c r="F93" s="1342"/>
      <c r="G93" s="1342"/>
      <c r="H93" s="1342"/>
      <c r="I93" s="1342"/>
      <c r="J93" s="1342"/>
      <c r="K93" s="1342"/>
    </row>
    <row r="94" spans="2:11" ht="14" hidden="1">
      <c r="B94" s="1342"/>
      <c r="C94" s="1342"/>
      <c r="D94" s="1342"/>
      <c r="E94" s="1342"/>
      <c r="F94" s="1342"/>
      <c r="G94" s="1342"/>
      <c r="H94" s="1342"/>
      <c r="I94" s="1342"/>
      <c r="J94" s="1342"/>
      <c r="K94" s="1342"/>
    </row>
    <row r="95" spans="2:11" ht="14" hidden="1">
      <c r="B95" s="1342"/>
      <c r="C95" s="1342"/>
      <c r="D95" s="1342"/>
      <c r="E95" s="1342"/>
      <c r="F95" s="1342"/>
      <c r="G95" s="1342"/>
      <c r="H95" s="1342"/>
      <c r="I95" s="1342"/>
      <c r="J95" s="1342"/>
      <c r="K95" s="1342"/>
    </row>
    <row r="96" spans="2:11" ht="14" hidden="1">
      <c r="B96" s="1342"/>
      <c r="C96" s="1342"/>
      <c r="D96" s="1342"/>
      <c r="E96" s="1342"/>
      <c r="F96" s="1342"/>
      <c r="G96" s="1342"/>
      <c r="H96" s="1342"/>
      <c r="I96" s="1342"/>
      <c r="J96" s="1342"/>
      <c r="K96" s="1342"/>
    </row>
    <row r="97" spans="2:11" ht="14" hidden="1">
      <c r="B97" s="1342"/>
      <c r="C97" s="1342"/>
      <c r="D97" s="1342"/>
      <c r="E97" s="1342"/>
      <c r="F97" s="1342"/>
      <c r="G97" s="1342"/>
      <c r="H97" s="1342"/>
      <c r="I97" s="1342"/>
      <c r="J97" s="1342"/>
      <c r="K97" s="1342"/>
    </row>
    <row r="98" spans="2:11" ht="14" hidden="1">
      <c r="B98" s="1342"/>
      <c r="C98" s="1342"/>
      <c r="D98" s="1342"/>
      <c r="E98" s="1342"/>
      <c r="F98" s="1342"/>
      <c r="G98" s="1342"/>
      <c r="H98" s="1342"/>
      <c r="I98" s="1342"/>
      <c r="J98" s="1342"/>
      <c r="K98" s="1342"/>
    </row>
    <row r="99" spans="2:11" ht="14" hidden="1">
      <c r="B99" s="1342"/>
      <c r="C99" s="1342"/>
      <c r="D99" s="1342"/>
      <c r="E99" s="1342"/>
      <c r="F99" s="1342"/>
      <c r="G99" s="1342"/>
      <c r="H99" s="1342"/>
      <c r="I99" s="1342"/>
      <c r="J99" s="1342"/>
      <c r="K99" s="1342"/>
    </row>
    <row r="100" spans="2:11" ht="14" hidden="1">
      <c r="B100" s="1342"/>
      <c r="C100" s="1342"/>
      <c r="D100" s="1342"/>
      <c r="E100" s="1342"/>
      <c r="F100" s="1342"/>
      <c r="G100" s="1342"/>
      <c r="H100" s="1342"/>
      <c r="I100" s="1342"/>
      <c r="J100" s="1342"/>
      <c r="K100" s="1342"/>
    </row>
    <row r="101" spans="2:11" ht="14" hidden="1">
      <c r="B101" s="1342"/>
      <c r="C101" s="1342"/>
      <c r="D101" s="1342"/>
      <c r="E101" s="1342"/>
      <c r="F101" s="1342"/>
      <c r="G101" s="1342"/>
      <c r="H101" s="1342"/>
      <c r="I101" s="1342"/>
      <c r="J101" s="1342"/>
      <c r="K101" s="1342"/>
    </row>
    <row r="102" spans="2:11" ht="14" hidden="1">
      <c r="B102" s="1342"/>
      <c r="C102" s="1342"/>
      <c r="D102" s="1342"/>
      <c r="E102" s="1342"/>
      <c r="F102" s="1342"/>
      <c r="G102" s="1342"/>
      <c r="H102" s="1342"/>
      <c r="I102" s="1342"/>
      <c r="J102" s="1342"/>
      <c r="K102" s="1342"/>
    </row>
    <row r="103" spans="2:11" ht="14" hidden="1">
      <c r="B103" s="1342"/>
      <c r="C103" s="1342"/>
      <c r="D103" s="1342"/>
      <c r="E103" s="1342"/>
      <c r="F103" s="1342"/>
      <c r="G103" s="1342"/>
      <c r="H103" s="1342"/>
      <c r="I103" s="1342"/>
      <c r="J103" s="1342"/>
      <c r="K103" s="1342"/>
    </row>
    <row r="104" spans="2:11" ht="14" hidden="1">
      <c r="B104" s="1342"/>
      <c r="C104" s="1342"/>
      <c r="D104" s="1342"/>
      <c r="E104" s="1342"/>
      <c r="F104" s="1342"/>
      <c r="G104" s="1342"/>
      <c r="H104" s="1342"/>
      <c r="I104" s="1342"/>
      <c r="J104" s="1342"/>
      <c r="K104" s="1342"/>
    </row>
    <row r="105" spans="2:11" ht="14" hidden="1">
      <c r="B105" s="1342"/>
      <c r="C105" s="1342"/>
      <c r="D105" s="1342"/>
      <c r="E105" s="1342"/>
      <c r="F105" s="1342"/>
      <c r="G105" s="1342"/>
      <c r="H105" s="1342"/>
      <c r="I105" s="1342"/>
      <c r="J105" s="1342"/>
      <c r="K105" s="1342"/>
    </row>
    <row r="106" spans="2:11" ht="14" hidden="1">
      <c r="B106" s="1342"/>
      <c r="C106" s="1342"/>
      <c r="D106" s="1342"/>
      <c r="E106" s="1342"/>
      <c r="F106" s="1342"/>
      <c r="G106" s="1342"/>
      <c r="H106" s="1342"/>
      <c r="I106" s="1342"/>
      <c r="J106" s="1342"/>
      <c r="K106" s="1342"/>
    </row>
    <row r="107" spans="2:11" ht="14" hidden="1">
      <c r="B107" s="1342"/>
      <c r="C107" s="1342"/>
      <c r="D107" s="1342"/>
      <c r="E107" s="1342"/>
      <c r="F107" s="1342"/>
      <c r="G107" s="1342"/>
      <c r="H107" s="1342"/>
      <c r="I107" s="1342"/>
      <c r="J107" s="1342"/>
      <c r="K107" s="1342"/>
    </row>
    <row r="108" spans="2:11" ht="14" hidden="1">
      <c r="B108" s="1342"/>
      <c r="C108" s="1342"/>
      <c r="D108" s="1342"/>
      <c r="E108" s="1342"/>
      <c r="F108" s="1342"/>
      <c r="G108" s="1342"/>
      <c r="H108" s="1342"/>
      <c r="I108" s="1342"/>
      <c r="J108" s="1342"/>
      <c r="K108" s="1342"/>
    </row>
    <row r="109" spans="2:11" ht="14" hidden="1">
      <c r="B109" s="1342"/>
      <c r="C109" s="1342"/>
      <c r="D109" s="1342"/>
      <c r="E109" s="1342"/>
      <c r="F109" s="1342"/>
      <c r="G109" s="1342"/>
      <c r="H109" s="1342"/>
      <c r="I109" s="1342"/>
      <c r="J109" s="1342"/>
      <c r="K109" s="1342"/>
    </row>
    <row r="110" spans="2:11" ht="14" hidden="1">
      <c r="B110" s="1342"/>
      <c r="C110" s="1342"/>
      <c r="D110" s="1342"/>
      <c r="E110" s="1342"/>
      <c r="F110" s="1342"/>
      <c r="G110" s="1342"/>
      <c r="H110" s="1342"/>
      <c r="I110" s="1342"/>
      <c r="J110" s="1342"/>
      <c r="K110" s="1342"/>
    </row>
    <row r="111" spans="2:11" ht="14" hidden="1">
      <c r="B111" s="1342"/>
      <c r="C111" s="1342"/>
      <c r="D111" s="1342"/>
      <c r="E111" s="1342"/>
      <c r="F111" s="1342"/>
      <c r="G111" s="1342"/>
      <c r="H111" s="1342"/>
      <c r="I111" s="1342"/>
      <c r="J111" s="1342"/>
      <c r="K111" s="1342"/>
    </row>
    <row r="112" spans="2:11" ht="14" hidden="1">
      <c r="B112" s="1342"/>
      <c r="C112" s="1342"/>
      <c r="D112" s="1342"/>
      <c r="E112" s="1342"/>
      <c r="F112" s="1342"/>
      <c r="G112" s="1342"/>
      <c r="H112" s="1342"/>
      <c r="I112" s="1342"/>
      <c r="J112" s="1342"/>
      <c r="K112" s="1342"/>
    </row>
    <row r="113" spans="2:11" ht="14" hidden="1">
      <c r="B113" s="1342"/>
      <c r="C113" s="1342"/>
      <c r="D113" s="1342"/>
      <c r="E113" s="1342"/>
      <c r="F113" s="1342"/>
      <c r="G113" s="1342"/>
      <c r="H113" s="1342"/>
      <c r="I113" s="1342"/>
      <c r="J113" s="1342"/>
      <c r="K113" s="1342"/>
    </row>
    <row r="114" spans="2:11" ht="14" hidden="1">
      <c r="B114" s="1342"/>
      <c r="C114" s="1342"/>
      <c r="D114" s="1342"/>
      <c r="E114" s="1342"/>
      <c r="F114" s="1342"/>
      <c r="G114" s="1342"/>
      <c r="H114" s="1342"/>
      <c r="I114" s="1342"/>
      <c r="J114" s="1342"/>
      <c r="K114" s="1342"/>
    </row>
    <row r="115" spans="2:11" ht="14" hidden="1">
      <c r="B115" s="1342"/>
      <c r="C115" s="1342"/>
      <c r="D115" s="1342"/>
      <c r="E115" s="1342"/>
      <c r="F115" s="1342"/>
      <c r="G115" s="1342"/>
      <c r="H115" s="1342"/>
      <c r="I115" s="1342"/>
      <c r="J115" s="1342"/>
      <c r="K115" s="1342"/>
    </row>
    <row r="116" spans="2:11" ht="14" hidden="1">
      <c r="B116" s="1342"/>
      <c r="C116" s="1342"/>
      <c r="D116" s="1342"/>
      <c r="E116" s="1342"/>
      <c r="F116" s="1342"/>
      <c r="G116" s="1342"/>
      <c r="H116" s="1342"/>
      <c r="I116" s="1342"/>
      <c r="J116" s="1342"/>
      <c r="K116" s="1342"/>
    </row>
    <row r="117" spans="2:11" ht="14" hidden="1">
      <c r="B117" s="1342"/>
      <c r="C117" s="1342"/>
      <c r="D117" s="1342"/>
      <c r="E117" s="1342"/>
      <c r="F117" s="1342"/>
      <c r="G117" s="1342"/>
      <c r="H117" s="1342"/>
      <c r="I117" s="1342"/>
      <c r="J117" s="1342"/>
      <c r="K117" s="1342"/>
    </row>
    <row r="118" spans="2:11" ht="14" hidden="1">
      <c r="B118" s="1342"/>
      <c r="C118" s="1342"/>
      <c r="D118" s="1342"/>
      <c r="E118" s="1342"/>
      <c r="F118" s="1342"/>
      <c r="G118" s="1342"/>
      <c r="H118" s="1342"/>
      <c r="I118" s="1342"/>
      <c r="J118" s="1342"/>
      <c r="K118" s="1342"/>
    </row>
    <row r="119" spans="2:11" ht="14" hidden="1">
      <c r="B119" s="1342"/>
      <c r="C119" s="1342"/>
      <c r="D119" s="1342"/>
      <c r="E119" s="1342"/>
      <c r="F119" s="1342"/>
      <c r="G119" s="1342"/>
      <c r="H119" s="1342"/>
      <c r="I119" s="1342"/>
      <c r="J119" s="1342"/>
      <c r="K119" s="1342"/>
    </row>
    <row r="120" spans="2:11" ht="14" hidden="1">
      <c r="B120" s="1342"/>
      <c r="C120" s="1342"/>
      <c r="D120" s="1342"/>
      <c r="E120" s="1342"/>
      <c r="F120" s="1342"/>
      <c r="G120" s="1342"/>
      <c r="H120" s="1342"/>
      <c r="I120" s="1342"/>
      <c r="J120" s="1342"/>
      <c r="K120" s="1342"/>
    </row>
    <row r="121" spans="2:11" ht="14" hidden="1">
      <c r="B121" s="1342"/>
      <c r="C121" s="1342"/>
      <c r="D121" s="1342"/>
      <c r="E121" s="1342"/>
      <c r="F121" s="1342"/>
      <c r="G121" s="1342"/>
      <c r="H121" s="1342"/>
      <c r="I121" s="1342"/>
      <c r="J121" s="1342"/>
      <c r="K121" s="1342"/>
    </row>
    <row r="122" spans="2:11" ht="14" hidden="1">
      <c r="B122" s="1342"/>
      <c r="C122" s="1342"/>
      <c r="D122" s="1342"/>
      <c r="E122" s="1342"/>
      <c r="F122" s="1342"/>
      <c r="G122" s="1342"/>
      <c r="H122" s="1342"/>
      <c r="I122" s="1342"/>
      <c r="J122" s="1342"/>
      <c r="K122" s="1342"/>
    </row>
    <row r="123" spans="2:11" ht="14" hidden="1">
      <c r="B123" s="1342"/>
      <c r="C123" s="1342"/>
      <c r="D123" s="1342"/>
      <c r="E123" s="1342"/>
      <c r="F123" s="1342"/>
      <c r="G123" s="1342"/>
      <c r="H123" s="1342"/>
      <c r="I123" s="1342"/>
      <c r="J123" s="1342"/>
      <c r="K123" s="1342"/>
    </row>
    <row r="124" spans="2:11" ht="14" hidden="1">
      <c r="B124" s="1342"/>
      <c r="C124" s="1342"/>
      <c r="D124" s="1342"/>
      <c r="E124" s="1342"/>
      <c r="F124" s="1342"/>
      <c r="G124" s="1342"/>
      <c r="H124" s="1342"/>
      <c r="I124" s="1342"/>
      <c r="J124" s="1342"/>
      <c r="K124" s="1342"/>
    </row>
    <row r="125" spans="2:11" ht="14" hidden="1">
      <c r="B125" s="1342"/>
      <c r="C125" s="1342"/>
      <c r="D125" s="1342"/>
      <c r="E125" s="1342"/>
      <c r="F125" s="1342"/>
      <c r="G125" s="1342"/>
      <c r="H125" s="1342"/>
      <c r="I125" s="1342"/>
      <c r="J125" s="1342"/>
      <c r="K125" s="1342"/>
    </row>
    <row r="126" spans="2:11" ht="14" hidden="1">
      <c r="B126" s="1342"/>
      <c r="C126" s="1342"/>
      <c r="D126" s="1342"/>
      <c r="E126" s="1342"/>
      <c r="F126" s="1342"/>
      <c r="G126" s="1342"/>
      <c r="H126" s="1342"/>
      <c r="I126" s="1342"/>
      <c r="J126" s="1342"/>
      <c r="K126" s="1342"/>
    </row>
    <row r="127" spans="2:11" ht="14" hidden="1">
      <c r="B127" s="1342"/>
      <c r="C127" s="1342"/>
      <c r="D127" s="1342"/>
      <c r="E127" s="1342"/>
      <c r="F127" s="1342"/>
      <c r="G127" s="1342"/>
      <c r="H127" s="1342"/>
      <c r="I127" s="1342"/>
      <c r="J127" s="1342"/>
      <c r="K127" s="1342"/>
    </row>
    <row r="128" spans="2:11" ht="14" hidden="1">
      <c r="B128" s="1342"/>
      <c r="C128" s="1342"/>
      <c r="D128" s="1342"/>
      <c r="E128" s="1342"/>
      <c r="F128" s="1342"/>
      <c r="G128" s="1342"/>
      <c r="H128" s="1342"/>
      <c r="I128" s="1342"/>
      <c r="J128" s="1342"/>
      <c r="K128" s="1342"/>
    </row>
    <row r="129" spans="2:11" ht="14" hidden="1">
      <c r="B129" s="1342"/>
      <c r="C129" s="1342"/>
      <c r="D129" s="1342"/>
      <c r="E129" s="1342"/>
      <c r="F129" s="1342"/>
      <c r="G129" s="1342"/>
      <c r="H129" s="1342"/>
      <c r="I129" s="1342"/>
      <c r="J129" s="1342"/>
      <c r="K129" s="1342"/>
    </row>
    <row r="130" spans="2:11" ht="14" hidden="1">
      <c r="B130" s="1342"/>
      <c r="C130" s="1342"/>
      <c r="D130" s="1342"/>
      <c r="E130" s="1342"/>
      <c r="F130" s="1342"/>
      <c r="G130" s="1342"/>
      <c r="H130" s="1342"/>
      <c r="I130" s="1342"/>
      <c r="J130" s="1342"/>
      <c r="K130" s="1342"/>
    </row>
    <row r="131" spans="2:11" ht="14" hidden="1">
      <c r="B131" s="1342"/>
      <c r="C131" s="1342"/>
      <c r="D131" s="1342"/>
      <c r="E131" s="1342"/>
      <c r="F131" s="1342"/>
      <c r="G131" s="1342"/>
      <c r="H131" s="1342"/>
      <c r="I131" s="1342"/>
      <c r="J131" s="1342"/>
      <c r="K131" s="1342"/>
    </row>
    <row r="132" spans="2:11" ht="14" hidden="1">
      <c r="B132" s="1342"/>
      <c r="C132" s="1342"/>
      <c r="D132" s="1342"/>
      <c r="E132" s="1342"/>
      <c r="F132" s="1342"/>
      <c r="G132" s="1342"/>
      <c r="H132" s="1342"/>
      <c r="I132" s="1342"/>
      <c r="J132" s="1342"/>
      <c r="K132" s="1342"/>
    </row>
    <row r="133" spans="2:11" ht="14" hidden="1">
      <c r="B133" s="1342"/>
      <c r="C133" s="1342"/>
      <c r="D133" s="1342"/>
      <c r="E133" s="1342"/>
      <c r="F133" s="1342"/>
      <c r="G133" s="1342"/>
      <c r="H133" s="1342"/>
      <c r="I133" s="1342"/>
      <c r="J133" s="1342"/>
      <c r="K133" s="1342"/>
    </row>
    <row r="134" spans="2:11" ht="14" hidden="1">
      <c r="B134" s="1342"/>
      <c r="C134" s="1342"/>
      <c r="D134" s="1342"/>
      <c r="E134" s="1342"/>
      <c r="F134" s="1342"/>
      <c r="G134" s="1342"/>
      <c r="H134" s="1342"/>
      <c r="I134" s="1342"/>
      <c r="J134" s="1342"/>
      <c r="K134" s="1342"/>
    </row>
    <row r="135" spans="2:11" ht="14" hidden="1">
      <c r="B135" s="1342"/>
      <c r="C135" s="1342"/>
      <c r="D135" s="1342"/>
      <c r="E135" s="1342"/>
      <c r="F135" s="1342"/>
      <c r="G135" s="1342"/>
      <c r="H135" s="1342"/>
      <c r="I135" s="1342"/>
      <c r="J135" s="1342"/>
      <c r="K135" s="1342"/>
    </row>
    <row r="136" spans="2:11" ht="14" hidden="1">
      <c r="B136" s="1342"/>
      <c r="C136" s="1342"/>
      <c r="D136" s="1342"/>
      <c r="E136" s="1342"/>
      <c r="F136" s="1342"/>
      <c r="G136" s="1342"/>
      <c r="H136" s="1342"/>
      <c r="I136" s="1342"/>
      <c r="J136" s="1342"/>
      <c r="K136" s="1342"/>
    </row>
    <row r="137" spans="2:11" ht="14" hidden="1">
      <c r="B137" s="1342"/>
      <c r="C137" s="1342"/>
      <c r="D137" s="1342"/>
      <c r="E137" s="1342"/>
      <c r="F137" s="1342"/>
      <c r="G137" s="1342"/>
      <c r="H137" s="1342"/>
      <c r="I137" s="1342"/>
      <c r="J137" s="1342"/>
      <c r="K137" s="1342"/>
    </row>
    <row r="138" spans="2:11" ht="14" hidden="1">
      <c r="B138" s="1342"/>
      <c r="C138" s="1342"/>
      <c r="D138" s="1342"/>
      <c r="E138" s="1342"/>
      <c r="F138" s="1342"/>
      <c r="G138" s="1342"/>
      <c r="H138" s="1342"/>
      <c r="I138" s="1342"/>
      <c r="J138" s="1342"/>
      <c r="K138" s="1342"/>
    </row>
    <row r="139" spans="2:11" ht="14" hidden="1">
      <c r="B139" s="1342"/>
      <c r="C139" s="1342"/>
      <c r="D139" s="1342"/>
      <c r="E139" s="1342"/>
      <c r="F139" s="1342"/>
      <c r="G139" s="1342"/>
      <c r="H139" s="1342"/>
      <c r="I139" s="1342"/>
      <c r="J139" s="1342"/>
      <c r="K139" s="1342"/>
    </row>
    <row r="140" spans="2:11" ht="14" hidden="1">
      <c r="B140" s="1342"/>
      <c r="C140" s="1342"/>
      <c r="D140" s="1342"/>
      <c r="E140" s="1342"/>
      <c r="F140" s="1342"/>
      <c r="G140" s="1342"/>
      <c r="H140" s="1342"/>
      <c r="I140" s="1342"/>
      <c r="J140" s="1342"/>
      <c r="K140" s="1342"/>
    </row>
    <row r="141" spans="2:11" ht="14" hidden="1">
      <c r="B141" s="1342"/>
      <c r="C141" s="1342"/>
      <c r="D141" s="1342"/>
      <c r="E141" s="1342"/>
      <c r="F141" s="1342"/>
      <c r="G141" s="1342"/>
      <c r="H141" s="1342"/>
      <c r="I141" s="1342"/>
      <c r="J141" s="1342"/>
      <c r="K141" s="1342"/>
    </row>
    <row r="142" spans="2:11" ht="14" hidden="1">
      <c r="B142" s="1342"/>
      <c r="C142" s="1342"/>
      <c r="D142" s="1342"/>
      <c r="E142" s="1342"/>
      <c r="F142" s="1342"/>
      <c r="G142" s="1342"/>
      <c r="H142" s="1342"/>
      <c r="I142" s="1342"/>
      <c r="J142" s="1342"/>
      <c r="K142" s="1342"/>
    </row>
    <row r="143" spans="2:11" ht="14" hidden="1">
      <c r="B143" s="1342"/>
      <c r="C143" s="1342"/>
      <c r="D143" s="1342"/>
      <c r="E143" s="1342"/>
      <c r="F143" s="1342"/>
      <c r="G143" s="1342"/>
      <c r="H143" s="1342"/>
      <c r="I143" s="1342"/>
      <c r="J143" s="1342"/>
      <c r="K143" s="1342"/>
    </row>
    <row r="144" spans="2:11" ht="14" hidden="1">
      <c r="B144" s="1342"/>
      <c r="C144" s="1342"/>
      <c r="D144" s="1342"/>
      <c r="E144" s="1342"/>
      <c r="F144" s="1342"/>
      <c r="G144" s="1342"/>
      <c r="H144" s="1342"/>
      <c r="I144" s="1342"/>
      <c r="J144" s="1342"/>
      <c r="K144" s="1342"/>
    </row>
    <row r="145" spans="2:11" ht="14" hidden="1">
      <c r="B145" s="1342"/>
      <c r="C145" s="1342"/>
      <c r="D145" s="1342"/>
      <c r="E145" s="1342"/>
      <c r="F145" s="1342"/>
      <c r="G145" s="1342"/>
      <c r="H145" s="1342"/>
      <c r="I145" s="1342"/>
      <c r="J145" s="1342"/>
      <c r="K145" s="1342"/>
    </row>
    <row r="146" spans="2:11" ht="14" hidden="1">
      <c r="B146" s="1342"/>
      <c r="C146" s="1342"/>
      <c r="D146" s="1342"/>
      <c r="E146" s="1342"/>
      <c r="F146" s="1342"/>
      <c r="G146" s="1342"/>
      <c r="H146" s="1342"/>
      <c r="I146" s="1342"/>
      <c r="J146" s="1342"/>
      <c r="K146" s="1342"/>
    </row>
    <row r="147" spans="2:11" ht="14" hidden="1">
      <c r="B147" s="1342"/>
      <c r="C147" s="1342"/>
      <c r="D147" s="1342"/>
      <c r="E147" s="1342"/>
      <c r="F147" s="1342"/>
      <c r="G147" s="1342"/>
      <c r="H147" s="1342"/>
      <c r="I147" s="1342"/>
      <c r="J147" s="1342"/>
      <c r="K147" s="1342"/>
    </row>
    <row r="148" spans="2:11" ht="14" hidden="1">
      <c r="B148" s="1342"/>
      <c r="C148" s="1342"/>
      <c r="D148" s="1342"/>
      <c r="E148" s="1342"/>
      <c r="F148" s="1342"/>
      <c r="G148" s="1342"/>
      <c r="H148" s="1342"/>
      <c r="I148" s="1342"/>
      <c r="J148" s="1342"/>
      <c r="K148" s="1342"/>
    </row>
    <row r="149" spans="2:11" ht="14" hidden="1">
      <c r="B149" s="1342"/>
      <c r="C149" s="1342"/>
      <c r="D149" s="1342"/>
      <c r="E149" s="1342"/>
      <c r="F149" s="1342"/>
      <c r="G149" s="1342"/>
      <c r="H149" s="1342"/>
      <c r="I149" s="1342"/>
      <c r="J149" s="1342"/>
      <c r="K149" s="1342"/>
    </row>
    <row r="150" spans="2:11" ht="14" hidden="1">
      <c r="B150" s="1342"/>
      <c r="C150" s="1342"/>
      <c r="D150" s="1342"/>
      <c r="E150" s="1342"/>
      <c r="F150" s="1342"/>
      <c r="G150" s="1342"/>
      <c r="H150" s="1342"/>
      <c r="I150" s="1342"/>
      <c r="J150" s="1342"/>
      <c r="K150" s="1342"/>
    </row>
    <row r="151" spans="2:11" ht="14" hidden="1">
      <c r="B151" s="1342"/>
      <c r="C151" s="1342"/>
      <c r="D151" s="1342"/>
      <c r="E151" s="1342"/>
      <c r="F151" s="1342"/>
      <c r="G151" s="1342"/>
      <c r="H151" s="1342"/>
      <c r="I151" s="1342"/>
      <c r="J151" s="1342"/>
      <c r="K151" s="1342"/>
    </row>
    <row r="152" spans="2:11" ht="14" hidden="1">
      <c r="B152" s="1342"/>
      <c r="C152" s="1342"/>
      <c r="D152" s="1342"/>
      <c r="E152" s="1342"/>
      <c r="F152" s="1342"/>
      <c r="G152" s="1342"/>
      <c r="H152" s="1342"/>
      <c r="I152" s="1342"/>
      <c r="J152" s="1342"/>
      <c r="K152" s="1342"/>
    </row>
    <row r="153" spans="2:11" ht="14" hidden="1">
      <c r="B153" s="1342"/>
      <c r="C153" s="1342"/>
      <c r="D153" s="1342"/>
      <c r="E153" s="1342"/>
      <c r="F153" s="1342"/>
      <c r="G153" s="1342"/>
      <c r="H153" s="1342"/>
      <c r="I153" s="1342"/>
      <c r="J153" s="1342"/>
      <c r="K153" s="1342"/>
    </row>
    <row r="154" spans="2:11" ht="14" hidden="1">
      <c r="B154" s="1342"/>
      <c r="C154" s="1342"/>
      <c r="D154" s="1342"/>
      <c r="E154" s="1342"/>
      <c r="F154" s="1342"/>
      <c r="G154" s="1342"/>
      <c r="H154" s="1342"/>
      <c r="I154" s="1342"/>
      <c r="J154" s="1342"/>
      <c r="K154" s="1342"/>
    </row>
    <row r="155" spans="2:11" ht="14" hidden="1">
      <c r="B155" s="1342"/>
      <c r="C155" s="1342"/>
      <c r="D155" s="1342"/>
      <c r="E155" s="1342"/>
      <c r="F155" s="1342"/>
      <c r="G155" s="1342"/>
      <c r="H155" s="1342"/>
      <c r="I155" s="1342"/>
      <c r="J155" s="1342"/>
      <c r="K155" s="1342"/>
    </row>
    <row r="156" spans="2:11" ht="14" hidden="1">
      <c r="B156" s="1342"/>
      <c r="C156" s="1342"/>
      <c r="D156" s="1342"/>
      <c r="E156" s="1342"/>
      <c r="F156" s="1342"/>
      <c r="G156" s="1342"/>
      <c r="H156" s="1342"/>
      <c r="I156" s="1342"/>
      <c r="J156" s="1342"/>
      <c r="K156" s="1342"/>
    </row>
    <row r="157" spans="2:11" ht="14" hidden="1">
      <c r="B157" s="1342"/>
      <c r="C157" s="1342"/>
      <c r="D157" s="1342"/>
      <c r="E157" s="1342"/>
      <c r="F157" s="1342"/>
      <c r="G157" s="1342"/>
      <c r="H157" s="1342"/>
      <c r="I157" s="1342"/>
      <c r="J157" s="1342"/>
      <c r="K157" s="1342"/>
    </row>
    <row r="158" spans="2:11" ht="14" hidden="1">
      <c r="B158" s="1342"/>
      <c r="C158" s="1342"/>
      <c r="D158" s="1342"/>
      <c r="E158" s="1342"/>
      <c r="F158" s="1342"/>
      <c r="G158" s="1342"/>
      <c r="H158" s="1342"/>
      <c r="I158" s="1342"/>
      <c r="J158" s="1342"/>
      <c r="K158" s="1342"/>
    </row>
    <row r="159" spans="2:11" ht="14" hidden="1">
      <c r="B159" s="1342"/>
      <c r="C159" s="1342"/>
      <c r="D159" s="1342"/>
      <c r="E159" s="1342"/>
      <c r="F159" s="1342"/>
      <c r="G159" s="1342"/>
      <c r="H159" s="1342"/>
      <c r="I159" s="1342"/>
      <c r="J159" s="1342"/>
      <c r="K159" s="1342"/>
    </row>
    <row r="160" spans="2:11" ht="14" hidden="1">
      <c r="B160" s="1342"/>
      <c r="C160" s="1342"/>
      <c r="D160" s="1342"/>
      <c r="E160" s="1342"/>
      <c r="F160" s="1342"/>
      <c r="G160" s="1342"/>
      <c r="H160" s="1342"/>
      <c r="I160" s="1342"/>
      <c r="J160" s="1342"/>
      <c r="K160" s="1342"/>
    </row>
    <row r="161" spans="2:11" ht="14" hidden="1">
      <c r="B161" s="1342"/>
      <c r="C161" s="1342"/>
      <c r="D161" s="1342"/>
      <c r="E161" s="1342"/>
      <c r="F161" s="1342"/>
      <c r="G161" s="1342"/>
      <c r="H161" s="1342"/>
      <c r="I161" s="1342"/>
      <c r="J161" s="1342"/>
      <c r="K161" s="1342"/>
    </row>
    <row r="162" spans="2:11" ht="14" hidden="1">
      <c r="B162" s="1342"/>
      <c r="C162" s="1342"/>
      <c r="D162" s="1342"/>
      <c r="E162" s="1342"/>
      <c r="F162" s="1342"/>
      <c r="G162" s="1342"/>
      <c r="H162" s="1342"/>
      <c r="I162" s="1342"/>
      <c r="J162" s="1342"/>
      <c r="K162" s="1342"/>
    </row>
    <row r="163" spans="2:11" ht="14" hidden="1">
      <c r="B163" s="1342"/>
      <c r="C163" s="1342"/>
      <c r="D163" s="1342"/>
      <c r="E163" s="1342"/>
      <c r="F163" s="1342"/>
      <c r="G163" s="1342"/>
      <c r="H163" s="1342"/>
      <c r="I163" s="1342"/>
      <c r="J163" s="1342"/>
      <c r="K163" s="1342"/>
    </row>
    <row r="164" spans="2:11" ht="14" hidden="1">
      <c r="B164" s="1342"/>
      <c r="C164" s="1342"/>
      <c r="D164" s="1342"/>
      <c r="E164" s="1342"/>
      <c r="F164" s="1342"/>
      <c r="G164" s="1342"/>
      <c r="H164" s="1342"/>
      <c r="I164" s="1342"/>
      <c r="J164" s="1342"/>
      <c r="K164" s="1342"/>
    </row>
    <row r="165" spans="2:11" ht="14" hidden="1">
      <c r="B165" s="1342"/>
      <c r="C165" s="1342"/>
      <c r="D165" s="1342"/>
      <c r="E165" s="1342"/>
      <c r="F165" s="1342"/>
      <c r="G165" s="1342"/>
      <c r="H165" s="1342"/>
      <c r="I165" s="1342"/>
      <c r="J165" s="1342"/>
      <c r="K165" s="1342"/>
    </row>
    <row r="166" spans="2:11" ht="14" hidden="1">
      <c r="B166" s="1342"/>
      <c r="C166" s="1342"/>
      <c r="D166" s="1342"/>
      <c r="E166" s="1342"/>
      <c r="F166" s="1342"/>
      <c r="G166" s="1342"/>
      <c r="H166" s="1342"/>
      <c r="I166" s="1342"/>
      <c r="J166" s="1342"/>
      <c r="K166" s="1342"/>
    </row>
    <row r="167" spans="2:11" ht="14" hidden="1">
      <c r="B167" s="1342"/>
      <c r="C167" s="1342"/>
      <c r="D167" s="1342"/>
      <c r="E167" s="1342"/>
      <c r="F167" s="1342"/>
      <c r="G167" s="1342"/>
      <c r="H167" s="1342"/>
      <c r="I167" s="1342"/>
      <c r="J167" s="1342"/>
      <c r="K167" s="1342"/>
    </row>
    <row r="168" spans="2:11" ht="14" hidden="1">
      <c r="B168" s="1342"/>
      <c r="C168" s="1342"/>
      <c r="D168" s="1342"/>
      <c r="E168" s="1342"/>
      <c r="F168" s="1342"/>
      <c r="G168" s="1342"/>
      <c r="H168" s="1342"/>
      <c r="I168" s="1342"/>
      <c r="J168" s="1342"/>
      <c r="K168" s="1342"/>
    </row>
    <row r="169" spans="2:11" ht="14" hidden="1">
      <c r="B169" s="1342"/>
      <c r="C169" s="1342"/>
      <c r="D169" s="1342"/>
      <c r="E169" s="1342"/>
      <c r="F169" s="1342"/>
      <c r="G169" s="1342"/>
      <c r="H169" s="1342"/>
      <c r="I169" s="1342"/>
      <c r="J169" s="1342"/>
      <c r="K169" s="1342"/>
    </row>
    <row r="170" spans="2:11" ht="14" hidden="1">
      <c r="B170" s="1342"/>
      <c r="C170" s="1342"/>
      <c r="D170" s="1342"/>
      <c r="E170" s="1342"/>
      <c r="F170" s="1342"/>
      <c r="G170" s="1342"/>
      <c r="H170" s="1342"/>
      <c r="I170" s="1342"/>
      <c r="J170" s="1342"/>
      <c r="K170" s="1342"/>
    </row>
    <row r="171" spans="2:11" ht="14" hidden="1">
      <c r="B171" s="1342"/>
      <c r="C171" s="1342"/>
      <c r="D171" s="1342"/>
      <c r="E171" s="1342"/>
      <c r="F171" s="1342"/>
      <c r="G171" s="1342"/>
      <c r="H171" s="1342"/>
      <c r="I171" s="1342"/>
      <c r="J171" s="1342"/>
      <c r="K171" s="1342"/>
    </row>
    <row r="172" spans="2:11" ht="14" hidden="1">
      <c r="B172" s="1342"/>
      <c r="C172" s="1342"/>
      <c r="D172" s="1342"/>
      <c r="E172" s="1342"/>
      <c r="F172" s="1342"/>
      <c r="G172" s="1342"/>
      <c r="H172" s="1342"/>
      <c r="I172" s="1342"/>
      <c r="J172" s="1342"/>
      <c r="K172" s="1342"/>
    </row>
    <row r="173" spans="2:11" ht="14" hidden="1">
      <c r="B173" s="1342"/>
      <c r="C173" s="1342"/>
      <c r="D173" s="1342"/>
      <c r="E173" s="1342"/>
      <c r="F173" s="1342"/>
      <c r="G173" s="1342"/>
      <c r="H173" s="1342"/>
      <c r="I173" s="1342"/>
      <c r="J173" s="1342"/>
      <c r="K173" s="1342"/>
    </row>
    <row r="174" spans="2:11" ht="14" hidden="1">
      <c r="B174" s="1342"/>
      <c r="C174" s="1342"/>
      <c r="D174" s="1342"/>
      <c r="E174" s="1342"/>
      <c r="F174" s="1342"/>
      <c r="G174" s="1342"/>
      <c r="H174" s="1342"/>
      <c r="I174" s="1342"/>
      <c r="J174" s="1342"/>
      <c r="K174" s="1342"/>
    </row>
    <row r="175" spans="2:11" ht="14" hidden="1">
      <c r="B175" s="1342"/>
      <c r="C175" s="1342"/>
      <c r="D175" s="1342"/>
      <c r="E175" s="1342"/>
      <c r="F175" s="1342"/>
      <c r="G175" s="1342"/>
      <c r="H175" s="1342"/>
      <c r="I175" s="1342"/>
      <c r="J175" s="1342"/>
      <c r="K175" s="1342"/>
    </row>
    <row r="176" spans="2:11" ht="14" hidden="1">
      <c r="B176" s="1342"/>
      <c r="C176" s="1342"/>
      <c r="D176" s="1342"/>
      <c r="E176" s="1342"/>
      <c r="F176" s="1342"/>
      <c r="G176" s="1342"/>
      <c r="H176" s="1342"/>
      <c r="I176" s="1342"/>
      <c r="J176" s="1342"/>
      <c r="K176" s="1342"/>
    </row>
    <row r="177" spans="2:11" ht="14" hidden="1">
      <c r="B177" s="1342"/>
      <c r="C177" s="1342"/>
      <c r="D177" s="1342"/>
      <c r="E177" s="1342"/>
      <c r="F177" s="1342"/>
      <c r="G177" s="1342"/>
      <c r="H177" s="1342"/>
      <c r="I177" s="1342"/>
      <c r="J177" s="1342"/>
      <c r="K177" s="1342"/>
    </row>
    <row r="178" spans="2:11" ht="14" hidden="1">
      <c r="B178" s="1342"/>
      <c r="C178" s="1342"/>
      <c r="D178" s="1342"/>
      <c r="E178" s="1342"/>
      <c r="F178" s="1342"/>
      <c r="G178" s="1342"/>
      <c r="H178" s="1342"/>
      <c r="I178" s="1342"/>
      <c r="J178" s="1342"/>
      <c r="K178" s="1342"/>
    </row>
    <row r="179" spans="2:11" ht="14" hidden="1">
      <c r="B179" s="1342"/>
      <c r="C179" s="1342"/>
      <c r="D179" s="1342"/>
      <c r="E179" s="1342"/>
      <c r="F179" s="1342"/>
      <c r="G179" s="1342"/>
      <c r="H179" s="1342"/>
      <c r="I179" s="1342"/>
      <c r="J179" s="1342"/>
      <c r="K179" s="1342"/>
    </row>
    <row r="180" spans="2:11" ht="14" hidden="1">
      <c r="B180" s="1342"/>
      <c r="C180" s="1342"/>
      <c r="D180" s="1342"/>
      <c r="E180" s="1342"/>
      <c r="F180" s="1342"/>
      <c r="G180" s="1342"/>
      <c r="H180" s="1342"/>
      <c r="I180" s="1342"/>
      <c r="J180" s="1342"/>
      <c r="K180" s="1342"/>
    </row>
    <row r="181" spans="2:11" ht="14" hidden="1">
      <c r="B181" s="1342"/>
      <c r="C181" s="1342"/>
      <c r="D181" s="1342"/>
      <c r="E181" s="1342"/>
      <c r="F181" s="1342"/>
      <c r="G181" s="1342"/>
      <c r="H181" s="1342"/>
      <c r="I181" s="1342"/>
      <c r="J181" s="1342"/>
      <c r="K181" s="1342"/>
    </row>
    <row r="182" spans="2:11" ht="14" hidden="1">
      <c r="B182" s="1342"/>
      <c r="C182" s="1342"/>
      <c r="D182" s="1342"/>
      <c r="E182" s="1342"/>
      <c r="F182" s="1342"/>
      <c r="G182" s="1342"/>
      <c r="H182" s="1342"/>
      <c r="I182" s="1342"/>
      <c r="J182" s="1342"/>
      <c r="K182" s="1342"/>
    </row>
    <row r="183" spans="2:11" ht="14" hidden="1">
      <c r="B183" s="1342"/>
      <c r="C183" s="1342"/>
      <c r="D183" s="1342"/>
      <c r="E183" s="1342"/>
      <c r="F183" s="1342"/>
      <c r="G183" s="1342"/>
      <c r="H183" s="1342"/>
      <c r="I183" s="1342"/>
      <c r="J183" s="1342"/>
      <c r="K183" s="1342"/>
    </row>
    <row r="184" spans="2:11" ht="14" hidden="1">
      <c r="B184" s="1342"/>
      <c r="C184" s="1342"/>
      <c r="D184" s="1342"/>
      <c r="E184" s="1342"/>
      <c r="F184" s="1342"/>
      <c r="G184" s="1342"/>
      <c r="H184" s="1342"/>
      <c r="I184" s="1342"/>
      <c r="J184" s="1342"/>
      <c r="K184" s="1342"/>
    </row>
    <row r="185" spans="2:11" ht="14" hidden="1">
      <c r="B185" s="1342"/>
      <c r="C185" s="1342"/>
      <c r="D185" s="1342"/>
      <c r="E185" s="1342"/>
      <c r="F185" s="1342"/>
      <c r="G185" s="1342"/>
      <c r="H185" s="1342"/>
      <c r="I185" s="1342"/>
      <c r="J185" s="1342"/>
      <c r="K185" s="1342"/>
    </row>
    <row r="186" spans="2:11" ht="14" hidden="1">
      <c r="B186" s="1342"/>
      <c r="C186" s="1342"/>
      <c r="D186" s="1342"/>
      <c r="E186" s="1342"/>
      <c r="F186" s="1342"/>
      <c r="G186" s="1342"/>
      <c r="H186" s="1342"/>
      <c r="I186" s="1342"/>
      <c r="J186" s="1342"/>
      <c r="K186" s="1342"/>
    </row>
    <row r="187" spans="2:11" ht="14" hidden="1">
      <c r="B187" s="1342"/>
      <c r="C187" s="1342"/>
      <c r="D187" s="1342"/>
      <c r="E187" s="1342"/>
      <c r="F187" s="1342"/>
      <c r="G187" s="1342"/>
      <c r="H187" s="1342"/>
      <c r="I187" s="1342"/>
      <c r="J187" s="1342"/>
      <c r="K187" s="1342"/>
    </row>
    <row r="188" spans="2:11" ht="14" hidden="1">
      <c r="B188" s="1342"/>
      <c r="C188" s="1342"/>
      <c r="D188" s="1342"/>
      <c r="E188" s="1342"/>
      <c r="F188" s="1342"/>
      <c r="G188" s="1342"/>
      <c r="H188" s="1342"/>
      <c r="I188" s="1342"/>
      <c r="J188" s="1342"/>
      <c r="K188" s="1342"/>
    </row>
    <row r="189" spans="2:11" ht="14" hidden="1">
      <c r="B189" s="1342"/>
      <c r="C189" s="1342"/>
      <c r="D189" s="1342"/>
      <c r="E189" s="1342"/>
      <c r="F189" s="1342"/>
      <c r="G189" s="1342"/>
      <c r="H189" s="1342"/>
      <c r="I189" s="1342"/>
      <c r="J189" s="1342"/>
      <c r="K189" s="1342"/>
    </row>
    <row r="190" spans="2:11" ht="14" hidden="1">
      <c r="B190" s="1342"/>
      <c r="C190" s="1342"/>
      <c r="D190" s="1342"/>
      <c r="E190" s="1342"/>
      <c r="F190" s="1342"/>
      <c r="G190" s="1342"/>
      <c r="H190" s="1342"/>
      <c r="I190" s="1342"/>
      <c r="J190" s="1342"/>
      <c r="K190" s="1342"/>
    </row>
    <row r="191" spans="2:11" ht="14" hidden="1">
      <c r="B191" s="1342"/>
      <c r="C191" s="1342"/>
      <c r="D191" s="1342"/>
      <c r="E191" s="1342"/>
      <c r="F191" s="1342"/>
      <c r="G191" s="1342"/>
      <c r="H191" s="1342"/>
      <c r="I191" s="1342"/>
      <c r="J191" s="1342"/>
      <c r="K191" s="1342"/>
    </row>
    <row r="192" spans="2:11" ht="14" hidden="1">
      <c r="B192" s="1342"/>
      <c r="C192" s="1342"/>
      <c r="D192" s="1342"/>
      <c r="E192" s="1342"/>
      <c r="F192" s="1342"/>
      <c r="G192" s="1342"/>
      <c r="H192" s="1342"/>
      <c r="I192" s="1342"/>
      <c r="J192" s="1342"/>
      <c r="K192" s="1342"/>
    </row>
    <row r="193" spans="2:11" ht="14" hidden="1">
      <c r="B193" s="1342"/>
      <c r="C193" s="1342"/>
      <c r="D193" s="1342"/>
      <c r="E193" s="1342"/>
      <c r="F193" s="1342"/>
      <c r="G193" s="1342"/>
      <c r="H193" s="1342"/>
      <c r="I193" s="1342"/>
      <c r="J193" s="1342"/>
      <c r="K193" s="1342"/>
    </row>
    <row r="194" spans="2:11" ht="14" hidden="1">
      <c r="B194" s="1342"/>
      <c r="C194" s="1342"/>
      <c r="D194" s="1342"/>
      <c r="E194" s="1342"/>
      <c r="F194" s="1342"/>
      <c r="G194" s="1342"/>
      <c r="H194" s="1342"/>
      <c r="I194" s="1342"/>
      <c r="J194" s="1342"/>
      <c r="K194" s="1342"/>
    </row>
    <row r="195" spans="2:11" ht="14" hidden="1">
      <c r="B195" s="1342"/>
      <c r="C195" s="1342"/>
      <c r="D195" s="1342"/>
      <c r="E195" s="1342"/>
      <c r="F195" s="1342"/>
      <c r="G195" s="1342"/>
      <c r="H195" s="1342"/>
      <c r="I195" s="1342"/>
      <c r="J195" s="1342"/>
      <c r="K195" s="1342"/>
    </row>
    <row r="196" spans="2:11" ht="14" hidden="1">
      <c r="B196" s="1342"/>
      <c r="C196" s="1342"/>
      <c r="D196" s="1342"/>
      <c r="E196" s="1342"/>
      <c r="F196" s="1342"/>
      <c r="G196" s="1342"/>
      <c r="H196" s="1342"/>
      <c r="I196" s="1342"/>
      <c r="J196" s="1342"/>
      <c r="K196" s="1342"/>
    </row>
    <row r="197" spans="2:11" ht="14" hidden="1">
      <c r="B197" s="1342"/>
      <c r="C197" s="1342"/>
      <c r="D197" s="1342"/>
      <c r="E197" s="1342"/>
      <c r="F197" s="1342"/>
      <c r="G197" s="1342"/>
      <c r="H197" s="1342"/>
      <c r="I197" s="1342"/>
      <c r="J197" s="1342"/>
      <c r="K197" s="1342"/>
    </row>
    <row r="198" spans="2:11" ht="14" hidden="1">
      <c r="B198" s="1342"/>
      <c r="C198" s="1342"/>
      <c r="D198" s="1342"/>
      <c r="E198" s="1342"/>
      <c r="F198" s="1342"/>
      <c r="G198" s="1342"/>
      <c r="H198" s="1342"/>
      <c r="I198" s="1342"/>
      <c r="J198" s="1342"/>
      <c r="K198" s="1342"/>
    </row>
    <row r="199" spans="2:11" ht="14" hidden="1">
      <c r="B199" s="1342"/>
      <c r="C199" s="1342"/>
      <c r="D199" s="1342"/>
      <c r="E199" s="1342"/>
      <c r="F199" s="1342"/>
      <c r="G199" s="1342"/>
      <c r="H199" s="1342"/>
      <c r="I199" s="1342"/>
      <c r="J199" s="1342"/>
      <c r="K199" s="1342"/>
    </row>
    <row r="200" spans="2:11" ht="14" hidden="1">
      <c r="B200" s="1342"/>
      <c r="C200" s="1342"/>
      <c r="D200" s="1342"/>
      <c r="E200" s="1342"/>
      <c r="F200" s="1342"/>
      <c r="G200" s="1342"/>
      <c r="H200" s="1342"/>
      <c r="I200" s="1342"/>
      <c r="J200" s="1342"/>
      <c r="K200" s="1342"/>
    </row>
    <row r="201" spans="2:11" ht="14" hidden="1">
      <c r="B201" s="1342"/>
      <c r="C201" s="1342"/>
      <c r="D201" s="1342"/>
      <c r="E201" s="1342"/>
      <c r="F201" s="1342"/>
      <c r="G201" s="1342"/>
      <c r="H201" s="1342"/>
      <c r="I201" s="1342"/>
      <c r="J201" s="1342"/>
      <c r="K201" s="1342"/>
    </row>
    <row r="202" spans="2:11" ht="14" hidden="1">
      <c r="B202" s="1342"/>
      <c r="C202" s="1342"/>
      <c r="D202" s="1342"/>
      <c r="E202" s="1342"/>
      <c r="F202" s="1342"/>
      <c r="G202" s="1342"/>
      <c r="H202" s="1342"/>
      <c r="I202" s="1342"/>
      <c r="J202" s="1342"/>
      <c r="K202" s="1342"/>
    </row>
    <row r="203" spans="2:11" ht="14" hidden="1">
      <c r="B203" s="1342"/>
      <c r="C203" s="1342"/>
      <c r="D203" s="1342"/>
      <c r="E203" s="1342"/>
      <c r="F203" s="1342"/>
      <c r="G203" s="1342"/>
      <c r="H203" s="1342"/>
      <c r="I203" s="1342"/>
      <c r="J203" s="1342"/>
      <c r="K203" s="1342"/>
    </row>
    <row r="204" spans="2:11" ht="14" hidden="1">
      <c r="B204" s="1342"/>
      <c r="C204" s="1342"/>
      <c r="D204" s="1342"/>
      <c r="E204" s="1342"/>
      <c r="F204" s="1342"/>
      <c r="G204" s="1342"/>
      <c r="H204" s="1342"/>
      <c r="I204" s="1342"/>
      <c r="J204" s="1342"/>
      <c r="K204" s="1342"/>
    </row>
    <row r="205" spans="2:11" ht="14" hidden="1">
      <c r="B205" s="1342"/>
      <c r="C205" s="1342"/>
      <c r="D205" s="1342"/>
      <c r="E205" s="1342"/>
      <c r="F205" s="1342"/>
      <c r="G205" s="1342"/>
      <c r="H205" s="1342"/>
      <c r="I205" s="1342"/>
      <c r="J205" s="1342"/>
      <c r="K205" s="1342"/>
    </row>
    <row r="206" spans="2:11" ht="14" hidden="1">
      <c r="B206" s="1342"/>
      <c r="C206" s="1342"/>
      <c r="D206" s="1342"/>
      <c r="E206" s="1342"/>
      <c r="F206" s="1342"/>
      <c r="G206" s="1342"/>
      <c r="H206" s="1342"/>
      <c r="I206" s="1342"/>
      <c r="J206" s="1342"/>
      <c r="K206" s="1342"/>
    </row>
    <row r="207" spans="2:11" ht="14" hidden="1">
      <c r="B207" s="1342"/>
      <c r="C207" s="1342"/>
      <c r="D207" s="1342"/>
      <c r="E207" s="1342"/>
      <c r="F207" s="1342"/>
      <c r="G207" s="1342"/>
      <c r="H207" s="1342"/>
      <c r="I207" s="1342"/>
      <c r="J207" s="1342"/>
      <c r="K207" s="1342"/>
    </row>
    <row r="208" spans="2:11" ht="14" hidden="1">
      <c r="B208" s="1342"/>
      <c r="C208" s="1342"/>
      <c r="D208" s="1342"/>
      <c r="E208" s="1342"/>
      <c r="F208" s="1342"/>
      <c r="G208" s="1342"/>
      <c r="H208" s="1342"/>
      <c r="I208" s="1342"/>
      <c r="J208" s="1342"/>
      <c r="K208" s="1342"/>
    </row>
    <row r="209" spans="2:11" ht="14" hidden="1">
      <c r="B209" s="1342"/>
      <c r="C209" s="1342"/>
      <c r="D209" s="1342"/>
      <c r="E209" s="1342"/>
      <c r="F209" s="1342"/>
      <c r="G209" s="1342"/>
      <c r="H209" s="1342"/>
      <c r="I209" s="1342"/>
      <c r="J209" s="1342"/>
      <c r="K209" s="1342"/>
    </row>
    <row r="210" spans="2:11" ht="14" hidden="1">
      <c r="B210" s="1342"/>
      <c r="C210" s="1342"/>
      <c r="D210" s="1342"/>
      <c r="E210" s="1342"/>
      <c r="F210" s="1342"/>
      <c r="G210" s="1342"/>
      <c r="H210" s="1342"/>
      <c r="I210" s="1342"/>
      <c r="J210" s="1342"/>
      <c r="K210" s="1342"/>
    </row>
    <row r="211" spans="2:11" ht="14" hidden="1">
      <c r="B211" s="1342"/>
      <c r="C211" s="1342"/>
      <c r="D211" s="1342"/>
      <c r="E211" s="1342"/>
      <c r="F211" s="1342"/>
      <c r="G211" s="1342"/>
      <c r="H211" s="1342"/>
      <c r="I211" s="1342"/>
      <c r="J211" s="1342"/>
      <c r="K211" s="1342"/>
    </row>
    <row r="212" spans="2:11" ht="14" hidden="1">
      <c r="B212" s="1342"/>
      <c r="C212" s="1342"/>
      <c r="D212" s="1342"/>
      <c r="E212" s="1342"/>
      <c r="F212" s="1342"/>
      <c r="G212" s="1342"/>
      <c r="H212" s="1342"/>
      <c r="I212" s="1342"/>
      <c r="J212" s="1342"/>
      <c r="K212" s="1342"/>
    </row>
    <row r="213" spans="2:11" ht="14" hidden="1">
      <c r="B213" s="1342"/>
      <c r="C213" s="1342"/>
      <c r="D213" s="1342"/>
      <c r="E213" s="1342"/>
      <c r="F213" s="1342"/>
      <c r="G213" s="1342"/>
      <c r="H213" s="1342"/>
      <c r="I213" s="1342"/>
      <c r="J213" s="1342"/>
      <c r="K213" s="1342"/>
    </row>
    <row r="214" spans="2:11" ht="14" hidden="1">
      <c r="B214" s="1342"/>
      <c r="C214" s="1342"/>
      <c r="D214" s="1342"/>
      <c r="E214" s="1342"/>
      <c r="F214" s="1342"/>
      <c r="G214" s="1342"/>
      <c r="H214" s="1342"/>
      <c r="I214" s="1342"/>
      <c r="J214" s="1342"/>
      <c r="K214" s="1342"/>
    </row>
    <row r="215" spans="2:11" ht="14" hidden="1">
      <c r="B215" s="1342"/>
      <c r="C215" s="1342"/>
      <c r="D215" s="1342"/>
      <c r="E215" s="1342"/>
      <c r="F215" s="1342"/>
      <c r="G215" s="1342"/>
      <c r="H215" s="1342"/>
      <c r="I215" s="1342"/>
      <c r="J215" s="1342"/>
      <c r="K215" s="1342"/>
    </row>
    <row r="216" spans="2:11" ht="14" hidden="1">
      <c r="B216" s="1342"/>
      <c r="C216" s="1342"/>
      <c r="D216" s="1342"/>
      <c r="E216" s="1342"/>
      <c r="F216" s="1342"/>
      <c r="G216" s="1342"/>
      <c r="H216" s="1342"/>
      <c r="I216" s="1342"/>
      <c r="J216" s="1342"/>
      <c r="K216" s="1342"/>
    </row>
    <row r="217" spans="2:11" ht="14" hidden="1">
      <c r="B217" s="1342"/>
      <c r="C217" s="1342"/>
      <c r="D217" s="1342"/>
      <c r="E217" s="1342"/>
      <c r="F217" s="1342"/>
      <c r="G217" s="1342"/>
      <c r="H217" s="1342"/>
      <c r="I217" s="1342"/>
      <c r="J217" s="1342"/>
      <c r="K217" s="1342"/>
    </row>
    <row r="218" spans="2:11" ht="14" hidden="1">
      <c r="B218" s="1342"/>
      <c r="C218" s="1342"/>
      <c r="D218" s="1342"/>
      <c r="E218" s="1342"/>
      <c r="F218" s="1342"/>
      <c r="G218" s="1342"/>
      <c r="H218" s="1342"/>
      <c r="I218" s="1342"/>
      <c r="J218" s="1342"/>
      <c r="K218" s="1342"/>
    </row>
    <row r="219" spans="2:11" ht="14" hidden="1">
      <c r="B219" s="1342"/>
      <c r="C219" s="1342"/>
      <c r="D219" s="1342"/>
      <c r="E219" s="1342"/>
      <c r="F219" s="1342"/>
      <c r="G219" s="1342"/>
      <c r="H219" s="1342"/>
      <c r="I219" s="1342"/>
      <c r="J219" s="1342"/>
      <c r="K219" s="1342"/>
    </row>
    <row r="220" spans="2:11" ht="14" hidden="1">
      <c r="B220" s="1342"/>
      <c r="C220" s="1342"/>
      <c r="D220" s="1342"/>
      <c r="E220" s="1342"/>
      <c r="F220" s="1342"/>
      <c r="G220" s="1342"/>
      <c r="H220" s="1342"/>
      <c r="I220" s="1342"/>
      <c r="J220" s="1342"/>
      <c r="K220" s="1342"/>
    </row>
    <row r="221" spans="2:11" ht="14" hidden="1">
      <c r="B221" s="1342"/>
      <c r="C221" s="1342"/>
      <c r="D221" s="1342"/>
      <c r="E221" s="1342"/>
      <c r="F221" s="1342"/>
      <c r="G221" s="1342"/>
      <c r="H221" s="1342"/>
      <c r="I221" s="1342"/>
      <c r="J221" s="1342"/>
      <c r="K221" s="1342"/>
    </row>
    <row r="222" spans="2:11" ht="14" hidden="1">
      <c r="B222" s="1342"/>
      <c r="C222" s="1342"/>
      <c r="D222" s="1342"/>
      <c r="E222" s="1342"/>
      <c r="F222" s="1342"/>
      <c r="G222" s="1342"/>
      <c r="H222" s="1342"/>
      <c r="I222" s="1342"/>
      <c r="J222" s="1342"/>
      <c r="K222" s="1342"/>
    </row>
    <row r="223" spans="2:11" ht="14" hidden="1">
      <c r="B223" s="1342"/>
      <c r="C223" s="1342"/>
      <c r="D223" s="1342"/>
      <c r="E223" s="1342"/>
      <c r="F223" s="1342"/>
      <c r="G223" s="1342"/>
      <c r="H223" s="1342"/>
      <c r="I223" s="1342"/>
      <c r="J223" s="1342"/>
      <c r="K223" s="1342"/>
    </row>
    <row r="224" spans="2:11" ht="14" hidden="1">
      <c r="B224" s="1342"/>
      <c r="C224" s="1342"/>
      <c r="D224" s="1342"/>
      <c r="E224" s="1342"/>
      <c r="F224" s="1342"/>
      <c r="G224" s="1342"/>
      <c r="H224" s="1342"/>
      <c r="I224" s="1342"/>
      <c r="J224" s="1342"/>
      <c r="K224" s="1342"/>
    </row>
    <row r="225" spans="2:11" ht="14" hidden="1">
      <c r="B225" s="1342"/>
      <c r="C225" s="1342"/>
      <c r="D225" s="1342"/>
      <c r="E225" s="1342"/>
      <c r="F225" s="1342"/>
      <c r="G225" s="1342"/>
      <c r="H225" s="1342"/>
      <c r="I225" s="1342"/>
      <c r="J225" s="1342"/>
      <c r="K225" s="1342"/>
    </row>
    <row r="226" spans="2:11" ht="14" hidden="1">
      <c r="B226" s="1342"/>
      <c r="C226" s="1342"/>
      <c r="D226" s="1342"/>
      <c r="E226" s="1342"/>
      <c r="F226" s="1342"/>
      <c r="G226" s="1342"/>
      <c r="H226" s="1342"/>
      <c r="I226" s="1342"/>
      <c r="J226" s="1342"/>
      <c r="K226" s="1342"/>
    </row>
    <row r="227" spans="2:11" ht="14" hidden="1">
      <c r="B227" s="1342"/>
      <c r="C227" s="1342"/>
      <c r="D227" s="1342"/>
      <c r="E227" s="1342"/>
      <c r="F227" s="1342"/>
      <c r="G227" s="1342"/>
      <c r="H227" s="1342"/>
      <c r="I227" s="1342"/>
      <c r="J227" s="1342"/>
      <c r="K227" s="1342"/>
    </row>
    <row r="228" spans="2:11" ht="14" hidden="1">
      <c r="B228" s="1342"/>
      <c r="C228" s="1342"/>
      <c r="D228" s="1342"/>
      <c r="E228" s="1342"/>
      <c r="F228" s="1342"/>
      <c r="G228" s="1342"/>
      <c r="H228" s="1342"/>
      <c r="I228" s="1342"/>
      <c r="J228" s="1342"/>
      <c r="K228" s="1342"/>
    </row>
    <row r="229" spans="2:11" ht="14" hidden="1">
      <c r="B229" s="1342"/>
      <c r="C229" s="1342"/>
      <c r="D229" s="1342"/>
      <c r="E229" s="1342"/>
      <c r="F229" s="1342"/>
      <c r="G229" s="1342"/>
      <c r="H229" s="1342"/>
      <c r="I229" s="1342"/>
      <c r="J229" s="1342"/>
      <c r="K229" s="1342"/>
    </row>
    <row r="230" spans="2:11" ht="14" hidden="1">
      <c r="B230" s="1342"/>
      <c r="C230" s="1342"/>
      <c r="D230" s="1342"/>
      <c r="E230" s="1342"/>
      <c r="F230" s="1342"/>
      <c r="G230" s="1342"/>
      <c r="H230" s="1342"/>
      <c r="I230" s="1342"/>
      <c r="J230" s="1342"/>
      <c r="K230" s="1342"/>
    </row>
    <row r="231" spans="2:11" ht="14" hidden="1">
      <c r="B231" s="1342"/>
      <c r="C231" s="1342"/>
      <c r="D231" s="1342"/>
      <c r="E231" s="1342"/>
      <c r="F231" s="1342"/>
      <c r="G231" s="1342"/>
      <c r="H231" s="1342"/>
      <c r="I231" s="1342"/>
      <c r="J231" s="1342"/>
      <c r="K231" s="1342"/>
    </row>
    <row r="232" spans="2:11" ht="14" hidden="1">
      <c r="B232" s="1342"/>
      <c r="C232" s="1342"/>
      <c r="D232" s="1342"/>
      <c r="E232" s="1342"/>
      <c r="F232" s="1342"/>
      <c r="G232" s="1342"/>
      <c r="H232" s="1342"/>
      <c r="I232" s="1342"/>
      <c r="J232" s="1342"/>
      <c r="K232" s="1342"/>
    </row>
    <row r="233" spans="2:11" ht="14" hidden="1">
      <c r="B233" s="1342"/>
      <c r="C233" s="1342"/>
      <c r="D233" s="1342"/>
      <c r="E233" s="1342"/>
      <c r="F233" s="1342"/>
      <c r="G233" s="1342"/>
      <c r="H233" s="1342"/>
      <c r="I233" s="1342"/>
      <c r="J233" s="1342"/>
      <c r="K233" s="1342"/>
    </row>
    <row r="234" spans="2:11" ht="14" hidden="1">
      <c r="B234" s="1342"/>
      <c r="C234" s="1342"/>
      <c r="D234" s="1342"/>
      <c r="E234" s="1342"/>
      <c r="F234" s="1342"/>
      <c r="G234" s="1342"/>
      <c r="H234" s="1342"/>
      <c r="I234" s="1342"/>
      <c r="J234" s="1342"/>
      <c r="K234" s="1342"/>
    </row>
    <row r="235" spans="2:11" ht="14" hidden="1">
      <c r="B235" s="1342"/>
      <c r="C235" s="1342"/>
      <c r="D235" s="1342"/>
      <c r="E235" s="1342"/>
      <c r="F235" s="1342"/>
      <c r="G235" s="1342"/>
      <c r="H235" s="1342"/>
      <c r="I235" s="1342"/>
      <c r="J235" s="1342"/>
      <c r="K235" s="1342"/>
    </row>
    <row r="236" spans="2:11" ht="14" hidden="1">
      <c r="B236" s="1342"/>
      <c r="C236" s="1342"/>
      <c r="D236" s="1342"/>
      <c r="E236" s="1342"/>
      <c r="F236" s="1342"/>
      <c r="G236" s="1342"/>
      <c r="H236" s="1342"/>
      <c r="I236" s="1342"/>
      <c r="J236" s="1342"/>
      <c r="K236" s="1342"/>
    </row>
    <row r="237" spans="2:11" ht="14" hidden="1">
      <c r="B237" s="1342"/>
      <c r="C237" s="1342"/>
      <c r="D237" s="1342"/>
      <c r="E237" s="1342"/>
      <c r="F237" s="1342"/>
      <c r="G237" s="1342"/>
      <c r="H237" s="1342"/>
      <c r="I237" s="1342"/>
      <c r="J237" s="1342"/>
      <c r="K237" s="1342"/>
    </row>
    <row r="238" spans="2:11" ht="14" hidden="1">
      <c r="B238" s="1342"/>
      <c r="C238" s="1342"/>
      <c r="D238" s="1342"/>
      <c r="E238" s="1342"/>
      <c r="F238" s="1342"/>
      <c r="G238" s="1342"/>
      <c r="H238" s="1342"/>
      <c r="I238" s="1342"/>
      <c r="J238" s="1342"/>
      <c r="K238" s="1342"/>
    </row>
    <row r="239" spans="2:11" ht="14" hidden="1">
      <c r="B239" s="1342"/>
      <c r="C239" s="1342"/>
      <c r="D239" s="1342"/>
      <c r="E239" s="1342"/>
      <c r="F239" s="1342"/>
      <c r="G239" s="1342"/>
      <c r="H239" s="1342"/>
      <c r="I239" s="1342"/>
      <c r="J239" s="1342"/>
      <c r="K239" s="1342"/>
    </row>
    <row r="240" spans="2:11" ht="14" hidden="1">
      <c r="B240" s="1342"/>
      <c r="C240" s="1342"/>
      <c r="D240" s="1342"/>
      <c r="E240" s="1342"/>
      <c r="F240" s="1342"/>
      <c r="G240" s="1342"/>
      <c r="H240" s="1342"/>
      <c r="I240" s="1342"/>
      <c r="J240" s="1342"/>
      <c r="K240" s="1342"/>
    </row>
    <row r="241" spans="2:11" ht="14" hidden="1">
      <c r="B241" s="1342"/>
      <c r="C241" s="1342"/>
      <c r="D241" s="1342"/>
      <c r="E241" s="1342"/>
      <c r="F241" s="1342"/>
      <c r="G241" s="1342"/>
      <c r="H241" s="1342"/>
      <c r="I241" s="1342"/>
      <c r="J241" s="1342"/>
      <c r="K241" s="1342"/>
    </row>
    <row r="242" spans="2:11" ht="14" hidden="1">
      <c r="B242" s="1342"/>
      <c r="C242" s="1342"/>
      <c r="D242" s="1342"/>
      <c r="E242" s="1342"/>
      <c r="F242" s="1342"/>
      <c r="G242" s="1342"/>
      <c r="H242" s="1342"/>
      <c r="I242" s="1342"/>
      <c r="J242" s="1342"/>
      <c r="K242" s="1342"/>
    </row>
    <row r="243" spans="2:11" ht="14" hidden="1">
      <c r="B243" s="1342"/>
      <c r="C243" s="1342"/>
      <c r="D243" s="1342"/>
      <c r="E243" s="1342"/>
      <c r="F243" s="1342"/>
      <c r="G243" s="1342"/>
      <c r="H243" s="1342"/>
      <c r="I243" s="1342"/>
      <c r="J243" s="1342"/>
      <c r="K243" s="1342"/>
    </row>
    <row r="244" spans="2:11" ht="14" hidden="1">
      <c r="B244" s="1342"/>
      <c r="C244" s="1342"/>
      <c r="D244" s="1342"/>
      <c r="E244" s="1342"/>
      <c r="F244" s="1342"/>
      <c r="G244" s="1342"/>
      <c r="H244" s="1342"/>
      <c r="I244" s="1342"/>
      <c r="J244" s="1342"/>
      <c r="K244" s="1342"/>
    </row>
    <row r="245" spans="2:11" ht="14" hidden="1">
      <c r="B245" s="1342"/>
      <c r="C245" s="1342"/>
      <c r="D245" s="1342"/>
      <c r="E245" s="1342"/>
      <c r="F245" s="1342"/>
      <c r="G245" s="1342"/>
      <c r="H245" s="1342"/>
      <c r="I245" s="1342"/>
      <c r="J245" s="1342"/>
      <c r="K245" s="1342"/>
    </row>
    <row r="246" spans="2:11" ht="14" hidden="1">
      <c r="B246" s="1342"/>
      <c r="C246" s="1342"/>
      <c r="D246" s="1342"/>
      <c r="E246" s="1342"/>
      <c r="F246" s="1342"/>
      <c r="G246" s="1342"/>
      <c r="H246" s="1342"/>
      <c r="I246" s="1342"/>
      <c r="J246" s="1342"/>
      <c r="K246" s="1342"/>
    </row>
    <row r="247" spans="2:11" ht="14" hidden="1">
      <c r="B247" s="1342"/>
      <c r="C247" s="1342"/>
      <c r="D247" s="1342"/>
      <c r="E247" s="1342"/>
      <c r="F247" s="1342"/>
      <c r="G247" s="1342"/>
      <c r="H247" s="1342"/>
      <c r="I247" s="1342"/>
      <c r="J247" s="1342"/>
      <c r="K247" s="1342"/>
    </row>
    <row r="248" spans="2:11" ht="14" hidden="1">
      <c r="B248" s="1342"/>
      <c r="C248" s="1342"/>
      <c r="D248" s="1342"/>
      <c r="E248" s="1342"/>
      <c r="F248" s="1342"/>
      <c r="G248" s="1342"/>
      <c r="H248" s="1342"/>
      <c r="I248" s="1342"/>
      <c r="J248" s="1342"/>
      <c r="K248" s="1342"/>
    </row>
    <row r="249" spans="2:11" ht="14" hidden="1">
      <c r="B249" s="1342"/>
      <c r="C249" s="1342"/>
      <c r="D249" s="1342"/>
      <c r="E249" s="1342"/>
      <c r="F249" s="1342"/>
      <c r="G249" s="1342"/>
      <c r="H249" s="1342"/>
      <c r="I249" s="1342"/>
      <c r="J249" s="1342"/>
      <c r="K249" s="1342"/>
    </row>
    <row r="250" spans="2:11" ht="14" hidden="1">
      <c r="B250" s="1342"/>
      <c r="C250" s="1342"/>
      <c r="D250" s="1342"/>
      <c r="E250" s="1342"/>
      <c r="F250" s="1342"/>
      <c r="G250" s="1342"/>
      <c r="H250" s="1342"/>
      <c r="I250" s="1342"/>
      <c r="J250" s="1342"/>
      <c r="K250" s="1342"/>
    </row>
    <row r="251" spans="2:11" ht="14" hidden="1">
      <c r="B251" s="1342"/>
      <c r="C251" s="1342"/>
      <c r="D251" s="1342"/>
      <c r="E251" s="1342"/>
      <c r="F251" s="1342"/>
      <c r="G251" s="1342"/>
      <c r="H251" s="1342"/>
      <c r="I251" s="1342"/>
      <c r="J251" s="1342"/>
      <c r="K251" s="1342"/>
    </row>
    <row r="252" spans="2:11" ht="14" hidden="1">
      <c r="B252" s="1342"/>
      <c r="C252" s="1342"/>
      <c r="D252" s="1342"/>
      <c r="E252" s="1342"/>
      <c r="F252" s="1342"/>
      <c r="G252" s="1342"/>
      <c r="H252" s="1342"/>
      <c r="I252" s="1342"/>
      <c r="J252" s="1342"/>
      <c r="K252" s="1342"/>
    </row>
    <row r="253" spans="2:11" ht="14" hidden="1">
      <c r="B253" s="1342"/>
      <c r="C253" s="1342"/>
      <c r="D253" s="1342"/>
      <c r="E253" s="1342"/>
      <c r="F253" s="1342"/>
      <c r="G253" s="1342"/>
      <c r="H253" s="1342"/>
      <c r="I253" s="1342"/>
      <c r="J253" s="1342"/>
      <c r="K253" s="1342"/>
    </row>
    <row r="254" spans="2:11" ht="14" hidden="1">
      <c r="B254" s="1342"/>
      <c r="C254" s="1342"/>
      <c r="D254" s="1342"/>
      <c r="E254" s="1342"/>
      <c r="F254" s="1342"/>
      <c r="G254" s="1342"/>
      <c r="H254" s="1342"/>
      <c r="I254" s="1342"/>
      <c r="J254" s="1342"/>
      <c r="K254" s="1342"/>
    </row>
    <row r="255" spans="2:11" ht="14" hidden="1">
      <c r="B255" s="1342"/>
      <c r="C255" s="1342"/>
      <c r="D255" s="1342"/>
      <c r="E255" s="1342"/>
      <c r="F255" s="1342"/>
      <c r="G255" s="1342"/>
      <c r="H255" s="1342"/>
      <c r="I255" s="1342"/>
      <c r="J255" s="1342"/>
      <c r="K255" s="1342"/>
    </row>
    <row r="256" spans="2:11" ht="14" hidden="1">
      <c r="B256" s="1342"/>
      <c r="C256" s="1342"/>
      <c r="D256" s="1342"/>
      <c r="E256" s="1342"/>
      <c r="F256" s="1342"/>
      <c r="G256" s="1342"/>
      <c r="H256" s="1342"/>
      <c r="I256" s="1342"/>
      <c r="J256" s="1342"/>
      <c r="K256" s="1342"/>
    </row>
    <row r="257" spans="2:11" ht="14" hidden="1">
      <c r="B257" s="1342"/>
      <c r="C257" s="1342"/>
      <c r="D257" s="1342"/>
      <c r="E257" s="1342"/>
      <c r="F257" s="1342"/>
      <c r="G257" s="1342"/>
      <c r="H257" s="1342"/>
      <c r="I257" s="1342"/>
      <c r="J257" s="1342"/>
      <c r="K257" s="1342"/>
    </row>
    <row r="258" spans="2:11" ht="14" hidden="1">
      <c r="B258" s="1342"/>
      <c r="C258" s="1342"/>
      <c r="D258" s="1342"/>
      <c r="E258" s="1342"/>
      <c r="F258" s="1342"/>
      <c r="G258" s="1342"/>
      <c r="H258" s="1342"/>
      <c r="I258" s="1342"/>
      <c r="J258" s="1342"/>
      <c r="K258" s="1342"/>
    </row>
    <row r="259" spans="2:11" ht="14" hidden="1">
      <c r="B259" s="1342"/>
      <c r="C259" s="1342"/>
      <c r="D259" s="1342"/>
      <c r="E259" s="1342"/>
      <c r="F259" s="1342"/>
      <c r="G259" s="1342"/>
      <c r="H259" s="1342"/>
      <c r="I259" s="1342"/>
      <c r="J259" s="1342"/>
      <c r="K259" s="1342"/>
    </row>
    <row r="260" spans="2:11" ht="14" hidden="1">
      <c r="B260" s="1342"/>
      <c r="C260" s="1342"/>
      <c r="D260" s="1342"/>
      <c r="E260" s="1342"/>
      <c r="F260" s="1342"/>
      <c r="G260" s="1342"/>
      <c r="H260" s="1342"/>
      <c r="I260" s="1342"/>
      <c r="J260" s="1342"/>
      <c r="K260" s="1342"/>
    </row>
    <row r="261" spans="2:11" ht="14" hidden="1">
      <c r="B261" s="1342"/>
      <c r="C261" s="1342"/>
      <c r="D261" s="1342"/>
      <c r="E261" s="1342"/>
      <c r="F261" s="1342"/>
      <c r="G261" s="1342"/>
      <c r="H261" s="1342"/>
      <c r="I261" s="1342"/>
      <c r="J261" s="1342"/>
      <c r="K261" s="1342"/>
    </row>
    <row r="262" spans="2:11" ht="14" hidden="1">
      <c r="B262" s="1342"/>
      <c r="C262" s="1342"/>
      <c r="D262" s="1342"/>
      <c r="E262" s="1342"/>
      <c r="F262" s="1342"/>
      <c r="G262" s="1342"/>
      <c r="H262" s="1342"/>
      <c r="I262" s="1342"/>
      <c r="J262" s="1342"/>
      <c r="K262" s="1342"/>
    </row>
    <row r="263" spans="2:11" ht="14" hidden="1">
      <c r="B263" s="1342"/>
      <c r="C263" s="1342"/>
      <c r="D263" s="1342"/>
      <c r="E263" s="1342"/>
      <c r="F263" s="1342"/>
      <c r="G263" s="1342"/>
      <c r="H263" s="1342"/>
      <c r="I263" s="1342"/>
      <c r="J263" s="1342"/>
      <c r="K263" s="1342"/>
    </row>
    <row r="264" spans="2:11" ht="14" hidden="1">
      <c r="B264" s="1342"/>
      <c r="C264" s="1342"/>
      <c r="D264" s="1342"/>
      <c r="E264" s="1342"/>
      <c r="F264" s="1342"/>
      <c r="G264" s="1342"/>
      <c r="H264" s="1342"/>
      <c r="I264" s="1342"/>
      <c r="J264" s="1342"/>
      <c r="K264" s="1342"/>
    </row>
    <row r="265" spans="2:11" ht="14" hidden="1">
      <c r="B265" s="1342"/>
      <c r="C265" s="1342"/>
      <c r="D265" s="1342"/>
      <c r="E265" s="1342"/>
      <c r="F265" s="1342"/>
      <c r="G265" s="1342"/>
      <c r="H265" s="1342"/>
      <c r="I265" s="1342"/>
      <c r="J265" s="1342"/>
      <c r="K265" s="1342"/>
    </row>
    <row r="266" spans="2:11" ht="14" hidden="1">
      <c r="B266" s="1342"/>
      <c r="C266" s="1342"/>
      <c r="D266" s="1342"/>
      <c r="E266" s="1342"/>
      <c r="F266" s="1342"/>
      <c r="G266" s="1342"/>
      <c r="H266" s="1342"/>
      <c r="I266" s="1342"/>
      <c r="J266" s="1342"/>
      <c r="K266" s="1342"/>
    </row>
    <row r="267" spans="2:11" ht="14" hidden="1">
      <c r="B267" s="1342"/>
      <c r="C267" s="1342"/>
      <c r="D267" s="1342"/>
      <c r="E267" s="1342"/>
      <c r="F267" s="1342"/>
      <c r="G267" s="1342"/>
      <c r="H267" s="1342"/>
      <c r="I267" s="1342"/>
      <c r="J267" s="1342"/>
      <c r="K267" s="1342"/>
    </row>
    <row r="268" spans="2:11" ht="14" hidden="1">
      <c r="B268" s="1342"/>
      <c r="C268" s="1342"/>
      <c r="D268" s="1342"/>
      <c r="E268" s="1342"/>
      <c r="F268" s="1342"/>
      <c r="G268" s="1342"/>
      <c r="H268" s="1342"/>
      <c r="I268" s="1342"/>
      <c r="J268" s="1342"/>
      <c r="K268" s="1342"/>
    </row>
    <row r="269" spans="2:11" ht="14" hidden="1">
      <c r="B269" s="1342"/>
      <c r="C269" s="1342"/>
      <c r="D269" s="1342"/>
      <c r="E269" s="1342"/>
      <c r="F269" s="1342"/>
      <c r="G269" s="1342"/>
      <c r="H269" s="1342"/>
      <c r="I269" s="1342"/>
      <c r="J269" s="1342"/>
      <c r="K269" s="1342"/>
    </row>
    <row r="270" spans="2:11" ht="14" hidden="1">
      <c r="B270" s="1342"/>
      <c r="C270" s="1342"/>
      <c r="D270" s="1342"/>
      <c r="E270" s="1342"/>
      <c r="F270" s="1342"/>
      <c r="G270" s="1342"/>
      <c r="H270" s="1342"/>
      <c r="I270" s="1342"/>
      <c r="J270" s="1342"/>
      <c r="K270" s="1342"/>
    </row>
    <row r="271" spans="2:11" ht="14" hidden="1">
      <c r="B271" s="1342"/>
      <c r="C271" s="1342"/>
      <c r="D271" s="1342"/>
      <c r="E271" s="1342"/>
      <c r="F271" s="1342"/>
      <c r="G271" s="1342"/>
      <c r="H271" s="1342"/>
      <c r="I271" s="1342"/>
      <c r="J271" s="1342"/>
      <c r="K271" s="1342"/>
    </row>
    <row r="272" spans="2:11" ht="14" hidden="1">
      <c r="B272" s="1342"/>
      <c r="C272" s="1342"/>
      <c r="D272" s="1342"/>
      <c r="E272" s="1342"/>
      <c r="F272" s="1342"/>
      <c r="G272" s="1342"/>
      <c r="H272" s="1342"/>
      <c r="I272" s="1342"/>
      <c r="J272" s="1342"/>
      <c r="K272" s="1342"/>
    </row>
    <row r="273" spans="2:11" ht="14" hidden="1">
      <c r="B273" s="1342"/>
      <c r="C273" s="1342"/>
      <c r="D273" s="1342"/>
      <c r="E273" s="1342"/>
      <c r="F273" s="1342"/>
      <c r="G273" s="1342"/>
      <c r="H273" s="1342"/>
      <c r="I273" s="1342"/>
      <c r="J273" s="1342"/>
      <c r="K273" s="1342"/>
    </row>
    <row r="274" spans="2:11" ht="14" hidden="1">
      <c r="B274" s="1342"/>
      <c r="C274" s="1342"/>
      <c r="D274" s="1342"/>
      <c r="E274" s="1342"/>
      <c r="F274" s="1342"/>
      <c r="G274" s="1342"/>
      <c r="H274" s="1342"/>
      <c r="I274" s="1342"/>
      <c r="J274" s="1342"/>
      <c r="K274" s="1342"/>
    </row>
    <row r="275" spans="2:11" ht="14" hidden="1">
      <c r="B275" s="1342"/>
      <c r="C275" s="1342"/>
      <c r="D275" s="1342"/>
      <c r="E275" s="1342"/>
      <c r="F275" s="1342"/>
      <c r="G275" s="1342"/>
      <c r="H275" s="1342"/>
      <c r="I275" s="1342"/>
      <c r="J275" s="1342"/>
      <c r="K275" s="1342"/>
    </row>
    <row r="276" spans="2:11" ht="14" hidden="1">
      <c r="B276" s="1342"/>
      <c r="C276" s="1342"/>
      <c r="D276" s="1342"/>
      <c r="E276" s="1342"/>
      <c r="F276" s="1342"/>
      <c r="G276" s="1342"/>
      <c r="H276" s="1342"/>
      <c r="I276" s="1342"/>
      <c r="J276" s="1342"/>
      <c r="K276" s="1342"/>
    </row>
    <row r="277" spans="2:11" ht="14" hidden="1">
      <c r="B277" s="1342"/>
      <c r="C277" s="1342"/>
      <c r="D277" s="1342"/>
      <c r="E277" s="1342"/>
      <c r="F277" s="1342"/>
      <c r="G277" s="1342"/>
      <c r="H277" s="1342"/>
      <c r="I277" s="1342"/>
      <c r="J277" s="1342"/>
      <c r="K277" s="1342"/>
    </row>
    <row r="278" spans="2:11" ht="14" hidden="1">
      <c r="B278" s="1342"/>
      <c r="C278" s="1342"/>
      <c r="D278" s="1342"/>
      <c r="E278" s="1342"/>
      <c r="F278" s="1342"/>
      <c r="G278" s="1342"/>
      <c r="H278" s="1342"/>
      <c r="I278" s="1342"/>
      <c r="J278" s="1342"/>
      <c r="K278" s="1342"/>
    </row>
    <row r="279" spans="2:11" ht="14" hidden="1">
      <c r="B279" s="1342"/>
      <c r="C279" s="1342"/>
      <c r="D279" s="1342"/>
      <c r="E279" s="1342"/>
      <c r="F279" s="1342"/>
      <c r="G279" s="1342"/>
      <c r="H279" s="1342"/>
      <c r="I279" s="1342"/>
      <c r="J279" s="1342"/>
      <c r="K279" s="1342"/>
    </row>
    <row r="280" spans="2:11" ht="14" hidden="1">
      <c r="B280" s="1342"/>
      <c r="C280" s="1342"/>
      <c r="D280" s="1342"/>
      <c r="E280" s="1342"/>
      <c r="F280" s="1342"/>
      <c r="G280" s="1342"/>
      <c r="H280" s="1342"/>
      <c r="I280" s="1342"/>
      <c r="J280" s="1342"/>
      <c r="K280" s="1342"/>
    </row>
    <row r="281" spans="2:11" ht="14" hidden="1">
      <c r="B281" s="1342"/>
      <c r="C281" s="1342"/>
      <c r="D281" s="1342"/>
      <c r="E281" s="1342"/>
      <c r="F281" s="1342"/>
      <c r="G281" s="1342"/>
      <c r="H281" s="1342"/>
      <c r="I281" s="1342"/>
      <c r="J281" s="1342"/>
      <c r="K281" s="1342"/>
    </row>
    <row r="282" spans="2:11" ht="14" hidden="1">
      <c r="B282" s="1342"/>
      <c r="C282" s="1342"/>
      <c r="D282" s="1342"/>
      <c r="E282" s="1342"/>
      <c r="F282" s="1342"/>
      <c r="G282" s="1342"/>
      <c r="H282" s="1342"/>
      <c r="I282" s="1342"/>
      <c r="J282" s="1342"/>
      <c r="K282" s="1342"/>
    </row>
    <row r="283" spans="2:11" ht="14" hidden="1">
      <c r="B283" s="1342"/>
      <c r="C283" s="1342"/>
      <c r="D283" s="1342"/>
      <c r="E283" s="1342"/>
      <c r="F283" s="1342"/>
      <c r="G283" s="1342"/>
      <c r="H283" s="1342"/>
      <c r="I283" s="1342"/>
      <c r="J283" s="1342"/>
      <c r="K283" s="1342"/>
    </row>
    <row r="284" spans="2:11" ht="14" hidden="1">
      <c r="B284" s="1342"/>
      <c r="C284" s="1342"/>
      <c r="D284" s="1342"/>
      <c r="E284" s="1342"/>
      <c r="F284" s="1342"/>
      <c r="G284" s="1342"/>
      <c r="H284" s="1342"/>
      <c r="I284" s="1342"/>
      <c r="J284" s="1342"/>
      <c r="K284" s="1342"/>
    </row>
    <row r="285" spans="2:11" ht="14" hidden="1">
      <c r="B285" s="1342"/>
      <c r="C285" s="1342"/>
      <c r="D285" s="1342"/>
      <c r="E285" s="1342"/>
      <c r="F285" s="1342"/>
      <c r="G285" s="1342"/>
      <c r="H285" s="1342"/>
      <c r="I285" s="1342"/>
      <c r="J285" s="1342"/>
      <c r="K285" s="1342"/>
    </row>
    <row r="286" spans="2:11" ht="14" hidden="1">
      <c r="B286" s="1342"/>
      <c r="C286" s="1342"/>
      <c r="D286" s="1342"/>
      <c r="E286" s="1342"/>
      <c r="F286" s="1342"/>
      <c r="G286" s="1342"/>
      <c r="H286" s="1342"/>
      <c r="I286" s="1342"/>
      <c r="J286" s="1342"/>
      <c r="K286" s="1342"/>
    </row>
    <row r="287" spans="2:11" ht="14" hidden="1">
      <c r="B287" s="1342"/>
      <c r="C287" s="1342"/>
      <c r="D287" s="1342"/>
      <c r="E287" s="1342"/>
      <c r="F287" s="1342"/>
      <c r="G287" s="1342"/>
      <c r="H287" s="1342"/>
      <c r="I287" s="1342"/>
      <c r="J287" s="1342"/>
      <c r="K287" s="1342"/>
    </row>
    <row r="288" spans="2:11" ht="14" hidden="1">
      <c r="B288" s="1342"/>
      <c r="C288" s="1342"/>
      <c r="D288" s="1342"/>
      <c r="E288" s="1342"/>
      <c r="F288" s="1342"/>
      <c r="G288" s="1342"/>
      <c r="H288" s="1342"/>
      <c r="I288" s="1342"/>
      <c r="J288" s="1342"/>
      <c r="K288" s="1342"/>
    </row>
    <row r="289" spans="2:11" ht="14" hidden="1">
      <c r="B289" s="1342"/>
      <c r="C289" s="1342"/>
      <c r="D289" s="1342"/>
      <c r="E289" s="1342"/>
      <c r="F289" s="1342"/>
      <c r="G289" s="1342"/>
      <c r="H289" s="1342"/>
      <c r="I289" s="1342"/>
      <c r="J289" s="1342"/>
      <c r="K289" s="1342"/>
    </row>
    <row r="290" spans="2:11" ht="14" hidden="1">
      <c r="B290" s="1342"/>
      <c r="C290" s="1342"/>
      <c r="D290" s="1342"/>
      <c r="E290" s="1342"/>
      <c r="F290" s="1342"/>
      <c r="G290" s="1342"/>
      <c r="H290" s="1342"/>
      <c r="I290" s="1342"/>
      <c r="J290" s="1342"/>
      <c r="K290" s="1342"/>
    </row>
    <row r="291" spans="2:11" ht="14" hidden="1">
      <c r="B291" s="1342"/>
      <c r="C291" s="1342"/>
      <c r="D291" s="1342"/>
      <c r="E291" s="1342"/>
      <c r="F291" s="1342"/>
      <c r="G291" s="1342"/>
      <c r="H291" s="1342"/>
      <c r="I291" s="1342"/>
      <c r="J291" s="1342"/>
      <c r="K291" s="1342"/>
    </row>
    <row r="292" spans="2:11" ht="14" hidden="1">
      <c r="B292" s="1342"/>
      <c r="C292" s="1342"/>
      <c r="D292" s="1342"/>
      <c r="E292" s="1342"/>
      <c r="F292" s="1342"/>
      <c r="G292" s="1342"/>
      <c r="H292" s="1342"/>
      <c r="I292" s="1342"/>
      <c r="J292" s="1342"/>
      <c r="K292" s="1342"/>
    </row>
    <row r="293" spans="2:11" ht="14" hidden="1">
      <c r="B293" s="1342"/>
      <c r="C293" s="1342"/>
      <c r="D293" s="1342"/>
      <c r="E293" s="1342"/>
      <c r="F293" s="1342"/>
      <c r="G293" s="1342"/>
      <c r="H293" s="1342"/>
      <c r="I293" s="1342"/>
      <c r="J293" s="1342"/>
      <c r="K293" s="1342"/>
    </row>
    <row r="294" spans="2:11" ht="14" hidden="1">
      <c r="B294" s="1342"/>
      <c r="C294" s="1342"/>
      <c r="D294" s="1342"/>
      <c r="E294" s="1342"/>
      <c r="F294" s="1342"/>
      <c r="G294" s="1342"/>
      <c r="H294" s="1342"/>
      <c r="I294" s="1342"/>
      <c r="J294" s="1342"/>
      <c r="K294" s="1342"/>
    </row>
    <row r="295" spans="2:11" ht="14" hidden="1">
      <c r="B295" s="1342"/>
      <c r="C295" s="1342"/>
      <c r="D295" s="1342"/>
      <c r="E295" s="1342"/>
      <c r="F295" s="1342"/>
      <c r="G295" s="1342"/>
      <c r="H295" s="1342"/>
      <c r="I295" s="1342"/>
      <c r="J295" s="1342"/>
      <c r="K295" s="1342"/>
    </row>
    <row r="296" spans="2:11" ht="14" hidden="1">
      <c r="B296" s="1342"/>
      <c r="C296" s="1342"/>
      <c r="D296" s="1342"/>
      <c r="E296" s="1342"/>
      <c r="F296" s="1342"/>
      <c r="G296" s="1342"/>
      <c r="H296" s="1342"/>
      <c r="I296" s="1342"/>
      <c r="J296" s="1342"/>
      <c r="K296" s="1342"/>
    </row>
    <row r="297" spans="2:11" ht="14" hidden="1">
      <c r="B297" s="1342"/>
      <c r="C297" s="1342"/>
      <c r="D297" s="1342"/>
      <c r="E297" s="1342"/>
      <c r="F297" s="1342"/>
      <c r="G297" s="1342"/>
      <c r="H297" s="1342"/>
      <c r="I297" s="1342"/>
      <c r="J297" s="1342"/>
      <c r="K297" s="1342"/>
    </row>
    <row r="298" spans="2:11" ht="14" hidden="1">
      <c r="B298" s="1342"/>
      <c r="C298" s="1342"/>
      <c r="D298" s="1342"/>
      <c r="E298" s="1342"/>
      <c r="F298" s="1342"/>
      <c r="G298" s="1342"/>
      <c r="H298" s="1342"/>
      <c r="I298" s="1342"/>
      <c r="J298" s="1342"/>
      <c r="K298" s="1342"/>
    </row>
    <row r="299" spans="2:11" ht="14" hidden="1">
      <c r="B299" s="1342"/>
      <c r="C299" s="1342"/>
      <c r="D299" s="1342"/>
      <c r="E299" s="1342"/>
      <c r="F299" s="1342"/>
      <c r="G299" s="1342"/>
      <c r="H299" s="1342"/>
      <c r="I299" s="1342"/>
      <c r="J299" s="1342"/>
      <c r="K299" s="1342"/>
    </row>
    <row r="300" spans="2:11" ht="14" hidden="1">
      <c r="B300" s="1342"/>
      <c r="C300" s="1342"/>
      <c r="D300" s="1342"/>
      <c r="E300" s="1342"/>
      <c r="F300" s="1342"/>
      <c r="G300" s="1342"/>
      <c r="H300" s="1342"/>
      <c r="I300" s="1342"/>
      <c r="J300" s="1342"/>
      <c r="K300" s="1342"/>
    </row>
    <row r="301" spans="2:11" ht="14" hidden="1">
      <c r="B301" s="1342"/>
      <c r="C301" s="1342"/>
      <c r="D301" s="1342"/>
      <c r="E301" s="1342"/>
      <c r="F301" s="1342"/>
      <c r="G301" s="1342"/>
      <c r="H301" s="1342"/>
      <c r="I301" s="1342"/>
      <c r="J301" s="1342"/>
      <c r="K301" s="1342"/>
    </row>
    <row r="302" spans="2:11" ht="14" hidden="1">
      <c r="B302" s="1342"/>
      <c r="C302" s="1342"/>
      <c r="D302" s="1342"/>
      <c r="E302" s="1342"/>
      <c r="F302" s="1342"/>
      <c r="G302" s="1342"/>
      <c r="H302" s="1342"/>
      <c r="I302" s="1342"/>
      <c r="J302" s="1342"/>
      <c r="K302" s="1342"/>
    </row>
    <row r="303" spans="2:11" ht="14" hidden="1">
      <c r="B303" s="1342"/>
      <c r="C303" s="1342"/>
      <c r="D303" s="1342"/>
      <c r="E303" s="1342"/>
      <c r="F303" s="1342"/>
      <c r="G303" s="1342"/>
      <c r="H303" s="1342"/>
      <c r="I303" s="1342"/>
      <c r="J303" s="1342"/>
      <c r="K303" s="1342"/>
    </row>
    <row r="304" spans="2:11" ht="14" hidden="1">
      <c r="B304" s="1342"/>
      <c r="C304" s="1342"/>
      <c r="D304" s="1342"/>
      <c r="E304" s="1342"/>
      <c r="F304" s="1342"/>
      <c r="G304" s="1342"/>
      <c r="H304" s="1342"/>
      <c r="I304" s="1342"/>
      <c r="J304" s="1342"/>
      <c r="K304" s="1342"/>
    </row>
    <row r="305" spans="2:11" ht="14" hidden="1">
      <c r="B305" s="1342"/>
      <c r="C305" s="1342"/>
      <c r="D305" s="1342"/>
      <c r="E305" s="1342"/>
      <c r="F305" s="1342"/>
      <c r="G305" s="1342"/>
      <c r="H305" s="1342"/>
      <c r="I305" s="1342"/>
      <c r="J305" s="1342"/>
      <c r="K305" s="1342"/>
    </row>
    <row r="306" spans="2:11" ht="14" hidden="1">
      <c r="B306" s="1342"/>
      <c r="C306" s="1342"/>
      <c r="D306" s="1342"/>
      <c r="E306" s="1342"/>
      <c r="F306" s="1342"/>
      <c r="G306" s="1342"/>
      <c r="H306" s="1342"/>
      <c r="I306" s="1342"/>
      <c r="J306" s="1342"/>
      <c r="K306" s="1342"/>
    </row>
    <row r="307" spans="2:11" ht="14" hidden="1">
      <c r="B307" s="1342"/>
      <c r="C307" s="1342"/>
      <c r="D307" s="1342"/>
      <c r="E307" s="1342"/>
      <c r="F307" s="1342"/>
      <c r="G307" s="1342"/>
      <c r="H307" s="1342"/>
      <c r="I307" s="1342"/>
      <c r="J307" s="1342"/>
      <c r="K307" s="1342"/>
    </row>
    <row r="308" spans="2:11" ht="14" hidden="1">
      <c r="B308" s="1342"/>
      <c r="C308" s="1342"/>
      <c r="D308" s="1342"/>
      <c r="E308" s="1342"/>
      <c r="F308" s="1342"/>
      <c r="G308" s="1342"/>
      <c r="H308" s="1342"/>
      <c r="I308" s="1342"/>
      <c r="J308" s="1342"/>
      <c r="K308" s="1342"/>
    </row>
    <row r="309" spans="2:11" ht="14" hidden="1">
      <c r="B309" s="1342"/>
      <c r="C309" s="1342"/>
      <c r="D309" s="1342"/>
      <c r="E309" s="1342"/>
      <c r="F309" s="1342"/>
      <c r="G309" s="1342"/>
      <c r="H309" s="1342"/>
      <c r="I309" s="1342"/>
      <c r="J309" s="1342"/>
      <c r="K309" s="1342"/>
    </row>
    <row r="310" spans="2:11" ht="14" hidden="1">
      <c r="B310" s="1342"/>
      <c r="C310" s="1342"/>
      <c r="D310" s="1342"/>
      <c r="E310" s="1342"/>
      <c r="F310" s="1342"/>
      <c r="G310" s="1342"/>
      <c r="H310" s="1342"/>
      <c r="I310" s="1342"/>
      <c r="J310" s="1342"/>
      <c r="K310" s="1342"/>
    </row>
    <row r="311" spans="2:11" ht="14" hidden="1">
      <c r="B311" s="1342"/>
      <c r="C311" s="1342"/>
      <c r="D311" s="1342"/>
      <c r="E311" s="1342"/>
      <c r="F311" s="1342"/>
      <c r="G311" s="1342"/>
      <c r="H311" s="1342"/>
      <c r="I311" s="1342"/>
      <c r="J311" s="1342"/>
      <c r="K311" s="1342"/>
    </row>
    <row r="312" spans="2:11" ht="14" hidden="1">
      <c r="B312" s="1342"/>
      <c r="C312" s="1342"/>
      <c r="D312" s="1342"/>
      <c r="E312" s="1342"/>
      <c r="F312" s="1342"/>
      <c r="G312" s="1342"/>
      <c r="H312" s="1342"/>
      <c r="I312" s="1342"/>
      <c r="J312" s="1342"/>
      <c r="K312" s="1342"/>
    </row>
    <row r="313" spans="2:11" ht="14" hidden="1">
      <c r="B313" s="1342"/>
      <c r="C313" s="1342"/>
      <c r="D313" s="1342"/>
      <c r="E313" s="1342"/>
      <c r="F313" s="1342"/>
      <c r="G313" s="1342"/>
      <c r="H313" s="1342"/>
      <c r="I313" s="1342"/>
      <c r="J313" s="1342"/>
      <c r="K313" s="1342"/>
    </row>
    <row r="314" spans="2:11" ht="14" hidden="1">
      <c r="B314" s="1342"/>
      <c r="C314" s="1342"/>
      <c r="D314" s="1342"/>
      <c r="E314" s="1342"/>
      <c r="F314" s="1342"/>
      <c r="G314" s="1342"/>
      <c r="H314" s="1342"/>
      <c r="I314" s="1342"/>
      <c r="J314" s="1342"/>
      <c r="K314" s="1342"/>
    </row>
    <row r="315" spans="2:11" ht="14" hidden="1">
      <c r="B315" s="1342"/>
      <c r="C315" s="1342"/>
      <c r="D315" s="1342"/>
      <c r="E315" s="1342"/>
      <c r="F315" s="1342"/>
      <c r="G315" s="1342"/>
      <c r="H315" s="1342"/>
      <c r="I315" s="1342"/>
      <c r="J315" s="1342"/>
      <c r="K315" s="1342"/>
    </row>
    <row r="316" spans="2:11" ht="14" hidden="1">
      <c r="B316" s="1342"/>
      <c r="C316" s="1342"/>
      <c r="D316" s="1342"/>
      <c r="E316" s="1342"/>
      <c r="F316" s="1342"/>
      <c r="G316" s="1342"/>
      <c r="H316" s="1342"/>
      <c r="I316" s="1342"/>
      <c r="J316" s="1342"/>
      <c r="K316" s="1342"/>
    </row>
    <row r="317" spans="2:11" ht="14" hidden="1">
      <c r="B317" s="1342"/>
      <c r="C317" s="1342"/>
      <c r="D317" s="1342"/>
      <c r="E317" s="1342"/>
      <c r="F317" s="1342"/>
      <c r="G317" s="1342"/>
      <c r="H317" s="1342"/>
      <c r="I317" s="1342"/>
      <c r="J317" s="1342"/>
      <c r="K317" s="1342"/>
    </row>
    <row r="318" spans="2:11" ht="14" hidden="1">
      <c r="B318" s="1342"/>
      <c r="C318" s="1342"/>
      <c r="D318" s="1342"/>
      <c r="E318" s="1342"/>
      <c r="F318" s="1342"/>
      <c r="G318" s="1342"/>
      <c r="H318" s="1342"/>
      <c r="I318" s="1342"/>
      <c r="J318" s="1342"/>
      <c r="K318" s="1342"/>
    </row>
    <row r="319" spans="2:11" ht="14" hidden="1">
      <c r="B319" s="1342"/>
      <c r="C319" s="1342"/>
      <c r="D319" s="1342"/>
      <c r="E319" s="1342"/>
      <c r="F319" s="1342"/>
      <c r="G319" s="1342"/>
      <c r="H319" s="1342"/>
      <c r="I319" s="1342"/>
      <c r="J319" s="1342"/>
      <c r="K319" s="1342"/>
    </row>
    <row r="320" spans="2:11" ht="14" hidden="1">
      <c r="B320" s="1342"/>
      <c r="C320" s="1342"/>
      <c r="D320" s="1342"/>
      <c r="E320" s="1342"/>
      <c r="F320" s="1342"/>
      <c r="G320" s="1342"/>
      <c r="H320" s="1342"/>
      <c r="I320" s="1342"/>
      <c r="J320" s="1342"/>
      <c r="K320" s="1342"/>
    </row>
    <row r="321" spans="2:11" ht="14" hidden="1">
      <c r="B321" s="1342"/>
      <c r="C321" s="1342"/>
      <c r="D321" s="1342"/>
      <c r="E321" s="1342"/>
      <c r="F321" s="1342"/>
      <c r="G321" s="1342"/>
      <c r="H321" s="1342"/>
      <c r="I321" s="1342"/>
      <c r="J321" s="1342"/>
      <c r="K321" s="1342"/>
    </row>
    <row r="322" spans="2:11" ht="14" hidden="1">
      <c r="B322" s="1342"/>
      <c r="C322" s="1342"/>
      <c r="D322" s="1342"/>
      <c r="E322" s="1342"/>
      <c r="F322" s="1342"/>
      <c r="G322" s="1342"/>
      <c r="H322" s="1342"/>
      <c r="I322" s="1342"/>
      <c r="J322" s="1342"/>
      <c r="K322" s="1342"/>
    </row>
    <row r="323" spans="2:11" ht="14" hidden="1">
      <c r="B323" s="1342"/>
      <c r="C323" s="1342"/>
      <c r="D323" s="1342"/>
      <c r="E323" s="1342"/>
      <c r="F323" s="1342"/>
      <c r="G323" s="1342"/>
      <c r="H323" s="1342"/>
      <c r="I323" s="1342"/>
      <c r="J323" s="1342"/>
      <c r="K323" s="1342"/>
    </row>
    <row r="324" spans="2:11" ht="14" hidden="1">
      <c r="B324" s="1342"/>
      <c r="C324" s="1342"/>
      <c r="D324" s="1342"/>
      <c r="E324" s="1342"/>
      <c r="F324" s="1342"/>
      <c r="G324" s="1342"/>
      <c r="H324" s="1342"/>
      <c r="I324" s="1342"/>
      <c r="J324" s="1342"/>
      <c r="K324" s="1342"/>
    </row>
    <row r="325" spans="2:11" ht="14" hidden="1">
      <c r="B325" s="1342"/>
      <c r="C325" s="1342"/>
      <c r="D325" s="1342"/>
      <c r="E325" s="1342"/>
      <c r="F325" s="1342"/>
      <c r="G325" s="1342"/>
      <c r="H325" s="1342"/>
      <c r="I325" s="1342"/>
      <c r="J325" s="1342"/>
      <c r="K325" s="1342"/>
    </row>
    <row r="326" spans="2:11" ht="14" hidden="1">
      <c r="B326" s="1342"/>
      <c r="C326" s="1342"/>
      <c r="D326" s="1342"/>
      <c r="E326" s="1342"/>
      <c r="F326" s="1342"/>
      <c r="G326" s="1342"/>
      <c r="H326" s="1342"/>
      <c r="I326" s="1342"/>
      <c r="J326" s="1342"/>
      <c r="K326" s="1342"/>
    </row>
    <row r="327" spans="2:11" ht="14" hidden="1">
      <c r="B327" s="1342"/>
      <c r="C327" s="1342"/>
      <c r="D327" s="1342"/>
      <c r="E327" s="1342"/>
      <c r="F327" s="1342"/>
      <c r="G327" s="1342"/>
      <c r="H327" s="1342"/>
      <c r="I327" s="1342"/>
      <c r="J327" s="1342"/>
      <c r="K327" s="1342"/>
    </row>
    <row r="328" spans="2:11" ht="14" hidden="1">
      <c r="B328" s="1342"/>
      <c r="C328" s="1342"/>
      <c r="D328" s="1342"/>
      <c r="E328" s="1342"/>
      <c r="F328" s="1342"/>
      <c r="G328" s="1342"/>
      <c r="H328" s="1342"/>
      <c r="I328" s="1342"/>
      <c r="J328" s="1342"/>
      <c r="K328" s="1342"/>
    </row>
    <row r="329" spans="2:11" ht="14" hidden="1">
      <c r="B329" s="1342"/>
      <c r="C329" s="1342"/>
      <c r="D329" s="1342"/>
      <c r="E329" s="1342"/>
      <c r="F329" s="1342"/>
      <c r="G329" s="1342"/>
      <c r="H329" s="1342"/>
      <c r="I329" s="1342"/>
      <c r="J329" s="1342"/>
      <c r="K329" s="1342"/>
    </row>
    <row r="330" spans="2:11" ht="14" hidden="1">
      <c r="B330" s="1342"/>
      <c r="C330" s="1342"/>
      <c r="D330" s="1342"/>
      <c r="E330" s="1342"/>
      <c r="F330" s="1342"/>
      <c r="G330" s="1342"/>
      <c r="H330" s="1342"/>
      <c r="I330" s="1342"/>
      <c r="J330" s="1342"/>
      <c r="K330" s="1342"/>
    </row>
    <row r="331" spans="2:11" ht="14" hidden="1">
      <c r="B331" s="1342"/>
      <c r="C331" s="1342"/>
      <c r="D331" s="1342"/>
      <c r="E331" s="1342"/>
      <c r="F331" s="1342"/>
      <c r="G331" s="1342"/>
      <c r="H331" s="1342"/>
      <c r="I331" s="1342"/>
      <c r="J331" s="1342"/>
      <c r="K331" s="1342"/>
    </row>
    <row r="332" spans="2:11" ht="14" hidden="1">
      <c r="B332" s="1342"/>
      <c r="C332" s="1342"/>
      <c r="D332" s="1342"/>
      <c r="E332" s="1342"/>
      <c r="F332" s="1342"/>
      <c r="G332" s="1342"/>
      <c r="H332" s="1342"/>
      <c r="I332" s="1342"/>
      <c r="J332" s="1342"/>
      <c r="K332" s="1342"/>
    </row>
    <row r="333" spans="2:11" ht="14" hidden="1">
      <c r="B333" s="1342"/>
      <c r="C333" s="1342"/>
      <c r="D333" s="1342"/>
      <c r="E333" s="1342"/>
      <c r="F333" s="1342"/>
      <c r="G333" s="1342"/>
      <c r="H333" s="1342"/>
      <c r="I333" s="1342"/>
      <c r="J333" s="1342"/>
      <c r="K333" s="1342"/>
    </row>
    <row r="334" spans="2:11" ht="14" hidden="1">
      <c r="B334" s="1342"/>
      <c r="C334" s="1342"/>
      <c r="D334" s="1342"/>
      <c r="E334" s="1342"/>
      <c r="F334" s="1342"/>
      <c r="G334" s="1342"/>
      <c r="H334" s="1342"/>
      <c r="I334" s="1342"/>
      <c r="J334" s="1342"/>
      <c r="K334" s="1342"/>
    </row>
    <row r="335" spans="2:11" ht="14" hidden="1">
      <c r="B335" s="1342"/>
      <c r="C335" s="1342"/>
      <c r="D335" s="1342"/>
      <c r="E335" s="1342"/>
      <c r="F335" s="1342"/>
      <c r="G335" s="1342"/>
      <c r="H335" s="1342"/>
      <c r="I335" s="1342"/>
      <c r="J335" s="1342"/>
      <c r="K335" s="1342"/>
    </row>
    <row r="336" spans="2:11" ht="14" hidden="1">
      <c r="B336" s="1342"/>
      <c r="C336" s="1342"/>
      <c r="D336" s="1342"/>
      <c r="E336" s="1342"/>
      <c r="F336" s="1342"/>
      <c r="G336" s="1342"/>
      <c r="H336" s="1342"/>
      <c r="I336" s="1342"/>
      <c r="J336" s="1342"/>
      <c r="K336" s="1342"/>
    </row>
    <row r="337" spans="2:11" ht="14" hidden="1">
      <c r="B337" s="1342"/>
      <c r="C337" s="1342"/>
      <c r="D337" s="1342"/>
      <c r="E337" s="1342"/>
      <c r="F337" s="1342"/>
      <c r="G337" s="1342"/>
      <c r="H337" s="1342"/>
      <c r="I337" s="1342"/>
      <c r="J337" s="1342"/>
      <c r="K337" s="1342"/>
    </row>
    <row r="338" spans="2:11" ht="14" hidden="1">
      <c r="B338" s="1342"/>
      <c r="C338" s="1342"/>
      <c r="D338" s="1342"/>
      <c r="E338" s="1342"/>
      <c r="F338" s="1342"/>
      <c r="G338" s="1342"/>
      <c r="H338" s="1342"/>
      <c r="I338" s="1342"/>
      <c r="J338" s="1342"/>
      <c r="K338" s="1342"/>
    </row>
    <row r="339" spans="2:11" ht="14" hidden="1">
      <c r="B339" s="1342"/>
      <c r="C339" s="1342"/>
      <c r="D339" s="1342"/>
      <c r="E339" s="1342"/>
      <c r="F339" s="1342"/>
      <c r="G339" s="1342"/>
      <c r="H339" s="1342"/>
      <c r="I339" s="1342"/>
      <c r="J339" s="1342"/>
      <c r="K339" s="1342"/>
    </row>
    <row r="340" spans="2:11" ht="14" hidden="1">
      <c r="B340" s="1342"/>
      <c r="C340" s="1342"/>
      <c r="D340" s="1342"/>
      <c r="E340" s="1342"/>
      <c r="F340" s="1342"/>
      <c r="G340" s="1342"/>
      <c r="H340" s="1342"/>
      <c r="I340" s="1342"/>
      <c r="J340" s="1342"/>
      <c r="K340" s="1342"/>
    </row>
    <row r="341" spans="2:11" ht="14" hidden="1">
      <c r="B341" s="1342"/>
      <c r="C341" s="1342"/>
      <c r="D341" s="1342"/>
      <c r="E341" s="1342"/>
      <c r="F341" s="1342"/>
      <c r="G341" s="1342"/>
      <c r="H341" s="1342"/>
      <c r="I341" s="1342"/>
      <c r="J341" s="1342"/>
      <c r="K341" s="1342"/>
    </row>
    <row r="342" spans="2:11" ht="14" hidden="1">
      <c r="B342" s="1342"/>
      <c r="C342" s="1342"/>
      <c r="D342" s="1342"/>
      <c r="E342" s="1342"/>
      <c r="F342" s="1342"/>
      <c r="G342" s="1342"/>
      <c r="H342" s="1342"/>
      <c r="I342" s="1342"/>
      <c r="J342" s="1342"/>
      <c r="K342" s="1342"/>
    </row>
    <row r="343" spans="2:11" ht="14" hidden="1">
      <c r="B343" s="1342"/>
      <c r="C343" s="1342"/>
      <c r="D343" s="1342"/>
      <c r="E343" s="1342"/>
      <c r="F343" s="1342"/>
      <c r="G343" s="1342"/>
      <c r="H343" s="1342"/>
      <c r="I343" s="1342"/>
      <c r="J343" s="1342"/>
      <c r="K343" s="1342"/>
    </row>
    <row r="344" spans="2:11" ht="14" hidden="1">
      <c r="B344" s="1342"/>
      <c r="C344" s="1342"/>
      <c r="D344" s="1342"/>
      <c r="E344" s="1342"/>
      <c r="F344" s="1342"/>
      <c r="G344" s="1342"/>
      <c r="H344" s="1342"/>
      <c r="I344" s="1342"/>
      <c r="J344" s="1342"/>
      <c r="K344" s="1342"/>
    </row>
    <row r="345" spans="2:11" ht="14" hidden="1">
      <c r="B345" s="1342"/>
      <c r="C345" s="1342"/>
      <c r="D345" s="1342"/>
      <c r="E345" s="1342"/>
      <c r="F345" s="1342"/>
      <c r="G345" s="1342"/>
      <c r="H345" s="1342"/>
      <c r="I345" s="1342"/>
      <c r="J345" s="1342"/>
      <c r="K345" s="1342"/>
    </row>
    <row r="346" spans="2:11" ht="14" hidden="1">
      <c r="B346" s="1342"/>
      <c r="C346" s="1342"/>
      <c r="D346" s="1342"/>
      <c r="E346" s="1342"/>
      <c r="F346" s="1342"/>
      <c r="G346" s="1342"/>
      <c r="H346" s="1342"/>
      <c r="I346" s="1342"/>
      <c r="J346" s="1342"/>
      <c r="K346" s="1342"/>
    </row>
    <row r="347" spans="2:11" ht="14" hidden="1">
      <c r="B347" s="1342"/>
      <c r="C347" s="1342"/>
      <c r="D347" s="1342"/>
      <c r="E347" s="1342"/>
      <c r="F347" s="1342"/>
      <c r="G347" s="1342"/>
      <c r="H347" s="1342"/>
      <c r="I347" s="1342"/>
      <c r="J347" s="1342"/>
      <c r="K347" s="1342"/>
    </row>
    <row r="348" spans="2:11" ht="14" hidden="1">
      <c r="B348" s="1342"/>
      <c r="C348" s="1342"/>
      <c r="D348" s="1342"/>
      <c r="E348" s="1342"/>
      <c r="F348" s="1342"/>
      <c r="G348" s="1342"/>
      <c r="H348" s="1342"/>
      <c r="I348" s="1342"/>
      <c r="J348" s="1342"/>
      <c r="K348" s="1342"/>
    </row>
    <row r="349" spans="2:11" ht="14" hidden="1">
      <c r="B349" s="1342"/>
      <c r="C349" s="1342"/>
      <c r="D349" s="1342"/>
      <c r="E349" s="1342"/>
      <c r="F349" s="1342"/>
      <c r="G349" s="1342"/>
      <c r="H349" s="1342"/>
      <c r="I349" s="1342"/>
      <c r="J349" s="1342"/>
      <c r="K349" s="1342"/>
    </row>
    <row r="350" spans="2:11" ht="14" hidden="1">
      <c r="B350" s="1342"/>
      <c r="C350" s="1342"/>
      <c r="D350" s="1342"/>
      <c r="E350" s="1342"/>
      <c r="F350" s="1342"/>
      <c r="G350" s="1342"/>
      <c r="H350" s="1342"/>
      <c r="I350" s="1342"/>
      <c r="J350" s="1342"/>
      <c r="K350" s="1342"/>
    </row>
    <row r="351" spans="2:11" ht="14" hidden="1">
      <c r="B351" s="1342"/>
      <c r="C351" s="1342"/>
      <c r="D351" s="1342"/>
      <c r="E351" s="1342"/>
      <c r="F351" s="1342"/>
      <c r="G351" s="1342"/>
      <c r="H351" s="1342"/>
      <c r="I351" s="1342"/>
      <c r="J351" s="1342"/>
      <c r="K351" s="1342"/>
    </row>
    <row r="352" spans="2:11" ht="14" hidden="1">
      <c r="B352" s="1342"/>
      <c r="C352" s="1342"/>
      <c r="D352" s="1342"/>
      <c r="E352" s="1342"/>
      <c r="F352" s="1342"/>
      <c r="G352" s="1342"/>
      <c r="H352" s="1342"/>
      <c r="I352" s="1342"/>
      <c r="J352" s="1342"/>
      <c r="K352" s="1342"/>
    </row>
    <row r="353" spans="2:11" ht="14" hidden="1">
      <c r="B353" s="1342"/>
      <c r="C353" s="1342"/>
      <c r="D353" s="1342"/>
      <c r="E353" s="1342"/>
      <c r="F353" s="1342"/>
      <c r="G353" s="1342"/>
      <c r="H353" s="1342"/>
      <c r="I353" s="1342"/>
      <c r="J353" s="1342"/>
      <c r="K353" s="1342"/>
    </row>
    <row r="354" spans="2:11" ht="14" hidden="1">
      <c r="B354" s="1342"/>
      <c r="C354" s="1342"/>
      <c r="D354" s="1342"/>
      <c r="E354" s="1342"/>
      <c r="F354" s="1342"/>
      <c r="G354" s="1342"/>
      <c r="H354" s="1342"/>
      <c r="I354" s="1342"/>
      <c r="J354" s="1342"/>
      <c r="K354" s="1342"/>
    </row>
    <row r="355" spans="2:11" ht="14" hidden="1">
      <c r="B355" s="1342"/>
      <c r="C355" s="1342"/>
      <c r="D355" s="1342"/>
      <c r="E355" s="1342"/>
      <c r="F355" s="1342"/>
      <c r="G355" s="1342"/>
      <c r="H355" s="1342"/>
      <c r="I355" s="1342"/>
      <c r="J355" s="1342"/>
      <c r="K355" s="1342"/>
    </row>
    <row r="356" spans="2:11" ht="14" hidden="1">
      <c r="B356" s="1342"/>
      <c r="C356" s="1342"/>
      <c r="D356" s="1342"/>
      <c r="E356" s="1342"/>
      <c r="F356" s="1342"/>
      <c r="G356" s="1342"/>
      <c r="H356" s="1342"/>
      <c r="I356" s="1342"/>
      <c r="J356" s="1342"/>
      <c r="K356" s="1342"/>
    </row>
    <row r="357" spans="2:11" ht="14" hidden="1">
      <c r="B357" s="1342"/>
      <c r="C357" s="1342"/>
      <c r="D357" s="1342"/>
      <c r="E357" s="1342"/>
      <c r="F357" s="1342"/>
      <c r="G357" s="1342"/>
      <c r="H357" s="1342"/>
      <c r="I357" s="1342"/>
      <c r="J357" s="1342"/>
      <c r="K357" s="1342"/>
    </row>
    <row r="358" spans="2:11" ht="14" hidden="1">
      <c r="B358" s="1342"/>
      <c r="C358" s="1342"/>
      <c r="D358" s="1342"/>
      <c r="E358" s="1342"/>
      <c r="F358" s="1342"/>
      <c r="G358" s="1342"/>
      <c r="H358" s="1342"/>
      <c r="I358" s="1342"/>
      <c r="J358" s="1342"/>
      <c r="K358" s="1342"/>
    </row>
    <row r="359" spans="2:11" ht="14" hidden="1">
      <c r="B359" s="1342"/>
      <c r="C359" s="1342"/>
      <c r="D359" s="1342"/>
      <c r="E359" s="1342"/>
      <c r="F359" s="1342"/>
      <c r="G359" s="1342"/>
      <c r="H359" s="1342"/>
      <c r="I359" s="1342"/>
      <c r="J359" s="1342"/>
      <c r="K359" s="1342"/>
    </row>
    <row r="360" spans="2:11" ht="14" hidden="1">
      <c r="B360" s="1342"/>
      <c r="C360" s="1342"/>
      <c r="D360" s="1342"/>
      <c r="E360" s="1342"/>
      <c r="F360" s="1342"/>
      <c r="G360" s="1342"/>
      <c r="H360" s="1342"/>
      <c r="I360" s="1342"/>
      <c r="J360" s="1342"/>
      <c r="K360" s="1342"/>
    </row>
    <row r="361" spans="2:11" ht="14" hidden="1">
      <c r="B361" s="1342"/>
      <c r="C361" s="1342"/>
      <c r="D361" s="1342"/>
      <c r="E361" s="1342"/>
      <c r="F361" s="1342"/>
      <c r="G361" s="1342"/>
      <c r="H361" s="1342"/>
      <c r="I361" s="1342"/>
      <c r="J361" s="1342"/>
      <c r="K361" s="1342"/>
    </row>
    <row r="362" spans="2:11" ht="14" hidden="1">
      <c r="B362" s="1342"/>
      <c r="C362" s="1342"/>
      <c r="D362" s="1342"/>
      <c r="E362" s="1342"/>
      <c r="F362" s="1342"/>
      <c r="G362" s="1342"/>
      <c r="H362" s="1342"/>
      <c r="I362" s="1342"/>
      <c r="J362" s="1342"/>
      <c r="K362" s="1342"/>
    </row>
    <row r="363" spans="2:11" ht="14" hidden="1">
      <c r="B363" s="1342"/>
      <c r="C363" s="1342"/>
      <c r="D363" s="1342"/>
      <c r="E363" s="1342"/>
      <c r="F363" s="1342"/>
      <c r="G363" s="1342"/>
      <c r="H363" s="1342"/>
      <c r="I363" s="1342"/>
      <c r="J363" s="1342"/>
      <c r="K363" s="1342"/>
    </row>
    <row r="364" spans="2:11" ht="14" hidden="1">
      <c r="B364" s="1342"/>
      <c r="C364" s="1342"/>
      <c r="D364" s="1342"/>
      <c r="E364" s="1342"/>
      <c r="F364" s="1342"/>
      <c r="G364" s="1342"/>
      <c r="H364" s="1342"/>
      <c r="I364" s="1342"/>
      <c r="J364" s="1342"/>
      <c r="K364" s="1342"/>
    </row>
    <row r="365" spans="2:11" ht="14" hidden="1">
      <c r="B365" s="1342"/>
      <c r="C365" s="1342"/>
      <c r="D365" s="1342"/>
      <c r="E365" s="1342"/>
      <c r="F365" s="1342"/>
      <c r="G365" s="1342"/>
      <c r="H365" s="1342"/>
      <c r="I365" s="1342"/>
      <c r="J365" s="1342"/>
      <c r="K365" s="1342"/>
    </row>
    <row r="366" spans="2:11" ht="14" hidden="1">
      <c r="B366" s="1342"/>
      <c r="C366" s="1342"/>
      <c r="D366" s="1342"/>
      <c r="E366" s="1342"/>
      <c r="F366" s="1342"/>
      <c r="G366" s="1342"/>
      <c r="H366" s="1342"/>
      <c r="I366" s="1342"/>
      <c r="J366" s="1342"/>
      <c r="K366" s="1342"/>
    </row>
    <row r="367" spans="2:11" ht="14" hidden="1">
      <c r="B367" s="1342"/>
      <c r="C367" s="1342"/>
      <c r="D367" s="1342"/>
      <c r="E367" s="1342"/>
      <c r="F367" s="1342"/>
      <c r="G367" s="1342"/>
      <c r="H367" s="1342"/>
      <c r="I367" s="1342"/>
      <c r="J367" s="1342"/>
      <c r="K367" s="1342"/>
    </row>
    <row r="368" spans="2:11" ht="14" hidden="1">
      <c r="B368" s="1342"/>
      <c r="C368" s="1342"/>
      <c r="D368" s="1342"/>
      <c r="E368" s="1342"/>
      <c r="F368" s="1342"/>
      <c r="G368" s="1342"/>
      <c r="H368" s="1342"/>
      <c r="I368" s="1342"/>
      <c r="J368" s="1342"/>
      <c r="K368" s="1342"/>
    </row>
    <row r="369" spans="2:11" ht="14" hidden="1">
      <c r="B369" s="1342"/>
      <c r="C369" s="1342"/>
      <c r="D369" s="1342"/>
      <c r="E369" s="1342"/>
      <c r="F369" s="1342"/>
      <c r="G369" s="1342"/>
      <c r="H369" s="1342"/>
      <c r="I369" s="1342"/>
      <c r="J369" s="1342"/>
      <c r="K369" s="1342"/>
    </row>
    <row r="370" spans="2:11" ht="14" hidden="1">
      <c r="B370" s="1342"/>
      <c r="C370" s="1342"/>
      <c r="D370" s="1342"/>
      <c r="E370" s="1342"/>
      <c r="F370" s="1342"/>
      <c r="G370" s="1342"/>
      <c r="H370" s="1342"/>
      <c r="I370" s="1342"/>
      <c r="J370" s="1342"/>
      <c r="K370" s="1342"/>
    </row>
    <row r="371" spans="2:11" ht="14" hidden="1">
      <c r="B371" s="1342"/>
      <c r="C371" s="1342"/>
      <c r="D371" s="1342"/>
      <c r="E371" s="1342"/>
      <c r="F371" s="1342"/>
      <c r="G371" s="1342"/>
      <c r="H371" s="1342"/>
      <c r="I371" s="1342"/>
      <c r="J371" s="1342"/>
      <c r="K371" s="1342"/>
    </row>
    <row r="372" spans="2:11" ht="14" hidden="1">
      <c r="B372" s="1342"/>
      <c r="C372" s="1342"/>
      <c r="D372" s="1342"/>
      <c r="E372" s="1342"/>
      <c r="F372" s="1342"/>
      <c r="G372" s="1342"/>
      <c r="H372" s="1342"/>
      <c r="I372" s="1342"/>
      <c r="J372" s="1342"/>
      <c r="K372" s="1342"/>
    </row>
    <row r="373" spans="2:11" ht="14" hidden="1">
      <c r="B373" s="1342"/>
      <c r="C373" s="1342"/>
      <c r="D373" s="1342"/>
      <c r="E373" s="1342"/>
      <c r="F373" s="1342"/>
      <c r="G373" s="1342"/>
      <c r="H373" s="1342"/>
      <c r="I373" s="1342"/>
      <c r="J373" s="1342"/>
      <c r="K373" s="1342"/>
    </row>
    <row r="374" spans="2:11" ht="14" hidden="1">
      <c r="B374" s="1342"/>
      <c r="C374" s="1342"/>
      <c r="D374" s="1342"/>
      <c r="E374" s="1342"/>
      <c r="F374" s="1342"/>
      <c r="G374" s="1342"/>
      <c r="H374" s="1342"/>
      <c r="I374" s="1342"/>
      <c r="J374" s="1342"/>
      <c r="K374" s="1342"/>
    </row>
    <row r="375" spans="2:11" ht="14" hidden="1">
      <c r="B375" s="1342"/>
      <c r="C375" s="1342"/>
      <c r="D375" s="1342"/>
      <c r="E375" s="1342"/>
      <c r="F375" s="1342"/>
      <c r="G375" s="1342"/>
      <c r="H375" s="1342"/>
      <c r="I375" s="1342"/>
      <c r="J375" s="1342"/>
      <c r="K375" s="1342"/>
    </row>
    <row r="376" spans="2:11" ht="14" hidden="1">
      <c r="B376" s="1342"/>
      <c r="C376" s="1342"/>
      <c r="D376" s="1342"/>
      <c r="E376" s="1342"/>
      <c r="F376" s="1342"/>
      <c r="G376" s="1342"/>
      <c r="H376" s="1342"/>
      <c r="I376" s="1342"/>
      <c r="J376" s="1342"/>
      <c r="K376" s="1342"/>
    </row>
    <row r="377" spans="2:11" ht="14" hidden="1">
      <c r="B377" s="1342"/>
      <c r="C377" s="1342"/>
      <c r="D377" s="1342"/>
      <c r="E377" s="1342"/>
      <c r="F377" s="1342"/>
      <c r="G377" s="1342"/>
      <c r="H377" s="1342"/>
      <c r="I377" s="1342"/>
      <c r="J377" s="1342"/>
      <c r="K377" s="1342"/>
    </row>
    <row r="378" spans="2:11" ht="14" hidden="1">
      <c r="B378" s="1342"/>
      <c r="C378" s="1342"/>
      <c r="D378" s="1342"/>
      <c r="E378" s="1342"/>
      <c r="F378" s="1342"/>
      <c r="G378" s="1342"/>
      <c r="H378" s="1342"/>
      <c r="I378" s="1342"/>
      <c r="J378" s="1342"/>
      <c r="K378" s="1342"/>
    </row>
    <row r="379" spans="2:11" ht="14" hidden="1">
      <c r="B379" s="1342"/>
      <c r="C379" s="1342"/>
      <c r="D379" s="1342"/>
      <c r="E379" s="1342"/>
      <c r="F379" s="1342"/>
      <c r="G379" s="1342"/>
      <c r="H379" s="1342"/>
      <c r="I379" s="1342"/>
      <c r="J379" s="1342"/>
      <c r="K379" s="1342"/>
    </row>
    <row r="380" spans="2:11" ht="14" hidden="1">
      <c r="B380" s="1342"/>
      <c r="C380" s="1342"/>
      <c r="D380" s="1342"/>
      <c r="E380" s="1342"/>
      <c r="F380" s="1342"/>
      <c r="G380" s="1342"/>
      <c r="H380" s="1342"/>
      <c r="I380" s="1342"/>
      <c r="J380" s="1342"/>
      <c r="K380" s="1342"/>
    </row>
    <row r="381" spans="2:11" ht="14" hidden="1">
      <c r="B381" s="1342"/>
      <c r="C381" s="1342"/>
      <c r="D381" s="1342"/>
      <c r="E381" s="1342"/>
      <c r="F381" s="1342"/>
      <c r="G381" s="1342"/>
      <c r="H381" s="1342"/>
      <c r="I381" s="1342"/>
      <c r="J381" s="1342"/>
      <c r="K381" s="1342"/>
    </row>
    <row r="382" spans="2:11" ht="14" hidden="1">
      <c r="B382" s="1342"/>
      <c r="C382" s="1342"/>
      <c r="D382" s="1342"/>
      <c r="E382" s="1342"/>
      <c r="F382" s="1342"/>
      <c r="G382" s="1342"/>
      <c r="H382" s="1342"/>
      <c r="I382" s="1342"/>
      <c r="J382" s="1342"/>
      <c r="K382" s="1342"/>
    </row>
    <row r="383" spans="2:11" ht="14" hidden="1">
      <c r="B383" s="1342"/>
      <c r="C383" s="1342"/>
      <c r="D383" s="1342"/>
      <c r="E383" s="1342"/>
      <c r="F383" s="1342"/>
      <c r="G383" s="1342"/>
      <c r="H383" s="1342"/>
      <c r="I383" s="1342"/>
      <c r="J383" s="1342"/>
      <c r="K383" s="1342"/>
    </row>
    <row r="384" spans="2:11" ht="14" hidden="1">
      <c r="B384" s="1342"/>
      <c r="C384" s="1342"/>
      <c r="D384" s="1342"/>
      <c r="E384" s="1342"/>
      <c r="F384" s="1342"/>
      <c r="G384" s="1342"/>
      <c r="H384" s="1342"/>
      <c r="I384" s="1342"/>
      <c r="J384" s="1342"/>
      <c r="K384" s="1342"/>
    </row>
    <row r="385" spans="2:11" ht="14" hidden="1">
      <c r="B385" s="1342"/>
      <c r="C385" s="1342"/>
      <c r="D385" s="1342"/>
      <c r="E385" s="1342"/>
      <c r="F385" s="1342"/>
      <c r="G385" s="1342"/>
      <c r="H385" s="1342"/>
      <c r="I385" s="1342"/>
      <c r="J385" s="1342"/>
      <c r="K385" s="1342"/>
    </row>
    <row r="386" spans="2:11" ht="14" hidden="1">
      <c r="B386" s="1342"/>
      <c r="C386" s="1342"/>
      <c r="D386" s="1342"/>
      <c r="E386" s="1342"/>
      <c r="F386" s="1342"/>
      <c r="G386" s="1342"/>
      <c r="H386" s="1342"/>
      <c r="I386" s="1342"/>
      <c r="J386" s="1342"/>
      <c r="K386" s="1342"/>
    </row>
    <row r="387" spans="2:11" ht="14" hidden="1">
      <c r="B387" s="1342"/>
      <c r="C387" s="1342"/>
      <c r="D387" s="1342"/>
      <c r="E387" s="1342"/>
      <c r="F387" s="1342"/>
      <c r="G387" s="1342"/>
      <c r="H387" s="1342"/>
      <c r="I387" s="1342"/>
      <c r="J387" s="1342"/>
      <c r="K387" s="1342"/>
    </row>
    <row r="388" spans="2:11" ht="14" hidden="1">
      <c r="B388" s="1342"/>
      <c r="C388" s="1342"/>
      <c r="D388" s="1342"/>
      <c r="E388" s="1342"/>
      <c r="F388" s="1342"/>
      <c r="G388" s="1342"/>
      <c r="H388" s="1342"/>
      <c r="I388" s="1342"/>
      <c r="J388" s="1342"/>
      <c r="K388" s="1342"/>
    </row>
    <row r="389" spans="2:11" ht="14" hidden="1">
      <c r="B389" s="1342"/>
      <c r="C389" s="1342"/>
      <c r="D389" s="1342"/>
      <c r="E389" s="1342"/>
      <c r="F389" s="1342"/>
      <c r="G389" s="1342"/>
      <c r="H389" s="1342"/>
      <c r="I389" s="1342"/>
      <c r="J389" s="1342"/>
      <c r="K389" s="1342"/>
    </row>
    <row r="390" spans="2:11" ht="14" hidden="1">
      <c r="B390" s="1342"/>
      <c r="C390" s="1342"/>
      <c r="D390" s="1342"/>
      <c r="E390" s="1342"/>
      <c r="F390" s="1342"/>
      <c r="G390" s="1342"/>
      <c r="H390" s="1342"/>
      <c r="I390" s="1342"/>
      <c r="J390" s="1342"/>
      <c r="K390" s="1342"/>
    </row>
    <row r="391" spans="2:11" ht="14" hidden="1">
      <c r="B391" s="1342"/>
      <c r="C391" s="1342"/>
      <c r="D391" s="1342"/>
      <c r="E391" s="1342"/>
      <c r="F391" s="1342"/>
      <c r="G391" s="1342"/>
      <c r="H391" s="1342"/>
      <c r="I391" s="1342"/>
      <c r="J391" s="1342"/>
      <c r="K391" s="1342"/>
    </row>
    <row r="392" spans="2:11" ht="14" hidden="1">
      <c r="B392" s="1342"/>
      <c r="C392" s="1342"/>
      <c r="D392" s="1342"/>
      <c r="E392" s="1342"/>
      <c r="F392" s="1342"/>
      <c r="G392" s="1342"/>
      <c r="H392" s="1342"/>
      <c r="I392" s="1342"/>
      <c r="J392" s="1342"/>
      <c r="K392" s="1342"/>
    </row>
    <row r="393" spans="2:11" ht="14" hidden="1">
      <c r="B393" s="1342"/>
      <c r="C393" s="1342"/>
      <c r="D393" s="1342"/>
      <c r="E393" s="1342"/>
      <c r="F393" s="1342"/>
      <c r="G393" s="1342"/>
      <c r="H393" s="1342"/>
      <c r="I393" s="1342"/>
      <c r="J393" s="1342"/>
      <c r="K393" s="1342"/>
    </row>
    <row r="394" spans="2:11" ht="14" hidden="1">
      <c r="B394" s="1342"/>
      <c r="C394" s="1342"/>
      <c r="D394" s="1342"/>
      <c r="E394" s="1342"/>
      <c r="F394" s="1342"/>
      <c r="G394" s="1342"/>
      <c r="H394" s="1342"/>
      <c r="I394" s="1342"/>
      <c r="J394" s="1342"/>
      <c r="K394" s="1342"/>
    </row>
    <row r="395" spans="2:11" ht="14" hidden="1">
      <c r="B395" s="1342"/>
      <c r="C395" s="1342"/>
      <c r="D395" s="1342"/>
      <c r="E395" s="1342"/>
      <c r="F395" s="1342"/>
      <c r="G395" s="1342"/>
      <c r="H395" s="1342"/>
      <c r="I395" s="1342"/>
      <c r="J395" s="1342"/>
      <c r="K395" s="1342"/>
    </row>
    <row r="396" spans="2:11" ht="14" hidden="1">
      <c r="B396" s="1342"/>
      <c r="C396" s="1342"/>
      <c r="D396" s="1342"/>
      <c r="E396" s="1342"/>
      <c r="F396" s="1342"/>
      <c r="G396" s="1342"/>
      <c r="H396" s="1342"/>
      <c r="I396" s="1342"/>
      <c r="J396" s="1342"/>
      <c r="K396" s="1342"/>
    </row>
    <row r="397" spans="2:11" ht="14" hidden="1">
      <c r="B397" s="1342"/>
      <c r="C397" s="1342"/>
      <c r="D397" s="1342"/>
      <c r="E397" s="1342"/>
      <c r="F397" s="1342"/>
      <c r="G397" s="1342"/>
      <c r="H397" s="1342"/>
      <c r="I397" s="1342"/>
      <c r="J397" s="1342"/>
      <c r="K397" s="1342"/>
    </row>
    <row r="398" spans="2:11" ht="14" hidden="1">
      <c r="B398" s="1342"/>
      <c r="C398" s="1342"/>
      <c r="D398" s="1342"/>
      <c r="E398" s="1342"/>
      <c r="F398" s="1342"/>
      <c r="G398" s="1342"/>
      <c r="H398" s="1342"/>
      <c r="I398" s="1342"/>
      <c r="J398" s="1342"/>
      <c r="K398" s="1342"/>
    </row>
    <row r="399" spans="2:11" ht="14" hidden="1">
      <c r="B399" s="1342"/>
      <c r="C399" s="1342"/>
      <c r="D399" s="1342"/>
      <c r="E399" s="1342"/>
      <c r="F399" s="1342"/>
      <c r="G399" s="1342"/>
      <c r="H399" s="1342"/>
      <c r="I399" s="1342"/>
      <c r="J399" s="1342"/>
      <c r="K399" s="1342"/>
    </row>
    <row r="400" spans="2:11" ht="14" hidden="1">
      <c r="B400" s="1342"/>
      <c r="C400" s="1342"/>
      <c r="D400" s="1342"/>
      <c r="E400" s="1342"/>
      <c r="F400" s="1342"/>
      <c r="G400" s="1342"/>
      <c r="H400" s="1342"/>
      <c r="I400" s="1342"/>
      <c r="J400" s="1342"/>
      <c r="K400" s="1342"/>
    </row>
    <row r="401" spans="2:11" ht="14" hidden="1">
      <c r="B401" s="1342"/>
      <c r="C401" s="1342"/>
      <c r="D401" s="1342"/>
      <c r="E401" s="1342"/>
      <c r="F401" s="1342"/>
      <c r="G401" s="1342"/>
      <c r="H401" s="1342"/>
      <c r="I401" s="1342"/>
      <c r="J401" s="1342"/>
      <c r="K401" s="1342"/>
    </row>
    <row r="402" spans="2:11" ht="14" hidden="1">
      <c r="B402" s="1342"/>
      <c r="C402" s="1342"/>
      <c r="D402" s="1342"/>
      <c r="E402" s="1342"/>
      <c r="F402" s="1342"/>
      <c r="G402" s="1342"/>
      <c r="H402" s="1342"/>
      <c r="I402" s="1342"/>
      <c r="J402" s="1342"/>
      <c r="K402" s="1342"/>
    </row>
    <row r="403" spans="2:11" ht="14" hidden="1">
      <c r="B403" s="1342"/>
      <c r="C403" s="1342"/>
      <c r="D403" s="1342"/>
      <c r="E403" s="1342"/>
      <c r="F403" s="1342"/>
      <c r="G403" s="1342"/>
      <c r="H403" s="1342"/>
      <c r="I403" s="1342"/>
      <c r="J403" s="1342"/>
      <c r="K403" s="1342"/>
    </row>
    <row r="404" spans="2:11" ht="14" hidden="1">
      <c r="B404" s="1342"/>
      <c r="C404" s="1342"/>
      <c r="D404" s="1342"/>
      <c r="E404" s="1342"/>
      <c r="F404" s="1342"/>
      <c r="G404" s="1342"/>
      <c r="H404" s="1342"/>
      <c r="I404" s="1342"/>
      <c r="J404" s="1342"/>
      <c r="K404" s="1342"/>
    </row>
    <row r="405" spans="2:11" ht="14" hidden="1">
      <c r="B405" s="1342"/>
      <c r="C405" s="1342"/>
      <c r="D405" s="1342"/>
      <c r="E405" s="1342"/>
      <c r="F405" s="1342"/>
      <c r="G405" s="1342"/>
      <c r="H405" s="1342"/>
      <c r="I405" s="1342"/>
      <c r="J405" s="1342"/>
      <c r="K405" s="1342"/>
    </row>
    <row r="406" spans="2:11" ht="14" hidden="1">
      <c r="B406" s="1342"/>
      <c r="C406" s="1342"/>
      <c r="D406" s="1342"/>
      <c r="E406" s="1342"/>
      <c r="F406" s="1342"/>
      <c r="G406" s="1342"/>
      <c r="H406" s="1342"/>
      <c r="I406" s="1342"/>
      <c r="J406" s="1342"/>
      <c r="K406" s="1342"/>
    </row>
    <row r="407" spans="2:11" ht="14" hidden="1">
      <c r="B407" s="1342"/>
      <c r="C407" s="1342"/>
      <c r="D407" s="1342"/>
      <c r="E407" s="1342"/>
      <c r="F407" s="1342"/>
      <c r="G407" s="1342"/>
      <c r="H407" s="1342"/>
      <c r="I407" s="1342"/>
      <c r="J407" s="1342"/>
      <c r="K407" s="1342"/>
    </row>
    <row r="408" spans="2:11" ht="14" hidden="1">
      <c r="B408" s="1342"/>
      <c r="C408" s="1342"/>
      <c r="D408" s="1342"/>
      <c r="E408" s="1342"/>
      <c r="F408" s="1342"/>
      <c r="G408" s="1342"/>
      <c r="H408" s="1342"/>
      <c r="I408" s="1342"/>
      <c r="J408" s="1342"/>
      <c r="K408" s="1342"/>
    </row>
    <row r="409" spans="2:11" ht="14" hidden="1">
      <c r="B409" s="1342"/>
      <c r="C409" s="1342"/>
      <c r="D409" s="1342"/>
      <c r="E409" s="1342"/>
      <c r="F409" s="1342"/>
      <c r="G409" s="1342"/>
      <c r="H409" s="1342"/>
      <c r="I409" s="1342"/>
      <c r="J409" s="1342"/>
      <c r="K409" s="1342"/>
    </row>
    <row r="410" spans="2:11" ht="14" hidden="1">
      <c r="B410" s="1342"/>
      <c r="C410" s="1342"/>
      <c r="D410" s="1342"/>
      <c r="E410" s="1342"/>
      <c r="F410" s="1342"/>
      <c r="G410" s="1342"/>
      <c r="H410" s="1342"/>
      <c r="I410" s="1342"/>
      <c r="J410" s="1342"/>
      <c r="K410" s="1342"/>
    </row>
    <row r="411" spans="2:11" ht="14" hidden="1">
      <c r="B411" s="1342"/>
      <c r="C411" s="1342"/>
      <c r="D411" s="1342"/>
      <c r="E411" s="1342"/>
      <c r="F411" s="1342"/>
      <c r="G411" s="1342"/>
      <c r="H411" s="1342"/>
      <c r="I411" s="1342"/>
      <c r="J411" s="1342"/>
      <c r="K411" s="1342"/>
    </row>
    <row r="412" spans="2:11" ht="14" hidden="1">
      <c r="B412" s="1342"/>
      <c r="C412" s="1342"/>
      <c r="D412" s="1342"/>
      <c r="E412" s="1342"/>
      <c r="F412" s="1342"/>
      <c r="G412" s="1342"/>
      <c r="H412" s="1342"/>
      <c r="I412" s="1342"/>
      <c r="J412" s="1342"/>
      <c r="K412" s="1342"/>
    </row>
    <row r="413" spans="2:11" ht="14" hidden="1">
      <c r="B413" s="1342"/>
      <c r="C413" s="1342"/>
      <c r="D413" s="1342"/>
      <c r="E413" s="1342"/>
      <c r="F413" s="1342"/>
      <c r="G413" s="1342"/>
      <c r="H413" s="1342"/>
      <c r="I413" s="1342"/>
      <c r="J413" s="1342"/>
      <c r="K413" s="1342"/>
    </row>
    <row r="414" spans="2:11" ht="14" hidden="1">
      <c r="B414" s="1342"/>
      <c r="C414" s="1342"/>
      <c r="D414" s="1342"/>
      <c r="E414" s="1342"/>
      <c r="F414" s="1342"/>
      <c r="G414" s="1342"/>
      <c r="H414" s="1342"/>
      <c r="I414" s="1342"/>
      <c r="J414" s="1342"/>
      <c r="K414" s="1342"/>
    </row>
    <row r="415" spans="2:11" ht="14" hidden="1">
      <c r="B415" s="1342"/>
      <c r="C415" s="1342"/>
      <c r="D415" s="1342"/>
      <c r="E415" s="1342"/>
      <c r="F415" s="1342"/>
      <c r="G415" s="1342"/>
      <c r="H415" s="1342"/>
      <c r="I415" s="1342"/>
      <c r="J415" s="1342"/>
      <c r="K415" s="1342"/>
    </row>
    <row r="416" spans="2:11" ht="14" hidden="1">
      <c r="B416" s="1342"/>
      <c r="C416" s="1342"/>
      <c r="D416" s="1342"/>
      <c r="E416" s="1342"/>
      <c r="F416" s="1342"/>
      <c r="G416" s="1342"/>
      <c r="H416" s="1342"/>
      <c r="I416" s="1342"/>
      <c r="J416" s="1342"/>
      <c r="K416" s="1342"/>
    </row>
    <row r="417" spans="2:11" ht="14" hidden="1">
      <c r="B417" s="1342"/>
      <c r="C417" s="1342"/>
      <c r="D417" s="1342"/>
      <c r="E417" s="1342"/>
      <c r="F417" s="1342"/>
      <c r="G417" s="1342"/>
      <c r="H417" s="1342"/>
      <c r="I417" s="1342"/>
      <c r="J417" s="1342"/>
      <c r="K417" s="1342"/>
    </row>
    <row r="418" spans="2:11" ht="14" hidden="1">
      <c r="B418" s="1342"/>
      <c r="C418" s="1342"/>
      <c r="D418" s="1342"/>
      <c r="E418" s="1342"/>
      <c r="F418" s="1342"/>
      <c r="G418" s="1342"/>
      <c r="H418" s="1342"/>
      <c r="I418" s="1342"/>
      <c r="J418" s="1342"/>
      <c r="K418" s="1342"/>
    </row>
    <row r="419" spans="2:11" ht="14" hidden="1">
      <c r="B419" s="1342"/>
      <c r="C419" s="1342"/>
      <c r="D419" s="1342"/>
      <c r="E419" s="1342"/>
      <c r="F419" s="1342"/>
      <c r="G419" s="1342"/>
      <c r="H419" s="1342"/>
      <c r="I419" s="1342"/>
      <c r="J419" s="1342"/>
      <c r="K419" s="1342"/>
    </row>
    <row r="420" spans="2:11" ht="14" hidden="1">
      <c r="B420" s="1342"/>
      <c r="C420" s="1342"/>
      <c r="D420" s="1342"/>
      <c r="E420" s="1342"/>
      <c r="F420" s="1342"/>
      <c r="G420" s="1342"/>
      <c r="H420" s="1342"/>
      <c r="I420" s="1342"/>
      <c r="J420" s="1342"/>
      <c r="K420" s="1342"/>
    </row>
    <row r="421" spans="2:11" ht="14" hidden="1">
      <c r="B421" s="1342"/>
      <c r="C421" s="1342"/>
      <c r="D421" s="1342"/>
      <c r="E421" s="1342"/>
      <c r="F421" s="1342"/>
      <c r="G421" s="1342"/>
      <c r="H421" s="1342"/>
      <c r="I421" s="1342"/>
      <c r="J421" s="1342"/>
      <c r="K421" s="1342"/>
    </row>
    <row r="422" spans="2:11" ht="14" hidden="1">
      <c r="B422" s="1342"/>
      <c r="C422" s="1342"/>
      <c r="D422" s="1342"/>
      <c r="E422" s="1342"/>
      <c r="F422" s="1342"/>
      <c r="G422" s="1342"/>
      <c r="H422" s="1342"/>
      <c r="I422" s="1342"/>
      <c r="J422" s="1342"/>
      <c r="K422" s="1342"/>
    </row>
    <row r="423" spans="2:11" ht="14" hidden="1">
      <c r="B423" s="1342"/>
      <c r="C423" s="1342"/>
      <c r="D423" s="1342"/>
      <c r="E423" s="1342"/>
      <c r="F423" s="1342"/>
      <c r="G423" s="1342"/>
      <c r="H423" s="1342"/>
      <c r="I423" s="1342"/>
      <c r="J423" s="1342"/>
      <c r="K423" s="1342"/>
    </row>
    <row r="424" spans="2:11" ht="14" hidden="1">
      <c r="B424" s="1342"/>
      <c r="C424" s="1342"/>
      <c r="D424" s="1342"/>
      <c r="E424" s="1342"/>
      <c r="F424" s="1342"/>
      <c r="G424" s="1342"/>
      <c r="H424" s="1342"/>
      <c r="I424" s="1342"/>
      <c r="J424" s="1342"/>
      <c r="K424" s="1342"/>
    </row>
    <row r="425" spans="2:11" ht="14" hidden="1">
      <c r="B425" s="1342"/>
      <c r="C425" s="1342"/>
      <c r="D425" s="1342"/>
      <c r="E425" s="1342"/>
      <c r="F425" s="1342"/>
      <c r="G425" s="1342"/>
      <c r="H425" s="1342"/>
      <c r="I425" s="1342"/>
      <c r="J425" s="1342"/>
      <c r="K425" s="1342"/>
    </row>
    <row r="426" spans="2:11" ht="14" hidden="1">
      <c r="B426" s="1342"/>
      <c r="C426" s="1342"/>
      <c r="D426" s="1342"/>
      <c r="E426" s="1342"/>
      <c r="F426" s="1342"/>
      <c r="G426" s="1342"/>
      <c r="H426" s="1342"/>
      <c r="I426" s="1342"/>
      <c r="J426" s="1342"/>
      <c r="K426" s="1342"/>
    </row>
    <row r="427" spans="2:11" ht="14" hidden="1">
      <c r="B427" s="1342"/>
      <c r="C427" s="1342"/>
      <c r="D427" s="1342"/>
      <c r="E427" s="1342"/>
      <c r="F427" s="1342"/>
      <c r="G427" s="1342"/>
      <c r="H427" s="1342"/>
      <c r="I427" s="1342"/>
      <c r="J427" s="1342"/>
      <c r="K427" s="1342"/>
    </row>
    <row r="428" spans="2:11" ht="14" hidden="1">
      <c r="B428" s="1342"/>
      <c r="C428" s="1342"/>
      <c r="D428" s="1342"/>
      <c r="E428" s="1342"/>
      <c r="F428" s="1342"/>
      <c r="G428" s="1342"/>
      <c r="H428" s="1342"/>
      <c r="I428" s="1342"/>
      <c r="J428" s="1342"/>
      <c r="K428" s="1342"/>
    </row>
    <row r="429" spans="2:11" ht="14" hidden="1">
      <c r="B429" s="1342"/>
      <c r="C429" s="1342"/>
      <c r="D429" s="1342"/>
      <c r="E429" s="1342"/>
      <c r="F429" s="1342"/>
      <c r="G429" s="1342"/>
      <c r="H429" s="1342"/>
      <c r="I429" s="1342"/>
      <c r="J429" s="1342"/>
      <c r="K429" s="1342"/>
    </row>
    <row r="430" spans="2:11" ht="14" hidden="1">
      <c r="B430" s="1342"/>
      <c r="C430" s="1342"/>
      <c r="D430" s="1342"/>
      <c r="E430" s="1342"/>
      <c r="F430" s="1342"/>
      <c r="G430" s="1342"/>
      <c r="H430" s="1342"/>
      <c r="I430" s="1342"/>
      <c r="J430" s="1342"/>
      <c r="K430" s="1342"/>
    </row>
    <row r="431" spans="2:11" ht="14" hidden="1">
      <c r="B431" s="1342"/>
      <c r="C431" s="1342"/>
      <c r="D431" s="1342"/>
      <c r="E431" s="1342"/>
      <c r="F431" s="1342"/>
      <c r="G431" s="1342"/>
      <c r="H431" s="1342"/>
      <c r="I431" s="1342"/>
      <c r="J431" s="1342"/>
      <c r="K431" s="1342"/>
    </row>
    <row r="432" spans="2:11" ht="14" hidden="1">
      <c r="B432" s="1342"/>
      <c r="C432" s="1342"/>
      <c r="D432" s="1342"/>
      <c r="E432" s="1342"/>
      <c r="F432" s="1342"/>
      <c r="G432" s="1342"/>
      <c r="H432" s="1342"/>
      <c r="I432" s="1342"/>
      <c r="J432" s="1342"/>
      <c r="K432" s="1342"/>
    </row>
    <row r="433" spans="2:11" ht="14" hidden="1">
      <c r="B433" s="1342"/>
      <c r="C433" s="1342"/>
      <c r="D433" s="1342"/>
      <c r="E433" s="1342"/>
      <c r="F433" s="1342"/>
      <c r="G433" s="1342"/>
      <c r="H433" s="1342"/>
      <c r="I433" s="1342"/>
      <c r="J433" s="1342"/>
      <c r="K433" s="1342"/>
    </row>
    <row r="434" spans="2:11" ht="14" hidden="1">
      <c r="B434" s="1342"/>
      <c r="C434" s="1342"/>
      <c r="D434" s="1342"/>
      <c r="E434" s="1342"/>
      <c r="F434" s="1342"/>
      <c r="G434" s="1342"/>
      <c r="H434" s="1342"/>
      <c r="I434" s="1342"/>
      <c r="J434" s="1342"/>
      <c r="K434" s="1342"/>
    </row>
    <row r="435" spans="2:11" ht="14" hidden="1">
      <c r="B435" s="1342"/>
      <c r="C435" s="1342"/>
      <c r="D435" s="1342"/>
      <c r="E435" s="1342"/>
      <c r="F435" s="1342"/>
      <c r="G435" s="1342"/>
      <c r="H435" s="1342"/>
      <c r="I435" s="1342"/>
      <c r="J435" s="1342"/>
      <c r="K435" s="1342"/>
    </row>
    <row r="436" spans="2:11" ht="14" hidden="1">
      <c r="B436" s="1342"/>
      <c r="C436" s="1342"/>
      <c r="D436" s="1342"/>
      <c r="E436" s="1342"/>
      <c r="F436" s="1342"/>
      <c r="G436" s="1342"/>
      <c r="H436" s="1342"/>
      <c r="I436" s="1342"/>
      <c r="J436" s="1342"/>
      <c r="K436" s="1342"/>
    </row>
    <row r="437" spans="2:11" ht="14" hidden="1">
      <c r="B437" s="1342"/>
      <c r="C437" s="1342"/>
      <c r="D437" s="1342"/>
      <c r="E437" s="1342"/>
      <c r="F437" s="1342"/>
      <c r="G437" s="1342"/>
      <c r="H437" s="1342"/>
      <c r="I437" s="1342"/>
      <c r="J437" s="1342"/>
      <c r="K437" s="1342"/>
    </row>
    <row r="438" spans="2:11" ht="14" hidden="1">
      <c r="B438" s="1342"/>
      <c r="C438" s="1342"/>
      <c r="D438" s="1342"/>
      <c r="E438" s="1342"/>
      <c r="F438" s="1342"/>
      <c r="G438" s="1342"/>
      <c r="H438" s="1342"/>
      <c r="I438" s="1342"/>
      <c r="J438" s="1342"/>
      <c r="K438" s="1342"/>
    </row>
    <row r="439" spans="2:11" ht="14" hidden="1">
      <c r="B439" s="1342"/>
      <c r="C439" s="1342"/>
      <c r="D439" s="1342"/>
      <c r="E439" s="1342"/>
      <c r="F439" s="1342"/>
      <c r="G439" s="1342"/>
      <c r="H439" s="1342"/>
      <c r="I439" s="1342"/>
      <c r="J439" s="1342"/>
      <c r="K439" s="1342"/>
    </row>
    <row r="440" spans="2:11" ht="14" hidden="1">
      <c r="B440" s="1342"/>
      <c r="C440" s="1342"/>
      <c r="D440" s="1342"/>
      <c r="E440" s="1342"/>
      <c r="F440" s="1342"/>
      <c r="G440" s="1342"/>
      <c r="H440" s="1342"/>
      <c r="I440" s="1342"/>
      <c r="J440" s="1342"/>
      <c r="K440" s="1342"/>
    </row>
    <row r="441" spans="2:11" ht="14" hidden="1">
      <c r="B441" s="1342"/>
      <c r="C441" s="1342"/>
      <c r="D441" s="1342"/>
      <c r="E441" s="1342"/>
      <c r="F441" s="1342"/>
      <c r="G441" s="1342"/>
      <c r="H441" s="1342"/>
      <c r="I441" s="1342"/>
      <c r="J441" s="1342"/>
      <c r="K441" s="1342"/>
    </row>
    <row r="442" spans="2:11" ht="14" hidden="1">
      <c r="B442" s="1342"/>
      <c r="C442" s="1342"/>
      <c r="D442" s="1342"/>
      <c r="E442" s="1342"/>
      <c r="F442" s="1342"/>
      <c r="G442" s="1342"/>
      <c r="H442" s="1342"/>
      <c r="I442" s="1342"/>
      <c r="J442" s="1342"/>
      <c r="K442" s="1342"/>
    </row>
    <row r="443" spans="2:11" ht="14" hidden="1">
      <c r="B443" s="1342"/>
      <c r="C443" s="1342"/>
      <c r="D443" s="1342"/>
      <c r="E443" s="1342"/>
      <c r="F443" s="1342"/>
      <c r="G443" s="1342"/>
      <c r="H443" s="1342"/>
      <c r="I443" s="1342"/>
      <c r="J443" s="1342"/>
      <c r="K443" s="1342"/>
    </row>
    <row r="444" spans="2:11" ht="14" hidden="1">
      <c r="B444" s="1342"/>
      <c r="C444" s="1342"/>
      <c r="D444" s="1342"/>
      <c r="E444" s="1342"/>
      <c r="F444" s="1342"/>
      <c r="G444" s="1342"/>
      <c r="H444" s="1342"/>
      <c r="I444" s="1342"/>
      <c r="J444" s="1342"/>
      <c r="K444" s="1342"/>
    </row>
    <row r="445" spans="2:11" ht="14" hidden="1">
      <c r="B445" s="1342"/>
      <c r="C445" s="1342"/>
      <c r="D445" s="1342"/>
      <c r="E445" s="1342"/>
      <c r="F445" s="1342"/>
      <c r="G445" s="1342"/>
      <c r="H445" s="1342"/>
      <c r="I445" s="1342"/>
      <c r="J445" s="1342"/>
      <c r="K445" s="1342"/>
    </row>
    <row r="446" spans="2:11" ht="14" hidden="1">
      <c r="B446" s="1342"/>
      <c r="C446" s="1342"/>
      <c r="D446" s="1342"/>
      <c r="E446" s="1342"/>
      <c r="F446" s="1342"/>
      <c r="G446" s="1342"/>
      <c r="H446" s="1342"/>
      <c r="I446" s="1342"/>
      <c r="J446" s="1342"/>
      <c r="K446" s="1342"/>
    </row>
    <row r="447" spans="2:11" ht="14" hidden="1">
      <c r="B447" s="1342"/>
      <c r="C447" s="1342"/>
      <c r="D447" s="1342"/>
      <c r="E447" s="1342"/>
      <c r="F447" s="1342"/>
      <c r="G447" s="1342"/>
      <c r="H447" s="1342"/>
      <c r="I447" s="1342"/>
      <c r="J447" s="1342"/>
      <c r="K447" s="1342"/>
    </row>
    <row r="448" spans="2:11" ht="14" hidden="1">
      <c r="B448" s="1342"/>
      <c r="C448" s="1342"/>
      <c r="D448" s="1342"/>
      <c r="E448" s="1342"/>
      <c r="F448" s="1342"/>
      <c r="G448" s="1342"/>
      <c r="H448" s="1342"/>
      <c r="I448" s="1342"/>
      <c r="J448" s="1342"/>
      <c r="K448" s="1342"/>
    </row>
    <row r="449" spans="2:11" ht="14" hidden="1">
      <c r="B449" s="1342"/>
      <c r="C449" s="1342"/>
      <c r="D449" s="1342"/>
      <c r="E449" s="1342"/>
      <c r="F449" s="1342"/>
      <c r="G449" s="1342"/>
      <c r="H449" s="1342"/>
      <c r="I449" s="1342"/>
      <c r="J449" s="1342"/>
      <c r="K449" s="1342"/>
    </row>
    <row r="450" spans="2:11" ht="14" hidden="1">
      <c r="B450" s="1342"/>
      <c r="C450" s="1342"/>
      <c r="D450" s="1342"/>
      <c r="E450" s="1342"/>
      <c r="F450" s="1342"/>
      <c r="G450" s="1342"/>
      <c r="H450" s="1342"/>
      <c r="I450" s="1342"/>
      <c r="J450" s="1342"/>
      <c r="K450" s="1342"/>
    </row>
    <row r="451" spans="2:11" ht="14" hidden="1">
      <c r="B451" s="1342"/>
      <c r="C451" s="1342"/>
      <c r="D451" s="1342"/>
      <c r="E451" s="1342"/>
      <c r="F451" s="1342"/>
      <c r="G451" s="1342"/>
      <c r="H451" s="1342"/>
      <c r="I451" s="1342"/>
      <c r="J451" s="1342"/>
      <c r="K451" s="1342"/>
    </row>
    <row r="452" spans="2:11" ht="14" hidden="1">
      <c r="B452" s="1342"/>
      <c r="C452" s="1342"/>
      <c r="D452" s="1342"/>
      <c r="E452" s="1342"/>
      <c r="F452" s="1342"/>
      <c r="G452" s="1342"/>
      <c r="H452" s="1342"/>
      <c r="I452" s="1342"/>
      <c r="J452" s="1342"/>
      <c r="K452" s="1342"/>
    </row>
    <row r="453" spans="2:11" ht="14" hidden="1">
      <c r="B453" s="1342"/>
      <c r="C453" s="1342"/>
      <c r="D453" s="1342"/>
      <c r="E453" s="1342"/>
      <c r="F453" s="1342"/>
      <c r="G453" s="1342"/>
      <c r="H453" s="1342"/>
      <c r="I453" s="1342"/>
      <c r="J453" s="1342"/>
      <c r="K453" s="1342"/>
    </row>
    <row r="454" spans="2:11" ht="14" hidden="1">
      <c r="B454" s="1342"/>
      <c r="C454" s="1342"/>
      <c r="D454" s="1342"/>
      <c r="E454" s="1342"/>
      <c r="F454" s="1342"/>
      <c r="G454" s="1342"/>
      <c r="H454" s="1342"/>
      <c r="I454" s="1342"/>
      <c r="J454" s="1342"/>
      <c r="K454" s="1342"/>
    </row>
    <row r="455" spans="2:11" ht="14" hidden="1">
      <c r="B455" s="1342"/>
      <c r="C455" s="1342"/>
      <c r="D455" s="1342"/>
      <c r="E455" s="1342"/>
      <c r="F455" s="1342"/>
      <c r="G455" s="1342"/>
      <c r="H455" s="1342"/>
      <c r="I455" s="1342"/>
      <c r="J455" s="1342"/>
      <c r="K455" s="1342"/>
    </row>
    <row r="456" spans="2:11" ht="14" hidden="1">
      <c r="B456" s="1342"/>
      <c r="C456" s="1342"/>
      <c r="D456" s="1342"/>
      <c r="E456" s="1342"/>
      <c r="F456" s="1342"/>
      <c r="G456" s="1342"/>
      <c r="H456" s="1342"/>
      <c r="I456" s="1342"/>
      <c r="J456" s="1342"/>
      <c r="K456" s="1342"/>
    </row>
    <row r="457" spans="2:11" ht="14" hidden="1">
      <c r="B457" s="1342"/>
      <c r="C457" s="1342"/>
      <c r="D457" s="1342"/>
      <c r="E457" s="1342"/>
      <c r="F457" s="1342"/>
      <c r="G457" s="1342"/>
      <c r="H457" s="1342"/>
      <c r="I457" s="1342"/>
      <c r="J457" s="1342"/>
      <c r="K457" s="1342"/>
    </row>
    <row r="458" spans="2:11" ht="14" hidden="1">
      <c r="B458" s="1342"/>
      <c r="C458" s="1342"/>
      <c r="D458" s="1342"/>
      <c r="E458" s="1342"/>
      <c r="F458" s="1342"/>
      <c r="G458" s="1342"/>
      <c r="H458" s="1342"/>
      <c r="I458" s="1342"/>
      <c r="J458" s="1342"/>
      <c r="K458" s="1342"/>
    </row>
    <row r="459" spans="2:11" ht="14" hidden="1">
      <c r="B459" s="1342"/>
      <c r="C459" s="1342"/>
      <c r="D459" s="1342"/>
      <c r="E459" s="1342"/>
      <c r="F459" s="1342"/>
      <c r="G459" s="1342"/>
      <c r="H459" s="1342"/>
      <c r="I459" s="1342"/>
      <c r="J459" s="1342"/>
      <c r="K459" s="1342"/>
    </row>
    <row r="460" spans="2:11" ht="14" hidden="1">
      <c r="B460" s="1342"/>
      <c r="C460" s="1342"/>
      <c r="D460" s="1342"/>
      <c r="E460" s="1342"/>
      <c r="F460" s="1342"/>
      <c r="G460" s="1342"/>
      <c r="H460" s="1342"/>
      <c r="I460" s="1342"/>
      <c r="J460" s="1342"/>
      <c r="K460" s="1342"/>
    </row>
    <row r="461" spans="2:11" ht="14" hidden="1">
      <c r="B461" s="1342"/>
      <c r="C461" s="1342"/>
      <c r="D461" s="1342"/>
      <c r="E461" s="1342"/>
      <c r="F461" s="1342"/>
      <c r="G461" s="1342"/>
      <c r="H461" s="1342"/>
      <c r="I461" s="1342"/>
      <c r="J461" s="1342"/>
      <c r="K461" s="1342"/>
    </row>
    <row r="462" spans="2:11" ht="14" hidden="1">
      <c r="B462" s="1342"/>
      <c r="C462" s="1342"/>
      <c r="D462" s="1342"/>
      <c r="E462" s="1342"/>
      <c r="F462" s="1342"/>
      <c r="G462" s="1342"/>
      <c r="H462" s="1342"/>
      <c r="I462" s="1342"/>
      <c r="J462" s="1342"/>
      <c r="K462" s="1342"/>
    </row>
    <row r="463" spans="2:11" ht="14" hidden="1">
      <c r="B463" s="1342"/>
      <c r="C463" s="1342"/>
      <c r="D463" s="1342"/>
      <c r="E463" s="1342"/>
      <c r="F463" s="1342"/>
      <c r="G463" s="1342"/>
      <c r="H463" s="1342"/>
      <c r="I463" s="1342"/>
      <c r="J463" s="1342"/>
      <c r="K463" s="1342"/>
    </row>
    <row r="464" spans="2:11" ht="14" hidden="1">
      <c r="B464" s="1342"/>
      <c r="C464" s="1342"/>
      <c r="D464" s="1342"/>
      <c r="E464" s="1342"/>
      <c r="F464" s="1342"/>
      <c r="G464" s="1342"/>
      <c r="H464" s="1342"/>
      <c r="I464" s="1342"/>
      <c r="J464" s="1342"/>
      <c r="K464" s="1342"/>
    </row>
    <row r="465" spans="2:11" ht="14" hidden="1">
      <c r="B465" s="1342"/>
      <c r="C465" s="1342"/>
      <c r="D465" s="1342"/>
      <c r="E465" s="1342"/>
      <c r="F465" s="1342"/>
      <c r="G465" s="1342"/>
      <c r="H465" s="1342"/>
      <c r="I465" s="1342"/>
      <c r="J465" s="1342"/>
      <c r="K465" s="1342"/>
    </row>
    <row r="466" spans="2:11" ht="14" hidden="1">
      <c r="B466" s="1342"/>
      <c r="C466" s="1342"/>
      <c r="D466" s="1342"/>
      <c r="E466" s="1342"/>
      <c r="F466" s="1342"/>
      <c r="G466" s="1342"/>
      <c r="H466" s="1342"/>
      <c r="I466" s="1342"/>
      <c r="J466" s="1342"/>
      <c r="K466" s="1342"/>
    </row>
    <row r="467" spans="2:11" ht="14" hidden="1">
      <c r="B467" s="1342"/>
      <c r="C467" s="1342"/>
      <c r="D467" s="1342"/>
      <c r="E467" s="1342"/>
      <c r="F467" s="1342"/>
      <c r="G467" s="1342"/>
      <c r="H467" s="1342"/>
      <c r="I467" s="1342"/>
      <c r="J467" s="1342"/>
      <c r="K467" s="1342"/>
    </row>
    <row r="468" spans="2:11" ht="14" hidden="1">
      <c r="B468" s="1342"/>
      <c r="C468" s="1342"/>
      <c r="D468" s="1342"/>
      <c r="E468" s="1342"/>
      <c r="F468" s="1342"/>
      <c r="G468" s="1342"/>
      <c r="H468" s="1342"/>
      <c r="I468" s="1342"/>
      <c r="J468" s="1342"/>
      <c r="K468" s="1342"/>
    </row>
    <row r="469" spans="2:11" ht="14" hidden="1">
      <c r="B469" s="1342"/>
      <c r="C469" s="1342"/>
      <c r="D469" s="1342"/>
      <c r="E469" s="1342"/>
      <c r="F469" s="1342"/>
      <c r="G469" s="1342"/>
      <c r="H469" s="1342"/>
      <c r="I469" s="1342"/>
      <c r="J469" s="1342"/>
      <c r="K469" s="1342"/>
    </row>
    <row r="470" spans="2:11" ht="14" hidden="1">
      <c r="B470" s="1342"/>
      <c r="C470" s="1342"/>
      <c r="D470" s="1342"/>
      <c r="E470" s="1342"/>
      <c r="F470" s="1342"/>
      <c r="G470" s="1342"/>
      <c r="H470" s="1342"/>
      <c r="I470" s="1342"/>
      <c r="J470" s="1342"/>
      <c r="K470" s="1342"/>
    </row>
    <row r="471" spans="2:11" ht="14" hidden="1">
      <c r="B471" s="1342"/>
      <c r="C471" s="1342"/>
      <c r="D471" s="1342"/>
      <c r="E471" s="1342"/>
      <c r="F471" s="1342"/>
      <c r="G471" s="1342"/>
      <c r="H471" s="1342"/>
      <c r="I471" s="1342"/>
      <c r="J471" s="1342"/>
      <c r="K471" s="1342"/>
    </row>
    <row r="472" spans="2:11" ht="14" hidden="1">
      <c r="B472" s="1342"/>
      <c r="C472" s="1342"/>
      <c r="D472" s="1342"/>
      <c r="E472" s="1342"/>
      <c r="F472" s="1342"/>
      <c r="G472" s="1342"/>
      <c r="H472" s="1342"/>
      <c r="I472" s="1342"/>
      <c r="J472" s="1342"/>
      <c r="K472" s="1342"/>
    </row>
    <row r="473" spans="2:11" ht="14" hidden="1">
      <c r="B473" s="1342"/>
      <c r="C473" s="1342"/>
      <c r="D473" s="1342"/>
      <c r="E473" s="1342"/>
      <c r="F473" s="1342"/>
      <c r="G473" s="1342"/>
      <c r="H473" s="1342"/>
      <c r="I473" s="1342"/>
      <c r="J473" s="1342"/>
      <c r="K473" s="1342"/>
    </row>
    <row r="474" spans="2:11" ht="14" hidden="1">
      <c r="B474" s="1342"/>
      <c r="C474" s="1342"/>
      <c r="D474" s="1342"/>
      <c r="E474" s="1342"/>
      <c r="F474" s="1342"/>
      <c r="G474" s="1342"/>
      <c r="H474" s="1342"/>
      <c r="I474" s="1342"/>
      <c r="J474" s="1342"/>
      <c r="K474" s="1342"/>
    </row>
    <row r="475" spans="2:11" ht="14" hidden="1">
      <c r="B475" s="1342"/>
      <c r="C475" s="1342"/>
      <c r="D475" s="1342"/>
      <c r="E475" s="1342"/>
      <c r="F475" s="1342"/>
      <c r="G475" s="1342"/>
      <c r="H475" s="1342"/>
      <c r="I475" s="1342"/>
      <c r="J475" s="1342"/>
      <c r="K475" s="1342"/>
    </row>
    <row r="476" spans="2:11" ht="14" hidden="1">
      <c r="B476" s="1342"/>
      <c r="C476" s="1342"/>
      <c r="D476" s="1342"/>
      <c r="E476" s="1342"/>
      <c r="F476" s="1342"/>
      <c r="G476" s="1342"/>
      <c r="H476" s="1342"/>
      <c r="I476" s="1342"/>
      <c r="J476" s="1342"/>
      <c r="K476" s="1342"/>
    </row>
    <row r="477" spans="2:11" ht="14" hidden="1">
      <c r="B477" s="1342"/>
      <c r="C477" s="1342"/>
      <c r="D477" s="1342"/>
      <c r="E477" s="1342"/>
      <c r="F477" s="1342"/>
      <c r="G477" s="1342"/>
      <c r="H477" s="1342"/>
      <c r="I477" s="1342"/>
      <c r="J477" s="1342"/>
      <c r="K477" s="1342"/>
    </row>
    <row r="478" spans="2:11" ht="14" hidden="1">
      <c r="B478" s="1342"/>
      <c r="C478" s="1342"/>
      <c r="D478" s="1342"/>
      <c r="E478" s="1342"/>
      <c r="F478" s="1342"/>
      <c r="G478" s="1342"/>
      <c r="H478" s="1342"/>
      <c r="I478" s="1342"/>
      <c r="J478" s="1342"/>
      <c r="K478" s="1342"/>
    </row>
    <row r="479" spans="2:11" ht="14" hidden="1">
      <c r="B479" s="1342"/>
      <c r="C479" s="1342"/>
      <c r="D479" s="1342"/>
      <c r="E479" s="1342"/>
      <c r="F479" s="1342"/>
      <c r="G479" s="1342"/>
      <c r="H479" s="1342"/>
      <c r="I479" s="1342"/>
      <c r="J479" s="1342"/>
      <c r="K479" s="1342"/>
    </row>
    <row r="480" spans="2:11" ht="14" hidden="1">
      <c r="B480" s="1342"/>
      <c r="C480" s="1342"/>
      <c r="D480" s="1342"/>
      <c r="E480" s="1342"/>
      <c r="F480" s="1342"/>
      <c r="G480" s="1342"/>
      <c r="H480" s="1342"/>
      <c r="I480" s="1342"/>
      <c r="J480" s="1342"/>
      <c r="K480" s="1342"/>
    </row>
    <row r="481" spans="2:11" ht="14" hidden="1">
      <c r="B481" s="1342"/>
      <c r="C481" s="1342"/>
      <c r="D481" s="1342"/>
      <c r="E481" s="1342"/>
      <c r="F481" s="1342"/>
      <c r="G481" s="1342"/>
      <c r="H481" s="1342"/>
      <c r="I481" s="1342"/>
      <c r="J481" s="1342"/>
      <c r="K481" s="1342"/>
    </row>
    <row r="482" spans="2:11" ht="14" hidden="1">
      <c r="B482" s="1342"/>
      <c r="C482" s="1342"/>
      <c r="D482" s="1342"/>
      <c r="E482" s="1342"/>
      <c r="F482" s="1342"/>
      <c r="G482" s="1342"/>
      <c r="H482" s="1342"/>
      <c r="I482" s="1342"/>
      <c r="J482" s="1342"/>
      <c r="K482" s="1342"/>
    </row>
    <row r="483" spans="2:11" ht="14" hidden="1">
      <c r="B483" s="1342"/>
      <c r="C483" s="1342"/>
      <c r="D483" s="1342"/>
      <c r="E483" s="1342"/>
      <c r="F483" s="1342"/>
      <c r="G483" s="1342"/>
      <c r="H483" s="1342"/>
      <c r="I483" s="1342"/>
      <c r="J483" s="1342"/>
      <c r="K483" s="1342"/>
    </row>
    <row r="484" spans="2:11" ht="14" hidden="1">
      <c r="B484" s="1342"/>
      <c r="C484" s="1342"/>
      <c r="D484" s="1342"/>
      <c r="E484" s="1342"/>
      <c r="F484" s="1342"/>
      <c r="G484" s="1342"/>
      <c r="H484" s="1342"/>
      <c r="I484" s="1342"/>
      <c r="J484" s="1342"/>
      <c r="K484" s="1342"/>
    </row>
    <row r="485" spans="2:11" ht="14" hidden="1">
      <c r="B485" s="1342"/>
      <c r="C485" s="1342"/>
      <c r="D485" s="1342"/>
      <c r="E485" s="1342"/>
      <c r="F485" s="1342"/>
      <c r="G485" s="1342"/>
      <c r="H485" s="1342"/>
      <c r="I485" s="1342"/>
      <c r="J485" s="1342"/>
      <c r="K485" s="1342"/>
    </row>
    <row r="486" spans="2:11" ht="14" hidden="1">
      <c r="B486" s="1342"/>
      <c r="C486" s="1342"/>
      <c r="D486" s="1342"/>
      <c r="E486" s="1342"/>
      <c r="F486" s="1342"/>
      <c r="G486" s="1342"/>
      <c r="H486" s="1342"/>
      <c r="I486" s="1342"/>
      <c r="J486" s="1342"/>
      <c r="K486" s="1342"/>
    </row>
    <row r="487" spans="2:11" ht="14" hidden="1">
      <c r="B487" s="1342"/>
      <c r="C487" s="1342"/>
      <c r="D487" s="1342"/>
      <c r="E487" s="1342"/>
      <c r="F487" s="1342"/>
      <c r="G487" s="1342"/>
      <c r="H487" s="1342"/>
      <c r="I487" s="1342"/>
      <c r="J487" s="1342"/>
      <c r="K487" s="1342"/>
    </row>
    <row r="488" spans="2:11" ht="14" hidden="1">
      <c r="B488" s="1342"/>
      <c r="C488" s="1342"/>
      <c r="D488" s="1342"/>
      <c r="E488" s="1342"/>
      <c r="F488" s="1342"/>
      <c r="G488" s="1342"/>
      <c r="H488" s="1342"/>
      <c r="I488" s="1342"/>
      <c r="J488" s="1342"/>
      <c r="K488" s="1342"/>
    </row>
    <row r="489" spans="2:11" ht="14" hidden="1">
      <c r="B489" s="1342"/>
      <c r="C489" s="1342"/>
      <c r="D489" s="1342"/>
      <c r="E489" s="1342"/>
      <c r="F489" s="1342"/>
      <c r="G489" s="1342"/>
      <c r="H489" s="1342"/>
      <c r="I489" s="1342"/>
      <c r="J489" s="1342"/>
      <c r="K489" s="1342"/>
    </row>
    <row r="490" spans="2:11" ht="14" hidden="1">
      <c r="B490" s="1342"/>
      <c r="C490" s="1342"/>
      <c r="D490" s="1342"/>
      <c r="E490" s="1342"/>
      <c r="F490" s="1342"/>
      <c r="G490" s="1342"/>
      <c r="H490" s="1342"/>
      <c r="I490" s="1342"/>
      <c r="J490" s="1342"/>
      <c r="K490" s="1342"/>
    </row>
    <row r="491" spans="2:11" ht="14" hidden="1">
      <c r="B491" s="1342"/>
      <c r="C491" s="1342"/>
      <c r="D491" s="1342"/>
      <c r="E491" s="1342"/>
      <c r="F491" s="1342"/>
      <c r="G491" s="1342"/>
      <c r="H491" s="1342"/>
      <c r="I491" s="1342"/>
      <c r="J491" s="1342"/>
      <c r="K491" s="1342"/>
    </row>
    <row r="492" spans="2:11" ht="14" hidden="1">
      <c r="B492" s="1342"/>
      <c r="C492" s="1342"/>
      <c r="D492" s="1342"/>
      <c r="E492" s="1342"/>
      <c r="F492" s="1342"/>
      <c r="G492" s="1342"/>
      <c r="H492" s="1342"/>
      <c r="I492" s="1342"/>
      <c r="J492" s="1342"/>
      <c r="K492" s="1342"/>
    </row>
    <row r="493" spans="2:11" ht="14" hidden="1">
      <c r="B493" s="1342"/>
      <c r="C493" s="1342"/>
      <c r="D493" s="1342"/>
      <c r="E493" s="1342"/>
      <c r="F493" s="1342"/>
      <c r="G493" s="1342"/>
      <c r="H493" s="1342"/>
      <c r="I493" s="1342"/>
      <c r="J493" s="1342"/>
      <c r="K493" s="1342"/>
    </row>
    <row r="494" spans="2:11" ht="14" hidden="1">
      <c r="B494" s="1342"/>
      <c r="C494" s="1342"/>
      <c r="D494" s="1342"/>
      <c r="E494" s="1342"/>
      <c r="F494" s="1342"/>
      <c r="G494" s="1342"/>
      <c r="H494" s="1342"/>
      <c r="I494" s="1342"/>
      <c r="J494" s="1342"/>
      <c r="K494" s="1342"/>
    </row>
    <row r="495" spans="2:11" ht="14" hidden="1">
      <c r="B495" s="1342"/>
      <c r="C495" s="1342"/>
      <c r="D495" s="1342"/>
      <c r="E495" s="1342"/>
      <c r="F495" s="1342"/>
      <c r="G495" s="1342"/>
      <c r="H495" s="1342"/>
      <c r="I495" s="1342"/>
      <c r="J495" s="1342"/>
      <c r="K495" s="1342"/>
    </row>
    <row r="496" spans="2:11" ht="14" hidden="1">
      <c r="B496" s="1342"/>
      <c r="C496" s="1342"/>
      <c r="D496" s="1342"/>
      <c r="E496" s="1342"/>
      <c r="F496" s="1342"/>
      <c r="G496" s="1342"/>
      <c r="H496" s="1342"/>
      <c r="I496" s="1342"/>
      <c r="J496" s="1342"/>
      <c r="K496" s="1342"/>
    </row>
    <row r="497" spans="2:11" ht="14" hidden="1">
      <c r="B497" s="1342"/>
      <c r="C497" s="1342"/>
      <c r="D497" s="1342"/>
      <c r="E497" s="1342"/>
      <c r="F497" s="1342"/>
      <c r="G497" s="1342"/>
      <c r="H497" s="1342"/>
      <c r="I497" s="1342"/>
      <c r="J497" s="1342"/>
      <c r="K497" s="1342"/>
    </row>
    <row r="498" spans="2:11" ht="14" hidden="1">
      <c r="B498" s="1342"/>
      <c r="C498" s="1342"/>
      <c r="D498" s="1342"/>
      <c r="E498" s="1342"/>
      <c r="F498" s="1342"/>
      <c r="G498" s="1342"/>
      <c r="H498" s="1342"/>
      <c r="I498" s="1342"/>
      <c r="J498" s="1342"/>
      <c r="K498" s="1342"/>
    </row>
    <row r="499" spans="2:11" ht="14" hidden="1">
      <c r="B499" s="1342"/>
      <c r="C499" s="1342"/>
      <c r="D499" s="1342"/>
      <c r="E499" s="1342"/>
      <c r="F499" s="1342"/>
      <c r="G499" s="1342"/>
      <c r="H499" s="1342"/>
      <c r="I499" s="1342"/>
      <c r="J499" s="1342"/>
      <c r="K499" s="1342"/>
    </row>
    <row r="500" spans="2:11" ht="14" hidden="1">
      <c r="B500" s="1342"/>
      <c r="C500" s="1342"/>
      <c r="D500" s="1342"/>
      <c r="E500" s="1342"/>
      <c r="F500" s="1342"/>
      <c r="G500" s="1342"/>
      <c r="H500" s="1342"/>
      <c r="I500" s="1342"/>
      <c r="J500" s="1342"/>
      <c r="K500" s="1342"/>
    </row>
    <row r="501" spans="2:11" ht="14" hidden="1">
      <c r="B501" s="1342"/>
      <c r="C501" s="1342"/>
      <c r="D501" s="1342"/>
      <c r="E501" s="1342"/>
      <c r="F501" s="1342"/>
      <c r="G501" s="1342"/>
      <c r="H501" s="1342"/>
      <c r="I501" s="1342"/>
      <c r="J501" s="1342"/>
      <c r="K501" s="1342"/>
    </row>
    <row r="502" spans="2:11" ht="14" hidden="1">
      <c r="B502" s="1342"/>
      <c r="C502" s="1342"/>
      <c r="D502" s="1342"/>
      <c r="E502" s="1342"/>
      <c r="F502" s="1342"/>
      <c r="G502" s="1342"/>
      <c r="H502" s="1342"/>
      <c r="I502" s="1342"/>
      <c r="J502" s="1342"/>
      <c r="K502" s="1342"/>
    </row>
    <row r="503" spans="2:11" ht="14" hidden="1">
      <c r="B503" s="1342"/>
      <c r="C503" s="1342"/>
      <c r="D503" s="1342"/>
      <c r="E503" s="1342"/>
      <c r="F503" s="1342"/>
      <c r="G503" s="1342"/>
      <c r="H503" s="1342"/>
      <c r="I503" s="1342"/>
      <c r="J503" s="1342"/>
      <c r="K503" s="1342"/>
    </row>
    <row r="504" spans="2:11" ht="14" hidden="1">
      <c r="B504" s="1342"/>
      <c r="C504" s="1342"/>
      <c r="D504" s="1342"/>
      <c r="E504" s="1342"/>
      <c r="F504" s="1342"/>
      <c r="G504" s="1342"/>
      <c r="H504" s="1342"/>
      <c r="I504" s="1342"/>
      <c r="J504" s="1342"/>
      <c r="K504" s="1342"/>
    </row>
    <row r="505" spans="2:11" ht="14" hidden="1">
      <c r="B505" s="1342"/>
      <c r="C505" s="1342"/>
      <c r="D505" s="1342"/>
      <c r="E505" s="1342"/>
      <c r="F505" s="1342"/>
      <c r="G505" s="1342"/>
      <c r="H505" s="1342"/>
      <c r="I505" s="1342"/>
      <c r="J505" s="1342"/>
      <c r="K505" s="1342"/>
    </row>
    <row r="506" spans="2:11" ht="14" hidden="1">
      <c r="B506" s="1342"/>
      <c r="C506" s="1342"/>
      <c r="D506" s="1342"/>
      <c r="E506" s="1342"/>
      <c r="F506" s="1342"/>
      <c r="G506" s="1342"/>
      <c r="H506" s="1342"/>
      <c r="I506" s="1342"/>
      <c r="J506" s="1342"/>
      <c r="K506" s="1342"/>
    </row>
    <row r="507" spans="2:11" ht="14" hidden="1">
      <c r="B507" s="1342"/>
      <c r="C507" s="1342"/>
      <c r="D507" s="1342"/>
      <c r="E507" s="1342"/>
      <c r="F507" s="1342"/>
      <c r="G507" s="1342"/>
      <c r="H507" s="1342"/>
      <c r="I507" s="1342"/>
      <c r="J507" s="1342"/>
      <c r="K507" s="1342"/>
    </row>
    <row r="508" spans="2:11" ht="14" hidden="1">
      <c r="B508" s="1342"/>
      <c r="C508" s="1342"/>
      <c r="D508" s="1342"/>
      <c r="E508" s="1342"/>
      <c r="F508" s="1342"/>
      <c r="G508" s="1342"/>
      <c r="H508" s="1342"/>
      <c r="I508" s="1342"/>
      <c r="J508" s="1342"/>
      <c r="K508" s="1342"/>
    </row>
    <row r="509" spans="2:11" ht="14" hidden="1">
      <c r="B509" s="1342"/>
      <c r="C509" s="1342"/>
      <c r="D509" s="1342"/>
      <c r="E509" s="1342"/>
      <c r="F509" s="1342"/>
      <c r="G509" s="1342"/>
      <c r="H509" s="1342"/>
      <c r="I509" s="1342"/>
      <c r="J509" s="1342"/>
      <c r="K509" s="1342"/>
    </row>
    <row r="510" spans="2:11" ht="14" hidden="1">
      <c r="B510" s="1342"/>
      <c r="C510" s="1342"/>
      <c r="D510" s="1342"/>
      <c r="E510" s="1342"/>
      <c r="F510" s="1342"/>
      <c r="G510" s="1342"/>
      <c r="H510" s="1342"/>
      <c r="I510" s="1342"/>
      <c r="J510" s="1342"/>
      <c r="K510" s="1342"/>
    </row>
    <row r="511" spans="2:11" ht="14" hidden="1">
      <c r="B511" s="1342"/>
      <c r="C511" s="1342"/>
      <c r="D511" s="1342"/>
      <c r="E511" s="1342"/>
      <c r="F511" s="1342"/>
      <c r="G511" s="1342"/>
      <c r="H511" s="1342"/>
      <c r="I511" s="1342"/>
      <c r="J511" s="1342"/>
      <c r="K511" s="1342"/>
    </row>
    <row r="512" spans="2:11" ht="14" hidden="1">
      <c r="B512" s="1342"/>
      <c r="C512" s="1342"/>
      <c r="D512" s="1342"/>
      <c r="E512" s="1342"/>
      <c r="F512" s="1342"/>
      <c r="G512" s="1342"/>
      <c r="H512" s="1342"/>
      <c r="I512" s="1342"/>
      <c r="J512" s="1342"/>
      <c r="K512" s="1342"/>
    </row>
    <row r="513" spans="2:11" ht="14" hidden="1">
      <c r="B513" s="1342"/>
      <c r="C513" s="1342"/>
      <c r="D513" s="1342"/>
      <c r="E513" s="1342"/>
      <c r="F513" s="1342"/>
      <c r="G513" s="1342"/>
      <c r="H513" s="1342"/>
      <c r="I513" s="1342"/>
      <c r="J513" s="1342"/>
      <c r="K513" s="1342"/>
    </row>
    <row r="514" spans="2:11" ht="14" hidden="1">
      <c r="B514" s="1342"/>
      <c r="C514" s="1342"/>
      <c r="D514" s="1342"/>
      <c r="E514" s="1342"/>
      <c r="F514" s="1342"/>
      <c r="G514" s="1342"/>
      <c r="H514" s="1342"/>
      <c r="I514" s="1342"/>
      <c r="J514" s="1342"/>
      <c r="K514" s="1342"/>
    </row>
    <row r="515" spans="2:11" ht="14" hidden="1">
      <c r="B515" s="1342"/>
      <c r="C515" s="1342"/>
      <c r="D515" s="1342"/>
      <c r="E515" s="1342"/>
      <c r="F515" s="1342"/>
      <c r="G515" s="1342"/>
      <c r="H515" s="1342"/>
      <c r="I515" s="1342"/>
      <c r="J515" s="1342"/>
      <c r="K515" s="1342"/>
    </row>
    <row r="516" spans="2:11" ht="14" hidden="1">
      <c r="B516" s="1342"/>
      <c r="C516" s="1342"/>
      <c r="D516" s="1342"/>
      <c r="E516" s="1342"/>
      <c r="F516" s="1342"/>
      <c r="G516" s="1342"/>
      <c r="H516" s="1342"/>
      <c r="I516" s="1342"/>
      <c r="J516" s="1342"/>
      <c r="K516" s="1342"/>
    </row>
    <row r="517" spans="2:11" ht="14" hidden="1">
      <c r="B517" s="1342"/>
      <c r="C517" s="1342"/>
      <c r="D517" s="1342"/>
      <c r="E517" s="1342"/>
      <c r="F517" s="1342"/>
      <c r="G517" s="1342"/>
      <c r="H517" s="1342"/>
      <c r="I517" s="1342"/>
      <c r="J517" s="1342"/>
      <c r="K517" s="1342"/>
    </row>
    <row r="518" spans="2:11" ht="14" hidden="1">
      <c r="B518" s="1342"/>
      <c r="C518" s="1342"/>
      <c r="D518" s="1342"/>
      <c r="E518" s="1342"/>
      <c r="F518" s="1342"/>
      <c r="G518" s="1342"/>
      <c r="H518" s="1342"/>
      <c r="I518" s="1342"/>
      <c r="J518" s="1342"/>
      <c r="K518" s="1342"/>
    </row>
    <row r="519" spans="2:11" ht="14" hidden="1">
      <c r="B519" s="1342"/>
      <c r="C519" s="1342"/>
      <c r="D519" s="1342"/>
      <c r="E519" s="1342"/>
      <c r="F519" s="1342"/>
      <c r="G519" s="1342"/>
      <c r="H519" s="1342"/>
      <c r="I519" s="1342"/>
      <c r="J519" s="1342"/>
      <c r="K519" s="1342"/>
    </row>
    <row r="520" spans="2:11" ht="14" hidden="1">
      <c r="B520" s="1342"/>
      <c r="C520" s="1342"/>
      <c r="D520" s="1342"/>
      <c r="E520" s="1342"/>
      <c r="F520" s="1342"/>
      <c r="G520" s="1342"/>
      <c r="H520" s="1342"/>
      <c r="I520" s="1342"/>
      <c r="J520" s="1342"/>
      <c r="K520" s="1342"/>
    </row>
    <row r="521" spans="2:11" ht="14" hidden="1">
      <c r="B521" s="1342"/>
      <c r="C521" s="1342"/>
      <c r="D521" s="1342"/>
      <c r="E521" s="1342"/>
      <c r="F521" s="1342"/>
      <c r="G521" s="1342"/>
      <c r="H521" s="1342"/>
      <c r="I521" s="1342"/>
      <c r="J521" s="1342"/>
      <c r="K521" s="1342"/>
    </row>
    <row r="522" spans="2:11" ht="14" hidden="1">
      <c r="B522" s="1342"/>
      <c r="C522" s="1342"/>
      <c r="D522" s="1342"/>
      <c r="E522" s="1342"/>
      <c r="F522" s="1342"/>
      <c r="G522" s="1342"/>
      <c r="H522" s="1342"/>
      <c r="I522" s="1342"/>
      <c r="J522" s="1342"/>
      <c r="K522" s="1342"/>
    </row>
    <row r="523" spans="2:11" ht="14" hidden="1">
      <c r="B523" s="1342"/>
      <c r="C523" s="1342"/>
      <c r="D523" s="1342"/>
      <c r="E523" s="1342"/>
      <c r="F523" s="1342"/>
      <c r="G523" s="1342"/>
      <c r="H523" s="1342"/>
      <c r="I523" s="1342"/>
      <c r="J523" s="1342"/>
      <c r="K523" s="1342"/>
    </row>
    <row r="524" spans="2:11" ht="14" hidden="1">
      <c r="B524" s="1342"/>
      <c r="C524" s="1342"/>
      <c r="D524" s="1342"/>
      <c r="E524" s="1342"/>
      <c r="F524" s="1342"/>
      <c r="G524" s="1342"/>
      <c r="H524" s="1342"/>
      <c r="I524" s="1342"/>
      <c r="J524" s="1342"/>
      <c r="K524" s="1342"/>
    </row>
    <row r="525" spans="2:11" ht="14" hidden="1">
      <c r="B525" s="1342"/>
      <c r="C525" s="1342"/>
      <c r="D525" s="1342"/>
      <c r="E525" s="1342"/>
      <c r="F525" s="1342"/>
      <c r="G525" s="1342"/>
      <c r="H525" s="1342"/>
      <c r="I525" s="1342"/>
      <c r="J525" s="1342"/>
      <c r="K525" s="1342"/>
    </row>
    <row r="526" spans="2:11" ht="14" hidden="1">
      <c r="B526" s="1342"/>
      <c r="C526" s="1342"/>
      <c r="D526" s="1342"/>
      <c r="E526" s="1342"/>
      <c r="F526" s="1342"/>
      <c r="G526" s="1342"/>
      <c r="H526" s="1342"/>
      <c r="I526" s="1342"/>
      <c r="J526" s="1342"/>
      <c r="K526" s="1342"/>
    </row>
    <row r="527" spans="2:11" ht="14" hidden="1">
      <c r="B527" s="1342"/>
      <c r="C527" s="1342"/>
      <c r="D527" s="1342"/>
      <c r="E527" s="1342"/>
      <c r="F527" s="1342"/>
      <c r="G527" s="1342"/>
      <c r="H527" s="1342"/>
      <c r="I527" s="1342"/>
      <c r="J527" s="1342"/>
      <c r="K527" s="1342"/>
    </row>
    <row r="528" spans="2:11" ht="14" hidden="1">
      <c r="B528" s="1342"/>
      <c r="C528" s="1342"/>
      <c r="D528" s="1342"/>
      <c r="E528" s="1342"/>
      <c r="F528" s="1342"/>
      <c r="G528" s="1342"/>
      <c r="H528" s="1342"/>
      <c r="I528" s="1342"/>
      <c r="J528" s="1342"/>
      <c r="K528" s="1342"/>
    </row>
    <row r="529" spans="2:11" ht="14" hidden="1">
      <c r="B529" s="1342"/>
      <c r="C529" s="1342"/>
      <c r="D529" s="1342"/>
      <c r="E529" s="1342"/>
      <c r="F529" s="1342"/>
      <c r="G529" s="1342"/>
      <c r="H529" s="1342"/>
      <c r="I529" s="1342"/>
      <c r="J529" s="1342"/>
      <c r="K529" s="1342"/>
    </row>
    <row r="530" spans="2:11" ht="14" hidden="1">
      <c r="B530" s="1342"/>
      <c r="C530" s="1342"/>
      <c r="D530" s="1342"/>
      <c r="E530" s="1342"/>
      <c r="F530" s="1342"/>
      <c r="G530" s="1342"/>
      <c r="H530" s="1342"/>
      <c r="I530" s="1342"/>
      <c r="J530" s="1342"/>
      <c r="K530" s="1342"/>
    </row>
    <row r="531" spans="2:11" ht="14" hidden="1">
      <c r="B531" s="1342"/>
      <c r="C531" s="1342"/>
      <c r="D531" s="1342"/>
      <c r="E531" s="1342"/>
      <c r="F531" s="1342"/>
      <c r="G531" s="1342"/>
      <c r="H531" s="1342"/>
      <c r="I531" s="1342"/>
      <c r="J531" s="1342"/>
      <c r="K531" s="1342"/>
    </row>
    <row r="532" spans="2:11" ht="14" hidden="1">
      <c r="B532" s="1342"/>
      <c r="C532" s="1342"/>
      <c r="D532" s="1342"/>
      <c r="E532" s="1342"/>
      <c r="F532" s="1342"/>
      <c r="G532" s="1342"/>
      <c r="H532" s="1342"/>
      <c r="I532" s="1342"/>
      <c r="J532" s="1342"/>
      <c r="K532" s="1342"/>
    </row>
    <row r="533" spans="2:11" ht="14" hidden="1">
      <c r="B533" s="1342"/>
      <c r="C533" s="1342"/>
      <c r="D533" s="1342"/>
      <c r="E533" s="1342"/>
      <c r="F533" s="1342"/>
      <c r="G533" s="1342"/>
      <c r="H533" s="1342"/>
      <c r="I533" s="1342"/>
      <c r="J533" s="1342"/>
      <c r="K533" s="1342"/>
    </row>
    <row r="534" spans="2:11" ht="14" hidden="1">
      <c r="B534" s="1342"/>
      <c r="C534" s="1342"/>
      <c r="D534" s="1342"/>
      <c r="E534" s="1342"/>
      <c r="F534" s="1342"/>
      <c r="G534" s="1342"/>
      <c r="H534" s="1342"/>
      <c r="I534" s="1342"/>
      <c r="J534" s="1342"/>
      <c r="K534" s="1342"/>
    </row>
    <row r="535" spans="2:11" ht="14" hidden="1">
      <c r="B535" s="1342"/>
      <c r="C535" s="1342"/>
      <c r="D535" s="1342"/>
      <c r="E535" s="1342"/>
      <c r="F535" s="1342"/>
      <c r="G535" s="1342"/>
      <c r="H535" s="1342"/>
      <c r="I535" s="1342"/>
      <c r="J535" s="1342"/>
      <c r="K535" s="1342"/>
    </row>
    <row r="536" spans="2:11" ht="14" hidden="1">
      <c r="B536" s="1342"/>
      <c r="C536" s="1342"/>
      <c r="D536" s="1342"/>
      <c r="E536" s="1342"/>
      <c r="F536" s="1342"/>
      <c r="G536" s="1342"/>
      <c r="H536" s="1342"/>
      <c r="I536" s="1342"/>
      <c r="J536" s="1342"/>
      <c r="K536" s="1342"/>
    </row>
    <row r="537" spans="2:11" ht="14" hidden="1">
      <c r="B537" s="1342"/>
      <c r="C537" s="1342"/>
      <c r="D537" s="1342"/>
      <c r="E537" s="1342"/>
      <c r="F537" s="1342"/>
      <c r="G537" s="1342"/>
      <c r="H537" s="1342"/>
      <c r="I537" s="1342"/>
      <c r="J537" s="1342"/>
      <c r="K537" s="1342"/>
    </row>
    <row r="538" spans="2:11" ht="14" hidden="1">
      <c r="B538" s="1342"/>
      <c r="C538" s="1342"/>
      <c r="D538" s="1342"/>
      <c r="E538" s="1342"/>
      <c r="F538" s="1342"/>
      <c r="G538" s="1342"/>
      <c r="H538" s="1342"/>
      <c r="I538" s="1342"/>
      <c r="J538" s="1342"/>
      <c r="K538" s="1342"/>
    </row>
    <row r="539" spans="2:11" ht="14" hidden="1">
      <c r="B539" s="1342"/>
      <c r="C539" s="1342"/>
      <c r="D539" s="1342"/>
      <c r="E539" s="1342"/>
      <c r="F539" s="1342"/>
      <c r="G539" s="1342"/>
      <c r="H539" s="1342"/>
      <c r="I539" s="1342"/>
      <c r="J539" s="1342"/>
      <c r="K539" s="1342"/>
    </row>
    <row r="540" spans="2:11" ht="14" hidden="1">
      <c r="B540" s="1342"/>
      <c r="C540" s="1342"/>
      <c r="D540" s="1342"/>
      <c r="E540" s="1342"/>
      <c r="F540" s="1342"/>
      <c r="G540" s="1342"/>
      <c r="H540" s="1342"/>
      <c r="I540" s="1342"/>
      <c r="J540" s="1342"/>
      <c r="K540" s="1342"/>
    </row>
    <row r="541" spans="2:11" ht="14" hidden="1">
      <c r="B541" s="1342"/>
      <c r="C541" s="1342"/>
      <c r="D541" s="1342"/>
      <c r="E541" s="1342"/>
      <c r="F541" s="1342"/>
      <c r="G541" s="1342"/>
      <c r="H541" s="1342"/>
      <c r="I541" s="1342"/>
      <c r="J541" s="1342"/>
      <c r="K541" s="1342"/>
    </row>
    <row r="542" spans="2:11" ht="14" hidden="1">
      <c r="B542" s="1342"/>
      <c r="C542" s="1342"/>
      <c r="D542" s="1342"/>
      <c r="E542" s="1342"/>
      <c r="F542" s="1342"/>
      <c r="G542" s="1342"/>
      <c r="H542" s="1342"/>
      <c r="I542" s="1342"/>
      <c r="J542" s="1342"/>
      <c r="K542" s="1342"/>
    </row>
    <row r="543" spans="2:11" ht="14" hidden="1">
      <c r="B543" s="1342"/>
      <c r="C543" s="1342"/>
      <c r="D543" s="1342"/>
      <c r="E543" s="1342"/>
      <c r="F543" s="1342"/>
      <c r="G543" s="1342"/>
      <c r="H543" s="1342"/>
      <c r="I543" s="1342"/>
      <c r="J543" s="1342"/>
      <c r="K543" s="1342"/>
    </row>
    <row r="544" spans="2:11" ht="14" hidden="1">
      <c r="B544" s="1342"/>
      <c r="C544" s="1342"/>
      <c r="D544" s="1342"/>
      <c r="E544" s="1342"/>
      <c r="F544" s="1342"/>
      <c r="G544" s="1342"/>
      <c r="H544" s="1342"/>
      <c r="I544" s="1342"/>
      <c r="J544" s="1342"/>
      <c r="K544" s="1342"/>
    </row>
    <row r="545" spans="2:11" ht="14" hidden="1">
      <c r="B545" s="1342"/>
      <c r="C545" s="1342"/>
      <c r="D545" s="1342"/>
      <c r="E545" s="1342"/>
      <c r="F545" s="1342"/>
      <c r="G545" s="1342"/>
      <c r="H545" s="1342"/>
      <c r="I545" s="1342"/>
      <c r="J545" s="1342"/>
      <c r="K545" s="1342"/>
    </row>
    <row r="546" spans="2:11" ht="14" hidden="1">
      <c r="B546" s="1342"/>
      <c r="C546" s="1342"/>
      <c r="D546" s="1342"/>
      <c r="E546" s="1342"/>
      <c r="F546" s="1342"/>
      <c r="G546" s="1342"/>
      <c r="H546" s="1342"/>
      <c r="I546" s="1342"/>
      <c r="J546" s="1342"/>
      <c r="K546" s="1342"/>
    </row>
    <row r="547" spans="2:11" ht="14" hidden="1">
      <c r="B547" s="1342"/>
      <c r="C547" s="1342"/>
      <c r="D547" s="1342"/>
      <c r="E547" s="1342"/>
      <c r="F547" s="1342"/>
      <c r="G547" s="1342"/>
      <c r="H547" s="1342"/>
      <c r="I547" s="1342"/>
      <c r="J547" s="1342"/>
      <c r="K547" s="1342"/>
    </row>
    <row r="548" spans="2:11" ht="14" hidden="1">
      <c r="B548" s="1342"/>
      <c r="C548" s="1342"/>
      <c r="D548" s="1342"/>
      <c r="E548" s="1342"/>
      <c r="F548" s="1342"/>
      <c r="G548" s="1342"/>
      <c r="H548" s="1342"/>
      <c r="I548" s="1342"/>
      <c r="J548" s="1342"/>
      <c r="K548" s="1342"/>
    </row>
    <row r="549" spans="2:11" ht="14" hidden="1">
      <c r="B549" s="1342"/>
      <c r="C549" s="1342"/>
      <c r="D549" s="1342"/>
      <c r="E549" s="1342"/>
      <c r="F549" s="1342"/>
      <c r="G549" s="1342"/>
      <c r="H549" s="1342"/>
      <c r="I549" s="1342"/>
      <c r="J549" s="1342"/>
      <c r="K549" s="1342"/>
    </row>
    <row r="550" spans="2:11" ht="14" hidden="1">
      <c r="B550" s="1342"/>
      <c r="C550" s="1342"/>
      <c r="D550" s="1342"/>
      <c r="E550" s="1342"/>
      <c r="F550" s="1342"/>
      <c r="G550" s="1342"/>
      <c r="H550" s="1342"/>
      <c r="I550" s="1342"/>
      <c r="J550" s="1342"/>
      <c r="K550" s="1342"/>
    </row>
    <row r="551" spans="2:11" ht="14" hidden="1">
      <c r="B551" s="1342"/>
      <c r="C551" s="1342"/>
      <c r="D551" s="1342"/>
      <c r="E551" s="1342"/>
      <c r="F551" s="1342"/>
      <c r="G551" s="1342"/>
      <c r="H551" s="1342"/>
      <c r="I551" s="1342"/>
      <c r="J551" s="1342"/>
      <c r="K551" s="1342"/>
    </row>
    <row r="552" spans="2:11" ht="14" hidden="1">
      <c r="B552" s="1342"/>
      <c r="C552" s="1342"/>
      <c r="D552" s="1342"/>
      <c r="E552" s="1342"/>
      <c r="F552" s="1342"/>
      <c r="G552" s="1342"/>
      <c r="H552" s="1342"/>
      <c r="I552" s="1342"/>
      <c r="J552" s="1342"/>
      <c r="K552" s="1342"/>
    </row>
    <row r="553" spans="2:11" ht="14" hidden="1">
      <c r="B553" s="1342"/>
      <c r="C553" s="1342"/>
      <c r="D553" s="1342"/>
      <c r="E553" s="1342"/>
      <c r="F553" s="1342"/>
      <c r="G553" s="1342"/>
      <c r="H553" s="1342"/>
      <c r="I553" s="1342"/>
      <c r="J553" s="1342"/>
      <c r="K553" s="1342"/>
    </row>
    <row r="554" spans="2:11" ht="14" hidden="1">
      <c r="B554" s="1342"/>
      <c r="C554" s="1342"/>
      <c r="D554" s="1342"/>
      <c r="E554" s="1342"/>
      <c r="F554" s="1342"/>
      <c r="G554" s="1342"/>
      <c r="H554" s="1342"/>
      <c r="I554" s="1342"/>
      <c r="J554" s="1342"/>
      <c r="K554" s="1342"/>
    </row>
    <row r="555" spans="2:11" ht="14" hidden="1">
      <c r="B555" s="1342"/>
      <c r="C555" s="1342"/>
      <c r="D555" s="1342"/>
      <c r="E555" s="1342"/>
      <c r="F555" s="1342"/>
      <c r="G555" s="1342"/>
      <c r="H555" s="1342"/>
      <c r="I555" s="1342"/>
      <c r="J555" s="1342"/>
      <c r="K555" s="1342"/>
    </row>
    <row r="556" spans="2:11" ht="14" hidden="1">
      <c r="B556" s="1342"/>
      <c r="C556" s="1342"/>
      <c r="D556" s="1342"/>
      <c r="E556" s="1342"/>
      <c r="F556" s="1342"/>
      <c r="G556" s="1342"/>
      <c r="H556" s="1342"/>
      <c r="I556" s="1342"/>
      <c r="J556" s="1342"/>
      <c r="K556" s="1342"/>
    </row>
    <row r="557" spans="2:11" ht="14" hidden="1">
      <c r="B557" s="1342"/>
      <c r="C557" s="1342"/>
      <c r="D557" s="1342"/>
      <c r="E557" s="1342"/>
      <c r="F557" s="1342"/>
      <c r="G557" s="1342"/>
      <c r="H557" s="1342"/>
      <c r="I557" s="1342"/>
      <c r="J557" s="1342"/>
      <c r="K557" s="1342"/>
    </row>
    <row r="558" spans="2:11" ht="14" hidden="1">
      <c r="B558" s="1342"/>
      <c r="C558" s="1342"/>
      <c r="D558" s="1342"/>
      <c r="E558" s="1342"/>
      <c r="F558" s="1342"/>
      <c r="G558" s="1342"/>
      <c r="H558" s="1342"/>
      <c r="I558" s="1342"/>
      <c r="J558" s="1342"/>
      <c r="K558" s="1342"/>
    </row>
    <row r="559" spans="2:11" ht="14" hidden="1">
      <c r="B559" s="1342"/>
      <c r="C559" s="1342"/>
      <c r="D559" s="1342"/>
      <c r="E559" s="1342"/>
      <c r="F559" s="1342"/>
      <c r="G559" s="1342"/>
      <c r="H559" s="1342"/>
      <c r="I559" s="1342"/>
      <c r="J559" s="1342"/>
      <c r="K559" s="1342"/>
    </row>
    <row r="560" spans="2:11" ht="14" hidden="1">
      <c r="B560" s="1342"/>
      <c r="C560" s="1342"/>
      <c r="D560" s="1342"/>
      <c r="E560" s="1342"/>
      <c r="F560" s="1342"/>
      <c r="G560" s="1342"/>
      <c r="H560" s="1342"/>
      <c r="I560" s="1342"/>
      <c r="J560" s="1342"/>
      <c r="K560" s="1342"/>
    </row>
    <row r="561" spans="2:11" ht="14" hidden="1">
      <c r="B561" s="1342"/>
      <c r="C561" s="1342"/>
      <c r="D561" s="1342"/>
      <c r="E561" s="1342"/>
      <c r="F561" s="1342"/>
      <c r="G561" s="1342"/>
      <c r="H561" s="1342"/>
      <c r="I561" s="1342"/>
      <c r="J561" s="1342"/>
      <c r="K561" s="1342"/>
    </row>
    <row r="562" spans="2:11" ht="14" hidden="1">
      <c r="B562" s="1342"/>
      <c r="C562" s="1342"/>
      <c r="D562" s="1342"/>
      <c r="E562" s="1342"/>
      <c r="F562" s="1342"/>
      <c r="G562" s="1342"/>
      <c r="H562" s="1342"/>
      <c r="I562" s="1342"/>
      <c r="J562" s="1342"/>
      <c r="K562" s="1342"/>
    </row>
    <row r="563" spans="2:11" ht="14" hidden="1">
      <c r="B563" s="1342"/>
      <c r="C563" s="1342"/>
      <c r="D563" s="1342"/>
      <c r="E563" s="1342"/>
      <c r="F563" s="1342"/>
      <c r="G563" s="1342"/>
      <c r="H563" s="1342"/>
      <c r="I563" s="1342"/>
      <c r="J563" s="1342"/>
      <c r="K563" s="1342"/>
    </row>
    <row r="564" spans="2:11" ht="14" hidden="1">
      <c r="B564" s="1342"/>
      <c r="C564" s="1342"/>
      <c r="D564" s="1342"/>
      <c r="E564" s="1342"/>
      <c r="F564" s="1342"/>
      <c r="G564" s="1342"/>
      <c r="H564" s="1342"/>
      <c r="I564" s="1342"/>
      <c r="J564" s="1342"/>
      <c r="K564" s="1342"/>
    </row>
    <row r="565" spans="2:11" ht="14" hidden="1">
      <c r="B565" s="1342"/>
      <c r="C565" s="1342"/>
      <c r="D565" s="1342"/>
      <c r="E565" s="1342"/>
      <c r="F565" s="1342"/>
      <c r="G565" s="1342"/>
      <c r="H565" s="1342"/>
      <c r="I565" s="1342"/>
      <c r="J565" s="1342"/>
      <c r="K565" s="1342"/>
    </row>
    <row r="566" spans="2:11" ht="14" hidden="1">
      <c r="B566" s="1342"/>
      <c r="C566" s="1342"/>
      <c r="D566" s="1342"/>
      <c r="E566" s="1342"/>
      <c r="F566" s="1342"/>
      <c r="G566" s="1342"/>
      <c r="H566" s="1342"/>
      <c r="I566" s="1342"/>
      <c r="J566" s="1342"/>
      <c r="K566" s="1342"/>
    </row>
    <row r="567" spans="2:11" ht="14" hidden="1">
      <c r="B567" s="1342"/>
      <c r="C567" s="1342"/>
      <c r="D567" s="1342"/>
      <c r="E567" s="1342"/>
      <c r="F567" s="1342"/>
      <c r="G567" s="1342"/>
      <c r="H567" s="1342"/>
      <c r="I567" s="1342"/>
      <c r="J567" s="1342"/>
      <c r="K567" s="1342"/>
    </row>
    <row r="568" spans="2:11" ht="14" hidden="1">
      <c r="B568" s="1342"/>
      <c r="C568" s="1342"/>
      <c r="D568" s="1342"/>
      <c r="E568" s="1342"/>
      <c r="F568" s="1342"/>
      <c r="G568" s="1342"/>
      <c r="H568" s="1342"/>
      <c r="I568" s="1342"/>
      <c r="J568" s="1342"/>
      <c r="K568" s="1342"/>
    </row>
    <row r="569" spans="2:11" ht="14" hidden="1">
      <c r="B569" s="1342"/>
      <c r="C569" s="1342"/>
      <c r="D569" s="1342"/>
      <c r="E569" s="1342"/>
      <c r="F569" s="1342"/>
      <c r="G569" s="1342"/>
      <c r="H569" s="1342"/>
      <c r="I569" s="1342"/>
      <c r="J569" s="1342"/>
      <c r="K569" s="1342"/>
    </row>
    <row r="570" spans="2:11" ht="14" hidden="1">
      <c r="B570" s="1342"/>
      <c r="C570" s="1342"/>
      <c r="D570" s="1342"/>
      <c r="E570" s="1342"/>
      <c r="F570" s="1342"/>
      <c r="G570" s="1342"/>
      <c r="H570" s="1342"/>
      <c r="I570" s="1342"/>
      <c r="J570" s="1342"/>
      <c r="K570" s="1342"/>
    </row>
    <row r="571" spans="2:11" ht="14" hidden="1">
      <c r="B571" s="1342"/>
      <c r="C571" s="1342"/>
      <c r="D571" s="1342"/>
      <c r="E571" s="1342"/>
      <c r="F571" s="1342"/>
      <c r="G571" s="1342"/>
      <c r="H571" s="1342"/>
      <c r="I571" s="1342"/>
      <c r="J571" s="1342"/>
      <c r="K571" s="1342"/>
    </row>
    <row r="572" spans="2:11" ht="14" hidden="1">
      <c r="B572" s="1342"/>
      <c r="C572" s="1342"/>
      <c r="D572" s="1342"/>
      <c r="E572" s="1342"/>
      <c r="F572" s="1342"/>
      <c r="G572" s="1342"/>
      <c r="H572" s="1342"/>
      <c r="I572" s="1342"/>
      <c r="J572" s="1342"/>
      <c r="K572" s="1342"/>
    </row>
    <row r="573" spans="2:11" ht="14" hidden="1">
      <c r="B573" s="1342"/>
      <c r="C573" s="1342"/>
      <c r="D573" s="1342"/>
      <c r="E573" s="1342"/>
      <c r="F573" s="1342"/>
      <c r="G573" s="1342"/>
      <c r="H573" s="1342"/>
      <c r="I573" s="1342"/>
      <c r="J573" s="1342"/>
      <c r="K573" s="1342"/>
    </row>
    <row r="574" spans="2:11" ht="14" hidden="1">
      <c r="B574" s="1342"/>
      <c r="C574" s="1342"/>
      <c r="D574" s="1342"/>
      <c r="E574" s="1342"/>
      <c r="F574" s="1342"/>
      <c r="G574" s="1342"/>
      <c r="H574" s="1342"/>
      <c r="I574" s="1342"/>
      <c r="J574" s="1342"/>
      <c r="K574" s="1342"/>
    </row>
    <row r="575" spans="2:11" ht="14" hidden="1">
      <c r="B575" s="1342"/>
      <c r="C575" s="1342"/>
      <c r="D575" s="1342"/>
      <c r="E575" s="1342"/>
      <c r="F575" s="1342"/>
      <c r="G575" s="1342"/>
      <c r="H575" s="1342"/>
      <c r="I575" s="1342"/>
      <c r="J575" s="1342"/>
      <c r="K575" s="1342"/>
    </row>
    <row r="576" spans="2:11" ht="14" hidden="1">
      <c r="B576" s="1342"/>
      <c r="C576" s="1342"/>
      <c r="D576" s="1342"/>
      <c r="E576" s="1342"/>
      <c r="F576" s="1342"/>
      <c r="G576" s="1342"/>
      <c r="H576" s="1342"/>
      <c r="I576" s="1342"/>
      <c r="J576" s="1342"/>
      <c r="K576" s="1342"/>
    </row>
    <row r="577" spans="2:11" ht="14" hidden="1">
      <c r="B577" s="1342"/>
      <c r="C577" s="1342"/>
      <c r="D577" s="1342"/>
      <c r="E577" s="1342"/>
      <c r="F577" s="1342"/>
      <c r="G577" s="1342"/>
      <c r="H577" s="1342"/>
      <c r="I577" s="1342"/>
      <c r="J577" s="1342"/>
      <c r="K577" s="1342"/>
    </row>
    <row r="578" spans="2:11" ht="14" hidden="1">
      <c r="B578" s="1342"/>
      <c r="C578" s="1342"/>
      <c r="D578" s="1342"/>
      <c r="E578" s="1342"/>
      <c r="F578" s="1342"/>
      <c r="G578" s="1342"/>
      <c r="H578" s="1342"/>
      <c r="I578" s="1342"/>
      <c r="J578" s="1342"/>
      <c r="K578" s="1342"/>
    </row>
    <row r="579" spans="2:11" ht="14" hidden="1">
      <c r="B579" s="1342"/>
      <c r="C579" s="1342"/>
      <c r="D579" s="1342"/>
      <c r="E579" s="1342"/>
      <c r="F579" s="1342"/>
      <c r="G579" s="1342"/>
      <c r="H579" s="1342"/>
      <c r="I579" s="1342"/>
      <c r="J579" s="1342"/>
      <c r="K579" s="1342"/>
    </row>
    <row r="580" spans="2:11" ht="14" hidden="1">
      <c r="B580" s="1342"/>
      <c r="C580" s="1342"/>
      <c r="D580" s="1342"/>
      <c r="E580" s="1342"/>
      <c r="F580" s="1342"/>
      <c r="G580" s="1342"/>
      <c r="H580" s="1342"/>
      <c r="I580" s="1342"/>
      <c r="J580" s="1342"/>
      <c r="K580" s="1342"/>
    </row>
    <row r="581" spans="2:11" ht="14" hidden="1">
      <c r="B581" s="1342"/>
      <c r="C581" s="1342"/>
      <c r="D581" s="1342"/>
      <c r="E581" s="1342"/>
      <c r="F581" s="1342"/>
      <c r="G581" s="1342"/>
      <c r="H581" s="1342"/>
      <c r="I581" s="1342"/>
      <c r="J581" s="1342"/>
      <c r="K581" s="1342"/>
    </row>
    <row r="582" spans="2:11" ht="14" hidden="1">
      <c r="B582" s="1342"/>
      <c r="C582" s="1342"/>
      <c r="D582" s="1342"/>
      <c r="E582" s="1342"/>
      <c r="F582" s="1342"/>
      <c r="G582" s="1342"/>
      <c r="H582" s="1342"/>
      <c r="I582" s="1342"/>
      <c r="J582" s="1342"/>
      <c r="K582" s="1342"/>
    </row>
    <row r="583" spans="2:11" ht="14" hidden="1">
      <c r="B583" s="1342"/>
      <c r="C583" s="1342"/>
      <c r="D583" s="1342"/>
      <c r="E583" s="1342"/>
      <c r="F583" s="1342"/>
      <c r="G583" s="1342"/>
      <c r="H583" s="1342"/>
      <c r="I583" s="1342"/>
      <c r="J583" s="1342"/>
      <c r="K583" s="1342"/>
    </row>
    <row r="584" spans="2:11" ht="14" hidden="1">
      <c r="B584" s="1342"/>
      <c r="C584" s="1342"/>
      <c r="D584" s="1342"/>
      <c r="E584" s="1342"/>
      <c r="F584" s="1342"/>
      <c r="G584" s="1342"/>
      <c r="H584" s="1342"/>
      <c r="I584" s="1342"/>
      <c r="J584" s="1342"/>
      <c r="K584" s="1342"/>
    </row>
    <row r="585" spans="2:11" ht="14" hidden="1">
      <c r="B585" s="1342"/>
      <c r="C585" s="1342"/>
      <c r="D585" s="1342"/>
      <c r="E585" s="1342"/>
      <c r="F585" s="1342"/>
      <c r="G585" s="1342"/>
      <c r="H585" s="1342"/>
      <c r="I585" s="1342"/>
      <c r="J585" s="1342"/>
      <c r="K585" s="1342"/>
    </row>
    <row r="586" spans="2:11" ht="14" hidden="1">
      <c r="B586" s="1342"/>
      <c r="C586" s="1342"/>
      <c r="D586" s="1342"/>
      <c r="E586" s="1342"/>
      <c r="F586" s="1342"/>
      <c r="G586" s="1342"/>
      <c r="H586" s="1342"/>
      <c r="I586" s="1342"/>
      <c r="J586" s="1342"/>
      <c r="K586" s="1342"/>
    </row>
    <row r="587" spans="2:11" ht="14" hidden="1">
      <c r="B587" s="1342"/>
      <c r="C587" s="1342"/>
      <c r="D587" s="1342"/>
      <c r="E587" s="1342"/>
      <c r="F587" s="1342"/>
      <c r="G587" s="1342"/>
      <c r="H587" s="1342"/>
      <c r="I587" s="1342"/>
      <c r="J587" s="1342"/>
      <c r="K587" s="1342"/>
    </row>
    <row r="588" spans="2:11" ht="14" hidden="1">
      <c r="B588" s="1342"/>
      <c r="C588" s="1342"/>
      <c r="D588" s="1342"/>
      <c r="E588" s="1342"/>
      <c r="F588" s="1342"/>
      <c r="G588" s="1342"/>
      <c r="H588" s="1342"/>
      <c r="I588" s="1342"/>
      <c r="J588" s="1342"/>
      <c r="K588" s="1342"/>
    </row>
    <row r="589" spans="2:11" ht="14" hidden="1">
      <c r="B589" s="1342"/>
      <c r="C589" s="1342"/>
      <c r="D589" s="1342"/>
      <c r="E589" s="1342"/>
      <c r="F589" s="1342"/>
      <c r="G589" s="1342"/>
      <c r="H589" s="1342"/>
      <c r="I589" s="1342"/>
      <c r="J589" s="1342"/>
      <c r="K589" s="1342"/>
    </row>
    <row r="590" spans="2:11" ht="14" hidden="1">
      <c r="B590" s="1342"/>
      <c r="C590" s="1342"/>
      <c r="D590" s="1342"/>
      <c r="E590" s="1342"/>
      <c r="F590" s="1342"/>
      <c r="G590" s="1342"/>
      <c r="H590" s="1342"/>
      <c r="I590" s="1342"/>
      <c r="J590" s="1342"/>
      <c r="K590" s="1342"/>
    </row>
    <row r="591" spans="2:11" ht="14" hidden="1">
      <c r="B591" s="1342"/>
      <c r="C591" s="1342"/>
      <c r="D591" s="1342"/>
      <c r="E591" s="1342"/>
      <c r="F591" s="1342"/>
      <c r="G591" s="1342"/>
      <c r="H591" s="1342"/>
      <c r="I591" s="1342"/>
      <c r="J591" s="1342"/>
      <c r="K591" s="1342"/>
    </row>
    <row r="592" spans="2:11" ht="14" hidden="1">
      <c r="B592" s="1342"/>
      <c r="C592" s="1342"/>
      <c r="D592" s="1342"/>
      <c r="E592" s="1342"/>
      <c r="F592" s="1342"/>
      <c r="G592" s="1342"/>
      <c r="H592" s="1342"/>
      <c r="I592" s="1342"/>
      <c r="J592" s="1342"/>
      <c r="K592" s="1342"/>
    </row>
    <row r="593" spans="2:11" ht="14" hidden="1">
      <c r="B593" s="1342"/>
      <c r="C593" s="1342"/>
      <c r="D593" s="1342"/>
      <c r="E593" s="1342"/>
      <c r="F593" s="1342"/>
      <c r="G593" s="1342"/>
      <c r="H593" s="1342"/>
      <c r="I593" s="1342"/>
      <c r="J593" s="1342"/>
      <c r="K593" s="1342"/>
    </row>
    <row r="594" spans="2:11" ht="14" hidden="1">
      <c r="B594" s="1342"/>
      <c r="C594" s="1342"/>
      <c r="D594" s="1342"/>
      <c r="E594" s="1342"/>
      <c r="F594" s="1342"/>
      <c r="G594" s="1342"/>
      <c r="H594" s="1342"/>
      <c r="I594" s="1342"/>
      <c r="J594" s="1342"/>
      <c r="K594" s="1342"/>
    </row>
    <row r="595" spans="2:11" ht="14" hidden="1">
      <c r="B595" s="1342"/>
      <c r="C595" s="1342"/>
      <c r="D595" s="1342"/>
      <c r="E595" s="1342"/>
      <c r="F595" s="1342"/>
      <c r="G595" s="1342"/>
      <c r="H595" s="1342"/>
      <c r="I595" s="1342"/>
      <c r="J595" s="1342"/>
      <c r="K595" s="1342"/>
    </row>
    <row r="596" spans="2:11" ht="14" hidden="1">
      <c r="B596" s="1342"/>
      <c r="C596" s="1342"/>
      <c r="D596" s="1342"/>
      <c r="E596" s="1342"/>
      <c r="F596" s="1342"/>
      <c r="G596" s="1342"/>
      <c r="H596" s="1342"/>
      <c r="I596" s="1342"/>
      <c r="J596" s="1342"/>
      <c r="K596" s="1342"/>
    </row>
    <row r="597" spans="2:11" ht="14" hidden="1">
      <c r="B597" s="1342"/>
      <c r="C597" s="1342"/>
      <c r="D597" s="1342"/>
      <c r="E597" s="1342"/>
      <c r="F597" s="1342"/>
      <c r="G597" s="1342"/>
      <c r="H597" s="1342"/>
      <c r="I597" s="1342"/>
      <c r="J597" s="1342"/>
      <c r="K597" s="1342"/>
    </row>
    <row r="598" spans="2:11" ht="14" hidden="1">
      <c r="B598" s="1342"/>
      <c r="C598" s="1342"/>
      <c r="D598" s="1342"/>
      <c r="E598" s="1342"/>
      <c r="F598" s="1342"/>
      <c r="G598" s="1342"/>
      <c r="H598" s="1342"/>
      <c r="I598" s="1342"/>
      <c r="J598" s="1342"/>
      <c r="K598" s="1342"/>
    </row>
    <row r="599" spans="2:11" ht="14" hidden="1">
      <c r="B599" s="1342"/>
      <c r="C599" s="1342"/>
      <c r="D599" s="1342"/>
      <c r="E599" s="1342"/>
      <c r="F599" s="1342"/>
      <c r="G599" s="1342"/>
      <c r="H599" s="1342"/>
      <c r="I599" s="1342"/>
      <c r="J599" s="1342"/>
      <c r="K599" s="1342"/>
    </row>
    <row r="600" spans="2:11" ht="14" hidden="1">
      <c r="B600" s="1342"/>
      <c r="C600" s="1342"/>
      <c r="D600" s="1342"/>
      <c r="E600" s="1342"/>
      <c r="F600" s="1342"/>
      <c r="G600" s="1342"/>
      <c r="H600" s="1342"/>
      <c r="I600" s="1342"/>
      <c r="J600" s="1342"/>
      <c r="K600" s="1342"/>
    </row>
    <row r="601" spans="2:11" ht="14" hidden="1">
      <c r="B601" s="1342"/>
      <c r="C601" s="1342"/>
      <c r="D601" s="1342"/>
      <c r="E601" s="1342"/>
      <c r="F601" s="1342"/>
      <c r="G601" s="1342"/>
      <c r="H601" s="1342"/>
      <c r="I601" s="1342"/>
      <c r="J601" s="1342"/>
      <c r="K601" s="1342"/>
    </row>
    <row r="602" spans="2:11" ht="14" hidden="1">
      <c r="B602" s="1342"/>
      <c r="C602" s="1342"/>
      <c r="D602" s="1342"/>
      <c r="E602" s="1342"/>
      <c r="F602" s="1342"/>
      <c r="G602" s="1342"/>
      <c r="H602" s="1342"/>
      <c r="I602" s="1342"/>
      <c r="J602" s="1342"/>
      <c r="K602" s="1342"/>
    </row>
    <row r="603" spans="2:11" ht="14" hidden="1">
      <c r="B603" s="1342"/>
      <c r="C603" s="1342"/>
      <c r="D603" s="1342"/>
      <c r="E603" s="1342"/>
      <c r="F603" s="1342"/>
      <c r="G603" s="1342"/>
      <c r="H603" s="1342"/>
      <c r="I603" s="1342"/>
      <c r="J603" s="1342"/>
      <c r="K603" s="1342"/>
    </row>
    <row r="604" spans="2:11" ht="14" hidden="1">
      <c r="B604" s="1342"/>
      <c r="C604" s="1342"/>
      <c r="D604" s="1342"/>
      <c r="E604" s="1342"/>
      <c r="F604" s="1342"/>
      <c r="G604" s="1342"/>
      <c r="H604" s="1342"/>
      <c r="I604" s="1342"/>
      <c r="J604" s="1342"/>
      <c r="K604" s="1342"/>
    </row>
    <row r="605" spans="2:11" ht="14" hidden="1">
      <c r="B605" s="1342"/>
      <c r="C605" s="1342"/>
      <c r="D605" s="1342"/>
      <c r="E605" s="1342"/>
      <c r="F605" s="1342"/>
      <c r="G605" s="1342"/>
      <c r="H605" s="1342"/>
      <c r="I605" s="1342"/>
      <c r="J605" s="1342"/>
      <c r="K605" s="1342"/>
    </row>
    <row r="606" spans="2:11" ht="14" hidden="1">
      <c r="B606" s="1342"/>
      <c r="C606" s="1342"/>
      <c r="D606" s="1342"/>
      <c r="E606" s="1342"/>
      <c r="F606" s="1342"/>
      <c r="G606" s="1342"/>
      <c r="H606" s="1342"/>
      <c r="I606" s="1342"/>
      <c r="J606" s="1342"/>
      <c r="K606" s="1342"/>
    </row>
    <row r="607" spans="2:11" ht="14" hidden="1">
      <c r="B607" s="1342"/>
      <c r="C607" s="1342"/>
      <c r="D607" s="1342"/>
      <c r="E607" s="1342"/>
      <c r="F607" s="1342"/>
      <c r="G607" s="1342"/>
      <c r="H607" s="1342"/>
      <c r="I607" s="1342"/>
      <c r="J607" s="1342"/>
      <c r="K607" s="1342"/>
    </row>
    <row r="608" spans="2:11" ht="14" hidden="1">
      <c r="B608" s="1342"/>
      <c r="C608" s="1342"/>
      <c r="D608" s="1342"/>
      <c r="E608" s="1342"/>
      <c r="F608" s="1342"/>
      <c r="G608" s="1342"/>
      <c r="H608" s="1342"/>
      <c r="I608" s="1342"/>
      <c r="J608" s="1342"/>
      <c r="K608" s="1342"/>
    </row>
    <row r="609" spans="2:11" ht="14" hidden="1">
      <c r="B609" s="1342"/>
      <c r="C609" s="1342"/>
      <c r="D609" s="1342"/>
      <c r="E609" s="1342"/>
      <c r="F609" s="1342"/>
      <c r="G609" s="1342"/>
      <c r="H609" s="1342"/>
      <c r="I609" s="1342"/>
      <c r="J609" s="1342"/>
      <c r="K609" s="1342"/>
    </row>
    <row r="610" spans="2:11" ht="14" hidden="1">
      <c r="B610" s="1342"/>
      <c r="C610" s="1342"/>
      <c r="D610" s="1342"/>
      <c r="E610" s="1342"/>
      <c r="F610" s="1342"/>
      <c r="G610" s="1342"/>
      <c r="H610" s="1342"/>
      <c r="I610" s="1342"/>
      <c r="J610" s="1342"/>
      <c r="K610" s="1342"/>
    </row>
    <row r="611" spans="2:11" ht="14" hidden="1">
      <c r="B611" s="1342"/>
      <c r="C611" s="1342"/>
      <c r="D611" s="1342"/>
      <c r="E611" s="1342"/>
      <c r="F611" s="1342"/>
      <c r="G611" s="1342"/>
      <c r="H611" s="1342"/>
      <c r="I611" s="1342"/>
      <c r="J611" s="1342"/>
      <c r="K611" s="1342"/>
    </row>
    <row r="612" spans="2:11" ht="14" hidden="1">
      <c r="B612" s="1342"/>
      <c r="C612" s="1342"/>
      <c r="D612" s="1342"/>
      <c r="E612" s="1342"/>
      <c r="F612" s="1342"/>
      <c r="G612" s="1342"/>
      <c r="H612" s="1342"/>
      <c r="I612" s="1342"/>
      <c r="J612" s="1342"/>
      <c r="K612" s="1342"/>
    </row>
    <row r="613" spans="2:11" ht="14" hidden="1">
      <c r="B613" s="1342"/>
      <c r="C613" s="1342"/>
      <c r="D613" s="1342"/>
      <c r="E613" s="1342"/>
      <c r="F613" s="1342"/>
      <c r="G613" s="1342"/>
      <c r="H613" s="1342"/>
      <c r="I613" s="1342"/>
      <c r="J613" s="1342"/>
      <c r="K613" s="1342"/>
    </row>
    <row r="614" spans="2:11" ht="14" hidden="1">
      <c r="B614" s="1342"/>
      <c r="C614" s="1342"/>
      <c r="D614" s="1342"/>
      <c r="E614" s="1342"/>
      <c r="F614" s="1342"/>
      <c r="G614" s="1342"/>
      <c r="H614" s="1342"/>
      <c r="I614" s="1342"/>
      <c r="J614" s="1342"/>
      <c r="K614" s="1342"/>
    </row>
    <row r="615" spans="2:11" ht="14" hidden="1">
      <c r="B615" s="1342"/>
      <c r="C615" s="1342"/>
      <c r="D615" s="1342"/>
      <c r="E615" s="1342"/>
      <c r="F615" s="1342"/>
      <c r="G615" s="1342"/>
      <c r="H615" s="1342"/>
      <c r="I615" s="1342"/>
      <c r="J615" s="1342"/>
      <c r="K615" s="1342"/>
    </row>
    <row r="616" spans="2:11" ht="14" hidden="1">
      <c r="B616" s="1342"/>
      <c r="C616" s="1342"/>
      <c r="D616" s="1342"/>
      <c r="E616" s="1342"/>
      <c r="F616" s="1342"/>
      <c r="G616" s="1342"/>
      <c r="H616" s="1342"/>
      <c r="I616" s="1342"/>
      <c r="J616" s="1342"/>
      <c r="K616" s="1342"/>
    </row>
    <row r="617" spans="2:11" ht="14" hidden="1">
      <c r="B617" s="1342"/>
      <c r="C617" s="1342"/>
      <c r="D617" s="1342"/>
      <c r="E617" s="1342"/>
      <c r="F617" s="1342"/>
      <c r="G617" s="1342"/>
      <c r="H617" s="1342"/>
      <c r="I617" s="1342"/>
      <c r="J617" s="1342"/>
      <c r="K617" s="1342"/>
    </row>
    <row r="618" spans="2:11" ht="14" hidden="1">
      <c r="B618" s="1342"/>
      <c r="C618" s="1342"/>
      <c r="D618" s="1342"/>
      <c r="E618" s="1342"/>
      <c r="F618" s="1342"/>
      <c r="G618" s="1342"/>
      <c r="H618" s="1342"/>
      <c r="I618" s="1342"/>
      <c r="J618" s="1342"/>
      <c r="K618" s="1342"/>
    </row>
    <row r="619" spans="2:11" ht="14" hidden="1">
      <c r="B619" s="1342"/>
      <c r="C619" s="1342"/>
      <c r="D619" s="1342"/>
      <c r="E619" s="1342"/>
      <c r="F619" s="1342"/>
      <c r="G619" s="1342"/>
      <c r="H619" s="1342"/>
      <c r="I619" s="1342"/>
      <c r="J619" s="1342"/>
      <c r="K619" s="1342"/>
    </row>
    <row r="620" spans="2:11" ht="14" hidden="1">
      <c r="B620" s="1342"/>
      <c r="C620" s="1342"/>
      <c r="D620" s="1342"/>
      <c r="E620" s="1342"/>
      <c r="F620" s="1342"/>
      <c r="G620" s="1342"/>
      <c r="H620" s="1342"/>
      <c r="I620" s="1342"/>
      <c r="J620" s="1342"/>
      <c r="K620" s="1342"/>
    </row>
    <row r="621" spans="2:11" ht="14" hidden="1">
      <c r="B621" s="1342"/>
      <c r="C621" s="1342"/>
      <c r="D621" s="1342"/>
      <c r="E621" s="1342"/>
      <c r="F621" s="1342"/>
      <c r="G621" s="1342"/>
      <c r="H621" s="1342"/>
      <c r="I621" s="1342"/>
      <c r="J621" s="1342"/>
      <c r="K621" s="1342"/>
    </row>
    <row r="622" spans="2:11" ht="14" hidden="1">
      <c r="B622" s="1342"/>
      <c r="C622" s="1342"/>
      <c r="D622" s="1342"/>
      <c r="E622" s="1342"/>
      <c r="F622" s="1342"/>
      <c r="G622" s="1342"/>
      <c r="H622" s="1342"/>
      <c r="I622" s="1342"/>
      <c r="J622" s="1342"/>
      <c r="K622" s="1342"/>
    </row>
    <row r="623" spans="2:11" ht="14" hidden="1">
      <c r="B623" s="1342"/>
      <c r="C623" s="1342"/>
      <c r="D623" s="1342"/>
      <c r="E623" s="1342"/>
      <c r="F623" s="1342"/>
      <c r="G623" s="1342"/>
      <c r="H623" s="1342"/>
      <c r="I623" s="1342"/>
      <c r="J623" s="1342"/>
      <c r="K623" s="1342"/>
    </row>
    <row r="624" spans="2:11" ht="14" hidden="1">
      <c r="B624" s="1342"/>
      <c r="C624" s="1342"/>
      <c r="D624" s="1342"/>
      <c r="E624" s="1342"/>
      <c r="F624" s="1342"/>
      <c r="G624" s="1342"/>
      <c r="H624" s="1342"/>
      <c r="I624" s="1342"/>
      <c r="J624" s="1342"/>
      <c r="K624" s="1342"/>
    </row>
    <row r="625" spans="2:11" ht="14" hidden="1">
      <c r="B625" s="1342"/>
      <c r="C625" s="1342"/>
      <c r="D625" s="1342"/>
      <c r="E625" s="1342"/>
      <c r="F625" s="1342"/>
      <c r="G625" s="1342"/>
      <c r="H625" s="1342"/>
      <c r="I625" s="1342"/>
      <c r="J625" s="1342"/>
      <c r="K625" s="1342"/>
    </row>
    <row r="626" spans="2:11" ht="14" hidden="1">
      <c r="B626" s="1342"/>
      <c r="C626" s="1342"/>
      <c r="D626" s="1342"/>
      <c r="E626" s="1342"/>
      <c r="F626" s="1342"/>
      <c r="G626" s="1342"/>
      <c r="H626" s="1342"/>
      <c r="I626" s="1342"/>
      <c r="J626" s="1342"/>
      <c r="K626" s="1342"/>
    </row>
    <row r="627" spans="2:11" ht="14" hidden="1">
      <c r="B627" s="1342"/>
      <c r="C627" s="1342"/>
      <c r="D627" s="1342"/>
      <c r="E627" s="1342"/>
      <c r="F627" s="1342"/>
      <c r="G627" s="1342"/>
      <c r="H627" s="1342"/>
      <c r="I627" s="1342"/>
      <c r="J627" s="1342"/>
      <c r="K627" s="1342"/>
    </row>
    <row r="628" spans="2:11" ht="14" hidden="1">
      <c r="B628" s="1342"/>
      <c r="C628" s="1342"/>
      <c r="D628" s="1342"/>
      <c r="E628" s="1342"/>
      <c r="F628" s="1342"/>
      <c r="G628" s="1342"/>
      <c r="H628" s="1342"/>
      <c r="I628" s="1342"/>
      <c r="J628" s="1342"/>
      <c r="K628" s="1342"/>
    </row>
    <row r="629" spans="2:11" ht="14" hidden="1">
      <c r="B629" s="1342"/>
      <c r="C629" s="1342"/>
      <c r="D629" s="1342"/>
      <c r="E629" s="1342"/>
      <c r="F629" s="1342"/>
      <c r="G629" s="1342"/>
      <c r="H629" s="1342"/>
      <c r="I629" s="1342"/>
      <c r="J629" s="1342"/>
      <c r="K629" s="1342"/>
    </row>
    <row r="630" spans="2:11" ht="14" hidden="1">
      <c r="B630" s="1342"/>
      <c r="C630" s="1342"/>
      <c r="D630" s="1342"/>
      <c r="E630" s="1342"/>
      <c r="F630" s="1342"/>
      <c r="G630" s="1342"/>
      <c r="H630" s="1342"/>
      <c r="I630" s="1342"/>
      <c r="J630" s="1342"/>
      <c r="K630" s="1342"/>
    </row>
    <row r="631" spans="2:11" ht="14" hidden="1">
      <c r="B631" s="1342"/>
      <c r="C631" s="1342"/>
      <c r="D631" s="1342"/>
      <c r="E631" s="1342"/>
      <c r="F631" s="1342"/>
      <c r="G631" s="1342"/>
      <c r="H631" s="1342"/>
      <c r="I631" s="1342"/>
      <c r="J631" s="1342"/>
      <c r="K631" s="1342"/>
    </row>
    <row r="632" spans="2:11" ht="14" hidden="1">
      <c r="B632" s="1342"/>
      <c r="C632" s="1342"/>
      <c r="D632" s="1342"/>
      <c r="E632" s="1342"/>
      <c r="F632" s="1342"/>
      <c r="G632" s="1342"/>
      <c r="H632" s="1342"/>
      <c r="I632" s="1342"/>
      <c r="J632" s="1342"/>
      <c r="K632" s="1342"/>
    </row>
    <row r="633" spans="2:11" ht="14" hidden="1">
      <c r="B633" s="1342"/>
      <c r="C633" s="1342"/>
      <c r="D633" s="1342"/>
      <c r="E633" s="1342"/>
      <c r="F633" s="1342"/>
      <c r="G633" s="1342"/>
      <c r="H633" s="1342"/>
      <c r="I633" s="1342"/>
      <c r="J633" s="1342"/>
      <c r="K633" s="1342"/>
    </row>
    <row r="634" spans="2:11" ht="14" hidden="1">
      <c r="B634" s="1342"/>
      <c r="C634" s="1342"/>
      <c r="D634" s="1342"/>
      <c r="E634" s="1342"/>
      <c r="F634" s="1342"/>
      <c r="G634" s="1342"/>
      <c r="H634" s="1342"/>
      <c r="I634" s="1342"/>
      <c r="J634" s="1342"/>
      <c r="K634" s="1342"/>
    </row>
    <row r="635" spans="2:11" ht="14" hidden="1">
      <c r="B635" s="1342"/>
      <c r="C635" s="1342"/>
      <c r="D635" s="1342"/>
      <c r="E635" s="1342"/>
      <c r="F635" s="1342"/>
      <c r="G635" s="1342"/>
      <c r="H635" s="1342"/>
      <c r="I635" s="1342"/>
      <c r="J635" s="1342"/>
      <c r="K635" s="1342"/>
    </row>
    <row r="636" spans="2:11" ht="14" hidden="1">
      <c r="B636" s="1342"/>
      <c r="C636" s="1342"/>
      <c r="D636" s="1342"/>
      <c r="E636" s="1342"/>
      <c r="F636" s="1342"/>
      <c r="G636" s="1342"/>
      <c r="H636" s="1342"/>
      <c r="I636" s="1342"/>
      <c r="J636" s="1342"/>
      <c r="K636" s="1342"/>
    </row>
    <row r="637" spans="2:11" ht="14" hidden="1">
      <c r="B637" s="1342"/>
      <c r="C637" s="1342"/>
      <c r="D637" s="1342"/>
      <c r="E637" s="1342"/>
      <c r="F637" s="1342"/>
      <c r="G637" s="1342"/>
      <c r="H637" s="1342"/>
      <c r="I637" s="1342"/>
      <c r="J637" s="1342"/>
      <c r="K637" s="1342"/>
    </row>
    <row r="638" spans="2:11" ht="14" hidden="1">
      <c r="B638" s="1342"/>
      <c r="C638" s="1342"/>
      <c r="D638" s="1342"/>
      <c r="E638" s="1342"/>
      <c r="F638" s="1342"/>
      <c r="G638" s="1342"/>
      <c r="H638" s="1342"/>
      <c r="I638" s="1342"/>
      <c r="J638" s="1342"/>
      <c r="K638" s="1342"/>
    </row>
    <row r="639" spans="2:11" ht="14" hidden="1">
      <c r="B639" s="1342"/>
      <c r="C639" s="1342"/>
      <c r="D639" s="1342"/>
      <c r="E639" s="1342"/>
      <c r="F639" s="1342"/>
      <c r="G639" s="1342"/>
      <c r="H639" s="1342"/>
      <c r="I639" s="1342"/>
      <c r="J639" s="1342"/>
      <c r="K639" s="1342"/>
    </row>
    <row r="640" spans="2:11" ht="14" hidden="1">
      <c r="B640" s="1342"/>
      <c r="C640" s="1342"/>
      <c r="D640" s="1342"/>
      <c r="E640" s="1342"/>
      <c r="F640" s="1342"/>
      <c r="G640" s="1342"/>
      <c r="H640" s="1342"/>
      <c r="I640" s="1342"/>
      <c r="J640" s="1342"/>
      <c r="K640" s="1342"/>
    </row>
    <row r="641" spans="2:11" ht="14" hidden="1">
      <c r="B641" s="1342"/>
      <c r="C641" s="1342"/>
      <c r="D641" s="1342"/>
      <c r="E641" s="1342"/>
      <c r="F641" s="1342"/>
      <c r="G641" s="1342"/>
      <c r="H641" s="1342"/>
      <c r="I641" s="1342"/>
      <c r="J641" s="1342"/>
      <c r="K641" s="1342"/>
    </row>
    <row r="642" spans="2:11" ht="14" hidden="1">
      <c r="B642" s="1342"/>
      <c r="C642" s="1342"/>
      <c r="D642" s="1342"/>
      <c r="E642" s="1342"/>
      <c r="F642" s="1342"/>
      <c r="G642" s="1342"/>
      <c r="H642" s="1342"/>
      <c r="I642" s="1342"/>
      <c r="J642" s="1342"/>
      <c r="K642" s="1342"/>
    </row>
    <row r="643" spans="2:11" ht="14" hidden="1">
      <c r="B643" s="1342"/>
      <c r="C643" s="1342"/>
      <c r="D643" s="1342"/>
      <c r="E643" s="1342"/>
      <c r="F643" s="1342"/>
      <c r="G643" s="1342"/>
      <c r="H643" s="1342"/>
      <c r="I643" s="1342"/>
      <c r="J643" s="1342"/>
      <c r="K643" s="1342"/>
    </row>
    <row r="644" spans="2:11" ht="14" hidden="1">
      <c r="B644" s="1342"/>
      <c r="C644" s="1342"/>
      <c r="D644" s="1342"/>
      <c r="E644" s="1342"/>
      <c r="F644" s="1342"/>
      <c r="G644" s="1342"/>
      <c r="H644" s="1342"/>
      <c r="I644" s="1342"/>
      <c r="J644" s="1342"/>
      <c r="K644" s="1342"/>
    </row>
    <row r="645" spans="2:11" ht="14" hidden="1">
      <c r="B645" s="1342"/>
      <c r="C645" s="1342"/>
      <c r="D645" s="1342"/>
      <c r="E645" s="1342"/>
      <c r="F645" s="1342"/>
      <c r="G645" s="1342"/>
      <c r="H645" s="1342"/>
      <c r="I645" s="1342"/>
      <c r="J645" s="1342"/>
      <c r="K645" s="1342"/>
    </row>
    <row r="646" spans="2:11" ht="14" hidden="1">
      <c r="B646" s="1342"/>
      <c r="C646" s="1342"/>
      <c r="D646" s="1342"/>
      <c r="E646" s="1342"/>
      <c r="F646" s="1342"/>
      <c r="G646" s="1342"/>
      <c r="H646" s="1342"/>
      <c r="I646" s="1342"/>
      <c r="J646" s="1342"/>
      <c r="K646" s="1342"/>
    </row>
    <row r="647" spans="2:11" ht="14" hidden="1">
      <c r="B647" s="1342"/>
      <c r="C647" s="1342"/>
      <c r="D647" s="1342"/>
      <c r="E647" s="1342"/>
      <c r="F647" s="1342"/>
      <c r="G647" s="1342"/>
      <c r="H647" s="1342"/>
      <c r="I647" s="1342"/>
      <c r="J647" s="1342"/>
      <c r="K647" s="1342"/>
    </row>
    <row r="648" spans="2:11" ht="14" hidden="1">
      <c r="B648" s="1342"/>
      <c r="C648" s="1342"/>
      <c r="D648" s="1342"/>
      <c r="E648" s="1342"/>
      <c r="F648" s="1342"/>
      <c r="G648" s="1342"/>
      <c r="H648" s="1342"/>
      <c r="I648" s="1342"/>
      <c r="J648" s="1342"/>
      <c r="K648" s="1342"/>
    </row>
    <row r="649" spans="2:11" ht="14" hidden="1">
      <c r="B649" s="1342"/>
      <c r="C649" s="1342"/>
      <c r="D649" s="1342"/>
      <c r="E649" s="1342"/>
      <c r="F649" s="1342"/>
      <c r="G649" s="1342"/>
      <c r="H649" s="1342"/>
      <c r="I649" s="1342"/>
      <c r="J649" s="1342"/>
      <c r="K649" s="1342"/>
    </row>
    <row r="650" spans="2:11" ht="14" hidden="1">
      <c r="B650" s="1342"/>
      <c r="C650" s="1342"/>
      <c r="D650" s="1342"/>
      <c r="E650" s="1342"/>
      <c r="F650" s="1342"/>
      <c r="G650" s="1342"/>
      <c r="H650" s="1342"/>
      <c r="I650" s="1342"/>
      <c r="J650" s="1342"/>
      <c r="K650" s="1342"/>
    </row>
    <row r="651" spans="2:11" ht="14" hidden="1">
      <c r="B651" s="1342"/>
      <c r="C651" s="1342"/>
      <c r="D651" s="1342"/>
      <c r="E651" s="1342"/>
      <c r="F651" s="1342"/>
      <c r="G651" s="1342"/>
      <c r="H651" s="1342"/>
      <c r="I651" s="1342"/>
      <c r="J651" s="1342"/>
      <c r="K651" s="1342"/>
    </row>
    <row r="652" spans="2:11" ht="14" hidden="1">
      <c r="B652" s="1342"/>
      <c r="C652" s="1342"/>
      <c r="D652" s="1342"/>
      <c r="E652" s="1342"/>
      <c r="F652" s="1342"/>
      <c r="G652" s="1342"/>
      <c r="H652" s="1342"/>
      <c r="I652" s="1342"/>
      <c r="J652" s="1342"/>
      <c r="K652" s="1342"/>
    </row>
    <row r="653" spans="2:11" ht="14" hidden="1">
      <c r="B653" s="1342"/>
      <c r="C653" s="1342"/>
      <c r="D653" s="1342"/>
      <c r="E653" s="1342"/>
      <c r="F653" s="1342"/>
      <c r="G653" s="1342"/>
      <c r="H653" s="1342"/>
      <c r="I653" s="1342"/>
      <c r="J653" s="1342"/>
      <c r="K653" s="1342"/>
    </row>
    <row r="654" spans="2:11" ht="14" hidden="1">
      <c r="B654" s="1342"/>
      <c r="C654" s="1342"/>
      <c r="D654" s="1342"/>
      <c r="E654" s="1342"/>
      <c r="F654" s="1342"/>
      <c r="G654" s="1342"/>
      <c r="H654" s="1342"/>
      <c r="I654" s="1342"/>
      <c r="J654" s="1342"/>
      <c r="K654" s="1342"/>
    </row>
    <row r="655" spans="2:11" ht="14" hidden="1">
      <c r="B655" s="1342"/>
      <c r="C655" s="1342"/>
      <c r="D655" s="1342"/>
      <c r="E655" s="1342"/>
      <c r="F655" s="1342"/>
      <c r="G655" s="1342"/>
      <c r="H655" s="1342"/>
      <c r="I655" s="1342"/>
      <c r="J655" s="1342"/>
      <c r="K655" s="1342"/>
    </row>
    <row r="656" spans="2:11" ht="14" hidden="1">
      <c r="B656" s="1342"/>
      <c r="C656" s="1342"/>
      <c r="D656" s="1342"/>
      <c r="E656" s="1342"/>
      <c r="F656" s="1342"/>
      <c r="G656" s="1342"/>
      <c r="H656" s="1342"/>
      <c r="I656" s="1342"/>
      <c r="J656" s="1342"/>
      <c r="K656" s="1342"/>
    </row>
    <row r="657" spans="2:11" ht="14" hidden="1">
      <c r="B657" s="1342"/>
      <c r="C657" s="1342"/>
      <c r="D657" s="1342"/>
      <c r="E657" s="1342"/>
      <c r="F657" s="1342"/>
      <c r="G657" s="1342"/>
      <c r="H657" s="1342"/>
      <c r="I657" s="1342"/>
      <c r="J657" s="1342"/>
      <c r="K657" s="1342"/>
    </row>
    <row r="658" spans="2:11" ht="14" hidden="1">
      <c r="B658" s="1342"/>
      <c r="C658" s="1342"/>
      <c r="D658" s="1342"/>
      <c r="E658" s="1342"/>
      <c r="F658" s="1342"/>
      <c r="G658" s="1342"/>
      <c r="H658" s="1342"/>
      <c r="I658" s="1342"/>
      <c r="J658" s="1342"/>
      <c r="K658" s="1342"/>
    </row>
    <row r="659" spans="2:11" ht="14" hidden="1">
      <c r="B659" s="1342"/>
      <c r="C659" s="1342"/>
      <c r="D659" s="1342"/>
      <c r="E659" s="1342"/>
      <c r="F659" s="1342"/>
      <c r="G659" s="1342"/>
      <c r="H659" s="1342"/>
      <c r="I659" s="1342"/>
      <c r="J659" s="1342"/>
      <c r="K659" s="1342"/>
    </row>
    <row r="660" spans="2:11" ht="14" hidden="1">
      <c r="B660" s="1342"/>
      <c r="C660" s="1342"/>
      <c r="D660" s="1342"/>
      <c r="E660" s="1342"/>
      <c r="F660" s="1342"/>
      <c r="G660" s="1342"/>
      <c r="H660" s="1342"/>
      <c r="I660" s="1342"/>
      <c r="J660" s="1342"/>
      <c r="K660" s="1342"/>
    </row>
    <row r="661" spans="2:11" ht="14" hidden="1">
      <c r="B661" s="1342"/>
      <c r="C661" s="1342"/>
      <c r="D661" s="1342"/>
      <c r="E661" s="1342"/>
      <c r="F661" s="1342"/>
      <c r="G661" s="1342"/>
      <c r="H661" s="1342"/>
      <c r="I661" s="1342"/>
      <c r="J661" s="1342"/>
      <c r="K661" s="1342"/>
    </row>
    <row r="662" spans="2:11" ht="14" hidden="1">
      <c r="B662" s="1342"/>
      <c r="C662" s="1342"/>
      <c r="D662" s="1342"/>
      <c r="E662" s="1342"/>
      <c r="F662" s="1342"/>
      <c r="G662" s="1342"/>
      <c r="H662" s="1342"/>
      <c r="I662" s="1342"/>
      <c r="J662" s="1342"/>
      <c r="K662" s="1342"/>
    </row>
    <row r="663" spans="2:11" ht="14" hidden="1">
      <c r="B663" s="1342"/>
      <c r="C663" s="1342"/>
      <c r="D663" s="1342"/>
      <c r="E663" s="1342"/>
      <c r="F663" s="1342"/>
      <c r="G663" s="1342"/>
      <c r="H663" s="1342"/>
      <c r="I663" s="1342"/>
      <c r="J663" s="1342"/>
      <c r="K663" s="1342"/>
    </row>
    <row r="664" spans="2:11" ht="14" hidden="1">
      <c r="B664" s="1342"/>
      <c r="C664" s="1342"/>
      <c r="D664" s="1342"/>
      <c r="E664" s="1342"/>
      <c r="F664" s="1342"/>
      <c r="G664" s="1342"/>
      <c r="H664" s="1342"/>
      <c r="I664" s="1342"/>
      <c r="J664" s="1342"/>
      <c r="K664" s="1342"/>
    </row>
    <row r="665" spans="2:11" ht="14" hidden="1">
      <c r="B665" s="1342"/>
      <c r="C665" s="1342"/>
      <c r="D665" s="1342"/>
      <c r="E665" s="1342"/>
      <c r="F665" s="1342"/>
      <c r="G665" s="1342"/>
      <c r="H665" s="1342"/>
      <c r="I665" s="1342"/>
      <c r="J665" s="1342"/>
      <c r="K665" s="1342"/>
    </row>
    <row r="666" spans="2:11" ht="14" hidden="1">
      <c r="B666" s="1342"/>
      <c r="C666" s="1342"/>
      <c r="D666" s="1342"/>
      <c r="E666" s="1342"/>
      <c r="F666" s="1342"/>
      <c r="G666" s="1342"/>
      <c r="H666" s="1342"/>
      <c r="I666" s="1342"/>
      <c r="J666" s="1342"/>
      <c r="K666" s="1342"/>
    </row>
    <row r="667" spans="2:11" ht="14" hidden="1">
      <c r="B667" s="1342"/>
      <c r="C667" s="1342"/>
      <c r="D667" s="1342"/>
      <c r="E667" s="1342"/>
      <c r="F667" s="1342"/>
      <c r="G667" s="1342"/>
      <c r="H667" s="1342"/>
      <c r="I667" s="1342"/>
      <c r="J667" s="1342"/>
      <c r="K667" s="1342"/>
    </row>
    <row r="668" spans="2:11" ht="14" hidden="1">
      <c r="B668" s="1342"/>
      <c r="C668" s="1342"/>
      <c r="D668" s="1342"/>
      <c r="E668" s="1342"/>
      <c r="F668" s="1342"/>
      <c r="G668" s="1342"/>
      <c r="H668" s="1342"/>
      <c r="I668" s="1342"/>
      <c r="J668" s="1342"/>
      <c r="K668" s="1342"/>
    </row>
    <row r="669" spans="2:11" ht="14" hidden="1">
      <c r="B669" s="1342"/>
      <c r="C669" s="1342"/>
      <c r="D669" s="1342"/>
      <c r="E669" s="1342"/>
      <c r="F669" s="1342"/>
      <c r="G669" s="1342"/>
      <c r="H669" s="1342"/>
      <c r="I669" s="1342"/>
      <c r="J669" s="1342"/>
      <c r="K669" s="1342"/>
    </row>
    <row r="670" spans="2:11" ht="14" hidden="1">
      <c r="B670" s="1342"/>
      <c r="C670" s="1342"/>
      <c r="D670" s="1342"/>
      <c r="E670" s="1342"/>
      <c r="F670" s="1342"/>
      <c r="G670" s="1342"/>
      <c r="H670" s="1342"/>
      <c r="I670" s="1342"/>
      <c r="J670" s="1342"/>
      <c r="K670" s="1342"/>
    </row>
    <row r="671" spans="2:11" ht="14" hidden="1">
      <c r="B671" s="1342"/>
      <c r="C671" s="1342"/>
      <c r="D671" s="1342"/>
      <c r="E671" s="1342"/>
      <c r="F671" s="1342"/>
      <c r="G671" s="1342"/>
      <c r="H671" s="1342"/>
      <c r="I671" s="1342"/>
      <c r="J671" s="1342"/>
      <c r="K671" s="1342"/>
    </row>
    <row r="672" spans="2:11" ht="14" hidden="1">
      <c r="B672" s="1342"/>
      <c r="C672" s="1342"/>
      <c r="D672" s="1342"/>
      <c r="E672" s="1342"/>
      <c r="F672" s="1342"/>
      <c r="G672" s="1342"/>
      <c r="H672" s="1342"/>
      <c r="I672" s="1342"/>
      <c r="J672" s="1342"/>
      <c r="K672" s="1342"/>
    </row>
    <row r="673" spans="2:11" ht="14" hidden="1">
      <c r="B673" s="1342"/>
      <c r="C673" s="1342"/>
      <c r="D673" s="1342"/>
      <c r="E673" s="1342"/>
      <c r="F673" s="1342"/>
      <c r="G673" s="1342"/>
      <c r="H673" s="1342"/>
      <c r="I673" s="1342"/>
      <c r="J673" s="1342"/>
      <c r="K673" s="1342"/>
    </row>
    <row r="674" spans="2:11" ht="14" hidden="1">
      <c r="B674" s="1342"/>
      <c r="C674" s="1342"/>
      <c r="D674" s="1342"/>
      <c r="E674" s="1342"/>
      <c r="F674" s="1342"/>
      <c r="G674" s="1342"/>
      <c r="H674" s="1342"/>
      <c r="I674" s="1342"/>
      <c r="J674" s="1342"/>
      <c r="K674" s="1342"/>
    </row>
    <row r="675" spans="2:11" ht="14" hidden="1">
      <c r="B675" s="1342"/>
      <c r="C675" s="1342"/>
      <c r="D675" s="1342"/>
      <c r="E675" s="1342"/>
      <c r="F675" s="1342"/>
      <c r="G675" s="1342"/>
      <c r="H675" s="1342"/>
      <c r="I675" s="1342"/>
      <c r="J675" s="1342"/>
      <c r="K675" s="1342"/>
    </row>
    <row r="676" spans="2:11" ht="14" hidden="1">
      <c r="B676" s="1342"/>
      <c r="C676" s="1342"/>
      <c r="D676" s="1342"/>
      <c r="E676" s="1342"/>
      <c r="F676" s="1342"/>
      <c r="G676" s="1342"/>
      <c r="H676" s="1342"/>
      <c r="I676" s="1342"/>
      <c r="J676" s="1342"/>
      <c r="K676" s="1342"/>
    </row>
    <row r="677" spans="2:11" ht="14" hidden="1">
      <c r="B677" s="1342"/>
      <c r="C677" s="1342"/>
      <c r="D677" s="1342"/>
      <c r="E677" s="1342"/>
      <c r="F677" s="1342"/>
      <c r="G677" s="1342"/>
      <c r="H677" s="1342"/>
      <c r="I677" s="1342"/>
      <c r="J677" s="1342"/>
      <c r="K677" s="1342"/>
    </row>
    <row r="678" spans="2:11" ht="14" hidden="1">
      <c r="B678" s="1342"/>
      <c r="C678" s="1342"/>
      <c r="D678" s="1342"/>
      <c r="E678" s="1342"/>
      <c r="F678" s="1342"/>
      <c r="G678" s="1342"/>
      <c r="H678" s="1342"/>
      <c r="I678" s="1342"/>
      <c r="J678" s="1342"/>
      <c r="K678" s="1342"/>
    </row>
    <row r="679" spans="2:11" ht="14" hidden="1">
      <c r="B679" s="1342"/>
      <c r="C679" s="1342"/>
      <c r="D679" s="1342"/>
      <c r="E679" s="1342"/>
      <c r="F679" s="1342"/>
      <c r="G679" s="1342"/>
      <c r="H679" s="1342"/>
      <c r="I679" s="1342"/>
      <c r="J679" s="1342"/>
      <c r="K679" s="1342"/>
    </row>
    <row r="680" spans="2:11" ht="14" hidden="1">
      <c r="B680" s="1342"/>
      <c r="C680" s="1342"/>
      <c r="D680" s="1342"/>
      <c r="E680" s="1342"/>
      <c r="F680" s="1342"/>
      <c r="G680" s="1342"/>
      <c r="H680" s="1342"/>
      <c r="I680" s="1342"/>
      <c r="J680" s="1342"/>
      <c r="K680" s="1342"/>
    </row>
    <row r="681" spans="2:11" ht="14" hidden="1">
      <c r="B681" s="1342"/>
      <c r="C681" s="1342"/>
      <c r="D681" s="1342"/>
      <c r="E681" s="1342"/>
      <c r="F681" s="1342"/>
      <c r="G681" s="1342"/>
      <c r="H681" s="1342"/>
      <c r="I681" s="1342"/>
      <c r="J681" s="1342"/>
      <c r="K681" s="1342"/>
    </row>
    <row r="682" spans="2:11" ht="14" hidden="1">
      <c r="B682" s="1342"/>
      <c r="C682" s="1342"/>
      <c r="D682" s="1342"/>
      <c r="E682" s="1342"/>
      <c r="F682" s="1342"/>
      <c r="G682" s="1342"/>
      <c r="H682" s="1342"/>
      <c r="I682" s="1342"/>
      <c r="J682" s="1342"/>
      <c r="K682" s="1342"/>
    </row>
    <row r="683" spans="2:11" ht="14" hidden="1">
      <c r="B683" s="1342"/>
      <c r="C683" s="1342"/>
      <c r="D683" s="1342"/>
      <c r="E683" s="1342"/>
      <c r="F683" s="1342"/>
      <c r="G683" s="1342"/>
      <c r="H683" s="1342"/>
      <c r="I683" s="1342"/>
      <c r="J683" s="1342"/>
      <c r="K683" s="1342"/>
    </row>
    <row r="684" spans="2:11" ht="14" hidden="1">
      <c r="B684" s="1342"/>
      <c r="C684" s="1342"/>
      <c r="D684" s="1342"/>
      <c r="E684" s="1342"/>
      <c r="F684" s="1342"/>
      <c r="G684" s="1342"/>
      <c r="H684" s="1342"/>
      <c r="I684" s="1342"/>
      <c r="J684" s="1342"/>
      <c r="K684" s="1342"/>
    </row>
    <row r="685" spans="2:11" ht="14" hidden="1">
      <c r="B685" s="1342"/>
      <c r="C685" s="1342"/>
      <c r="D685" s="1342"/>
      <c r="E685" s="1342"/>
      <c r="F685" s="1342"/>
      <c r="G685" s="1342"/>
      <c r="H685" s="1342"/>
      <c r="I685" s="1342"/>
      <c r="J685" s="1342"/>
      <c r="K685" s="1342"/>
    </row>
    <row r="686" spans="2:11" ht="14" hidden="1">
      <c r="B686" s="1342"/>
      <c r="C686" s="1342"/>
      <c r="D686" s="1342"/>
      <c r="E686" s="1342"/>
      <c r="F686" s="1342"/>
      <c r="G686" s="1342"/>
      <c r="H686" s="1342"/>
      <c r="I686" s="1342"/>
      <c r="J686" s="1342"/>
      <c r="K686" s="1342"/>
    </row>
    <row r="687" spans="2:11" ht="14" hidden="1">
      <c r="B687" s="1342"/>
      <c r="C687" s="1342"/>
      <c r="D687" s="1342"/>
      <c r="E687" s="1342"/>
      <c r="F687" s="1342"/>
      <c r="G687" s="1342"/>
      <c r="H687" s="1342"/>
      <c r="I687" s="1342"/>
      <c r="J687" s="1342"/>
      <c r="K687" s="1342"/>
    </row>
    <row r="688" spans="2:11" ht="14" hidden="1">
      <c r="B688" s="1342"/>
      <c r="C688" s="1342"/>
      <c r="D688" s="1342"/>
      <c r="E688" s="1342"/>
      <c r="F688" s="1342"/>
      <c r="G688" s="1342"/>
      <c r="H688" s="1342"/>
      <c r="I688" s="1342"/>
      <c r="J688" s="1342"/>
      <c r="K688" s="1342"/>
    </row>
    <row r="689" spans="2:11" ht="14" hidden="1">
      <c r="B689" s="1342"/>
      <c r="C689" s="1342"/>
      <c r="D689" s="1342"/>
      <c r="E689" s="1342"/>
      <c r="F689" s="1342"/>
      <c r="G689" s="1342"/>
      <c r="H689" s="1342"/>
      <c r="I689" s="1342"/>
      <c r="J689" s="1342"/>
      <c r="K689" s="1342"/>
    </row>
    <row r="690" spans="2:11" ht="14" hidden="1">
      <c r="B690" s="1342"/>
      <c r="C690" s="1342"/>
      <c r="D690" s="1342"/>
      <c r="E690" s="1342"/>
      <c r="F690" s="1342"/>
      <c r="G690" s="1342"/>
      <c r="H690" s="1342"/>
      <c r="I690" s="1342"/>
      <c r="J690" s="1342"/>
      <c r="K690" s="1342"/>
    </row>
    <row r="691" spans="2:11" ht="14" hidden="1">
      <c r="B691" s="1342"/>
      <c r="C691" s="1342"/>
      <c r="D691" s="1342"/>
      <c r="E691" s="1342"/>
      <c r="F691" s="1342"/>
      <c r="G691" s="1342"/>
      <c r="H691" s="1342"/>
      <c r="I691" s="1342"/>
      <c r="J691" s="1342"/>
      <c r="K691" s="1342"/>
    </row>
    <row r="692" spans="2:11" ht="14" hidden="1">
      <c r="B692" s="1342"/>
      <c r="C692" s="1342"/>
      <c r="D692" s="1342"/>
      <c r="E692" s="1342"/>
      <c r="F692" s="1342"/>
      <c r="G692" s="1342"/>
      <c r="H692" s="1342"/>
      <c r="I692" s="1342"/>
      <c r="J692" s="1342"/>
      <c r="K692" s="1342"/>
    </row>
    <row r="693" spans="2:11" ht="14" hidden="1">
      <c r="B693" s="1342"/>
      <c r="C693" s="1342"/>
      <c r="D693" s="1342"/>
      <c r="E693" s="1342"/>
      <c r="F693" s="1342"/>
      <c r="G693" s="1342"/>
      <c r="H693" s="1342"/>
      <c r="I693" s="1342"/>
      <c r="J693" s="1342"/>
      <c r="K693" s="1342"/>
    </row>
    <row r="694" spans="2:11" ht="14" hidden="1">
      <c r="B694" s="1342"/>
      <c r="C694" s="1342"/>
      <c r="D694" s="1342"/>
      <c r="E694" s="1342"/>
      <c r="F694" s="1342"/>
      <c r="G694" s="1342"/>
      <c r="H694" s="1342"/>
      <c r="I694" s="1342"/>
      <c r="J694" s="1342"/>
      <c r="K694" s="1342"/>
    </row>
    <row r="695" spans="2:11" ht="14" hidden="1">
      <c r="B695" s="1342"/>
      <c r="C695" s="1342"/>
      <c r="D695" s="1342"/>
      <c r="E695" s="1342"/>
      <c r="F695" s="1342"/>
      <c r="G695" s="1342"/>
      <c r="H695" s="1342"/>
      <c r="I695" s="1342"/>
      <c r="J695" s="1342"/>
      <c r="K695" s="1342"/>
    </row>
    <row r="696" spans="2:11" ht="14" hidden="1">
      <c r="B696" s="1342"/>
      <c r="C696" s="1342"/>
      <c r="D696" s="1342"/>
      <c r="E696" s="1342"/>
      <c r="F696" s="1342"/>
      <c r="G696" s="1342"/>
      <c r="H696" s="1342"/>
      <c r="I696" s="1342"/>
      <c r="J696" s="1342"/>
      <c r="K696" s="1342"/>
    </row>
    <row r="697" spans="2:11" ht="14" hidden="1">
      <c r="B697" s="1342"/>
      <c r="C697" s="1342"/>
      <c r="D697" s="1342"/>
      <c r="E697" s="1342"/>
      <c r="F697" s="1342"/>
      <c r="G697" s="1342"/>
      <c r="H697" s="1342"/>
      <c r="I697" s="1342"/>
      <c r="J697" s="1342"/>
      <c r="K697" s="1342"/>
    </row>
    <row r="698" spans="2:11" ht="14" hidden="1">
      <c r="B698" s="1342"/>
      <c r="C698" s="1342"/>
      <c r="D698" s="1342"/>
      <c r="E698" s="1342"/>
      <c r="F698" s="1342"/>
      <c r="G698" s="1342"/>
      <c r="H698" s="1342"/>
      <c r="I698" s="1342"/>
      <c r="J698" s="1342"/>
      <c r="K698" s="1342"/>
    </row>
    <row r="699" spans="2:11" ht="14" hidden="1">
      <c r="B699" s="1342"/>
      <c r="C699" s="1342"/>
      <c r="D699" s="1342"/>
      <c r="E699" s="1342"/>
      <c r="F699" s="1342"/>
      <c r="G699" s="1342"/>
      <c r="H699" s="1342"/>
      <c r="I699" s="1342"/>
      <c r="J699" s="1342"/>
      <c r="K699" s="1342"/>
    </row>
    <row r="700" spans="2:11" ht="14" hidden="1">
      <c r="B700" s="1342"/>
      <c r="C700" s="1342"/>
      <c r="D700" s="1342"/>
      <c r="E700" s="1342"/>
      <c r="F700" s="1342"/>
      <c r="G700" s="1342"/>
      <c r="H700" s="1342"/>
      <c r="I700" s="1342"/>
      <c r="J700" s="1342"/>
      <c r="K700" s="1342"/>
    </row>
    <row r="701" spans="2:11" ht="14" hidden="1">
      <c r="B701" s="1342"/>
      <c r="C701" s="1342"/>
      <c r="D701" s="1342"/>
      <c r="E701" s="1342"/>
      <c r="F701" s="1342"/>
      <c r="G701" s="1342"/>
      <c r="H701" s="1342"/>
      <c r="I701" s="1342"/>
      <c r="J701" s="1342"/>
      <c r="K701" s="1342"/>
    </row>
    <row r="702" spans="2:11" ht="14" hidden="1">
      <c r="B702" s="1342"/>
      <c r="C702" s="1342"/>
      <c r="D702" s="1342"/>
      <c r="E702" s="1342"/>
      <c r="F702" s="1342"/>
      <c r="G702" s="1342"/>
      <c r="H702" s="1342"/>
      <c r="I702" s="1342"/>
      <c r="J702" s="1342"/>
      <c r="K702" s="1342"/>
    </row>
    <row r="703" spans="2:11" ht="14" hidden="1">
      <c r="B703" s="1342"/>
      <c r="C703" s="1342"/>
      <c r="D703" s="1342"/>
      <c r="E703" s="1342"/>
      <c r="F703" s="1342"/>
      <c r="G703" s="1342"/>
      <c r="H703" s="1342"/>
      <c r="I703" s="1342"/>
      <c r="J703" s="1342"/>
      <c r="K703" s="1342"/>
    </row>
    <row r="704" spans="2:11" ht="14" hidden="1">
      <c r="B704" s="1342"/>
      <c r="C704" s="1342"/>
      <c r="D704" s="1342"/>
      <c r="E704" s="1342"/>
      <c r="F704" s="1342"/>
      <c r="G704" s="1342"/>
      <c r="H704" s="1342"/>
      <c r="I704" s="1342"/>
      <c r="J704" s="1342"/>
      <c r="K704" s="1342"/>
    </row>
    <row r="705" spans="2:11" ht="14" hidden="1">
      <c r="B705" s="1342"/>
      <c r="C705" s="1342"/>
      <c r="D705" s="1342"/>
      <c r="E705" s="1342"/>
      <c r="F705" s="1342"/>
      <c r="G705" s="1342"/>
      <c r="H705" s="1342"/>
      <c r="I705" s="1342"/>
      <c r="J705" s="1342"/>
      <c r="K705" s="1342"/>
    </row>
    <row r="706" spans="2:11" ht="14" hidden="1">
      <c r="B706" s="1342"/>
      <c r="C706" s="1342"/>
      <c r="D706" s="1342"/>
      <c r="E706" s="1342"/>
      <c r="F706" s="1342"/>
      <c r="G706" s="1342"/>
      <c r="H706" s="1342"/>
      <c r="I706" s="1342"/>
      <c r="J706" s="1342"/>
      <c r="K706" s="1342"/>
    </row>
    <row r="707" spans="2:11" ht="14" hidden="1">
      <c r="B707" s="1342"/>
      <c r="C707" s="1342"/>
      <c r="D707" s="1342"/>
      <c r="E707" s="1342"/>
      <c r="F707" s="1342"/>
      <c r="G707" s="1342"/>
      <c r="H707" s="1342"/>
      <c r="I707" s="1342"/>
      <c r="J707" s="1342"/>
      <c r="K707" s="1342"/>
    </row>
    <row r="708" spans="2:11" ht="14" hidden="1">
      <c r="B708" s="1342"/>
      <c r="C708" s="1342"/>
      <c r="D708" s="1342"/>
      <c r="E708" s="1342"/>
      <c r="F708" s="1342"/>
      <c r="G708" s="1342"/>
      <c r="H708" s="1342"/>
      <c r="I708" s="1342"/>
      <c r="J708" s="1342"/>
      <c r="K708" s="1342"/>
    </row>
    <row r="709" spans="2:11" ht="14" hidden="1">
      <c r="B709" s="1342"/>
      <c r="C709" s="1342"/>
      <c r="D709" s="1342"/>
      <c r="E709" s="1342"/>
      <c r="F709" s="1342"/>
      <c r="G709" s="1342"/>
      <c r="H709" s="1342"/>
      <c r="I709" s="1342"/>
      <c r="J709" s="1342"/>
      <c r="K709" s="1342"/>
    </row>
    <row r="710" spans="2:11" ht="14" hidden="1">
      <c r="B710" s="1342"/>
      <c r="C710" s="1342"/>
      <c r="D710" s="1342"/>
      <c r="E710" s="1342"/>
      <c r="F710" s="1342"/>
      <c r="G710" s="1342"/>
      <c r="H710" s="1342"/>
      <c r="I710" s="1342"/>
      <c r="J710" s="1342"/>
      <c r="K710" s="1342"/>
    </row>
    <row r="711" spans="2:11" ht="14" hidden="1">
      <c r="B711" s="1342"/>
      <c r="C711" s="1342"/>
      <c r="D711" s="1342"/>
      <c r="E711" s="1342"/>
      <c r="F711" s="1342"/>
      <c r="G711" s="1342"/>
      <c r="H711" s="1342"/>
      <c r="I711" s="1342"/>
      <c r="J711" s="1342"/>
      <c r="K711" s="1342"/>
    </row>
    <row r="712" spans="2:11" ht="14" hidden="1">
      <c r="B712" s="1342"/>
      <c r="C712" s="1342"/>
      <c r="D712" s="1342"/>
      <c r="E712" s="1342"/>
      <c r="F712" s="1342"/>
      <c r="G712" s="1342"/>
      <c r="H712" s="1342"/>
      <c r="I712" s="1342"/>
      <c r="J712" s="1342"/>
      <c r="K712" s="1342"/>
    </row>
    <row r="713" spans="2:11" ht="14" hidden="1">
      <c r="B713" s="1342"/>
      <c r="C713" s="1342"/>
      <c r="D713" s="1342"/>
      <c r="E713" s="1342"/>
      <c r="F713" s="1342"/>
      <c r="G713" s="1342"/>
      <c r="H713" s="1342"/>
      <c r="I713" s="1342"/>
      <c r="J713" s="1342"/>
      <c r="K713" s="1342"/>
    </row>
    <row r="714" spans="2:11" ht="14" hidden="1">
      <c r="B714" s="1342"/>
      <c r="C714" s="1342"/>
      <c r="D714" s="1342"/>
      <c r="E714" s="1342"/>
      <c r="F714" s="1342"/>
      <c r="G714" s="1342"/>
      <c r="H714" s="1342"/>
      <c r="I714" s="1342"/>
      <c r="J714" s="1342"/>
      <c r="K714" s="1342"/>
    </row>
    <row r="715" spans="2:11" ht="14" hidden="1">
      <c r="B715" s="1342"/>
      <c r="C715" s="1342"/>
      <c r="D715" s="1342"/>
      <c r="E715" s="1342"/>
      <c r="F715" s="1342"/>
      <c r="G715" s="1342"/>
      <c r="H715" s="1342"/>
      <c r="I715" s="1342"/>
      <c r="J715" s="1342"/>
      <c r="K715" s="1342"/>
    </row>
    <row r="716" spans="2:11" ht="14" hidden="1">
      <c r="B716" s="1342"/>
      <c r="C716" s="1342"/>
      <c r="D716" s="1342"/>
      <c r="E716" s="1342"/>
      <c r="F716" s="1342"/>
      <c r="G716" s="1342"/>
      <c r="H716" s="1342"/>
      <c r="I716" s="1342"/>
      <c r="J716" s="1342"/>
      <c r="K716" s="1342"/>
    </row>
    <row r="717" spans="2:11" ht="14" hidden="1">
      <c r="B717" s="1342"/>
      <c r="C717" s="1342"/>
      <c r="D717" s="1342"/>
      <c r="E717" s="1342"/>
      <c r="F717" s="1342"/>
      <c r="G717" s="1342"/>
      <c r="H717" s="1342"/>
      <c r="I717" s="1342"/>
      <c r="J717" s="1342"/>
      <c r="K717" s="1342"/>
    </row>
    <row r="718" spans="2:11" ht="14" hidden="1">
      <c r="B718" s="1342"/>
      <c r="C718" s="1342"/>
      <c r="D718" s="1342"/>
      <c r="E718" s="1342"/>
      <c r="F718" s="1342"/>
      <c r="G718" s="1342"/>
      <c r="H718" s="1342"/>
      <c r="I718" s="1342"/>
      <c r="J718" s="1342"/>
      <c r="K718" s="1342"/>
    </row>
    <row r="719" spans="2:11" ht="14" hidden="1">
      <c r="B719" s="1342"/>
      <c r="C719" s="1342"/>
      <c r="D719" s="1342"/>
      <c r="E719" s="1342"/>
      <c r="F719" s="1342"/>
      <c r="G719" s="1342"/>
      <c r="H719" s="1342"/>
      <c r="I719" s="1342"/>
      <c r="J719" s="1342"/>
      <c r="K719" s="1342"/>
    </row>
    <row r="720" spans="2:11" ht="14" hidden="1">
      <c r="B720" s="1342"/>
      <c r="C720" s="1342"/>
      <c r="D720" s="1342"/>
      <c r="E720" s="1342"/>
      <c r="F720" s="1342"/>
      <c r="G720" s="1342"/>
      <c r="H720" s="1342"/>
      <c r="I720" s="1342"/>
      <c r="J720" s="1342"/>
      <c r="K720" s="1342"/>
    </row>
    <row r="721" spans="2:11" ht="14" hidden="1">
      <c r="B721" s="1342"/>
      <c r="C721" s="1342"/>
      <c r="D721" s="1342"/>
      <c r="E721" s="1342"/>
      <c r="F721" s="1342"/>
      <c r="G721" s="1342"/>
      <c r="H721" s="1342"/>
      <c r="I721" s="1342"/>
      <c r="J721" s="1342"/>
      <c r="K721" s="1342"/>
    </row>
    <row r="722" spans="2:11" ht="14" hidden="1">
      <c r="B722" s="1342"/>
      <c r="C722" s="1342"/>
      <c r="D722" s="1342"/>
      <c r="E722" s="1342"/>
      <c r="F722" s="1342"/>
      <c r="G722" s="1342"/>
      <c r="H722" s="1342"/>
      <c r="I722" s="1342"/>
      <c r="J722" s="1342"/>
      <c r="K722" s="1342"/>
    </row>
    <row r="723" spans="2:11" ht="14" hidden="1">
      <c r="B723" s="1342"/>
      <c r="C723" s="1342"/>
      <c r="D723" s="1342"/>
      <c r="E723" s="1342"/>
      <c r="F723" s="1342"/>
      <c r="G723" s="1342"/>
      <c r="H723" s="1342"/>
      <c r="I723" s="1342"/>
      <c r="J723" s="1342"/>
      <c r="K723" s="1342"/>
    </row>
    <row r="724" spans="2:11" ht="14" hidden="1">
      <c r="B724" s="1342"/>
      <c r="C724" s="1342"/>
      <c r="D724" s="1342"/>
      <c r="E724" s="1342"/>
      <c r="F724" s="1342"/>
      <c r="G724" s="1342"/>
      <c r="H724" s="1342"/>
      <c r="I724" s="1342"/>
      <c r="J724" s="1342"/>
      <c r="K724" s="1342"/>
    </row>
    <row r="725" spans="2:11" ht="14" hidden="1">
      <c r="B725" s="1342"/>
      <c r="C725" s="1342"/>
      <c r="D725" s="1342"/>
      <c r="E725" s="1342"/>
      <c r="F725" s="1342"/>
      <c r="G725" s="1342"/>
      <c r="H725" s="1342"/>
      <c r="I725" s="1342"/>
      <c r="J725" s="1342"/>
      <c r="K725" s="1342"/>
    </row>
    <row r="726" spans="2:11" ht="14" hidden="1">
      <c r="B726" s="1342"/>
      <c r="C726" s="1342"/>
      <c r="D726" s="1342"/>
      <c r="E726" s="1342"/>
      <c r="F726" s="1342"/>
      <c r="G726" s="1342"/>
      <c r="H726" s="1342"/>
      <c r="I726" s="1342"/>
      <c r="J726" s="1342"/>
      <c r="K726" s="1342"/>
    </row>
    <row r="727" spans="2:11" ht="14" hidden="1">
      <c r="B727" s="1342"/>
      <c r="C727" s="1342"/>
      <c r="D727" s="1342"/>
      <c r="E727" s="1342"/>
      <c r="F727" s="1342"/>
      <c r="G727" s="1342"/>
      <c r="H727" s="1342"/>
      <c r="I727" s="1342"/>
      <c r="J727" s="1342"/>
      <c r="K727" s="1342"/>
    </row>
    <row r="728" spans="2:11" ht="14" hidden="1">
      <c r="B728" s="1342"/>
      <c r="C728" s="1342"/>
      <c r="D728" s="1342"/>
      <c r="E728" s="1342"/>
      <c r="F728" s="1342"/>
      <c r="G728" s="1342"/>
      <c r="H728" s="1342"/>
      <c r="I728" s="1342"/>
      <c r="J728" s="1342"/>
      <c r="K728" s="1342"/>
    </row>
    <row r="729" spans="2:11" ht="14" hidden="1">
      <c r="B729" s="1342"/>
      <c r="C729" s="1342"/>
      <c r="D729" s="1342"/>
      <c r="E729" s="1342"/>
      <c r="F729" s="1342"/>
      <c r="G729" s="1342"/>
      <c r="H729" s="1342"/>
      <c r="I729" s="1342"/>
      <c r="J729" s="1342"/>
      <c r="K729" s="1342"/>
    </row>
    <row r="730" spans="2:11" ht="14" hidden="1">
      <c r="B730" s="1342"/>
      <c r="C730" s="1342"/>
      <c r="D730" s="1342"/>
      <c r="E730" s="1342"/>
      <c r="F730" s="1342"/>
      <c r="G730" s="1342"/>
      <c r="H730" s="1342"/>
      <c r="I730" s="1342"/>
      <c r="J730" s="1342"/>
      <c r="K730" s="1342"/>
    </row>
    <row r="731" spans="2:11" ht="14" hidden="1">
      <c r="B731" s="1342"/>
      <c r="C731" s="1342"/>
      <c r="D731" s="1342"/>
      <c r="E731" s="1342"/>
      <c r="F731" s="1342"/>
      <c r="G731" s="1342"/>
      <c r="H731" s="1342"/>
      <c r="I731" s="1342"/>
      <c r="J731" s="1342"/>
      <c r="K731" s="1342"/>
    </row>
    <row r="732" spans="2:11" ht="14" hidden="1">
      <c r="B732" s="1342"/>
      <c r="C732" s="1342"/>
      <c r="D732" s="1342"/>
      <c r="E732" s="1342"/>
      <c r="F732" s="1342"/>
      <c r="G732" s="1342"/>
      <c r="H732" s="1342"/>
      <c r="I732" s="1342"/>
      <c r="J732" s="1342"/>
      <c r="K732" s="1342"/>
    </row>
    <row r="733" spans="2:11" ht="14" hidden="1">
      <c r="B733" s="1342"/>
      <c r="C733" s="1342"/>
      <c r="D733" s="1342"/>
      <c r="E733" s="1342"/>
      <c r="F733" s="1342"/>
      <c r="G733" s="1342"/>
      <c r="H733" s="1342"/>
      <c r="I733" s="1342"/>
      <c r="J733" s="1342"/>
      <c r="K733" s="1342"/>
    </row>
    <row r="734" spans="2:11" ht="14" hidden="1">
      <c r="B734" s="1342"/>
      <c r="C734" s="1342"/>
      <c r="D734" s="1342"/>
      <c r="E734" s="1342"/>
      <c r="F734" s="1342"/>
      <c r="G734" s="1342"/>
      <c r="H734" s="1342"/>
      <c r="I734" s="1342"/>
      <c r="J734" s="1342"/>
      <c r="K734" s="1342"/>
    </row>
    <row r="735" spans="2:11" ht="14" hidden="1">
      <c r="B735" s="1342"/>
      <c r="C735" s="1342"/>
      <c r="D735" s="1342"/>
      <c r="E735" s="1342"/>
      <c r="F735" s="1342"/>
      <c r="G735" s="1342"/>
      <c r="H735" s="1342"/>
      <c r="I735" s="1342"/>
      <c r="J735" s="1342"/>
      <c r="K735" s="1342"/>
    </row>
    <row r="736" spans="2:11" ht="14" hidden="1">
      <c r="B736" s="1342"/>
      <c r="C736" s="1342"/>
      <c r="D736" s="1342"/>
      <c r="E736" s="1342"/>
      <c r="F736" s="1342"/>
      <c r="G736" s="1342"/>
      <c r="H736" s="1342"/>
      <c r="I736" s="1342"/>
      <c r="J736" s="1342"/>
      <c r="K736" s="1342"/>
    </row>
    <row r="737" spans="2:11" ht="14" hidden="1">
      <c r="B737" s="1342"/>
      <c r="C737" s="1342"/>
      <c r="D737" s="1342"/>
      <c r="E737" s="1342"/>
      <c r="F737" s="1342"/>
      <c r="G737" s="1342"/>
      <c r="H737" s="1342"/>
      <c r="I737" s="1342"/>
      <c r="J737" s="1342"/>
      <c r="K737" s="1342"/>
    </row>
    <row r="738" spans="2:11" ht="14" hidden="1">
      <c r="B738" s="1342"/>
      <c r="C738" s="1342"/>
      <c r="D738" s="1342"/>
      <c r="E738" s="1342"/>
      <c r="F738" s="1342"/>
      <c r="G738" s="1342"/>
      <c r="H738" s="1342"/>
      <c r="I738" s="1342"/>
      <c r="J738" s="1342"/>
      <c r="K738" s="1342"/>
    </row>
    <row r="739" spans="2:11" ht="14" hidden="1">
      <c r="B739" s="1342"/>
      <c r="C739" s="1342"/>
      <c r="D739" s="1342"/>
      <c r="E739" s="1342"/>
      <c r="F739" s="1342"/>
      <c r="G739" s="1342"/>
      <c r="H739" s="1342"/>
      <c r="I739" s="1342"/>
      <c r="J739" s="1342"/>
      <c r="K739" s="1342"/>
    </row>
    <row r="740" spans="2:11" ht="14" hidden="1">
      <c r="B740" s="1342"/>
      <c r="C740" s="1342"/>
      <c r="D740" s="1342"/>
      <c r="E740" s="1342"/>
      <c r="F740" s="1342"/>
      <c r="G740" s="1342"/>
      <c r="H740" s="1342"/>
      <c r="I740" s="1342"/>
      <c r="J740" s="1342"/>
      <c r="K740" s="1342"/>
    </row>
    <row r="741" spans="2:11" ht="14" hidden="1">
      <c r="B741" s="1342"/>
      <c r="C741" s="1342"/>
      <c r="D741" s="1342"/>
      <c r="E741" s="1342"/>
      <c r="F741" s="1342"/>
      <c r="G741" s="1342"/>
      <c r="H741" s="1342"/>
      <c r="I741" s="1342"/>
      <c r="J741" s="1342"/>
      <c r="K741" s="1342"/>
    </row>
    <row r="742" spans="2:11" ht="14" hidden="1">
      <c r="B742" s="1342"/>
      <c r="C742" s="1342"/>
      <c r="D742" s="1342"/>
      <c r="E742" s="1342"/>
      <c r="F742" s="1342"/>
      <c r="G742" s="1342"/>
      <c r="H742" s="1342"/>
      <c r="I742" s="1342"/>
      <c r="J742" s="1342"/>
      <c r="K742" s="1342"/>
    </row>
    <row r="743" spans="2:11" ht="14" hidden="1">
      <c r="B743" s="1342"/>
      <c r="C743" s="1342"/>
      <c r="D743" s="1342"/>
      <c r="E743" s="1342"/>
      <c r="F743" s="1342"/>
      <c r="G743" s="1342"/>
      <c r="H743" s="1342"/>
      <c r="I743" s="1342"/>
      <c r="J743" s="1342"/>
      <c r="K743" s="1342"/>
    </row>
    <row r="744" spans="2:11" ht="14" hidden="1">
      <c r="B744" s="1342"/>
      <c r="C744" s="1342"/>
      <c r="D744" s="1342"/>
      <c r="E744" s="1342"/>
      <c r="F744" s="1342"/>
      <c r="G744" s="1342"/>
      <c r="H744" s="1342"/>
      <c r="I744" s="1342"/>
      <c r="J744" s="1342"/>
      <c r="K744" s="1342"/>
    </row>
    <row r="745" spans="2:11" ht="14" hidden="1">
      <c r="B745" s="1342"/>
      <c r="C745" s="1342"/>
      <c r="D745" s="1342"/>
      <c r="E745" s="1342"/>
      <c r="F745" s="1342"/>
      <c r="G745" s="1342"/>
      <c r="H745" s="1342"/>
      <c r="I745" s="1342"/>
      <c r="J745" s="1342"/>
      <c r="K745" s="1342"/>
    </row>
    <row r="746" spans="2:11" ht="14" hidden="1">
      <c r="B746" s="1342"/>
      <c r="C746" s="1342"/>
      <c r="D746" s="1342"/>
      <c r="E746" s="1342"/>
      <c r="F746" s="1342"/>
      <c r="G746" s="1342"/>
      <c r="H746" s="1342"/>
      <c r="I746" s="1342"/>
      <c r="J746" s="1342"/>
      <c r="K746" s="1342"/>
    </row>
    <row r="747" spans="2:11" ht="14" hidden="1">
      <c r="B747" s="1342"/>
      <c r="C747" s="1342"/>
      <c r="D747" s="1342"/>
      <c r="E747" s="1342"/>
      <c r="F747" s="1342"/>
      <c r="G747" s="1342"/>
      <c r="H747" s="1342"/>
      <c r="I747" s="1342"/>
      <c r="J747" s="1342"/>
      <c r="K747" s="1342"/>
    </row>
    <row r="748" spans="2:11" ht="14" hidden="1">
      <c r="B748" s="1342"/>
      <c r="C748" s="1342"/>
      <c r="D748" s="1342"/>
      <c r="E748" s="1342"/>
      <c r="F748" s="1342"/>
      <c r="G748" s="1342"/>
      <c r="H748" s="1342"/>
      <c r="I748" s="1342"/>
      <c r="J748" s="1342"/>
      <c r="K748" s="1342"/>
    </row>
    <row r="749" spans="2:11" ht="14" hidden="1">
      <c r="B749" s="1342"/>
      <c r="C749" s="1342"/>
      <c r="D749" s="1342"/>
      <c r="E749" s="1342"/>
      <c r="F749" s="1342"/>
      <c r="G749" s="1342"/>
      <c r="H749" s="1342"/>
      <c r="I749" s="1342"/>
      <c r="J749" s="1342"/>
      <c r="K749" s="1342"/>
    </row>
    <row r="750" spans="2:11" ht="14" hidden="1">
      <c r="B750" s="1342"/>
      <c r="C750" s="1342"/>
      <c r="D750" s="1342"/>
      <c r="E750" s="1342"/>
      <c r="F750" s="1342"/>
      <c r="G750" s="1342"/>
      <c r="H750" s="1342"/>
      <c r="I750" s="1342"/>
      <c r="J750" s="1342"/>
      <c r="K750" s="1342"/>
    </row>
    <row r="751" spans="2:11" ht="14" hidden="1">
      <c r="B751" s="1342"/>
      <c r="C751" s="1342"/>
      <c r="D751" s="1342"/>
      <c r="E751" s="1342"/>
      <c r="F751" s="1342"/>
      <c r="G751" s="1342"/>
      <c r="H751" s="1342"/>
      <c r="I751" s="1342"/>
      <c r="J751" s="1342"/>
      <c r="K751" s="1342"/>
    </row>
    <row r="752" spans="2:11" ht="14" hidden="1">
      <c r="B752" s="1342"/>
      <c r="C752" s="1342"/>
      <c r="D752" s="1342"/>
      <c r="E752" s="1342"/>
      <c r="F752" s="1342"/>
      <c r="G752" s="1342"/>
      <c r="H752" s="1342"/>
      <c r="I752" s="1342"/>
      <c r="J752" s="1342"/>
      <c r="K752" s="1342"/>
    </row>
    <row r="753" spans="2:11" ht="14" hidden="1">
      <c r="B753" s="1342"/>
      <c r="C753" s="1342"/>
      <c r="D753" s="1342"/>
      <c r="E753" s="1342"/>
      <c r="F753" s="1342"/>
      <c r="G753" s="1342"/>
      <c r="H753" s="1342"/>
      <c r="I753" s="1342"/>
      <c r="J753" s="1342"/>
      <c r="K753" s="1342"/>
    </row>
    <row r="754" spans="2:11" ht="14" hidden="1">
      <c r="B754" s="1342"/>
      <c r="C754" s="1342"/>
      <c r="D754" s="1342"/>
      <c r="E754" s="1342"/>
      <c r="F754" s="1342"/>
      <c r="G754" s="1342"/>
      <c r="H754" s="1342"/>
      <c r="I754" s="1342"/>
      <c r="J754" s="1342"/>
      <c r="K754" s="1342"/>
    </row>
    <row r="755" spans="2:11" ht="14" hidden="1">
      <c r="B755" s="1342"/>
      <c r="C755" s="1342"/>
      <c r="D755" s="1342"/>
      <c r="E755" s="1342"/>
      <c r="F755" s="1342"/>
      <c r="G755" s="1342"/>
      <c r="H755" s="1342"/>
      <c r="I755" s="1342"/>
      <c r="J755" s="1342"/>
      <c r="K755" s="1342"/>
    </row>
    <row r="756" spans="2:11" ht="14" hidden="1">
      <c r="B756" s="1342"/>
      <c r="C756" s="1342"/>
      <c r="D756" s="1342"/>
      <c r="E756" s="1342"/>
      <c r="F756" s="1342"/>
      <c r="G756" s="1342"/>
      <c r="H756" s="1342"/>
      <c r="I756" s="1342"/>
      <c r="J756" s="1342"/>
      <c r="K756" s="1342"/>
    </row>
    <row r="757" spans="2:11" ht="14" hidden="1">
      <c r="B757" s="1342"/>
      <c r="C757" s="1342"/>
      <c r="D757" s="1342"/>
      <c r="E757" s="1342"/>
      <c r="F757" s="1342"/>
      <c r="G757" s="1342"/>
      <c r="H757" s="1342"/>
      <c r="I757" s="1342"/>
      <c r="J757" s="1342"/>
      <c r="K757" s="1342"/>
    </row>
    <row r="758" spans="2:11" ht="14" hidden="1">
      <c r="B758" s="1342"/>
      <c r="C758" s="1342"/>
      <c r="D758" s="1342"/>
      <c r="E758" s="1342"/>
      <c r="F758" s="1342"/>
      <c r="G758" s="1342"/>
      <c r="H758" s="1342"/>
      <c r="I758" s="1342"/>
      <c r="J758" s="1342"/>
      <c r="K758" s="1342"/>
    </row>
    <row r="759" spans="2:11" ht="14" hidden="1">
      <c r="B759" s="1342"/>
      <c r="C759" s="1342"/>
      <c r="D759" s="1342"/>
      <c r="E759" s="1342"/>
      <c r="F759" s="1342"/>
      <c r="G759" s="1342"/>
      <c r="H759" s="1342"/>
      <c r="I759" s="1342"/>
      <c r="J759" s="1342"/>
      <c r="K759" s="1342"/>
    </row>
    <row r="760" spans="2:11" ht="14" hidden="1">
      <c r="B760" s="1342"/>
      <c r="C760" s="1342"/>
      <c r="D760" s="1342"/>
      <c r="E760" s="1342"/>
      <c r="F760" s="1342"/>
      <c r="G760" s="1342"/>
      <c r="H760" s="1342"/>
      <c r="I760" s="1342"/>
      <c r="J760" s="1342"/>
      <c r="K760" s="1342"/>
    </row>
    <row r="761" spans="2:11" ht="14" hidden="1">
      <c r="B761" s="1342"/>
      <c r="C761" s="1342"/>
      <c r="D761" s="1342"/>
      <c r="E761" s="1342"/>
      <c r="F761" s="1342"/>
      <c r="G761" s="1342"/>
      <c r="H761" s="1342"/>
      <c r="I761" s="1342"/>
      <c r="J761" s="1342"/>
      <c r="K761" s="1342"/>
    </row>
    <row r="762" spans="2:11" ht="14" hidden="1">
      <c r="B762" s="1342"/>
      <c r="C762" s="1342"/>
      <c r="D762" s="1342"/>
      <c r="E762" s="1342"/>
      <c r="F762" s="1342"/>
      <c r="G762" s="1342"/>
      <c r="H762" s="1342"/>
      <c r="I762" s="1342"/>
      <c r="J762" s="1342"/>
      <c r="K762" s="1342"/>
    </row>
    <row r="763" spans="2:11" ht="14" hidden="1">
      <c r="B763" s="1342"/>
      <c r="C763" s="1342"/>
      <c r="D763" s="1342"/>
      <c r="E763" s="1342"/>
      <c r="F763" s="1342"/>
      <c r="G763" s="1342"/>
      <c r="H763" s="1342"/>
      <c r="I763" s="1342"/>
      <c r="J763" s="1342"/>
      <c r="K763" s="1342"/>
    </row>
    <row r="764" spans="2:11" ht="14" hidden="1">
      <c r="B764" s="1342"/>
      <c r="C764" s="1342"/>
      <c r="D764" s="1342"/>
      <c r="E764" s="1342"/>
      <c r="F764" s="1342"/>
      <c r="G764" s="1342"/>
      <c r="H764" s="1342"/>
      <c r="I764" s="1342"/>
      <c r="J764" s="1342"/>
      <c r="K764" s="1342"/>
    </row>
    <row r="765" spans="2:11" ht="14" hidden="1">
      <c r="B765" s="1342"/>
      <c r="C765" s="1342"/>
      <c r="D765" s="1342"/>
      <c r="E765" s="1342"/>
      <c r="F765" s="1342"/>
      <c r="G765" s="1342"/>
      <c r="H765" s="1342"/>
      <c r="I765" s="1342"/>
      <c r="J765" s="1342"/>
      <c r="K765" s="1342"/>
    </row>
    <row r="766" spans="2:11" ht="14" hidden="1">
      <c r="B766" s="1342"/>
      <c r="C766" s="1342"/>
      <c r="D766" s="1342"/>
      <c r="E766" s="1342"/>
      <c r="F766" s="1342"/>
      <c r="G766" s="1342"/>
      <c r="H766" s="1342"/>
      <c r="I766" s="1342"/>
      <c r="J766" s="1342"/>
      <c r="K766" s="1342"/>
    </row>
    <row r="767" spans="2:11" ht="14" hidden="1">
      <c r="B767" s="1342"/>
      <c r="C767" s="1342"/>
      <c r="D767" s="1342"/>
      <c r="E767" s="1342"/>
      <c r="F767" s="1342"/>
      <c r="G767" s="1342"/>
      <c r="H767" s="1342"/>
      <c r="I767" s="1342"/>
      <c r="J767" s="1342"/>
      <c r="K767" s="1342"/>
    </row>
    <row r="768" spans="2:11" ht="14" hidden="1">
      <c r="B768" s="1342"/>
      <c r="C768" s="1342"/>
      <c r="D768" s="1342"/>
      <c r="E768" s="1342"/>
      <c r="F768" s="1342"/>
      <c r="G768" s="1342"/>
      <c r="H768" s="1342"/>
      <c r="I768" s="1342"/>
      <c r="J768" s="1342"/>
      <c r="K768" s="1342"/>
    </row>
    <row r="769" spans="2:11" ht="14" hidden="1">
      <c r="B769" s="1342"/>
      <c r="C769" s="1342"/>
      <c r="D769" s="1342"/>
      <c r="E769" s="1342"/>
      <c r="F769" s="1342"/>
      <c r="G769" s="1342"/>
      <c r="H769" s="1342"/>
      <c r="I769" s="1342"/>
      <c r="J769" s="1342"/>
      <c r="K769" s="1342"/>
    </row>
    <row r="770" spans="2:11" ht="14" hidden="1">
      <c r="B770" s="1342"/>
      <c r="C770" s="1342"/>
      <c r="D770" s="1342"/>
      <c r="E770" s="1342"/>
      <c r="F770" s="1342"/>
      <c r="G770" s="1342"/>
      <c r="H770" s="1342"/>
      <c r="I770" s="1342"/>
      <c r="J770" s="1342"/>
      <c r="K770" s="1342"/>
    </row>
    <row r="771" spans="2:11" ht="14" hidden="1">
      <c r="B771" s="1342"/>
      <c r="C771" s="1342"/>
      <c r="D771" s="1342"/>
      <c r="E771" s="1342"/>
      <c r="F771" s="1342"/>
      <c r="G771" s="1342"/>
      <c r="H771" s="1342"/>
      <c r="I771" s="1342"/>
      <c r="J771" s="1342"/>
      <c r="K771" s="1342"/>
    </row>
    <row r="772" spans="2:11" ht="14" hidden="1">
      <c r="B772" s="1342"/>
      <c r="C772" s="1342"/>
      <c r="D772" s="1342"/>
      <c r="E772" s="1342"/>
      <c r="F772" s="1342"/>
      <c r="G772" s="1342"/>
      <c r="H772" s="1342"/>
      <c r="I772" s="1342"/>
      <c r="J772" s="1342"/>
      <c r="K772" s="1342"/>
    </row>
    <row r="773" spans="2:11" ht="14" hidden="1">
      <c r="B773" s="1342"/>
      <c r="C773" s="1342"/>
      <c r="D773" s="1342"/>
      <c r="E773" s="1342"/>
      <c r="F773" s="1342"/>
      <c r="G773" s="1342"/>
      <c r="H773" s="1342"/>
      <c r="I773" s="1342"/>
      <c r="J773" s="1342"/>
      <c r="K773" s="1342"/>
    </row>
    <row r="774" spans="2:11" ht="14" hidden="1">
      <c r="B774" s="1342"/>
      <c r="C774" s="1342"/>
      <c r="D774" s="1342"/>
      <c r="E774" s="1342"/>
      <c r="F774" s="1342"/>
      <c r="G774" s="1342"/>
      <c r="H774" s="1342"/>
      <c r="I774" s="1342"/>
      <c r="J774" s="1342"/>
      <c r="K774" s="1342"/>
    </row>
    <row r="775" spans="2:11" ht="14" hidden="1">
      <c r="B775" s="1342"/>
      <c r="C775" s="1342"/>
      <c r="D775" s="1342"/>
      <c r="E775" s="1342"/>
      <c r="F775" s="1342"/>
      <c r="G775" s="1342"/>
      <c r="H775" s="1342"/>
      <c r="I775" s="1342"/>
      <c r="J775" s="1342"/>
      <c r="K775" s="1342"/>
    </row>
    <row r="776" spans="2:11" ht="14" hidden="1">
      <c r="B776" s="1342"/>
      <c r="C776" s="1342"/>
      <c r="D776" s="1342"/>
      <c r="E776" s="1342"/>
      <c r="F776" s="1342"/>
      <c r="G776" s="1342"/>
      <c r="H776" s="1342"/>
      <c r="I776" s="1342"/>
      <c r="J776" s="1342"/>
      <c r="K776" s="1342"/>
    </row>
    <row r="777" spans="2:11" ht="14" hidden="1">
      <c r="B777" s="1342"/>
      <c r="C777" s="1342"/>
      <c r="D777" s="1342"/>
      <c r="E777" s="1342"/>
      <c r="F777" s="1342"/>
      <c r="G777" s="1342"/>
      <c r="H777" s="1342"/>
      <c r="I777" s="1342"/>
      <c r="J777" s="1342"/>
      <c r="K777" s="1342"/>
    </row>
    <row r="778" spans="2:11" ht="14" hidden="1">
      <c r="B778" s="1342"/>
      <c r="C778" s="1342"/>
      <c r="D778" s="1342"/>
      <c r="E778" s="1342"/>
      <c r="F778" s="1342"/>
      <c r="G778" s="1342"/>
      <c r="H778" s="1342"/>
      <c r="I778" s="1342"/>
      <c r="J778" s="1342"/>
      <c r="K778" s="1342"/>
    </row>
    <row r="779" spans="2:11" ht="14" hidden="1">
      <c r="B779" s="1342"/>
      <c r="C779" s="1342"/>
      <c r="D779" s="1342"/>
      <c r="E779" s="1342"/>
      <c r="F779" s="1342"/>
      <c r="G779" s="1342"/>
      <c r="H779" s="1342"/>
      <c r="I779" s="1342"/>
      <c r="J779" s="1342"/>
      <c r="K779" s="1342"/>
    </row>
    <row r="780" spans="2:11" ht="14" hidden="1">
      <c r="B780" s="1342"/>
      <c r="C780" s="1342"/>
      <c r="D780" s="1342"/>
      <c r="E780" s="1342"/>
      <c r="F780" s="1342"/>
      <c r="G780" s="1342"/>
      <c r="H780" s="1342"/>
      <c r="I780" s="1342"/>
      <c r="J780" s="1342"/>
      <c r="K780" s="1342"/>
    </row>
    <row r="781" spans="2:11" ht="14" hidden="1">
      <c r="B781" s="1342"/>
      <c r="C781" s="1342"/>
      <c r="D781" s="1342"/>
      <c r="E781" s="1342"/>
      <c r="F781" s="1342"/>
      <c r="G781" s="1342"/>
      <c r="H781" s="1342"/>
      <c r="I781" s="1342"/>
      <c r="J781" s="1342"/>
      <c r="K781" s="1342"/>
    </row>
    <row r="782" spans="2:11" ht="14" hidden="1">
      <c r="B782" s="1342"/>
      <c r="C782" s="1342"/>
      <c r="D782" s="1342"/>
      <c r="E782" s="1342"/>
      <c r="F782" s="1342"/>
      <c r="G782" s="1342"/>
      <c r="H782" s="1342"/>
      <c r="I782" s="1342"/>
      <c r="J782" s="1342"/>
      <c r="K782" s="1342"/>
    </row>
    <row r="783" spans="2:11" ht="14" hidden="1">
      <c r="B783" s="1342"/>
      <c r="C783" s="1342"/>
      <c r="D783" s="1342"/>
      <c r="E783" s="1342"/>
      <c r="F783" s="1342"/>
      <c r="G783" s="1342"/>
      <c r="H783" s="1342"/>
      <c r="I783" s="1342"/>
      <c r="J783" s="1342"/>
      <c r="K783" s="1342"/>
    </row>
    <row r="784" spans="2:11" ht="14" hidden="1">
      <c r="B784" s="1342"/>
      <c r="C784" s="1342"/>
      <c r="D784" s="1342"/>
      <c r="E784" s="1342"/>
      <c r="F784" s="1342"/>
      <c r="G784" s="1342"/>
      <c r="H784" s="1342"/>
      <c r="I784" s="1342"/>
      <c r="J784" s="1342"/>
      <c r="K784" s="1342"/>
    </row>
    <row r="785" spans="2:11" ht="14" hidden="1">
      <c r="B785" s="1342"/>
      <c r="C785" s="1342"/>
      <c r="D785" s="1342"/>
      <c r="E785" s="1342"/>
      <c r="F785" s="1342"/>
      <c r="G785" s="1342"/>
      <c r="H785" s="1342"/>
      <c r="I785" s="1342"/>
      <c r="J785" s="1342"/>
      <c r="K785" s="1342"/>
    </row>
    <row r="786" spans="2:11" ht="14" hidden="1">
      <c r="B786" s="1342"/>
      <c r="C786" s="1342"/>
      <c r="D786" s="1342"/>
      <c r="E786" s="1342"/>
      <c r="F786" s="1342"/>
      <c r="G786" s="1342"/>
      <c r="H786" s="1342"/>
      <c r="I786" s="1342"/>
      <c r="J786" s="1342"/>
      <c r="K786" s="1342"/>
    </row>
    <row r="787" spans="2:11" ht="14" hidden="1">
      <c r="B787" s="1342"/>
      <c r="C787" s="1342"/>
      <c r="D787" s="1342"/>
      <c r="E787" s="1342"/>
      <c r="F787" s="1342"/>
      <c r="G787" s="1342"/>
      <c r="H787" s="1342"/>
      <c r="I787" s="1342"/>
      <c r="J787" s="1342"/>
      <c r="K787" s="1342"/>
    </row>
    <row r="788" spans="2:11" ht="14" hidden="1">
      <c r="B788" s="1342"/>
      <c r="C788" s="1342"/>
      <c r="D788" s="1342"/>
      <c r="E788" s="1342"/>
      <c r="F788" s="1342"/>
      <c r="G788" s="1342"/>
      <c r="H788" s="1342"/>
      <c r="I788" s="1342"/>
      <c r="J788" s="1342"/>
      <c r="K788" s="1342"/>
    </row>
    <row r="789" spans="2:11" ht="14" hidden="1">
      <c r="B789" s="1342"/>
      <c r="C789" s="1342"/>
      <c r="D789" s="1342"/>
      <c r="E789" s="1342"/>
      <c r="F789" s="1342"/>
      <c r="G789" s="1342"/>
      <c r="H789" s="1342"/>
      <c r="I789" s="1342"/>
      <c r="J789" s="1342"/>
      <c r="K789" s="1342"/>
    </row>
    <row r="790" spans="2:11" ht="14" hidden="1">
      <c r="B790" s="1342"/>
      <c r="C790" s="1342"/>
      <c r="D790" s="1342"/>
      <c r="E790" s="1342"/>
      <c r="F790" s="1342"/>
      <c r="G790" s="1342"/>
      <c r="H790" s="1342"/>
      <c r="I790" s="1342"/>
      <c r="J790" s="1342"/>
      <c r="K790" s="1342"/>
    </row>
    <row r="791" spans="2:11" ht="14" hidden="1">
      <c r="B791" s="1342"/>
      <c r="C791" s="1342"/>
      <c r="D791" s="1342"/>
      <c r="E791" s="1342"/>
      <c r="F791" s="1342"/>
      <c r="G791" s="1342"/>
      <c r="H791" s="1342"/>
      <c r="I791" s="1342"/>
      <c r="J791" s="1342"/>
      <c r="K791" s="1342"/>
    </row>
    <row r="792" spans="2:11" ht="14" hidden="1">
      <c r="B792" s="1342"/>
      <c r="C792" s="1342"/>
      <c r="D792" s="1342"/>
      <c r="E792" s="1342"/>
      <c r="F792" s="1342"/>
      <c r="G792" s="1342"/>
      <c r="H792" s="1342"/>
      <c r="I792" s="1342"/>
      <c r="J792" s="1342"/>
      <c r="K792" s="1342"/>
    </row>
    <row r="793" spans="2:11" ht="14" hidden="1">
      <c r="B793" s="1342"/>
      <c r="C793" s="1342"/>
      <c r="D793" s="1342"/>
      <c r="E793" s="1342"/>
      <c r="F793" s="1342"/>
      <c r="G793" s="1342"/>
      <c r="H793" s="1342"/>
      <c r="I793" s="1342"/>
      <c r="J793" s="1342"/>
      <c r="K793" s="1342"/>
    </row>
    <row r="794" spans="2:11" ht="14" hidden="1">
      <c r="B794" s="1342"/>
      <c r="C794" s="1342"/>
      <c r="D794" s="1342"/>
      <c r="E794" s="1342"/>
      <c r="F794" s="1342"/>
      <c r="G794" s="1342"/>
      <c r="H794" s="1342"/>
      <c r="I794" s="1342"/>
      <c r="J794" s="1342"/>
      <c r="K794" s="1342"/>
    </row>
    <row r="795" spans="2:11" ht="14" hidden="1">
      <c r="B795" s="1342"/>
      <c r="C795" s="1342"/>
      <c r="D795" s="1342"/>
      <c r="E795" s="1342"/>
      <c r="F795" s="1342"/>
      <c r="G795" s="1342"/>
      <c r="H795" s="1342"/>
      <c r="I795" s="1342"/>
      <c r="J795" s="1342"/>
      <c r="K795" s="1342"/>
    </row>
    <row r="796" spans="2:11" ht="14" hidden="1">
      <c r="B796" s="1342"/>
      <c r="C796" s="1342"/>
      <c r="D796" s="1342"/>
      <c r="E796" s="1342"/>
      <c r="F796" s="1342"/>
      <c r="G796" s="1342"/>
      <c r="H796" s="1342"/>
      <c r="I796" s="1342"/>
      <c r="J796" s="1342"/>
      <c r="K796" s="1342"/>
    </row>
    <row r="797" spans="2:11" ht="14" hidden="1">
      <c r="B797" s="1342"/>
      <c r="C797" s="1342"/>
      <c r="D797" s="1342"/>
      <c r="E797" s="1342"/>
      <c r="F797" s="1342"/>
      <c r="G797" s="1342"/>
      <c r="H797" s="1342"/>
      <c r="I797" s="1342"/>
      <c r="J797" s="1342"/>
      <c r="K797" s="1342"/>
    </row>
    <row r="798" spans="2:11" ht="14" hidden="1">
      <c r="B798" s="1342"/>
      <c r="C798" s="1342"/>
      <c r="D798" s="1342"/>
      <c r="E798" s="1342"/>
      <c r="F798" s="1342"/>
      <c r="G798" s="1342"/>
      <c r="H798" s="1342"/>
      <c r="I798" s="1342"/>
      <c r="J798" s="1342"/>
      <c r="K798" s="1342"/>
    </row>
    <row r="799" spans="2:11" ht="14" hidden="1">
      <c r="B799" s="1342"/>
      <c r="C799" s="1342"/>
      <c r="D799" s="1342"/>
      <c r="E799" s="1342"/>
      <c r="F799" s="1342"/>
      <c r="G799" s="1342"/>
      <c r="H799" s="1342"/>
      <c r="I799" s="1342"/>
      <c r="J799" s="1342"/>
      <c r="K799" s="1342"/>
    </row>
    <row r="800" spans="2:11" ht="14" hidden="1">
      <c r="B800" s="1342"/>
      <c r="C800" s="1342"/>
      <c r="D800" s="1342"/>
      <c r="E800" s="1342"/>
      <c r="F800" s="1342"/>
      <c r="G800" s="1342"/>
      <c r="H800" s="1342"/>
      <c r="I800" s="1342"/>
      <c r="J800" s="1342"/>
      <c r="K800" s="1342"/>
    </row>
    <row r="801" spans="2:11" ht="14" hidden="1">
      <c r="B801" s="1342"/>
      <c r="C801" s="1342"/>
      <c r="D801" s="1342"/>
      <c r="E801" s="1342"/>
      <c r="F801" s="1342"/>
      <c r="G801" s="1342"/>
      <c r="H801" s="1342"/>
      <c r="I801" s="1342"/>
      <c r="J801" s="1342"/>
      <c r="K801" s="1342"/>
    </row>
    <row r="802" spans="2:11" ht="14" hidden="1">
      <c r="B802" s="1342"/>
      <c r="C802" s="1342"/>
      <c r="D802" s="1342"/>
      <c r="E802" s="1342"/>
      <c r="F802" s="1342"/>
      <c r="G802" s="1342"/>
      <c r="H802" s="1342"/>
      <c r="I802" s="1342"/>
      <c r="J802" s="1342"/>
      <c r="K802" s="1342"/>
    </row>
    <row r="803" spans="2:11" ht="14" hidden="1">
      <c r="B803" s="1342"/>
      <c r="C803" s="1342"/>
      <c r="D803" s="1342"/>
      <c r="E803" s="1342"/>
      <c r="F803" s="1342"/>
      <c r="G803" s="1342"/>
      <c r="H803" s="1342"/>
      <c r="I803" s="1342"/>
      <c r="J803" s="1342"/>
      <c r="K803" s="1342"/>
    </row>
    <row r="804" spans="2:11" ht="14" hidden="1">
      <c r="B804" s="1342"/>
      <c r="C804" s="1342"/>
      <c r="D804" s="1342"/>
      <c r="E804" s="1342"/>
      <c r="F804" s="1342"/>
      <c r="G804" s="1342"/>
      <c r="H804" s="1342"/>
      <c r="I804" s="1342"/>
      <c r="J804" s="1342"/>
      <c r="K804" s="1342"/>
    </row>
    <row r="805" spans="2:11" ht="14" hidden="1">
      <c r="B805" s="1342"/>
      <c r="C805" s="1342"/>
      <c r="D805" s="1342"/>
      <c r="E805" s="1342"/>
      <c r="F805" s="1342"/>
      <c r="G805" s="1342"/>
      <c r="H805" s="1342"/>
      <c r="I805" s="1342"/>
      <c r="J805" s="1342"/>
      <c r="K805" s="1342"/>
    </row>
    <row r="806" spans="2:11" ht="14" hidden="1">
      <c r="B806" s="1342"/>
      <c r="C806" s="1342"/>
      <c r="D806" s="1342"/>
      <c r="E806" s="1342"/>
      <c r="F806" s="1342"/>
      <c r="G806" s="1342"/>
      <c r="H806" s="1342"/>
      <c r="I806" s="1342"/>
      <c r="J806" s="1342"/>
      <c r="K806" s="1342"/>
    </row>
    <row r="807" spans="2:11" ht="14" hidden="1">
      <c r="B807" s="1342"/>
      <c r="C807" s="1342"/>
      <c r="D807" s="1342"/>
      <c r="E807" s="1342"/>
      <c r="F807" s="1342"/>
      <c r="G807" s="1342"/>
      <c r="H807" s="1342"/>
      <c r="I807" s="1342"/>
      <c r="J807" s="1342"/>
      <c r="K807" s="1342"/>
    </row>
    <row r="808" spans="2:11" ht="14" hidden="1">
      <c r="B808" s="1342"/>
      <c r="C808" s="1342"/>
      <c r="D808" s="1342"/>
      <c r="E808" s="1342"/>
      <c r="F808" s="1342"/>
      <c r="G808" s="1342"/>
      <c r="H808" s="1342"/>
      <c r="I808" s="1342"/>
      <c r="J808" s="1342"/>
      <c r="K808" s="1342"/>
    </row>
    <row r="809" spans="2:11" ht="14" hidden="1">
      <c r="B809" s="1342"/>
      <c r="C809" s="1342"/>
      <c r="D809" s="1342"/>
      <c r="E809" s="1342"/>
      <c r="F809" s="1342"/>
      <c r="G809" s="1342"/>
      <c r="H809" s="1342"/>
      <c r="I809" s="1342"/>
      <c r="J809" s="1342"/>
      <c r="K809" s="1342"/>
    </row>
    <row r="810" spans="2:11" ht="14" hidden="1">
      <c r="B810" s="1342"/>
      <c r="C810" s="1342"/>
      <c r="D810" s="1342"/>
      <c r="E810" s="1342"/>
      <c r="F810" s="1342"/>
      <c r="G810" s="1342"/>
      <c r="H810" s="1342"/>
      <c r="I810" s="1342"/>
      <c r="J810" s="1342"/>
      <c r="K810" s="1342"/>
    </row>
    <row r="811" spans="2:11" ht="14" hidden="1">
      <c r="B811" s="1342"/>
      <c r="C811" s="1342"/>
      <c r="D811" s="1342"/>
      <c r="E811" s="1342"/>
      <c r="F811" s="1342"/>
      <c r="G811" s="1342"/>
      <c r="H811" s="1342"/>
      <c r="I811" s="1342"/>
      <c r="J811" s="1342"/>
      <c r="K811" s="1342"/>
    </row>
    <row r="812" spans="2:11" ht="14" hidden="1">
      <c r="B812" s="1342"/>
      <c r="C812" s="1342"/>
      <c r="D812" s="1342"/>
      <c r="E812" s="1342"/>
      <c r="F812" s="1342"/>
      <c r="G812" s="1342"/>
      <c r="H812" s="1342"/>
      <c r="I812" s="1342"/>
      <c r="J812" s="1342"/>
      <c r="K812" s="1342"/>
    </row>
    <row r="813" spans="2:11" ht="14" hidden="1">
      <c r="B813" s="1342"/>
      <c r="C813" s="1342"/>
      <c r="D813" s="1342"/>
      <c r="E813" s="1342"/>
      <c r="F813" s="1342"/>
      <c r="G813" s="1342"/>
      <c r="H813" s="1342"/>
      <c r="I813" s="1342"/>
      <c r="J813" s="1342"/>
      <c r="K813" s="1342"/>
    </row>
    <row r="814" spans="2:11" ht="14" hidden="1">
      <c r="B814" s="1342"/>
      <c r="C814" s="1342"/>
      <c r="D814" s="1342"/>
      <c r="E814" s="1342"/>
      <c r="F814" s="1342"/>
      <c r="G814" s="1342"/>
      <c r="H814" s="1342"/>
      <c r="I814" s="1342"/>
      <c r="J814" s="1342"/>
      <c r="K814" s="1342"/>
    </row>
    <row r="815" spans="2:11" ht="14" hidden="1">
      <c r="B815" s="1342"/>
      <c r="C815" s="1342"/>
      <c r="D815" s="1342"/>
      <c r="E815" s="1342"/>
      <c r="F815" s="1342"/>
      <c r="G815" s="1342"/>
      <c r="H815" s="1342"/>
      <c r="I815" s="1342"/>
      <c r="J815" s="1342"/>
      <c r="K815" s="1342"/>
    </row>
    <row r="816" spans="2:11" ht="14" hidden="1">
      <c r="B816" s="1342"/>
      <c r="C816" s="1342"/>
      <c r="D816" s="1342"/>
      <c r="E816" s="1342"/>
      <c r="F816" s="1342"/>
      <c r="G816" s="1342"/>
      <c r="H816" s="1342"/>
      <c r="I816" s="1342"/>
      <c r="J816" s="1342"/>
      <c r="K816" s="1342"/>
    </row>
    <row r="817" spans="2:11" ht="14" hidden="1">
      <c r="B817" s="1342"/>
      <c r="C817" s="1342"/>
      <c r="D817" s="1342"/>
      <c r="E817" s="1342"/>
      <c r="F817" s="1342"/>
      <c r="G817" s="1342"/>
      <c r="H817" s="1342"/>
      <c r="I817" s="1342"/>
      <c r="J817" s="1342"/>
      <c r="K817" s="1342"/>
    </row>
    <row r="818" spans="2:11" ht="14" hidden="1">
      <c r="B818" s="1342"/>
      <c r="C818" s="1342"/>
      <c r="D818" s="1342"/>
      <c r="E818" s="1342"/>
      <c r="F818" s="1342"/>
      <c r="G818" s="1342"/>
      <c r="H818" s="1342"/>
      <c r="I818" s="1342"/>
      <c r="J818" s="1342"/>
      <c r="K818" s="1342"/>
    </row>
    <row r="819" spans="2:11" ht="14" hidden="1">
      <c r="B819" s="1342"/>
      <c r="C819" s="1342"/>
      <c r="D819" s="1342"/>
      <c r="E819" s="1342"/>
      <c r="F819" s="1342"/>
      <c r="G819" s="1342"/>
      <c r="H819" s="1342"/>
      <c r="I819" s="1342"/>
      <c r="J819" s="1342"/>
      <c r="K819" s="1342"/>
    </row>
    <row r="820" spans="2:11" ht="14" hidden="1">
      <c r="B820" s="1342"/>
      <c r="C820" s="1342"/>
      <c r="D820" s="1342"/>
      <c r="E820" s="1342"/>
      <c r="F820" s="1342"/>
      <c r="G820" s="1342"/>
      <c r="H820" s="1342"/>
      <c r="I820" s="1342"/>
      <c r="J820" s="1342"/>
      <c r="K820" s="1342"/>
    </row>
    <row r="821" spans="2:11" ht="14" hidden="1">
      <c r="B821" s="1342"/>
      <c r="C821" s="1342"/>
      <c r="D821" s="1342"/>
      <c r="E821" s="1342"/>
      <c r="F821" s="1342"/>
      <c r="G821" s="1342"/>
      <c r="H821" s="1342"/>
      <c r="I821" s="1342"/>
      <c r="J821" s="1342"/>
      <c r="K821" s="1342"/>
    </row>
    <row r="822" spans="2:11" ht="14" hidden="1">
      <c r="B822" s="1342"/>
      <c r="C822" s="1342"/>
      <c r="D822" s="1342"/>
      <c r="E822" s="1342"/>
      <c r="F822" s="1342"/>
      <c r="G822" s="1342"/>
      <c r="H822" s="1342"/>
      <c r="I822" s="1342"/>
      <c r="J822" s="1342"/>
      <c r="K822" s="1342"/>
    </row>
    <row r="823" spans="2:11" ht="14" hidden="1">
      <c r="B823" s="1342"/>
      <c r="C823" s="1342"/>
      <c r="D823" s="1342"/>
      <c r="E823" s="1342"/>
      <c r="F823" s="1342"/>
      <c r="G823" s="1342"/>
      <c r="H823" s="1342"/>
      <c r="I823" s="1342"/>
      <c r="J823" s="1342"/>
      <c r="K823" s="1342"/>
    </row>
    <row r="824" spans="2:11" ht="14" hidden="1">
      <c r="B824" s="1342"/>
      <c r="C824" s="1342"/>
      <c r="D824" s="1342"/>
      <c r="E824" s="1342"/>
      <c r="F824" s="1342"/>
      <c r="G824" s="1342"/>
      <c r="H824" s="1342"/>
      <c r="I824" s="1342"/>
      <c r="J824" s="1342"/>
      <c r="K824" s="1342"/>
    </row>
    <row r="825" spans="2:11" ht="14" hidden="1">
      <c r="B825" s="1342"/>
      <c r="C825" s="1342"/>
      <c r="D825" s="1342"/>
      <c r="E825" s="1342"/>
      <c r="F825" s="1342"/>
      <c r="G825" s="1342"/>
      <c r="H825" s="1342"/>
      <c r="I825" s="1342"/>
      <c r="J825" s="1342"/>
      <c r="K825" s="1342"/>
    </row>
    <row r="826" spans="2:11" ht="14" hidden="1">
      <c r="B826" s="1342"/>
      <c r="C826" s="1342"/>
      <c r="D826" s="1342"/>
      <c r="E826" s="1342"/>
      <c r="F826" s="1342"/>
      <c r="G826" s="1342"/>
      <c r="H826" s="1342"/>
      <c r="I826" s="1342"/>
      <c r="J826" s="1342"/>
      <c r="K826" s="1342"/>
    </row>
    <row r="827" spans="2:11" ht="14" hidden="1">
      <c r="B827" s="1342"/>
      <c r="C827" s="1342"/>
      <c r="D827" s="1342"/>
      <c r="E827" s="1342"/>
      <c r="F827" s="1342"/>
      <c r="G827" s="1342"/>
      <c r="H827" s="1342"/>
      <c r="I827" s="1342"/>
      <c r="J827" s="1342"/>
      <c r="K827" s="1342"/>
    </row>
    <row r="828" spans="2:11" ht="14" hidden="1">
      <c r="B828" s="1342"/>
      <c r="C828" s="1342"/>
      <c r="D828" s="1342"/>
      <c r="E828" s="1342"/>
      <c r="F828" s="1342"/>
      <c r="G828" s="1342"/>
      <c r="H828" s="1342"/>
      <c r="I828" s="1342"/>
      <c r="J828" s="1342"/>
      <c r="K828" s="1342"/>
    </row>
    <row r="829" spans="2:11" ht="14" hidden="1">
      <c r="B829" s="1342"/>
      <c r="C829" s="1342"/>
      <c r="D829" s="1342"/>
      <c r="E829" s="1342"/>
      <c r="F829" s="1342"/>
      <c r="G829" s="1342"/>
      <c r="H829" s="1342"/>
      <c r="I829" s="1342"/>
      <c r="J829" s="1342"/>
      <c r="K829" s="1342"/>
    </row>
    <row r="830" spans="2:11" ht="14" hidden="1">
      <c r="B830" s="1342"/>
      <c r="C830" s="1342"/>
      <c r="D830" s="1342"/>
      <c r="E830" s="1342"/>
      <c r="F830" s="1342"/>
      <c r="G830" s="1342"/>
      <c r="H830" s="1342"/>
      <c r="I830" s="1342"/>
      <c r="J830" s="1342"/>
      <c r="K830" s="1342"/>
    </row>
    <row r="831" spans="2:11" ht="14" hidden="1">
      <c r="B831" s="1342"/>
      <c r="C831" s="1342"/>
      <c r="D831" s="1342"/>
      <c r="E831" s="1342"/>
      <c r="F831" s="1342"/>
      <c r="G831" s="1342"/>
      <c r="H831" s="1342"/>
      <c r="I831" s="1342"/>
      <c r="J831" s="1342"/>
      <c r="K831" s="1342"/>
    </row>
    <row r="832" spans="2:11" ht="14" hidden="1">
      <c r="B832" s="1342"/>
      <c r="C832" s="1342"/>
      <c r="D832" s="1342"/>
      <c r="E832" s="1342"/>
      <c r="F832" s="1342"/>
      <c r="G832" s="1342"/>
      <c r="H832" s="1342"/>
      <c r="I832" s="1342"/>
      <c r="J832" s="1342"/>
      <c r="K832" s="1342"/>
    </row>
    <row r="833" spans="2:11" ht="14" hidden="1">
      <c r="B833" s="1342"/>
      <c r="C833" s="1342"/>
      <c r="D833" s="1342"/>
      <c r="E833" s="1342"/>
      <c r="F833" s="1342"/>
      <c r="G833" s="1342"/>
      <c r="H833" s="1342"/>
      <c r="I833" s="1342"/>
      <c r="J833" s="1342"/>
      <c r="K833" s="1342"/>
    </row>
    <row r="834" spans="2:11" ht="14" hidden="1">
      <c r="B834" s="1342"/>
      <c r="C834" s="1342"/>
      <c r="D834" s="1342"/>
      <c r="E834" s="1342"/>
      <c r="F834" s="1342"/>
      <c r="G834" s="1342"/>
      <c r="H834" s="1342"/>
      <c r="I834" s="1342"/>
      <c r="J834" s="1342"/>
      <c r="K834" s="1342"/>
    </row>
    <row r="835" spans="2:11" ht="14" hidden="1">
      <c r="B835" s="1342"/>
      <c r="C835" s="1342"/>
      <c r="D835" s="1342"/>
      <c r="E835" s="1342"/>
      <c r="F835" s="1342"/>
      <c r="G835" s="1342"/>
      <c r="H835" s="1342"/>
      <c r="I835" s="1342"/>
      <c r="J835" s="1342"/>
      <c r="K835" s="1342"/>
    </row>
    <row r="836" spans="2:11" ht="14" hidden="1">
      <c r="B836" s="1342"/>
      <c r="C836" s="1342"/>
      <c r="D836" s="1342"/>
      <c r="E836" s="1342"/>
      <c r="F836" s="1342"/>
      <c r="G836" s="1342"/>
      <c r="H836" s="1342"/>
      <c r="I836" s="1342"/>
      <c r="J836" s="1342"/>
      <c r="K836" s="1342"/>
    </row>
    <row r="837" spans="2:11" ht="14" hidden="1">
      <c r="B837" s="1342"/>
      <c r="C837" s="1342"/>
      <c r="D837" s="1342"/>
      <c r="E837" s="1342"/>
      <c r="F837" s="1342"/>
      <c r="G837" s="1342"/>
      <c r="H837" s="1342"/>
      <c r="I837" s="1342"/>
      <c r="J837" s="1342"/>
      <c r="K837" s="1342"/>
    </row>
    <row r="838" spans="2:11" ht="14" hidden="1">
      <c r="B838" s="1342"/>
      <c r="C838" s="1342"/>
      <c r="D838" s="1342"/>
      <c r="E838" s="1342"/>
      <c r="F838" s="1342"/>
      <c r="G838" s="1342"/>
      <c r="H838" s="1342"/>
      <c r="I838" s="1342"/>
      <c r="J838" s="1342"/>
      <c r="K838" s="1342"/>
    </row>
    <row r="839" spans="2:11" ht="14" hidden="1">
      <c r="B839" s="1342"/>
      <c r="C839" s="1342"/>
      <c r="D839" s="1342"/>
      <c r="E839" s="1342"/>
      <c r="F839" s="1342"/>
      <c r="G839" s="1342"/>
      <c r="H839" s="1342"/>
      <c r="I839" s="1342"/>
      <c r="J839" s="1342"/>
      <c r="K839" s="1342"/>
    </row>
    <row r="840" spans="2:11" ht="14" hidden="1">
      <c r="B840" s="1342"/>
      <c r="C840" s="1342"/>
      <c r="D840" s="1342"/>
      <c r="E840" s="1342"/>
      <c r="F840" s="1342"/>
      <c r="G840" s="1342"/>
      <c r="H840" s="1342"/>
      <c r="I840" s="1342"/>
      <c r="J840" s="1342"/>
      <c r="K840" s="1342"/>
    </row>
    <row r="841" spans="2:11" ht="14" hidden="1">
      <c r="B841" s="1342"/>
      <c r="C841" s="1342"/>
      <c r="D841" s="1342"/>
      <c r="E841" s="1342"/>
      <c r="F841" s="1342"/>
      <c r="G841" s="1342"/>
      <c r="H841" s="1342"/>
      <c r="I841" s="1342"/>
      <c r="J841" s="1342"/>
      <c r="K841" s="1342"/>
    </row>
    <row r="842" spans="2:11" ht="14" hidden="1">
      <c r="B842" s="1342"/>
      <c r="C842" s="1342"/>
      <c r="D842" s="1342"/>
      <c r="E842" s="1342"/>
      <c r="F842" s="1342"/>
      <c r="G842" s="1342"/>
      <c r="H842" s="1342"/>
      <c r="I842" s="1342"/>
      <c r="J842" s="1342"/>
      <c r="K842" s="1342"/>
    </row>
    <row r="843" spans="2:11" ht="14" hidden="1">
      <c r="B843" s="1342"/>
      <c r="C843" s="1342"/>
      <c r="D843" s="1342"/>
      <c r="E843" s="1342"/>
      <c r="F843" s="1342"/>
      <c r="G843" s="1342"/>
      <c r="H843" s="1342"/>
      <c r="I843" s="1342"/>
      <c r="J843" s="1342"/>
      <c r="K843" s="1342"/>
    </row>
    <row r="844" spans="2:11" ht="14" hidden="1">
      <c r="B844" s="1342"/>
      <c r="C844" s="1342"/>
      <c r="D844" s="1342"/>
      <c r="E844" s="1342"/>
      <c r="F844" s="1342"/>
      <c r="G844" s="1342"/>
      <c r="H844" s="1342"/>
      <c r="I844" s="1342"/>
      <c r="J844" s="1342"/>
      <c r="K844" s="1342"/>
    </row>
    <row r="845" spans="2:11" ht="14" hidden="1">
      <c r="B845" s="1342"/>
      <c r="C845" s="1342"/>
      <c r="D845" s="1342"/>
      <c r="E845" s="1342"/>
      <c r="F845" s="1342"/>
      <c r="G845" s="1342"/>
      <c r="H845" s="1342"/>
      <c r="I845" s="1342"/>
      <c r="J845" s="1342"/>
      <c r="K845" s="1342"/>
    </row>
    <row r="846" spans="2:11" ht="14" hidden="1">
      <c r="B846" s="1342"/>
      <c r="C846" s="1342"/>
      <c r="D846" s="1342"/>
      <c r="E846" s="1342"/>
      <c r="F846" s="1342"/>
      <c r="G846" s="1342"/>
      <c r="H846" s="1342"/>
      <c r="I846" s="1342"/>
      <c r="J846" s="1342"/>
      <c r="K846" s="1342"/>
    </row>
    <row r="847" spans="2:11" ht="14" hidden="1">
      <c r="B847" s="1342"/>
      <c r="C847" s="1342"/>
      <c r="D847" s="1342"/>
      <c r="E847" s="1342"/>
      <c r="F847" s="1342"/>
      <c r="G847" s="1342"/>
      <c r="H847" s="1342"/>
      <c r="I847" s="1342"/>
      <c r="J847" s="1342"/>
      <c r="K847" s="1342"/>
    </row>
    <row r="848" spans="2:11" ht="14" hidden="1">
      <c r="B848" s="1342"/>
      <c r="C848" s="1342"/>
      <c r="D848" s="1342"/>
      <c r="E848" s="1342"/>
      <c r="F848" s="1342"/>
      <c r="G848" s="1342"/>
      <c r="H848" s="1342"/>
      <c r="I848" s="1342"/>
      <c r="J848" s="1342"/>
      <c r="K848" s="1342"/>
    </row>
    <row r="849" spans="2:11" ht="14" hidden="1">
      <c r="B849" s="1342"/>
      <c r="C849" s="1342"/>
      <c r="D849" s="1342"/>
      <c r="E849" s="1342"/>
      <c r="F849" s="1342"/>
      <c r="G849" s="1342"/>
      <c r="H849" s="1342"/>
      <c r="I849" s="1342"/>
      <c r="J849" s="1342"/>
      <c r="K849" s="1342"/>
    </row>
    <row r="850" spans="2:11" ht="14" hidden="1">
      <c r="B850" s="1342"/>
      <c r="C850" s="1342"/>
      <c r="D850" s="1342"/>
      <c r="E850" s="1342"/>
      <c r="F850" s="1342"/>
      <c r="G850" s="1342"/>
      <c r="H850" s="1342"/>
      <c r="I850" s="1342"/>
      <c r="J850" s="1342"/>
      <c r="K850" s="1342"/>
    </row>
    <row r="851" spans="2:11" ht="14" hidden="1">
      <c r="B851" s="1342"/>
      <c r="C851" s="1342"/>
      <c r="D851" s="1342"/>
      <c r="E851" s="1342"/>
      <c r="F851" s="1342"/>
      <c r="G851" s="1342"/>
      <c r="H851" s="1342"/>
      <c r="I851" s="1342"/>
      <c r="J851" s="1342"/>
      <c r="K851" s="1342"/>
    </row>
    <row r="852" spans="2:11" ht="14" hidden="1">
      <c r="B852" s="1342"/>
      <c r="C852" s="1342"/>
      <c r="D852" s="1342"/>
      <c r="E852" s="1342"/>
      <c r="F852" s="1342"/>
      <c r="G852" s="1342"/>
      <c r="H852" s="1342"/>
      <c r="I852" s="1342"/>
      <c r="J852" s="1342"/>
      <c r="K852" s="1342"/>
    </row>
    <row r="853" spans="2:11" ht="14" hidden="1">
      <c r="B853" s="1342"/>
      <c r="C853" s="1342"/>
      <c r="D853" s="1342"/>
      <c r="E853" s="1342"/>
      <c r="F853" s="1342"/>
      <c r="G853" s="1342"/>
      <c r="H853" s="1342"/>
      <c r="I853" s="1342"/>
      <c r="J853" s="1342"/>
      <c r="K853" s="1342"/>
    </row>
    <row r="854" spans="2:11" ht="14" hidden="1">
      <c r="B854" s="1342"/>
      <c r="C854" s="1342"/>
      <c r="D854" s="1342"/>
      <c r="E854" s="1342"/>
      <c r="F854" s="1342"/>
      <c r="G854" s="1342"/>
      <c r="H854" s="1342"/>
      <c r="I854" s="1342"/>
      <c r="J854" s="1342"/>
      <c r="K854" s="1342"/>
    </row>
    <row r="855" spans="2:11" ht="14" hidden="1">
      <c r="B855" s="1342"/>
      <c r="C855" s="1342"/>
      <c r="D855" s="1342"/>
      <c r="E855" s="1342"/>
      <c r="F855" s="1342"/>
      <c r="G855" s="1342"/>
      <c r="H855" s="1342"/>
      <c r="I855" s="1342"/>
      <c r="J855" s="1342"/>
      <c r="K855" s="1342"/>
    </row>
    <row r="856" spans="2:11" ht="14" hidden="1">
      <c r="B856" s="1342"/>
      <c r="C856" s="1342"/>
      <c r="D856" s="1342"/>
      <c r="E856" s="1342"/>
      <c r="F856" s="1342"/>
      <c r="G856" s="1342"/>
      <c r="H856" s="1342"/>
      <c r="I856" s="1342"/>
      <c r="J856" s="1342"/>
      <c r="K856" s="1342"/>
    </row>
    <row r="857" spans="2:11" ht="14" hidden="1">
      <c r="B857" s="1342"/>
      <c r="C857" s="1342"/>
      <c r="D857" s="1342"/>
      <c r="E857" s="1342"/>
      <c r="F857" s="1342"/>
      <c r="G857" s="1342"/>
      <c r="H857" s="1342"/>
      <c r="I857" s="1342"/>
      <c r="J857" s="1342"/>
      <c r="K857" s="1342"/>
    </row>
    <row r="858" spans="2:11" ht="14" hidden="1">
      <c r="B858" s="1342"/>
      <c r="C858" s="1342"/>
      <c r="D858" s="1342"/>
      <c r="E858" s="1342"/>
      <c r="F858" s="1342"/>
      <c r="G858" s="1342"/>
      <c r="H858" s="1342"/>
      <c r="I858" s="1342"/>
      <c r="J858" s="1342"/>
      <c r="K858" s="1342"/>
    </row>
    <row r="859" spans="2:11" ht="14" hidden="1">
      <c r="B859" s="1342"/>
      <c r="C859" s="1342"/>
      <c r="D859" s="1342"/>
      <c r="E859" s="1342"/>
      <c r="F859" s="1342"/>
      <c r="G859" s="1342"/>
      <c r="H859" s="1342"/>
      <c r="I859" s="1342"/>
      <c r="J859" s="1342"/>
      <c r="K859" s="1342"/>
    </row>
    <row r="860" spans="2:11" ht="14" hidden="1">
      <c r="B860" s="1342"/>
      <c r="C860" s="1342"/>
      <c r="D860" s="1342"/>
      <c r="E860" s="1342"/>
      <c r="F860" s="1342"/>
      <c r="G860" s="1342"/>
      <c r="H860" s="1342"/>
      <c r="I860" s="1342"/>
      <c r="J860" s="1342"/>
      <c r="K860" s="1342"/>
    </row>
    <row r="861" spans="2:11" ht="14" hidden="1">
      <c r="B861" s="1342"/>
      <c r="C861" s="1342"/>
      <c r="D861" s="1342"/>
      <c r="E861" s="1342"/>
      <c r="F861" s="1342"/>
      <c r="G861" s="1342"/>
      <c r="H861" s="1342"/>
      <c r="I861" s="1342"/>
      <c r="J861" s="1342"/>
      <c r="K861" s="1342"/>
    </row>
    <row r="862" spans="2:11" ht="14" hidden="1">
      <c r="B862" s="1342"/>
      <c r="C862" s="1342"/>
      <c r="D862" s="1342"/>
      <c r="E862" s="1342"/>
      <c r="F862" s="1342"/>
      <c r="G862" s="1342"/>
      <c r="H862" s="1342"/>
      <c r="I862" s="1342"/>
      <c r="J862" s="1342"/>
      <c r="K862" s="1342"/>
    </row>
    <row r="863" spans="2:11" ht="14" hidden="1">
      <c r="B863" s="1342"/>
      <c r="C863" s="1342"/>
      <c r="D863" s="1342"/>
      <c r="E863" s="1342"/>
      <c r="F863" s="1342"/>
      <c r="G863" s="1342"/>
      <c r="H863" s="1342"/>
      <c r="I863" s="1342"/>
      <c r="J863" s="1342"/>
      <c r="K863" s="1342"/>
    </row>
    <row r="864" spans="2:11" ht="14" hidden="1">
      <c r="B864" s="1342"/>
      <c r="C864" s="1342"/>
      <c r="D864" s="1342"/>
      <c r="E864" s="1342"/>
      <c r="F864" s="1342"/>
      <c r="G864" s="1342"/>
      <c r="H864" s="1342"/>
      <c r="I864" s="1342"/>
      <c r="J864" s="1342"/>
      <c r="K864" s="1342"/>
    </row>
    <row r="865" spans="2:11" ht="14" hidden="1">
      <c r="B865" s="1342"/>
      <c r="C865" s="1342"/>
      <c r="D865" s="1342"/>
      <c r="E865" s="1342"/>
      <c r="F865" s="1342"/>
      <c r="G865" s="1342"/>
      <c r="H865" s="1342"/>
      <c r="I865" s="1342"/>
      <c r="J865" s="1342"/>
      <c r="K865" s="1342"/>
    </row>
    <row r="866" spans="2:11" ht="14" hidden="1">
      <c r="B866" s="1342"/>
      <c r="C866" s="1342"/>
      <c r="D866" s="1342"/>
      <c r="E866" s="1342"/>
      <c r="F866" s="1342"/>
      <c r="G866" s="1342"/>
      <c r="H866" s="1342"/>
      <c r="I866" s="1342"/>
      <c r="J866" s="1342"/>
      <c r="K866" s="1342"/>
    </row>
    <row r="867" spans="2:11" ht="14" hidden="1">
      <c r="B867" s="1342"/>
      <c r="C867" s="1342"/>
      <c r="D867" s="1342"/>
      <c r="E867" s="1342"/>
      <c r="F867" s="1342"/>
      <c r="G867" s="1342"/>
      <c r="H867" s="1342"/>
      <c r="I867" s="1342"/>
      <c r="J867" s="1342"/>
      <c r="K867" s="1342"/>
    </row>
    <row r="868" spans="2:11" ht="14" hidden="1">
      <c r="B868" s="1342"/>
      <c r="C868" s="1342"/>
      <c r="D868" s="1342"/>
      <c r="E868" s="1342"/>
      <c r="F868" s="1342"/>
      <c r="G868" s="1342"/>
      <c r="H868" s="1342"/>
      <c r="I868" s="1342"/>
      <c r="J868" s="1342"/>
      <c r="K868" s="1342"/>
    </row>
    <row r="869" spans="2:11" ht="14" hidden="1">
      <c r="B869" s="1342"/>
      <c r="C869" s="1342"/>
      <c r="D869" s="1342"/>
      <c r="E869" s="1342"/>
      <c r="F869" s="1342"/>
      <c r="G869" s="1342"/>
      <c r="H869" s="1342"/>
      <c r="I869" s="1342"/>
      <c r="J869" s="1342"/>
      <c r="K869" s="1342"/>
    </row>
    <row r="870" spans="2:11" ht="14" hidden="1">
      <c r="B870" s="1342"/>
      <c r="C870" s="1342"/>
      <c r="D870" s="1342"/>
      <c r="E870" s="1342"/>
      <c r="F870" s="1342"/>
      <c r="G870" s="1342"/>
      <c r="H870" s="1342"/>
      <c r="I870" s="1342"/>
      <c r="J870" s="1342"/>
      <c r="K870" s="1342"/>
    </row>
    <row r="871" spans="2:11" ht="14" hidden="1">
      <c r="B871" s="1342"/>
      <c r="C871" s="1342"/>
      <c r="D871" s="1342"/>
      <c r="E871" s="1342"/>
      <c r="F871" s="1342"/>
      <c r="G871" s="1342"/>
      <c r="H871" s="1342"/>
      <c r="I871" s="1342"/>
      <c r="J871" s="1342"/>
      <c r="K871" s="1342"/>
    </row>
    <row r="872" spans="2:11" ht="14" hidden="1">
      <c r="B872" s="1342"/>
      <c r="C872" s="1342"/>
      <c r="D872" s="1342"/>
      <c r="E872" s="1342"/>
      <c r="F872" s="1342"/>
      <c r="G872" s="1342"/>
      <c r="H872" s="1342"/>
      <c r="I872" s="1342"/>
      <c r="J872" s="1342"/>
      <c r="K872" s="1342"/>
    </row>
    <row r="873" spans="2:11" ht="14" hidden="1">
      <c r="B873" s="1342"/>
      <c r="C873" s="1342"/>
      <c r="D873" s="1342"/>
      <c r="E873" s="1342"/>
      <c r="F873" s="1342"/>
      <c r="G873" s="1342"/>
      <c r="H873" s="1342"/>
      <c r="I873" s="1342"/>
      <c r="J873" s="1342"/>
      <c r="K873" s="1342"/>
    </row>
    <row r="874" spans="2:11" ht="14" hidden="1">
      <c r="B874" s="1342"/>
      <c r="C874" s="1342"/>
      <c r="D874" s="1342"/>
      <c r="E874" s="1342"/>
      <c r="F874" s="1342"/>
      <c r="G874" s="1342"/>
      <c r="H874" s="1342"/>
      <c r="I874" s="1342"/>
      <c r="J874" s="1342"/>
      <c r="K874" s="1342"/>
    </row>
    <row r="875" spans="2:11" ht="14" hidden="1">
      <c r="B875" s="1342"/>
      <c r="C875" s="1342"/>
      <c r="D875" s="1342"/>
      <c r="E875" s="1342"/>
      <c r="F875" s="1342"/>
      <c r="G875" s="1342"/>
      <c r="H875" s="1342"/>
      <c r="I875" s="1342"/>
      <c r="J875" s="1342"/>
      <c r="K875" s="1342"/>
    </row>
    <row r="876" spans="2:11" ht="14" hidden="1">
      <c r="B876" s="1342"/>
      <c r="C876" s="1342"/>
      <c r="D876" s="1342"/>
      <c r="E876" s="1342"/>
      <c r="F876" s="1342"/>
      <c r="G876" s="1342"/>
      <c r="H876" s="1342"/>
      <c r="I876" s="1342"/>
      <c r="J876" s="1342"/>
      <c r="K876" s="1342"/>
    </row>
    <row r="877" spans="2:11" ht="14" hidden="1">
      <c r="B877" s="1342"/>
      <c r="C877" s="1342"/>
      <c r="D877" s="1342"/>
      <c r="E877" s="1342"/>
      <c r="F877" s="1342"/>
      <c r="G877" s="1342"/>
      <c r="H877" s="1342"/>
      <c r="I877" s="1342"/>
      <c r="J877" s="1342"/>
      <c r="K877" s="1342"/>
    </row>
    <row r="878" spans="2:11" ht="14" hidden="1">
      <c r="B878" s="1342"/>
      <c r="C878" s="1342"/>
      <c r="D878" s="1342"/>
      <c r="E878" s="1342"/>
      <c r="F878" s="1342"/>
      <c r="G878" s="1342"/>
      <c r="H878" s="1342"/>
      <c r="I878" s="1342"/>
      <c r="J878" s="1342"/>
      <c r="K878" s="1342"/>
    </row>
    <row r="879" spans="2:11" ht="14" hidden="1">
      <c r="B879" s="1342"/>
      <c r="C879" s="1342"/>
      <c r="D879" s="1342"/>
      <c r="E879" s="1342"/>
      <c r="F879" s="1342"/>
      <c r="G879" s="1342"/>
      <c r="H879" s="1342"/>
      <c r="I879" s="1342"/>
      <c r="J879" s="1342"/>
      <c r="K879" s="1342"/>
    </row>
    <row r="880" spans="2:11" ht="14" hidden="1">
      <c r="B880" s="1342"/>
      <c r="C880" s="1342"/>
      <c r="D880" s="1342"/>
      <c r="E880" s="1342"/>
      <c r="F880" s="1342"/>
      <c r="G880" s="1342"/>
      <c r="H880" s="1342"/>
      <c r="I880" s="1342"/>
      <c r="J880" s="1342"/>
      <c r="K880" s="1342"/>
    </row>
    <row r="881" spans="2:11" ht="14" hidden="1">
      <c r="B881" s="1342"/>
      <c r="C881" s="1342"/>
      <c r="D881" s="1342"/>
      <c r="E881" s="1342"/>
      <c r="F881" s="1342"/>
      <c r="G881" s="1342"/>
      <c r="H881" s="1342"/>
      <c r="I881" s="1342"/>
      <c r="J881" s="1342"/>
      <c r="K881" s="1342"/>
    </row>
    <row r="882" spans="2:11" ht="14" hidden="1">
      <c r="B882" s="1342"/>
      <c r="C882" s="1342"/>
      <c r="D882" s="1342"/>
      <c r="E882" s="1342"/>
      <c r="F882" s="1342"/>
      <c r="G882" s="1342"/>
      <c r="H882" s="1342"/>
      <c r="I882" s="1342"/>
      <c r="J882" s="1342"/>
      <c r="K882" s="1342"/>
    </row>
    <row r="883" spans="2:11" ht="14" hidden="1">
      <c r="B883" s="1342"/>
      <c r="C883" s="1342"/>
      <c r="D883" s="1342"/>
      <c r="E883" s="1342"/>
      <c r="F883" s="1342"/>
      <c r="G883" s="1342"/>
      <c r="H883" s="1342"/>
      <c r="I883" s="1342"/>
      <c r="J883" s="1342"/>
      <c r="K883" s="1342"/>
    </row>
    <row r="884" spans="2:11" ht="14" hidden="1">
      <c r="B884" s="1342"/>
      <c r="C884" s="1342"/>
      <c r="D884" s="1342"/>
      <c r="E884" s="1342"/>
      <c r="F884" s="1342"/>
      <c r="G884" s="1342"/>
      <c r="H884" s="1342"/>
      <c r="I884" s="1342"/>
      <c r="J884" s="1342"/>
      <c r="K884" s="1342"/>
    </row>
    <row r="885" spans="2:11" ht="14" hidden="1">
      <c r="B885" s="1342"/>
      <c r="C885" s="1342"/>
      <c r="D885" s="1342"/>
      <c r="E885" s="1342"/>
      <c r="F885" s="1342"/>
      <c r="G885" s="1342"/>
      <c r="H885" s="1342"/>
      <c r="I885" s="1342"/>
      <c r="J885" s="1342"/>
      <c r="K885" s="1342"/>
    </row>
    <row r="886" spans="2:11" ht="14" hidden="1">
      <c r="B886" s="1342"/>
      <c r="C886" s="1342"/>
      <c r="D886" s="1342"/>
      <c r="E886" s="1342"/>
      <c r="F886" s="1342"/>
      <c r="G886" s="1342"/>
      <c r="H886" s="1342"/>
      <c r="I886" s="1342"/>
      <c r="J886" s="1342"/>
      <c r="K886" s="1342"/>
    </row>
    <row r="887" spans="2:11" ht="14" hidden="1">
      <c r="B887" s="1342"/>
      <c r="C887" s="1342"/>
      <c r="D887" s="1342"/>
      <c r="E887" s="1342"/>
      <c r="F887" s="1342"/>
      <c r="G887" s="1342"/>
      <c r="H887" s="1342"/>
      <c r="I887" s="1342"/>
      <c r="J887" s="1342"/>
      <c r="K887" s="1342"/>
    </row>
    <row r="888" spans="2:11" ht="14" hidden="1">
      <c r="B888" s="1342"/>
      <c r="C888" s="1342"/>
      <c r="D888" s="1342"/>
      <c r="E888" s="1342"/>
      <c r="F888" s="1342"/>
      <c r="G888" s="1342"/>
      <c r="H888" s="1342"/>
      <c r="I888" s="1342"/>
      <c r="J888" s="1342"/>
      <c r="K888" s="1342"/>
    </row>
    <row r="889" spans="2:11" ht="14" hidden="1">
      <c r="B889" s="1342"/>
      <c r="C889" s="1342"/>
      <c r="D889" s="1342"/>
      <c r="E889" s="1342"/>
      <c r="F889" s="1342"/>
      <c r="G889" s="1342"/>
      <c r="H889" s="1342"/>
      <c r="I889" s="1342"/>
      <c r="J889" s="1342"/>
      <c r="K889" s="1342"/>
    </row>
    <row r="890" spans="2:11" ht="14" hidden="1">
      <c r="B890" s="1342"/>
      <c r="C890" s="1342"/>
      <c r="D890" s="1342"/>
      <c r="E890" s="1342"/>
      <c r="F890" s="1342"/>
      <c r="G890" s="1342"/>
      <c r="H890" s="1342"/>
      <c r="I890" s="1342"/>
      <c r="J890" s="1342"/>
      <c r="K890" s="1342"/>
    </row>
    <row r="891" spans="2:11" ht="14" hidden="1">
      <c r="B891" s="1342"/>
      <c r="C891" s="1342"/>
      <c r="D891" s="1342"/>
      <c r="E891" s="1342"/>
      <c r="F891" s="1342"/>
      <c r="G891" s="1342"/>
      <c r="H891" s="1342"/>
      <c r="I891" s="1342"/>
      <c r="J891" s="1342"/>
      <c r="K891" s="1342"/>
    </row>
    <row r="892" spans="2:11" ht="14" hidden="1">
      <c r="B892" s="1342"/>
      <c r="C892" s="1342"/>
      <c r="D892" s="1342"/>
      <c r="E892" s="1342"/>
      <c r="F892" s="1342"/>
      <c r="G892" s="1342"/>
      <c r="H892" s="1342"/>
      <c r="I892" s="1342"/>
      <c r="J892" s="1342"/>
      <c r="K892" s="1342"/>
    </row>
    <row r="893" spans="2:11" ht="14" hidden="1">
      <c r="B893" s="1342"/>
      <c r="C893" s="1342"/>
      <c r="D893" s="1342"/>
      <c r="E893" s="1342"/>
      <c r="F893" s="1342"/>
      <c r="G893" s="1342"/>
      <c r="H893" s="1342"/>
      <c r="I893" s="1342"/>
      <c r="J893" s="1342"/>
      <c r="K893" s="1342"/>
    </row>
    <row r="894" spans="2:11" ht="14" hidden="1">
      <c r="B894" s="1342"/>
      <c r="C894" s="1342"/>
      <c r="D894" s="1342"/>
      <c r="E894" s="1342"/>
      <c r="F894" s="1342"/>
      <c r="G894" s="1342"/>
      <c r="H894" s="1342"/>
      <c r="I894" s="1342"/>
      <c r="J894" s="1342"/>
      <c r="K894" s="1342"/>
    </row>
    <row r="895" spans="2:11" ht="14" hidden="1">
      <c r="B895" s="1342"/>
      <c r="C895" s="1342"/>
      <c r="D895" s="1342"/>
      <c r="E895" s="1342"/>
      <c r="F895" s="1342"/>
      <c r="G895" s="1342"/>
      <c r="H895" s="1342"/>
      <c r="I895" s="1342"/>
      <c r="J895" s="1342"/>
      <c r="K895" s="1342"/>
    </row>
    <row r="896" spans="2:11" ht="14" hidden="1">
      <c r="B896" s="1342"/>
      <c r="C896" s="1342"/>
      <c r="D896" s="1342"/>
      <c r="E896" s="1342"/>
      <c r="F896" s="1342"/>
      <c r="G896" s="1342"/>
      <c r="H896" s="1342"/>
      <c r="I896" s="1342"/>
      <c r="J896" s="1342"/>
      <c r="K896" s="1342"/>
    </row>
    <row r="897" spans="2:11" ht="14" hidden="1">
      <c r="B897" s="1342"/>
      <c r="C897" s="1342"/>
      <c r="D897" s="1342"/>
      <c r="E897" s="1342"/>
      <c r="F897" s="1342"/>
      <c r="G897" s="1342"/>
      <c r="H897" s="1342"/>
      <c r="I897" s="1342"/>
      <c r="J897" s="1342"/>
      <c r="K897" s="1342"/>
    </row>
    <row r="898" spans="2:11" ht="14" hidden="1">
      <c r="B898" s="1342"/>
      <c r="C898" s="1342"/>
      <c r="D898" s="1342"/>
      <c r="E898" s="1342"/>
      <c r="F898" s="1342"/>
      <c r="G898" s="1342"/>
      <c r="H898" s="1342"/>
      <c r="I898" s="1342"/>
      <c r="J898" s="1342"/>
      <c r="K898" s="1342"/>
    </row>
    <row r="899" spans="2:11" ht="14" hidden="1">
      <c r="B899" s="1342"/>
      <c r="C899" s="1342"/>
      <c r="D899" s="1342"/>
      <c r="E899" s="1342"/>
      <c r="F899" s="1342"/>
      <c r="G899" s="1342"/>
      <c r="H899" s="1342"/>
      <c r="I899" s="1342"/>
      <c r="J899" s="1342"/>
      <c r="K899" s="1342"/>
    </row>
    <row r="900" spans="2:11" ht="14" hidden="1">
      <c r="B900" s="1342"/>
      <c r="C900" s="1342"/>
      <c r="D900" s="1342"/>
      <c r="E900" s="1342"/>
      <c r="F900" s="1342"/>
      <c r="G900" s="1342"/>
      <c r="H900" s="1342"/>
      <c r="I900" s="1342"/>
      <c r="J900" s="1342"/>
      <c r="K900" s="1342"/>
    </row>
    <row r="901" spans="2:11" ht="14" hidden="1">
      <c r="B901" s="1342"/>
      <c r="C901" s="1342"/>
      <c r="D901" s="1342"/>
      <c r="E901" s="1342"/>
      <c r="F901" s="1342"/>
      <c r="G901" s="1342"/>
      <c r="H901" s="1342"/>
      <c r="I901" s="1342"/>
      <c r="J901" s="1342"/>
      <c r="K901" s="1342"/>
    </row>
    <row r="902" spans="2:11" ht="14" hidden="1">
      <c r="B902" s="1342"/>
      <c r="C902" s="1342"/>
      <c r="D902" s="1342"/>
      <c r="E902" s="1342"/>
      <c r="F902" s="1342"/>
      <c r="G902" s="1342"/>
      <c r="H902" s="1342"/>
      <c r="I902" s="1342"/>
      <c r="J902" s="1342"/>
      <c r="K902" s="1342"/>
    </row>
    <row r="903" spans="2:11" ht="14" hidden="1">
      <c r="B903" s="1342"/>
      <c r="C903" s="1342"/>
      <c r="D903" s="1342"/>
      <c r="E903" s="1342"/>
      <c r="F903" s="1342"/>
      <c r="G903" s="1342"/>
      <c r="H903" s="1342"/>
      <c r="I903" s="1342"/>
      <c r="J903" s="1342"/>
      <c r="K903" s="1342"/>
    </row>
    <row r="904" spans="2:11" ht="14" hidden="1">
      <c r="B904" s="1342"/>
      <c r="C904" s="1342"/>
      <c r="D904" s="1342"/>
      <c r="E904" s="1342"/>
      <c r="F904" s="1342"/>
      <c r="G904" s="1342"/>
      <c r="H904" s="1342"/>
      <c r="I904" s="1342"/>
      <c r="J904" s="1342"/>
      <c r="K904" s="1342"/>
    </row>
    <row r="905" spans="2:11" ht="14" hidden="1">
      <c r="B905" s="1342"/>
      <c r="C905" s="1342"/>
      <c r="D905" s="1342"/>
      <c r="E905" s="1342"/>
      <c r="F905" s="1342"/>
      <c r="G905" s="1342"/>
      <c r="H905" s="1342"/>
      <c r="I905" s="1342"/>
      <c r="J905" s="1342"/>
      <c r="K905" s="1342"/>
    </row>
    <row r="906" spans="2:11" ht="14" hidden="1">
      <c r="B906" s="1342"/>
      <c r="C906" s="1342"/>
      <c r="D906" s="1342"/>
      <c r="E906" s="1342"/>
      <c r="F906" s="1342"/>
      <c r="G906" s="1342"/>
      <c r="H906" s="1342"/>
      <c r="I906" s="1342"/>
      <c r="J906" s="1342"/>
      <c r="K906" s="1342"/>
    </row>
    <row r="907" spans="2:11" ht="14" hidden="1">
      <c r="B907" s="1342"/>
      <c r="C907" s="1342"/>
      <c r="D907" s="1342"/>
      <c r="E907" s="1342"/>
      <c r="F907" s="1342"/>
      <c r="G907" s="1342"/>
      <c r="H907" s="1342"/>
      <c r="I907" s="1342"/>
      <c r="J907" s="1342"/>
      <c r="K907" s="1342"/>
    </row>
    <row r="908" spans="2:11" ht="14" hidden="1">
      <c r="B908" s="1342"/>
      <c r="C908" s="1342"/>
      <c r="D908" s="1342"/>
      <c r="E908" s="1342"/>
      <c r="F908" s="1342"/>
      <c r="G908" s="1342"/>
      <c r="H908" s="1342"/>
      <c r="I908" s="1342"/>
      <c r="J908" s="1342"/>
      <c r="K908" s="1342"/>
    </row>
    <row r="909" spans="2:11" ht="14" hidden="1">
      <c r="B909" s="1342"/>
      <c r="C909" s="1342"/>
      <c r="D909" s="1342"/>
      <c r="E909" s="1342"/>
      <c r="F909" s="1342"/>
      <c r="G909" s="1342"/>
      <c r="H909" s="1342"/>
      <c r="I909" s="1342"/>
      <c r="J909" s="1342"/>
      <c r="K909" s="1342"/>
    </row>
    <row r="910" spans="2:11" ht="14" hidden="1">
      <c r="B910" s="1342"/>
      <c r="C910" s="1342"/>
      <c r="D910" s="1342"/>
      <c r="E910" s="1342"/>
      <c r="F910" s="1342"/>
      <c r="G910" s="1342"/>
      <c r="H910" s="1342"/>
      <c r="I910" s="1342"/>
      <c r="J910" s="1342"/>
      <c r="K910" s="1342"/>
    </row>
    <row r="911" spans="2:11" ht="14" hidden="1">
      <c r="B911" s="1342"/>
      <c r="C911" s="1342"/>
      <c r="D911" s="1342"/>
      <c r="E911" s="1342"/>
      <c r="F911" s="1342"/>
      <c r="G911" s="1342"/>
      <c r="H911" s="1342"/>
      <c r="I911" s="1342"/>
      <c r="J911" s="1342"/>
      <c r="K911" s="1342"/>
    </row>
    <row r="912" spans="2:11" ht="14" hidden="1">
      <c r="B912" s="1342"/>
      <c r="C912" s="1342"/>
      <c r="D912" s="1342"/>
      <c r="E912" s="1342"/>
      <c r="F912" s="1342"/>
      <c r="G912" s="1342"/>
      <c r="H912" s="1342"/>
      <c r="I912" s="1342"/>
      <c r="J912" s="1342"/>
      <c r="K912" s="1342"/>
    </row>
    <row r="913" spans="2:11" ht="14" hidden="1">
      <c r="B913" s="1342"/>
      <c r="C913" s="1342"/>
      <c r="D913" s="1342"/>
      <c r="E913" s="1342"/>
      <c r="F913" s="1342"/>
      <c r="G913" s="1342"/>
      <c r="H913" s="1342"/>
      <c r="I913" s="1342"/>
      <c r="J913" s="1342"/>
      <c r="K913" s="1342"/>
    </row>
    <row r="914" spans="2:11" ht="14" hidden="1">
      <c r="B914" s="1342"/>
      <c r="C914" s="1342"/>
      <c r="D914" s="1342"/>
      <c r="E914" s="1342"/>
      <c r="F914" s="1342"/>
      <c r="G914" s="1342"/>
      <c r="H914" s="1342"/>
      <c r="I914" s="1342"/>
      <c r="J914" s="1342"/>
      <c r="K914" s="1342"/>
    </row>
    <row r="915" spans="2:11" ht="14" hidden="1">
      <c r="B915" s="1342"/>
      <c r="C915" s="1342"/>
      <c r="D915" s="1342"/>
      <c r="E915" s="1342"/>
      <c r="F915" s="1342"/>
      <c r="G915" s="1342"/>
      <c r="H915" s="1342"/>
      <c r="I915" s="1342"/>
      <c r="J915" s="1342"/>
      <c r="K915" s="1342"/>
    </row>
    <row r="916" spans="2:11" ht="14" hidden="1">
      <c r="B916" s="1342"/>
      <c r="C916" s="1342"/>
      <c r="D916" s="1342"/>
      <c r="E916" s="1342"/>
      <c r="F916" s="1342"/>
      <c r="G916" s="1342"/>
      <c r="H916" s="1342"/>
      <c r="I916" s="1342"/>
      <c r="J916" s="1342"/>
      <c r="K916" s="1342"/>
    </row>
    <row r="917" spans="2:11" ht="14" hidden="1">
      <c r="B917" s="1342"/>
      <c r="C917" s="1342"/>
      <c r="D917" s="1342"/>
      <c r="E917" s="1342"/>
      <c r="F917" s="1342"/>
      <c r="G917" s="1342"/>
      <c r="H917" s="1342"/>
      <c r="I917" s="1342"/>
      <c r="J917" s="1342"/>
      <c r="K917" s="1342"/>
    </row>
    <row r="918" spans="2:11" ht="14" hidden="1">
      <c r="B918" s="1342"/>
      <c r="C918" s="1342"/>
      <c r="D918" s="1342"/>
      <c r="E918" s="1342"/>
      <c r="F918" s="1342"/>
      <c r="G918" s="1342"/>
      <c r="H918" s="1342"/>
      <c r="I918" s="1342"/>
      <c r="J918" s="1342"/>
      <c r="K918" s="1342"/>
    </row>
    <row r="919" spans="2:11" ht="14" hidden="1">
      <c r="B919" s="1342"/>
      <c r="C919" s="1342"/>
      <c r="D919" s="1342"/>
      <c r="E919" s="1342"/>
      <c r="F919" s="1342"/>
      <c r="G919" s="1342"/>
      <c r="H919" s="1342"/>
      <c r="I919" s="1342"/>
      <c r="J919" s="1342"/>
      <c r="K919" s="1342"/>
    </row>
    <row r="920" spans="2:11" ht="14" hidden="1">
      <c r="B920" s="1342"/>
      <c r="C920" s="1342"/>
      <c r="D920" s="1342"/>
      <c r="E920" s="1342"/>
      <c r="F920" s="1342"/>
      <c r="G920" s="1342"/>
      <c r="H920" s="1342"/>
      <c r="I920" s="1342"/>
      <c r="J920" s="1342"/>
      <c r="K920" s="1342"/>
    </row>
    <row r="921" spans="2:11" ht="14" hidden="1">
      <c r="B921" s="1342"/>
      <c r="C921" s="1342"/>
      <c r="D921" s="1342"/>
      <c r="E921" s="1342"/>
      <c r="F921" s="1342"/>
      <c r="G921" s="1342"/>
      <c r="H921" s="1342"/>
      <c r="I921" s="1342"/>
      <c r="J921" s="1342"/>
      <c r="K921" s="1342"/>
    </row>
    <row r="922" spans="2:11" ht="14" hidden="1">
      <c r="B922" s="1342"/>
      <c r="C922" s="1342"/>
      <c r="D922" s="1342"/>
      <c r="E922" s="1342"/>
      <c r="F922" s="1342"/>
      <c r="G922" s="1342"/>
      <c r="H922" s="1342"/>
      <c r="I922" s="1342"/>
      <c r="J922" s="1342"/>
      <c r="K922" s="1342"/>
    </row>
    <row r="923" spans="2:11" ht="14" hidden="1">
      <c r="B923" s="1342"/>
      <c r="C923" s="1342"/>
      <c r="D923" s="1342"/>
      <c r="E923" s="1342"/>
      <c r="F923" s="1342"/>
      <c r="G923" s="1342"/>
      <c r="H923" s="1342"/>
      <c r="I923" s="1342"/>
      <c r="J923" s="1342"/>
      <c r="K923" s="1342"/>
    </row>
    <row r="924" spans="2:11" ht="14" hidden="1">
      <c r="B924" s="1342"/>
      <c r="C924" s="1342"/>
      <c r="D924" s="1342"/>
      <c r="E924" s="1342"/>
      <c r="F924" s="1342"/>
      <c r="G924" s="1342"/>
      <c r="H924" s="1342"/>
      <c r="I924" s="1342"/>
      <c r="J924" s="1342"/>
      <c r="K924" s="1342"/>
    </row>
    <row r="925" spans="2:11" ht="14" hidden="1">
      <c r="B925" s="1342"/>
      <c r="C925" s="1342"/>
      <c r="D925" s="1342"/>
      <c r="E925" s="1342"/>
      <c r="F925" s="1342"/>
      <c r="G925" s="1342"/>
      <c r="H925" s="1342"/>
      <c r="I925" s="1342"/>
      <c r="J925" s="1342"/>
      <c r="K925" s="1342"/>
    </row>
    <row r="926" spans="2:11" ht="14" hidden="1">
      <c r="B926" s="1342"/>
      <c r="C926" s="1342"/>
      <c r="D926" s="1342"/>
      <c r="E926" s="1342"/>
      <c r="F926" s="1342"/>
      <c r="G926" s="1342"/>
      <c r="H926" s="1342"/>
      <c r="I926" s="1342"/>
      <c r="J926" s="1342"/>
      <c r="K926" s="1342"/>
    </row>
    <row r="927" spans="2:11" ht="14" hidden="1">
      <c r="B927" s="1342"/>
      <c r="C927" s="1342"/>
      <c r="D927" s="1342"/>
      <c r="E927" s="1342"/>
      <c r="F927" s="1342"/>
      <c r="G927" s="1342"/>
      <c r="H927" s="1342"/>
      <c r="I927" s="1342"/>
      <c r="J927" s="1342"/>
      <c r="K927" s="1342"/>
    </row>
    <row r="928" spans="2:11" ht="14" hidden="1">
      <c r="B928" s="1342"/>
      <c r="C928" s="1342"/>
      <c r="D928" s="1342"/>
      <c r="E928" s="1342"/>
      <c r="F928" s="1342"/>
      <c r="G928" s="1342"/>
      <c r="H928" s="1342"/>
      <c r="I928" s="1342"/>
      <c r="J928" s="1342"/>
      <c r="K928" s="1342"/>
    </row>
    <row r="929" spans="2:11" ht="14" hidden="1">
      <c r="B929" s="1342"/>
      <c r="C929" s="1342"/>
      <c r="D929" s="1342"/>
      <c r="E929" s="1342"/>
      <c r="F929" s="1342"/>
      <c r="G929" s="1342"/>
      <c r="H929" s="1342"/>
      <c r="I929" s="1342"/>
      <c r="J929" s="1342"/>
      <c r="K929" s="1342"/>
    </row>
    <row r="930" spans="2:11" ht="14" hidden="1">
      <c r="B930" s="1342"/>
      <c r="C930" s="1342"/>
      <c r="D930" s="1342"/>
      <c r="E930" s="1342"/>
      <c r="F930" s="1342"/>
      <c r="G930" s="1342"/>
      <c r="H930" s="1342"/>
      <c r="I930" s="1342"/>
      <c r="J930" s="1342"/>
      <c r="K930" s="1342"/>
    </row>
    <row r="931" spans="2:11" ht="14" hidden="1">
      <c r="B931" s="1342"/>
      <c r="C931" s="1342"/>
      <c r="D931" s="1342"/>
      <c r="E931" s="1342"/>
      <c r="F931" s="1342"/>
      <c r="G931" s="1342"/>
      <c r="H931" s="1342"/>
      <c r="I931" s="1342"/>
      <c r="J931" s="1342"/>
      <c r="K931" s="1342"/>
    </row>
    <row r="932" spans="2:11" ht="14" hidden="1">
      <c r="B932" s="1342"/>
      <c r="C932" s="1342"/>
      <c r="D932" s="1342"/>
      <c r="E932" s="1342"/>
      <c r="F932" s="1342"/>
      <c r="G932" s="1342"/>
      <c r="H932" s="1342"/>
      <c r="I932" s="1342"/>
      <c r="J932" s="1342"/>
      <c r="K932" s="1342"/>
    </row>
    <row r="933" spans="2:11" ht="14" hidden="1">
      <c r="B933" s="1342"/>
      <c r="C933" s="1342"/>
      <c r="D933" s="1342"/>
      <c r="E933" s="1342"/>
      <c r="F933" s="1342"/>
      <c r="G933" s="1342"/>
      <c r="H933" s="1342"/>
      <c r="I933" s="1342"/>
      <c r="J933" s="1342"/>
      <c r="K933" s="1342"/>
    </row>
    <row r="934" spans="2:11" ht="14" hidden="1">
      <c r="B934" s="1342"/>
      <c r="C934" s="1342"/>
      <c r="D934" s="1342"/>
      <c r="E934" s="1342"/>
      <c r="F934" s="1342"/>
      <c r="G934" s="1342"/>
      <c r="H934" s="1342"/>
      <c r="I934" s="1342"/>
      <c r="J934" s="1342"/>
      <c r="K934" s="1342"/>
    </row>
    <row r="935" spans="2:11" ht="14" hidden="1">
      <c r="B935" s="1342"/>
      <c r="C935" s="1342"/>
      <c r="D935" s="1342"/>
      <c r="E935" s="1342"/>
      <c r="F935" s="1342"/>
      <c r="G935" s="1342"/>
      <c r="H935" s="1342"/>
      <c r="I935" s="1342"/>
      <c r="J935" s="1342"/>
      <c r="K935" s="1342"/>
    </row>
    <row r="936" spans="2:11" ht="14" hidden="1">
      <c r="B936" s="1342"/>
      <c r="C936" s="1342"/>
      <c r="D936" s="1342"/>
      <c r="E936" s="1342"/>
      <c r="F936" s="1342"/>
      <c r="G936" s="1342"/>
      <c r="H936" s="1342"/>
      <c r="I936" s="1342"/>
      <c r="J936" s="1342"/>
      <c r="K936" s="1342"/>
    </row>
    <row r="937" spans="2:11" ht="14" hidden="1">
      <c r="B937" s="1342"/>
      <c r="C937" s="1342"/>
      <c r="D937" s="1342"/>
      <c r="E937" s="1342"/>
      <c r="F937" s="1342"/>
      <c r="G937" s="1342"/>
      <c r="H937" s="1342"/>
      <c r="I937" s="1342"/>
      <c r="J937" s="1342"/>
      <c r="K937" s="1342"/>
    </row>
    <row r="938" spans="2:11" ht="14" hidden="1">
      <c r="B938" s="1342"/>
      <c r="C938" s="1342"/>
      <c r="D938" s="1342"/>
      <c r="E938" s="1342"/>
      <c r="F938" s="1342"/>
      <c r="G938" s="1342"/>
      <c r="H938" s="1342"/>
      <c r="I938" s="1342"/>
      <c r="J938" s="1342"/>
      <c r="K938" s="1342"/>
    </row>
    <row r="939" spans="2:11" ht="14" hidden="1">
      <c r="B939" s="1342"/>
      <c r="C939" s="1342"/>
      <c r="D939" s="1342"/>
      <c r="E939" s="1342"/>
      <c r="F939" s="1342"/>
      <c r="G939" s="1342"/>
      <c r="H939" s="1342"/>
      <c r="I939" s="1342"/>
      <c r="J939" s="1342"/>
      <c r="K939" s="1342"/>
    </row>
    <row r="940" spans="2:11" ht="14" hidden="1">
      <c r="B940" s="1342"/>
      <c r="C940" s="1342"/>
      <c r="D940" s="1342"/>
      <c r="E940" s="1342"/>
      <c r="F940" s="1342"/>
      <c r="G940" s="1342"/>
      <c r="H940" s="1342"/>
      <c r="I940" s="1342"/>
      <c r="J940" s="1342"/>
      <c r="K940" s="1342"/>
    </row>
    <row r="941" spans="2:11" ht="14" hidden="1">
      <c r="B941" s="1342"/>
      <c r="C941" s="1342"/>
      <c r="D941" s="1342"/>
      <c r="E941" s="1342"/>
      <c r="F941" s="1342"/>
      <c r="G941" s="1342"/>
      <c r="H941" s="1342"/>
      <c r="I941" s="1342"/>
      <c r="J941" s="1342"/>
      <c r="K941" s="1342"/>
    </row>
    <row r="942" spans="2:11" ht="14" hidden="1">
      <c r="B942" s="1342"/>
      <c r="C942" s="1342"/>
      <c r="D942" s="1342"/>
      <c r="E942" s="1342"/>
      <c r="F942" s="1342"/>
      <c r="G942" s="1342"/>
      <c r="H942" s="1342"/>
      <c r="I942" s="1342"/>
      <c r="J942" s="1342"/>
      <c r="K942" s="1342"/>
    </row>
    <row r="943" spans="2:11" ht="14" hidden="1">
      <c r="B943" s="1342"/>
      <c r="C943" s="1342"/>
      <c r="D943" s="1342"/>
      <c r="E943" s="1342"/>
      <c r="F943" s="1342"/>
      <c r="G943" s="1342"/>
      <c r="H943" s="1342"/>
      <c r="I943" s="1342"/>
      <c r="J943" s="1342"/>
      <c r="K943" s="1342"/>
    </row>
    <row r="944" spans="2:11" ht="14" hidden="1">
      <c r="B944" s="1342"/>
      <c r="C944" s="1342"/>
      <c r="D944" s="1342"/>
      <c r="E944" s="1342"/>
      <c r="F944" s="1342"/>
      <c r="G944" s="1342"/>
      <c r="H944" s="1342"/>
      <c r="I944" s="1342"/>
      <c r="J944" s="1342"/>
      <c r="K944" s="1342"/>
    </row>
    <row r="945" spans="2:11" ht="14" hidden="1">
      <c r="B945" s="1342"/>
      <c r="C945" s="1342"/>
      <c r="D945" s="1342"/>
      <c r="E945" s="1342"/>
      <c r="F945" s="1342"/>
      <c r="G945" s="1342"/>
      <c r="H945" s="1342"/>
      <c r="I945" s="1342"/>
      <c r="J945" s="1342"/>
      <c r="K945" s="1342"/>
    </row>
    <row r="946" spans="2:11" ht="14" hidden="1">
      <c r="B946" s="1342"/>
      <c r="C946" s="1342"/>
      <c r="D946" s="1342"/>
      <c r="E946" s="1342"/>
      <c r="F946" s="1342"/>
      <c r="G946" s="1342"/>
      <c r="H946" s="1342"/>
      <c r="I946" s="1342"/>
      <c r="J946" s="1342"/>
      <c r="K946" s="1342"/>
    </row>
    <row r="947" spans="2:11" ht="14" hidden="1">
      <c r="B947" s="1342"/>
      <c r="C947" s="1342"/>
      <c r="D947" s="1342"/>
      <c r="E947" s="1342"/>
      <c r="F947" s="1342"/>
      <c r="G947" s="1342"/>
      <c r="H947" s="1342"/>
      <c r="I947" s="1342"/>
      <c r="J947" s="1342"/>
      <c r="K947" s="1342"/>
    </row>
    <row r="948" spans="2:11" ht="14" hidden="1">
      <c r="B948" s="1342"/>
      <c r="C948" s="1342"/>
      <c r="D948" s="1342"/>
      <c r="E948" s="1342"/>
      <c r="F948" s="1342"/>
      <c r="G948" s="1342"/>
      <c r="H948" s="1342"/>
      <c r="I948" s="1342"/>
      <c r="J948" s="1342"/>
      <c r="K948" s="1342"/>
    </row>
    <row r="949" spans="2:11" ht="14" hidden="1">
      <c r="B949" s="1342"/>
      <c r="C949" s="1342"/>
      <c r="D949" s="1342"/>
      <c r="E949" s="1342"/>
      <c r="F949" s="1342"/>
      <c r="G949" s="1342"/>
      <c r="H949" s="1342"/>
      <c r="I949" s="1342"/>
      <c r="J949" s="1342"/>
      <c r="K949" s="1342"/>
    </row>
    <row r="950" spans="2:11" ht="14" hidden="1">
      <c r="B950" s="1342"/>
      <c r="C950" s="1342"/>
      <c r="D950" s="1342"/>
      <c r="E950" s="1342"/>
      <c r="F950" s="1342"/>
      <c r="G950" s="1342"/>
      <c r="H950" s="1342"/>
      <c r="I950" s="1342"/>
      <c r="J950" s="1342"/>
      <c r="K950" s="1342"/>
    </row>
    <row r="951" spans="2:11" ht="14" hidden="1">
      <c r="B951" s="1342"/>
      <c r="C951" s="1342"/>
      <c r="D951" s="1342"/>
      <c r="E951" s="1342"/>
      <c r="F951" s="1342"/>
      <c r="G951" s="1342"/>
      <c r="H951" s="1342"/>
      <c r="I951" s="1342"/>
      <c r="J951" s="1342"/>
      <c r="K951" s="1342"/>
    </row>
    <row r="952" spans="2:11" ht="14" hidden="1">
      <c r="B952" s="1342"/>
      <c r="C952" s="1342"/>
      <c r="D952" s="1342"/>
      <c r="E952" s="1342"/>
      <c r="F952" s="1342"/>
      <c r="G952" s="1342"/>
      <c r="H952" s="1342"/>
      <c r="I952" s="1342"/>
      <c r="J952" s="1342"/>
      <c r="K952" s="1342"/>
    </row>
    <row r="953" spans="2:11" ht="14" hidden="1">
      <c r="B953" s="1342"/>
      <c r="C953" s="1342"/>
      <c r="D953" s="1342"/>
      <c r="E953" s="1342"/>
      <c r="F953" s="1342"/>
      <c r="G953" s="1342"/>
      <c r="H953" s="1342"/>
      <c r="I953" s="1342"/>
      <c r="J953" s="1342"/>
      <c r="K953" s="1342"/>
    </row>
    <row r="954" spans="2:11" ht="14" hidden="1">
      <c r="B954" s="1342"/>
      <c r="C954" s="1342"/>
      <c r="D954" s="1342"/>
      <c r="E954" s="1342"/>
      <c r="F954" s="1342"/>
      <c r="G954" s="1342"/>
      <c r="H954" s="1342"/>
      <c r="I954" s="1342"/>
      <c r="J954" s="1342"/>
      <c r="K954" s="1342"/>
    </row>
    <row r="955" spans="2:11" ht="14" hidden="1">
      <c r="B955" s="1342"/>
      <c r="C955" s="1342"/>
      <c r="D955" s="1342"/>
      <c r="E955" s="1342"/>
      <c r="F955" s="1342"/>
      <c r="G955" s="1342"/>
      <c r="H955" s="1342"/>
      <c r="I955" s="1342"/>
      <c r="J955" s="1342"/>
      <c r="K955" s="1342"/>
    </row>
    <row r="956" spans="2:11" ht="14" hidden="1">
      <c r="B956" s="1342"/>
      <c r="C956" s="1342"/>
      <c r="D956" s="1342"/>
      <c r="E956" s="1342"/>
      <c r="F956" s="1342"/>
      <c r="G956" s="1342"/>
      <c r="H956" s="1342"/>
      <c r="I956" s="1342"/>
      <c r="J956" s="1342"/>
      <c r="K956" s="1342"/>
    </row>
    <row r="957" spans="2:11" ht="14" hidden="1">
      <c r="B957" s="1342"/>
      <c r="C957" s="1342"/>
      <c r="D957" s="1342"/>
      <c r="E957" s="1342"/>
      <c r="F957" s="1342"/>
      <c r="G957" s="1342"/>
      <c r="H957" s="1342"/>
      <c r="I957" s="1342"/>
      <c r="J957" s="1342"/>
      <c r="K957" s="1342"/>
    </row>
    <row r="958" spans="2:11" ht="14" hidden="1">
      <c r="B958" s="1342"/>
      <c r="C958" s="1342"/>
      <c r="D958" s="1342"/>
      <c r="E958" s="1342"/>
      <c r="F958" s="1342"/>
      <c r="G958" s="1342"/>
      <c r="H958" s="1342"/>
      <c r="I958" s="1342"/>
      <c r="J958" s="1342"/>
      <c r="K958" s="1342"/>
    </row>
    <row r="959" spans="2:11" ht="14" hidden="1">
      <c r="B959" s="1342"/>
      <c r="C959" s="1342"/>
      <c r="D959" s="1342"/>
      <c r="E959" s="1342"/>
      <c r="F959" s="1342"/>
      <c r="G959" s="1342"/>
      <c r="H959" s="1342"/>
      <c r="I959" s="1342"/>
      <c r="J959" s="1342"/>
      <c r="K959" s="1342"/>
    </row>
    <row r="960" spans="2:11" ht="14" hidden="1">
      <c r="B960" s="1342"/>
      <c r="C960" s="1342"/>
      <c r="D960" s="1342"/>
      <c r="E960" s="1342"/>
      <c r="F960" s="1342"/>
      <c r="G960" s="1342"/>
      <c r="H960" s="1342"/>
      <c r="I960" s="1342"/>
      <c r="J960" s="1342"/>
      <c r="K960" s="1342"/>
    </row>
    <row r="961" spans="2:11" ht="14" hidden="1">
      <c r="B961" s="1342"/>
      <c r="C961" s="1342"/>
      <c r="D961" s="1342"/>
      <c r="E961" s="1342"/>
      <c r="F961" s="1342"/>
      <c r="G961" s="1342"/>
      <c r="H961" s="1342"/>
      <c r="I961" s="1342"/>
      <c r="J961" s="1342"/>
      <c r="K961" s="1342"/>
    </row>
    <row r="962" spans="2:11" ht="14" hidden="1">
      <c r="B962" s="1342"/>
      <c r="C962" s="1342"/>
      <c r="D962" s="1342"/>
      <c r="E962" s="1342"/>
      <c r="F962" s="1342"/>
      <c r="G962" s="1342"/>
      <c r="H962" s="1342"/>
      <c r="I962" s="1342"/>
      <c r="J962" s="1342"/>
      <c r="K962" s="1342"/>
    </row>
    <row r="963" spans="2:11" ht="14" hidden="1">
      <c r="B963" s="1342"/>
      <c r="C963" s="1342"/>
      <c r="D963" s="1342"/>
      <c r="E963" s="1342"/>
      <c r="F963" s="1342"/>
      <c r="G963" s="1342"/>
      <c r="H963" s="1342"/>
      <c r="I963" s="1342"/>
      <c r="J963" s="1342"/>
      <c r="K963" s="1342"/>
    </row>
    <row r="964" spans="2:11" ht="14" hidden="1">
      <c r="B964" s="1342"/>
      <c r="C964" s="1342"/>
      <c r="D964" s="1342"/>
      <c r="E964" s="1342"/>
      <c r="F964" s="1342"/>
      <c r="G964" s="1342"/>
      <c r="H964" s="1342"/>
      <c r="I964" s="1342"/>
      <c r="J964" s="1342"/>
      <c r="K964" s="1342"/>
    </row>
    <row r="965" spans="2:11" ht="14" hidden="1">
      <c r="B965" s="1342"/>
      <c r="C965" s="1342"/>
      <c r="D965" s="1342"/>
      <c r="E965" s="1342"/>
      <c r="F965" s="1342"/>
      <c r="G965" s="1342"/>
      <c r="H965" s="1342"/>
      <c r="I965" s="1342"/>
      <c r="J965" s="1342"/>
      <c r="K965" s="1342"/>
    </row>
    <row r="966" spans="2:11" ht="14" hidden="1">
      <c r="B966" s="1342"/>
      <c r="C966" s="1342"/>
      <c r="D966" s="1342"/>
      <c r="E966" s="1342"/>
      <c r="F966" s="1342"/>
      <c r="G966" s="1342"/>
      <c r="H966" s="1342"/>
      <c r="I966" s="1342"/>
      <c r="J966" s="1342"/>
      <c r="K966" s="1342"/>
    </row>
    <row r="967" spans="2:11" ht="14" hidden="1">
      <c r="B967" s="1342"/>
      <c r="C967" s="1342"/>
      <c r="D967" s="1342"/>
      <c r="E967" s="1342"/>
      <c r="F967" s="1342"/>
      <c r="G967" s="1342"/>
      <c r="H967" s="1342"/>
      <c r="I967" s="1342"/>
      <c r="J967" s="1342"/>
      <c r="K967" s="1342"/>
    </row>
    <row r="968" spans="2:11" ht="14" hidden="1">
      <c r="B968" s="1342"/>
      <c r="C968" s="1342"/>
      <c r="D968" s="1342"/>
      <c r="E968" s="1342"/>
      <c r="F968" s="1342"/>
      <c r="G968" s="1342"/>
      <c r="H968" s="1342"/>
      <c r="I968" s="1342"/>
      <c r="J968" s="1342"/>
      <c r="K968" s="1342"/>
    </row>
    <row r="969" spans="2:11" ht="14" hidden="1">
      <c r="B969" s="1342"/>
      <c r="C969" s="1342"/>
      <c r="D969" s="1342"/>
      <c r="E969" s="1342"/>
      <c r="F969" s="1342"/>
      <c r="G969" s="1342"/>
      <c r="H969" s="1342"/>
      <c r="I969" s="1342"/>
      <c r="J969" s="1342"/>
      <c r="K969" s="1342"/>
    </row>
    <row r="970" spans="2:11" ht="14" hidden="1">
      <c r="B970" s="1342"/>
      <c r="C970" s="1342"/>
      <c r="D970" s="1342"/>
      <c r="E970" s="1342"/>
      <c r="F970" s="1342"/>
      <c r="G970" s="1342"/>
      <c r="H970" s="1342"/>
      <c r="I970" s="1342"/>
      <c r="J970" s="1342"/>
      <c r="K970" s="1342"/>
    </row>
    <row r="971" spans="2:11" ht="14" hidden="1">
      <c r="B971" s="1342"/>
      <c r="C971" s="1342"/>
      <c r="D971" s="1342"/>
      <c r="E971" s="1342"/>
      <c r="F971" s="1342"/>
      <c r="G971" s="1342"/>
      <c r="H971" s="1342"/>
      <c r="I971" s="1342"/>
      <c r="J971" s="1342"/>
      <c r="K971" s="1342"/>
    </row>
    <row r="972" spans="2:11" ht="14" hidden="1">
      <c r="B972" s="1342"/>
      <c r="C972" s="1342"/>
      <c r="D972" s="1342"/>
      <c r="E972" s="1342"/>
      <c r="F972" s="1342"/>
      <c r="G972" s="1342"/>
      <c r="H972" s="1342"/>
      <c r="I972" s="1342"/>
      <c r="J972" s="1342"/>
      <c r="K972" s="1342"/>
    </row>
    <row r="973" spans="2:11" ht="14" hidden="1">
      <c r="B973" s="1342"/>
      <c r="C973" s="1342"/>
      <c r="D973" s="1342"/>
      <c r="E973" s="1342"/>
      <c r="F973" s="1342"/>
      <c r="G973" s="1342"/>
      <c r="H973" s="1342"/>
      <c r="I973" s="1342"/>
      <c r="J973" s="1342"/>
      <c r="K973" s="1342"/>
    </row>
    <row r="974" spans="2:11" ht="14" hidden="1">
      <c r="B974" s="1342"/>
      <c r="C974" s="1342"/>
      <c r="D974" s="1342"/>
      <c r="E974" s="1342"/>
      <c r="F974" s="1342"/>
      <c r="G974" s="1342"/>
      <c r="H974" s="1342"/>
      <c r="I974" s="1342"/>
      <c r="J974" s="1342"/>
      <c r="K974" s="1342"/>
    </row>
    <row r="975" spans="2:11" ht="14" hidden="1">
      <c r="B975" s="1342"/>
      <c r="C975" s="1342"/>
      <c r="D975" s="1342"/>
      <c r="E975" s="1342"/>
      <c r="F975" s="1342"/>
      <c r="G975" s="1342"/>
      <c r="H975" s="1342"/>
      <c r="I975" s="1342"/>
      <c r="J975" s="1342"/>
      <c r="K975" s="1342"/>
    </row>
    <row r="976" spans="2:11" ht="14" hidden="1">
      <c r="B976" s="1342"/>
      <c r="C976" s="1342"/>
      <c r="D976" s="1342"/>
      <c r="E976" s="1342"/>
      <c r="F976" s="1342"/>
      <c r="G976" s="1342"/>
      <c r="H976" s="1342"/>
      <c r="I976" s="1342"/>
      <c r="J976" s="1342"/>
      <c r="K976" s="1342"/>
    </row>
    <row r="977" spans="2:11" ht="14" hidden="1">
      <c r="B977" s="1342"/>
      <c r="C977" s="1342"/>
      <c r="D977" s="1342"/>
      <c r="E977" s="1342"/>
      <c r="F977" s="1342"/>
      <c r="G977" s="1342"/>
      <c r="H977" s="1342"/>
      <c r="I977" s="1342"/>
      <c r="J977" s="1342"/>
      <c r="K977" s="1342"/>
    </row>
    <row r="978" spans="2:11" ht="14" hidden="1">
      <c r="B978" s="1342"/>
      <c r="C978" s="1342"/>
      <c r="D978" s="1342"/>
      <c r="E978" s="1342"/>
      <c r="F978" s="1342"/>
      <c r="G978" s="1342"/>
      <c r="H978" s="1342"/>
      <c r="I978" s="1342"/>
      <c r="J978" s="1342"/>
      <c r="K978" s="1342"/>
    </row>
    <row r="979" spans="2:11" ht="14" hidden="1">
      <c r="B979" s="1342"/>
      <c r="C979" s="1342"/>
      <c r="D979" s="1342"/>
      <c r="E979" s="1342"/>
      <c r="F979" s="1342"/>
      <c r="G979" s="1342"/>
      <c r="H979" s="1342"/>
      <c r="I979" s="1342"/>
      <c r="J979" s="1342"/>
      <c r="K979" s="1342"/>
    </row>
    <row r="980" spans="2:11" ht="14" hidden="1">
      <c r="B980" s="1342"/>
      <c r="C980" s="1342"/>
      <c r="D980" s="1342"/>
      <c r="E980" s="1342"/>
      <c r="F980" s="1342"/>
      <c r="G980" s="1342"/>
      <c r="H980" s="1342"/>
      <c r="I980" s="1342"/>
      <c r="J980" s="1342"/>
      <c r="K980" s="1342"/>
    </row>
    <row r="981" spans="2:11" ht="14" hidden="1">
      <c r="B981" s="1342"/>
      <c r="C981" s="1342"/>
      <c r="D981" s="1342"/>
      <c r="E981" s="1342"/>
      <c r="F981" s="1342"/>
      <c r="G981" s="1342"/>
      <c r="H981" s="1342"/>
      <c r="I981" s="1342"/>
      <c r="J981" s="1342"/>
      <c r="K981" s="1342"/>
    </row>
    <row r="982" spans="2:11" ht="14" hidden="1">
      <c r="B982" s="1342"/>
      <c r="C982" s="1342"/>
      <c r="D982" s="1342"/>
      <c r="E982" s="1342"/>
      <c r="F982" s="1342"/>
      <c r="G982" s="1342"/>
      <c r="H982" s="1342"/>
      <c r="I982" s="1342"/>
      <c r="J982" s="1342"/>
      <c r="K982" s="1342"/>
    </row>
    <row r="983" spans="2:11" ht="14" hidden="1">
      <c r="B983" s="1342"/>
      <c r="C983" s="1342"/>
      <c r="D983" s="1342"/>
      <c r="E983" s="1342"/>
      <c r="F983" s="1342"/>
      <c r="G983" s="1342"/>
      <c r="H983" s="1342"/>
      <c r="I983" s="1342"/>
      <c r="J983" s="1342"/>
      <c r="K983" s="1342"/>
    </row>
    <row r="984" spans="2:11" ht="14" hidden="1">
      <c r="B984" s="1342"/>
      <c r="C984" s="1342"/>
      <c r="D984" s="1342"/>
      <c r="E984" s="1342"/>
      <c r="F984" s="1342"/>
      <c r="G984" s="1342"/>
      <c r="H984" s="1342"/>
      <c r="I984" s="1342"/>
      <c r="J984" s="1342"/>
      <c r="K984" s="1342"/>
    </row>
    <row r="985" spans="2:11" ht="14" hidden="1">
      <c r="B985" s="1342"/>
      <c r="C985" s="1342"/>
      <c r="D985" s="1342"/>
      <c r="E985" s="1342"/>
      <c r="F985" s="1342"/>
      <c r="G985" s="1342"/>
      <c r="H985" s="1342"/>
      <c r="I985" s="1342"/>
      <c r="J985" s="1342"/>
      <c r="K985" s="1342"/>
    </row>
    <row r="986" spans="2:11" ht="14" hidden="1">
      <c r="B986" s="1342"/>
      <c r="C986" s="1342"/>
      <c r="D986" s="1342"/>
      <c r="E986" s="1342"/>
      <c r="F986" s="1342"/>
      <c r="G986" s="1342"/>
      <c r="H986" s="1342"/>
      <c r="I986" s="1342"/>
      <c r="J986" s="1342"/>
      <c r="K986" s="1342"/>
    </row>
    <row r="987" spans="2:11" ht="14" hidden="1">
      <c r="B987" s="1342"/>
      <c r="C987" s="1342"/>
      <c r="D987" s="1342"/>
      <c r="E987" s="1342"/>
      <c r="F987" s="1342"/>
      <c r="G987" s="1342"/>
      <c r="H987" s="1342"/>
      <c r="I987" s="1342"/>
      <c r="J987" s="1342"/>
      <c r="K987" s="1342"/>
    </row>
    <row r="988" spans="2:11" ht="14" hidden="1">
      <c r="B988" s="1342"/>
      <c r="C988" s="1342"/>
      <c r="D988" s="1342"/>
      <c r="E988" s="1342"/>
      <c r="F988" s="1342"/>
      <c r="G988" s="1342"/>
      <c r="H988" s="1342"/>
      <c r="I988" s="1342"/>
      <c r="J988" s="1342"/>
      <c r="K988" s="1342"/>
    </row>
    <row r="989" spans="2:11" ht="14" hidden="1">
      <c r="B989" s="1342"/>
      <c r="C989" s="1342"/>
      <c r="D989" s="1342"/>
      <c r="E989" s="1342"/>
      <c r="F989" s="1342"/>
      <c r="G989" s="1342"/>
      <c r="H989" s="1342"/>
      <c r="I989" s="1342"/>
      <c r="J989" s="1342"/>
      <c r="K989" s="1342"/>
    </row>
    <row r="990" spans="2:11" ht="14" hidden="1">
      <c r="B990" s="1342"/>
      <c r="C990" s="1342"/>
      <c r="D990" s="1342"/>
      <c r="E990" s="1342"/>
      <c r="F990" s="1342"/>
      <c r="G990" s="1342"/>
      <c r="H990" s="1342"/>
      <c r="I990" s="1342"/>
      <c r="J990" s="1342"/>
      <c r="K990" s="1342"/>
    </row>
    <row r="991" spans="2:11" ht="14" hidden="1">
      <c r="B991" s="1342"/>
      <c r="C991" s="1342"/>
      <c r="D991" s="1342"/>
      <c r="E991" s="1342"/>
      <c r="F991" s="1342"/>
      <c r="G991" s="1342"/>
      <c r="H991" s="1342"/>
      <c r="I991" s="1342"/>
      <c r="J991" s="1342"/>
      <c r="K991" s="1342"/>
    </row>
    <row r="992" spans="2:11" ht="14" hidden="1">
      <c r="B992" s="1342"/>
      <c r="C992" s="1342"/>
      <c r="D992" s="1342"/>
      <c r="E992" s="1342"/>
      <c r="F992" s="1342"/>
      <c r="G992" s="1342"/>
      <c r="H992" s="1342"/>
      <c r="I992" s="1342"/>
      <c r="J992" s="1342"/>
      <c r="K992" s="1342"/>
    </row>
    <row r="993" spans="2:11" ht="14" hidden="1">
      <c r="B993" s="1342"/>
      <c r="C993" s="1342"/>
      <c r="D993" s="1342"/>
      <c r="E993" s="1342"/>
      <c r="F993" s="1342"/>
      <c r="G993" s="1342"/>
      <c r="H993" s="1342"/>
      <c r="I993" s="1342"/>
      <c r="J993" s="1342"/>
      <c r="K993" s="1342"/>
    </row>
    <row r="994" spans="2:11" ht="14" hidden="1">
      <c r="B994" s="1342"/>
      <c r="C994" s="1342"/>
      <c r="D994" s="1342"/>
      <c r="E994" s="1342"/>
      <c r="F994" s="1342"/>
      <c r="G994" s="1342"/>
      <c r="H994" s="1342"/>
      <c r="I994" s="1342"/>
      <c r="J994" s="1342"/>
      <c r="K994" s="1342"/>
    </row>
    <row r="995" spans="2:11" ht="14" hidden="1">
      <c r="B995" s="1342"/>
      <c r="C995" s="1342"/>
      <c r="D995" s="1342"/>
      <c r="E995" s="1342"/>
      <c r="F995" s="1342"/>
      <c r="G995" s="1342"/>
      <c r="H995" s="1342"/>
      <c r="I995" s="1342"/>
      <c r="J995" s="1342"/>
      <c r="K995" s="1342"/>
    </row>
    <row r="996" spans="2:11" ht="14" hidden="1">
      <c r="B996" s="1342"/>
      <c r="C996" s="1342"/>
      <c r="D996" s="1342"/>
      <c r="E996" s="1342"/>
      <c r="F996" s="1342"/>
      <c r="G996" s="1342"/>
      <c r="H996" s="1342"/>
      <c r="I996" s="1342"/>
      <c r="J996" s="1342"/>
      <c r="K996" s="1342"/>
    </row>
    <row r="997" spans="2:11" ht="14" hidden="1">
      <c r="B997" s="1342"/>
      <c r="C997" s="1342"/>
      <c r="D997" s="1342"/>
      <c r="E997" s="1342"/>
      <c r="F997" s="1342"/>
      <c r="G997" s="1342"/>
      <c r="H997" s="1342"/>
      <c r="I997" s="1342"/>
      <c r="J997" s="1342"/>
      <c r="K997" s="1342"/>
    </row>
    <row r="998" spans="2:11" ht="14" hidden="1">
      <c r="B998" s="1342"/>
      <c r="C998" s="1342"/>
      <c r="D998" s="1342"/>
      <c r="E998" s="1342"/>
      <c r="F998" s="1342"/>
      <c r="G998" s="1342"/>
      <c r="H998" s="1342"/>
      <c r="I998" s="1342"/>
      <c r="J998" s="1342"/>
      <c r="K998" s="1342"/>
    </row>
    <row r="999" spans="2:11" ht="14" hidden="1">
      <c r="B999" s="1342"/>
      <c r="C999" s="1342"/>
      <c r="D999" s="1342"/>
      <c r="E999" s="1342"/>
      <c r="F999" s="1342"/>
      <c r="G999" s="1342"/>
      <c r="H999" s="1342"/>
      <c r="I999" s="1342"/>
      <c r="J999" s="1342"/>
      <c r="K999" s="1342"/>
    </row>
    <row r="1000" spans="2:11" ht="14" hidden="1">
      <c r="B1000" s="1342"/>
      <c r="C1000" s="1342"/>
      <c r="D1000" s="1342"/>
      <c r="E1000" s="1342"/>
      <c r="F1000" s="1342"/>
      <c r="G1000" s="1342"/>
      <c r="H1000" s="1342"/>
      <c r="I1000" s="1342"/>
      <c r="J1000" s="1342"/>
      <c r="K1000" s="1342"/>
    </row>
    <row r="1001" spans="2:11" ht="14" hidden="1">
      <c r="B1001" s="1342"/>
      <c r="C1001" s="1342"/>
      <c r="D1001" s="1342"/>
      <c r="E1001" s="1342"/>
      <c r="F1001" s="1342"/>
      <c r="G1001" s="1342"/>
      <c r="H1001" s="1342"/>
      <c r="I1001" s="1342"/>
      <c r="J1001" s="1342"/>
      <c r="K1001" s="1342"/>
    </row>
    <row r="1002" spans="2:11" ht="14" hidden="1">
      <c r="B1002" s="1342"/>
      <c r="C1002" s="1342"/>
      <c r="D1002" s="1342"/>
      <c r="E1002" s="1342"/>
      <c r="F1002" s="1342"/>
      <c r="G1002" s="1342"/>
      <c r="H1002" s="1342"/>
      <c r="I1002" s="1342"/>
      <c r="J1002" s="1342"/>
      <c r="K1002" s="1342"/>
    </row>
    <row r="1003" spans="2:11" ht="14" hidden="1">
      <c r="B1003" s="1342"/>
      <c r="C1003" s="1342"/>
      <c r="D1003" s="1342"/>
      <c r="E1003" s="1342"/>
      <c r="F1003" s="1342"/>
      <c r="G1003" s="1342"/>
      <c r="H1003" s="1342"/>
      <c r="I1003" s="1342"/>
      <c r="J1003" s="1342"/>
      <c r="K1003" s="1342"/>
    </row>
    <row r="1004" spans="2:11" ht="14" hidden="1">
      <c r="B1004" s="1342"/>
      <c r="C1004" s="1342"/>
      <c r="D1004" s="1342"/>
      <c r="E1004" s="1342"/>
      <c r="F1004" s="1342"/>
      <c r="G1004" s="1342"/>
      <c r="H1004" s="1342"/>
      <c r="I1004" s="1342"/>
      <c r="J1004" s="1342"/>
      <c r="K1004" s="1342"/>
    </row>
    <row r="1005" spans="2:11" ht="14" hidden="1">
      <c r="B1005" s="1342"/>
      <c r="C1005" s="1342"/>
      <c r="D1005" s="1342"/>
      <c r="E1005" s="1342"/>
      <c r="F1005" s="1342"/>
      <c r="G1005" s="1342"/>
      <c r="H1005" s="1342"/>
      <c r="I1005" s="1342"/>
      <c r="J1005" s="1342"/>
      <c r="K1005" s="1342"/>
    </row>
    <row r="1006" spans="2:11" ht="14" hidden="1">
      <c r="B1006" s="1342"/>
      <c r="C1006" s="1342"/>
      <c r="D1006" s="1342"/>
      <c r="E1006" s="1342"/>
      <c r="F1006" s="1342"/>
      <c r="G1006" s="1342"/>
      <c r="H1006" s="1342"/>
      <c r="I1006" s="1342"/>
      <c r="J1006" s="1342"/>
      <c r="K1006" s="1342"/>
    </row>
    <row r="1007" spans="2:11" ht="14" hidden="1">
      <c r="B1007" s="1342"/>
      <c r="C1007" s="1342"/>
      <c r="D1007" s="1342"/>
      <c r="E1007" s="1342"/>
      <c r="F1007" s="1342"/>
      <c r="G1007" s="1342"/>
      <c r="H1007" s="1342"/>
      <c r="I1007" s="1342"/>
      <c r="J1007" s="1342"/>
      <c r="K1007" s="1342"/>
    </row>
    <row r="1008" spans="2:11" ht="14" hidden="1">
      <c r="B1008" s="1342"/>
      <c r="C1008" s="1342"/>
      <c r="D1008" s="1342"/>
      <c r="E1008" s="1342"/>
      <c r="F1008" s="1342"/>
      <c r="G1008" s="1342"/>
      <c r="H1008" s="1342"/>
      <c r="I1008" s="1342"/>
      <c r="J1008" s="1342"/>
      <c r="K1008" s="1342"/>
    </row>
    <row r="1009" spans="2:11" ht="14" hidden="1">
      <c r="B1009" s="1342"/>
      <c r="C1009" s="1342"/>
      <c r="D1009" s="1342"/>
      <c r="E1009" s="1342"/>
      <c r="F1009" s="1342"/>
      <c r="G1009" s="1342"/>
      <c r="H1009" s="1342"/>
      <c r="I1009" s="1342"/>
      <c r="J1009" s="1342"/>
      <c r="K1009" s="1342"/>
    </row>
    <row r="1010" spans="2:11" ht="14" hidden="1">
      <c r="B1010" s="1342"/>
      <c r="C1010" s="1342"/>
      <c r="D1010" s="1342"/>
      <c r="E1010" s="1342"/>
      <c r="F1010" s="1342"/>
      <c r="G1010" s="1342"/>
      <c r="H1010" s="1342"/>
      <c r="I1010" s="1342"/>
      <c r="J1010" s="1342"/>
      <c r="K1010" s="1342"/>
    </row>
    <row r="1011" spans="2:11" ht="14" hidden="1">
      <c r="B1011" s="1342"/>
      <c r="C1011" s="1342"/>
      <c r="D1011" s="1342"/>
      <c r="E1011" s="1342"/>
      <c r="F1011" s="1342"/>
      <c r="G1011" s="1342"/>
      <c r="H1011" s="1342"/>
      <c r="I1011" s="1342"/>
      <c r="J1011" s="1342"/>
      <c r="K1011" s="1342"/>
    </row>
    <row r="1012" spans="2:11" ht="14" hidden="1">
      <c r="B1012" s="1342"/>
      <c r="C1012" s="1342"/>
      <c r="D1012" s="1342"/>
      <c r="E1012" s="1342"/>
      <c r="F1012" s="1342"/>
      <c r="G1012" s="1342"/>
      <c r="H1012" s="1342"/>
      <c r="I1012" s="1342"/>
      <c r="J1012" s="1342"/>
      <c r="K1012" s="1342"/>
    </row>
    <row r="1013" spans="2:11" ht="14" hidden="1">
      <c r="B1013" s="1342"/>
      <c r="C1013" s="1342"/>
      <c r="D1013" s="1342"/>
      <c r="E1013" s="1342"/>
      <c r="F1013" s="1342"/>
      <c r="G1013" s="1342"/>
      <c r="H1013" s="1342"/>
      <c r="I1013" s="1342"/>
      <c r="J1013" s="1342"/>
      <c r="K1013" s="1342"/>
    </row>
    <row r="1014" spans="2:11" ht="14" hidden="1">
      <c r="B1014" s="1342"/>
      <c r="C1014" s="1342"/>
      <c r="D1014" s="1342"/>
      <c r="E1014" s="1342"/>
      <c r="F1014" s="1342"/>
      <c r="G1014" s="1342"/>
      <c r="H1014" s="1342"/>
      <c r="I1014" s="1342"/>
      <c r="J1014" s="1342"/>
      <c r="K1014" s="1342"/>
    </row>
    <row r="1015" spans="2:11" ht="14" hidden="1">
      <c r="B1015" s="1342"/>
      <c r="C1015" s="1342"/>
      <c r="D1015" s="1342"/>
      <c r="E1015" s="1342"/>
      <c r="F1015" s="1342"/>
      <c r="G1015" s="1342"/>
      <c r="H1015" s="1342"/>
      <c r="I1015" s="1342"/>
      <c r="J1015" s="1342"/>
      <c r="K1015" s="1342"/>
    </row>
    <row r="1016" spans="2:11" ht="14" hidden="1">
      <c r="B1016" s="1342"/>
      <c r="C1016" s="1342"/>
      <c r="D1016" s="1342"/>
      <c r="E1016" s="1342"/>
      <c r="F1016" s="1342"/>
      <c r="G1016" s="1342"/>
      <c r="H1016" s="1342"/>
      <c r="I1016" s="1342"/>
      <c r="J1016" s="1342"/>
      <c r="K1016" s="1342"/>
    </row>
    <row r="1017" spans="2:11" ht="14" hidden="1">
      <c r="B1017" s="1342"/>
      <c r="C1017" s="1342"/>
      <c r="D1017" s="1342"/>
      <c r="E1017" s="1342"/>
      <c r="F1017" s="1342"/>
      <c r="G1017" s="1342"/>
      <c r="H1017" s="1342"/>
      <c r="I1017" s="1342"/>
      <c r="J1017" s="1342"/>
      <c r="K1017" s="1342"/>
    </row>
    <row r="1018" spans="2:11" ht="14" hidden="1">
      <c r="B1018" s="1342"/>
      <c r="C1018" s="1342"/>
      <c r="D1018" s="1342"/>
      <c r="E1018" s="1342"/>
      <c r="F1018" s="1342"/>
      <c r="G1018" s="1342"/>
      <c r="H1018" s="1342"/>
      <c r="I1018" s="1342"/>
      <c r="J1018" s="1342"/>
      <c r="K1018" s="1342"/>
    </row>
    <row r="1019" spans="2:11" ht="14" hidden="1">
      <c r="B1019" s="1342"/>
      <c r="C1019" s="1342"/>
      <c r="D1019" s="1342"/>
      <c r="E1019" s="1342"/>
      <c r="F1019" s="1342"/>
      <c r="G1019" s="1342"/>
      <c r="H1019" s="1342"/>
      <c r="I1019" s="1342"/>
      <c r="J1019" s="1342"/>
      <c r="K1019" s="1342"/>
    </row>
    <row r="1020" spans="2:11" ht="14" hidden="1">
      <c r="B1020" s="1342"/>
      <c r="C1020" s="1342"/>
      <c r="D1020" s="1342"/>
      <c r="E1020" s="1342"/>
      <c r="F1020" s="1342"/>
      <c r="G1020" s="1342"/>
      <c r="H1020" s="1342"/>
      <c r="I1020" s="1342"/>
      <c r="J1020" s="1342"/>
      <c r="K1020" s="1342"/>
    </row>
    <row r="1021" spans="2:11" ht="14" hidden="1">
      <c r="B1021" s="1342"/>
      <c r="C1021" s="1342"/>
      <c r="D1021" s="1342"/>
      <c r="E1021" s="1342"/>
      <c r="F1021" s="1342"/>
      <c r="G1021" s="1342"/>
      <c r="H1021" s="1342"/>
      <c r="I1021" s="1342"/>
      <c r="J1021" s="1342"/>
      <c r="K1021" s="1342"/>
    </row>
    <row r="1022" spans="2:11" ht="14" hidden="1">
      <c r="B1022" s="1342"/>
      <c r="C1022" s="1342"/>
      <c r="D1022" s="1342"/>
      <c r="E1022" s="1342"/>
      <c r="F1022" s="1342"/>
      <c r="G1022" s="1342"/>
      <c r="H1022" s="1342"/>
      <c r="I1022" s="1342"/>
      <c r="J1022" s="1342"/>
      <c r="K1022" s="1342"/>
    </row>
    <row r="1023" spans="2:11" ht="14" hidden="1">
      <c r="B1023" s="1342"/>
      <c r="C1023" s="1342"/>
      <c r="D1023" s="1342"/>
      <c r="E1023" s="1342"/>
      <c r="F1023" s="1342"/>
      <c r="G1023" s="1342"/>
      <c r="H1023" s="1342"/>
      <c r="I1023" s="1342"/>
      <c r="J1023" s="1342"/>
      <c r="K1023" s="1342"/>
    </row>
    <row r="1024" spans="2:11" ht="14" hidden="1">
      <c r="B1024" s="1342"/>
      <c r="C1024" s="1342"/>
      <c r="D1024" s="1342"/>
      <c r="E1024" s="1342"/>
      <c r="F1024" s="1342"/>
      <c r="G1024" s="1342"/>
      <c r="H1024" s="1342"/>
      <c r="I1024" s="1342"/>
      <c r="J1024" s="1342"/>
      <c r="K1024" s="1342"/>
    </row>
    <row r="1025" spans="2:11" ht="14" hidden="1">
      <c r="B1025" s="1342"/>
      <c r="C1025" s="1342"/>
      <c r="D1025" s="1342"/>
      <c r="E1025" s="1342"/>
      <c r="F1025" s="1342"/>
      <c r="G1025" s="1342"/>
      <c r="H1025" s="1342"/>
      <c r="I1025" s="1342"/>
      <c r="J1025" s="1342"/>
      <c r="K1025" s="1342"/>
    </row>
    <row r="1026" spans="2:11" ht="14" hidden="1">
      <c r="B1026" s="1342"/>
      <c r="C1026" s="1342"/>
      <c r="D1026" s="1342"/>
      <c r="E1026" s="1342"/>
      <c r="F1026" s="1342"/>
      <c r="G1026" s="1342"/>
      <c r="H1026" s="1342"/>
      <c r="I1026" s="1342"/>
      <c r="J1026" s="1342"/>
      <c r="K1026" s="1342"/>
    </row>
    <row r="1027" spans="2:11" ht="14" hidden="1">
      <c r="B1027" s="1342"/>
      <c r="C1027" s="1342"/>
      <c r="D1027" s="1342"/>
      <c r="E1027" s="1342"/>
      <c r="F1027" s="1342"/>
      <c r="G1027" s="1342"/>
      <c r="H1027" s="1342"/>
      <c r="I1027" s="1342"/>
      <c r="J1027" s="1342"/>
      <c r="K1027" s="1342"/>
    </row>
    <row r="1028" spans="2:11" ht="14" hidden="1">
      <c r="B1028" s="1342"/>
      <c r="C1028" s="1342"/>
      <c r="D1028" s="1342"/>
      <c r="E1028" s="1342"/>
      <c r="F1028" s="1342"/>
      <c r="G1028" s="1342"/>
      <c r="H1028" s="1342"/>
      <c r="I1028" s="1342"/>
      <c r="J1028" s="1342"/>
      <c r="K1028" s="1342"/>
    </row>
    <row r="1029" spans="2:11" ht="14" hidden="1">
      <c r="B1029" s="1342"/>
      <c r="C1029" s="1342"/>
      <c r="D1029" s="1342"/>
      <c r="E1029" s="1342"/>
      <c r="F1029" s="1342"/>
      <c r="G1029" s="1342"/>
      <c r="H1029" s="1342"/>
      <c r="I1029" s="1342"/>
      <c r="J1029" s="1342"/>
      <c r="K1029" s="1342"/>
    </row>
    <row r="1030" spans="2:11" ht="14" hidden="1">
      <c r="B1030" s="1342"/>
      <c r="C1030" s="1342"/>
      <c r="D1030" s="1342"/>
      <c r="E1030" s="1342"/>
      <c r="F1030" s="1342"/>
      <c r="G1030" s="1342"/>
      <c r="H1030" s="1342"/>
      <c r="I1030" s="1342"/>
      <c r="J1030" s="1342"/>
      <c r="K1030" s="1342"/>
    </row>
    <row r="1031" spans="2:11" ht="14" hidden="1">
      <c r="B1031" s="1342"/>
      <c r="C1031" s="1342"/>
      <c r="D1031" s="1342"/>
      <c r="E1031" s="1342"/>
      <c r="F1031" s="1342"/>
      <c r="G1031" s="1342"/>
      <c r="H1031" s="1342"/>
      <c r="I1031" s="1342"/>
      <c r="J1031" s="1342"/>
      <c r="K1031" s="1342"/>
    </row>
    <row r="1032" spans="2:11" ht="14" hidden="1">
      <c r="B1032" s="1342"/>
      <c r="C1032" s="1342"/>
      <c r="D1032" s="1342"/>
      <c r="E1032" s="1342"/>
      <c r="F1032" s="1342"/>
      <c r="G1032" s="1342"/>
      <c r="H1032" s="1342"/>
      <c r="I1032" s="1342"/>
      <c r="J1032" s="1342"/>
      <c r="K1032" s="1342"/>
    </row>
    <row r="1033" spans="2:11" ht="14" hidden="1">
      <c r="B1033" s="1342"/>
      <c r="C1033" s="1342"/>
      <c r="D1033" s="1342"/>
      <c r="E1033" s="1342"/>
      <c r="F1033" s="1342"/>
      <c r="G1033" s="1342"/>
      <c r="H1033" s="1342"/>
      <c r="I1033" s="1342"/>
      <c r="J1033" s="1342"/>
      <c r="K1033" s="1342"/>
    </row>
    <row r="1034" spans="2:11" ht="14" hidden="1">
      <c r="B1034" s="1342"/>
      <c r="C1034" s="1342"/>
      <c r="D1034" s="1342"/>
      <c r="E1034" s="1342"/>
      <c r="F1034" s="1342"/>
      <c r="G1034" s="1342"/>
      <c r="H1034" s="1342"/>
      <c r="I1034" s="1342"/>
      <c r="J1034" s="1342"/>
      <c r="K1034" s="1342"/>
    </row>
    <row r="1035" spans="2:11" ht="14" hidden="1">
      <c r="B1035" s="1342"/>
      <c r="C1035" s="1342"/>
      <c r="D1035" s="1342"/>
      <c r="E1035" s="1342"/>
      <c r="F1035" s="1342"/>
      <c r="G1035" s="1342"/>
      <c r="H1035" s="1342"/>
      <c r="I1035" s="1342"/>
      <c r="J1035" s="1342"/>
      <c r="K1035" s="1342"/>
    </row>
    <row r="1036" spans="2:11" ht="14" hidden="1">
      <c r="B1036" s="1342"/>
      <c r="C1036" s="1342"/>
      <c r="D1036" s="1342"/>
      <c r="E1036" s="1342"/>
      <c r="F1036" s="1342"/>
      <c r="G1036" s="1342"/>
      <c r="H1036" s="1342"/>
      <c r="I1036" s="1342"/>
      <c r="J1036" s="1342"/>
      <c r="K1036" s="1342"/>
    </row>
    <row r="1037" spans="2:11" ht="14" hidden="1">
      <c r="B1037" s="1342"/>
      <c r="C1037" s="1342"/>
      <c r="D1037" s="1342"/>
      <c r="E1037" s="1342"/>
      <c r="F1037" s="1342"/>
      <c r="G1037" s="1342"/>
      <c r="H1037" s="1342"/>
      <c r="I1037" s="1342"/>
      <c r="J1037" s="1342"/>
      <c r="K1037" s="1342"/>
    </row>
    <row r="1038" spans="2:11" ht="14" hidden="1">
      <c r="B1038" s="1342"/>
      <c r="C1038" s="1342"/>
      <c r="D1038" s="1342"/>
      <c r="E1038" s="1342"/>
      <c r="F1038" s="1342"/>
      <c r="G1038" s="1342"/>
      <c r="H1038" s="1342"/>
      <c r="I1038" s="1342"/>
      <c r="J1038" s="1342"/>
      <c r="K1038" s="1342"/>
    </row>
    <row r="1039" spans="2:11" ht="14" hidden="1">
      <c r="B1039" s="1342"/>
      <c r="C1039" s="1342"/>
      <c r="D1039" s="1342"/>
      <c r="E1039" s="1342"/>
      <c r="F1039" s="1342"/>
      <c r="G1039" s="1342"/>
      <c r="H1039" s="1342"/>
      <c r="I1039" s="1342"/>
      <c r="J1039" s="1342"/>
      <c r="K1039" s="1342"/>
    </row>
    <row r="1040" spans="2:11" ht="14" hidden="1">
      <c r="B1040" s="1342"/>
      <c r="C1040" s="1342"/>
      <c r="D1040" s="1342"/>
      <c r="E1040" s="1342"/>
      <c r="F1040" s="1342"/>
      <c r="G1040" s="1342"/>
      <c r="H1040" s="1342"/>
      <c r="I1040" s="1342"/>
      <c r="J1040" s="1342"/>
      <c r="K1040" s="1342"/>
    </row>
    <row r="1041" spans="2:11" ht="14" hidden="1">
      <c r="B1041" s="1342"/>
      <c r="C1041" s="1342"/>
      <c r="D1041" s="1342"/>
      <c r="E1041" s="1342"/>
      <c r="F1041" s="1342"/>
      <c r="G1041" s="1342"/>
      <c r="H1041" s="1342"/>
      <c r="I1041" s="1342"/>
      <c r="J1041" s="1342"/>
      <c r="K1041" s="1342"/>
    </row>
    <row r="1042" spans="2:11" ht="14" hidden="1">
      <c r="B1042" s="1342"/>
      <c r="C1042" s="1342"/>
      <c r="D1042" s="1342"/>
      <c r="E1042" s="1342"/>
      <c r="F1042" s="1342"/>
      <c r="G1042" s="1342"/>
      <c r="H1042" s="1342"/>
      <c r="I1042" s="1342"/>
      <c r="J1042" s="1342"/>
      <c r="K1042" s="1342"/>
    </row>
    <row r="1043" spans="2:11" ht="14" hidden="1">
      <c r="B1043" s="1342"/>
      <c r="C1043" s="1342"/>
      <c r="D1043" s="1342"/>
      <c r="E1043" s="1342"/>
      <c r="F1043" s="1342"/>
      <c r="G1043" s="1342"/>
      <c r="H1043" s="1342"/>
      <c r="I1043" s="1342"/>
      <c r="J1043" s="1342"/>
      <c r="K1043" s="1342"/>
    </row>
    <row r="1044" spans="2:11" ht="14" hidden="1">
      <c r="B1044" s="1342"/>
      <c r="C1044" s="1342"/>
      <c r="D1044" s="1342"/>
      <c r="E1044" s="1342"/>
      <c r="F1044" s="1342"/>
      <c r="G1044" s="1342"/>
      <c r="H1044" s="1342"/>
      <c r="I1044" s="1342"/>
      <c r="J1044" s="1342"/>
      <c r="K1044" s="1342"/>
    </row>
    <row r="1045" spans="2:11" ht="14" hidden="1">
      <c r="B1045" s="1342"/>
      <c r="C1045" s="1342"/>
      <c r="D1045" s="1342"/>
      <c r="E1045" s="1342"/>
      <c r="F1045" s="1342"/>
      <c r="G1045" s="1342"/>
      <c r="H1045" s="1342"/>
      <c r="I1045" s="1342"/>
      <c r="J1045" s="1342"/>
      <c r="K1045" s="1342"/>
    </row>
    <row r="1046" spans="2:11" ht="14" hidden="1">
      <c r="B1046" s="1342"/>
      <c r="C1046" s="1342"/>
      <c r="D1046" s="1342"/>
      <c r="E1046" s="1342"/>
      <c r="F1046" s="1342"/>
      <c r="G1046" s="1342"/>
      <c r="H1046" s="1342"/>
      <c r="I1046" s="1342"/>
      <c r="J1046" s="1342"/>
      <c r="K1046" s="1342"/>
    </row>
    <row r="1047" spans="2:11" ht="14" hidden="1">
      <c r="B1047" s="1342"/>
      <c r="C1047" s="1342"/>
      <c r="D1047" s="1342"/>
      <c r="E1047" s="1342"/>
      <c r="F1047" s="1342"/>
      <c r="G1047" s="1342"/>
      <c r="H1047" s="1342"/>
      <c r="I1047" s="1342"/>
      <c r="J1047" s="1342"/>
      <c r="K1047" s="1342"/>
    </row>
    <row r="1048" spans="2:11" ht="14" hidden="1">
      <c r="B1048" s="1342"/>
      <c r="C1048" s="1342"/>
      <c r="D1048" s="1342"/>
      <c r="E1048" s="1342"/>
      <c r="F1048" s="1342"/>
      <c r="G1048" s="1342"/>
      <c r="H1048" s="1342"/>
      <c r="I1048" s="1342"/>
      <c r="J1048" s="1342"/>
      <c r="K1048" s="1342"/>
    </row>
    <row r="1049" spans="2:11" ht="14" hidden="1">
      <c r="B1049" s="1342"/>
      <c r="C1049" s="1342"/>
      <c r="D1049" s="1342"/>
      <c r="E1049" s="1342"/>
      <c r="F1049" s="1342"/>
      <c r="G1049" s="1342"/>
      <c r="H1049" s="1342"/>
      <c r="I1049" s="1342"/>
      <c r="J1049" s="1342"/>
      <c r="K1049" s="1342"/>
    </row>
    <row r="1050" spans="2:11" ht="14" hidden="1">
      <c r="B1050" s="1342"/>
      <c r="C1050" s="1342"/>
      <c r="D1050" s="1342"/>
      <c r="E1050" s="1342"/>
      <c r="F1050" s="1342"/>
      <c r="G1050" s="1342"/>
      <c r="H1050" s="1342"/>
      <c r="I1050" s="1342"/>
      <c r="J1050" s="1342"/>
      <c r="K1050" s="1342"/>
    </row>
    <row r="1051" spans="2:11" ht="14" hidden="1">
      <c r="B1051" s="1342"/>
      <c r="C1051" s="1342"/>
      <c r="D1051" s="1342"/>
      <c r="E1051" s="1342"/>
      <c r="F1051" s="1342"/>
      <c r="G1051" s="1342"/>
      <c r="H1051" s="1342"/>
      <c r="I1051" s="1342"/>
      <c r="J1051" s="1342"/>
      <c r="K1051" s="1342"/>
    </row>
    <row r="1052" spans="2:11" ht="14" hidden="1">
      <c r="B1052" s="1342"/>
      <c r="C1052" s="1342"/>
      <c r="D1052" s="1342"/>
      <c r="E1052" s="1342"/>
      <c r="F1052" s="1342"/>
      <c r="G1052" s="1342"/>
      <c r="H1052" s="1342"/>
      <c r="I1052" s="1342"/>
      <c r="J1052" s="1342"/>
      <c r="K1052" s="1342"/>
    </row>
    <row r="1053" spans="2:11" ht="14" hidden="1">
      <c r="B1053" s="1342"/>
      <c r="C1053" s="1342"/>
      <c r="D1053" s="1342"/>
      <c r="E1053" s="1342"/>
      <c r="F1053" s="1342"/>
      <c r="G1053" s="1342"/>
      <c r="H1053" s="1342"/>
      <c r="I1053" s="1342"/>
      <c r="J1053" s="1342"/>
      <c r="K1053" s="1342"/>
    </row>
    <row r="1054" spans="2:11" ht="14" hidden="1">
      <c r="B1054" s="1342"/>
      <c r="C1054" s="1342"/>
      <c r="D1054" s="1342"/>
      <c r="E1054" s="1342"/>
      <c r="F1054" s="1342"/>
      <c r="G1054" s="1342"/>
      <c r="H1054" s="1342"/>
      <c r="I1054" s="1342"/>
      <c r="J1054" s="1342"/>
      <c r="K1054" s="1342"/>
    </row>
    <row r="1055" spans="2:11" ht="14" hidden="1">
      <c r="B1055" s="1342"/>
      <c r="C1055" s="1342"/>
      <c r="D1055" s="1342"/>
      <c r="E1055" s="1342"/>
      <c r="F1055" s="1342"/>
      <c r="G1055" s="1342"/>
      <c r="H1055" s="1342"/>
      <c r="I1055" s="1342"/>
      <c r="J1055" s="1342"/>
      <c r="K1055" s="1342"/>
    </row>
    <row r="1056" spans="2:11" ht="14" hidden="1">
      <c r="B1056" s="1342"/>
      <c r="C1056" s="1342"/>
      <c r="D1056" s="1342"/>
      <c r="E1056" s="1342"/>
      <c r="F1056" s="1342"/>
      <c r="G1056" s="1342"/>
      <c r="H1056" s="1342"/>
      <c r="I1056" s="1342"/>
      <c r="J1056" s="1342"/>
      <c r="K1056" s="1342"/>
    </row>
    <row r="1057" spans="2:11" ht="14" hidden="1">
      <c r="B1057" s="1342"/>
      <c r="C1057" s="1342"/>
      <c r="D1057" s="1342"/>
      <c r="E1057" s="1342"/>
      <c r="F1057" s="1342"/>
      <c r="G1057" s="1342"/>
      <c r="H1057" s="1342"/>
      <c r="I1057" s="1342"/>
      <c r="J1057" s="1342"/>
      <c r="K1057" s="1342"/>
    </row>
    <row r="1058" spans="2:11" ht="14" hidden="1">
      <c r="B1058" s="1342"/>
      <c r="C1058" s="1342"/>
      <c r="D1058" s="1342"/>
      <c r="E1058" s="1342"/>
      <c r="F1058" s="1342"/>
      <c r="G1058" s="1342"/>
      <c r="H1058" s="1342"/>
      <c r="I1058" s="1342"/>
      <c r="J1058" s="1342"/>
      <c r="K1058" s="1342"/>
    </row>
    <row r="1059" spans="2:11" ht="14" hidden="1">
      <c r="B1059" s="1342"/>
      <c r="C1059" s="1342"/>
      <c r="D1059" s="1342"/>
      <c r="E1059" s="1342"/>
      <c r="F1059" s="1342"/>
      <c r="G1059" s="1342"/>
      <c r="H1059" s="1342"/>
      <c r="I1059" s="1342"/>
      <c r="J1059" s="1342"/>
      <c r="K1059" s="1342"/>
    </row>
    <row r="1060" spans="2:11" ht="14" hidden="1">
      <c r="B1060" s="1342"/>
      <c r="C1060" s="1342"/>
      <c r="D1060" s="1342"/>
      <c r="E1060" s="1342"/>
      <c r="F1060" s="1342"/>
      <c r="G1060" s="1342"/>
      <c r="H1060" s="1342"/>
      <c r="I1060" s="1342"/>
      <c r="J1060" s="1342"/>
      <c r="K1060" s="1342"/>
    </row>
    <row r="1061" spans="2:11" ht="14" hidden="1">
      <c r="B1061" s="1342"/>
      <c r="C1061" s="1342"/>
      <c r="D1061" s="1342"/>
      <c r="E1061" s="1342"/>
      <c r="F1061" s="1342"/>
      <c r="G1061" s="1342"/>
      <c r="H1061" s="1342"/>
      <c r="I1061" s="1342"/>
      <c r="J1061" s="1342"/>
      <c r="K1061" s="1342"/>
    </row>
    <row r="1062" spans="2:11" ht="14" hidden="1">
      <c r="B1062" s="1342"/>
      <c r="C1062" s="1342"/>
      <c r="D1062" s="1342"/>
      <c r="E1062" s="1342"/>
      <c r="F1062" s="1342"/>
      <c r="G1062" s="1342"/>
      <c r="H1062" s="1342"/>
      <c r="I1062" s="1342"/>
      <c r="J1062" s="1342"/>
      <c r="K1062" s="1342"/>
    </row>
    <row r="1063" spans="2:11" ht="14" hidden="1">
      <c r="B1063" s="1342"/>
      <c r="C1063" s="1342"/>
      <c r="D1063" s="1342"/>
      <c r="E1063" s="1342"/>
      <c r="F1063" s="1342"/>
      <c r="G1063" s="1342"/>
      <c r="H1063" s="1342"/>
      <c r="I1063" s="1342"/>
      <c r="J1063" s="1342"/>
      <c r="K1063" s="1342"/>
    </row>
    <row r="1064" spans="2:11" ht="14" hidden="1">
      <c r="B1064" s="1342"/>
      <c r="C1064" s="1342"/>
      <c r="D1064" s="1342"/>
      <c r="E1064" s="1342"/>
      <c r="F1064" s="1342"/>
      <c r="G1064" s="1342"/>
      <c r="H1064" s="1342"/>
      <c r="I1064" s="1342"/>
      <c r="J1064" s="1342"/>
      <c r="K1064" s="1342"/>
    </row>
    <row r="1065" spans="2:11" ht="14" hidden="1">
      <c r="B1065" s="1342"/>
      <c r="C1065" s="1342"/>
      <c r="D1065" s="1342"/>
      <c r="E1065" s="1342"/>
      <c r="F1065" s="1342"/>
      <c r="G1065" s="1342"/>
      <c r="H1065" s="1342"/>
      <c r="I1065" s="1342"/>
      <c r="J1065" s="1342"/>
      <c r="K1065" s="1342"/>
    </row>
    <row r="1066" spans="2:11" ht="14" hidden="1">
      <c r="B1066" s="1342"/>
      <c r="C1066" s="1342"/>
      <c r="D1066" s="1342"/>
      <c r="E1066" s="1342"/>
      <c r="F1066" s="1342"/>
      <c r="G1066" s="1342"/>
      <c r="H1066" s="1342"/>
      <c r="I1066" s="1342"/>
      <c r="J1066" s="1342"/>
      <c r="K1066" s="1342"/>
    </row>
    <row r="1067" spans="2:11" ht="14" hidden="1">
      <c r="B1067" s="1342"/>
      <c r="C1067" s="1342"/>
      <c r="D1067" s="1342"/>
      <c r="E1067" s="1342"/>
      <c r="F1067" s="1342"/>
      <c r="G1067" s="1342"/>
      <c r="H1067" s="1342"/>
      <c r="I1067" s="1342"/>
      <c r="J1067" s="1342"/>
      <c r="K1067" s="1342"/>
    </row>
    <row r="1068" spans="2:11" ht="14" hidden="1">
      <c r="B1068" s="1342"/>
      <c r="C1068" s="1342"/>
      <c r="D1068" s="1342"/>
      <c r="E1068" s="1342"/>
      <c r="F1068" s="1342"/>
      <c r="G1068" s="1342"/>
      <c r="H1068" s="1342"/>
      <c r="I1068" s="1342"/>
      <c r="J1068" s="1342"/>
      <c r="K1068" s="1342"/>
    </row>
    <row r="1069" spans="2:11" ht="14" hidden="1">
      <c r="B1069" s="1342"/>
      <c r="C1069" s="1342"/>
      <c r="D1069" s="1342"/>
      <c r="E1069" s="1342"/>
      <c r="F1069" s="1342"/>
      <c r="G1069" s="1342"/>
      <c r="H1069" s="1342"/>
      <c r="I1069" s="1342"/>
      <c r="J1069" s="1342"/>
      <c r="K1069" s="1342"/>
    </row>
    <row r="1070" spans="2:11" ht="14" hidden="1">
      <c r="B1070" s="1342"/>
      <c r="C1070" s="1342"/>
      <c r="D1070" s="1342"/>
      <c r="E1070" s="1342"/>
      <c r="F1070" s="1342"/>
      <c r="G1070" s="1342"/>
      <c r="H1070" s="1342"/>
      <c r="I1070" s="1342"/>
      <c r="J1070" s="1342"/>
      <c r="K1070" s="1342"/>
    </row>
    <row r="1071" spans="2:11" ht="14" hidden="1">
      <c r="B1071" s="1342"/>
      <c r="C1071" s="1342"/>
      <c r="D1071" s="1342"/>
      <c r="E1071" s="1342"/>
      <c r="F1071" s="1342"/>
      <c r="G1071" s="1342"/>
      <c r="H1071" s="1342"/>
      <c r="I1071" s="1342"/>
      <c r="J1071" s="1342"/>
      <c r="K1071" s="1342"/>
    </row>
    <row r="1072" spans="2:11" ht="14" hidden="1">
      <c r="B1072" s="1342"/>
      <c r="C1072" s="1342"/>
      <c r="D1072" s="1342"/>
      <c r="E1072" s="1342"/>
      <c r="F1072" s="1342"/>
      <c r="G1072" s="1342"/>
      <c r="H1072" s="1342"/>
      <c r="I1072" s="1342"/>
      <c r="J1072" s="1342"/>
      <c r="K1072" s="1342"/>
    </row>
    <row r="1073" spans="2:11" ht="14" hidden="1">
      <c r="B1073" s="1342"/>
      <c r="C1073" s="1342"/>
      <c r="D1073" s="1342"/>
      <c r="E1073" s="1342"/>
      <c r="F1073" s="1342"/>
      <c r="G1073" s="1342"/>
      <c r="H1073" s="1342"/>
      <c r="I1073" s="1342"/>
      <c r="J1073" s="1342"/>
      <c r="K1073" s="1342"/>
    </row>
    <row r="1074" spans="2:11" ht="14" hidden="1">
      <c r="B1074" s="1342"/>
      <c r="C1074" s="1342"/>
      <c r="D1074" s="1342"/>
      <c r="E1074" s="1342"/>
      <c r="F1074" s="1342"/>
      <c r="G1074" s="1342"/>
      <c r="H1074" s="1342"/>
      <c r="I1074" s="1342"/>
      <c r="J1074" s="1342"/>
      <c r="K1074" s="1342"/>
    </row>
    <row r="1075" spans="2:11" ht="14" hidden="1">
      <c r="B1075" s="1342"/>
      <c r="C1075" s="1342"/>
      <c r="D1075" s="1342"/>
      <c r="E1075" s="1342"/>
      <c r="F1075" s="1342"/>
      <c r="G1075" s="1342"/>
      <c r="H1075" s="1342"/>
      <c r="I1075" s="1342"/>
      <c r="J1075" s="1342"/>
      <c r="K1075" s="1342"/>
    </row>
    <row r="1076" spans="2:11" ht="14" hidden="1">
      <c r="B1076" s="1342"/>
      <c r="C1076" s="1342"/>
      <c r="D1076" s="1342"/>
      <c r="E1076" s="1342"/>
      <c r="F1076" s="1342"/>
      <c r="G1076" s="1342"/>
      <c r="H1076" s="1342"/>
      <c r="I1076" s="1342"/>
      <c r="J1076" s="1342"/>
      <c r="K1076" s="1342"/>
    </row>
    <row r="1077" spans="2:11" ht="14" hidden="1">
      <c r="B1077" s="1342"/>
      <c r="C1077" s="1342"/>
      <c r="D1077" s="1342"/>
      <c r="E1077" s="1342"/>
      <c r="F1077" s="1342"/>
      <c r="G1077" s="1342"/>
      <c r="H1077" s="1342"/>
      <c r="I1077" s="1342"/>
      <c r="J1077" s="1342"/>
      <c r="K1077" s="1342"/>
    </row>
    <row r="1078" spans="2:11" ht="14" hidden="1">
      <c r="B1078" s="1342"/>
      <c r="C1078" s="1342"/>
      <c r="D1078" s="1342"/>
      <c r="E1078" s="1342"/>
      <c r="F1078" s="1342"/>
      <c r="G1078" s="1342"/>
      <c r="H1078" s="1342"/>
      <c r="I1078" s="1342"/>
      <c r="J1078" s="1342"/>
      <c r="K1078" s="1342"/>
    </row>
    <row r="1079" spans="2:11" ht="14" hidden="1">
      <c r="B1079" s="1342"/>
      <c r="C1079" s="1342"/>
      <c r="D1079" s="1342"/>
      <c r="E1079" s="1342"/>
      <c r="F1079" s="1342"/>
      <c r="G1079" s="1342"/>
      <c r="H1079" s="1342"/>
      <c r="I1079" s="1342"/>
      <c r="J1079" s="1342"/>
      <c r="K1079" s="1342"/>
    </row>
    <row r="1080" spans="2:11" ht="14" hidden="1">
      <c r="B1080" s="1342"/>
      <c r="C1080" s="1342"/>
      <c r="D1080" s="1342"/>
      <c r="E1080" s="1342"/>
      <c r="F1080" s="1342"/>
      <c r="G1080" s="1342"/>
      <c r="H1080" s="1342"/>
      <c r="I1080" s="1342"/>
      <c r="J1080" s="1342"/>
      <c r="K1080" s="1342"/>
    </row>
    <row r="1081" spans="2:11" ht="14" hidden="1">
      <c r="B1081" s="1342"/>
      <c r="C1081" s="1342"/>
      <c r="D1081" s="1342"/>
      <c r="E1081" s="1342"/>
      <c r="F1081" s="1342"/>
      <c r="G1081" s="1342"/>
      <c r="H1081" s="1342"/>
      <c r="I1081" s="1342"/>
      <c r="J1081" s="1342"/>
      <c r="K1081" s="1342"/>
    </row>
    <row r="1082" spans="2:11" ht="14" hidden="1">
      <c r="B1082" s="1342"/>
      <c r="C1082" s="1342"/>
      <c r="D1082" s="1342"/>
      <c r="E1082" s="1342"/>
      <c r="F1082" s="1342"/>
      <c r="G1082" s="1342"/>
      <c r="H1082" s="1342"/>
      <c r="I1082" s="1342"/>
      <c r="J1082" s="1342"/>
      <c r="K1082" s="1342"/>
    </row>
    <row r="1083" spans="2:11" ht="14" hidden="1">
      <c r="B1083" s="1342"/>
      <c r="C1083" s="1342"/>
      <c r="D1083" s="1342"/>
      <c r="E1083" s="1342"/>
      <c r="F1083" s="1342"/>
      <c r="G1083" s="1342"/>
      <c r="H1083" s="1342"/>
      <c r="I1083" s="1342"/>
      <c r="J1083" s="1342"/>
      <c r="K1083" s="1342"/>
    </row>
    <row r="1084" spans="2:11" ht="14" hidden="1">
      <c r="B1084" s="1342"/>
      <c r="C1084" s="1342"/>
      <c r="D1084" s="1342"/>
      <c r="E1084" s="1342"/>
      <c r="F1084" s="1342"/>
      <c r="G1084" s="1342"/>
      <c r="H1084" s="1342"/>
      <c r="I1084" s="1342"/>
      <c r="J1084" s="1342"/>
      <c r="K1084" s="1342"/>
    </row>
    <row r="1085" spans="2:11" ht="14" hidden="1">
      <c r="B1085" s="1342"/>
      <c r="C1085" s="1342"/>
      <c r="D1085" s="1342"/>
      <c r="E1085" s="1342"/>
      <c r="F1085" s="1342"/>
      <c r="G1085" s="1342"/>
      <c r="H1085" s="1342"/>
      <c r="I1085" s="1342"/>
      <c r="J1085" s="1342"/>
      <c r="K1085" s="1342"/>
    </row>
    <row r="1086" spans="2:11" ht="14" hidden="1">
      <c r="B1086" s="1342"/>
      <c r="C1086" s="1342"/>
      <c r="D1086" s="1342"/>
      <c r="E1086" s="1342"/>
      <c r="F1086" s="1342"/>
      <c r="G1086" s="1342"/>
      <c r="H1086" s="1342"/>
      <c r="I1086" s="1342"/>
      <c r="J1086" s="1342"/>
      <c r="K1086" s="1342"/>
    </row>
    <row r="1087" spans="2:11" ht="14" hidden="1">
      <c r="B1087" s="1342"/>
      <c r="C1087" s="1342"/>
      <c r="D1087" s="1342"/>
      <c r="E1087" s="1342"/>
      <c r="F1087" s="1342"/>
      <c r="G1087" s="1342"/>
      <c r="H1087" s="1342"/>
      <c r="I1087" s="1342"/>
      <c r="J1087" s="1342"/>
      <c r="K1087" s="1342"/>
    </row>
    <row r="1088" spans="2:11" ht="14" hidden="1">
      <c r="B1088" s="1342"/>
      <c r="C1088" s="1342"/>
      <c r="D1088" s="1342"/>
      <c r="E1088" s="1342"/>
      <c r="F1088" s="1342"/>
      <c r="G1088" s="1342"/>
      <c r="H1088" s="1342"/>
      <c r="I1088" s="1342"/>
      <c r="J1088" s="1342"/>
      <c r="K1088" s="1342"/>
    </row>
    <row r="1089" spans="2:11" ht="14" hidden="1">
      <c r="B1089" s="1342"/>
      <c r="C1089" s="1342"/>
      <c r="D1089" s="1342"/>
      <c r="E1089" s="1342"/>
      <c r="F1089" s="1342"/>
      <c r="G1089" s="1342"/>
      <c r="H1089" s="1342"/>
      <c r="I1089" s="1342"/>
      <c r="J1089" s="1342"/>
      <c r="K1089" s="1342"/>
    </row>
    <row r="1090" spans="2:11" ht="14" hidden="1">
      <c r="B1090" s="1342"/>
      <c r="C1090" s="1342"/>
      <c r="D1090" s="1342"/>
      <c r="E1090" s="1342"/>
      <c r="F1090" s="1342"/>
      <c r="G1090" s="1342"/>
      <c r="H1090" s="1342"/>
      <c r="I1090" s="1342"/>
      <c r="J1090" s="1342"/>
      <c r="K1090" s="1342"/>
    </row>
    <row r="1091" spans="2:11" ht="14" hidden="1">
      <c r="B1091" s="1342"/>
      <c r="C1091" s="1342"/>
      <c r="D1091" s="1342"/>
      <c r="E1091" s="1342"/>
      <c r="F1091" s="1342"/>
      <c r="G1091" s="1342"/>
      <c r="H1091" s="1342"/>
      <c r="I1091" s="1342"/>
      <c r="J1091" s="1342"/>
      <c r="K1091" s="1342"/>
    </row>
    <row r="1092" spans="2:11" ht="14" hidden="1">
      <c r="B1092" s="1342"/>
      <c r="C1092" s="1342"/>
      <c r="D1092" s="1342"/>
      <c r="E1092" s="1342"/>
      <c r="F1092" s="1342"/>
      <c r="G1092" s="1342"/>
      <c r="H1092" s="1342"/>
      <c r="I1092" s="1342"/>
      <c r="J1092" s="1342"/>
      <c r="K1092" s="1342"/>
    </row>
    <row r="1093" spans="2:11" ht="14" hidden="1">
      <c r="B1093" s="1342"/>
      <c r="C1093" s="1342"/>
      <c r="D1093" s="1342"/>
      <c r="E1093" s="1342"/>
      <c r="F1093" s="1342"/>
      <c r="G1093" s="1342"/>
      <c r="H1093" s="1342"/>
      <c r="I1093" s="1342"/>
      <c r="J1093" s="1342"/>
      <c r="K1093" s="1342"/>
    </row>
    <row r="1094" spans="2:11" ht="14" hidden="1">
      <c r="B1094" s="1342"/>
      <c r="C1094" s="1342"/>
      <c r="D1094" s="1342"/>
      <c r="E1094" s="1342"/>
      <c r="F1094" s="1342"/>
      <c r="G1094" s="1342"/>
      <c r="H1094" s="1342"/>
      <c r="I1094" s="1342"/>
      <c r="J1094" s="1342"/>
      <c r="K1094" s="1342"/>
    </row>
    <row r="1095" spans="2:11" ht="14" hidden="1">
      <c r="B1095" s="1342"/>
      <c r="C1095" s="1342"/>
      <c r="D1095" s="1342"/>
      <c r="E1095" s="1342"/>
      <c r="F1095" s="1342"/>
      <c r="G1095" s="1342"/>
      <c r="H1095" s="1342"/>
      <c r="I1095" s="1342"/>
      <c r="J1095" s="1342"/>
      <c r="K1095" s="1342"/>
    </row>
    <row r="1096" spans="2:11" ht="14" hidden="1">
      <c r="B1096" s="1342"/>
      <c r="C1096" s="1342"/>
      <c r="D1096" s="1342"/>
      <c r="E1096" s="1342"/>
      <c r="F1096" s="1342"/>
      <c r="G1096" s="1342"/>
      <c r="H1096" s="1342"/>
      <c r="I1096" s="1342"/>
      <c r="J1096" s="1342"/>
      <c r="K1096" s="1342"/>
    </row>
    <row r="1097" spans="2:11" ht="14" hidden="1">
      <c r="B1097" s="1342"/>
      <c r="C1097" s="1342"/>
      <c r="D1097" s="1342"/>
      <c r="E1097" s="1342"/>
      <c r="F1097" s="1342"/>
      <c r="G1097" s="1342"/>
      <c r="H1097" s="1342"/>
      <c r="I1097" s="1342"/>
      <c r="J1097" s="1342"/>
      <c r="K1097" s="1342"/>
    </row>
    <row r="1098" spans="2:11" ht="14" hidden="1">
      <c r="B1098" s="1342"/>
      <c r="C1098" s="1342"/>
      <c r="D1098" s="1342"/>
      <c r="E1098" s="1342"/>
      <c r="F1098" s="1342"/>
      <c r="G1098" s="1342"/>
      <c r="H1098" s="1342"/>
      <c r="I1098" s="1342"/>
      <c r="J1098" s="1342"/>
      <c r="K1098" s="1342"/>
    </row>
    <row r="1099" spans="2:11" ht="14" hidden="1">
      <c r="B1099" s="1342"/>
      <c r="C1099" s="1342"/>
      <c r="D1099" s="1342"/>
      <c r="E1099" s="1342"/>
      <c r="F1099" s="1342"/>
      <c r="G1099" s="1342"/>
      <c r="H1099" s="1342"/>
      <c r="I1099" s="1342"/>
      <c r="J1099" s="1342"/>
      <c r="K1099" s="1342"/>
    </row>
    <row r="1100" spans="2:11" ht="14" hidden="1">
      <c r="B1100" s="1342"/>
      <c r="C1100" s="1342"/>
      <c r="D1100" s="1342"/>
      <c r="E1100" s="1342"/>
      <c r="F1100" s="1342"/>
      <c r="G1100" s="1342"/>
      <c r="H1100" s="1342"/>
      <c r="I1100" s="1342"/>
      <c r="J1100" s="1342"/>
      <c r="K1100" s="1342"/>
    </row>
    <row r="1101" spans="2:11" ht="14" hidden="1">
      <c r="B1101" s="1342"/>
      <c r="C1101" s="1342"/>
      <c r="D1101" s="1342"/>
      <c r="E1101" s="1342"/>
      <c r="F1101" s="1342"/>
      <c r="G1101" s="1342"/>
      <c r="H1101" s="1342"/>
      <c r="I1101" s="1342"/>
      <c r="J1101" s="1342"/>
      <c r="K1101" s="1342"/>
    </row>
    <row r="1102" spans="2:11" ht="14" hidden="1">
      <c r="B1102" s="1342"/>
      <c r="C1102" s="1342"/>
      <c r="D1102" s="1342"/>
      <c r="E1102" s="1342"/>
      <c r="F1102" s="1342"/>
      <c r="G1102" s="1342"/>
      <c r="H1102" s="1342"/>
      <c r="I1102" s="1342"/>
      <c r="J1102" s="1342"/>
      <c r="K1102" s="1342"/>
    </row>
    <row r="1103" spans="2:11" ht="14" hidden="1">
      <c r="B1103" s="1342"/>
      <c r="C1103" s="1342"/>
      <c r="D1103" s="1342"/>
      <c r="E1103" s="1342"/>
      <c r="F1103" s="1342"/>
      <c r="G1103" s="1342"/>
      <c r="H1103" s="1342"/>
      <c r="I1103" s="1342"/>
      <c r="J1103" s="1342"/>
      <c r="K1103" s="1342"/>
    </row>
    <row r="1104" spans="2:11" ht="14" hidden="1">
      <c r="B1104" s="1342"/>
      <c r="C1104" s="1342"/>
      <c r="D1104" s="1342"/>
      <c r="E1104" s="1342"/>
      <c r="F1104" s="1342"/>
      <c r="G1104" s="1342"/>
      <c r="H1104" s="1342"/>
      <c r="I1104" s="1342"/>
      <c r="J1104" s="1342"/>
      <c r="K1104" s="1342"/>
    </row>
    <row r="1105" spans="2:11" ht="14" hidden="1">
      <c r="B1105" s="1342"/>
      <c r="C1105" s="1342"/>
      <c r="D1105" s="1342"/>
      <c r="E1105" s="1342"/>
      <c r="F1105" s="1342"/>
      <c r="G1105" s="1342"/>
      <c r="H1105" s="1342"/>
      <c r="I1105" s="1342"/>
      <c r="J1105" s="1342"/>
      <c r="K1105" s="1342"/>
    </row>
    <row r="1106" spans="2:11" ht="14" hidden="1">
      <c r="B1106" s="1342"/>
      <c r="C1106" s="1342"/>
      <c r="D1106" s="1342"/>
      <c r="E1106" s="1342"/>
      <c r="F1106" s="1342"/>
      <c r="G1106" s="1342"/>
      <c r="H1106" s="1342"/>
      <c r="I1106" s="1342"/>
      <c r="J1106" s="1342"/>
      <c r="K1106" s="1342"/>
    </row>
    <row r="1107" spans="2:11" ht="14" hidden="1">
      <c r="B1107" s="1342"/>
      <c r="C1107" s="1342"/>
      <c r="D1107" s="1342"/>
      <c r="E1107" s="1342"/>
      <c r="F1107" s="1342"/>
      <c r="G1107" s="1342"/>
      <c r="H1107" s="1342"/>
      <c r="I1107" s="1342"/>
      <c r="J1107" s="1342"/>
      <c r="K1107" s="1342"/>
    </row>
    <row r="1108" spans="2:11" ht="14" hidden="1">
      <c r="B1108" s="1342"/>
      <c r="C1108" s="1342"/>
      <c r="D1108" s="1342"/>
      <c r="E1108" s="1342"/>
      <c r="F1108" s="1342"/>
      <c r="G1108" s="1342"/>
      <c r="H1108" s="1342"/>
      <c r="I1108" s="1342"/>
      <c r="J1108" s="1342"/>
      <c r="K1108" s="1342"/>
    </row>
    <row r="1109" spans="2:11" ht="14" hidden="1">
      <c r="B1109" s="1342"/>
      <c r="C1109" s="1342"/>
      <c r="D1109" s="1342"/>
      <c r="E1109" s="1342"/>
      <c r="F1109" s="1342"/>
      <c r="G1109" s="1342"/>
      <c r="H1109" s="1342"/>
      <c r="I1109" s="1342"/>
      <c r="J1109" s="1342"/>
      <c r="K1109" s="1342"/>
    </row>
    <row r="1110" spans="2:11" ht="14" hidden="1">
      <c r="B1110" s="1342"/>
      <c r="C1110" s="1342"/>
      <c r="D1110" s="1342"/>
      <c r="E1110" s="1342"/>
      <c r="F1110" s="1342"/>
      <c r="G1110" s="1342"/>
      <c r="H1110" s="1342"/>
      <c r="I1110" s="1342"/>
      <c r="J1110" s="1342"/>
      <c r="K1110" s="1342"/>
    </row>
    <row r="1111" spans="2:11" ht="14" hidden="1">
      <c r="B1111" s="1342"/>
      <c r="C1111" s="1342"/>
      <c r="D1111" s="1342"/>
      <c r="E1111" s="1342"/>
      <c r="F1111" s="1342"/>
      <c r="G1111" s="1342"/>
      <c r="H1111" s="1342"/>
      <c r="I1111" s="1342"/>
      <c r="J1111" s="1342"/>
      <c r="K1111" s="1342"/>
    </row>
    <row r="1112" spans="2:11" ht="14" hidden="1">
      <c r="B1112" s="1342"/>
      <c r="C1112" s="1342"/>
      <c r="D1112" s="1342"/>
      <c r="E1112" s="1342"/>
      <c r="F1112" s="1342"/>
      <c r="G1112" s="1342"/>
      <c r="H1112" s="1342"/>
      <c r="I1112" s="1342"/>
      <c r="J1112" s="1342"/>
      <c r="K1112" s="1342"/>
    </row>
    <row r="1113" spans="2:11" ht="14" hidden="1">
      <c r="B1113" s="1342"/>
      <c r="C1113" s="1342"/>
      <c r="D1113" s="1342"/>
      <c r="E1113" s="1342"/>
      <c r="F1113" s="1342"/>
      <c r="G1113" s="1342"/>
      <c r="H1113" s="1342"/>
      <c r="I1113" s="1342"/>
      <c r="J1113" s="1342"/>
      <c r="K1113" s="1342"/>
    </row>
    <row r="1114" spans="2:11" ht="14" hidden="1">
      <c r="B1114" s="1342"/>
      <c r="C1114" s="1342"/>
      <c r="D1114" s="1342"/>
      <c r="E1114" s="1342"/>
      <c r="F1114" s="1342"/>
      <c r="G1114" s="1342"/>
      <c r="H1114" s="1342"/>
      <c r="I1114" s="1342"/>
      <c r="J1114" s="1342"/>
      <c r="K1114" s="1342"/>
    </row>
    <row r="1115" spans="2:11" ht="14" hidden="1">
      <c r="B1115" s="1342"/>
      <c r="C1115" s="1342"/>
      <c r="D1115" s="1342"/>
      <c r="E1115" s="1342"/>
      <c r="F1115" s="1342"/>
      <c r="G1115" s="1342"/>
      <c r="H1115" s="1342"/>
      <c r="I1115" s="1342"/>
      <c r="J1115" s="1342"/>
      <c r="K1115" s="1342"/>
    </row>
    <row r="1116" spans="2:11" ht="14" hidden="1">
      <c r="B1116" s="1342"/>
      <c r="C1116" s="1342"/>
      <c r="D1116" s="1342"/>
      <c r="E1116" s="1342"/>
      <c r="F1116" s="1342"/>
      <c r="G1116" s="1342"/>
      <c r="H1116" s="1342"/>
      <c r="I1116" s="1342"/>
      <c r="J1116" s="1342"/>
      <c r="K1116" s="1342"/>
    </row>
    <row r="1117" spans="2:11" ht="14" hidden="1">
      <c r="B1117" s="1342"/>
      <c r="C1117" s="1342"/>
      <c r="D1117" s="1342"/>
      <c r="E1117" s="1342"/>
      <c r="F1117" s="1342"/>
      <c r="G1117" s="1342"/>
      <c r="H1117" s="1342"/>
      <c r="I1117" s="1342"/>
      <c r="J1117" s="1342"/>
      <c r="K1117" s="1342"/>
    </row>
    <row r="1118" spans="2:11" ht="14" hidden="1">
      <c r="B1118" s="1342"/>
      <c r="C1118" s="1342"/>
      <c r="D1118" s="1342"/>
      <c r="E1118" s="1342"/>
      <c r="F1118" s="1342"/>
      <c r="G1118" s="1342"/>
      <c r="H1118" s="1342"/>
      <c r="I1118" s="1342"/>
      <c r="J1118" s="1342"/>
      <c r="K1118" s="1342"/>
    </row>
    <row r="1119" spans="2:11" ht="14" hidden="1">
      <c r="B1119" s="1342"/>
      <c r="C1119" s="1342"/>
      <c r="D1119" s="1342"/>
      <c r="E1119" s="1342"/>
      <c r="F1119" s="1342"/>
      <c r="G1119" s="1342"/>
      <c r="H1119" s="1342"/>
      <c r="I1119" s="1342"/>
      <c r="J1119" s="1342"/>
      <c r="K1119" s="1342"/>
    </row>
    <row r="1120" spans="2:11" ht="14" hidden="1">
      <c r="B1120" s="1342"/>
      <c r="C1120" s="1342"/>
      <c r="D1120" s="1342"/>
      <c r="E1120" s="1342"/>
      <c r="F1120" s="1342"/>
      <c r="G1120" s="1342"/>
      <c r="H1120" s="1342"/>
      <c r="I1120" s="1342"/>
      <c r="J1120" s="1342"/>
      <c r="K1120" s="1342"/>
    </row>
    <row r="1121" spans="2:11" ht="14" hidden="1">
      <c r="B1121" s="1342"/>
      <c r="C1121" s="1342"/>
      <c r="D1121" s="1342"/>
      <c r="E1121" s="1342"/>
      <c r="F1121" s="1342"/>
      <c r="G1121" s="1342"/>
      <c r="H1121" s="1342"/>
      <c r="I1121" s="1342"/>
      <c r="J1121" s="1342"/>
      <c r="K1121" s="1342"/>
    </row>
    <row r="1122" spans="2:11" ht="14" hidden="1">
      <c r="B1122" s="1342"/>
      <c r="C1122" s="1342"/>
      <c r="D1122" s="1342"/>
      <c r="E1122" s="1342"/>
      <c r="F1122" s="1342"/>
      <c r="G1122" s="1342"/>
      <c r="H1122" s="1342"/>
      <c r="I1122" s="1342"/>
      <c r="J1122" s="1342"/>
      <c r="K1122" s="1342"/>
    </row>
    <row r="1123" spans="2:11" ht="14" hidden="1">
      <c r="B1123" s="1342"/>
      <c r="C1123" s="1342"/>
      <c r="D1123" s="1342"/>
      <c r="E1123" s="1342"/>
      <c r="F1123" s="1342"/>
      <c r="G1123" s="1342"/>
      <c r="H1123" s="1342"/>
      <c r="I1123" s="1342"/>
      <c r="J1123" s="1342"/>
      <c r="K1123" s="1342"/>
    </row>
    <row r="1124" spans="2:11" ht="14" hidden="1">
      <c r="B1124" s="1342"/>
      <c r="C1124" s="1342"/>
      <c r="D1124" s="1342"/>
      <c r="E1124" s="1342"/>
      <c r="F1124" s="1342"/>
      <c r="G1124" s="1342"/>
      <c r="H1124" s="1342"/>
      <c r="I1124" s="1342"/>
      <c r="J1124" s="1342"/>
      <c r="K1124" s="1342"/>
    </row>
    <row r="1125" spans="2:11" ht="14" hidden="1">
      <c r="B1125" s="1342"/>
      <c r="C1125" s="1342"/>
      <c r="D1125" s="1342"/>
      <c r="E1125" s="1342"/>
      <c r="F1125" s="1342"/>
      <c r="G1125" s="1342"/>
      <c r="H1125" s="1342"/>
      <c r="I1125" s="1342"/>
      <c r="J1125" s="1342"/>
      <c r="K1125" s="1342"/>
    </row>
    <row r="1126" spans="2:11" ht="14" hidden="1">
      <c r="B1126" s="1342"/>
      <c r="C1126" s="1342"/>
      <c r="D1126" s="1342"/>
      <c r="E1126" s="1342"/>
      <c r="F1126" s="1342"/>
      <c r="G1126" s="1342"/>
      <c r="H1126" s="1342"/>
      <c r="I1126" s="1342"/>
      <c r="J1126" s="1342"/>
      <c r="K1126" s="1342"/>
    </row>
    <row r="1127" spans="2:11" ht="14" hidden="1">
      <c r="B1127" s="1342"/>
      <c r="C1127" s="1342"/>
      <c r="D1127" s="1342"/>
      <c r="E1127" s="1342"/>
      <c r="F1127" s="1342"/>
      <c r="G1127" s="1342"/>
      <c r="H1127" s="1342"/>
      <c r="I1127" s="1342"/>
      <c r="J1127" s="1342"/>
      <c r="K1127" s="1342"/>
    </row>
    <row r="1128" spans="2:11" ht="14" hidden="1">
      <c r="B1128" s="1342"/>
      <c r="C1128" s="1342"/>
      <c r="D1128" s="1342"/>
      <c r="E1128" s="1342"/>
      <c r="F1128" s="1342"/>
      <c r="G1128" s="1342"/>
      <c r="H1128" s="1342"/>
      <c r="I1128" s="1342"/>
      <c r="J1128" s="1342"/>
      <c r="K1128" s="1342"/>
    </row>
    <row r="1129" spans="2:11" ht="14" hidden="1">
      <c r="B1129" s="1342"/>
      <c r="C1129" s="1342"/>
      <c r="D1129" s="1342"/>
      <c r="E1129" s="1342"/>
      <c r="F1129" s="1342"/>
      <c r="G1129" s="1342"/>
      <c r="H1129" s="1342"/>
      <c r="I1129" s="1342"/>
      <c r="J1129" s="1342"/>
      <c r="K1129" s="1342"/>
    </row>
    <row r="1130" spans="2:11" ht="14" hidden="1">
      <c r="B1130" s="1342"/>
      <c r="C1130" s="1342"/>
      <c r="D1130" s="1342"/>
      <c r="E1130" s="1342"/>
      <c r="F1130" s="1342"/>
      <c r="G1130" s="1342"/>
      <c r="H1130" s="1342"/>
      <c r="I1130" s="1342"/>
      <c r="J1130" s="1342"/>
      <c r="K1130" s="1342"/>
    </row>
    <row r="1131" spans="2:11" ht="14" hidden="1">
      <c r="B1131" s="1342"/>
      <c r="C1131" s="1342"/>
      <c r="D1131" s="1342"/>
      <c r="E1131" s="1342"/>
      <c r="F1131" s="1342"/>
      <c r="G1131" s="1342"/>
      <c r="H1131" s="1342"/>
      <c r="I1131" s="1342"/>
      <c r="J1131" s="1342"/>
      <c r="K1131" s="1342"/>
    </row>
    <row r="1132" spans="2:11" ht="14" hidden="1">
      <c r="B1132" s="1342"/>
      <c r="C1132" s="1342"/>
      <c r="D1132" s="1342"/>
      <c r="E1132" s="1342"/>
      <c r="F1132" s="1342"/>
      <c r="G1132" s="1342"/>
      <c r="H1132" s="1342"/>
      <c r="I1132" s="1342"/>
      <c r="J1132" s="1342"/>
      <c r="K1132" s="1342"/>
    </row>
    <row r="1133" spans="2:11" ht="14" hidden="1">
      <c r="B1133" s="1342"/>
      <c r="C1133" s="1342"/>
      <c r="D1133" s="1342"/>
      <c r="E1133" s="1342"/>
      <c r="F1133" s="1342"/>
      <c r="G1133" s="1342"/>
      <c r="H1133" s="1342"/>
      <c r="I1133" s="1342"/>
      <c r="J1133" s="1342"/>
      <c r="K1133" s="1342"/>
    </row>
    <row r="1134" spans="2:11" ht="14" hidden="1">
      <c r="B1134" s="1342"/>
      <c r="C1134" s="1342"/>
      <c r="D1134" s="1342"/>
      <c r="E1134" s="1342"/>
      <c r="F1134" s="1342"/>
      <c r="G1134" s="1342"/>
      <c r="H1134" s="1342"/>
      <c r="I1134" s="1342"/>
      <c r="J1134" s="1342"/>
      <c r="K1134" s="1342"/>
    </row>
    <row r="1135" spans="2:11" ht="14" hidden="1">
      <c r="B1135" s="1342"/>
      <c r="C1135" s="1342"/>
      <c r="D1135" s="1342"/>
      <c r="E1135" s="1342"/>
      <c r="F1135" s="1342"/>
      <c r="G1135" s="1342"/>
      <c r="H1135" s="1342"/>
      <c r="I1135" s="1342"/>
      <c r="J1135" s="1342"/>
      <c r="K1135" s="1342"/>
    </row>
    <row r="1136" spans="2:11" ht="14" hidden="1">
      <c r="B1136" s="1342"/>
      <c r="C1136" s="1342"/>
      <c r="D1136" s="1342"/>
      <c r="E1136" s="1342"/>
      <c r="F1136" s="1342"/>
      <c r="G1136" s="1342"/>
      <c r="H1136" s="1342"/>
      <c r="I1136" s="1342"/>
      <c r="J1136" s="1342"/>
      <c r="K1136" s="1342"/>
    </row>
    <row r="1137" spans="2:11" ht="14" hidden="1">
      <c r="B1137" s="1342"/>
      <c r="C1137" s="1342"/>
      <c r="D1137" s="1342"/>
      <c r="E1137" s="1342"/>
      <c r="F1137" s="1342"/>
      <c r="G1137" s="1342"/>
      <c r="H1137" s="1342"/>
      <c r="I1137" s="1342"/>
      <c r="J1137" s="1342"/>
      <c r="K1137" s="1342"/>
    </row>
    <row r="1138" spans="2:11" ht="14" hidden="1">
      <c r="B1138" s="1342"/>
      <c r="C1138" s="1342"/>
      <c r="D1138" s="1342"/>
      <c r="E1138" s="1342"/>
      <c r="F1138" s="1342"/>
      <c r="G1138" s="1342"/>
      <c r="H1138" s="1342"/>
      <c r="I1138" s="1342"/>
      <c r="J1138" s="1342"/>
      <c r="K1138" s="1342"/>
    </row>
    <row r="1139" spans="2:11" ht="14" hidden="1">
      <c r="B1139" s="1342"/>
      <c r="C1139" s="1342"/>
      <c r="D1139" s="1342"/>
      <c r="E1139" s="1342"/>
      <c r="F1139" s="1342"/>
      <c r="G1139" s="1342"/>
      <c r="H1139" s="1342"/>
      <c r="I1139" s="1342"/>
      <c r="J1139" s="1342"/>
      <c r="K1139" s="1342"/>
    </row>
    <row r="1140" spans="2:11" ht="14" hidden="1">
      <c r="B1140" s="1342"/>
      <c r="C1140" s="1342"/>
      <c r="D1140" s="1342"/>
      <c r="E1140" s="1342"/>
      <c r="F1140" s="1342"/>
      <c r="G1140" s="1342"/>
      <c r="H1140" s="1342"/>
      <c r="I1140" s="1342"/>
      <c r="J1140" s="1342"/>
      <c r="K1140" s="1342"/>
    </row>
    <row r="1141" spans="2:11" ht="14" hidden="1">
      <c r="B1141" s="1342"/>
      <c r="C1141" s="1342"/>
      <c r="D1141" s="1342"/>
      <c r="E1141" s="1342"/>
      <c r="F1141" s="1342"/>
      <c r="G1141" s="1342"/>
      <c r="H1141" s="1342"/>
      <c r="I1141" s="1342"/>
      <c r="J1141" s="1342"/>
      <c r="K1141" s="1342"/>
    </row>
    <row r="1142" spans="2:11" ht="14" hidden="1">
      <c r="B1142" s="1342"/>
      <c r="C1142" s="1342"/>
      <c r="D1142" s="1342"/>
      <c r="E1142" s="1342"/>
      <c r="F1142" s="1342"/>
      <c r="G1142" s="1342"/>
      <c r="H1142" s="1342"/>
      <c r="I1142" s="1342"/>
      <c r="J1142" s="1342"/>
      <c r="K1142" s="1342"/>
    </row>
    <row r="1143" spans="2:11" ht="14" hidden="1">
      <c r="B1143" s="1342"/>
      <c r="C1143" s="1342"/>
      <c r="D1143" s="1342"/>
      <c r="E1143" s="1342"/>
      <c r="F1143" s="1342"/>
      <c r="G1143" s="1342"/>
      <c r="H1143" s="1342"/>
      <c r="I1143" s="1342"/>
      <c r="J1143" s="1342"/>
      <c r="K1143" s="1342"/>
    </row>
    <row r="1144" spans="2:11" ht="14" hidden="1">
      <c r="B1144" s="1342"/>
      <c r="C1144" s="1342"/>
      <c r="D1144" s="1342"/>
      <c r="E1144" s="1342"/>
      <c r="F1144" s="1342"/>
      <c r="G1144" s="1342"/>
      <c r="H1144" s="1342"/>
      <c r="I1144" s="1342"/>
      <c r="J1144" s="1342"/>
      <c r="K1144" s="1342"/>
    </row>
    <row r="1145" spans="2:11" ht="14" hidden="1">
      <c r="B1145" s="1342"/>
      <c r="C1145" s="1342"/>
      <c r="D1145" s="1342"/>
      <c r="E1145" s="1342"/>
      <c r="F1145" s="1342"/>
      <c r="G1145" s="1342"/>
      <c r="H1145" s="1342"/>
      <c r="I1145" s="1342"/>
      <c r="J1145" s="1342"/>
      <c r="K1145" s="1342"/>
    </row>
    <row r="1146" spans="2:11" ht="14" hidden="1">
      <c r="B1146" s="1342"/>
      <c r="C1146" s="1342"/>
      <c r="D1146" s="1342"/>
      <c r="E1146" s="1342"/>
      <c r="F1146" s="1342"/>
      <c r="G1146" s="1342"/>
      <c r="H1146" s="1342"/>
      <c r="I1146" s="1342"/>
      <c r="J1146" s="1342"/>
      <c r="K1146" s="1342"/>
    </row>
    <row r="1147" spans="2:11" ht="14" hidden="1">
      <c r="B1147" s="1342"/>
      <c r="C1147" s="1342"/>
      <c r="D1147" s="1342"/>
      <c r="E1147" s="1342"/>
      <c r="F1147" s="1342"/>
      <c r="G1147" s="1342"/>
      <c r="H1147" s="1342"/>
      <c r="I1147" s="1342"/>
      <c r="J1147" s="1342"/>
      <c r="K1147" s="1342"/>
    </row>
    <row r="1148" spans="2:11" ht="14" hidden="1">
      <c r="B1148" s="1342"/>
      <c r="C1148" s="1342"/>
      <c r="D1148" s="1342"/>
      <c r="E1148" s="1342"/>
      <c r="F1148" s="1342"/>
      <c r="G1148" s="1342"/>
      <c r="H1148" s="1342"/>
      <c r="I1148" s="1342"/>
      <c r="J1148" s="1342"/>
      <c r="K1148" s="1342"/>
    </row>
    <row r="1149" spans="2:11" ht="14" hidden="1">
      <c r="B1149" s="1342"/>
      <c r="C1149" s="1342"/>
      <c r="D1149" s="1342"/>
      <c r="E1149" s="1342"/>
      <c r="F1149" s="1342"/>
      <c r="G1149" s="1342"/>
      <c r="H1149" s="1342"/>
      <c r="I1149" s="1342"/>
      <c r="J1149" s="1342"/>
      <c r="K1149" s="1342"/>
    </row>
    <row r="1150" spans="2:11" ht="14" hidden="1">
      <c r="B1150" s="1342"/>
      <c r="C1150" s="1342"/>
      <c r="D1150" s="1342"/>
      <c r="E1150" s="1342"/>
      <c r="F1150" s="1342"/>
      <c r="G1150" s="1342"/>
      <c r="H1150" s="1342"/>
      <c r="I1150" s="1342"/>
      <c r="J1150" s="1342"/>
      <c r="K1150" s="1342"/>
    </row>
    <row r="1151" spans="2:11" ht="14" hidden="1">
      <c r="B1151" s="1342"/>
      <c r="C1151" s="1342"/>
      <c r="D1151" s="1342"/>
      <c r="E1151" s="1342"/>
      <c r="F1151" s="1342"/>
      <c r="G1151" s="1342"/>
      <c r="H1151" s="1342"/>
      <c r="I1151" s="1342"/>
      <c r="J1151" s="1342"/>
      <c r="K1151" s="1342"/>
    </row>
    <row r="1152" spans="2:11" ht="14" hidden="1">
      <c r="B1152" s="1342"/>
      <c r="C1152" s="1342"/>
      <c r="D1152" s="1342"/>
      <c r="E1152" s="1342"/>
      <c r="F1152" s="1342"/>
      <c r="G1152" s="1342"/>
      <c r="H1152" s="1342"/>
      <c r="I1152" s="1342"/>
      <c r="J1152" s="1342"/>
      <c r="K1152" s="1342"/>
    </row>
    <row r="1153" spans="2:11" ht="14" hidden="1">
      <c r="B1153" s="1342"/>
      <c r="C1153" s="1342"/>
      <c r="D1153" s="1342"/>
      <c r="E1153" s="1342"/>
      <c r="F1153" s="1342"/>
      <c r="G1153" s="1342"/>
      <c r="H1153" s="1342"/>
      <c r="I1153" s="1342"/>
      <c r="J1153" s="1342"/>
      <c r="K1153" s="1342"/>
    </row>
    <row r="1154" spans="2:11" ht="14" hidden="1">
      <c r="B1154" s="1342"/>
      <c r="C1154" s="1342"/>
      <c r="D1154" s="1342"/>
      <c r="E1154" s="1342"/>
      <c r="F1154" s="1342"/>
      <c r="G1154" s="1342"/>
      <c r="H1154" s="1342"/>
      <c r="I1154" s="1342"/>
      <c r="J1154" s="1342"/>
      <c r="K1154" s="1342"/>
    </row>
    <row r="1155" spans="2:11" ht="14" hidden="1">
      <c r="B1155" s="1342"/>
      <c r="C1155" s="1342"/>
      <c r="D1155" s="1342"/>
      <c r="E1155" s="1342"/>
      <c r="F1155" s="1342"/>
      <c r="G1155" s="1342"/>
      <c r="H1155" s="1342"/>
      <c r="I1155" s="1342"/>
      <c r="J1155" s="1342"/>
      <c r="K1155" s="1342"/>
    </row>
    <row r="1156" spans="2:11" ht="14" hidden="1">
      <c r="B1156" s="1342"/>
      <c r="C1156" s="1342"/>
      <c r="D1156" s="1342"/>
      <c r="E1156" s="1342"/>
      <c r="F1156" s="1342"/>
      <c r="G1156" s="1342"/>
      <c r="H1156" s="1342"/>
      <c r="I1156" s="1342"/>
      <c r="J1156" s="1342"/>
      <c r="K1156" s="1342"/>
    </row>
    <row r="1157" spans="2:11" ht="14" hidden="1">
      <c r="B1157" s="1342"/>
      <c r="C1157" s="1342"/>
      <c r="D1157" s="1342"/>
      <c r="E1157" s="1342"/>
      <c r="F1157" s="1342"/>
      <c r="G1157" s="1342"/>
      <c r="H1157" s="1342"/>
      <c r="I1157" s="1342"/>
      <c r="J1157" s="1342"/>
      <c r="K1157" s="1342"/>
    </row>
    <row r="1158" spans="2:11" ht="14" hidden="1">
      <c r="B1158" s="1342"/>
      <c r="C1158" s="1342"/>
      <c r="D1158" s="1342"/>
      <c r="E1158" s="1342"/>
      <c r="F1158" s="1342"/>
      <c r="G1158" s="1342"/>
      <c r="H1158" s="1342"/>
      <c r="I1158" s="1342"/>
      <c r="J1158" s="1342"/>
      <c r="K1158" s="1342"/>
    </row>
    <row r="1159" spans="2:11" ht="14" hidden="1">
      <c r="B1159" s="1342"/>
      <c r="C1159" s="1342"/>
      <c r="D1159" s="1342"/>
      <c r="E1159" s="1342"/>
      <c r="F1159" s="1342"/>
      <c r="G1159" s="1342"/>
      <c r="H1159" s="1342"/>
      <c r="I1159" s="1342"/>
      <c r="J1159" s="1342"/>
      <c r="K1159" s="1342"/>
    </row>
    <row r="1160" spans="2:11" ht="14" hidden="1">
      <c r="B1160" s="1342"/>
      <c r="C1160" s="1342"/>
      <c r="D1160" s="1342"/>
      <c r="E1160" s="1342"/>
      <c r="F1160" s="1342"/>
      <c r="G1160" s="1342"/>
      <c r="H1160" s="1342"/>
      <c r="I1160" s="1342"/>
      <c r="J1160" s="1342"/>
      <c r="K1160" s="1342"/>
    </row>
    <row r="1161" spans="2:11" ht="14" hidden="1">
      <c r="B1161" s="1342"/>
      <c r="C1161" s="1342"/>
      <c r="D1161" s="1342"/>
      <c r="E1161" s="1342"/>
      <c r="F1161" s="1342"/>
      <c r="G1161" s="1342"/>
      <c r="H1161" s="1342"/>
      <c r="I1161" s="1342"/>
      <c r="J1161" s="1342"/>
      <c r="K1161" s="1342"/>
    </row>
    <row r="1162" spans="2:11" ht="14" hidden="1">
      <c r="B1162" s="1342"/>
      <c r="C1162" s="1342"/>
      <c r="D1162" s="1342"/>
      <c r="E1162" s="1342"/>
      <c r="F1162" s="1342"/>
      <c r="G1162" s="1342"/>
      <c r="H1162" s="1342"/>
      <c r="I1162" s="1342"/>
      <c r="J1162" s="1342"/>
      <c r="K1162" s="1342"/>
    </row>
    <row r="1163" spans="2:11" ht="14" hidden="1">
      <c r="B1163" s="1342"/>
      <c r="C1163" s="1342"/>
      <c r="D1163" s="1342"/>
      <c r="E1163" s="1342"/>
      <c r="F1163" s="1342"/>
      <c r="G1163" s="1342"/>
      <c r="H1163" s="1342"/>
      <c r="I1163" s="1342"/>
      <c r="J1163" s="1342"/>
      <c r="K1163" s="1342"/>
    </row>
    <row r="1164" spans="2:11" ht="14" hidden="1">
      <c r="B1164" s="1342"/>
      <c r="C1164" s="1342"/>
      <c r="D1164" s="1342"/>
      <c r="E1164" s="1342"/>
      <c r="F1164" s="1342"/>
      <c r="G1164" s="1342"/>
      <c r="H1164" s="1342"/>
      <c r="I1164" s="1342"/>
      <c r="J1164" s="1342"/>
      <c r="K1164" s="1342"/>
    </row>
    <row r="1165" spans="2:11" ht="14" hidden="1">
      <c r="B1165" s="1342"/>
      <c r="C1165" s="1342"/>
      <c r="D1165" s="1342"/>
      <c r="E1165" s="1342"/>
      <c r="F1165" s="1342"/>
      <c r="G1165" s="1342"/>
      <c r="H1165" s="1342"/>
      <c r="I1165" s="1342"/>
      <c r="J1165" s="1342"/>
      <c r="K1165" s="1342"/>
    </row>
    <row r="1166" spans="2:11" ht="14" hidden="1">
      <c r="B1166" s="1342"/>
      <c r="C1166" s="1342"/>
      <c r="D1166" s="1342"/>
      <c r="E1166" s="1342"/>
      <c r="F1166" s="1342"/>
      <c r="G1166" s="1342"/>
      <c r="H1166" s="1342"/>
      <c r="I1166" s="1342"/>
      <c r="J1166" s="1342"/>
      <c r="K1166" s="1342"/>
    </row>
    <row r="1167" spans="2:11" ht="14" hidden="1">
      <c r="B1167" s="1342"/>
      <c r="C1167" s="1342"/>
      <c r="D1167" s="1342"/>
      <c r="E1167" s="1342"/>
      <c r="F1167" s="1342"/>
      <c r="G1167" s="1342"/>
      <c r="H1167" s="1342"/>
      <c r="I1167" s="1342"/>
      <c r="J1167" s="1342"/>
      <c r="K1167" s="1342"/>
    </row>
    <row r="1168" spans="2:11" ht="14" hidden="1">
      <c r="B1168" s="1342"/>
      <c r="C1168" s="1342"/>
      <c r="D1168" s="1342"/>
      <c r="E1168" s="1342"/>
      <c r="F1168" s="1342"/>
      <c r="G1168" s="1342"/>
      <c r="H1168" s="1342"/>
      <c r="I1168" s="1342"/>
      <c r="J1168" s="1342"/>
      <c r="K1168" s="1342"/>
    </row>
    <row r="1169" spans="2:11" ht="14" hidden="1">
      <c r="B1169" s="1342"/>
      <c r="C1169" s="1342"/>
      <c r="D1169" s="1342"/>
      <c r="E1169" s="1342"/>
      <c r="F1169" s="1342"/>
      <c r="G1169" s="1342"/>
      <c r="H1169" s="1342"/>
      <c r="I1169" s="1342"/>
      <c r="J1169" s="1342"/>
      <c r="K1169" s="1342"/>
    </row>
    <row r="1170" spans="2:11" ht="14" hidden="1">
      <c r="B1170" s="1342"/>
      <c r="C1170" s="1342"/>
      <c r="D1170" s="1342"/>
      <c r="E1170" s="1342"/>
      <c r="F1170" s="1342"/>
      <c r="G1170" s="1342"/>
      <c r="H1170" s="1342"/>
      <c r="I1170" s="1342"/>
      <c r="J1170" s="1342"/>
      <c r="K1170" s="1342"/>
    </row>
    <row r="1171" spans="2:11" ht="14" hidden="1">
      <c r="B1171" s="1342"/>
      <c r="C1171" s="1342"/>
      <c r="D1171" s="1342"/>
      <c r="E1171" s="1342"/>
      <c r="F1171" s="1342"/>
      <c r="G1171" s="1342"/>
      <c r="H1171" s="1342"/>
      <c r="I1171" s="1342"/>
      <c r="J1171" s="1342"/>
      <c r="K1171" s="1342"/>
    </row>
    <row r="1172" spans="2:11" ht="14" hidden="1">
      <c r="B1172" s="1342"/>
      <c r="C1172" s="1342"/>
      <c r="D1172" s="1342"/>
      <c r="E1172" s="1342"/>
      <c r="F1172" s="1342"/>
      <c r="G1172" s="1342"/>
      <c r="H1172" s="1342"/>
      <c r="I1172" s="1342"/>
      <c r="J1172" s="1342"/>
      <c r="K1172" s="1342"/>
    </row>
    <row r="1173" spans="2:11" ht="14" hidden="1">
      <c r="B1173" s="1342"/>
      <c r="C1173" s="1342"/>
      <c r="D1173" s="1342"/>
      <c r="E1173" s="1342"/>
      <c r="F1173" s="1342"/>
      <c r="G1173" s="1342"/>
      <c r="H1173" s="1342"/>
      <c r="I1173" s="1342"/>
      <c r="J1173" s="1342"/>
      <c r="K1173" s="1342"/>
    </row>
    <row r="1174" spans="2:11" ht="14" hidden="1">
      <c r="B1174" s="1342"/>
      <c r="C1174" s="1342"/>
      <c r="D1174" s="1342"/>
      <c r="E1174" s="1342"/>
      <c r="F1174" s="1342"/>
      <c r="G1174" s="1342"/>
      <c r="H1174" s="1342"/>
      <c r="I1174" s="1342"/>
      <c r="J1174" s="1342"/>
      <c r="K1174" s="1342"/>
    </row>
    <row r="1175" spans="2:11" ht="14" hidden="1">
      <c r="B1175" s="1342"/>
      <c r="C1175" s="1342"/>
      <c r="D1175" s="1342"/>
      <c r="E1175" s="1342"/>
      <c r="F1175" s="1342"/>
      <c r="G1175" s="1342"/>
      <c r="H1175" s="1342"/>
      <c r="I1175" s="1342"/>
      <c r="J1175" s="1342"/>
      <c r="K1175" s="1342"/>
    </row>
    <row r="1176" spans="2:11" ht="14" hidden="1">
      <c r="B1176" s="1342"/>
      <c r="C1176" s="1342"/>
      <c r="D1176" s="1342"/>
      <c r="E1176" s="1342"/>
      <c r="F1176" s="1342"/>
      <c r="G1176" s="1342"/>
      <c r="H1176" s="1342"/>
      <c r="I1176" s="1342"/>
      <c r="J1176" s="1342"/>
      <c r="K1176" s="1342"/>
    </row>
    <row r="1177" spans="2:11" ht="14" hidden="1">
      <c r="B1177" s="1342"/>
      <c r="C1177" s="1342"/>
      <c r="D1177" s="1342"/>
      <c r="E1177" s="1342"/>
      <c r="F1177" s="1342"/>
      <c r="G1177" s="1342"/>
      <c r="H1177" s="1342"/>
      <c r="I1177" s="1342"/>
      <c r="J1177" s="1342"/>
      <c r="K1177" s="1342"/>
    </row>
    <row r="1178" spans="2:11" ht="14" hidden="1">
      <c r="B1178" s="1342"/>
      <c r="C1178" s="1342"/>
      <c r="D1178" s="1342"/>
      <c r="E1178" s="1342"/>
      <c r="F1178" s="1342"/>
      <c r="G1178" s="1342"/>
      <c r="H1178" s="1342"/>
      <c r="I1178" s="1342"/>
      <c r="J1178" s="1342"/>
      <c r="K1178" s="1342"/>
    </row>
    <row r="1179" spans="2:11" ht="14" hidden="1">
      <c r="B1179" s="1342"/>
      <c r="C1179" s="1342"/>
      <c r="D1179" s="1342"/>
      <c r="E1179" s="1342"/>
      <c r="F1179" s="1342"/>
      <c r="G1179" s="1342"/>
      <c r="H1179" s="1342"/>
      <c r="I1179" s="1342"/>
      <c r="J1179" s="1342"/>
      <c r="K1179" s="1342"/>
    </row>
    <row r="1180" spans="2:11" ht="14" hidden="1">
      <c r="B1180" s="1342"/>
      <c r="C1180" s="1342"/>
      <c r="D1180" s="1342"/>
      <c r="E1180" s="1342"/>
      <c r="F1180" s="1342"/>
      <c r="G1180" s="1342"/>
      <c r="H1180" s="1342"/>
      <c r="I1180" s="1342"/>
      <c r="J1180" s="1342"/>
      <c r="K1180" s="1342"/>
    </row>
    <row r="1181" spans="2:11" ht="14" hidden="1">
      <c r="B1181" s="1342"/>
      <c r="C1181" s="1342"/>
      <c r="D1181" s="1342"/>
      <c r="E1181" s="1342"/>
      <c r="F1181" s="1342"/>
      <c r="G1181" s="1342"/>
      <c r="H1181" s="1342"/>
      <c r="I1181" s="1342"/>
      <c r="J1181" s="1342"/>
      <c r="K1181" s="1342"/>
    </row>
    <row r="1182" spans="2:11" ht="14" hidden="1">
      <c r="B1182" s="1342"/>
      <c r="C1182" s="1342"/>
      <c r="D1182" s="1342"/>
      <c r="E1182" s="1342"/>
      <c r="F1182" s="1342"/>
      <c r="G1182" s="1342"/>
      <c r="H1182" s="1342"/>
      <c r="I1182" s="1342"/>
      <c r="J1182" s="1342"/>
      <c r="K1182" s="1342"/>
    </row>
    <row r="1183" spans="2:11" ht="14" hidden="1">
      <c r="B1183" s="1342"/>
      <c r="C1183" s="1342"/>
      <c r="D1183" s="1342"/>
      <c r="E1183" s="1342"/>
      <c r="F1183" s="1342"/>
      <c r="G1183" s="1342"/>
      <c r="H1183" s="1342"/>
      <c r="I1183" s="1342"/>
      <c r="J1183" s="1342"/>
      <c r="K1183" s="1342"/>
    </row>
    <row r="1184" spans="2:11" ht="14" hidden="1">
      <c r="B1184" s="1342"/>
      <c r="C1184" s="1342"/>
      <c r="D1184" s="1342"/>
      <c r="E1184" s="1342"/>
      <c r="F1184" s="1342"/>
      <c r="G1184" s="1342"/>
      <c r="H1184" s="1342"/>
      <c r="I1184" s="1342"/>
      <c r="J1184" s="1342"/>
      <c r="K1184" s="1342"/>
    </row>
    <row r="1185" spans="2:11" ht="14" hidden="1">
      <c r="B1185" s="1342"/>
      <c r="C1185" s="1342"/>
      <c r="D1185" s="1342"/>
      <c r="E1185" s="1342"/>
      <c r="F1185" s="1342"/>
      <c r="G1185" s="1342"/>
      <c r="H1185" s="1342"/>
      <c r="I1185" s="1342"/>
      <c r="J1185" s="1342"/>
      <c r="K1185" s="1342"/>
    </row>
    <row r="1186" spans="2:11" ht="14" hidden="1">
      <c r="B1186" s="1342"/>
      <c r="C1186" s="1342"/>
      <c r="D1186" s="1342"/>
      <c r="E1186" s="1342"/>
      <c r="F1186" s="1342"/>
      <c r="G1186" s="1342"/>
      <c r="H1186" s="1342"/>
      <c r="I1186" s="1342"/>
      <c r="J1186" s="1342"/>
      <c r="K1186" s="1342"/>
    </row>
    <row r="1187" spans="2:11" ht="14" hidden="1">
      <c r="B1187" s="1342"/>
      <c r="C1187" s="1342"/>
      <c r="D1187" s="1342"/>
      <c r="E1187" s="1342"/>
      <c r="F1187" s="1342"/>
      <c r="G1187" s="1342"/>
      <c r="H1187" s="1342"/>
      <c r="I1187" s="1342"/>
      <c r="J1187" s="1342"/>
      <c r="K1187" s="1342"/>
    </row>
    <row r="1188" spans="2:11" ht="14" hidden="1">
      <c r="B1188" s="1342"/>
      <c r="C1188" s="1342"/>
      <c r="D1188" s="1342"/>
      <c r="E1188" s="1342"/>
      <c r="F1188" s="1342"/>
      <c r="G1188" s="1342"/>
      <c r="H1188" s="1342"/>
      <c r="I1188" s="1342"/>
      <c r="J1188" s="1342"/>
      <c r="K1188" s="1342"/>
    </row>
    <row r="1189" spans="2:11" ht="14" hidden="1">
      <c r="B1189" s="1342"/>
      <c r="C1189" s="1342"/>
      <c r="D1189" s="1342"/>
      <c r="E1189" s="1342"/>
      <c r="F1189" s="1342"/>
      <c r="G1189" s="1342"/>
      <c r="H1189" s="1342"/>
      <c r="I1189" s="1342"/>
      <c r="J1189" s="1342"/>
      <c r="K1189" s="1342"/>
    </row>
    <row r="1190" spans="2:11" ht="14" hidden="1">
      <c r="B1190" s="1342"/>
      <c r="C1190" s="1342"/>
      <c r="D1190" s="1342"/>
      <c r="E1190" s="1342"/>
      <c r="F1190" s="1342"/>
      <c r="G1190" s="1342"/>
      <c r="H1190" s="1342"/>
      <c r="I1190" s="1342"/>
      <c r="J1190" s="1342"/>
      <c r="K1190" s="1342"/>
    </row>
    <row r="1191" spans="2:11" ht="14" hidden="1">
      <c r="B1191" s="1342"/>
      <c r="C1191" s="1342"/>
      <c r="D1191" s="1342"/>
      <c r="E1191" s="1342"/>
      <c r="F1191" s="1342"/>
      <c r="G1191" s="1342"/>
      <c r="H1191" s="1342"/>
      <c r="I1191" s="1342"/>
      <c r="J1191" s="1342"/>
      <c r="K1191" s="1342"/>
    </row>
    <row r="1192" spans="2:11" ht="14" hidden="1">
      <c r="B1192" s="1342"/>
      <c r="C1192" s="1342"/>
      <c r="D1192" s="1342"/>
      <c r="E1192" s="1342"/>
      <c r="F1192" s="1342"/>
      <c r="G1192" s="1342"/>
      <c r="H1192" s="1342"/>
      <c r="I1192" s="1342"/>
      <c r="J1192" s="1342"/>
      <c r="K1192" s="1342"/>
    </row>
    <row r="1193" spans="2:11" ht="14" hidden="1">
      <c r="B1193" s="1342"/>
      <c r="C1193" s="1342"/>
      <c r="D1193" s="1342"/>
      <c r="E1193" s="1342"/>
      <c r="F1193" s="1342"/>
      <c r="G1193" s="1342"/>
      <c r="H1193" s="1342"/>
      <c r="I1193" s="1342"/>
      <c r="J1193" s="1342"/>
      <c r="K1193" s="1342"/>
    </row>
    <row r="1194" spans="2:11" ht="14" hidden="1">
      <c r="B1194" s="1342"/>
      <c r="C1194" s="1342"/>
      <c r="D1194" s="1342"/>
      <c r="E1194" s="1342"/>
      <c r="F1194" s="1342"/>
      <c r="G1194" s="1342"/>
      <c r="H1194" s="1342"/>
      <c r="I1194" s="1342"/>
      <c r="J1194" s="1342"/>
      <c r="K1194" s="1342"/>
    </row>
    <row r="1195" spans="2:11" ht="14" hidden="1">
      <c r="B1195" s="1342"/>
      <c r="C1195" s="1342"/>
      <c r="D1195" s="1342"/>
      <c r="E1195" s="1342"/>
      <c r="F1195" s="1342"/>
      <c r="G1195" s="1342"/>
      <c r="H1195" s="1342"/>
      <c r="I1195" s="1342"/>
      <c r="J1195" s="1342"/>
      <c r="K1195" s="1342"/>
    </row>
    <row r="1196" spans="2:11" ht="14" hidden="1">
      <c r="B1196" s="1342"/>
      <c r="C1196" s="1342"/>
      <c r="D1196" s="1342"/>
      <c r="E1196" s="1342"/>
      <c r="F1196" s="1342"/>
      <c r="G1196" s="1342"/>
      <c r="H1196" s="1342"/>
      <c r="I1196" s="1342"/>
      <c r="J1196" s="1342"/>
      <c r="K1196" s="1342"/>
    </row>
    <row r="1197" spans="2:11" ht="14" hidden="1">
      <c r="B1197" s="1342"/>
      <c r="C1197" s="1342"/>
      <c r="D1197" s="1342"/>
      <c r="E1197" s="1342"/>
      <c r="F1197" s="1342"/>
      <c r="G1197" s="1342"/>
      <c r="H1197" s="1342"/>
      <c r="I1197" s="1342"/>
      <c r="J1197" s="1342"/>
      <c r="K1197" s="1342"/>
    </row>
    <row r="1198" spans="2:11" ht="14" hidden="1">
      <c r="B1198" s="1342"/>
      <c r="C1198" s="1342"/>
      <c r="D1198" s="1342"/>
      <c r="E1198" s="1342"/>
      <c r="F1198" s="1342"/>
      <c r="G1198" s="1342"/>
      <c r="H1198" s="1342"/>
      <c r="I1198" s="1342"/>
      <c r="J1198" s="1342"/>
      <c r="K1198" s="1342"/>
    </row>
    <row r="1199" spans="2:11" ht="14" hidden="1">
      <c r="B1199" s="1342"/>
      <c r="C1199" s="1342"/>
      <c r="D1199" s="1342"/>
      <c r="E1199" s="1342"/>
      <c r="F1199" s="1342"/>
      <c r="G1199" s="1342"/>
      <c r="H1199" s="1342"/>
      <c r="I1199" s="1342"/>
      <c r="J1199" s="1342"/>
      <c r="K1199" s="1342"/>
    </row>
    <row r="1200" spans="2:11" ht="14" hidden="1">
      <c r="B1200" s="1342"/>
      <c r="C1200" s="1342"/>
      <c r="D1200" s="1342"/>
      <c r="E1200" s="1342"/>
      <c r="F1200" s="1342"/>
      <c r="G1200" s="1342"/>
      <c r="H1200" s="1342"/>
      <c r="I1200" s="1342"/>
      <c r="J1200" s="1342"/>
      <c r="K1200" s="1342"/>
    </row>
    <row r="1201" spans="2:11" ht="14" hidden="1">
      <c r="B1201" s="1342"/>
      <c r="C1201" s="1342"/>
      <c r="D1201" s="1342"/>
      <c r="E1201" s="1342"/>
      <c r="F1201" s="1342"/>
      <c r="G1201" s="1342"/>
      <c r="H1201" s="1342"/>
      <c r="I1201" s="1342"/>
      <c r="J1201" s="1342"/>
      <c r="K1201" s="1342"/>
    </row>
    <row r="1202" spans="2:11" ht="14" hidden="1">
      <c r="B1202" s="1342"/>
      <c r="C1202" s="1342"/>
      <c r="D1202" s="1342"/>
      <c r="E1202" s="1342"/>
      <c r="F1202" s="1342"/>
      <c r="G1202" s="1342"/>
      <c r="H1202" s="1342"/>
      <c r="I1202" s="1342"/>
      <c r="J1202" s="1342"/>
      <c r="K1202" s="1342"/>
    </row>
    <row r="1203" spans="2:11" ht="14" hidden="1">
      <c r="B1203" s="1342"/>
      <c r="C1203" s="1342"/>
      <c r="D1203" s="1342"/>
      <c r="E1203" s="1342"/>
      <c r="F1203" s="1342"/>
      <c r="G1203" s="1342"/>
      <c r="H1203" s="1342"/>
      <c r="I1203" s="1342"/>
      <c r="J1203" s="1342"/>
      <c r="K1203" s="1342"/>
    </row>
    <row r="1204" spans="2:11" ht="14" hidden="1">
      <c r="B1204" s="1342"/>
      <c r="C1204" s="1342"/>
      <c r="D1204" s="1342"/>
      <c r="E1204" s="1342"/>
      <c r="F1204" s="1342"/>
      <c r="G1204" s="1342"/>
      <c r="H1204" s="1342"/>
      <c r="I1204" s="1342"/>
      <c r="J1204" s="1342"/>
      <c r="K1204" s="1342"/>
    </row>
    <row r="1205" spans="2:11" ht="14" hidden="1">
      <c r="B1205" s="1342"/>
      <c r="C1205" s="1342"/>
      <c r="D1205" s="1342"/>
      <c r="E1205" s="1342"/>
      <c r="F1205" s="1342"/>
      <c r="G1205" s="1342"/>
      <c r="H1205" s="1342"/>
      <c r="I1205" s="1342"/>
      <c r="J1205" s="1342"/>
      <c r="K1205" s="1342"/>
    </row>
    <row r="1206" spans="2:11" ht="14" hidden="1">
      <c r="B1206" s="1342"/>
      <c r="C1206" s="1342"/>
      <c r="D1206" s="1342"/>
      <c r="E1206" s="1342"/>
      <c r="F1206" s="1342"/>
      <c r="G1206" s="1342"/>
      <c r="H1206" s="1342"/>
      <c r="I1206" s="1342"/>
      <c r="J1206" s="1342"/>
      <c r="K1206" s="1342"/>
    </row>
    <row r="1207" spans="2:11" ht="14" hidden="1">
      <c r="B1207" s="1342"/>
      <c r="C1207" s="1342"/>
      <c r="D1207" s="1342"/>
      <c r="E1207" s="1342"/>
      <c r="F1207" s="1342"/>
      <c r="G1207" s="1342"/>
      <c r="H1207" s="1342"/>
      <c r="I1207" s="1342"/>
      <c r="J1207" s="1342"/>
      <c r="K1207" s="1342"/>
    </row>
    <row r="1208" spans="2:11" ht="14" hidden="1">
      <c r="B1208" s="1342"/>
      <c r="C1208" s="1342"/>
      <c r="D1208" s="1342"/>
      <c r="E1208" s="1342"/>
      <c r="F1208" s="1342"/>
      <c r="G1208" s="1342"/>
      <c r="H1208" s="1342"/>
      <c r="I1208" s="1342"/>
      <c r="J1208" s="1342"/>
      <c r="K1208" s="1342"/>
    </row>
    <row r="1209" spans="2:11" ht="14" hidden="1">
      <c r="B1209" s="1342"/>
      <c r="C1209" s="1342"/>
      <c r="D1209" s="1342"/>
      <c r="E1209" s="1342"/>
      <c r="F1209" s="1342"/>
      <c r="G1209" s="1342"/>
      <c r="H1209" s="1342"/>
      <c r="I1209" s="1342"/>
      <c r="J1209" s="1342"/>
      <c r="K1209" s="1342"/>
    </row>
    <row r="1210" spans="2:11" ht="14" hidden="1">
      <c r="B1210" s="1342"/>
      <c r="C1210" s="1342"/>
      <c r="D1210" s="1342"/>
      <c r="E1210" s="1342"/>
      <c r="F1210" s="1342"/>
      <c r="G1210" s="1342"/>
      <c r="H1210" s="1342"/>
      <c r="I1210" s="1342"/>
      <c r="J1210" s="1342"/>
      <c r="K1210" s="1342"/>
    </row>
    <row r="1211" spans="2:11" ht="14" hidden="1">
      <c r="B1211" s="1342"/>
      <c r="C1211" s="1342"/>
      <c r="D1211" s="1342"/>
      <c r="E1211" s="1342"/>
      <c r="F1211" s="1342"/>
      <c r="G1211" s="1342"/>
      <c r="H1211" s="1342"/>
      <c r="I1211" s="1342"/>
      <c r="J1211" s="1342"/>
      <c r="K1211" s="1342"/>
    </row>
    <row r="1212" spans="2:11" ht="14" hidden="1">
      <c r="B1212" s="1342"/>
      <c r="C1212" s="1342"/>
      <c r="D1212" s="1342"/>
      <c r="E1212" s="1342"/>
      <c r="F1212" s="1342"/>
      <c r="G1212" s="1342"/>
      <c r="H1212" s="1342"/>
      <c r="I1212" s="1342"/>
      <c r="J1212" s="1342"/>
      <c r="K1212" s="1342"/>
    </row>
    <row r="1213" spans="2:11" ht="14" hidden="1">
      <c r="B1213" s="1342"/>
      <c r="C1213" s="1342"/>
      <c r="D1213" s="1342"/>
      <c r="E1213" s="1342"/>
      <c r="F1213" s="1342"/>
      <c r="G1213" s="1342"/>
      <c r="H1213" s="1342"/>
      <c r="I1213" s="1342"/>
      <c r="J1213" s="1342"/>
      <c r="K1213" s="1342"/>
    </row>
    <row r="1214" spans="2:11" ht="14" hidden="1">
      <c r="B1214" s="1342"/>
      <c r="C1214" s="1342"/>
      <c r="D1214" s="1342"/>
      <c r="E1214" s="1342"/>
      <c r="F1214" s="1342"/>
      <c r="G1214" s="1342"/>
      <c r="H1214" s="1342"/>
      <c r="I1214" s="1342"/>
      <c r="J1214" s="1342"/>
      <c r="K1214" s="1342"/>
    </row>
    <row r="1215" spans="2:11" ht="14" hidden="1">
      <c r="B1215" s="1342"/>
      <c r="C1215" s="1342"/>
      <c r="D1215" s="1342"/>
      <c r="E1215" s="1342"/>
      <c r="F1215" s="1342"/>
      <c r="G1215" s="1342"/>
      <c r="H1215" s="1342"/>
      <c r="I1215" s="1342"/>
      <c r="J1215" s="1342"/>
      <c r="K1215" s="1342"/>
    </row>
    <row r="1216" spans="2:11" ht="14" hidden="1">
      <c r="B1216" s="1342"/>
      <c r="C1216" s="1342"/>
      <c r="D1216" s="1342"/>
      <c r="E1216" s="1342"/>
      <c r="F1216" s="1342"/>
      <c r="G1216" s="1342"/>
      <c r="H1216" s="1342"/>
      <c r="I1216" s="1342"/>
      <c r="J1216" s="1342"/>
      <c r="K1216" s="1342"/>
    </row>
    <row r="1217" spans="2:11" ht="14" hidden="1">
      <c r="B1217" s="1342"/>
      <c r="C1217" s="1342"/>
      <c r="D1217" s="1342"/>
      <c r="E1217" s="1342"/>
      <c r="F1217" s="1342"/>
      <c r="G1217" s="1342"/>
      <c r="H1217" s="1342"/>
      <c r="I1217" s="1342"/>
      <c r="J1217" s="1342"/>
      <c r="K1217" s="1342"/>
    </row>
    <row r="1218" spans="2:11" ht="14" hidden="1">
      <c r="B1218" s="1342"/>
      <c r="C1218" s="1342"/>
      <c r="D1218" s="1342"/>
      <c r="E1218" s="1342"/>
      <c r="F1218" s="1342"/>
      <c r="G1218" s="1342"/>
      <c r="H1218" s="1342"/>
      <c r="I1218" s="1342"/>
      <c r="J1218" s="1342"/>
      <c r="K1218" s="1342"/>
    </row>
    <row r="1219" spans="2:11" ht="14" hidden="1">
      <c r="B1219" s="1342"/>
      <c r="C1219" s="1342"/>
      <c r="D1219" s="1342"/>
      <c r="E1219" s="1342"/>
      <c r="F1219" s="1342"/>
      <c r="G1219" s="1342"/>
      <c r="H1219" s="1342"/>
      <c r="I1219" s="1342"/>
      <c r="J1219" s="1342"/>
      <c r="K1219" s="1342"/>
    </row>
    <row r="1220" spans="2:11" ht="14" hidden="1">
      <c r="B1220" s="1342"/>
      <c r="C1220" s="1342"/>
      <c r="D1220" s="1342"/>
      <c r="E1220" s="1342"/>
      <c r="F1220" s="1342"/>
      <c r="G1220" s="1342"/>
      <c r="H1220" s="1342"/>
      <c r="I1220" s="1342"/>
      <c r="J1220" s="1342"/>
      <c r="K1220" s="1342"/>
    </row>
    <row r="1221" spans="2:11" ht="14" hidden="1">
      <c r="B1221" s="1342"/>
      <c r="C1221" s="1342"/>
      <c r="D1221" s="1342"/>
      <c r="E1221" s="1342"/>
      <c r="F1221" s="1342"/>
      <c r="G1221" s="1342"/>
      <c r="H1221" s="1342"/>
      <c r="I1221" s="1342"/>
      <c r="J1221" s="1342"/>
      <c r="K1221" s="1342"/>
    </row>
    <row r="1222" spans="2:11" ht="14" hidden="1">
      <c r="B1222" s="1342"/>
      <c r="C1222" s="1342"/>
      <c r="D1222" s="1342"/>
      <c r="E1222" s="1342"/>
      <c r="F1222" s="1342"/>
      <c r="G1222" s="1342"/>
      <c r="H1222" s="1342"/>
      <c r="I1222" s="1342"/>
      <c r="J1222" s="1342"/>
      <c r="K1222" s="1342"/>
    </row>
    <row r="1223" spans="2:11" ht="14" hidden="1">
      <c r="B1223" s="1342"/>
      <c r="C1223" s="1342"/>
      <c r="D1223" s="1342"/>
      <c r="E1223" s="1342"/>
      <c r="F1223" s="1342"/>
      <c r="G1223" s="1342"/>
      <c r="H1223" s="1342"/>
      <c r="I1223" s="1342"/>
      <c r="J1223" s="1342"/>
      <c r="K1223" s="1342"/>
    </row>
    <row r="1224" spans="2:11" ht="14" hidden="1">
      <c r="B1224" s="1342"/>
      <c r="C1224" s="1342"/>
      <c r="D1224" s="1342"/>
      <c r="E1224" s="1342"/>
      <c r="F1224" s="1342"/>
      <c r="G1224" s="1342"/>
      <c r="H1224" s="1342"/>
      <c r="I1224" s="1342"/>
      <c r="J1224" s="1342"/>
      <c r="K1224" s="1342"/>
    </row>
    <row r="1225" spans="2:11" ht="14" hidden="1">
      <c r="B1225" s="1342"/>
      <c r="C1225" s="1342"/>
      <c r="D1225" s="1342"/>
      <c r="E1225" s="1342"/>
      <c r="F1225" s="1342"/>
      <c r="G1225" s="1342"/>
      <c r="H1225" s="1342"/>
      <c r="I1225" s="1342"/>
      <c r="J1225" s="1342"/>
      <c r="K1225" s="1342"/>
    </row>
    <row r="1226" spans="2:11" ht="14" hidden="1">
      <c r="B1226" s="1342"/>
      <c r="C1226" s="1342"/>
      <c r="D1226" s="1342"/>
      <c r="E1226" s="1342"/>
      <c r="F1226" s="1342"/>
      <c r="G1226" s="1342"/>
      <c r="H1226" s="1342"/>
      <c r="I1226" s="1342"/>
      <c r="J1226" s="1342"/>
      <c r="K1226" s="1342"/>
    </row>
    <row r="1227" spans="2:11" ht="14" hidden="1">
      <c r="B1227" s="1342"/>
      <c r="C1227" s="1342"/>
      <c r="D1227" s="1342"/>
      <c r="E1227" s="1342"/>
      <c r="F1227" s="1342"/>
      <c r="G1227" s="1342"/>
      <c r="H1227" s="1342"/>
      <c r="I1227" s="1342"/>
      <c r="J1227" s="1342"/>
      <c r="K1227" s="1342"/>
    </row>
    <row r="1228" spans="2:11" ht="14" hidden="1">
      <c r="B1228" s="1342"/>
      <c r="C1228" s="1342"/>
      <c r="D1228" s="1342"/>
      <c r="E1228" s="1342"/>
      <c r="F1228" s="1342"/>
      <c r="G1228" s="1342"/>
      <c r="H1228" s="1342"/>
      <c r="I1228" s="1342"/>
      <c r="J1228" s="1342"/>
      <c r="K1228" s="1342"/>
    </row>
    <row r="1229" spans="2:11" ht="14" hidden="1">
      <c r="B1229" s="1342"/>
      <c r="C1229" s="1342"/>
      <c r="D1229" s="1342"/>
      <c r="E1229" s="1342"/>
      <c r="F1229" s="1342"/>
      <c r="G1229" s="1342"/>
      <c r="H1229" s="1342"/>
      <c r="I1229" s="1342"/>
      <c r="J1229" s="1342"/>
      <c r="K1229" s="1342"/>
    </row>
    <row r="1230" spans="2:11" ht="14" hidden="1">
      <c r="B1230" s="1342"/>
      <c r="C1230" s="1342"/>
      <c r="D1230" s="1342"/>
      <c r="E1230" s="1342"/>
      <c r="F1230" s="1342"/>
      <c r="G1230" s="1342"/>
      <c r="H1230" s="1342"/>
      <c r="I1230" s="1342"/>
      <c r="J1230" s="1342"/>
      <c r="K1230" s="1342"/>
    </row>
    <row r="1231" spans="2:11" ht="14" hidden="1">
      <c r="B1231" s="1342"/>
      <c r="C1231" s="1342"/>
      <c r="D1231" s="1342"/>
      <c r="E1231" s="1342"/>
      <c r="F1231" s="1342"/>
      <c r="G1231" s="1342"/>
      <c r="H1231" s="1342"/>
      <c r="I1231" s="1342"/>
      <c r="J1231" s="1342"/>
      <c r="K1231" s="1342"/>
    </row>
    <row r="1232" spans="2:11" ht="14" hidden="1">
      <c r="B1232" s="1342"/>
      <c r="C1232" s="1342"/>
      <c r="D1232" s="1342"/>
      <c r="E1232" s="1342"/>
      <c r="F1232" s="1342"/>
      <c r="G1232" s="1342"/>
      <c r="H1232" s="1342"/>
      <c r="I1232" s="1342"/>
      <c r="J1232" s="1342"/>
      <c r="K1232" s="1342"/>
    </row>
    <row r="1233" spans="2:11" ht="14" hidden="1">
      <c r="B1233" s="1342"/>
      <c r="C1233" s="1342"/>
      <c r="D1233" s="1342"/>
      <c r="E1233" s="1342"/>
      <c r="F1233" s="1342"/>
      <c r="G1233" s="1342"/>
      <c r="H1233" s="1342"/>
      <c r="I1233" s="1342"/>
      <c r="J1233" s="1342"/>
      <c r="K1233" s="1342"/>
    </row>
    <row r="1234" spans="2:11" ht="14" hidden="1">
      <c r="B1234" s="1342"/>
      <c r="C1234" s="1342"/>
      <c r="D1234" s="1342"/>
      <c r="E1234" s="1342"/>
      <c r="F1234" s="1342"/>
      <c r="G1234" s="1342"/>
      <c r="H1234" s="1342"/>
      <c r="I1234" s="1342"/>
      <c r="J1234" s="1342"/>
      <c r="K1234" s="1342"/>
    </row>
    <row r="1235" spans="2:11" ht="14" hidden="1">
      <c r="B1235" s="1342"/>
      <c r="C1235" s="1342"/>
      <c r="D1235" s="1342"/>
      <c r="E1235" s="1342"/>
      <c r="F1235" s="1342"/>
      <c r="G1235" s="1342"/>
      <c r="H1235" s="1342"/>
      <c r="I1235" s="1342"/>
      <c r="J1235" s="1342"/>
      <c r="K1235" s="1342"/>
    </row>
    <row r="1236" spans="2:11" ht="14" hidden="1">
      <c r="B1236" s="1342"/>
      <c r="C1236" s="1342"/>
      <c r="D1236" s="1342"/>
      <c r="E1236" s="1342"/>
      <c r="F1236" s="1342"/>
      <c r="G1236" s="1342"/>
      <c r="H1236" s="1342"/>
      <c r="I1236" s="1342"/>
      <c r="J1236" s="1342"/>
      <c r="K1236" s="1342"/>
    </row>
    <row r="1237" spans="2:11" ht="14" hidden="1">
      <c r="B1237" s="1342"/>
      <c r="C1237" s="1342"/>
      <c r="D1237" s="1342"/>
      <c r="E1237" s="1342"/>
      <c r="F1237" s="1342"/>
      <c r="G1237" s="1342"/>
      <c r="H1237" s="1342"/>
      <c r="I1237" s="1342"/>
      <c r="J1237" s="1342"/>
      <c r="K1237" s="1342"/>
    </row>
    <row r="1238" spans="2:11" ht="14" hidden="1">
      <c r="B1238" s="1342"/>
      <c r="C1238" s="1342"/>
      <c r="D1238" s="1342"/>
      <c r="E1238" s="1342"/>
      <c r="F1238" s="1342"/>
      <c r="G1238" s="1342"/>
      <c r="H1238" s="1342"/>
      <c r="I1238" s="1342"/>
      <c r="J1238" s="1342"/>
      <c r="K1238" s="1342"/>
    </row>
    <row r="1239" spans="2:11" ht="14" hidden="1">
      <c r="B1239" s="1342"/>
      <c r="C1239" s="1342"/>
      <c r="D1239" s="1342"/>
      <c r="E1239" s="1342"/>
      <c r="F1239" s="1342"/>
      <c r="G1239" s="1342"/>
      <c r="H1239" s="1342"/>
      <c r="I1239" s="1342"/>
      <c r="J1239" s="1342"/>
      <c r="K1239" s="1342"/>
    </row>
    <row r="1240" spans="2:11" ht="14" hidden="1">
      <c r="B1240" s="1342"/>
      <c r="C1240" s="1342"/>
      <c r="D1240" s="1342"/>
      <c r="E1240" s="1342"/>
      <c r="F1240" s="1342"/>
      <c r="G1240" s="1342"/>
      <c r="H1240" s="1342"/>
      <c r="I1240" s="1342"/>
      <c r="J1240" s="1342"/>
      <c r="K1240" s="1342"/>
    </row>
    <row r="1241" spans="2:11" ht="14" hidden="1">
      <c r="B1241" s="1342"/>
      <c r="C1241" s="1342"/>
      <c r="D1241" s="1342"/>
      <c r="E1241" s="1342"/>
      <c r="F1241" s="1342"/>
      <c r="G1241" s="1342"/>
      <c r="H1241" s="1342"/>
      <c r="I1241" s="1342"/>
      <c r="J1241" s="1342"/>
      <c r="K1241" s="1342"/>
    </row>
    <row r="1242" spans="2:11" ht="14" hidden="1">
      <c r="B1242" s="1342"/>
      <c r="C1242" s="1342"/>
      <c r="D1242" s="1342"/>
      <c r="E1242" s="1342"/>
      <c r="F1242" s="1342"/>
      <c r="G1242" s="1342"/>
      <c r="H1242" s="1342"/>
      <c r="I1242" s="1342"/>
      <c r="J1242" s="1342"/>
      <c r="K1242" s="1342"/>
    </row>
    <row r="1243" spans="2:11" ht="14" hidden="1">
      <c r="B1243" s="1342"/>
      <c r="C1243" s="1342"/>
      <c r="D1243" s="1342"/>
      <c r="E1243" s="1342"/>
      <c r="F1243" s="1342"/>
      <c r="G1243" s="1342"/>
      <c r="H1243" s="1342"/>
      <c r="I1243" s="1342"/>
      <c r="J1243" s="1342"/>
      <c r="K1243" s="1342"/>
    </row>
    <row r="1244" spans="2:11" ht="14" hidden="1">
      <c r="B1244" s="1342"/>
      <c r="C1244" s="1342"/>
      <c r="D1244" s="1342"/>
      <c r="E1244" s="1342"/>
      <c r="F1244" s="1342"/>
      <c r="G1244" s="1342"/>
      <c r="H1244" s="1342"/>
      <c r="I1244" s="1342"/>
      <c r="J1244" s="1342"/>
      <c r="K1244" s="1342"/>
    </row>
    <row r="1245" spans="2:11" ht="14" hidden="1">
      <c r="B1245" s="1342"/>
      <c r="C1245" s="1342"/>
      <c r="D1245" s="1342"/>
      <c r="E1245" s="1342"/>
      <c r="F1245" s="1342"/>
      <c r="G1245" s="1342"/>
      <c r="H1245" s="1342"/>
      <c r="I1245" s="1342"/>
      <c r="J1245" s="1342"/>
      <c r="K1245" s="1342"/>
    </row>
    <row r="1246" spans="2:11" ht="14" hidden="1">
      <c r="B1246" s="1342"/>
      <c r="C1246" s="1342"/>
      <c r="D1246" s="1342"/>
      <c r="E1246" s="1342"/>
      <c r="F1246" s="1342"/>
      <c r="G1246" s="1342"/>
      <c r="H1246" s="1342"/>
      <c r="I1246" s="1342"/>
      <c r="J1246" s="1342"/>
      <c r="K1246" s="1342"/>
    </row>
    <row r="1247" spans="2:11" ht="14" hidden="1">
      <c r="B1247" s="1342"/>
      <c r="C1247" s="1342"/>
      <c r="D1247" s="1342"/>
      <c r="E1247" s="1342"/>
      <c r="F1247" s="1342"/>
      <c r="G1247" s="1342"/>
      <c r="H1247" s="1342"/>
      <c r="I1247" s="1342"/>
      <c r="J1247" s="1342"/>
      <c r="K1247" s="1342"/>
    </row>
    <row r="1248" spans="2:11" ht="14" hidden="1">
      <c r="B1248" s="1342"/>
      <c r="C1248" s="1342"/>
      <c r="D1248" s="1342"/>
      <c r="E1248" s="1342"/>
      <c r="F1248" s="1342"/>
      <c r="G1248" s="1342"/>
      <c r="H1248" s="1342"/>
      <c r="I1248" s="1342"/>
      <c r="J1248" s="1342"/>
      <c r="K1248" s="1342"/>
    </row>
    <row r="1249" spans="2:11" ht="14" hidden="1">
      <c r="B1249" s="1342"/>
      <c r="C1249" s="1342"/>
      <c r="D1249" s="1342"/>
      <c r="E1249" s="1342"/>
      <c r="F1249" s="1342"/>
      <c r="G1249" s="1342"/>
      <c r="H1249" s="1342"/>
      <c r="I1249" s="1342"/>
      <c r="J1249" s="1342"/>
      <c r="K1249" s="1342"/>
    </row>
    <row r="1250" spans="2:11" ht="14" hidden="1">
      <c r="B1250" s="1342"/>
      <c r="C1250" s="1342"/>
      <c r="D1250" s="1342"/>
      <c r="E1250" s="1342"/>
      <c r="F1250" s="1342"/>
      <c r="G1250" s="1342"/>
      <c r="H1250" s="1342"/>
      <c r="I1250" s="1342"/>
      <c r="J1250" s="1342"/>
      <c r="K1250" s="1342"/>
    </row>
    <row r="1251" spans="2:11" ht="14" hidden="1">
      <c r="B1251" s="1342"/>
      <c r="C1251" s="1342"/>
      <c r="D1251" s="1342"/>
      <c r="E1251" s="1342"/>
      <c r="F1251" s="1342"/>
      <c r="G1251" s="1342"/>
      <c r="H1251" s="1342"/>
      <c r="I1251" s="1342"/>
      <c r="J1251" s="1342"/>
      <c r="K1251" s="1342"/>
    </row>
    <row r="1252" spans="2:11" ht="14" hidden="1">
      <c r="B1252" s="1342"/>
      <c r="C1252" s="1342"/>
      <c r="D1252" s="1342"/>
      <c r="E1252" s="1342"/>
      <c r="F1252" s="1342"/>
      <c r="G1252" s="1342"/>
      <c r="H1252" s="1342"/>
      <c r="I1252" s="1342"/>
      <c r="J1252" s="1342"/>
      <c r="K1252" s="1342"/>
    </row>
    <row r="1253" spans="2:11" ht="14" hidden="1">
      <c r="B1253" s="1342"/>
      <c r="C1253" s="1342"/>
      <c r="D1253" s="1342"/>
      <c r="E1253" s="1342"/>
      <c r="F1253" s="1342"/>
      <c r="G1253" s="1342"/>
      <c r="H1253" s="1342"/>
      <c r="I1253" s="1342"/>
      <c r="J1253" s="1342"/>
      <c r="K1253" s="1342"/>
    </row>
    <row r="1254" spans="2:11" ht="14" hidden="1">
      <c r="B1254" s="1342"/>
      <c r="C1254" s="1342"/>
      <c r="D1254" s="1342"/>
      <c r="E1254" s="1342"/>
      <c r="F1254" s="1342"/>
      <c r="G1254" s="1342"/>
      <c r="H1254" s="1342"/>
      <c r="I1254" s="1342"/>
      <c r="J1254" s="1342"/>
      <c r="K1254" s="1342"/>
    </row>
    <row r="1255" spans="2:11" ht="14" hidden="1">
      <c r="B1255" s="1342"/>
      <c r="C1255" s="1342"/>
      <c r="D1255" s="1342"/>
      <c r="E1255" s="1342"/>
      <c r="F1255" s="1342"/>
      <c r="G1255" s="1342"/>
      <c r="H1255" s="1342"/>
      <c r="I1255" s="1342"/>
      <c r="J1255" s="1342"/>
      <c r="K1255" s="1342"/>
    </row>
    <row r="1256" spans="2:11" ht="14" hidden="1">
      <c r="B1256" s="1342"/>
      <c r="C1256" s="1342"/>
      <c r="D1256" s="1342"/>
      <c r="E1256" s="1342"/>
      <c r="F1256" s="1342"/>
      <c r="G1256" s="1342"/>
      <c r="H1256" s="1342"/>
      <c r="I1256" s="1342"/>
      <c r="J1256" s="1342"/>
      <c r="K1256" s="1342"/>
    </row>
    <row r="1257" spans="2:11" ht="14" hidden="1">
      <c r="B1257" s="1342"/>
      <c r="C1257" s="1342"/>
      <c r="D1257" s="1342"/>
      <c r="E1257" s="1342"/>
      <c r="F1257" s="1342"/>
      <c r="G1257" s="1342"/>
      <c r="H1257" s="1342"/>
      <c r="I1257" s="1342"/>
      <c r="J1257" s="1342"/>
      <c r="K1257" s="1342"/>
    </row>
    <row r="1258" spans="2:11" ht="14" hidden="1">
      <c r="B1258" s="1342"/>
      <c r="C1258" s="1342"/>
      <c r="D1258" s="1342"/>
      <c r="E1258" s="1342"/>
      <c r="F1258" s="1342"/>
      <c r="G1258" s="1342"/>
      <c r="H1258" s="1342"/>
      <c r="I1258" s="1342"/>
      <c r="J1258" s="1342"/>
      <c r="K1258" s="1342"/>
    </row>
    <row r="1259" spans="2:11" ht="14" hidden="1">
      <c r="B1259" s="1342"/>
      <c r="C1259" s="1342"/>
      <c r="D1259" s="1342"/>
      <c r="E1259" s="1342"/>
      <c r="F1259" s="1342"/>
      <c r="G1259" s="1342"/>
      <c r="H1259" s="1342"/>
      <c r="I1259" s="1342"/>
      <c r="J1259" s="1342"/>
      <c r="K1259" s="1342"/>
    </row>
    <row r="1260" spans="2:11" ht="14" hidden="1">
      <c r="B1260" s="1342"/>
      <c r="C1260" s="1342"/>
      <c r="D1260" s="1342"/>
      <c r="E1260" s="1342"/>
      <c r="F1260" s="1342"/>
      <c r="G1260" s="1342"/>
      <c r="H1260" s="1342"/>
      <c r="I1260" s="1342"/>
      <c r="J1260" s="1342"/>
      <c r="K1260" s="1342"/>
    </row>
    <row r="1261" spans="2:11" ht="14" hidden="1">
      <c r="B1261" s="1342"/>
      <c r="C1261" s="1342"/>
      <c r="D1261" s="1342"/>
      <c r="E1261" s="1342"/>
      <c r="F1261" s="1342"/>
      <c r="G1261" s="1342"/>
      <c r="H1261" s="1342"/>
      <c r="I1261" s="1342"/>
      <c r="J1261" s="1342"/>
      <c r="K1261" s="1342"/>
    </row>
    <row r="1262" spans="2:11" ht="14" hidden="1">
      <c r="B1262" s="1342"/>
      <c r="C1262" s="1342"/>
      <c r="D1262" s="1342"/>
      <c r="E1262" s="1342"/>
      <c r="F1262" s="1342"/>
      <c r="G1262" s="1342"/>
      <c r="H1262" s="1342"/>
      <c r="I1262" s="1342"/>
      <c r="J1262" s="1342"/>
      <c r="K1262" s="1342"/>
    </row>
    <row r="1263" spans="2:11" ht="14" hidden="1">
      <c r="B1263" s="1342"/>
      <c r="C1263" s="1342"/>
      <c r="D1263" s="1342"/>
      <c r="E1263" s="1342"/>
      <c r="F1263" s="1342"/>
      <c r="G1263" s="1342"/>
      <c r="H1263" s="1342"/>
      <c r="I1263" s="1342"/>
      <c r="J1263" s="1342"/>
      <c r="K1263" s="1342"/>
    </row>
    <row r="1264" spans="2:11" ht="14" hidden="1">
      <c r="B1264" s="1342"/>
      <c r="C1264" s="1342"/>
      <c r="D1264" s="1342"/>
      <c r="E1264" s="1342"/>
      <c r="F1264" s="1342"/>
      <c r="G1264" s="1342"/>
      <c r="H1264" s="1342"/>
      <c r="I1264" s="1342"/>
      <c r="J1264" s="1342"/>
      <c r="K1264" s="1342"/>
    </row>
    <row r="1265" spans="2:11" ht="14" hidden="1">
      <c r="B1265" s="1342"/>
      <c r="C1265" s="1342"/>
      <c r="D1265" s="1342"/>
      <c r="E1265" s="1342"/>
      <c r="F1265" s="1342"/>
      <c r="G1265" s="1342"/>
      <c r="H1265" s="1342"/>
      <c r="I1265" s="1342"/>
      <c r="J1265" s="1342"/>
      <c r="K1265" s="1342"/>
    </row>
    <row r="1266" spans="2:11" ht="14" hidden="1">
      <c r="B1266" s="1342"/>
      <c r="C1266" s="1342"/>
      <c r="D1266" s="1342"/>
      <c r="E1266" s="1342"/>
      <c r="F1266" s="1342"/>
      <c r="G1266" s="1342"/>
      <c r="H1266" s="1342"/>
      <c r="I1266" s="1342"/>
      <c r="J1266" s="1342"/>
      <c r="K1266" s="1342"/>
    </row>
    <row r="1267" spans="2:11" ht="14" hidden="1">
      <c r="B1267" s="1342"/>
      <c r="C1267" s="1342"/>
      <c r="D1267" s="1342"/>
      <c r="E1267" s="1342"/>
      <c r="F1267" s="1342"/>
      <c r="G1267" s="1342"/>
      <c r="H1267" s="1342"/>
      <c r="I1267" s="1342"/>
      <c r="J1267" s="1342"/>
      <c r="K1267" s="1342"/>
    </row>
    <row r="1268" spans="2:11" ht="14" hidden="1">
      <c r="B1268" s="1342"/>
      <c r="C1268" s="1342"/>
      <c r="D1268" s="1342"/>
      <c r="E1268" s="1342"/>
      <c r="F1268" s="1342"/>
      <c r="G1268" s="1342"/>
      <c r="H1268" s="1342"/>
      <c r="I1268" s="1342"/>
      <c r="J1268" s="1342"/>
      <c r="K1268" s="1342"/>
    </row>
    <row r="1269" spans="2:11" ht="14" hidden="1">
      <c r="B1269" s="1342"/>
      <c r="C1269" s="1342"/>
      <c r="D1269" s="1342"/>
      <c r="E1269" s="1342"/>
      <c r="F1269" s="1342"/>
      <c r="G1269" s="1342"/>
      <c r="H1269" s="1342"/>
      <c r="I1269" s="1342"/>
      <c r="J1269" s="1342"/>
      <c r="K1269" s="1342"/>
    </row>
    <row r="1270" spans="2:11" ht="14" hidden="1">
      <c r="B1270" s="1342"/>
      <c r="C1270" s="1342"/>
      <c r="D1270" s="1342"/>
      <c r="E1270" s="1342"/>
      <c r="F1270" s="1342"/>
      <c r="G1270" s="1342"/>
      <c r="H1270" s="1342"/>
      <c r="I1270" s="1342"/>
      <c r="J1270" s="1342"/>
      <c r="K1270" s="1342"/>
    </row>
    <row r="1271" spans="2:11" ht="14" hidden="1">
      <c r="B1271" s="1342"/>
      <c r="C1271" s="1342"/>
      <c r="D1271" s="1342"/>
      <c r="E1271" s="1342"/>
      <c r="F1271" s="1342"/>
      <c r="G1271" s="1342"/>
      <c r="H1271" s="1342"/>
      <c r="I1271" s="1342"/>
      <c r="J1271" s="1342"/>
      <c r="K1271" s="1342"/>
    </row>
    <row r="1272" spans="2:11" ht="14" hidden="1">
      <c r="B1272" s="1342"/>
      <c r="C1272" s="1342"/>
      <c r="D1272" s="1342"/>
      <c r="E1272" s="1342"/>
      <c r="F1272" s="1342"/>
      <c r="G1272" s="1342"/>
      <c r="H1272" s="1342"/>
      <c r="I1272" s="1342"/>
      <c r="J1272" s="1342"/>
      <c r="K1272" s="1342"/>
    </row>
    <row r="1273" spans="2:11" ht="14" hidden="1">
      <c r="B1273" s="1342"/>
      <c r="C1273" s="1342"/>
      <c r="D1273" s="1342"/>
      <c r="E1273" s="1342"/>
      <c r="F1273" s="1342"/>
      <c r="G1273" s="1342"/>
      <c r="H1273" s="1342"/>
      <c r="I1273" s="1342"/>
      <c r="J1273" s="1342"/>
      <c r="K1273" s="1342"/>
    </row>
    <row r="1274" spans="2:11" ht="14" hidden="1">
      <c r="B1274" s="1342"/>
      <c r="C1274" s="1342"/>
      <c r="D1274" s="1342"/>
      <c r="E1274" s="1342"/>
      <c r="F1274" s="1342"/>
      <c r="G1274" s="1342"/>
      <c r="H1274" s="1342"/>
      <c r="I1274" s="1342"/>
      <c r="J1274" s="1342"/>
      <c r="K1274" s="1342"/>
    </row>
    <row r="1275" spans="2:11" ht="14" hidden="1">
      <c r="B1275" s="1342"/>
      <c r="C1275" s="1342"/>
      <c r="D1275" s="1342"/>
      <c r="E1275" s="1342"/>
      <c r="F1275" s="1342"/>
      <c r="G1275" s="1342"/>
      <c r="H1275" s="1342"/>
      <c r="I1275" s="1342"/>
      <c r="J1275" s="1342"/>
      <c r="K1275" s="1342"/>
    </row>
    <row r="1276" spans="2:11" ht="14" hidden="1">
      <c r="B1276" s="1342"/>
      <c r="C1276" s="1342"/>
      <c r="D1276" s="1342"/>
      <c r="E1276" s="1342"/>
      <c r="F1276" s="1342"/>
      <c r="G1276" s="1342"/>
      <c r="H1276" s="1342"/>
      <c r="I1276" s="1342"/>
      <c r="J1276" s="1342"/>
      <c r="K1276" s="1342"/>
    </row>
    <row r="1277" spans="2:11" ht="14" hidden="1">
      <c r="B1277" s="1342"/>
      <c r="C1277" s="1342"/>
      <c r="D1277" s="1342"/>
      <c r="E1277" s="1342"/>
      <c r="F1277" s="1342"/>
      <c r="G1277" s="1342"/>
      <c r="H1277" s="1342"/>
      <c r="I1277" s="1342"/>
      <c r="J1277" s="1342"/>
      <c r="K1277" s="1342"/>
    </row>
    <row r="1278" spans="2:11" ht="14" hidden="1">
      <c r="B1278" s="1342"/>
      <c r="C1278" s="1342"/>
      <c r="D1278" s="1342"/>
      <c r="E1278" s="1342"/>
      <c r="F1278" s="1342"/>
      <c r="G1278" s="1342"/>
      <c r="H1278" s="1342"/>
      <c r="I1278" s="1342"/>
      <c r="J1278" s="1342"/>
      <c r="K1278" s="1342"/>
    </row>
    <row r="1279" spans="2:11" ht="14" hidden="1">
      <c r="B1279" s="1342"/>
      <c r="C1279" s="1342"/>
      <c r="D1279" s="1342"/>
      <c r="E1279" s="1342"/>
      <c r="F1279" s="1342"/>
      <c r="G1279" s="1342"/>
      <c r="H1279" s="1342"/>
      <c r="I1279" s="1342"/>
      <c r="J1279" s="1342"/>
      <c r="K1279" s="1342"/>
    </row>
    <row r="1280" spans="2:11" ht="14" hidden="1">
      <c r="B1280" s="1342"/>
      <c r="C1280" s="1342"/>
      <c r="D1280" s="1342"/>
      <c r="E1280" s="1342"/>
      <c r="F1280" s="1342"/>
      <c r="G1280" s="1342"/>
      <c r="H1280" s="1342"/>
      <c r="I1280" s="1342"/>
      <c r="J1280" s="1342"/>
      <c r="K1280" s="1342"/>
    </row>
    <row r="1281" spans="2:11" ht="14" hidden="1">
      <c r="B1281" s="1342"/>
      <c r="C1281" s="1342"/>
      <c r="D1281" s="1342"/>
      <c r="E1281" s="1342"/>
      <c r="F1281" s="1342"/>
      <c r="G1281" s="1342"/>
      <c r="H1281" s="1342"/>
      <c r="I1281" s="1342"/>
      <c r="J1281" s="1342"/>
      <c r="K1281" s="1342"/>
    </row>
    <row r="1282" spans="2:11" ht="14" hidden="1">
      <c r="B1282" s="1342"/>
      <c r="C1282" s="1342"/>
      <c r="D1282" s="1342"/>
      <c r="E1282" s="1342"/>
      <c r="F1282" s="1342"/>
      <c r="G1282" s="1342"/>
      <c r="H1282" s="1342"/>
      <c r="I1282" s="1342"/>
      <c r="J1282" s="1342"/>
      <c r="K1282" s="1342"/>
    </row>
    <row r="1283" spans="2:11" ht="14" hidden="1">
      <c r="B1283" s="1342"/>
      <c r="C1283" s="1342"/>
      <c r="D1283" s="1342"/>
      <c r="E1283" s="1342"/>
      <c r="F1283" s="1342"/>
      <c r="G1283" s="1342"/>
      <c r="H1283" s="1342"/>
      <c r="I1283" s="1342"/>
      <c r="J1283" s="1342"/>
      <c r="K1283" s="1342"/>
    </row>
    <row r="1284" spans="2:11" ht="14" hidden="1">
      <c r="B1284" s="1342"/>
      <c r="C1284" s="1342"/>
      <c r="D1284" s="1342"/>
      <c r="E1284" s="1342"/>
      <c r="F1284" s="1342"/>
      <c r="G1284" s="1342"/>
      <c r="H1284" s="1342"/>
      <c r="I1284" s="1342"/>
      <c r="J1284" s="1342"/>
      <c r="K1284" s="1342"/>
    </row>
    <row r="1285" spans="2:11" ht="14" hidden="1">
      <c r="B1285" s="1342"/>
      <c r="C1285" s="1342"/>
      <c r="D1285" s="1342"/>
      <c r="E1285" s="1342"/>
      <c r="F1285" s="1342"/>
      <c r="G1285" s="1342"/>
      <c r="H1285" s="1342"/>
      <c r="I1285" s="1342"/>
      <c r="J1285" s="1342"/>
      <c r="K1285" s="1342"/>
    </row>
    <row r="1286" spans="2:11" ht="14" hidden="1">
      <c r="B1286" s="1342"/>
      <c r="C1286" s="1342"/>
      <c r="D1286" s="1342"/>
      <c r="E1286" s="1342"/>
      <c r="F1286" s="1342"/>
      <c r="G1286" s="1342"/>
      <c r="H1286" s="1342"/>
      <c r="I1286" s="1342"/>
      <c r="J1286" s="1342"/>
      <c r="K1286" s="1342"/>
    </row>
    <row r="1287" spans="2:11" ht="14" hidden="1">
      <c r="B1287" s="1342"/>
      <c r="C1287" s="1342"/>
      <c r="D1287" s="1342"/>
      <c r="E1287" s="1342"/>
      <c r="F1287" s="1342"/>
      <c r="G1287" s="1342"/>
      <c r="H1287" s="1342"/>
      <c r="I1287" s="1342"/>
      <c r="J1287" s="1342"/>
      <c r="K1287" s="1342"/>
    </row>
    <row r="1288" spans="2:11" ht="14" hidden="1">
      <c r="B1288" s="1342"/>
      <c r="C1288" s="1342"/>
      <c r="D1288" s="1342"/>
      <c r="E1288" s="1342"/>
      <c r="F1288" s="1342"/>
      <c r="G1288" s="1342"/>
      <c r="H1288" s="1342"/>
      <c r="I1288" s="1342"/>
      <c r="J1288" s="1342"/>
      <c r="K1288" s="1342"/>
    </row>
    <row r="1289" spans="2:11" ht="14" hidden="1">
      <c r="B1289" s="1342"/>
      <c r="C1289" s="1342"/>
      <c r="D1289" s="1342"/>
      <c r="E1289" s="1342"/>
      <c r="F1289" s="1342"/>
      <c r="G1289" s="1342"/>
      <c r="H1289" s="1342"/>
      <c r="I1289" s="1342"/>
      <c r="J1289" s="1342"/>
      <c r="K1289" s="1342"/>
    </row>
    <row r="1290" spans="2:11" ht="14" hidden="1">
      <c r="B1290" s="1342"/>
      <c r="C1290" s="1342"/>
      <c r="D1290" s="1342"/>
      <c r="E1290" s="1342"/>
      <c r="F1290" s="1342"/>
      <c r="G1290" s="1342"/>
      <c r="H1290" s="1342"/>
      <c r="I1290" s="1342"/>
      <c r="J1290" s="1342"/>
      <c r="K1290" s="1342"/>
    </row>
    <row r="1291" spans="2:11" ht="14" hidden="1">
      <c r="B1291" s="1342"/>
      <c r="C1291" s="1342"/>
      <c r="D1291" s="1342"/>
      <c r="E1291" s="1342"/>
      <c r="F1291" s="1342"/>
      <c r="G1291" s="1342"/>
      <c r="H1291" s="1342"/>
      <c r="I1291" s="1342"/>
      <c r="J1291" s="1342"/>
      <c r="K1291" s="1342"/>
    </row>
    <row r="1292" spans="2:11" ht="14" hidden="1">
      <c r="B1292" s="1342"/>
      <c r="C1292" s="1342"/>
      <c r="D1292" s="1342"/>
      <c r="E1292" s="1342"/>
      <c r="F1292" s="1342"/>
      <c r="G1292" s="1342"/>
      <c r="H1292" s="1342"/>
      <c r="I1292" s="1342"/>
      <c r="J1292" s="1342"/>
      <c r="K1292" s="1342"/>
    </row>
    <row r="1293" spans="2:11" ht="14" hidden="1">
      <c r="B1293" s="1342"/>
      <c r="C1293" s="1342"/>
      <c r="D1293" s="1342"/>
      <c r="E1293" s="1342"/>
      <c r="F1293" s="1342"/>
      <c r="G1293" s="1342"/>
      <c r="H1293" s="1342"/>
      <c r="I1293" s="1342"/>
      <c r="J1293" s="1342"/>
      <c r="K1293" s="1342"/>
    </row>
    <row r="1294" spans="2:11" ht="14" hidden="1">
      <c r="B1294" s="1342"/>
      <c r="C1294" s="1342"/>
      <c r="D1294" s="1342"/>
      <c r="E1294" s="1342"/>
      <c r="F1294" s="1342"/>
      <c r="G1294" s="1342"/>
      <c r="H1294" s="1342"/>
      <c r="I1294" s="1342"/>
      <c r="J1294" s="1342"/>
      <c r="K1294" s="1342"/>
    </row>
    <row r="1295" spans="2:11" ht="14" hidden="1">
      <c r="B1295" s="1342"/>
      <c r="C1295" s="1342"/>
      <c r="D1295" s="1342"/>
      <c r="E1295" s="1342"/>
      <c r="F1295" s="1342"/>
      <c r="G1295" s="1342"/>
      <c r="H1295" s="1342"/>
      <c r="I1295" s="1342"/>
      <c r="J1295" s="1342"/>
      <c r="K1295" s="1342"/>
    </row>
    <row r="1296" spans="2:11" ht="14" hidden="1">
      <c r="B1296" s="1342"/>
      <c r="C1296" s="1342"/>
      <c r="D1296" s="1342"/>
      <c r="E1296" s="1342"/>
      <c r="F1296" s="1342"/>
      <c r="G1296" s="1342"/>
      <c r="H1296" s="1342"/>
      <c r="I1296" s="1342"/>
      <c r="J1296" s="1342"/>
      <c r="K1296" s="1342"/>
    </row>
    <row r="1297" spans="2:11" ht="14" hidden="1">
      <c r="B1297" s="1342"/>
      <c r="C1297" s="1342"/>
      <c r="D1297" s="1342"/>
      <c r="E1297" s="1342"/>
      <c r="F1297" s="1342"/>
      <c r="G1297" s="1342"/>
      <c r="H1297" s="1342"/>
      <c r="I1297" s="1342"/>
      <c r="J1297" s="1342"/>
      <c r="K1297" s="1342"/>
    </row>
    <row r="1298" spans="2:11" ht="14" hidden="1">
      <c r="B1298" s="1342"/>
      <c r="C1298" s="1342"/>
      <c r="D1298" s="1342"/>
      <c r="E1298" s="1342"/>
      <c r="F1298" s="1342"/>
      <c r="G1298" s="1342"/>
      <c r="H1298" s="1342"/>
      <c r="I1298" s="1342"/>
      <c r="J1298" s="1342"/>
      <c r="K1298" s="1342"/>
    </row>
    <row r="1299" spans="2:11" ht="14" hidden="1">
      <c r="B1299" s="1342"/>
      <c r="C1299" s="1342"/>
      <c r="D1299" s="1342"/>
      <c r="E1299" s="1342"/>
      <c r="F1299" s="1342"/>
      <c r="G1299" s="1342"/>
      <c r="H1299" s="1342"/>
      <c r="I1299" s="1342"/>
      <c r="J1299" s="1342"/>
      <c r="K1299" s="1342"/>
    </row>
    <row r="1300" spans="2:11" ht="14" hidden="1">
      <c r="B1300" s="1342"/>
      <c r="C1300" s="1342"/>
      <c r="D1300" s="1342"/>
      <c r="E1300" s="1342"/>
      <c r="F1300" s="1342"/>
      <c r="G1300" s="1342"/>
      <c r="H1300" s="1342"/>
      <c r="I1300" s="1342"/>
      <c r="J1300" s="1342"/>
      <c r="K1300" s="1342"/>
    </row>
    <row r="1301" spans="2:11" ht="14" hidden="1">
      <c r="B1301" s="1342"/>
      <c r="C1301" s="1342"/>
      <c r="D1301" s="1342"/>
      <c r="E1301" s="1342"/>
      <c r="F1301" s="1342"/>
      <c r="G1301" s="1342"/>
      <c r="H1301" s="1342"/>
      <c r="I1301" s="1342"/>
      <c r="J1301" s="1342"/>
      <c r="K1301" s="1342"/>
    </row>
    <row r="1302" spans="2:11" ht="14" hidden="1">
      <c r="B1302" s="1342"/>
      <c r="C1302" s="1342"/>
      <c r="D1302" s="1342"/>
      <c r="E1302" s="1342"/>
      <c r="F1302" s="1342"/>
      <c r="G1302" s="1342"/>
      <c r="H1302" s="1342"/>
      <c r="I1302" s="1342"/>
      <c r="J1302" s="1342"/>
      <c r="K1302" s="1342"/>
    </row>
    <row r="1303" spans="2:11" ht="14" hidden="1">
      <c r="B1303" s="1342"/>
      <c r="C1303" s="1342"/>
      <c r="D1303" s="1342"/>
      <c r="E1303" s="1342"/>
      <c r="F1303" s="1342"/>
      <c r="G1303" s="1342"/>
      <c r="H1303" s="1342"/>
      <c r="I1303" s="1342"/>
      <c r="J1303" s="1342"/>
      <c r="K1303" s="1342"/>
    </row>
    <row r="1304" spans="2:11" ht="14" hidden="1">
      <c r="B1304" s="1342"/>
      <c r="C1304" s="1342"/>
      <c r="D1304" s="1342"/>
      <c r="E1304" s="1342"/>
      <c r="F1304" s="1342"/>
      <c r="G1304" s="1342"/>
      <c r="H1304" s="1342"/>
      <c r="I1304" s="1342"/>
      <c r="J1304" s="1342"/>
      <c r="K1304" s="1342"/>
    </row>
    <row r="1305" spans="2:11" ht="14" hidden="1">
      <c r="B1305" s="1342"/>
      <c r="C1305" s="1342"/>
      <c r="D1305" s="1342"/>
      <c r="E1305" s="1342"/>
      <c r="F1305" s="1342"/>
      <c r="G1305" s="1342"/>
      <c r="H1305" s="1342"/>
      <c r="I1305" s="1342"/>
      <c r="J1305" s="1342"/>
      <c r="K1305" s="1342"/>
    </row>
    <row r="1306" spans="2:11" ht="14" hidden="1">
      <c r="B1306" s="1342"/>
      <c r="C1306" s="1342"/>
      <c r="D1306" s="1342"/>
      <c r="E1306" s="1342"/>
      <c r="F1306" s="1342"/>
      <c r="G1306" s="1342"/>
      <c r="H1306" s="1342"/>
      <c r="I1306" s="1342"/>
      <c r="J1306" s="1342"/>
      <c r="K1306" s="1342"/>
    </row>
    <row r="1307" spans="2:11" ht="14" hidden="1">
      <c r="B1307" s="1342"/>
      <c r="C1307" s="1342"/>
      <c r="D1307" s="1342"/>
      <c r="E1307" s="1342"/>
      <c r="F1307" s="1342"/>
      <c r="G1307" s="1342"/>
      <c r="H1307" s="1342"/>
      <c r="I1307" s="1342"/>
      <c r="J1307" s="1342"/>
      <c r="K1307" s="1342"/>
    </row>
    <row r="1308" spans="2:11" ht="14" hidden="1">
      <c r="B1308" s="1342"/>
      <c r="C1308" s="1342"/>
      <c r="D1308" s="1342"/>
      <c r="E1308" s="1342"/>
      <c r="F1308" s="1342"/>
      <c r="G1308" s="1342"/>
      <c r="H1308" s="1342"/>
      <c r="I1308" s="1342"/>
      <c r="J1308" s="1342"/>
      <c r="K1308" s="1342"/>
    </row>
    <row r="1309" spans="2:11" ht="14" hidden="1">
      <c r="B1309" s="1342"/>
      <c r="C1309" s="1342"/>
      <c r="D1309" s="1342"/>
      <c r="E1309" s="1342"/>
      <c r="F1309" s="1342"/>
      <c r="G1309" s="1342"/>
      <c r="H1309" s="1342"/>
      <c r="I1309" s="1342"/>
      <c r="J1309" s="1342"/>
      <c r="K1309" s="1342"/>
    </row>
    <row r="1310" spans="2:11" ht="14" hidden="1">
      <c r="B1310" s="1342"/>
      <c r="C1310" s="1342"/>
      <c r="D1310" s="1342"/>
      <c r="E1310" s="1342"/>
      <c r="F1310" s="1342"/>
      <c r="G1310" s="1342"/>
      <c r="H1310" s="1342"/>
      <c r="I1310" s="1342"/>
      <c r="J1310" s="1342"/>
      <c r="K1310" s="1342"/>
    </row>
    <row r="1311" spans="2:11" ht="14" hidden="1">
      <c r="B1311" s="1342"/>
      <c r="C1311" s="1342"/>
      <c r="D1311" s="1342"/>
      <c r="E1311" s="1342"/>
      <c r="F1311" s="1342"/>
      <c r="G1311" s="1342"/>
      <c r="H1311" s="1342"/>
      <c r="I1311" s="1342"/>
      <c r="J1311" s="1342"/>
      <c r="K1311" s="1342"/>
    </row>
    <row r="1312" spans="2:11" ht="14" hidden="1">
      <c r="B1312" s="1342"/>
      <c r="C1312" s="1342"/>
      <c r="D1312" s="1342"/>
      <c r="E1312" s="1342"/>
      <c r="F1312" s="1342"/>
      <c r="G1312" s="1342"/>
      <c r="H1312" s="1342"/>
      <c r="I1312" s="1342"/>
      <c r="J1312" s="1342"/>
      <c r="K1312" s="1342"/>
    </row>
    <row r="1313" spans="2:11" ht="14" hidden="1">
      <c r="B1313" s="1342"/>
      <c r="C1313" s="1342"/>
      <c r="D1313" s="1342"/>
      <c r="E1313" s="1342"/>
      <c r="F1313" s="1342"/>
      <c r="G1313" s="1342"/>
      <c r="H1313" s="1342"/>
      <c r="I1313" s="1342"/>
      <c r="J1313" s="1342"/>
      <c r="K1313" s="1342"/>
    </row>
    <row r="1314" spans="2:11" ht="14" hidden="1">
      <c r="B1314" s="1342"/>
      <c r="C1314" s="1342"/>
      <c r="D1314" s="1342"/>
      <c r="E1314" s="1342"/>
      <c r="F1314" s="1342"/>
      <c r="G1314" s="1342"/>
      <c r="H1314" s="1342"/>
      <c r="I1314" s="1342"/>
      <c r="J1314" s="1342"/>
      <c r="K1314" s="1342"/>
    </row>
    <row r="1315" spans="2:11" ht="14" hidden="1">
      <c r="B1315" s="1342"/>
      <c r="C1315" s="1342"/>
      <c r="D1315" s="1342"/>
      <c r="E1315" s="1342"/>
      <c r="F1315" s="1342"/>
      <c r="G1315" s="1342"/>
      <c r="H1315" s="1342"/>
      <c r="I1315" s="1342"/>
      <c r="J1315" s="1342"/>
      <c r="K1315" s="1342"/>
    </row>
    <row r="1316" spans="2:11" ht="14" hidden="1">
      <c r="B1316" s="1342"/>
      <c r="C1316" s="1342"/>
      <c r="D1316" s="1342"/>
      <c r="E1316" s="1342"/>
      <c r="F1316" s="1342"/>
      <c r="G1316" s="1342"/>
      <c r="H1316" s="1342"/>
      <c r="I1316" s="1342"/>
      <c r="J1316" s="1342"/>
      <c r="K1316" s="1342"/>
    </row>
    <row r="1317" spans="2:11" ht="14" hidden="1">
      <c r="B1317" s="1342"/>
      <c r="C1317" s="1342"/>
      <c r="D1317" s="1342"/>
      <c r="E1317" s="1342"/>
      <c r="F1317" s="1342"/>
      <c r="G1317" s="1342"/>
      <c r="H1317" s="1342"/>
      <c r="I1317" s="1342"/>
      <c r="J1317" s="1342"/>
      <c r="K1317" s="1342"/>
    </row>
    <row r="1318" spans="2:11" ht="14" hidden="1">
      <c r="B1318" s="1342"/>
      <c r="C1318" s="1342"/>
      <c r="D1318" s="1342"/>
      <c r="E1318" s="1342"/>
      <c r="F1318" s="1342"/>
      <c r="G1318" s="1342"/>
      <c r="H1318" s="1342"/>
      <c r="I1318" s="1342"/>
      <c r="J1318" s="1342"/>
      <c r="K1318" s="1342"/>
    </row>
    <row r="1319" spans="2:11" ht="14" hidden="1">
      <c r="B1319" s="1342"/>
      <c r="C1319" s="1342"/>
      <c r="D1319" s="1342"/>
      <c r="E1319" s="1342"/>
      <c r="F1319" s="1342"/>
      <c r="G1319" s="1342"/>
      <c r="H1319" s="1342"/>
      <c r="I1319" s="1342"/>
      <c r="J1319" s="1342"/>
      <c r="K1319" s="1342"/>
    </row>
    <row r="1320" spans="2:11" ht="14" hidden="1">
      <c r="B1320" s="1342"/>
      <c r="C1320" s="1342"/>
      <c r="D1320" s="1342"/>
      <c r="E1320" s="1342"/>
      <c r="F1320" s="1342"/>
      <c r="G1320" s="1342"/>
      <c r="H1320" s="1342"/>
      <c r="I1320" s="1342"/>
      <c r="J1320" s="1342"/>
      <c r="K1320" s="1342"/>
    </row>
    <row r="1321" spans="2:11" ht="14" hidden="1">
      <c r="B1321" s="1342"/>
      <c r="C1321" s="1342"/>
      <c r="D1321" s="1342"/>
      <c r="E1321" s="1342"/>
      <c r="F1321" s="1342"/>
      <c r="G1321" s="1342"/>
      <c r="H1321" s="1342"/>
      <c r="I1321" s="1342"/>
      <c r="J1321" s="1342"/>
      <c r="K1321" s="1342"/>
    </row>
    <row r="1322" spans="2:11" ht="14" hidden="1">
      <c r="B1322" s="1342"/>
      <c r="C1322" s="1342"/>
      <c r="D1322" s="1342"/>
      <c r="E1322" s="1342"/>
      <c r="F1322" s="1342"/>
      <c r="G1322" s="1342"/>
      <c r="H1322" s="1342"/>
      <c r="I1322" s="1342"/>
      <c r="J1322" s="1342"/>
      <c r="K1322" s="1342"/>
    </row>
    <row r="1323" spans="2:11" ht="14" hidden="1">
      <c r="B1323" s="1342"/>
      <c r="C1323" s="1342"/>
      <c r="D1323" s="1342"/>
      <c r="E1323" s="1342"/>
      <c r="F1323" s="1342"/>
      <c r="G1323" s="1342"/>
      <c r="H1323" s="1342"/>
      <c r="I1323" s="1342"/>
      <c r="J1323" s="1342"/>
      <c r="K1323" s="1342"/>
    </row>
    <row r="1324" spans="2:11" ht="14" hidden="1">
      <c r="B1324" s="1342"/>
      <c r="C1324" s="1342"/>
      <c r="D1324" s="1342"/>
      <c r="E1324" s="1342"/>
      <c r="F1324" s="1342"/>
      <c r="G1324" s="1342"/>
      <c r="H1324" s="1342"/>
      <c r="I1324" s="1342"/>
      <c r="J1324" s="1342"/>
      <c r="K1324" s="1342"/>
    </row>
    <row r="1325" spans="2:11" ht="14" hidden="1">
      <c r="B1325" s="1342"/>
      <c r="C1325" s="1342"/>
      <c r="D1325" s="1342"/>
      <c r="E1325" s="1342"/>
      <c r="F1325" s="1342"/>
      <c r="G1325" s="1342"/>
      <c r="H1325" s="1342"/>
      <c r="I1325" s="1342"/>
      <c r="J1325" s="1342"/>
      <c r="K1325" s="1342"/>
    </row>
    <row r="1326" spans="2:11" ht="14" hidden="1">
      <c r="B1326" s="1342"/>
      <c r="C1326" s="1342"/>
      <c r="D1326" s="1342"/>
      <c r="E1326" s="1342"/>
      <c r="F1326" s="1342"/>
      <c r="G1326" s="1342"/>
      <c r="H1326" s="1342"/>
      <c r="I1326" s="1342"/>
      <c r="J1326" s="1342"/>
      <c r="K1326" s="1342"/>
    </row>
    <row r="1327" spans="2:11" ht="14" hidden="1">
      <c r="B1327" s="1342"/>
      <c r="C1327" s="1342"/>
      <c r="D1327" s="1342"/>
      <c r="E1327" s="1342"/>
      <c r="F1327" s="1342"/>
      <c r="G1327" s="1342"/>
      <c r="H1327" s="1342"/>
      <c r="I1327" s="1342"/>
      <c r="J1327" s="1342"/>
      <c r="K1327" s="1342"/>
    </row>
    <row r="1328" spans="2:11" ht="14" hidden="1">
      <c r="B1328" s="1342"/>
      <c r="C1328" s="1342"/>
      <c r="D1328" s="1342"/>
      <c r="E1328" s="1342"/>
      <c r="F1328" s="1342"/>
      <c r="G1328" s="1342"/>
      <c r="H1328" s="1342"/>
      <c r="I1328" s="1342"/>
      <c r="J1328" s="1342"/>
      <c r="K1328" s="1342"/>
    </row>
    <row r="1329" spans="2:11" ht="14" hidden="1">
      <c r="B1329" s="1342"/>
      <c r="C1329" s="1342"/>
      <c r="D1329" s="1342"/>
      <c r="E1329" s="1342"/>
      <c r="F1329" s="1342"/>
      <c r="G1329" s="1342"/>
      <c r="H1329" s="1342"/>
      <c r="I1329" s="1342"/>
      <c r="J1329" s="1342"/>
      <c r="K1329" s="1342"/>
    </row>
    <row r="1330" spans="2:11" ht="14" hidden="1">
      <c r="B1330" s="1342"/>
      <c r="C1330" s="1342"/>
      <c r="D1330" s="1342"/>
      <c r="E1330" s="1342"/>
      <c r="F1330" s="1342"/>
      <c r="G1330" s="1342"/>
      <c r="H1330" s="1342"/>
      <c r="I1330" s="1342"/>
      <c r="J1330" s="1342"/>
      <c r="K1330" s="1342"/>
    </row>
    <row r="1331" spans="2:11" ht="14" hidden="1">
      <c r="B1331" s="1342"/>
      <c r="C1331" s="1342"/>
      <c r="D1331" s="1342"/>
      <c r="E1331" s="1342"/>
      <c r="F1331" s="1342"/>
      <c r="G1331" s="1342"/>
      <c r="H1331" s="1342"/>
      <c r="I1331" s="1342"/>
      <c r="J1331" s="1342"/>
      <c r="K1331" s="1342"/>
    </row>
    <row r="1332" spans="2:11" ht="14" hidden="1">
      <c r="B1332" s="1342"/>
      <c r="C1332" s="1342"/>
      <c r="D1332" s="1342"/>
      <c r="E1332" s="1342"/>
      <c r="F1332" s="1342"/>
      <c r="G1332" s="1342"/>
      <c r="H1332" s="1342"/>
      <c r="I1332" s="1342"/>
      <c r="J1332" s="1342"/>
      <c r="K1332" s="1342"/>
    </row>
    <row r="1333" spans="2:11" ht="14" hidden="1">
      <c r="B1333" s="1342"/>
      <c r="C1333" s="1342"/>
      <c r="D1333" s="1342"/>
      <c r="E1333" s="1342"/>
      <c r="F1333" s="1342"/>
      <c r="G1333" s="1342"/>
      <c r="H1333" s="1342"/>
      <c r="I1333" s="1342"/>
      <c r="J1333" s="1342"/>
      <c r="K1333" s="1342"/>
    </row>
    <row r="1334" spans="2:11" ht="14" hidden="1">
      <c r="B1334" s="1342"/>
      <c r="C1334" s="1342"/>
      <c r="D1334" s="1342"/>
      <c r="E1334" s="1342"/>
      <c r="F1334" s="1342"/>
      <c r="G1334" s="1342"/>
      <c r="H1334" s="1342"/>
      <c r="I1334" s="1342"/>
      <c r="J1334" s="1342"/>
      <c r="K1334" s="1342"/>
    </row>
    <row r="1335" spans="2:11" ht="14" hidden="1">
      <c r="B1335" s="1342"/>
      <c r="C1335" s="1342"/>
      <c r="D1335" s="1342"/>
      <c r="E1335" s="1342"/>
      <c r="F1335" s="1342"/>
      <c r="G1335" s="1342"/>
      <c r="H1335" s="1342"/>
      <c r="I1335" s="1342"/>
      <c r="J1335" s="1342"/>
      <c r="K1335" s="1342"/>
    </row>
    <row r="1336" spans="2:11" ht="14" hidden="1">
      <c r="B1336" s="1342"/>
      <c r="C1336" s="1342"/>
      <c r="D1336" s="1342"/>
      <c r="E1336" s="1342"/>
      <c r="F1336" s="1342"/>
      <c r="G1336" s="1342"/>
      <c r="H1336" s="1342"/>
      <c r="I1336" s="1342"/>
      <c r="J1336" s="1342"/>
      <c r="K1336" s="1342"/>
    </row>
    <row r="1337" spans="2:11" ht="14" hidden="1">
      <c r="B1337" s="1342"/>
      <c r="C1337" s="1342"/>
      <c r="D1337" s="1342"/>
      <c r="E1337" s="1342"/>
      <c r="F1337" s="1342"/>
      <c r="G1337" s="1342"/>
      <c r="H1337" s="1342"/>
      <c r="I1337" s="1342"/>
      <c r="J1337" s="1342"/>
      <c r="K1337" s="1342"/>
    </row>
    <row r="1338" spans="2:11" ht="14" hidden="1">
      <c r="B1338" s="1342"/>
      <c r="C1338" s="1342"/>
      <c r="D1338" s="1342"/>
      <c r="E1338" s="1342"/>
      <c r="F1338" s="1342"/>
      <c r="G1338" s="1342"/>
      <c r="H1338" s="1342"/>
      <c r="I1338" s="1342"/>
      <c r="J1338" s="1342"/>
      <c r="K1338" s="1342"/>
    </row>
    <row r="1339" spans="2:11" ht="14" hidden="1">
      <c r="B1339" s="1342"/>
      <c r="C1339" s="1342"/>
      <c r="D1339" s="1342"/>
      <c r="E1339" s="1342"/>
      <c r="F1339" s="1342"/>
      <c r="G1339" s="1342"/>
      <c r="H1339" s="1342"/>
      <c r="I1339" s="1342"/>
      <c r="J1339" s="1342"/>
      <c r="K1339" s="1342"/>
    </row>
    <row r="1340" spans="2:11" ht="14" hidden="1">
      <c r="B1340" s="1342"/>
      <c r="C1340" s="1342"/>
      <c r="D1340" s="1342"/>
      <c r="E1340" s="1342"/>
      <c r="F1340" s="1342"/>
      <c r="G1340" s="1342"/>
      <c r="H1340" s="1342"/>
      <c r="I1340" s="1342"/>
      <c r="J1340" s="1342"/>
      <c r="K1340" s="1342"/>
    </row>
    <row r="1341" spans="2:11" ht="14" hidden="1">
      <c r="B1341" s="1342"/>
      <c r="C1341" s="1342"/>
      <c r="D1341" s="1342"/>
      <c r="E1341" s="1342"/>
      <c r="F1341" s="1342"/>
      <c r="G1341" s="1342"/>
      <c r="H1341" s="1342"/>
      <c r="I1341" s="1342"/>
      <c r="J1341" s="1342"/>
      <c r="K1341" s="1342"/>
    </row>
    <row r="1342" spans="2:11" ht="14" hidden="1">
      <c r="B1342" s="1342"/>
      <c r="C1342" s="1342"/>
      <c r="D1342" s="1342"/>
      <c r="E1342" s="1342"/>
      <c r="F1342" s="1342"/>
      <c r="G1342" s="1342"/>
      <c r="H1342" s="1342"/>
      <c r="I1342" s="1342"/>
      <c r="J1342" s="1342"/>
      <c r="K1342" s="1342"/>
    </row>
    <row r="1343" spans="2:11" ht="14" hidden="1">
      <c r="B1343" s="1342"/>
      <c r="C1343" s="1342"/>
      <c r="D1343" s="1342"/>
      <c r="E1343" s="1342"/>
      <c r="F1343" s="1342"/>
      <c r="G1343" s="1342"/>
      <c r="H1343" s="1342"/>
      <c r="I1343" s="1342"/>
      <c r="J1343" s="1342"/>
      <c r="K1343" s="1342"/>
    </row>
    <row r="1344" spans="2:11" ht="14" hidden="1">
      <c r="B1344" s="1342"/>
      <c r="C1344" s="1342"/>
      <c r="D1344" s="1342"/>
      <c r="E1344" s="1342"/>
      <c r="F1344" s="1342"/>
      <c r="G1344" s="1342"/>
      <c r="H1344" s="1342"/>
      <c r="I1344" s="1342"/>
      <c r="J1344" s="1342"/>
      <c r="K1344" s="1342"/>
    </row>
    <row r="1345" spans="2:11" ht="14" hidden="1">
      <c r="B1345" s="1342"/>
      <c r="C1345" s="1342"/>
      <c r="D1345" s="1342"/>
      <c r="E1345" s="1342"/>
      <c r="F1345" s="1342"/>
      <c r="G1345" s="1342"/>
      <c r="H1345" s="1342"/>
      <c r="I1345" s="1342"/>
      <c r="J1345" s="1342"/>
      <c r="K1345" s="1342"/>
    </row>
    <row r="1346" spans="2:11" ht="14" hidden="1">
      <c r="B1346" s="1342"/>
      <c r="C1346" s="1342"/>
      <c r="D1346" s="1342"/>
      <c r="E1346" s="1342"/>
      <c r="F1346" s="1342"/>
      <c r="G1346" s="1342"/>
      <c r="H1346" s="1342"/>
      <c r="I1346" s="1342"/>
      <c r="J1346" s="1342"/>
      <c r="K1346" s="1342"/>
    </row>
    <row r="1347" spans="2:11" ht="14" hidden="1">
      <c r="B1347" s="1342"/>
      <c r="C1347" s="1342"/>
      <c r="D1347" s="1342"/>
      <c r="E1347" s="1342"/>
      <c r="F1347" s="1342"/>
      <c r="G1347" s="1342"/>
      <c r="H1347" s="1342"/>
      <c r="I1347" s="1342"/>
      <c r="J1347" s="1342"/>
      <c r="K1347" s="1342"/>
    </row>
    <row r="1348" spans="2:11" ht="14" hidden="1">
      <c r="B1348" s="1342"/>
      <c r="C1348" s="1342"/>
      <c r="D1348" s="1342"/>
      <c r="E1348" s="1342"/>
      <c r="F1348" s="1342"/>
      <c r="G1348" s="1342"/>
      <c r="H1348" s="1342"/>
      <c r="I1348" s="1342"/>
      <c r="J1348" s="1342"/>
      <c r="K1348" s="1342"/>
    </row>
    <row r="1349" spans="2:11" ht="14" hidden="1">
      <c r="B1349" s="1342"/>
      <c r="C1349" s="1342"/>
      <c r="D1349" s="1342"/>
      <c r="E1349" s="1342"/>
      <c r="F1349" s="1342"/>
      <c r="G1349" s="1342"/>
      <c r="H1349" s="1342"/>
      <c r="I1349" s="1342"/>
      <c r="J1349" s="1342"/>
      <c r="K1349" s="1342"/>
    </row>
    <row r="1350" spans="2:11" ht="14" hidden="1">
      <c r="B1350" s="1342"/>
      <c r="C1350" s="1342"/>
      <c r="D1350" s="1342"/>
      <c r="E1350" s="1342"/>
      <c r="F1350" s="1342"/>
      <c r="G1350" s="1342"/>
      <c r="H1350" s="1342"/>
      <c r="I1350" s="1342"/>
      <c r="J1350" s="1342"/>
      <c r="K1350" s="1342"/>
    </row>
    <row r="1351" spans="2:11" ht="14" hidden="1">
      <c r="B1351" s="1342"/>
      <c r="C1351" s="1342"/>
      <c r="D1351" s="1342"/>
      <c r="E1351" s="1342"/>
      <c r="F1351" s="1342"/>
      <c r="G1351" s="1342"/>
      <c r="H1351" s="1342"/>
      <c r="I1351" s="1342"/>
      <c r="J1351" s="1342"/>
      <c r="K1351" s="1342"/>
    </row>
    <row r="1352" spans="2:11" ht="14" hidden="1">
      <c r="B1352" s="1342"/>
      <c r="C1352" s="1342"/>
      <c r="D1352" s="1342"/>
      <c r="E1352" s="1342"/>
      <c r="F1352" s="1342"/>
      <c r="G1352" s="1342"/>
      <c r="H1352" s="1342"/>
      <c r="I1352" s="1342"/>
      <c r="J1352" s="1342"/>
      <c r="K1352" s="1342"/>
    </row>
    <row r="1353" spans="2:11" ht="14" hidden="1">
      <c r="B1353" s="1342"/>
      <c r="C1353" s="1342"/>
      <c r="D1353" s="1342"/>
      <c r="E1353" s="1342"/>
      <c r="F1353" s="1342"/>
      <c r="G1353" s="1342"/>
      <c r="H1353" s="1342"/>
      <c r="I1353" s="1342"/>
      <c r="J1353" s="1342"/>
      <c r="K1353" s="1342"/>
    </row>
    <row r="1354" spans="2:11" ht="14" hidden="1">
      <c r="B1354" s="1342"/>
      <c r="C1354" s="1342"/>
      <c r="D1354" s="1342"/>
      <c r="E1354" s="1342"/>
      <c r="F1354" s="1342"/>
      <c r="G1354" s="1342"/>
      <c r="H1354" s="1342"/>
      <c r="I1354" s="1342"/>
      <c r="J1354" s="1342"/>
      <c r="K1354" s="1342"/>
    </row>
    <row r="1355" spans="2:11" ht="14" hidden="1">
      <c r="B1355" s="1342"/>
      <c r="C1355" s="1342"/>
      <c r="D1355" s="1342"/>
      <c r="E1355" s="1342"/>
      <c r="F1355" s="1342"/>
      <c r="G1355" s="1342"/>
      <c r="H1355" s="1342"/>
      <c r="I1355" s="1342"/>
      <c r="J1355" s="1342"/>
      <c r="K1355" s="1342"/>
    </row>
    <row r="1356" spans="2:11" ht="14" hidden="1">
      <c r="B1356" s="1342"/>
      <c r="C1356" s="1342"/>
      <c r="D1356" s="1342"/>
      <c r="E1356" s="1342"/>
      <c r="F1356" s="1342"/>
      <c r="G1356" s="1342"/>
      <c r="H1356" s="1342"/>
      <c r="I1356" s="1342"/>
      <c r="J1356" s="1342"/>
      <c r="K1356" s="1342"/>
    </row>
    <row r="1357" spans="2:11" ht="14" hidden="1">
      <c r="B1357" s="1342"/>
      <c r="C1357" s="1342"/>
      <c r="D1357" s="1342"/>
      <c r="E1357" s="1342"/>
      <c r="F1357" s="1342"/>
      <c r="G1357" s="1342"/>
      <c r="H1357" s="1342"/>
      <c r="I1357" s="1342"/>
      <c r="J1357" s="1342"/>
      <c r="K1357" s="1342"/>
    </row>
    <row r="1358" spans="2:11" ht="14" hidden="1">
      <c r="B1358" s="1342"/>
      <c r="C1358" s="1342"/>
      <c r="D1358" s="1342"/>
      <c r="E1358" s="1342"/>
      <c r="F1358" s="1342"/>
      <c r="G1358" s="1342"/>
      <c r="H1358" s="1342"/>
      <c r="I1358" s="1342"/>
      <c r="J1358" s="1342"/>
      <c r="K1358" s="1342"/>
    </row>
    <row r="1359" spans="2:11" ht="14" hidden="1">
      <c r="B1359" s="1342"/>
      <c r="C1359" s="1342"/>
      <c r="D1359" s="1342"/>
      <c r="E1359" s="1342"/>
      <c r="F1359" s="1342"/>
      <c r="G1359" s="1342"/>
      <c r="H1359" s="1342"/>
      <c r="I1359" s="1342"/>
      <c r="J1359" s="1342"/>
      <c r="K1359" s="1342"/>
    </row>
    <row r="1360" spans="2:11" ht="14" hidden="1">
      <c r="B1360" s="1342"/>
      <c r="C1360" s="1342"/>
      <c r="D1360" s="1342"/>
      <c r="E1360" s="1342"/>
      <c r="F1360" s="1342"/>
      <c r="G1360" s="1342"/>
      <c r="H1360" s="1342"/>
      <c r="I1360" s="1342"/>
      <c r="J1360" s="1342"/>
      <c r="K1360" s="1342"/>
    </row>
    <row r="1361" spans="2:11" ht="14" hidden="1">
      <c r="B1361" s="1342"/>
      <c r="C1361" s="1342"/>
      <c r="D1361" s="1342"/>
      <c r="E1361" s="1342"/>
      <c r="F1361" s="1342"/>
      <c r="G1361" s="1342"/>
      <c r="H1361" s="1342"/>
      <c r="I1361" s="1342"/>
      <c r="J1361" s="1342"/>
      <c r="K1361" s="1342"/>
    </row>
    <row r="1362" spans="2:11" ht="14" hidden="1">
      <c r="B1362" s="1342"/>
      <c r="C1362" s="1342"/>
      <c r="D1362" s="1342"/>
      <c r="E1362" s="1342"/>
      <c r="F1362" s="1342"/>
      <c r="G1362" s="1342"/>
      <c r="H1362" s="1342"/>
      <c r="I1362" s="1342"/>
      <c r="J1362" s="1342"/>
      <c r="K1362" s="1342"/>
    </row>
    <row r="1363" spans="2:11" ht="14" hidden="1">
      <c r="B1363" s="1342"/>
      <c r="C1363" s="1342"/>
      <c r="D1363" s="1342"/>
      <c r="E1363" s="1342"/>
      <c r="F1363" s="1342"/>
      <c r="G1363" s="1342"/>
      <c r="H1363" s="1342"/>
      <c r="I1363" s="1342"/>
      <c r="J1363" s="1342"/>
      <c r="K1363" s="1342"/>
    </row>
    <row r="1364" spans="2:11" ht="14" hidden="1">
      <c r="B1364" s="1342"/>
      <c r="C1364" s="1342"/>
      <c r="D1364" s="1342"/>
      <c r="E1364" s="1342"/>
      <c r="F1364" s="1342"/>
      <c r="G1364" s="1342"/>
      <c r="H1364" s="1342"/>
      <c r="I1364" s="1342"/>
      <c r="J1364" s="1342"/>
      <c r="K1364" s="1342"/>
    </row>
    <row r="1365" spans="2:11" ht="14" hidden="1">
      <c r="B1365" s="1342"/>
      <c r="C1365" s="1342"/>
      <c r="D1365" s="1342"/>
      <c r="E1365" s="1342"/>
      <c r="F1365" s="1342"/>
      <c r="G1365" s="1342"/>
      <c r="H1365" s="1342"/>
      <c r="I1365" s="1342"/>
      <c r="J1365" s="1342"/>
      <c r="K1365" s="1342"/>
    </row>
    <row r="1366" spans="2:11" ht="14" hidden="1">
      <c r="B1366" s="1342"/>
      <c r="C1366" s="1342"/>
      <c r="D1366" s="1342"/>
      <c r="E1366" s="1342"/>
      <c r="F1366" s="1342"/>
      <c r="G1366" s="1342"/>
      <c r="H1366" s="1342"/>
      <c r="I1366" s="1342"/>
      <c r="J1366" s="1342"/>
      <c r="K1366" s="1342"/>
    </row>
    <row r="1367" spans="2:11" ht="14" hidden="1">
      <c r="B1367" s="1342"/>
      <c r="C1367" s="1342"/>
      <c r="D1367" s="1342"/>
      <c r="E1367" s="1342"/>
      <c r="F1367" s="1342"/>
      <c r="G1367" s="1342"/>
      <c r="H1367" s="1342"/>
      <c r="I1367" s="1342"/>
      <c r="J1367" s="1342"/>
      <c r="K1367" s="1342"/>
    </row>
    <row r="1368" spans="2:11" ht="14" hidden="1">
      <c r="B1368" s="1342"/>
      <c r="C1368" s="1342"/>
      <c r="D1368" s="1342"/>
      <c r="E1368" s="1342"/>
      <c r="F1368" s="1342"/>
      <c r="G1368" s="1342"/>
      <c r="H1368" s="1342"/>
      <c r="I1368" s="1342"/>
      <c r="J1368" s="1342"/>
      <c r="K1368" s="1342"/>
    </row>
    <row r="1369" spans="2:11" ht="14" hidden="1">
      <c r="B1369" s="1342"/>
      <c r="C1369" s="1342"/>
      <c r="D1369" s="1342"/>
      <c r="E1369" s="1342"/>
      <c r="F1369" s="1342"/>
      <c r="G1369" s="1342"/>
      <c r="H1369" s="1342"/>
      <c r="I1369" s="1342"/>
      <c r="J1369" s="1342"/>
      <c r="K1369" s="1342"/>
    </row>
    <row r="1370" spans="2:11" ht="14" hidden="1">
      <c r="B1370" s="1342"/>
      <c r="C1370" s="1342"/>
      <c r="D1370" s="1342"/>
      <c r="E1370" s="1342"/>
      <c r="F1370" s="1342"/>
      <c r="G1370" s="1342"/>
      <c r="H1370" s="1342"/>
      <c r="I1370" s="1342"/>
      <c r="J1370" s="1342"/>
      <c r="K1370" s="1342"/>
    </row>
    <row r="1371" spans="2:11" ht="14" hidden="1">
      <c r="B1371" s="1342"/>
      <c r="C1371" s="1342"/>
      <c r="D1371" s="1342"/>
      <c r="E1371" s="1342"/>
      <c r="F1371" s="1342"/>
      <c r="G1371" s="1342"/>
      <c r="H1371" s="1342"/>
      <c r="I1371" s="1342"/>
      <c r="J1371" s="1342"/>
      <c r="K1371" s="1342"/>
    </row>
    <row r="1372" spans="2:11" ht="14" hidden="1">
      <c r="B1372" s="1342"/>
      <c r="C1372" s="1342"/>
      <c r="D1372" s="1342"/>
      <c r="E1372" s="1342"/>
      <c r="F1372" s="1342"/>
      <c r="G1372" s="1342"/>
      <c r="H1372" s="1342"/>
      <c r="I1372" s="1342"/>
      <c r="J1372" s="1342"/>
      <c r="K1372" s="1342"/>
    </row>
    <row r="1373" spans="2:11" ht="14" hidden="1">
      <c r="B1373" s="1342"/>
      <c r="C1373" s="1342"/>
      <c r="D1373" s="1342"/>
      <c r="E1373" s="1342"/>
      <c r="F1373" s="1342"/>
      <c r="G1373" s="1342"/>
      <c r="H1373" s="1342"/>
      <c r="I1373" s="1342"/>
      <c r="J1373" s="1342"/>
      <c r="K1373" s="1342"/>
    </row>
    <row r="1374" spans="2:11" ht="14" hidden="1">
      <c r="B1374" s="1342"/>
      <c r="C1374" s="1342"/>
      <c r="D1374" s="1342"/>
      <c r="E1374" s="1342"/>
      <c r="F1374" s="1342"/>
      <c r="G1374" s="1342"/>
      <c r="H1374" s="1342"/>
      <c r="I1374" s="1342"/>
      <c r="J1374" s="1342"/>
      <c r="K1374" s="1342"/>
    </row>
    <row r="1375" spans="2:11" ht="14" hidden="1">
      <c r="B1375" s="1342"/>
      <c r="C1375" s="1342"/>
      <c r="D1375" s="1342"/>
      <c r="E1375" s="1342"/>
      <c r="F1375" s="1342"/>
      <c r="G1375" s="1342"/>
      <c r="H1375" s="1342"/>
      <c r="I1375" s="1342"/>
      <c r="J1375" s="1342"/>
      <c r="K1375" s="1342"/>
    </row>
    <row r="1376" spans="2:11" ht="14" hidden="1">
      <c r="B1376" s="1342"/>
      <c r="C1376" s="1342"/>
      <c r="D1376" s="1342"/>
      <c r="E1376" s="1342"/>
      <c r="F1376" s="1342"/>
      <c r="G1376" s="1342"/>
      <c r="H1376" s="1342"/>
      <c r="I1376" s="1342"/>
      <c r="J1376" s="1342"/>
      <c r="K1376" s="1342"/>
    </row>
    <row r="1377" spans="2:11" ht="14" hidden="1">
      <c r="B1377" s="1342"/>
      <c r="C1377" s="1342"/>
      <c r="D1377" s="1342"/>
      <c r="E1377" s="1342"/>
      <c r="F1377" s="1342"/>
      <c r="G1377" s="1342"/>
      <c r="H1377" s="1342"/>
      <c r="I1377" s="1342"/>
      <c r="J1377" s="1342"/>
      <c r="K1377" s="1342"/>
    </row>
    <row r="1378" spans="2:11" ht="14" hidden="1">
      <c r="B1378" s="1342"/>
      <c r="C1378" s="1342"/>
      <c r="D1378" s="1342"/>
      <c r="E1378" s="1342"/>
      <c r="F1378" s="1342"/>
      <c r="G1378" s="1342"/>
      <c r="H1378" s="1342"/>
      <c r="I1378" s="1342"/>
      <c r="J1378" s="1342"/>
      <c r="K1378" s="1342"/>
    </row>
    <row r="1379" spans="2:11" ht="14" hidden="1">
      <c r="B1379" s="1342"/>
      <c r="C1379" s="1342"/>
      <c r="D1379" s="1342"/>
      <c r="E1379" s="1342"/>
      <c r="F1379" s="1342"/>
      <c r="G1379" s="1342"/>
      <c r="H1379" s="1342"/>
      <c r="I1379" s="1342"/>
      <c r="J1379" s="1342"/>
      <c r="K1379" s="1342"/>
    </row>
    <row r="1380" spans="2:11" ht="14" hidden="1">
      <c r="B1380" s="1342"/>
      <c r="C1380" s="1342"/>
      <c r="D1380" s="1342"/>
      <c r="E1380" s="1342"/>
      <c r="F1380" s="1342"/>
      <c r="G1380" s="1342"/>
      <c r="H1380" s="1342"/>
      <c r="I1380" s="1342"/>
      <c r="J1380" s="1342"/>
      <c r="K1380" s="1342"/>
    </row>
    <row r="1381" spans="2:11" ht="14" hidden="1">
      <c r="B1381" s="1342"/>
      <c r="C1381" s="1342"/>
      <c r="D1381" s="1342"/>
      <c r="E1381" s="1342"/>
      <c r="F1381" s="1342"/>
      <c r="G1381" s="1342"/>
      <c r="H1381" s="1342"/>
      <c r="I1381" s="1342"/>
      <c r="J1381" s="1342"/>
      <c r="K1381" s="1342"/>
    </row>
    <row r="1382" spans="2:11" ht="14" hidden="1">
      <c r="B1382" s="1342"/>
      <c r="C1382" s="1342"/>
      <c r="D1382" s="1342"/>
      <c r="E1382" s="1342"/>
      <c r="F1382" s="1342"/>
      <c r="G1382" s="1342"/>
      <c r="H1382" s="1342"/>
      <c r="I1382" s="1342"/>
      <c r="J1382" s="1342"/>
      <c r="K1382" s="1342"/>
    </row>
    <row r="1383" spans="2:11" ht="14" hidden="1">
      <c r="B1383" s="1342"/>
      <c r="C1383" s="1342"/>
      <c r="D1383" s="1342"/>
      <c r="E1383" s="1342"/>
      <c r="F1383" s="1342"/>
      <c r="G1383" s="1342"/>
      <c r="H1383" s="1342"/>
      <c r="I1383" s="1342"/>
      <c r="J1383" s="1342"/>
      <c r="K1383" s="1342"/>
    </row>
    <row r="1384" spans="2:11" ht="14" hidden="1">
      <c r="B1384" s="1342"/>
      <c r="C1384" s="1342"/>
      <c r="D1384" s="1342"/>
      <c r="E1384" s="1342"/>
      <c r="F1384" s="1342"/>
      <c r="G1384" s="1342"/>
      <c r="H1384" s="1342"/>
      <c r="I1384" s="1342"/>
      <c r="J1384" s="1342"/>
      <c r="K1384" s="1342"/>
    </row>
    <row r="1385" spans="2:11" ht="14" hidden="1">
      <c r="B1385" s="1342"/>
      <c r="C1385" s="1342"/>
      <c r="D1385" s="1342"/>
      <c r="E1385" s="1342"/>
      <c r="F1385" s="1342"/>
      <c r="G1385" s="1342"/>
      <c r="H1385" s="1342"/>
      <c r="I1385" s="1342"/>
      <c r="J1385" s="1342"/>
      <c r="K1385" s="1342"/>
    </row>
    <row r="1386" spans="2:11" ht="14" hidden="1">
      <c r="B1386" s="1342"/>
      <c r="C1386" s="1342"/>
      <c r="D1386" s="1342"/>
      <c r="E1386" s="1342"/>
      <c r="F1386" s="1342"/>
      <c r="G1386" s="1342"/>
      <c r="H1386" s="1342"/>
      <c r="I1386" s="1342"/>
      <c r="J1386" s="1342"/>
      <c r="K1386" s="1342"/>
    </row>
    <row r="1387" spans="2:11" ht="14" hidden="1">
      <c r="B1387" s="1342"/>
      <c r="C1387" s="1342"/>
      <c r="D1387" s="1342"/>
      <c r="E1387" s="1342"/>
      <c r="F1387" s="1342"/>
      <c r="G1387" s="1342"/>
      <c r="H1387" s="1342"/>
      <c r="I1387" s="1342"/>
      <c r="J1387" s="1342"/>
      <c r="K1387" s="1342"/>
    </row>
    <row r="1388" spans="2:11" ht="14" hidden="1">
      <c r="B1388" s="1342"/>
      <c r="C1388" s="1342"/>
      <c r="D1388" s="1342"/>
      <c r="E1388" s="1342"/>
      <c r="F1388" s="1342"/>
      <c r="G1388" s="1342"/>
      <c r="H1388" s="1342"/>
      <c r="I1388" s="1342"/>
      <c r="J1388" s="1342"/>
      <c r="K1388" s="1342"/>
    </row>
    <row r="1389" spans="2:11" ht="14" hidden="1">
      <c r="B1389" s="1342"/>
      <c r="C1389" s="1342"/>
      <c r="D1389" s="1342"/>
      <c r="E1389" s="1342"/>
      <c r="F1389" s="1342"/>
      <c r="G1389" s="1342"/>
      <c r="H1389" s="1342"/>
      <c r="I1389" s="1342"/>
      <c r="J1389" s="1342"/>
      <c r="K1389" s="1342"/>
    </row>
    <row r="1390" spans="2:11" ht="14" hidden="1">
      <c r="B1390" s="1342"/>
      <c r="C1390" s="1342"/>
      <c r="D1390" s="1342"/>
      <c r="E1390" s="1342"/>
      <c r="F1390" s="1342"/>
      <c r="G1390" s="1342"/>
      <c r="H1390" s="1342"/>
      <c r="I1390" s="1342"/>
      <c r="J1390" s="1342"/>
      <c r="K1390" s="1342"/>
    </row>
    <row r="1391" spans="2:11" ht="14" hidden="1">
      <c r="B1391" s="1342"/>
      <c r="C1391" s="1342"/>
      <c r="D1391" s="1342"/>
      <c r="E1391" s="1342"/>
      <c r="F1391" s="1342"/>
      <c r="G1391" s="1342"/>
      <c r="H1391" s="1342"/>
      <c r="I1391" s="1342"/>
      <c r="J1391" s="1342"/>
      <c r="K1391" s="1342"/>
    </row>
    <row r="1392" spans="2:11" ht="14" hidden="1">
      <c r="B1392" s="1342"/>
      <c r="C1392" s="1342"/>
      <c r="D1392" s="1342"/>
      <c r="E1392" s="1342"/>
      <c r="F1392" s="1342"/>
      <c r="G1392" s="1342"/>
      <c r="H1392" s="1342"/>
      <c r="I1392" s="1342"/>
      <c r="J1392" s="1342"/>
      <c r="K1392" s="1342"/>
    </row>
    <row r="1393" spans="2:11" ht="14" hidden="1">
      <c r="B1393" s="1342"/>
      <c r="C1393" s="1342"/>
      <c r="D1393" s="1342"/>
      <c r="E1393" s="1342"/>
      <c r="F1393" s="1342"/>
      <c r="G1393" s="1342"/>
      <c r="H1393" s="1342"/>
      <c r="I1393" s="1342"/>
      <c r="J1393" s="1342"/>
      <c r="K1393" s="1342"/>
    </row>
    <row r="1394" spans="2:11" ht="14" hidden="1">
      <c r="B1394" s="1342"/>
      <c r="C1394" s="1342"/>
      <c r="D1394" s="1342"/>
      <c r="E1394" s="1342"/>
      <c r="F1394" s="1342"/>
      <c r="G1394" s="1342"/>
      <c r="H1394" s="1342"/>
      <c r="I1394" s="1342"/>
      <c r="J1394" s="1342"/>
      <c r="K1394" s="1342"/>
    </row>
    <row r="1395" spans="2:11" ht="14" hidden="1">
      <c r="B1395" s="1342"/>
      <c r="C1395" s="1342"/>
      <c r="D1395" s="1342"/>
      <c r="E1395" s="1342"/>
      <c r="F1395" s="1342"/>
      <c r="G1395" s="1342"/>
      <c r="H1395" s="1342"/>
      <c r="I1395" s="1342"/>
      <c r="J1395" s="1342"/>
      <c r="K1395" s="1342"/>
    </row>
    <row r="1396" spans="2:11" ht="14" hidden="1">
      <c r="B1396" s="1342"/>
      <c r="C1396" s="1342"/>
      <c r="D1396" s="1342"/>
      <c r="E1396" s="1342"/>
      <c r="F1396" s="1342"/>
      <c r="G1396" s="1342"/>
      <c r="H1396" s="1342"/>
      <c r="I1396" s="1342"/>
      <c r="J1396" s="1342"/>
      <c r="K1396" s="1342"/>
    </row>
    <row r="1397" spans="2:11" ht="14" hidden="1">
      <c r="B1397" s="1342"/>
      <c r="C1397" s="1342"/>
      <c r="D1397" s="1342"/>
      <c r="E1397" s="1342"/>
      <c r="F1397" s="1342"/>
      <c r="G1397" s="1342"/>
      <c r="H1397" s="1342"/>
      <c r="I1397" s="1342"/>
      <c r="J1397" s="1342"/>
      <c r="K1397" s="1342"/>
    </row>
    <row r="1398" spans="2:11" ht="14" hidden="1">
      <c r="B1398" s="1342"/>
      <c r="C1398" s="1342"/>
      <c r="D1398" s="1342"/>
      <c r="E1398" s="1342"/>
      <c r="F1398" s="1342"/>
      <c r="G1398" s="1342"/>
      <c r="H1398" s="1342"/>
      <c r="I1398" s="1342"/>
      <c r="J1398" s="1342"/>
      <c r="K1398" s="1342"/>
    </row>
    <row r="1399" spans="2:11" ht="14" hidden="1">
      <c r="B1399" s="1342"/>
      <c r="C1399" s="1342"/>
      <c r="D1399" s="1342"/>
      <c r="E1399" s="1342"/>
      <c r="F1399" s="1342"/>
      <c r="G1399" s="1342"/>
      <c r="H1399" s="1342"/>
      <c r="I1399" s="1342"/>
      <c r="J1399" s="1342"/>
      <c r="K1399" s="1342"/>
    </row>
    <row r="1400" spans="2:11" ht="14" hidden="1">
      <c r="B1400" s="1342"/>
      <c r="C1400" s="1342"/>
      <c r="D1400" s="1342"/>
      <c r="E1400" s="1342"/>
      <c r="F1400" s="1342"/>
      <c r="G1400" s="1342"/>
      <c r="H1400" s="1342"/>
      <c r="I1400" s="1342"/>
      <c r="J1400" s="1342"/>
      <c r="K1400" s="1342"/>
    </row>
    <row r="1401" spans="2:11" ht="14" hidden="1">
      <c r="B1401" s="1342"/>
      <c r="C1401" s="1342"/>
      <c r="D1401" s="1342"/>
      <c r="E1401" s="1342"/>
      <c r="F1401" s="1342"/>
      <c r="G1401" s="1342"/>
      <c r="H1401" s="1342"/>
      <c r="I1401" s="1342"/>
      <c r="J1401" s="1342"/>
      <c r="K1401" s="1342"/>
    </row>
    <row r="1402" spans="2:11" ht="14" hidden="1">
      <c r="B1402" s="1342"/>
      <c r="C1402" s="1342"/>
      <c r="D1402" s="1342"/>
      <c r="E1402" s="1342"/>
      <c r="F1402" s="1342"/>
      <c r="G1402" s="1342"/>
      <c r="H1402" s="1342"/>
      <c r="I1402" s="1342"/>
      <c r="J1402" s="1342"/>
      <c r="K1402" s="1342"/>
    </row>
    <row r="1403" spans="2:11" ht="14" hidden="1">
      <c r="B1403" s="1342"/>
      <c r="C1403" s="1342"/>
      <c r="D1403" s="1342"/>
      <c r="E1403" s="1342"/>
      <c r="F1403" s="1342"/>
      <c r="G1403" s="1342"/>
      <c r="H1403" s="1342"/>
      <c r="I1403" s="1342"/>
      <c r="J1403" s="1342"/>
      <c r="K1403" s="1342"/>
    </row>
    <row r="1404" spans="2:11" ht="14" hidden="1">
      <c r="B1404" s="1342"/>
      <c r="C1404" s="1342"/>
      <c r="D1404" s="1342"/>
      <c r="E1404" s="1342"/>
      <c r="F1404" s="1342"/>
      <c r="G1404" s="1342"/>
      <c r="H1404" s="1342"/>
      <c r="I1404" s="1342"/>
      <c r="J1404" s="1342"/>
      <c r="K1404" s="1342"/>
    </row>
    <row r="1405" spans="2:11" ht="14" hidden="1">
      <c r="B1405" s="1342"/>
      <c r="C1405" s="1342"/>
      <c r="D1405" s="1342"/>
      <c r="E1405" s="1342"/>
      <c r="F1405" s="1342"/>
      <c r="G1405" s="1342"/>
      <c r="H1405" s="1342"/>
      <c r="I1405" s="1342"/>
      <c r="J1405" s="1342"/>
      <c r="K1405" s="1342"/>
    </row>
    <row r="1406" spans="2:11" ht="14" hidden="1">
      <c r="B1406" s="1342"/>
      <c r="C1406" s="1342"/>
      <c r="D1406" s="1342"/>
      <c r="E1406" s="1342"/>
      <c r="F1406" s="1342"/>
      <c r="G1406" s="1342"/>
      <c r="H1406" s="1342"/>
      <c r="I1406" s="1342"/>
      <c r="J1406" s="1342"/>
      <c r="K1406" s="1342"/>
    </row>
    <row r="1407" spans="2:11" ht="14" hidden="1">
      <c r="B1407" s="1342"/>
      <c r="C1407" s="1342"/>
      <c r="D1407" s="1342"/>
      <c r="E1407" s="1342"/>
      <c r="F1407" s="1342"/>
      <c r="G1407" s="1342"/>
      <c r="H1407" s="1342"/>
      <c r="I1407" s="1342"/>
      <c r="J1407" s="1342"/>
      <c r="K1407" s="1342"/>
    </row>
    <row r="1408" spans="2:11" ht="14" hidden="1">
      <c r="B1408" s="1342"/>
      <c r="C1408" s="1342"/>
      <c r="D1408" s="1342"/>
      <c r="E1408" s="1342"/>
      <c r="F1408" s="1342"/>
      <c r="G1408" s="1342"/>
      <c r="H1408" s="1342"/>
      <c r="I1408" s="1342"/>
      <c r="J1408" s="1342"/>
      <c r="K1408" s="1342"/>
    </row>
    <row r="1409" spans="2:11" ht="14" hidden="1">
      <c r="B1409" s="1342"/>
      <c r="C1409" s="1342"/>
      <c r="D1409" s="1342"/>
      <c r="E1409" s="1342"/>
      <c r="F1409" s="1342"/>
      <c r="G1409" s="1342"/>
      <c r="H1409" s="1342"/>
      <c r="I1409" s="1342"/>
      <c r="J1409" s="1342"/>
      <c r="K1409" s="1342"/>
    </row>
    <row r="1410" spans="2:11" ht="14" hidden="1">
      <c r="B1410" s="1342"/>
      <c r="C1410" s="1342"/>
      <c r="D1410" s="1342"/>
      <c r="E1410" s="1342"/>
      <c r="F1410" s="1342"/>
      <c r="G1410" s="1342"/>
      <c r="H1410" s="1342"/>
      <c r="I1410" s="1342"/>
      <c r="J1410" s="1342"/>
      <c r="K1410" s="1342"/>
    </row>
    <row r="1411" spans="2:11" ht="14" hidden="1">
      <c r="B1411" s="1342"/>
      <c r="C1411" s="1342"/>
      <c r="D1411" s="1342"/>
      <c r="E1411" s="1342"/>
      <c r="F1411" s="1342"/>
      <c r="G1411" s="1342"/>
      <c r="H1411" s="1342"/>
      <c r="I1411" s="1342"/>
      <c r="J1411" s="1342"/>
      <c r="K1411" s="1342"/>
    </row>
    <row r="1412" spans="2:11" ht="14" hidden="1">
      <c r="B1412" s="1342"/>
      <c r="C1412" s="1342"/>
      <c r="D1412" s="1342"/>
      <c r="E1412" s="1342"/>
      <c r="F1412" s="1342"/>
      <c r="G1412" s="1342"/>
      <c r="H1412" s="1342"/>
      <c r="I1412" s="1342"/>
      <c r="J1412" s="1342"/>
      <c r="K1412" s="1342"/>
    </row>
    <row r="1413" spans="2:11" ht="14" hidden="1">
      <c r="B1413" s="1342"/>
      <c r="C1413" s="1342"/>
      <c r="D1413" s="1342"/>
      <c r="E1413" s="1342"/>
      <c r="F1413" s="1342"/>
      <c r="G1413" s="1342"/>
      <c r="H1413" s="1342"/>
      <c r="I1413" s="1342"/>
      <c r="J1413" s="1342"/>
      <c r="K1413" s="1342"/>
    </row>
    <row r="1414" spans="2:11" ht="14" hidden="1">
      <c r="B1414" s="1342"/>
      <c r="C1414" s="1342"/>
      <c r="D1414" s="1342"/>
      <c r="E1414" s="1342"/>
      <c r="F1414" s="1342"/>
      <c r="G1414" s="1342"/>
      <c r="H1414" s="1342"/>
      <c r="I1414" s="1342"/>
      <c r="J1414" s="1342"/>
      <c r="K1414" s="1342"/>
    </row>
    <row r="1415" spans="2:11" ht="14" hidden="1">
      <c r="B1415" s="1342"/>
      <c r="C1415" s="1342"/>
      <c r="D1415" s="1342"/>
      <c r="E1415" s="1342"/>
      <c r="F1415" s="1342"/>
      <c r="G1415" s="1342"/>
      <c r="H1415" s="1342"/>
      <c r="I1415" s="1342"/>
      <c r="J1415" s="1342"/>
      <c r="K1415" s="1342"/>
    </row>
    <row r="1416" spans="2:11" ht="14" hidden="1">
      <c r="B1416" s="1342"/>
      <c r="C1416" s="1342"/>
      <c r="D1416" s="1342"/>
      <c r="E1416" s="1342"/>
      <c r="F1416" s="1342"/>
      <c r="G1416" s="1342"/>
      <c r="H1416" s="1342"/>
      <c r="I1416" s="1342"/>
      <c r="J1416" s="1342"/>
      <c r="K1416" s="1342"/>
    </row>
    <row r="1417" spans="2:11" ht="14" hidden="1">
      <c r="B1417" s="1342"/>
      <c r="C1417" s="1342"/>
      <c r="D1417" s="1342"/>
      <c r="E1417" s="1342"/>
      <c r="F1417" s="1342"/>
      <c r="G1417" s="1342"/>
      <c r="H1417" s="1342"/>
      <c r="I1417" s="1342"/>
      <c r="J1417" s="1342"/>
      <c r="K1417" s="1342"/>
    </row>
    <row r="1418" spans="2:11" ht="14" hidden="1">
      <c r="B1418" s="1342"/>
      <c r="C1418" s="1342"/>
      <c r="D1418" s="1342"/>
      <c r="E1418" s="1342"/>
      <c r="F1418" s="1342"/>
      <c r="G1418" s="1342"/>
      <c r="H1418" s="1342"/>
      <c r="I1418" s="1342"/>
      <c r="J1418" s="1342"/>
      <c r="K1418" s="1342"/>
    </row>
    <row r="1419" spans="2:11" ht="14" hidden="1">
      <c r="B1419" s="1342"/>
      <c r="C1419" s="1342"/>
      <c r="D1419" s="1342"/>
      <c r="E1419" s="1342"/>
      <c r="F1419" s="1342"/>
      <c r="G1419" s="1342"/>
      <c r="H1419" s="1342"/>
      <c r="I1419" s="1342"/>
      <c r="J1419" s="1342"/>
      <c r="K1419" s="1342"/>
    </row>
    <row r="1420" spans="2:11" ht="14" hidden="1">
      <c r="B1420" s="1342"/>
      <c r="C1420" s="1342"/>
      <c r="D1420" s="1342"/>
      <c r="E1420" s="1342"/>
      <c r="F1420" s="1342"/>
      <c r="G1420" s="1342"/>
      <c r="H1420" s="1342"/>
      <c r="I1420" s="1342"/>
      <c r="J1420" s="1342"/>
      <c r="K1420" s="1342"/>
    </row>
    <row r="1421" spans="2:11" ht="14" hidden="1">
      <c r="B1421" s="1342"/>
      <c r="C1421" s="1342"/>
      <c r="D1421" s="1342"/>
      <c r="E1421" s="1342"/>
      <c r="F1421" s="1342"/>
      <c r="G1421" s="1342"/>
      <c r="H1421" s="1342"/>
      <c r="I1421" s="1342"/>
      <c r="J1421" s="1342"/>
      <c r="K1421" s="1342"/>
    </row>
    <row r="1422" spans="2:11" ht="14" hidden="1">
      <c r="B1422" s="1342"/>
      <c r="C1422" s="1342"/>
      <c r="D1422" s="1342"/>
      <c r="E1422" s="1342"/>
      <c r="F1422" s="1342"/>
      <c r="G1422" s="1342"/>
      <c r="H1422" s="1342"/>
      <c r="I1422" s="1342"/>
      <c r="J1422" s="1342"/>
      <c r="K1422" s="1342"/>
    </row>
    <row r="1423" spans="2:11" ht="14" hidden="1">
      <c r="B1423" s="1342"/>
      <c r="C1423" s="1342"/>
      <c r="D1423" s="1342"/>
      <c r="E1423" s="1342"/>
      <c r="F1423" s="1342"/>
      <c r="G1423" s="1342"/>
      <c r="H1423" s="1342"/>
      <c r="I1423" s="1342"/>
      <c r="J1423" s="1342"/>
      <c r="K1423" s="1342"/>
    </row>
    <row r="1424" spans="2:11" ht="14" hidden="1">
      <c r="B1424" s="1342"/>
      <c r="C1424" s="1342"/>
      <c r="D1424" s="1342"/>
      <c r="E1424" s="1342"/>
      <c r="F1424" s="1342"/>
      <c r="G1424" s="1342"/>
      <c r="H1424" s="1342"/>
      <c r="I1424" s="1342"/>
      <c r="J1424" s="1342"/>
      <c r="K1424" s="1342"/>
    </row>
    <row r="1425" spans="2:11" ht="14" hidden="1">
      <c r="B1425" s="1342"/>
      <c r="C1425" s="1342"/>
      <c r="D1425" s="1342"/>
      <c r="E1425" s="1342"/>
      <c r="F1425" s="1342"/>
      <c r="G1425" s="1342"/>
      <c r="H1425" s="1342"/>
      <c r="I1425" s="1342"/>
      <c r="J1425" s="1342"/>
      <c r="K1425" s="1342"/>
    </row>
    <row r="1426" spans="2:11" ht="14" hidden="1">
      <c r="B1426" s="1342"/>
      <c r="C1426" s="1342"/>
      <c r="D1426" s="1342"/>
      <c r="E1426" s="1342"/>
      <c r="F1426" s="1342"/>
      <c r="G1426" s="1342"/>
      <c r="H1426" s="1342"/>
      <c r="I1426" s="1342"/>
      <c r="J1426" s="1342"/>
      <c r="K1426" s="1342"/>
    </row>
    <row r="1427" spans="2:11" ht="14" hidden="1">
      <c r="B1427" s="1342"/>
      <c r="C1427" s="1342"/>
      <c r="D1427" s="1342"/>
      <c r="E1427" s="1342"/>
      <c r="F1427" s="1342"/>
      <c r="G1427" s="1342"/>
      <c r="H1427" s="1342"/>
      <c r="I1427" s="1342"/>
      <c r="J1427" s="1342"/>
      <c r="K1427" s="1342"/>
    </row>
    <row r="1428" spans="2:11" ht="14" hidden="1">
      <c r="B1428" s="1342"/>
      <c r="C1428" s="1342"/>
      <c r="D1428" s="1342"/>
      <c r="E1428" s="1342"/>
      <c r="F1428" s="1342"/>
      <c r="G1428" s="1342"/>
      <c r="H1428" s="1342"/>
      <c r="I1428" s="1342"/>
      <c r="J1428" s="1342"/>
      <c r="K1428" s="1342"/>
    </row>
    <row r="1429" spans="2:11" ht="14" hidden="1">
      <c r="B1429" s="1342"/>
      <c r="C1429" s="1342"/>
      <c r="D1429" s="1342"/>
      <c r="E1429" s="1342"/>
      <c r="F1429" s="1342"/>
      <c r="G1429" s="1342"/>
      <c r="H1429" s="1342"/>
      <c r="I1429" s="1342"/>
      <c r="J1429" s="1342"/>
      <c r="K1429" s="1342"/>
    </row>
    <row r="1430" spans="2:11" ht="14" hidden="1">
      <c r="B1430" s="1342"/>
      <c r="C1430" s="1342"/>
      <c r="D1430" s="1342"/>
      <c r="E1430" s="1342"/>
      <c r="F1430" s="1342"/>
      <c r="G1430" s="1342"/>
      <c r="H1430" s="1342"/>
      <c r="I1430" s="1342"/>
      <c r="J1430" s="1342"/>
      <c r="K1430" s="1342"/>
    </row>
    <row r="1431" spans="2:11" ht="14" hidden="1">
      <c r="B1431" s="1342"/>
      <c r="C1431" s="1342"/>
      <c r="D1431" s="1342"/>
      <c r="E1431" s="1342"/>
      <c r="F1431" s="1342"/>
      <c r="G1431" s="1342"/>
      <c r="H1431" s="1342"/>
      <c r="I1431" s="1342"/>
      <c r="J1431" s="1342"/>
      <c r="K1431" s="1342"/>
    </row>
    <row r="1432" spans="2:11" ht="14" hidden="1">
      <c r="B1432" s="1342"/>
      <c r="C1432" s="1342"/>
      <c r="D1432" s="1342"/>
      <c r="E1432" s="1342"/>
      <c r="F1432" s="1342"/>
      <c r="G1432" s="1342"/>
      <c r="H1432" s="1342"/>
      <c r="I1432" s="1342"/>
      <c r="J1432" s="1342"/>
      <c r="K1432" s="1342"/>
    </row>
    <row r="1433" spans="2:11" ht="14" hidden="1">
      <c r="B1433" s="1342"/>
      <c r="C1433" s="1342"/>
      <c r="D1433" s="1342"/>
      <c r="E1433" s="1342"/>
      <c r="F1433" s="1342"/>
      <c r="G1433" s="1342"/>
      <c r="H1433" s="1342"/>
      <c r="I1433" s="1342"/>
      <c r="J1433" s="1342"/>
      <c r="K1433" s="1342"/>
    </row>
    <row r="1434" spans="2:11" ht="14" hidden="1">
      <c r="B1434" s="1342"/>
      <c r="C1434" s="1342"/>
      <c r="D1434" s="1342"/>
      <c r="E1434" s="1342"/>
      <c r="F1434" s="1342"/>
      <c r="G1434" s="1342"/>
      <c r="H1434" s="1342"/>
      <c r="I1434" s="1342"/>
      <c r="J1434" s="1342"/>
      <c r="K1434" s="1342"/>
    </row>
    <row r="1435" spans="2:11" ht="14" hidden="1">
      <c r="B1435" s="1342"/>
      <c r="C1435" s="1342"/>
      <c r="D1435" s="1342"/>
      <c r="E1435" s="1342"/>
      <c r="F1435" s="1342"/>
      <c r="G1435" s="1342"/>
      <c r="H1435" s="1342"/>
      <c r="I1435" s="1342"/>
      <c r="J1435" s="1342"/>
      <c r="K1435" s="1342"/>
    </row>
    <row r="1436" spans="2:11" ht="14" hidden="1">
      <c r="B1436" s="1342"/>
      <c r="C1436" s="1342"/>
      <c r="D1436" s="1342"/>
      <c r="E1436" s="1342"/>
      <c r="F1436" s="1342"/>
      <c r="G1436" s="1342"/>
      <c r="H1436" s="1342"/>
      <c r="I1436" s="1342"/>
      <c r="J1436" s="1342"/>
      <c r="K1436" s="1342"/>
    </row>
    <row r="1437" spans="2:11" ht="14" hidden="1">
      <c r="B1437" s="1342"/>
      <c r="C1437" s="1342"/>
      <c r="D1437" s="1342"/>
      <c r="E1437" s="1342"/>
      <c r="F1437" s="1342"/>
      <c r="G1437" s="1342"/>
      <c r="H1437" s="1342"/>
      <c r="I1437" s="1342"/>
      <c r="J1437" s="1342"/>
      <c r="K1437" s="1342"/>
    </row>
    <row r="1438" spans="2:11" ht="14" hidden="1">
      <c r="B1438" s="1342"/>
      <c r="C1438" s="1342"/>
      <c r="D1438" s="1342"/>
      <c r="E1438" s="1342"/>
      <c r="F1438" s="1342"/>
      <c r="G1438" s="1342"/>
      <c r="H1438" s="1342"/>
      <c r="I1438" s="1342"/>
      <c r="J1438" s="1342"/>
      <c r="K1438" s="1342"/>
    </row>
    <row r="1439" spans="2:11" ht="14" hidden="1">
      <c r="B1439" s="1342"/>
      <c r="C1439" s="1342"/>
      <c r="D1439" s="1342"/>
      <c r="E1439" s="1342"/>
      <c r="F1439" s="1342"/>
      <c r="G1439" s="1342"/>
      <c r="H1439" s="1342"/>
      <c r="I1439" s="1342"/>
      <c r="J1439" s="1342"/>
      <c r="K1439" s="1342"/>
    </row>
    <row r="1440" spans="2:11" ht="14" hidden="1">
      <c r="B1440" s="1342"/>
      <c r="C1440" s="1342"/>
      <c r="D1440" s="1342"/>
      <c r="E1440" s="1342"/>
      <c r="F1440" s="1342"/>
      <c r="G1440" s="1342"/>
      <c r="H1440" s="1342"/>
      <c r="I1440" s="1342"/>
      <c r="J1440" s="1342"/>
      <c r="K1440" s="1342"/>
    </row>
    <row r="1441" spans="2:11" ht="14" hidden="1">
      <c r="B1441" s="1342"/>
      <c r="C1441" s="1342"/>
      <c r="D1441" s="1342"/>
      <c r="E1441" s="1342"/>
      <c r="F1441" s="1342"/>
      <c r="G1441" s="1342"/>
      <c r="H1441" s="1342"/>
      <c r="I1441" s="1342"/>
      <c r="J1441" s="1342"/>
      <c r="K1441" s="1342"/>
    </row>
    <row r="1442" spans="2:11" ht="14" hidden="1">
      <c r="B1442" s="1342"/>
      <c r="C1442" s="1342"/>
      <c r="D1442" s="1342"/>
      <c r="E1442" s="1342"/>
      <c r="F1442" s="1342"/>
      <c r="G1442" s="1342"/>
      <c r="H1442" s="1342"/>
      <c r="I1442" s="1342"/>
      <c r="J1442" s="1342"/>
      <c r="K1442" s="1342"/>
    </row>
    <row r="1443" spans="2:11" ht="14" hidden="1">
      <c r="B1443" s="1342"/>
      <c r="C1443" s="1342"/>
      <c r="D1443" s="1342"/>
      <c r="E1443" s="1342"/>
      <c r="F1443" s="1342"/>
      <c r="G1443" s="1342"/>
      <c r="H1443" s="1342"/>
      <c r="I1443" s="1342"/>
      <c r="J1443" s="1342"/>
      <c r="K1443" s="1342"/>
    </row>
    <row r="1444" spans="2:11" ht="14" hidden="1">
      <c r="B1444" s="1342"/>
      <c r="C1444" s="1342"/>
      <c r="D1444" s="1342"/>
      <c r="E1444" s="1342"/>
      <c r="F1444" s="1342"/>
      <c r="G1444" s="1342"/>
      <c r="H1444" s="1342"/>
      <c r="I1444" s="1342"/>
      <c r="J1444" s="1342"/>
      <c r="K1444" s="1342"/>
    </row>
    <row r="1445" spans="2:11" ht="14" hidden="1">
      <c r="B1445" s="1342"/>
      <c r="C1445" s="1342"/>
      <c r="D1445" s="1342"/>
      <c r="E1445" s="1342"/>
      <c r="F1445" s="1342"/>
      <c r="G1445" s="1342"/>
      <c r="H1445" s="1342"/>
      <c r="I1445" s="1342"/>
      <c r="J1445" s="1342"/>
      <c r="K1445" s="1342"/>
    </row>
    <row r="1446" spans="2:11" ht="14" hidden="1">
      <c r="B1446" s="1342"/>
      <c r="C1446" s="1342"/>
      <c r="D1446" s="1342"/>
      <c r="E1446" s="1342"/>
      <c r="F1446" s="1342"/>
      <c r="G1446" s="1342"/>
      <c r="H1446" s="1342"/>
      <c r="I1446" s="1342"/>
      <c r="J1446" s="1342"/>
      <c r="K1446" s="1342"/>
    </row>
    <row r="1447" spans="2:11" ht="14" hidden="1">
      <c r="B1447" s="1342"/>
      <c r="C1447" s="1342"/>
      <c r="D1447" s="1342"/>
      <c r="E1447" s="1342"/>
      <c r="F1447" s="1342"/>
      <c r="G1447" s="1342"/>
      <c r="H1447" s="1342"/>
      <c r="I1447" s="1342"/>
      <c r="J1447" s="1342"/>
      <c r="K1447" s="1342"/>
    </row>
    <row r="1448" spans="2:11" ht="14" hidden="1">
      <c r="B1448" s="1342"/>
      <c r="C1448" s="1342"/>
      <c r="D1448" s="1342"/>
      <c r="E1448" s="1342"/>
      <c r="F1448" s="1342"/>
      <c r="G1448" s="1342"/>
      <c r="H1448" s="1342"/>
      <c r="I1448" s="1342"/>
      <c r="J1448" s="1342"/>
      <c r="K1448" s="1342"/>
    </row>
    <row r="1449" spans="2:11" ht="14" hidden="1">
      <c r="B1449" s="1342"/>
      <c r="C1449" s="1342"/>
      <c r="D1449" s="1342"/>
      <c r="E1449" s="1342"/>
      <c r="F1449" s="1342"/>
      <c r="G1449" s="1342"/>
      <c r="H1449" s="1342"/>
      <c r="I1449" s="1342"/>
      <c r="J1449" s="1342"/>
      <c r="K1449" s="1342"/>
    </row>
    <row r="1450" spans="2:11" ht="14" hidden="1">
      <c r="B1450" s="1342"/>
      <c r="C1450" s="1342"/>
      <c r="D1450" s="1342"/>
      <c r="E1450" s="1342"/>
      <c r="F1450" s="1342"/>
      <c r="G1450" s="1342"/>
      <c r="H1450" s="1342"/>
      <c r="I1450" s="1342"/>
      <c r="J1450" s="1342"/>
      <c r="K1450" s="1342"/>
    </row>
    <row r="1451" spans="2:11" ht="14" hidden="1">
      <c r="B1451" s="1342"/>
      <c r="C1451" s="1342"/>
      <c r="D1451" s="1342"/>
      <c r="E1451" s="1342"/>
      <c r="F1451" s="1342"/>
      <c r="G1451" s="1342"/>
      <c r="H1451" s="1342"/>
      <c r="I1451" s="1342"/>
      <c r="J1451" s="1342"/>
      <c r="K1451" s="1342"/>
    </row>
    <row r="1452" spans="2:11" ht="14" hidden="1">
      <c r="B1452" s="1342"/>
      <c r="C1452" s="1342"/>
      <c r="D1452" s="1342"/>
      <c r="E1452" s="1342"/>
      <c r="F1452" s="1342"/>
      <c r="G1452" s="1342"/>
      <c r="H1452" s="1342"/>
      <c r="I1452" s="1342"/>
      <c r="J1452" s="1342"/>
      <c r="K1452" s="1342"/>
    </row>
    <row r="1453" spans="2:11" ht="14" hidden="1">
      <c r="B1453" s="1342"/>
      <c r="C1453" s="1342"/>
      <c r="D1453" s="1342"/>
      <c r="E1453" s="1342"/>
      <c r="F1453" s="1342"/>
      <c r="G1453" s="1342"/>
      <c r="H1453" s="1342"/>
      <c r="I1453" s="1342"/>
      <c r="J1453" s="1342"/>
      <c r="K1453" s="1342"/>
    </row>
    <row r="1454" spans="2:11" ht="14" hidden="1">
      <c r="B1454" s="1342"/>
      <c r="C1454" s="1342"/>
      <c r="D1454" s="1342"/>
      <c r="E1454" s="1342"/>
      <c r="F1454" s="1342"/>
      <c r="G1454" s="1342"/>
      <c r="H1454" s="1342"/>
      <c r="I1454" s="1342"/>
      <c r="J1454" s="1342"/>
      <c r="K1454" s="1342"/>
    </row>
    <row r="1455" spans="2:11" ht="14" hidden="1">
      <c r="B1455" s="1342"/>
      <c r="C1455" s="1342"/>
      <c r="D1455" s="1342"/>
      <c r="E1455" s="1342"/>
      <c r="F1455" s="1342"/>
      <c r="G1455" s="1342"/>
      <c r="H1455" s="1342"/>
      <c r="I1455" s="1342"/>
      <c r="J1455" s="1342"/>
      <c r="K1455" s="1342"/>
    </row>
    <row r="1456" spans="2:11" ht="14" hidden="1">
      <c r="B1456" s="1342"/>
      <c r="C1456" s="1342"/>
      <c r="D1456" s="1342"/>
      <c r="E1456" s="1342"/>
      <c r="F1456" s="1342"/>
      <c r="G1456" s="1342"/>
      <c r="H1456" s="1342"/>
      <c r="I1456" s="1342"/>
      <c r="J1456" s="1342"/>
      <c r="K1456" s="1342"/>
    </row>
    <row r="1457" spans="2:11" ht="14" hidden="1">
      <c r="B1457" s="1342"/>
      <c r="C1457" s="1342"/>
      <c r="D1457" s="1342"/>
      <c r="E1457" s="1342"/>
      <c r="F1457" s="1342"/>
      <c r="G1457" s="1342"/>
      <c r="H1457" s="1342"/>
      <c r="I1457" s="1342"/>
      <c r="J1457" s="1342"/>
      <c r="K1457" s="1342"/>
    </row>
    <row r="1458" spans="2:11" ht="14" hidden="1">
      <c r="B1458" s="1342"/>
      <c r="C1458" s="1342"/>
      <c r="D1458" s="1342"/>
      <c r="E1458" s="1342"/>
      <c r="F1458" s="1342"/>
      <c r="G1458" s="1342"/>
      <c r="H1458" s="1342"/>
      <c r="I1458" s="1342"/>
      <c r="J1458" s="1342"/>
      <c r="K1458" s="1342"/>
    </row>
    <row r="1459" spans="2:11" ht="14" hidden="1">
      <c r="B1459" s="1342"/>
      <c r="C1459" s="1342"/>
      <c r="D1459" s="1342"/>
      <c r="E1459" s="1342"/>
      <c r="F1459" s="1342"/>
      <c r="G1459" s="1342"/>
      <c r="H1459" s="1342"/>
      <c r="I1459" s="1342"/>
      <c r="J1459" s="1342"/>
      <c r="K1459" s="1342"/>
    </row>
    <row r="1460" spans="2:11" ht="14" hidden="1">
      <c r="B1460" s="1342"/>
      <c r="C1460" s="1342"/>
      <c r="D1460" s="1342"/>
      <c r="E1460" s="1342"/>
      <c r="F1460" s="1342"/>
      <c r="G1460" s="1342"/>
      <c r="H1460" s="1342"/>
      <c r="I1460" s="1342"/>
      <c r="J1460" s="1342"/>
      <c r="K1460" s="1342"/>
    </row>
    <row r="1461" spans="2:11" ht="14" hidden="1">
      <c r="B1461" s="1342"/>
      <c r="C1461" s="1342"/>
      <c r="D1461" s="1342"/>
      <c r="E1461" s="1342"/>
      <c r="F1461" s="1342"/>
      <c r="G1461" s="1342"/>
      <c r="H1461" s="1342"/>
      <c r="I1461" s="1342"/>
      <c r="J1461" s="1342"/>
      <c r="K1461" s="1342"/>
    </row>
    <row r="1462" spans="2:11" ht="14" hidden="1">
      <c r="B1462" s="1342"/>
      <c r="C1462" s="1342"/>
      <c r="D1462" s="1342"/>
      <c r="E1462" s="1342"/>
      <c r="F1462" s="1342"/>
      <c r="G1462" s="1342"/>
      <c r="H1462" s="1342"/>
      <c r="I1462" s="1342"/>
      <c r="J1462" s="1342"/>
      <c r="K1462" s="1342"/>
    </row>
    <row r="1463" spans="2:11" ht="14" hidden="1">
      <c r="B1463" s="1342"/>
      <c r="C1463" s="1342"/>
      <c r="D1463" s="1342"/>
      <c r="E1463" s="1342"/>
      <c r="F1463" s="1342"/>
      <c r="G1463" s="1342"/>
      <c r="H1463" s="1342"/>
      <c r="I1463" s="1342"/>
      <c r="J1463" s="1342"/>
      <c r="K1463" s="1342"/>
    </row>
    <row r="1464" spans="2:11" ht="14" hidden="1">
      <c r="B1464" s="1342"/>
      <c r="C1464" s="1342"/>
      <c r="D1464" s="1342"/>
      <c r="E1464" s="1342"/>
      <c r="F1464" s="1342"/>
      <c r="G1464" s="1342"/>
      <c r="H1464" s="1342"/>
      <c r="I1464" s="1342"/>
      <c r="J1464" s="1342"/>
      <c r="K1464" s="1342"/>
    </row>
    <row r="1465" spans="2:11" ht="14" hidden="1">
      <c r="B1465" s="1342"/>
      <c r="C1465" s="1342"/>
      <c r="D1465" s="1342"/>
      <c r="E1465" s="1342"/>
      <c r="F1465" s="1342"/>
      <c r="G1465" s="1342"/>
      <c r="H1465" s="1342"/>
      <c r="I1465" s="1342"/>
      <c r="J1465" s="1342"/>
      <c r="K1465" s="1342"/>
    </row>
    <row r="1466" spans="2:11" ht="14" hidden="1">
      <c r="B1466" s="1342"/>
      <c r="C1466" s="1342"/>
      <c r="D1466" s="1342"/>
      <c r="E1466" s="1342"/>
      <c r="F1466" s="1342"/>
      <c r="G1466" s="1342"/>
      <c r="H1466" s="1342"/>
      <c r="I1466" s="1342"/>
      <c r="J1466" s="1342"/>
      <c r="K1466" s="1342"/>
    </row>
    <row r="1467" spans="2:11" ht="14" hidden="1">
      <c r="B1467" s="1342"/>
      <c r="C1467" s="1342"/>
      <c r="D1467" s="1342"/>
      <c r="E1467" s="1342"/>
      <c r="F1467" s="1342"/>
      <c r="G1467" s="1342"/>
      <c r="H1467" s="1342"/>
      <c r="I1467" s="1342"/>
      <c r="J1467" s="1342"/>
      <c r="K1467" s="1342"/>
    </row>
    <row r="1468" spans="2:11" ht="14" hidden="1">
      <c r="B1468" s="1342"/>
      <c r="C1468" s="1342"/>
      <c r="D1468" s="1342"/>
      <c r="E1468" s="1342"/>
      <c r="F1468" s="1342"/>
      <c r="G1468" s="1342"/>
      <c r="H1468" s="1342"/>
      <c r="I1468" s="1342"/>
      <c r="J1468" s="1342"/>
      <c r="K1468" s="1342"/>
    </row>
    <row r="1469" spans="2:11" ht="14" hidden="1">
      <c r="B1469" s="1342"/>
      <c r="C1469" s="1342"/>
      <c r="D1469" s="1342"/>
      <c r="E1469" s="1342"/>
      <c r="F1469" s="1342"/>
      <c r="G1469" s="1342"/>
      <c r="H1469" s="1342"/>
      <c r="I1469" s="1342"/>
      <c r="J1469" s="1342"/>
      <c r="K1469" s="1342"/>
    </row>
    <row r="1470" spans="2:11" ht="14" hidden="1">
      <c r="B1470" s="1342"/>
      <c r="C1470" s="1342"/>
      <c r="D1470" s="1342"/>
      <c r="E1470" s="1342"/>
      <c r="F1470" s="1342"/>
      <c r="G1470" s="1342"/>
      <c r="H1470" s="1342"/>
      <c r="I1470" s="1342"/>
      <c r="J1470" s="1342"/>
      <c r="K1470" s="1342"/>
    </row>
    <row r="1471" spans="2:11" ht="14" hidden="1">
      <c r="B1471" s="1342"/>
      <c r="C1471" s="1342"/>
      <c r="D1471" s="1342"/>
      <c r="E1471" s="1342"/>
      <c r="F1471" s="1342"/>
      <c r="G1471" s="1342"/>
      <c r="H1471" s="1342"/>
      <c r="I1471" s="1342"/>
      <c r="J1471" s="1342"/>
      <c r="K1471" s="1342"/>
    </row>
    <row r="1472" spans="2:11" ht="14" hidden="1">
      <c r="B1472" s="1342"/>
      <c r="C1472" s="1342"/>
      <c r="D1472" s="1342"/>
      <c r="E1472" s="1342"/>
      <c r="F1472" s="1342"/>
      <c r="G1472" s="1342"/>
      <c r="H1472" s="1342"/>
      <c r="I1472" s="1342"/>
      <c r="J1472" s="1342"/>
      <c r="K1472" s="1342"/>
    </row>
    <row r="1473" spans="2:11" ht="14" hidden="1">
      <c r="B1473" s="1342"/>
      <c r="C1473" s="1342"/>
      <c r="D1473" s="1342"/>
      <c r="E1473" s="1342"/>
      <c r="F1473" s="1342"/>
      <c r="G1473" s="1342"/>
      <c r="H1473" s="1342"/>
      <c r="I1473" s="1342"/>
      <c r="J1473" s="1342"/>
      <c r="K1473" s="1342"/>
    </row>
    <row r="1474" spans="2:11" ht="14" hidden="1">
      <c r="B1474" s="1342"/>
      <c r="C1474" s="1342"/>
      <c r="D1474" s="1342"/>
      <c r="E1474" s="1342"/>
      <c r="F1474" s="1342"/>
      <c r="G1474" s="1342"/>
      <c r="H1474" s="1342"/>
      <c r="I1474" s="1342"/>
      <c r="J1474" s="1342"/>
      <c r="K1474" s="1342"/>
    </row>
    <row r="1475" spans="2:11" ht="14" hidden="1">
      <c r="B1475" s="1342"/>
      <c r="C1475" s="1342"/>
      <c r="D1475" s="1342"/>
      <c r="E1475" s="1342"/>
      <c r="F1475" s="1342"/>
      <c r="G1475" s="1342"/>
      <c r="H1475" s="1342"/>
      <c r="I1475" s="1342"/>
      <c r="J1475" s="1342"/>
      <c r="K1475" s="1342"/>
    </row>
    <row r="1476" spans="2:11" ht="14" hidden="1">
      <c r="B1476" s="1342"/>
      <c r="C1476" s="1342"/>
      <c r="D1476" s="1342"/>
      <c r="E1476" s="1342"/>
      <c r="F1476" s="1342"/>
      <c r="G1476" s="1342"/>
      <c r="H1476" s="1342"/>
      <c r="I1476" s="1342"/>
      <c r="J1476" s="1342"/>
      <c r="K1476" s="1342"/>
    </row>
    <row r="1477" spans="2:11" ht="14" hidden="1">
      <c r="B1477" s="1342"/>
      <c r="C1477" s="1342"/>
      <c r="D1477" s="1342"/>
      <c r="E1477" s="1342"/>
      <c r="F1477" s="1342"/>
      <c r="G1477" s="1342"/>
      <c r="H1477" s="1342"/>
      <c r="I1477" s="1342"/>
      <c r="J1477" s="1342"/>
      <c r="K1477" s="1342"/>
    </row>
    <row r="1478" spans="2:11" ht="14" hidden="1">
      <c r="B1478" s="1342"/>
      <c r="C1478" s="1342"/>
      <c r="D1478" s="1342"/>
      <c r="E1478" s="1342"/>
      <c r="F1478" s="1342"/>
      <c r="G1478" s="1342"/>
      <c r="H1478" s="1342"/>
      <c r="I1478" s="1342"/>
      <c r="J1478" s="1342"/>
      <c r="K1478" s="1342"/>
    </row>
    <row r="1479" spans="2:11" ht="14" hidden="1">
      <c r="B1479" s="1342"/>
      <c r="C1479" s="1342"/>
      <c r="D1479" s="1342"/>
      <c r="E1479" s="1342"/>
      <c r="F1479" s="1342"/>
      <c r="G1479" s="1342"/>
      <c r="H1479" s="1342"/>
      <c r="I1479" s="1342"/>
      <c r="J1479" s="1342"/>
      <c r="K1479" s="1342"/>
    </row>
    <row r="1480" spans="2:11" ht="14" hidden="1">
      <c r="B1480" s="1342"/>
      <c r="C1480" s="1342"/>
      <c r="D1480" s="1342"/>
      <c r="E1480" s="1342"/>
      <c r="F1480" s="1342"/>
      <c r="G1480" s="1342"/>
      <c r="H1480" s="1342"/>
      <c r="I1480" s="1342"/>
      <c r="J1480" s="1342"/>
      <c r="K1480" s="1342"/>
    </row>
    <row r="1481" spans="2:11" ht="14" hidden="1">
      <c r="B1481" s="1342"/>
      <c r="C1481" s="1342"/>
      <c r="D1481" s="1342"/>
      <c r="E1481" s="1342"/>
      <c r="F1481" s="1342"/>
      <c r="G1481" s="1342"/>
      <c r="H1481" s="1342"/>
      <c r="I1481" s="1342"/>
      <c r="J1481" s="1342"/>
      <c r="K1481" s="1342"/>
    </row>
    <row r="1482" spans="2:11" ht="14" hidden="1">
      <c r="B1482" s="1342"/>
      <c r="C1482" s="1342"/>
      <c r="D1482" s="1342"/>
      <c r="E1482" s="1342"/>
      <c r="F1482" s="1342"/>
      <c r="G1482" s="1342"/>
      <c r="H1482" s="1342"/>
      <c r="I1482" s="1342"/>
      <c r="J1482" s="1342"/>
      <c r="K1482" s="1342"/>
    </row>
    <row r="1483" spans="2:11" ht="14" hidden="1">
      <c r="B1483" s="1342"/>
      <c r="C1483" s="1342"/>
      <c r="D1483" s="1342"/>
      <c r="E1483" s="1342"/>
      <c r="F1483" s="1342"/>
      <c r="G1483" s="1342"/>
      <c r="H1483" s="1342"/>
      <c r="I1483" s="1342"/>
      <c r="J1483" s="1342"/>
      <c r="K1483" s="1342"/>
    </row>
    <row r="1484" spans="2:11" ht="14" hidden="1">
      <c r="B1484" s="1342"/>
      <c r="C1484" s="1342"/>
      <c r="D1484" s="1342"/>
      <c r="E1484" s="1342"/>
      <c r="F1484" s="1342"/>
      <c r="G1484" s="1342"/>
      <c r="H1484" s="1342"/>
      <c r="I1484" s="1342"/>
      <c r="J1484" s="1342"/>
      <c r="K1484" s="1342"/>
    </row>
    <row r="1485" spans="2:11" ht="14" hidden="1">
      <c r="B1485" s="1342"/>
      <c r="C1485" s="1342"/>
      <c r="D1485" s="1342"/>
      <c r="E1485" s="1342"/>
      <c r="F1485" s="1342"/>
      <c r="G1485" s="1342"/>
      <c r="H1485" s="1342"/>
      <c r="I1485" s="1342"/>
      <c r="J1485" s="1342"/>
      <c r="K1485" s="1342"/>
    </row>
    <row r="1486" spans="2:11" ht="14" hidden="1">
      <c r="B1486" s="1342"/>
      <c r="C1486" s="1342"/>
      <c r="D1486" s="1342"/>
      <c r="E1486" s="1342"/>
      <c r="F1486" s="1342"/>
      <c r="G1486" s="1342"/>
      <c r="H1486" s="1342"/>
      <c r="I1486" s="1342"/>
      <c r="J1486" s="1342"/>
      <c r="K1486" s="1342"/>
    </row>
    <row r="1487" spans="2:11" ht="14" hidden="1">
      <c r="B1487" s="1342"/>
      <c r="C1487" s="1342"/>
      <c r="D1487" s="1342"/>
      <c r="E1487" s="1342"/>
      <c r="F1487" s="1342"/>
      <c r="G1487" s="1342"/>
      <c r="H1487" s="1342"/>
      <c r="I1487" s="1342"/>
      <c r="J1487" s="1342"/>
      <c r="K1487" s="1342"/>
    </row>
    <row r="1488" spans="2:11" ht="14" hidden="1">
      <c r="B1488" s="1342"/>
      <c r="C1488" s="1342"/>
      <c r="D1488" s="1342"/>
      <c r="E1488" s="1342"/>
      <c r="F1488" s="1342"/>
      <c r="G1488" s="1342"/>
      <c r="H1488" s="1342"/>
      <c r="I1488" s="1342"/>
      <c r="J1488" s="1342"/>
      <c r="K1488" s="1342"/>
    </row>
    <row r="1489" spans="2:11" ht="14" hidden="1">
      <c r="B1489" s="1342"/>
      <c r="C1489" s="1342"/>
      <c r="D1489" s="1342"/>
      <c r="E1489" s="1342"/>
      <c r="F1489" s="1342"/>
      <c r="G1489" s="1342"/>
      <c r="H1489" s="1342"/>
      <c r="I1489" s="1342"/>
      <c r="J1489" s="1342"/>
      <c r="K1489" s="1342"/>
    </row>
    <row r="1490" spans="2:11" ht="14" hidden="1">
      <c r="B1490" s="1342"/>
      <c r="C1490" s="1342"/>
      <c r="D1490" s="1342"/>
      <c r="E1490" s="1342"/>
      <c r="F1490" s="1342"/>
      <c r="G1490" s="1342"/>
      <c r="H1490" s="1342"/>
      <c r="I1490" s="1342"/>
      <c r="J1490" s="1342"/>
      <c r="K1490" s="1342"/>
    </row>
    <row r="1491" spans="2:11" ht="14" hidden="1">
      <c r="B1491" s="1342"/>
      <c r="C1491" s="1342"/>
      <c r="D1491" s="1342"/>
      <c r="E1491" s="1342"/>
      <c r="F1491" s="1342"/>
      <c r="G1491" s="1342"/>
      <c r="H1491" s="1342"/>
      <c r="I1491" s="1342"/>
      <c r="J1491" s="1342"/>
      <c r="K1491" s="1342"/>
    </row>
    <row r="1492" spans="2:11" ht="14" hidden="1">
      <c r="B1492" s="1342"/>
      <c r="C1492" s="1342"/>
      <c r="D1492" s="1342"/>
      <c r="E1492" s="1342"/>
      <c r="F1492" s="1342"/>
      <c r="G1492" s="1342"/>
      <c r="H1492" s="1342"/>
      <c r="I1492" s="1342"/>
      <c r="J1492" s="1342"/>
      <c r="K1492" s="1342"/>
    </row>
    <row r="1493" spans="2:11" ht="14" hidden="1">
      <c r="B1493" s="1342"/>
      <c r="C1493" s="1342"/>
      <c r="D1493" s="1342"/>
      <c r="E1493" s="1342"/>
      <c r="F1493" s="1342"/>
      <c r="G1493" s="1342"/>
      <c r="H1493" s="1342"/>
      <c r="I1493" s="1342"/>
      <c r="J1493" s="1342"/>
      <c r="K1493" s="1342"/>
    </row>
    <row r="1494" spans="2:11" ht="14" hidden="1">
      <c r="B1494" s="1342"/>
      <c r="C1494" s="1342"/>
      <c r="D1494" s="1342"/>
      <c r="E1494" s="1342"/>
      <c r="F1494" s="1342"/>
      <c r="G1494" s="1342"/>
      <c r="H1494" s="1342"/>
      <c r="I1494" s="1342"/>
      <c r="J1494" s="1342"/>
      <c r="K1494" s="1342"/>
    </row>
    <row r="1495" spans="2:11" ht="14" hidden="1">
      <c r="B1495" s="1342"/>
      <c r="C1495" s="1342"/>
      <c r="D1495" s="1342"/>
      <c r="E1495" s="1342"/>
      <c r="F1495" s="1342"/>
      <c r="G1495" s="1342"/>
      <c r="H1495" s="1342"/>
      <c r="I1495" s="1342"/>
      <c r="J1495" s="1342"/>
      <c r="K1495" s="1342"/>
    </row>
    <row r="1496" spans="2:11" ht="14" hidden="1">
      <c r="B1496" s="1342"/>
      <c r="C1496" s="1342"/>
      <c r="D1496" s="1342"/>
      <c r="E1496" s="1342"/>
      <c r="F1496" s="1342"/>
      <c r="G1496" s="1342"/>
      <c r="H1496" s="1342"/>
      <c r="I1496" s="1342"/>
      <c r="J1496" s="1342"/>
      <c r="K1496" s="1342"/>
    </row>
    <row r="1497" spans="2:11" ht="14" hidden="1">
      <c r="B1497" s="1342"/>
      <c r="C1497" s="1342"/>
      <c r="D1497" s="1342"/>
      <c r="E1497" s="1342"/>
      <c r="F1497" s="1342"/>
      <c r="G1497" s="1342"/>
      <c r="H1497" s="1342"/>
      <c r="I1497" s="1342"/>
      <c r="J1497" s="1342"/>
      <c r="K1497" s="1342"/>
    </row>
    <row r="1498" spans="2:11" ht="14" hidden="1">
      <c r="B1498" s="1342"/>
      <c r="C1498" s="1342"/>
      <c r="D1498" s="1342"/>
      <c r="E1498" s="1342"/>
      <c r="F1498" s="1342"/>
      <c r="G1498" s="1342"/>
      <c r="H1498" s="1342"/>
      <c r="I1498" s="1342"/>
      <c r="J1498" s="1342"/>
      <c r="K1498" s="1342"/>
    </row>
    <row r="1499" spans="2:11" ht="14" hidden="1">
      <c r="B1499" s="1342"/>
      <c r="C1499" s="1342"/>
      <c r="D1499" s="1342"/>
      <c r="E1499" s="1342"/>
      <c r="F1499" s="1342"/>
      <c r="G1499" s="1342"/>
      <c r="H1499" s="1342"/>
      <c r="I1499" s="1342"/>
      <c r="J1499" s="1342"/>
      <c r="K1499" s="1342"/>
    </row>
    <row r="1500" spans="2:11" ht="14" hidden="1">
      <c r="B1500" s="1342"/>
      <c r="C1500" s="1342"/>
      <c r="D1500" s="1342"/>
      <c r="E1500" s="1342"/>
      <c r="F1500" s="1342"/>
      <c r="G1500" s="1342"/>
      <c r="H1500" s="1342"/>
      <c r="I1500" s="1342"/>
      <c r="J1500" s="1342"/>
      <c r="K1500" s="1342"/>
    </row>
    <row r="1501" spans="2:11" ht="14" hidden="1">
      <c r="B1501" s="1342"/>
      <c r="C1501" s="1342"/>
      <c r="D1501" s="1342"/>
      <c r="E1501" s="1342"/>
      <c r="F1501" s="1342"/>
      <c r="G1501" s="1342"/>
      <c r="H1501" s="1342"/>
      <c r="I1501" s="1342"/>
      <c r="J1501" s="1342"/>
      <c r="K1501" s="1342"/>
    </row>
    <row r="1502" spans="2:11" ht="14" hidden="1">
      <c r="B1502" s="1342"/>
      <c r="C1502" s="1342"/>
      <c r="D1502" s="1342"/>
      <c r="E1502" s="1342"/>
      <c r="F1502" s="1342"/>
      <c r="G1502" s="1342"/>
      <c r="H1502" s="1342"/>
      <c r="I1502" s="1342"/>
      <c r="J1502" s="1342"/>
      <c r="K1502" s="1342"/>
    </row>
    <row r="1503" spans="2:11" ht="14" hidden="1">
      <c r="B1503" s="1342"/>
      <c r="C1503" s="1342"/>
      <c r="D1503" s="1342"/>
      <c r="E1503" s="1342"/>
      <c r="F1503" s="1342"/>
      <c r="G1503" s="1342"/>
      <c r="H1503" s="1342"/>
      <c r="I1503" s="1342"/>
      <c r="J1503" s="1342"/>
      <c r="K1503" s="1342"/>
    </row>
    <row r="1504" spans="2:11" ht="14" hidden="1">
      <c r="B1504" s="1342"/>
      <c r="C1504" s="1342"/>
      <c r="D1504" s="1342"/>
      <c r="E1504" s="1342"/>
      <c r="F1504" s="1342"/>
      <c r="G1504" s="1342"/>
      <c r="H1504" s="1342"/>
      <c r="I1504" s="1342"/>
      <c r="J1504" s="1342"/>
      <c r="K1504" s="1342"/>
    </row>
    <row r="1505" spans="2:11" ht="14" hidden="1">
      <c r="B1505" s="1342"/>
      <c r="C1505" s="1342"/>
      <c r="D1505" s="1342"/>
      <c r="E1505" s="1342"/>
      <c r="F1505" s="1342"/>
      <c r="G1505" s="1342"/>
      <c r="H1505" s="1342"/>
      <c r="I1505" s="1342"/>
      <c r="J1505" s="1342"/>
      <c r="K1505" s="1342"/>
    </row>
    <row r="1506" spans="2:11" ht="14" hidden="1">
      <c r="B1506" s="1342"/>
      <c r="C1506" s="1342"/>
      <c r="D1506" s="1342"/>
      <c r="E1506" s="1342"/>
      <c r="F1506" s="1342"/>
      <c r="G1506" s="1342"/>
      <c r="H1506" s="1342"/>
      <c r="I1506" s="1342"/>
      <c r="J1506" s="1342"/>
      <c r="K1506" s="1342"/>
    </row>
    <row r="1507" spans="2:11" ht="14" hidden="1">
      <c r="B1507" s="1342"/>
      <c r="C1507" s="1342"/>
      <c r="D1507" s="1342"/>
      <c r="E1507" s="1342"/>
      <c r="F1507" s="1342"/>
      <c r="G1507" s="1342"/>
      <c r="H1507" s="1342"/>
      <c r="I1507" s="1342"/>
      <c r="J1507" s="1342"/>
      <c r="K1507" s="1342"/>
    </row>
    <row r="1508" spans="2:11" ht="14" hidden="1">
      <c r="B1508" s="1342"/>
      <c r="C1508" s="1342"/>
      <c r="D1508" s="1342"/>
      <c r="E1508" s="1342"/>
      <c r="F1508" s="1342"/>
      <c r="G1508" s="1342"/>
      <c r="H1508" s="1342"/>
      <c r="I1508" s="1342"/>
      <c r="J1508" s="1342"/>
      <c r="K1508" s="1342"/>
    </row>
    <row r="1509" spans="2:11" ht="14" hidden="1">
      <c r="B1509" s="1342"/>
      <c r="C1509" s="1342"/>
      <c r="D1509" s="1342"/>
      <c r="E1509" s="1342"/>
      <c r="F1509" s="1342"/>
      <c r="G1509" s="1342"/>
      <c r="H1509" s="1342"/>
      <c r="I1509" s="1342"/>
      <c r="J1509" s="1342"/>
      <c r="K1509" s="1342"/>
    </row>
    <row r="1510" spans="2:11" ht="14" hidden="1">
      <c r="B1510" s="1342"/>
      <c r="C1510" s="1342"/>
      <c r="D1510" s="1342"/>
      <c r="E1510" s="1342"/>
      <c r="F1510" s="1342"/>
      <c r="G1510" s="1342"/>
      <c r="H1510" s="1342"/>
      <c r="I1510" s="1342"/>
      <c r="J1510" s="1342"/>
      <c r="K1510" s="1342"/>
    </row>
    <row r="1511" spans="2:11" ht="14" hidden="1">
      <c r="B1511" s="1342"/>
      <c r="C1511" s="1342"/>
      <c r="D1511" s="1342"/>
      <c r="E1511" s="1342"/>
      <c r="F1511" s="1342"/>
      <c r="G1511" s="1342"/>
      <c r="H1511" s="1342"/>
      <c r="I1511" s="1342"/>
      <c r="J1511" s="1342"/>
      <c r="K1511" s="1342"/>
    </row>
    <row r="1512" spans="2:11" ht="14" hidden="1">
      <c r="B1512" s="1342"/>
      <c r="C1512" s="1342"/>
      <c r="D1512" s="1342"/>
      <c r="E1512" s="1342"/>
      <c r="F1512" s="1342"/>
      <c r="G1512" s="1342"/>
      <c r="H1512" s="1342"/>
      <c r="I1512" s="1342"/>
      <c r="J1512" s="1342"/>
      <c r="K1512" s="1342"/>
    </row>
    <row r="1513" spans="2:11" ht="14" hidden="1">
      <c r="B1513" s="1342"/>
      <c r="C1513" s="1342"/>
      <c r="D1513" s="1342"/>
      <c r="E1513" s="1342"/>
      <c r="F1513" s="1342"/>
      <c r="G1513" s="1342"/>
      <c r="H1513" s="1342"/>
      <c r="I1513" s="1342"/>
      <c r="J1513" s="1342"/>
      <c r="K1513" s="1342"/>
    </row>
    <row r="1514" spans="2:11" ht="14" hidden="1">
      <c r="B1514" s="1342"/>
      <c r="C1514" s="1342"/>
      <c r="D1514" s="1342"/>
      <c r="E1514" s="1342"/>
      <c r="F1514" s="1342"/>
      <c r="G1514" s="1342"/>
      <c r="H1514" s="1342"/>
      <c r="I1514" s="1342"/>
      <c r="J1514" s="1342"/>
      <c r="K1514" s="1342"/>
    </row>
    <row r="1515" spans="2:11" ht="14" hidden="1">
      <c r="B1515" s="1342"/>
      <c r="C1515" s="1342"/>
      <c r="D1515" s="1342"/>
      <c r="E1515" s="1342"/>
      <c r="F1515" s="1342"/>
      <c r="G1515" s="1342"/>
      <c r="H1515" s="1342"/>
      <c r="I1515" s="1342"/>
      <c r="J1515" s="1342"/>
      <c r="K1515" s="1342"/>
    </row>
    <row r="1516" spans="2:11" ht="14" hidden="1">
      <c r="B1516" s="1342"/>
      <c r="C1516" s="1342"/>
      <c r="D1516" s="1342"/>
      <c r="E1516" s="1342"/>
      <c r="F1516" s="1342"/>
      <c r="G1516" s="1342"/>
      <c r="H1516" s="1342"/>
      <c r="I1516" s="1342"/>
      <c r="J1516" s="1342"/>
      <c r="K1516" s="1342"/>
    </row>
    <row r="1517" spans="2:11" ht="14" hidden="1">
      <c r="B1517" s="1342"/>
      <c r="C1517" s="1342"/>
      <c r="D1517" s="1342"/>
      <c r="E1517" s="1342"/>
      <c r="F1517" s="1342"/>
      <c r="G1517" s="1342"/>
      <c r="H1517" s="1342"/>
      <c r="I1517" s="1342"/>
      <c r="J1517" s="1342"/>
      <c r="K1517" s="1342"/>
    </row>
    <row r="1518" spans="2:11" ht="14" hidden="1">
      <c r="B1518" s="1342"/>
      <c r="C1518" s="1342"/>
      <c r="D1518" s="1342"/>
      <c r="E1518" s="1342"/>
      <c r="F1518" s="1342"/>
      <c r="G1518" s="1342"/>
      <c r="H1518" s="1342"/>
      <c r="I1518" s="1342"/>
      <c r="J1518" s="1342"/>
      <c r="K1518" s="1342"/>
    </row>
    <row r="1519" spans="2:11" ht="14" hidden="1">
      <c r="B1519" s="1342"/>
      <c r="C1519" s="1342"/>
      <c r="D1519" s="1342"/>
      <c r="E1519" s="1342"/>
      <c r="F1519" s="1342"/>
      <c r="G1519" s="1342"/>
      <c r="H1519" s="1342"/>
      <c r="I1519" s="1342"/>
      <c r="J1519" s="1342"/>
      <c r="K1519" s="1342"/>
    </row>
    <row r="1520" spans="2:11" ht="14" hidden="1">
      <c r="B1520" s="1342"/>
      <c r="C1520" s="1342"/>
      <c r="D1520" s="1342"/>
      <c r="E1520" s="1342"/>
      <c r="F1520" s="1342"/>
      <c r="G1520" s="1342"/>
      <c r="H1520" s="1342"/>
      <c r="I1520" s="1342"/>
      <c r="J1520" s="1342"/>
      <c r="K1520" s="1342"/>
    </row>
    <row r="1521" spans="2:11" ht="14" hidden="1">
      <c r="B1521" s="1342"/>
      <c r="C1521" s="1342"/>
      <c r="D1521" s="1342"/>
      <c r="E1521" s="1342"/>
      <c r="F1521" s="1342"/>
      <c r="G1521" s="1342"/>
      <c r="H1521" s="1342"/>
      <c r="I1521" s="1342"/>
      <c r="J1521" s="1342"/>
      <c r="K1521" s="1342"/>
    </row>
    <row r="1522" spans="2:11" ht="14" hidden="1">
      <c r="B1522" s="1342"/>
      <c r="C1522" s="1342"/>
      <c r="D1522" s="1342"/>
      <c r="E1522" s="1342"/>
      <c r="F1522" s="1342"/>
      <c r="G1522" s="1342"/>
      <c r="H1522" s="1342"/>
      <c r="I1522" s="1342"/>
      <c r="J1522" s="1342"/>
      <c r="K1522" s="1342"/>
    </row>
    <row r="1523" spans="2:11" ht="14" hidden="1">
      <c r="B1523" s="1342"/>
      <c r="C1523" s="1342"/>
      <c r="D1523" s="1342"/>
      <c r="E1523" s="1342"/>
      <c r="F1523" s="1342"/>
      <c r="G1523" s="1342"/>
      <c r="H1523" s="1342"/>
      <c r="I1523" s="1342"/>
      <c r="J1523" s="1342"/>
      <c r="K1523" s="1342"/>
    </row>
    <row r="1524" spans="2:11" ht="14" hidden="1">
      <c r="B1524" s="1342"/>
      <c r="C1524" s="1342"/>
      <c r="D1524" s="1342"/>
      <c r="E1524" s="1342"/>
      <c r="F1524" s="1342"/>
      <c r="G1524" s="1342"/>
      <c r="H1524" s="1342"/>
      <c r="I1524" s="1342"/>
      <c r="J1524" s="1342"/>
      <c r="K1524" s="1342"/>
    </row>
    <row r="1525" spans="2:11" ht="14" hidden="1">
      <c r="B1525" s="1342"/>
      <c r="C1525" s="1342"/>
      <c r="D1525" s="1342"/>
      <c r="E1525" s="1342"/>
      <c r="F1525" s="1342"/>
      <c r="G1525" s="1342"/>
      <c r="H1525" s="1342"/>
      <c r="I1525" s="1342"/>
      <c r="J1525" s="1342"/>
      <c r="K1525" s="1342"/>
    </row>
    <row r="1526" spans="2:11" ht="14" hidden="1">
      <c r="B1526" s="1342"/>
      <c r="C1526" s="1342"/>
      <c r="D1526" s="1342"/>
      <c r="E1526" s="1342"/>
      <c r="F1526" s="1342"/>
      <c r="G1526" s="1342"/>
      <c r="H1526" s="1342"/>
      <c r="I1526" s="1342"/>
      <c r="J1526" s="1342"/>
      <c r="K1526" s="1342"/>
    </row>
    <row r="1527" spans="2:11" ht="14" hidden="1">
      <c r="B1527" s="1342"/>
      <c r="C1527" s="1342"/>
      <c r="D1527" s="1342"/>
      <c r="E1527" s="1342"/>
      <c r="F1527" s="1342"/>
      <c r="G1527" s="1342"/>
      <c r="H1527" s="1342"/>
      <c r="I1527" s="1342"/>
      <c r="J1527" s="1342"/>
      <c r="K1527" s="1342"/>
    </row>
    <row r="1528" spans="2:11" ht="14" hidden="1">
      <c r="B1528" s="1342"/>
      <c r="C1528" s="1342"/>
      <c r="D1528" s="1342"/>
      <c r="E1528" s="1342"/>
      <c r="F1528" s="1342"/>
      <c r="G1528" s="1342"/>
      <c r="H1528" s="1342"/>
      <c r="I1528" s="1342"/>
      <c r="J1528" s="1342"/>
      <c r="K1528" s="1342"/>
    </row>
    <row r="1529" spans="2:11" ht="14" hidden="1">
      <c r="B1529" s="1342"/>
      <c r="C1529" s="1342"/>
      <c r="D1529" s="1342"/>
      <c r="E1529" s="1342"/>
      <c r="F1529" s="1342"/>
      <c r="G1529" s="1342"/>
      <c r="H1529" s="1342"/>
      <c r="I1529" s="1342"/>
      <c r="J1529" s="1342"/>
      <c r="K1529" s="1342"/>
    </row>
    <row r="1530" spans="2:11" ht="14" hidden="1">
      <c r="B1530" s="1342"/>
      <c r="C1530" s="1342"/>
      <c r="D1530" s="1342"/>
      <c r="E1530" s="1342"/>
      <c r="F1530" s="1342"/>
      <c r="G1530" s="1342"/>
      <c r="H1530" s="1342"/>
      <c r="I1530" s="1342"/>
      <c r="J1530" s="1342"/>
      <c r="K1530" s="1342"/>
    </row>
    <row r="1531" spans="2:11" ht="14" hidden="1">
      <c r="B1531" s="1342"/>
      <c r="C1531" s="1342"/>
      <c r="D1531" s="1342"/>
      <c r="E1531" s="1342"/>
      <c r="F1531" s="1342"/>
      <c r="G1531" s="1342"/>
      <c r="H1531" s="1342"/>
      <c r="I1531" s="1342"/>
      <c r="J1531" s="1342"/>
      <c r="K1531" s="1342"/>
    </row>
    <row r="1532" spans="2:11" ht="14" hidden="1">
      <c r="B1532" s="1342"/>
      <c r="C1532" s="1342"/>
      <c r="D1532" s="1342"/>
      <c r="E1532" s="1342"/>
      <c r="F1532" s="1342"/>
      <c r="G1532" s="1342"/>
      <c r="H1532" s="1342"/>
      <c r="I1532" s="1342"/>
      <c r="J1532" s="1342"/>
      <c r="K1532" s="1342"/>
    </row>
    <row r="1533" spans="2:11" ht="14" hidden="1">
      <c r="B1533" s="1342"/>
      <c r="C1533" s="1342"/>
      <c r="D1533" s="1342"/>
      <c r="E1533" s="1342"/>
      <c r="F1533" s="1342"/>
      <c r="G1533" s="1342"/>
      <c r="H1533" s="1342"/>
      <c r="I1533" s="1342"/>
      <c r="J1533" s="1342"/>
      <c r="K1533" s="1342"/>
    </row>
    <row r="1534" spans="2:11" ht="14" hidden="1">
      <c r="B1534" s="1342"/>
      <c r="C1534" s="1342"/>
      <c r="D1534" s="1342"/>
      <c r="E1534" s="1342"/>
      <c r="F1534" s="1342"/>
      <c r="G1534" s="1342"/>
      <c r="H1534" s="1342"/>
      <c r="I1534" s="1342"/>
      <c r="J1534" s="1342"/>
      <c r="K1534" s="1342"/>
    </row>
    <row r="1535" spans="2:11" ht="14" hidden="1">
      <c r="B1535" s="1342"/>
      <c r="C1535" s="1342"/>
      <c r="D1535" s="1342"/>
      <c r="E1535" s="1342"/>
      <c r="F1535" s="1342"/>
      <c r="G1535" s="1342"/>
      <c r="H1535" s="1342"/>
      <c r="I1535" s="1342"/>
      <c r="J1535" s="1342"/>
      <c r="K1535" s="1342"/>
    </row>
    <row r="1536" spans="2:11" ht="14" hidden="1">
      <c r="B1536" s="1342"/>
      <c r="C1536" s="1342"/>
      <c r="D1536" s="1342"/>
      <c r="E1536" s="1342"/>
      <c r="F1536" s="1342"/>
      <c r="G1536" s="1342"/>
      <c r="H1536" s="1342"/>
      <c r="I1536" s="1342"/>
      <c r="J1536" s="1342"/>
      <c r="K1536" s="1342"/>
    </row>
    <row r="1537" spans="2:11" ht="14" hidden="1">
      <c r="B1537" s="1342"/>
      <c r="C1537" s="1342"/>
      <c r="D1537" s="1342"/>
      <c r="E1537" s="1342"/>
      <c r="F1537" s="1342"/>
      <c r="G1537" s="1342"/>
      <c r="H1537" s="1342"/>
      <c r="I1537" s="1342"/>
      <c r="J1537" s="1342"/>
      <c r="K1537" s="1342"/>
    </row>
    <row r="1538" spans="2:11" ht="14" hidden="1">
      <c r="B1538" s="1342"/>
      <c r="C1538" s="1342"/>
      <c r="D1538" s="1342"/>
      <c r="E1538" s="1342"/>
      <c r="F1538" s="1342"/>
      <c r="G1538" s="1342"/>
      <c r="H1538" s="1342"/>
      <c r="I1538" s="1342"/>
      <c r="J1538" s="1342"/>
      <c r="K1538" s="1342"/>
    </row>
    <row r="1539" spans="2:11" ht="14" hidden="1">
      <c r="B1539" s="1342"/>
      <c r="C1539" s="1342"/>
      <c r="D1539" s="1342"/>
      <c r="E1539" s="1342"/>
      <c r="F1539" s="1342"/>
      <c r="G1539" s="1342"/>
      <c r="H1539" s="1342"/>
      <c r="I1539" s="1342"/>
      <c r="J1539" s="1342"/>
      <c r="K1539" s="1342"/>
    </row>
    <row r="1540" spans="2:11" ht="14" hidden="1">
      <c r="B1540" s="1342"/>
      <c r="C1540" s="1342"/>
      <c r="D1540" s="1342"/>
      <c r="E1540" s="1342"/>
      <c r="F1540" s="1342"/>
      <c r="G1540" s="1342"/>
      <c r="H1540" s="1342"/>
      <c r="I1540" s="1342"/>
      <c r="J1540" s="1342"/>
      <c r="K1540" s="1342"/>
    </row>
    <row r="1541" spans="2:11" ht="14" hidden="1">
      <c r="B1541" s="1342"/>
      <c r="C1541" s="1342"/>
      <c r="D1541" s="1342"/>
      <c r="E1541" s="1342"/>
      <c r="F1541" s="1342"/>
      <c r="G1541" s="1342"/>
      <c r="H1541" s="1342"/>
      <c r="I1541" s="1342"/>
      <c r="J1541" s="1342"/>
      <c r="K1541" s="1342"/>
    </row>
    <row r="1542" spans="2:11" ht="14" hidden="1">
      <c r="B1542" s="1342"/>
      <c r="C1542" s="1342"/>
      <c r="D1542" s="1342"/>
      <c r="E1542" s="1342"/>
      <c r="F1542" s="1342"/>
      <c r="G1542" s="1342"/>
      <c r="H1542" s="1342"/>
      <c r="I1542" s="1342"/>
      <c r="J1542" s="1342"/>
      <c r="K1542" s="1342"/>
    </row>
    <row r="1543" spans="2:11" ht="14" hidden="1">
      <c r="B1543" s="1342"/>
      <c r="C1543" s="1342"/>
      <c r="D1543" s="1342"/>
      <c r="E1543" s="1342"/>
      <c r="F1543" s="1342"/>
      <c r="G1543" s="1342"/>
      <c r="H1543" s="1342"/>
      <c r="I1543" s="1342"/>
      <c r="J1543" s="1342"/>
      <c r="K1543" s="1342"/>
    </row>
    <row r="1544" spans="2:11" ht="14" hidden="1">
      <c r="B1544" s="1342"/>
      <c r="C1544" s="1342"/>
      <c r="D1544" s="1342"/>
      <c r="E1544" s="1342"/>
      <c r="F1544" s="1342"/>
      <c r="G1544" s="1342"/>
      <c r="H1544" s="1342"/>
      <c r="I1544" s="1342"/>
      <c r="J1544" s="1342"/>
      <c r="K1544" s="1342"/>
    </row>
    <row r="1545" spans="2:11" ht="14" hidden="1">
      <c r="B1545" s="1342"/>
      <c r="C1545" s="1342"/>
      <c r="D1545" s="1342"/>
      <c r="E1545" s="1342"/>
      <c r="F1545" s="1342"/>
      <c r="G1545" s="1342"/>
      <c r="H1545" s="1342"/>
      <c r="I1545" s="1342"/>
      <c r="J1545" s="1342"/>
      <c r="K1545" s="1342"/>
    </row>
    <row r="1546" spans="2:11" ht="14" hidden="1">
      <c r="B1546" s="1342"/>
      <c r="C1546" s="1342"/>
      <c r="D1546" s="1342"/>
      <c r="E1546" s="1342"/>
      <c r="F1546" s="1342"/>
      <c r="G1546" s="1342"/>
      <c r="H1546" s="1342"/>
      <c r="I1546" s="1342"/>
      <c r="J1546" s="1342"/>
      <c r="K1546" s="1342"/>
    </row>
    <row r="1547" spans="2:11" ht="14" hidden="1">
      <c r="B1547" s="1342"/>
      <c r="C1547" s="1342"/>
      <c r="D1547" s="1342"/>
      <c r="E1547" s="1342"/>
      <c r="F1547" s="1342"/>
      <c r="G1547" s="1342"/>
      <c r="H1547" s="1342"/>
      <c r="I1547" s="1342"/>
      <c r="J1547" s="1342"/>
      <c r="K1547" s="1342"/>
    </row>
    <row r="1548" spans="2:11" ht="14" hidden="1">
      <c r="B1548" s="1342"/>
      <c r="C1548" s="1342"/>
      <c r="D1548" s="1342"/>
      <c r="E1548" s="1342"/>
      <c r="F1548" s="1342"/>
      <c r="G1548" s="1342"/>
      <c r="H1548" s="1342"/>
      <c r="I1548" s="1342"/>
      <c r="J1548" s="1342"/>
      <c r="K1548" s="1342"/>
    </row>
    <row r="1549" spans="2:11" ht="14" hidden="1">
      <c r="B1549" s="1342"/>
      <c r="C1549" s="1342"/>
      <c r="D1549" s="1342"/>
      <c r="E1549" s="1342"/>
      <c r="F1549" s="1342"/>
      <c r="G1549" s="1342"/>
      <c r="H1549" s="1342"/>
      <c r="I1549" s="1342"/>
      <c r="J1549" s="1342"/>
      <c r="K1549" s="1342"/>
    </row>
    <row r="1550" spans="2:11" ht="14" hidden="1">
      <c r="B1550" s="1342"/>
      <c r="C1550" s="1342"/>
      <c r="D1550" s="1342"/>
      <c r="E1550" s="1342"/>
      <c r="F1550" s="1342"/>
      <c r="G1550" s="1342"/>
      <c r="H1550" s="1342"/>
      <c r="I1550" s="1342"/>
      <c r="J1550" s="1342"/>
      <c r="K1550" s="1342"/>
    </row>
    <row r="1551" spans="2:11" ht="14" hidden="1">
      <c r="B1551" s="1342"/>
      <c r="C1551" s="1342"/>
      <c r="D1551" s="1342"/>
      <c r="E1551" s="1342"/>
      <c r="F1551" s="1342"/>
      <c r="G1551" s="1342"/>
      <c r="H1551" s="1342"/>
      <c r="I1551" s="1342"/>
      <c r="J1551" s="1342"/>
      <c r="K1551" s="1342"/>
    </row>
    <row r="1552" spans="2:11" ht="14" hidden="1">
      <c r="B1552" s="1342"/>
      <c r="C1552" s="1342"/>
      <c r="D1552" s="1342"/>
      <c r="E1552" s="1342"/>
      <c r="F1552" s="1342"/>
      <c r="G1552" s="1342"/>
      <c r="H1552" s="1342"/>
      <c r="I1552" s="1342"/>
      <c r="J1552" s="1342"/>
      <c r="K1552" s="1342"/>
    </row>
    <row r="1553" spans="2:11" ht="14" hidden="1">
      <c r="B1553" s="1342"/>
      <c r="C1553" s="1342"/>
      <c r="D1553" s="1342"/>
      <c r="E1553" s="1342"/>
      <c r="F1553" s="1342"/>
      <c r="G1553" s="1342"/>
      <c r="H1553" s="1342"/>
      <c r="I1553" s="1342"/>
      <c r="J1553" s="1342"/>
      <c r="K1553" s="1342"/>
    </row>
    <row r="1554" spans="2:11" ht="14" hidden="1">
      <c r="B1554" s="1342"/>
      <c r="C1554" s="1342"/>
      <c r="D1554" s="1342"/>
      <c r="E1554" s="1342"/>
      <c r="F1554" s="1342"/>
      <c r="G1554" s="1342"/>
      <c r="H1554" s="1342"/>
      <c r="I1554" s="1342"/>
      <c r="J1554" s="1342"/>
      <c r="K1554" s="1342"/>
    </row>
    <row r="1555" spans="2:11" ht="14" hidden="1">
      <c r="B1555" s="1342"/>
      <c r="C1555" s="1342"/>
      <c r="D1555" s="1342"/>
      <c r="E1555" s="1342"/>
      <c r="F1555" s="1342"/>
      <c r="G1555" s="1342"/>
      <c r="H1555" s="1342"/>
      <c r="I1555" s="1342"/>
      <c r="J1555" s="1342"/>
      <c r="K1555" s="1342"/>
    </row>
    <row r="1556" spans="2:11" ht="14" hidden="1">
      <c r="B1556" s="1342"/>
      <c r="C1556" s="1342"/>
      <c r="D1556" s="1342"/>
      <c r="E1556" s="1342"/>
      <c r="F1556" s="1342"/>
      <c r="G1556" s="1342"/>
      <c r="H1556" s="1342"/>
      <c r="I1556" s="1342"/>
      <c r="J1556" s="1342"/>
      <c r="K1556" s="1342"/>
    </row>
    <row r="1557" spans="2:11" ht="14" hidden="1">
      <c r="B1557" s="1342"/>
      <c r="C1557" s="1342"/>
      <c r="D1557" s="1342"/>
      <c r="E1557" s="1342"/>
      <c r="F1557" s="1342"/>
      <c r="G1557" s="1342"/>
      <c r="H1557" s="1342"/>
      <c r="I1557" s="1342"/>
      <c r="J1557" s="1342"/>
      <c r="K1557" s="1342"/>
    </row>
    <row r="1558" spans="2:11" ht="14" hidden="1">
      <c r="B1558" s="1342"/>
      <c r="C1558" s="1342"/>
      <c r="D1558" s="1342"/>
      <c r="E1558" s="1342"/>
      <c r="F1558" s="1342"/>
      <c r="G1558" s="1342"/>
      <c r="H1558" s="1342"/>
      <c r="I1558" s="1342"/>
      <c r="J1558" s="1342"/>
      <c r="K1558" s="1342"/>
    </row>
    <row r="1559" spans="2:11" ht="14" hidden="1">
      <c r="B1559" s="1342"/>
      <c r="C1559" s="1342"/>
      <c r="D1559" s="1342"/>
      <c r="E1559" s="1342"/>
      <c r="F1559" s="1342"/>
      <c r="G1559" s="1342"/>
      <c r="H1559" s="1342"/>
      <c r="I1559" s="1342"/>
      <c r="J1559" s="1342"/>
      <c r="K1559" s="1342"/>
    </row>
    <row r="1560" spans="2:11" ht="14" hidden="1">
      <c r="B1560" s="1342"/>
      <c r="C1560" s="1342"/>
      <c r="D1560" s="1342"/>
      <c r="E1560" s="1342"/>
      <c r="F1560" s="1342"/>
      <c r="G1560" s="1342"/>
      <c r="H1560" s="1342"/>
      <c r="I1560" s="1342"/>
      <c r="J1560" s="1342"/>
      <c r="K1560" s="1342"/>
    </row>
    <row r="1561" spans="2:11" ht="14" hidden="1">
      <c r="B1561" s="1342"/>
      <c r="C1561" s="1342"/>
      <c r="D1561" s="1342"/>
      <c r="E1561" s="1342"/>
      <c r="F1561" s="1342"/>
      <c r="G1561" s="1342"/>
      <c r="H1561" s="1342"/>
      <c r="I1561" s="1342"/>
      <c r="J1561" s="1342"/>
      <c r="K1561" s="1342"/>
    </row>
    <row r="1562" spans="2:11" ht="14" hidden="1">
      <c r="B1562" s="1342"/>
      <c r="C1562" s="1342"/>
      <c r="D1562" s="1342"/>
      <c r="E1562" s="1342"/>
      <c r="F1562" s="1342"/>
      <c r="G1562" s="1342"/>
      <c r="H1562" s="1342"/>
      <c r="I1562" s="1342"/>
      <c r="J1562" s="1342"/>
      <c r="K1562" s="1342"/>
    </row>
    <row r="1563" spans="2:11" ht="14" hidden="1">
      <c r="B1563" s="1342"/>
      <c r="C1563" s="1342"/>
      <c r="D1563" s="1342"/>
      <c r="E1563" s="1342"/>
      <c r="F1563" s="1342"/>
      <c r="G1563" s="1342"/>
      <c r="H1563" s="1342"/>
      <c r="I1563" s="1342"/>
      <c r="J1563" s="1342"/>
      <c r="K1563" s="1342"/>
    </row>
    <row r="1564" spans="2:11" ht="14" hidden="1">
      <c r="B1564" s="1342"/>
      <c r="C1564" s="1342"/>
      <c r="D1564" s="1342"/>
      <c r="E1564" s="1342"/>
      <c r="F1564" s="1342"/>
      <c r="G1564" s="1342"/>
      <c r="H1564" s="1342"/>
      <c r="I1564" s="1342"/>
      <c r="J1564" s="1342"/>
      <c r="K1564" s="1342"/>
    </row>
    <row r="1565" spans="2:11" ht="14" hidden="1">
      <c r="B1565" s="1342"/>
      <c r="C1565" s="1342"/>
      <c r="D1565" s="1342"/>
      <c r="E1565" s="1342"/>
      <c r="F1565" s="1342"/>
      <c r="G1565" s="1342"/>
      <c r="H1565" s="1342"/>
      <c r="I1565" s="1342"/>
      <c r="J1565" s="1342"/>
      <c r="K1565" s="1342"/>
    </row>
    <row r="1566" spans="2:11" ht="14" hidden="1">
      <c r="B1566" s="1342"/>
      <c r="C1566" s="1342"/>
      <c r="D1566" s="1342"/>
      <c r="E1566" s="1342"/>
      <c r="F1566" s="1342"/>
      <c r="G1566" s="1342"/>
      <c r="H1566" s="1342"/>
      <c r="I1566" s="1342"/>
      <c r="J1566" s="1342"/>
      <c r="K1566" s="1342"/>
    </row>
    <row r="1567" spans="2:11" ht="14" hidden="1">
      <c r="B1567" s="1342"/>
      <c r="C1567" s="1342"/>
      <c r="D1567" s="1342"/>
      <c r="E1567" s="1342"/>
      <c r="F1567" s="1342"/>
      <c r="G1567" s="1342"/>
      <c r="H1567" s="1342"/>
      <c r="I1567" s="1342"/>
      <c r="J1567" s="1342"/>
      <c r="K1567" s="1342"/>
    </row>
    <row r="1568" spans="2:11" ht="14" hidden="1">
      <c r="B1568" s="1342"/>
      <c r="C1568" s="1342"/>
      <c r="D1568" s="1342"/>
      <c r="E1568" s="1342"/>
      <c r="F1568" s="1342"/>
      <c r="G1568" s="1342"/>
      <c r="H1568" s="1342"/>
      <c r="I1568" s="1342"/>
      <c r="J1568" s="1342"/>
      <c r="K1568" s="1342"/>
    </row>
    <row r="1569" spans="2:11" ht="14" hidden="1">
      <c r="B1569" s="1342"/>
      <c r="C1569" s="1342"/>
      <c r="D1569" s="1342"/>
      <c r="E1569" s="1342"/>
      <c r="F1569" s="1342"/>
      <c r="G1569" s="1342"/>
      <c r="H1569" s="1342"/>
      <c r="I1569" s="1342"/>
      <c r="J1569" s="1342"/>
      <c r="K1569" s="1342"/>
    </row>
    <row r="1570" spans="2:11" ht="14" hidden="1">
      <c r="B1570" s="1342"/>
      <c r="C1570" s="1342"/>
      <c r="D1570" s="1342"/>
      <c r="E1570" s="1342"/>
      <c r="F1570" s="1342"/>
      <c r="G1570" s="1342"/>
      <c r="H1570" s="1342"/>
      <c r="I1570" s="1342"/>
      <c r="J1570" s="1342"/>
      <c r="K1570" s="1342"/>
    </row>
    <row r="1571" spans="2:11" ht="14" hidden="1">
      <c r="B1571" s="1342"/>
      <c r="C1571" s="1342"/>
      <c r="D1571" s="1342"/>
      <c r="E1571" s="1342"/>
      <c r="F1571" s="1342"/>
      <c r="G1571" s="1342"/>
      <c r="H1571" s="1342"/>
      <c r="I1571" s="1342"/>
      <c r="J1571" s="1342"/>
      <c r="K1571" s="1342"/>
    </row>
    <row r="1572" spans="2:11" ht="14" hidden="1">
      <c r="B1572" s="1342"/>
      <c r="C1572" s="1342"/>
      <c r="D1572" s="1342"/>
      <c r="E1572" s="1342"/>
      <c r="F1572" s="1342"/>
      <c r="G1572" s="1342"/>
      <c r="H1572" s="1342"/>
      <c r="I1572" s="1342"/>
      <c r="J1572" s="1342"/>
      <c r="K1572" s="1342"/>
    </row>
    <row r="1573" spans="2:11" ht="14" hidden="1">
      <c r="B1573" s="1342"/>
      <c r="C1573" s="1342"/>
      <c r="D1573" s="1342"/>
      <c r="E1573" s="1342"/>
      <c r="F1573" s="1342"/>
      <c r="G1573" s="1342"/>
      <c r="H1573" s="1342"/>
      <c r="I1573" s="1342"/>
      <c r="J1573" s="1342"/>
      <c r="K1573" s="1342"/>
    </row>
    <row r="1574" spans="2:11" ht="14" hidden="1">
      <c r="B1574" s="1342"/>
      <c r="C1574" s="1342"/>
      <c r="D1574" s="1342"/>
      <c r="E1574" s="1342"/>
      <c r="F1574" s="1342"/>
      <c r="G1574" s="1342"/>
      <c r="H1574" s="1342"/>
      <c r="I1574" s="1342"/>
      <c r="J1574" s="1342"/>
      <c r="K1574" s="1342"/>
    </row>
    <row r="1575" spans="2:11" ht="14" hidden="1">
      <c r="B1575" s="1342"/>
      <c r="C1575" s="1342"/>
      <c r="D1575" s="1342"/>
      <c r="E1575" s="1342"/>
      <c r="F1575" s="1342"/>
      <c r="G1575" s="1342"/>
      <c r="H1575" s="1342"/>
      <c r="I1575" s="1342"/>
      <c r="J1575" s="1342"/>
      <c r="K1575" s="1342"/>
    </row>
    <row r="1576" spans="2:11" ht="14" hidden="1">
      <c r="B1576" s="1342"/>
      <c r="C1576" s="1342"/>
      <c r="D1576" s="1342"/>
      <c r="E1576" s="1342"/>
      <c r="F1576" s="1342"/>
      <c r="G1576" s="1342"/>
      <c r="H1576" s="1342"/>
      <c r="I1576" s="1342"/>
      <c r="J1576" s="1342"/>
      <c r="K1576" s="1342"/>
    </row>
    <row r="1577" spans="2:11" ht="14" hidden="1">
      <c r="B1577" s="1342"/>
      <c r="C1577" s="1342"/>
      <c r="D1577" s="1342"/>
      <c r="E1577" s="1342"/>
      <c r="F1577" s="1342"/>
      <c r="G1577" s="1342"/>
      <c r="H1577" s="1342"/>
      <c r="I1577" s="1342"/>
      <c r="J1577" s="1342"/>
      <c r="K1577" s="1342"/>
    </row>
    <row r="1578" spans="2:11" ht="14" hidden="1">
      <c r="B1578" s="1342"/>
      <c r="C1578" s="1342"/>
      <c r="D1578" s="1342"/>
      <c r="E1578" s="1342"/>
      <c r="F1578" s="1342"/>
      <c r="G1578" s="1342"/>
      <c r="H1578" s="1342"/>
      <c r="I1578" s="1342"/>
      <c r="J1578" s="1342"/>
      <c r="K1578" s="1342"/>
    </row>
    <row r="1579" spans="2:11" ht="14" hidden="1">
      <c r="B1579" s="1342"/>
      <c r="C1579" s="1342"/>
      <c r="D1579" s="1342"/>
      <c r="E1579" s="1342"/>
      <c r="F1579" s="1342"/>
      <c r="G1579" s="1342"/>
      <c r="H1579" s="1342"/>
      <c r="I1579" s="1342"/>
      <c r="J1579" s="1342"/>
      <c r="K1579" s="1342"/>
    </row>
    <row r="1580" spans="2:11" ht="14" hidden="1">
      <c r="B1580" s="1342"/>
      <c r="C1580" s="1342"/>
      <c r="D1580" s="1342"/>
      <c r="E1580" s="1342"/>
      <c r="F1580" s="1342"/>
      <c r="G1580" s="1342"/>
      <c r="H1580" s="1342"/>
      <c r="I1580" s="1342"/>
      <c r="J1580" s="1342"/>
      <c r="K1580" s="1342"/>
    </row>
    <row r="1581" spans="2:11" ht="14" hidden="1">
      <c r="B1581" s="1342"/>
      <c r="C1581" s="1342"/>
      <c r="D1581" s="1342"/>
      <c r="E1581" s="1342"/>
      <c r="F1581" s="1342"/>
      <c r="G1581" s="1342"/>
      <c r="H1581" s="1342"/>
      <c r="I1581" s="1342"/>
      <c r="J1581" s="1342"/>
      <c r="K1581" s="1342"/>
    </row>
    <row r="1582" spans="2:11" ht="14" hidden="1">
      <c r="B1582" s="1342"/>
      <c r="C1582" s="1342"/>
      <c r="D1582" s="1342"/>
      <c r="E1582" s="1342"/>
      <c r="F1582" s="1342"/>
      <c r="G1582" s="1342"/>
      <c r="H1582" s="1342"/>
      <c r="I1582" s="1342"/>
      <c r="J1582" s="1342"/>
      <c r="K1582" s="1342"/>
    </row>
    <row r="1583" spans="2:11" ht="14" hidden="1">
      <c r="B1583" s="1342"/>
      <c r="C1583" s="1342"/>
      <c r="D1583" s="1342"/>
      <c r="E1583" s="1342"/>
      <c r="F1583" s="1342"/>
      <c r="G1583" s="1342"/>
      <c r="H1583" s="1342"/>
      <c r="I1583" s="1342"/>
      <c r="J1583" s="1342"/>
      <c r="K1583" s="1342"/>
    </row>
    <row r="1584" spans="2:11" ht="14" hidden="1">
      <c r="B1584" s="1342"/>
      <c r="C1584" s="1342"/>
      <c r="D1584" s="1342"/>
      <c r="E1584" s="1342"/>
      <c r="F1584" s="1342"/>
      <c r="G1584" s="1342"/>
      <c r="H1584" s="1342"/>
      <c r="I1584" s="1342"/>
      <c r="J1584" s="1342"/>
      <c r="K1584" s="1342"/>
    </row>
    <row r="1585" spans="2:11" ht="14" hidden="1">
      <c r="B1585" s="1342"/>
      <c r="C1585" s="1342"/>
      <c r="D1585" s="1342"/>
      <c r="E1585" s="1342"/>
      <c r="F1585" s="1342"/>
      <c r="G1585" s="1342"/>
      <c r="H1585" s="1342"/>
      <c r="I1585" s="1342"/>
      <c r="J1585" s="1342"/>
      <c r="K1585" s="1342"/>
    </row>
    <row r="1586" spans="2:11" ht="14" hidden="1">
      <c r="B1586" s="1342"/>
      <c r="C1586" s="1342"/>
      <c r="D1586" s="1342"/>
      <c r="E1586" s="1342"/>
      <c r="F1586" s="1342"/>
      <c r="G1586" s="1342"/>
      <c r="H1586" s="1342"/>
      <c r="I1586" s="1342"/>
      <c r="J1586" s="1342"/>
      <c r="K1586" s="1342"/>
    </row>
    <row r="1587" spans="2:11" ht="14" hidden="1">
      <c r="B1587" s="1342"/>
      <c r="C1587" s="1342"/>
      <c r="D1587" s="1342"/>
      <c r="E1587" s="1342"/>
      <c r="F1587" s="1342"/>
      <c r="G1587" s="1342"/>
      <c r="H1587" s="1342"/>
      <c r="I1587" s="1342"/>
      <c r="J1587" s="1342"/>
      <c r="K1587" s="1342"/>
    </row>
    <row r="1588" spans="2:11" ht="14" hidden="1">
      <c r="B1588" s="1342"/>
      <c r="C1588" s="1342"/>
      <c r="D1588" s="1342"/>
      <c r="E1588" s="1342"/>
      <c r="F1588" s="1342"/>
      <c r="G1588" s="1342"/>
      <c r="H1588" s="1342"/>
      <c r="I1588" s="1342"/>
      <c r="J1588" s="1342"/>
      <c r="K1588" s="1342"/>
    </row>
    <row r="1589" spans="2:11" ht="14" hidden="1">
      <c r="B1589" s="1342"/>
      <c r="C1589" s="1342"/>
      <c r="D1589" s="1342"/>
      <c r="E1589" s="1342"/>
      <c r="F1589" s="1342"/>
      <c r="G1589" s="1342"/>
      <c r="H1589" s="1342"/>
      <c r="I1589" s="1342"/>
      <c r="J1589" s="1342"/>
      <c r="K1589" s="1342"/>
    </row>
    <row r="1590" spans="2:11" ht="14" hidden="1">
      <c r="B1590" s="1342"/>
      <c r="C1590" s="1342"/>
      <c r="D1590" s="1342"/>
      <c r="E1590" s="1342"/>
      <c r="F1590" s="1342"/>
      <c r="G1590" s="1342"/>
      <c r="H1590" s="1342"/>
      <c r="I1590" s="1342"/>
      <c r="J1590" s="1342"/>
      <c r="K1590" s="1342"/>
    </row>
    <row r="1591" spans="2:11" ht="14" hidden="1">
      <c r="B1591" s="1342"/>
      <c r="C1591" s="1342"/>
      <c r="D1591" s="1342"/>
      <c r="E1591" s="1342"/>
      <c r="F1591" s="1342"/>
      <c r="G1591" s="1342"/>
      <c r="H1591" s="1342"/>
      <c r="I1591" s="1342"/>
      <c r="J1591" s="1342"/>
      <c r="K1591" s="1342"/>
    </row>
    <row r="1592" spans="2:11" ht="14" hidden="1">
      <c r="B1592" s="1342"/>
      <c r="C1592" s="1342"/>
      <c r="D1592" s="1342"/>
      <c r="E1592" s="1342"/>
      <c r="F1592" s="1342"/>
      <c r="G1592" s="1342"/>
      <c r="H1592" s="1342"/>
      <c r="I1592" s="1342"/>
      <c r="J1592" s="1342"/>
      <c r="K1592" s="1342"/>
    </row>
    <row r="1593" spans="2:11" ht="14" hidden="1">
      <c r="B1593" s="1342"/>
      <c r="C1593" s="1342"/>
      <c r="D1593" s="1342"/>
      <c r="E1593" s="1342"/>
      <c r="F1593" s="1342"/>
      <c r="G1593" s="1342"/>
      <c r="H1593" s="1342"/>
      <c r="I1593" s="1342"/>
      <c r="J1593" s="1342"/>
      <c r="K1593" s="1342"/>
    </row>
    <row r="1594" spans="2:11" ht="14" hidden="1">
      <c r="B1594" s="1342"/>
      <c r="C1594" s="1342"/>
      <c r="D1594" s="1342"/>
      <c r="E1594" s="1342"/>
      <c r="F1594" s="1342"/>
      <c r="G1594" s="1342"/>
      <c r="H1594" s="1342"/>
      <c r="I1594" s="1342"/>
      <c r="J1594" s="1342"/>
      <c r="K1594" s="1342"/>
    </row>
    <row r="1595" spans="2:11" ht="14" hidden="1">
      <c r="B1595" s="1342"/>
      <c r="C1595" s="1342"/>
      <c r="D1595" s="1342"/>
      <c r="E1595" s="1342"/>
      <c r="F1595" s="1342"/>
      <c r="G1595" s="1342"/>
      <c r="H1595" s="1342"/>
      <c r="I1595" s="1342"/>
      <c r="J1595" s="1342"/>
      <c r="K1595" s="1342"/>
    </row>
    <row r="1596" spans="2:11" ht="14" hidden="1">
      <c r="B1596" s="1342"/>
      <c r="C1596" s="1342"/>
      <c r="D1596" s="1342"/>
      <c r="E1596" s="1342"/>
      <c r="F1596" s="1342"/>
      <c r="G1596" s="1342"/>
      <c r="H1596" s="1342"/>
      <c r="I1596" s="1342"/>
      <c r="J1596" s="1342"/>
      <c r="K1596" s="1342"/>
    </row>
    <row r="1597" spans="2:11" ht="14" hidden="1">
      <c r="B1597" s="1342"/>
      <c r="C1597" s="1342"/>
      <c r="D1597" s="1342"/>
      <c r="E1597" s="1342"/>
      <c r="F1597" s="1342"/>
      <c r="G1597" s="1342"/>
      <c r="H1597" s="1342"/>
      <c r="I1597" s="1342"/>
      <c r="J1597" s="1342"/>
      <c r="K1597" s="1342"/>
    </row>
    <row r="1598" spans="2:11" ht="14" hidden="1">
      <c r="B1598" s="1342"/>
      <c r="C1598" s="1342"/>
      <c r="D1598" s="1342"/>
      <c r="E1598" s="1342"/>
      <c r="F1598" s="1342"/>
      <c r="G1598" s="1342"/>
      <c r="H1598" s="1342"/>
      <c r="I1598" s="1342"/>
      <c r="J1598" s="1342"/>
      <c r="K1598" s="1342"/>
    </row>
    <row r="1599" spans="2:11" ht="14" hidden="1">
      <c r="B1599" s="1342"/>
      <c r="C1599" s="1342"/>
      <c r="D1599" s="1342"/>
      <c r="E1599" s="1342"/>
      <c r="F1599" s="1342"/>
      <c r="G1599" s="1342"/>
      <c r="H1599" s="1342"/>
      <c r="I1599" s="1342"/>
      <c r="J1599" s="1342"/>
      <c r="K1599" s="1342"/>
    </row>
    <row r="1600" spans="2:11" ht="14" hidden="1">
      <c r="B1600" s="1342"/>
      <c r="C1600" s="1342"/>
      <c r="D1600" s="1342"/>
      <c r="E1600" s="1342"/>
      <c r="F1600" s="1342"/>
      <c r="G1600" s="1342"/>
      <c r="H1600" s="1342"/>
      <c r="I1600" s="1342"/>
      <c r="J1600" s="1342"/>
      <c r="K1600" s="1342"/>
    </row>
    <row r="1601" spans="2:11" ht="14" hidden="1">
      <c r="B1601" s="1342"/>
      <c r="C1601" s="1342"/>
      <c r="D1601" s="1342"/>
      <c r="E1601" s="1342"/>
      <c r="F1601" s="1342"/>
      <c r="G1601" s="1342"/>
      <c r="H1601" s="1342"/>
      <c r="I1601" s="1342"/>
      <c r="J1601" s="1342"/>
      <c r="K1601" s="1342"/>
    </row>
    <row r="1602" spans="2:11" ht="14" hidden="1">
      <c r="B1602" s="1342"/>
      <c r="C1602" s="1342"/>
      <c r="D1602" s="1342"/>
      <c r="E1602" s="1342"/>
      <c r="F1602" s="1342"/>
      <c r="G1602" s="1342"/>
      <c r="H1602" s="1342"/>
      <c r="I1602" s="1342"/>
      <c r="J1602" s="1342"/>
      <c r="K1602" s="1342"/>
    </row>
    <row r="1603" spans="2:11" ht="14" hidden="1">
      <c r="B1603" s="1342"/>
      <c r="C1603" s="1342"/>
      <c r="D1603" s="1342"/>
      <c r="E1603" s="1342"/>
      <c r="F1603" s="1342"/>
      <c r="G1603" s="1342"/>
      <c r="H1603" s="1342"/>
      <c r="I1603" s="1342"/>
      <c r="J1603" s="1342"/>
      <c r="K1603" s="1342"/>
    </row>
    <row r="1604" spans="2:11" ht="14" hidden="1">
      <c r="B1604" s="1342"/>
      <c r="C1604" s="1342"/>
      <c r="D1604" s="1342"/>
      <c r="E1604" s="1342"/>
      <c r="F1604" s="1342"/>
      <c r="G1604" s="1342"/>
      <c r="H1604" s="1342"/>
      <c r="I1604" s="1342"/>
      <c r="J1604" s="1342"/>
      <c r="K1604" s="1342"/>
    </row>
    <row r="1605" spans="2:11" ht="14" hidden="1">
      <c r="B1605" s="1342"/>
      <c r="C1605" s="1342"/>
      <c r="D1605" s="1342"/>
      <c r="E1605" s="1342"/>
      <c r="F1605" s="1342"/>
      <c r="G1605" s="1342"/>
      <c r="H1605" s="1342"/>
      <c r="I1605" s="1342"/>
      <c r="J1605" s="1342"/>
      <c r="K1605" s="1342"/>
    </row>
    <row r="1606" spans="2:11" ht="14" hidden="1">
      <c r="B1606" s="1342"/>
      <c r="C1606" s="1342"/>
      <c r="D1606" s="1342"/>
      <c r="E1606" s="1342"/>
      <c r="F1606" s="1342"/>
      <c r="G1606" s="1342"/>
      <c r="H1606" s="1342"/>
      <c r="I1606" s="1342"/>
      <c r="J1606" s="1342"/>
      <c r="K1606" s="1342"/>
    </row>
    <row r="1607" spans="2:11" ht="14" hidden="1">
      <c r="B1607" s="1342"/>
      <c r="C1607" s="1342"/>
      <c r="D1607" s="1342"/>
      <c r="E1607" s="1342"/>
      <c r="F1607" s="1342"/>
      <c r="G1607" s="1342"/>
      <c r="H1607" s="1342"/>
      <c r="I1607" s="1342"/>
      <c r="J1607" s="1342"/>
      <c r="K1607" s="1342"/>
    </row>
    <row r="1608" spans="2:11" ht="14" hidden="1">
      <c r="B1608" s="1342"/>
      <c r="C1608" s="1342"/>
      <c r="D1608" s="1342"/>
      <c r="E1608" s="1342"/>
      <c r="F1608" s="1342"/>
      <c r="G1608" s="1342"/>
      <c r="H1608" s="1342"/>
      <c r="I1608" s="1342"/>
      <c r="J1608" s="1342"/>
      <c r="K1608" s="1342"/>
    </row>
    <row r="1609" spans="2:11" ht="14" hidden="1">
      <c r="B1609" s="1342"/>
      <c r="C1609" s="1342"/>
      <c r="D1609" s="1342"/>
      <c r="E1609" s="1342"/>
      <c r="F1609" s="1342"/>
      <c r="G1609" s="1342"/>
      <c r="H1609" s="1342"/>
      <c r="I1609" s="1342"/>
      <c r="J1609" s="1342"/>
      <c r="K1609" s="1342"/>
    </row>
    <row r="1610" spans="2:11" ht="14" hidden="1">
      <c r="B1610" s="1342"/>
      <c r="C1610" s="1342"/>
      <c r="D1610" s="1342"/>
      <c r="E1610" s="1342"/>
      <c r="F1610" s="1342"/>
      <c r="G1610" s="1342"/>
      <c r="H1610" s="1342"/>
      <c r="I1610" s="1342"/>
      <c r="J1610" s="1342"/>
      <c r="K1610" s="1342"/>
    </row>
    <row r="1611" spans="2:11" ht="14" hidden="1">
      <c r="B1611" s="1342"/>
      <c r="C1611" s="1342"/>
      <c r="D1611" s="1342"/>
      <c r="E1611" s="1342"/>
      <c r="F1611" s="1342"/>
      <c r="G1611" s="1342"/>
      <c r="H1611" s="1342"/>
      <c r="I1611" s="1342"/>
      <c r="J1611" s="1342"/>
      <c r="K1611" s="1342"/>
    </row>
    <row r="1612" spans="2:11" ht="14" hidden="1">
      <c r="B1612" s="1342"/>
      <c r="C1612" s="1342"/>
      <c r="D1612" s="1342"/>
      <c r="E1612" s="1342"/>
      <c r="F1612" s="1342"/>
      <c r="G1612" s="1342"/>
      <c r="H1612" s="1342"/>
      <c r="I1612" s="1342"/>
      <c r="J1612" s="1342"/>
      <c r="K1612" s="1342"/>
    </row>
    <row r="1613" spans="2:11" ht="14" hidden="1">
      <c r="B1613" s="1342"/>
      <c r="C1613" s="1342"/>
      <c r="D1613" s="1342"/>
      <c r="E1613" s="1342"/>
      <c r="F1613" s="1342"/>
      <c r="G1613" s="1342"/>
      <c r="H1613" s="1342"/>
      <c r="I1613" s="1342"/>
      <c r="J1613" s="1342"/>
      <c r="K1613" s="1342"/>
    </row>
    <row r="1614" spans="2:11" ht="14" hidden="1">
      <c r="B1614" s="1342"/>
      <c r="C1614" s="1342"/>
      <c r="D1614" s="1342"/>
      <c r="E1614" s="1342"/>
      <c r="F1614" s="1342"/>
      <c r="G1614" s="1342"/>
      <c r="H1614" s="1342"/>
      <c r="I1614" s="1342"/>
      <c r="J1614" s="1342"/>
      <c r="K1614" s="1342"/>
    </row>
    <row r="1615" spans="2:11" ht="14" hidden="1">
      <c r="B1615" s="1342"/>
      <c r="C1615" s="1342"/>
      <c r="D1615" s="1342"/>
      <c r="E1615" s="1342"/>
      <c r="F1615" s="1342"/>
      <c r="G1615" s="1342"/>
      <c r="H1615" s="1342"/>
      <c r="I1615" s="1342"/>
      <c r="J1615" s="1342"/>
      <c r="K1615" s="1342"/>
    </row>
    <row r="1616" spans="2:11" ht="14" hidden="1">
      <c r="B1616" s="1342"/>
      <c r="C1616" s="1342"/>
      <c r="D1616" s="1342"/>
      <c r="E1616" s="1342"/>
      <c r="F1616" s="1342"/>
      <c r="G1616" s="1342"/>
      <c r="H1616" s="1342"/>
      <c r="I1616" s="1342"/>
      <c r="J1616" s="1342"/>
      <c r="K1616" s="1342"/>
    </row>
    <row r="1617" spans="2:11" ht="14" hidden="1">
      <c r="B1617" s="1342"/>
      <c r="C1617" s="1342"/>
      <c r="D1617" s="1342"/>
      <c r="E1617" s="1342"/>
      <c r="F1617" s="1342"/>
      <c r="G1617" s="1342"/>
      <c r="H1617" s="1342"/>
      <c r="I1617" s="1342"/>
      <c r="J1617" s="1342"/>
      <c r="K1617" s="1342"/>
    </row>
    <row r="1618" spans="2:11" ht="14" hidden="1">
      <c r="B1618" s="1342"/>
      <c r="C1618" s="1342"/>
      <c r="D1618" s="1342"/>
      <c r="E1618" s="1342"/>
      <c r="F1618" s="1342"/>
      <c r="G1618" s="1342"/>
      <c r="H1618" s="1342"/>
      <c r="I1618" s="1342"/>
      <c r="J1618" s="1342"/>
      <c r="K1618" s="1342"/>
    </row>
    <row r="1619" spans="2:11" ht="14" hidden="1">
      <c r="B1619" s="1342"/>
      <c r="C1619" s="1342"/>
      <c r="D1619" s="1342"/>
      <c r="E1619" s="1342"/>
      <c r="F1619" s="1342"/>
      <c r="G1619" s="1342"/>
      <c r="H1619" s="1342"/>
      <c r="I1619" s="1342"/>
      <c r="J1619" s="1342"/>
      <c r="K1619" s="1342"/>
    </row>
    <row r="1620" spans="2:11" ht="14" hidden="1">
      <c r="B1620" s="1342"/>
      <c r="C1620" s="1342"/>
      <c r="D1620" s="1342"/>
      <c r="E1620" s="1342"/>
      <c r="F1620" s="1342"/>
      <c r="G1620" s="1342"/>
      <c r="H1620" s="1342"/>
      <c r="I1620" s="1342"/>
      <c r="J1620" s="1342"/>
      <c r="K1620" s="1342"/>
    </row>
    <row r="1621" spans="2:11" ht="14" hidden="1">
      <c r="B1621" s="1342"/>
      <c r="C1621" s="1342"/>
      <c r="D1621" s="1342"/>
      <c r="E1621" s="1342"/>
      <c r="F1621" s="1342"/>
      <c r="G1621" s="1342"/>
      <c r="H1621" s="1342"/>
      <c r="I1621" s="1342"/>
      <c r="J1621" s="1342"/>
      <c r="K1621" s="1342"/>
    </row>
    <row r="1622" spans="2:11" ht="14" hidden="1">
      <c r="B1622" s="1342"/>
      <c r="C1622" s="1342"/>
      <c r="D1622" s="1342"/>
      <c r="E1622" s="1342"/>
      <c r="F1622" s="1342"/>
      <c r="G1622" s="1342"/>
      <c r="H1622" s="1342"/>
      <c r="I1622" s="1342"/>
      <c r="J1622" s="1342"/>
      <c r="K1622" s="1342"/>
    </row>
    <row r="1623" spans="2:11" ht="14" hidden="1">
      <c r="B1623" s="1342"/>
      <c r="C1623" s="1342"/>
      <c r="D1623" s="1342"/>
      <c r="E1623" s="1342"/>
      <c r="F1623" s="1342"/>
      <c r="G1623" s="1342"/>
      <c r="H1623" s="1342"/>
      <c r="I1623" s="1342"/>
      <c r="J1623" s="1342"/>
      <c r="K1623" s="1342"/>
    </row>
    <row r="1624" spans="2:11" ht="14" hidden="1">
      <c r="B1624" s="1342"/>
      <c r="C1624" s="1342"/>
      <c r="D1624" s="1342"/>
      <c r="E1624" s="1342"/>
      <c r="F1624" s="1342"/>
      <c r="G1624" s="1342"/>
      <c r="H1624" s="1342"/>
      <c r="I1624" s="1342"/>
      <c r="J1624" s="1342"/>
      <c r="K1624" s="1342"/>
    </row>
    <row r="1625" spans="2:11" ht="14" hidden="1">
      <c r="B1625" s="1342"/>
      <c r="C1625" s="1342"/>
      <c r="D1625" s="1342"/>
      <c r="E1625" s="1342"/>
      <c r="F1625" s="1342"/>
      <c r="G1625" s="1342"/>
      <c r="H1625" s="1342"/>
      <c r="I1625" s="1342"/>
      <c r="J1625" s="1342"/>
      <c r="K1625" s="1342"/>
    </row>
    <row r="1626" spans="2:11" ht="14" hidden="1">
      <c r="B1626" s="1342"/>
      <c r="C1626" s="1342"/>
      <c r="D1626" s="1342"/>
      <c r="E1626" s="1342"/>
      <c r="F1626" s="1342"/>
      <c r="G1626" s="1342"/>
      <c r="H1626" s="1342"/>
      <c r="I1626" s="1342"/>
      <c r="J1626" s="1342"/>
      <c r="K1626" s="1342"/>
    </row>
    <row r="1627" spans="2:11" ht="14" hidden="1">
      <c r="B1627" s="1342"/>
      <c r="C1627" s="1342"/>
      <c r="D1627" s="1342"/>
      <c r="E1627" s="1342"/>
      <c r="F1627" s="1342"/>
      <c r="G1627" s="1342"/>
      <c r="H1627" s="1342"/>
      <c r="I1627" s="1342"/>
      <c r="J1627" s="1342"/>
      <c r="K1627" s="1342"/>
    </row>
    <row r="1628" spans="2:11" ht="14" hidden="1">
      <c r="B1628" s="1342"/>
      <c r="C1628" s="1342"/>
      <c r="D1628" s="1342"/>
      <c r="E1628" s="1342"/>
      <c r="F1628" s="1342"/>
      <c r="G1628" s="1342"/>
      <c r="H1628" s="1342"/>
      <c r="I1628" s="1342"/>
      <c r="J1628" s="1342"/>
      <c r="K1628" s="1342"/>
    </row>
    <row r="1629" spans="2:11" ht="14" hidden="1">
      <c r="B1629" s="1342"/>
      <c r="C1629" s="1342"/>
      <c r="D1629" s="1342"/>
      <c r="E1629" s="1342"/>
      <c r="F1629" s="1342"/>
      <c r="G1629" s="1342"/>
      <c r="H1629" s="1342"/>
      <c r="I1629" s="1342"/>
      <c r="J1629" s="1342"/>
      <c r="K1629" s="1342"/>
    </row>
    <row r="1630" spans="2:11" ht="14" hidden="1">
      <c r="B1630" s="1342"/>
      <c r="C1630" s="1342"/>
      <c r="D1630" s="1342"/>
      <c r="E1630" s="1342"/>
      <c r="F1630" s="1342"/>
      <c r="G1630" s="1342"/>
      <c r="H1630" s="1342"/>
      <c r="I1630" s="1342"/>
      <c r="J1630" s="1342"/>
      <c r="K1630" s="1342"/>
    </row>
    <row r="1631" spans="2:11" ht="14" hidden="1">
      <c r="B1631" s="1342"/>
      <c r="C1631" s="1342"/>
      <c r="D1631" s="1342"/>
      <c r="E1631" s="1342"/>
      <c r="F1631" s="1342"/>
      <c r="G1631" s="1342"/>
      <c r="H1631" s="1342"/>
      <c r="I1631" s="1342"/>
      <c r="J1631" s="1342"/>
      <c r="K1631" s="1342"/>
    </row>
    <row r="1632" spans="2:11" ht="14" hidden="1">
      <c r="B1632" s="1342"/>
      <c r="C1632" s="1342"/>
      <c r="D1632" s="1342"/>
      <c r="E1632" s="1342"/>
      <c r="F1632" s="1342"/>
      <c r="G1632" s="1342"/>
      <c r="H1632" s="1342"/>
      <c r="I1632" s="1342"/>
      <c r="J1632" s="1342"/>
      <c r="K1632" s="1342"/>
    </row>
    <row r="1633" spans="2:11" ht="14" hidden="1">
      <c r="B1633" s="1342"/>
      <c r="C1633" s="1342"/>
      <c r="D1633" s="1342"/>
      <c r="E1633" s="1342"/>
      <c r="F1633" s="1342"/>
      <c r="G1633" s="1342"/>
      <c r="H1633" s="1342"/>
      <c r="I1633" s="1342"/>
      <c r="J1633" s="1342"/>
      <c r="K1633" s="1342"/>
    </row>
    <row r="1634" spans="2:11" ht="14" hidden="1">
      <c r="B1634" s="1342"/>
      <c r="C1634" s="1342"/>
      <c r="D1634" s="1342"/>
      <c r="E1634" s="1342"/>
      <c r="F1634" s="1342"/>
      <c r="G1634" s="1342"/>
      <c r="H1634" s="1342"/>
      <c r="I1634" s="1342"/>
      <c r="J1634" s="1342"/>
      <c r="K1634" s="1342"/>
    </row>
    <row r="1635" spans="2:11" ht="14" hidden="1">
      <c r="B1635" s="1342"/>
      <c r="C1635" s="1342"/>
      <c r="D1635" s="1342"/>
      <c r="E1635" s="1342"/>
      <c r="F1635" s="1342"/>
      <c r="G1635" s="1342"/>
      <c r="H1635" s="1342"/>
      <c r="I1635" s="1342"/>
      <c r="J1635" s="1342"/>
      <c r="K1635" s="1342"/>
    </row>
    <row r="1636" spans="2:11" ht="14" hidden="1">
      <c r="B1636" s="1342"/>
      <c r="C1636" s="1342"/>
      <c r="D1636" s="1342"/>
      <c r="E1636" s="1342"/>
      <c r="F1636" s="1342"/>
      <c r="G1636" s="1342"/>
      <c r="H1636" s="1342"/>
      <c r="I1636" s="1342"/>
      <c r="J1636" s="1342"/>
      <c r="K1636" s="1342"/>
    </row>
    <row r="1637" spans="2:11" ht="14" hidden="1">
      <c r="B1637" s="1342"/>
      <c r="C1637" s="1342"/>
      <c r="D1637" s="1342"/>
      <c r="E1637" s="1342"/>
      <c r="F1637" s="1342"/>
      <c r="G1637" s="1342"/>
      <c r="H1637" s="1342"/>
      <c r="I1637" s="1342"/>
      <c r="J1637" s="1342"/>
      <c r="K1637" s="1342"/>
    </row>
    <row r="1638" spans="2:11" ht="14" hidden="1">
      <c r="B1638" s="1342"/>
      <c r="C1638" s="1342"/>
      <c r="D1638" s="1342"/>
      <c r="E1638" s="1342"/>
      <c r="F1638" s="1342"/>
      <c r="G1638" s="1342"/>
      <c r="H1638" s="1342"/>
      <c r="I1638" s="1342"/>
      <c r="J1638" s="1342"/>
      <c r="K1638" s="1342"/>
    </row>
    <row r="1639" spans="2:11" ht="14" hidden="1">
      <c r="B1639" s="1342"/>
      <c r="C1639" s="1342"/>
      <c r="D1639" s="1342"/>
      <c r="E1639" s="1342"/>
      <c r="F1639" s="1342"/>
      <c r="G1639" s="1342"/>
      <c r="H1639" s="1342"/>
      <c r="I1639" s="1342"/>
      <c r="J1639" s="1342"/>
      <c r="K1639" s="1342"/>
    </row>
    <row r="1640" spans="2:11" ht="14" hidden="1">
      <c r="B1640" s="1342"/>
      <c r="C1640" s="1342"/>
      <c r="D1640" s="1342"/>
      <c r="E1640" s="1342"/>
      <c r="F1640" s="1342"/>
      <c r="G1640" s="1342"/>
      <c r="H1640" s="1342"/>
      <c r="I1640" s="1342"/>
      <c r="J1640" s="1342"/>
      <c r="K1640" s="1342"/>
    </row>
    <row r="1641" spans="2:11" ht="14" hidden="1">
      <c r="B1641" s="1342"/>
      <c r="C1641" s="1342"/>
      <c r="D1641" s="1342"/>
      <c r="E1641" s="1342"/>
      <c r="F1641" s="1342"/>
      <c r="G1641" s="1342"/>
      <c r="H1641" s="1342"/>
      <c r="I1641" s="1342"/>
      <c r="J1641" s="1342"/>
      <c r="K1641" s="1342"/>
    </row>
    <row r="1642" spans="2:11" ht="14" hidden="1">
      <c r="B1642" s="1342"/>
      <c r="C1642" s="1342"/>
      <c r="D1642" s="1342"/>
      <c r="E1642" s="1342"/>
      <c r="F1642" s="1342"/>
      <c r="G1642" s="1342"/>
      <c r="H1642" s="1342"/>
      <c r="I1642" s="1342"/>
      <c r="J1642" s="1342"/>
      <c r="K1642" s="1342"/>
    </row>
    <row r="1643" spans="2:11" ht="14" hidden="1">
      <c r="B1643" s="1342"/>
      <c r="C1643" s="1342"/>
      <c r="D1643" s="1342"/>
      <c r="E1643" s="1342"/>
      <c r="F1643" s="1342"/>
      <c r="G1643" s="1342"/>
      <c r="H1643" s="1342"/>
      <c r="I1643" s="1342"/>
      <c r="J1643" s="1342"/>
      <c r="K1643" s="1342"/>
    </row>
    <row r="1644" spans="2:11" ht="14" hidden="1">
      <c r="B1644" s="1342"/>
      <c r="C1644" s="1342"/>
      <c r="D1644" s="1342"/>
      <c r="E1644" s="1342"/>
      <c r="F1644" s="1342"/>
      <c r="G1644" s="1342"/>
      <c r="H1644" s="1342"/>
      <c r="I1644" s="1342"/>
      <c r="J1644" s="1342"/>
      <c r="K1644" s="1342"/>
    </row>
    <row r="1645" spans="2:11" ht="14" hidden="1">
      <c r="B1645" s="1342"/>
      <c r="C1645" s="1342"/>
      <c r="D1645" s="1342"/>
      <c r="E1645" s="1342"/>
      <c r="F1645" s="1342"/>
      <c r="G1645" s="1342"/>
      <c r="H1645" s="1342"/>
      <c r="I1645" s="1342"/>
      <c r="J1645" s="1342"/>
      <c r="K1645" s="1342"/>
    </row>
    <row r="1646" spans="2:11" ht="14" hidden="1">
      <c r="B1646" s="1342"/>
      <c r="C1646" s="1342"/>
      <c r="D1646" s="1342"/>
      <c r="E1646" s="1342"/>
      <c r="F1646" s="1342"/>
      <c r="G1646" s="1342"/>
      <c r="H1646" s="1342"/>
      <c r="I1646" s="1342"/>
      <c r="J1646" s="1342"/>
      <c r="K1646" s="1342"/>
    </row>
    <row r="1647" spans="2:11" ht="14" hidden="1">
      <c r="B1647" s="1342"/>
      <c r="C1647" s="1342"/>
      <c r="D1647" s="1342"/>
      <c r="E1647" s="1342"/>
      <c r="F1647" s="1342"/>
      <c r="G1647" s="1342"/>
      <c r="H1647" s="1342"/>
      <c r="I1647" s="1342"/>
      <c r="J1647" s="1342"/>
      <c r="K1647" s="1342"/>
    </row>
    <row r="1648" spans="2:11" ht="14" hidden="1">
      <c r="B1648" s="1342"/>
      <c r="C1648" s="1342"/>
      <c r="D1648" s="1342"/>
      <c r="E1648" s="1342"/>
      <c r="F1648" s="1342"/>
      <c r="G1648" s="1342"/>
      <c r="H1648" s="1342"/>
      <c r="I1648" s="1342"/>
      <c r="J1648" s="1342"/>
      <c r="K1648" s="1342"/>
    </row>
    <row r="1649" spans="2:11" ht="14" hidden="1">
      <c r="B1649" s="1342"/>
      <c r="C1649" s="1342"/>
      <c r="D1649" s="1342"/>
      <c r="E1649" s="1342"/>
      <c r="F1649" s="1342"/>
      <c r="G1649" s="1342"/>
      <c r="H1649" s="1342"/>
      <c r="I1649" s="1342"/>
      <c r="J1649" s="1342"/>
      <c r="K1649" s="1342"/>
    </row>
    <row r="1650" spans="2:11" ht="14" hidden="1">
      <c r="B1650" s="1342"/>
      <c r="C1650" s="1342"/>
      <c r="D1650" s="1342"/>
      <c r="E1650" s="1342"/>
      <c r="F1650" s="1342"/>
      <c r="G1650" s="1342"/>
      <c r="H1650" s="1342"/>
      <c r="I1650" s="1342"/>
      <c r="J1650" s="1342"/>
      <c r="K1650" s="1342"/>
    </row>
    <row r="1651" spans="2:11" ht="14" hidden="1">
      <c r="B1651" s="1342"/>
      <c r="C1651" s="1342"/>
      <c r="D1651" s="1342"/>
      <c r="E1651" s="1342"/>
      <c r="F1651" s="1342"/>
      <c r="G1651" s="1342"/>
      <c r="H1651" s="1342"/>
      <c r="I1651" s="1342"/>
      <c r="J1651" s="1342"/>
      <c r="K1651" s="1342"/>
    </row>
    <row r="1652" spans="2:11" ht="14" hidden="1">
      <c r="B1652" s="1342"/>
      <c r="C1652" s="1342"/>
      <c r="D1652" s="1342"/>
      <c r="E1652" s="1342"/>
      <c r="F1652" s="1342"/>
      <c r="G1652" s="1342"/>
      <c r="H1652" s="1342"/>
      <c r="I1652" s="1342"/>
      <c r="J1652" s="1342"/>
      <c r="K1652" s="1342"/>
    </row>
    <row r="1653" spans="2:11" ht="14" hidden="1">
      <c r="B1653" s="1342"/>
      <c r="C1653" s="1342"/>
      <c r="D1653" s="1342"/>
      <c r="E1653" s="1342"/>
      <c r="F1653" s="1342"/>
      <c r="G1653" s="1342"/>
      <c r="H1653" s="1342"/>
      <c r="I1653" s="1342"/>
      <c r="J1653" s="1342"/>
      <c r="K1653" s="1342"/>
    </row>
    <row r="1654" spans="2:11" ht="14" hidden="1">
      <c r="B1654" s="1342"/>
      <c r="C1654" s="1342"/>
      <c r="D1654" s="1342"/>
      <c r="E1654" s="1342"/>
      <c r="F1654" s="1342"/>
      <c r="G1654" s="1342"/>
      <c r="H1654" s="1342"/>
      <c r="I1654" s="1342"/>
      <c r="J1654" s="1342"/>
      <c r="K1654" s="1342"/>
    </row>
    <row r="1655" spans="2:11" ht="14" hidden="1">
      <c r="B1655" s="1342"/>
      <c r="C1655" s="1342"/>
      <c r="D1655" s="1342"/>
      <c r="E1655" s="1342"/>
      <c r="F1655" s="1342"/>
      <c r="G1655" s="1342"/>
      <c r="H1655" s="1342"/>
      <c r="I1655" s="1342"/>
      <c r="J1655" s="1342"/>
      <c r="K1655" s="1342"/>
    </row>
    <row r="1656" spans="2:11" ht="14" hidden="1">
      <c r="B1656" s="1342"/>
      <c r="C1656" s="1342"/>
      <c r="D1656" s="1342"/>
      <c r="E1656" s="1342"/>
      <c r="F1656" s="1342"/>
      <c r="G1656" s="1342"/>
      <c r="H1656" s="1342"/>
      <c r="I1656" s="1342"/>
      <c r="J1656" s="1342"/>
      <c r="K1656" s="1342"/>
    </row>
    <row r="1657" spans="2:11" ht="14" hidden="1">
      <c r="B1657" s="1342"/>
      <c r="C1657" s="1342"/>
      <c r="D1657" s="1342"/>
      <c r="E1657" s="1342"/>
      <c r="F1657" s="1342"/>
      <c r="G1657" s="1342"/>
      <c r="H1657" s="1342"/>
      <c r="I1657" s="1342"/>
      <c r="J1657" s="1342"/>
      <c r="K1657" s="1342"/>
    </row>
    <row r="1658" spans="2:11" ht="14" hidden="1">
      <c r="B1658" s="1342"/>
      <c r="C1658" s="1342"/>
      <c r="D1658" s="1342"/>
      <c r="E1658" s="1342"/>
      <c r="F1658" s="1342"/>
      <c r="G1658" s="1342"/>
      <c r="H1658" s="1342"/>
      <c r="I1658" s="1342"/>
      <c r="J1658" s="1342"/>
      <c r="K1658" s="1342"/>
    </row>
    <row r="1659" spans="2:11" ht="14" hidden="1">
      <c r="B1659" s="1342"/>
      <c r="C1659" s="1342"/>
      <c r="D1659" s="1342"/>
      <c r="E1659" s="1342"/>
      <c r="F1659" s="1342"/>
      <c r="G1659" s="1342"/>
      <c r="H1659" s="1342"/>
      <c r="I1659" s="1342"/>
      <c r="J1659" s="1342"/>
      <c r="K1659" s="1342"/>
    </row>
    <row r="1660" spans="2:11" ht="14" hidden="1">
      <c r="B1660" s="1342"/>
      <c r="C1660" s="1342"/>
      <c r="D1660" s="1342"/>
      <c r="E1660" s="1342"/>
      <c r="F1660" s="1342"/>
      <c r="G1660" s="1342"/>
      <c r="H1660" s="1342"/>
      <c r="I1660" s="1342"/>
      <c r="J1660" s="1342"/>
      <c r="K1660" s="1342"/>
    </row>
    <row r="1661" spans="2:11" ht="14" hidden="1">
      <c r="B1661" s="1342"/>
      <c r="C1661" s="1342"/>
      <c r="D1661" s="1342"/>
      <c r="E1661" s="1342"/>
      <c r="F1661" s="1342"/>
      <c r="G1661" s="1342"/>
      <c r="H1661" s="1342"/>
      <c r="I1661" s="1342"/>
      <c r="J1661" s="1342"/>
      <c r="K1661" s="1342"/>
    </row>
    <row r="1662" spans="2:11" ht="14" hidden="1">
      <c r="B1662" s="1342"/>
      <c r="C1662" s="1342"/>
      <c r="D1662" s="1342"/>
      <c r="E1662" s="1342"/>
      <c r="F1662" s="1342"/>
      <c r="G1662" s="1342"/>
      <c r="H1662" s="1342"/>
      <c r="I1662" s="1342"/>
      <c r="J1662" s="1342"/>
      <c r="K1662" s="1342"/>
    </row>
    <row r="1663" spans="2:11" ht="14" hidden="1">
      <c r="B1663" s="1342"/>
      <c r="C1663" s="1342"/>
      <c r="D1663" s="1342"/>
      <c r="E1663" s="1342"/>
      <c r="F1663" s="1342"/>
      <c r="G1663" s="1342"/>
      <c r="H1663" s="1342"/>
      <c r="I1663" s="1342"/>
      <c r="J1663" s="1342"/>
      <c r="K1663" s="1342"/>
    </row>
    <row r="1664" spans="2:11" ht="14" hidden="1">
      <c r="B1664" s="1342"/>
      <c r="C1664" s="1342"/>
      <c r="D1664" s="1342"/>
      <c r="E1664" s="1342"/>
      <c r="F1664" s="1342"/>
      <c r="G1664" s="1342"/>
      <c r="H1664" s="1342"/>
      <c r="I1664" s="1342"/>
      <c r="J1664" s="1342"/>
      <c r="K1664" s="1342"/>
    </row>
    <row r="1665" spans="2:11" ht="14" hidden="1">
      <c r="B1665" s="1342"/>
      <c r="C1665" s="1342"/>
      <c r="D1665" s="1342"/>
      <c r="E1665" s="1342"/>
      <c r="F1665" s="1342"/>
      <c r="G1665" s="1342"/>
      <c r="H1665" s="1342"/>
      <c r="I1665" s="1342"/>
      <c r="J1665" s="1342"/>
      <c r="K1665" s="1342"/>
    </row>
    <row r="1666" spans="2:11" ht="14" hidden="1">
      <c r="B1666" s="1342"/>
      <c r="C1666" s="1342"/>
      <c r="D1666" s="1342"/>
      <c r="E1666" s="1342"/>
      <c r="F1666" s="1342"/>
      <c r="G1666" s="1342"/>
      <c r="H1666" s="1342"/>
      <c r="I1666" s="1342"/>
      <c r="J1666" s="1342"/>
      <c r="K1666" s="1342"/>
    </row>
    <row r="1667" spans="2:11" ht="14" hidden="1">
      <c r="B1667" s="1342"/>
      <c r="C1667" s="1342"/>
      <c r="D1667" s="1342"/>
      <c r="E1667" s="1342"/>
      <c r="F1667" s="1342"/>
      <c r="G1667" s="1342"/>
      <c r="H1667" s="1342"/>
      <c r="I1667" s="1342"/>
      <c r="J1667" s="1342"/>
      <c r="K1667" s="1342"/>
    </row>
    <row r="1668" spans="2:11" ht="14" hidden="1">
      <c r="B1668" s="1342"/>
      <c r="C1668" s="1342"/>
      <c r="D1668" s="1342"/>
      <c r="E1668" s="1342"/>
      <c r="F1668" s="1342"/>
      <c r="G1668" s="1342"/>
      <c r="H1668" s="1342"/>
      <c r="I1668" s="1342"/>
      <c r="J1668" s="1342"/>
      <c r="K1668" s="1342"/>
    </row>
    <row r="1669" spans="2:11" ht="14" hidden="1">
      <c r="B1669" s="1342"/>
      <c r="C1669" s="1342"/>
      <c r="D1669" s="1342"/>
      <c r="E1669" s="1342"/>
      <c r="F1669" s="1342"/>
      <c r="G1669" s="1342"/>
      <c r="H1669" s="1342"/>
      <c r="I1669" s="1342"/>
      <c r="J1669" s="1342"/>
      <c r="K1669" s="1342"/>
    </row>
    <row r="1670" spans="2:11" ht="14" hidden="1">
      <c r="B1670" s="1342"/>
      <c r="C1670" s="1342"/>
      <c r="D1670" s="1342"/>
      <c r="E1670" s="1342"/>
      <c r="F1670" s="1342"/>
      <c r="G1670" s="1342"/>
      <c r="H1670" s="1342"/>
      <c r="I1670" s="1342"/>
      <c r="J1670" s="1342"/>
      <c r="K1670" s="1342"/>
    </row>
    <row r="1671" spans="2:11" ht="14" hidden="1">
      <c r="B1671" s="1342"/>
      <c r="C1671" s="1342"/>
      <c r="D1671" s="1342"/>
      <c r="E1671" s="1342"/>
      <c r="F1671" s="1342"/>
      <c r="G1671" s="1342"/>
      <c r="H1671" s="1342"/>
      <c r="I1671" s="1342"/>
      <c r="J1671" s="1342"/>
      <c r="K1671" s="1342"/>
    </row>
    <row r="1672" spans="2:11" ht="14" hidden="1">
      <c r="B1672" s="1342"/>
      <c r="C1672" s="1342"/>
      <c r="D1672" s="1342"/>
      <c r="E1672" s="1342"/>
      <c r="F1672" s="1342"/>
      <c r="G1672" s="1342"/>
      <c r="H1672" s="1342"/>
      <c r="I1672" s="1342"/>
      <c r="J1672" s="1342"/>
      <c r="K1672" s="1342"/>
    </row>
    <row r="1673" spans="2:11" ht="14" hidden="1">
      <c r="B1673" s="1342"/>
      <c r="C1673" s="1342"/>
      <c r="D1673" s="1342"/>
      <c r="E1673" s="1342"/>
      <c r="F1673" s="1342"/>
      <c r="G1673" s="1342"/>
      <c r="H1673" s="1342"/>
      <c r="I1673" s="1342"/>
      <c r="J1673" s="1342"/>
      <c r="K1673" s="1342"/>
    </row>
    <row r="1674" spans="2:11" ht="14" hidden="1">
      <c r="B1674" s="1342"/>
      <c r="C1674" s="1342"/>
      <c r="D1674" s="1342"/>
      <c r="E1674" s="1342"/>
      <c r="F1674" s="1342"/>
      <c r="G1674" s="1342"/>
      <c r="H1674" s="1342"/>
      <c r="I1674" s="1342"/>
      <c r="J1674" s="1342"/>
      <c r="K1674" s="1342"/>
    </row>
    <row r="1675" spans="2:11" ht="14" hidden="1">
      <c r="B1675" s="1342"/>
      <c r="C1675" s="1342"/>
      <c r="D1675" s="1342"/>
      <c r="E1675" s="1342"/>
      <c r="F1675" s="1342"/>
      <c r="G1675" s="1342"/>
      <c r="H1675" s="1342"/>
      <c r="I1675" s="1342"/>
      <c r="J1675" s="1342"/>
      <c r="K1675" s="1342"/>
    </row>
    <row r="1676" spans="2:11" ht="14" hidden="1">
      <c r="B1676" s="1342"/>
      <c r="C1676" s="1342"/>
      <c r="D1676" s="1342"/>
      <c r="E1676" s="1342"/>
      <c r="F1676" s="1342"/>
      <c r="G1676" s="1342"/>
      <c r="H1676" s="1342"/>
      <c r="I1676" s="1342"/>
      <c r="J1676" s="1342"/>
      <c r="K1676" s="1342"/>
    </row>
    <row r="1677" spans="2:11" ht="14" hidden="1">
      <c r="B1677" s="1342"/>
      <c r="C1677" s="1342"/>
      <c r="D1677" s="1342"/>
      <c r="E1677" s="1342"/>
      <c r="F1677" s="1342"/>
      <c r="G1677" s="1342"/>
      <c r="H1677" s="1342"/>
      <c r="I1677" s="1342"/>
      <c r="J1677" s="1342"/>
      <c r="K1677" s="1342"/>
    </row>
    <row r="1678" spans="2:11" ht="14" hidden="1">
      <c r="B1678" s="1342"/>
      <c r="C1678" s="1342"/>
      <c r="D1678" s="1342"/>
      <c r="E1678" s="1342"/>
      <c r="F1678" s="1342"/>
      <c r="G1678" s="1342"/>
      <c r="H1678" s="1342"/>
      <c r="I1678" s="1342"/>
      <c r="J1678" s="1342"/>
      <c r="K1678" s="1342"/>
    </row>
    <row r="1679" spans="2:11" ht="14" hidden="1">
      <c r="B1679" s="1342"/>
      <c r="C1679" s="1342"/>
      <c r="D1679" s="1342"/>
      <c r="E1679" s="1342"/>
      <c r="F1679" s="1342"/>
      <c r="G1679" s="1342"/>
      <c r="H1679" s="1342"/>
      <c r="I1679" s="1342"/>
      <c r="J1679" s="1342"/>
      <c r="K1679" s="1342"/>
    </row>
    <row r="1680" spans="2:11" ht="14" hidden="1">
      <c r="B1680" s="1342"/>
      <c r="C1680" s="1342"/>
      <c r="D1680" s="1342"/>
      <c r="E1680" s="1342"/>
      <c r="F1680" s="1342"/>
      <c r="G1680" s="1342"/>
      <c r="H1680" s="1342"/>
      <c r="I1680" s="1342"/>
      <c r="J1680" s="1342"/>
      <c r="K1680" s="1342"/>
    </row>
    <row r="1681" spans="2:11" ht="14" hidden="1">
      <c r="B1681" s="1342"/>
      <c r="C1681" s="1342"/>
      <c r="D1681" s="1342"/>
      <c r="E1681" s="1342"/>
      <c r="F1681" s="1342"/>
      <c r="G1681" s="1342"/>
      <c r="H1681" s="1342"/>
      <c r="I1681" s="1342"/>
      <c r="J1681" s="1342"/>
      <c r="K1681" s="1342"/>
    </row>
    <row r="1682" spans="2:11" ht="14" hidden="1">
      <c r="B1682" s="1342"/>
      <c r="C1682" s="1342"/>
      <c r="D1682" s="1342"/>
      <c r="E1682" s="1342"/>
      <c r="F1682" s="1342"/>
      <c r="G1682" s="1342"/>
      <c r="H1682" s="1342"/>
      <c r="I1682" s="1342"/>
      <c r="J1682" s="1342"/>
      <c r="K1682" s="1342"/>
    </row>
    <row r="1683" spans="2:11" ht="14" hidden="1">
      <c r="B1683" s="1342"/>
      <c r="C1683" s="1342"/>
      <c r="D1683" s="1342"/>
      <c r="E1683" s="1342"/>
      <c r="F1683" s="1342"/>
      <c r="G1683" s="1342"/>
      <c r="H1683" s="1342"/>
      <c r="I1683" s="1342"/>
      <c r="J1683" s="1342"/>
      <c r="K1683" s="1342"/>
    </row>
    <row r="1684" spans="2:11" ht="14" hidden="1">
      <c r="B1684" s="1342"/>
      <c r="C1684" s="1342"/>
      <c r="D1684" s="1342"/>
      <c r="E1684" s="1342"/>
      <c r="F1684" s="1342"/>
      <c r="G1684" s="1342"/>
      <c r="H1684" s="1342"/>
      <c r="I1684" s="1342"/>
      <c r="J1684" s="1342"/>
      <c r="K1684" s="1342"/>
    </row>
    <row r="1685" spans="2:11" ht="14" hidden="1">
      <c r="B1685" s="1342"/>
      <c r="C1685" s="1342"/>
      <c r="D1685" s="1342"/>
      <c r="E1685" s="1342"/>
      <c r="F1685" s="1342"/>
      <c r="G1685" s="1342"/>
      <c r="H1685" s="1342"/>
      <c r="I1685" s="1342"/>
      <c r="J1685" s="1342"/>
      <c r="K1685" s="1342"/>
    </row>
    <row r="1686" spans="2:11" ht="14" hidden="1">
      <c r="B1686" s="1342"/>
      <c r="C1686" s="1342"/>
      <c r="D1686" s="1342"/>
      <c r="E1686" s="1342"/>
      <c r="F1686" s="1342"/>
      <c r="G1686" s="1342"/>
      <c r="H1686" s="1342"/>
      <c r="I1686" s="1342"/>
      <c r="J1686" s="1342"/>
      <c r="K1686" s="1342"/>
    </row>
    <row r="1687" spans="2:11" ht="14" hidden="1">
      <c r="B1687" s="1342"/>
      <c r="C1687" s="1342"/>
      <c r="D1687" s="1342"/>
      <c r="E1687" s="1342"/>
      <c r="F1687" s="1342"/>
      <c r="G1687" s="1342"/>
      <c r="H1687" s="1342"/>
      <c r="I1687" s="1342"/>
      <c r="J1687" s="1342"/>
      <c r="K1687" s="1342"/>
    </row>
    <row r="1688" spans="2:11" ht="14" hidden="1">
      <c r="B1688" s="1342"/>
      <c r="C1688" s="1342"/>
      <c r="D1688" s="1342"/>
      <c r="E1688" s="1342"/>
      <c r="F1688" s="1342"/>
      <c r="G1688" s="1342"/>
      <c r="H1688" s="1342"/>
      <c r="I1688" s="1342"/>
      <c r="J1688" s="1342"/>
      <c r="K1688" s="1342"/>
    </row>
    <row r="1689" spans="2:11" ht="14" hidden="1">
      <c r="B1689" s="1342"/>
      <c r="C1689" s="1342"/>
      <c r="D1689" s="1342"/>
      <c r="E1689" s="1342"/>
      <c r="F1689" s="1342"/>
      <c r="G1689" s="1342"/>
      <c r="H1689" s="1342"/>
      <c r="I1689" s="1342"/>
      <c r="J1689" s="1342"/>
      <c r="K1689" s="1342"/>
    </row>
    <row r="1690" spans="2:11" ht="14" hidden="1">
      <c r="B1690" s="1342"/>
      <c r="C1690" s="1342"/>
      <c r="D1690" s="1342"/>
      <c r="E1690" s="1342"/>
      <c r="F1690" s="1342"/>
      <c r="G1690" s="1342"/>
      <c r="H1690" s="1342"/>
      <c r="I1690" s="1342"/>
      <c r="J1690" s="1342"/>
      <c r="K1690" s="1342"/>
    </row>
    <row r="1691" spans="2:11" ht="14" hidden="1">
      <c r="B1691" s="1342"/>
      <c r="C1691" s="1342"/>
      <c r="D1691" s="1342"/>
      <c r="E1691" s="1342"/>
      <c r="F1691" s="1342"/>
      <c r="G1691" s="1342"/>
      <c r="H1691" s="1342"/>
      <c r="I1691" s="1342"/>
      <c r="J1691" s="1342"/>
      <c r="K1691" s="1342"/>
    </row>
    <row r="1692" spans="2:11" ht="14" hidden="1">
      <c r="B1692" s="1342"/>
      <c r="C1692" s="1342"/>
      <c r="D1692" s="1342"/>
      <c r="E1692" s="1342"/>
      <c r="F1692" s="1342"/>
      <c r="G1692" s="1342"/>
      <c r="H1692" s="1342"/>
      <c r="I1692" s="1342"/>
      <c r="J1692" s="1342"/>
      <c r="K1692" s="1342"/>
    </row>
    <row r="1693" spans="2:11" ht="14" hidden="1">
      <c r="B1693" s="1342"/>
      <c r="C1693" s="1342"/>
      <c r="D1693" s="1342"/>
      <c r="E1693" s="1342"/>
      <c r="F1693" s="1342"/>
      <c r="G1693" s="1342"/>
      <c r="H1693" s="1342"/>
      <c r="I1693" s="1342"/>
      <c r="J1693" s="1342"/>
      <c r="K1693" s="1342"/>
    </row>
    <row r="1694" spans="2:11" ht="14" hidden="1">
      <c r="B1694" s="1342"/>
      <c r="C1694" s="1342"/>
      <c r="D1694" s="1342"/>
      <c r="E1694" s="1342"/>
      <c r="F1694" s="1342"/>
      <c r="G1694" s="1342"/>
      <c r="H1694" s="1342"/>
      <c r="I1694" s="1342"/>
      <c r="J1694" s="1342"/>
      <c r="K1694" s="1342"/>
    </row>
    <row r="1695" spans="2:11" ht="14" hidden="1">
      <c r="B1695" s="1342"/>
      <c r="C1695" s="1342"/>
      <c r="D1695" s="1342"/>
      <c r="E1695" s="1342"/>
      <c r="F1695" s="1342"/>
      <c r="G1695" s="1342"/>
      <c r="H1695" s="1342"/>
      <c r="I1695" s="1342"/>
      <c r="J1695" s="1342"/>
      <c r="K1695" s="1342"/>
    </row>
    <row r="1696" spans="2:11" ht="14" hidden="1">
      <c r="B1696" s="1342"/>
      <c r="C1696" s="1342"/>
      <c r="D1696" s="1342"/>
      <c r="E1696" s="1342"/>
      <c r="F1696" s="1342"/>
      <c r="G1696" s="1342"/>
      <c r="H1696" s="1342"/>
      <c r="I1696" s="1342"/>
      <c r="J1696" s="1342"/>
      <c r="K1696" s="1342"/>
    </row>
    <row r="1697" spans="2:11" ht="14" hidden="1">
      <c r="B1697" s="1342"/>
      <c r="C1697" s="1342"/>
      <c r="D1697" s="1342"/>
      <c r="E1697" s="1342"/>
      <c r="F1697" s="1342"/>
      <c r="G1697" s="1342"/>
      <c r="H1697" s="1342"/>
      <c r="I1697" s="1342"/>
      <c r="J1697" s="1342"/>
      <c r="K1697" s="1342"/>
    </row>
    <row r="1698" spans="2:11" ht="14" hidden="1">
      <c r="B1698" s="1342"/>
      <c r="C1698" s="1342"/>
      <c r="D1698" s="1342"/>
      <c r="E1698" s="1342"/>
      <c r="F1698" s="1342"/>
      <c r="G1698" s="1342"/>
      <c r="H1698" s="1342"/>
      <c r="I1698" s="1342"/>
      <c r="J1698" s="1342"/>
      <c r="K1698" s="1342"/>
    </row>
    <row r="1699" spans="2:11" ht="14" hidden="1">
      <c r="B1699" s="1342"/>
      <c r="C1699" s="1342"/>
      <c r="D1699" s="1342"/>
      <c r="E1699" s="1342"/>
      <c r="F1699" s="1342"/>
      <c r="G1699" s="1342"/>
      <c r="H1699" s="1342"/>
      <c r="I1699" s="1342"/>
      <c r="J1699" s="1342"/>
      <c r="K1699" s="1342"/>
    </row>
    <row r="1700" spans="2:11" ht="14" hidden="1">
      <c r="B1700" s="1342"/>
      <c r="C1700" s="1342"/>
      <c r="D1700" s="1342"/>
      <c r="E1700" s="1342"/>
      <c r="F1700" s="1342"/>
      <c r="G1700" s="1342"/>
      <c r="H1700" s="1342"/>
      <c r="I1700" s="1342"/>
      <c r="J1700" s="1342"/>
      <c r="K1700" s="1342"/>
    </row>
    <row r="1701" spans="2:11" ht="14" hidden="1">
      <c r="B1701" s="1342"/>
      <c r="C1701" s="1342"/>
      <c r="D1701" s="1342"/>
      <c r="E1701" s="1342"/>
      <c r="F1701" s="1342"/>
      <c r="G1701" s="1342"/>
      <c r="H1701" s="1342"/>
      <c r="I1701" s="1342"/>
      <c r="J1701" s="1342"/>
      <c r="K1701" s="1342"/>
    </row>
    <row r="1702" spans="2:11" ht="14" hidden="1">
      <c r="B1702" s="1342"/>
      <c r="C1702" s="1342"/>
      <c r="D1702" s="1342"/>
      <c r="E1702" s="1342"/>
      <c r="F1702" s="1342"/>
      <c r="G1702" s="1342"/>
      <c r="H1702" s="1342"/>
      <c r="I1702" s="1342"/>
      <c r="J1702" s="1342"/>
      <c r="K1702" s="1342"/>
    </row>
    <row r="1703" spans="2:11" ht="14" hidden="1">
      <c r="B1703" s="1342"/>
      <c r="C1703" s="1342"/>
      <c r="D1703" s="1342"/>
      <c r="E1703" s="1342"/>
      <c r="F1703" s="1342"/>
      <c r="G1703" s="1342"/>
      <c r="H1703" s="1342"/>
      <c r="I1703" s="1342"/>
      <c r="J1703" s="1342"/>
      <c r="K1703" s="1342"/>
    </row>
    <row r="1704" spans="2:11" ht="14" hidden="1">
      <c r="B1704" s="1342"/>
      <c r="C1704" s="1342"/>
      <c r="D1704" s="1342"/>
      <c r="E1704" s="1342"/>
      <c r="F1704" s="1342"/>
      <c r="G1704" s="1342"/>
      <c r="H1704" s="1342"/>
      <c r="I1704" s="1342"/>
      <c r="J1704" s="1342"/>
      <c r="K1704" s="1342"/>
    </row>
    <row r="1705" spans="2:11" ht="14" hidden="1">
      <c r="B1705" s="1342"/>
      <c r="C1705" s="1342"/>
      <c r="D1705" s="1342"/>
      <c r="E1705" s="1342"/>
      <c r="F1705" s="1342"/>
      <c r="G1705" s="1342"/>
      <c r="H1705" s="1342"/>
      <c r="I1705" s="1342"/>
      <c r="J1705" s="1342"/>
      <c r="K1705" s="1342"/>
    </row>
    <row r="1706" spans="2:11" ht="14" hidden="1">
      <c r="B1706" s="1342"/>
      <c r="C1706" s="1342"/>
      <c r="D1706" s="1342"/>
      <c r="E1706" s="1342"/>
      <c r="F1706" s="1342"/>
      <c r="G1706" s="1342"/>
      <c r="H1706" s="1342"/>
      <c r="I1706" s="1342"/>
      <c r="J1706" s="1342"/>
      <c r="K1706" s="1342"/>
    </row>
    <row r="1707" spans="2:11" ht="14" hidden="1">
      <c r="B1707" s="1342"/>
      <c r="C1707" s="1342"/>
      <c r="D1707" s="1342"/>
      <c r="E1707" s="1342"/>
      <c r="F1707" s="1342"/>
      <c r="G1707" s="1342"/>
      <c r="H1707" s="1342"/>
      <c r="I1707" s="1342"/>
      <c r="J1707" s="1342"/>
      <c r="K1707" s="1342"/>
    </row>
    <row r="1708" spans="2:11" ht="14" hidden="1">
      <c r="B1708" s="1342"/>
      <c r="C1708" s="1342"/>
      <c r="D1708" s="1342"/>
      <c r="E1708" s="1342"/>
      <c r="F1708" s="1342"/>
      <c r="G1708" s="1342"/>
      <c r="H1708" s="1342"/>
      <c r="I1708" s="1342"/>
      <c r="J1708" s="1342"/>
      <c r="K1708" s="1342"/>
    </row>
    <row r="1709" spans="2:11" ht="14" hidden="1">
      <c r="B1709" s="1342"/>
      <c r="C1709" s="1342"/>
      <c r="D1709" s="1342"/>
      <c r="E1709" s="1342"/>
      <c r="F1709" s="1342"/>
      <c r="G1709" s="1342"/>
      <c r="H1709" s="1342"/>
      <c r="I1709" s="1342"/>
      <c r="J1709" s="1342"/>
      <c r="K1709" s="1342"/>
    </row>
    <row r="1710" spans="2:11" ht="14" hidden="1">
      <c r="B1710" s="1342"/>
      <c r="C1710" s="1342"/>
      <c r="D1710" s="1342"/>
      <c r="E1710" s="1342"/>
      <c r="F1710" s="1342"/>
      <c r="G1710" s="1342"/>
      <c r="H1710" s="1342"/>
      <c r="I1710" s="1342"/>
      <c r="J1710" s="1342"/>
      <c r="K1710" s="1342"/>
    </row>
    <row r="1711" spans="2:11" ht="14" hidden="1">
      <c r="B1711" s="1342"/>
      <c r="C1711" s="1342"/>
      <c r="D1711" s="1342"/>
      <c r="E1711" s="1342"/>
      <c r="F1711" s="1342"/>
      <c r="G1711" s="1342"/>
      <c r="H1711" s="1342"/>
      <c r="I1711" s="1342"/>
      <c r="J1711" s="1342"/>
      <c r="K1711" s="1342"/>
    </row>
    <row r="1712" spans="2:11" ht="14" hidden="1">
      <c r="B1712" s="1342"/>
      <c r="C1712" s="1342"/>
      <c r="D1712" s="1342"/>
      <c r="E1712" s="1342"/>
      <c r="F1712" s="1342"/>
      <c r="G1712" s="1342"/>
      <c r="H1712" s="1342"/>
      <c r="I1712" s="1342"/>
      <c r="J1712" s="1342"/>
      <c r="K1712" s="1342"/>
    </row>
    <row r="1713" spans="2:11" ht="14" hidden="1">
      <c r="B1713" s="1342"/>
      <c r="C1713" s="1342"/>
      <c r="D1713" s="1342"/>
      <c r="E1713" s="1342"/>
      <c r="F1713" s="1342"/>
      <c r="G1713" s="1342"/>
      <c r="H1713" s="1342"/>
      <c r="I1713" s="1342"/>
      <c r="J1713" s="1342"/>
      <c r="K1713" s="1342"/>
    </row>
    <row r="1714" spans="2:11" ht="14" hidden="1">
      <c r="B1714" s="1342"/>
      <c r="C1714" s="1342"/>
      <c r="D1714" s="1342"/>
      <c r="E1714" s="1342"/>
      <c r="F1714" s="1342"/>
      <c r="G1714" s="1342"/>
      <c r="H1714" s="1342"/>
      <c r="I1714" s="1342"/>
      <c r="J1714" s="1342"/>
      <c r="K1714" s="1342"/>
    </row>
    <row r="1715" spans="2:11" ht="14" hidden="1">
      <c r="B1715" s="1342"/>
      <c r="C1715" s="1342"/>
      <c r="D1715" s="1342"/>
      <c r="E1715" s="1342"/>
      <c r="F1715" s="1342"/>
      <c r="G1715" s="1342"/>
      <c r="H1715" s="1342"/>
      <c r="I1715" s="1342"/>
      <c r="J1715" s="1342"/>
      <c r="K1715" s="1342"/>
    </row>
    <row r="1716" spans="2:11" ht="14" hidden="1">
      <c r="B1716" s="1342"/>
      <c r="C1716" s="1342"/>
      <c r="D1716" s="1342"/>
      <c r="E1716" s="1342"/>
      <c r="F1716" s="1342"/>
      <c r="G1716" s="1342"/>
      <c r="H1716" s="1342"/>
      <c r="I1716" s="1342"/>
      <c r="J1716" s="1342"/>
      <c r="K1716" s="1342"/>
    </row>
    <row r="1717" spans="2:11" ht="14" hidden="1">
      <c r="B1717" s="1342"/>
      <c r="C1717" s="1342"/>
      <c r="D1717" s="1342"/>
      <c r="E1717" s="1342"/>
      <c r="F1717" s="1342"/>
      <c r="G1717" s="1342"/>
      <c r="H1717" s="1342"/>
      <c r="I1717" s="1342"/>
      <c r="J1717" s="1342"/>
      <c r="K1717" s="1342"/>
    </row>
    <row r="1718" spans="2:11" ht="14" hidden="1">
      <c r="B1718" s="1342"/>
      <c r="C1718" s="1342"/>
      <c r="D1718" s="1342"/>
      <c r="E1718" s="1342"/>
      <c r="F1718" s="1342"/>
      <c r="G1718" s="1342"/>
      <c r="H1718" s="1342"/>
      <c r="I1718" s="1342"/>
      <c r="J1718" s="1342"/>
      <c r="K1718" s="1342"/>
    </row>
    <row r="1719" spans="2:11" ht="14" hidden="1">
      <c r="B1719" s="1342"/>
      <c r="C1719" s="1342"/>
      <c r="D1719" s="1342"/>
      <c r="E1719" s="1342"/>
      <c r="F1719" s="1342"/>
      <c r="G1719" s="1342"/>
      <c r="H1719" s="1342"/>
      <c r="I1719" s="1342"/>
      <c r="J1719" s="1342"/>
      <c r="K1719" s="1342"/>
    </row>
    <row r="1720" spans="2:11" ht="14" hidden="1">
      <c r="B1720" s="1342"/>
      <c r="C1720" s="1342"/>
      <c r="D1720" s="1342"/>
      <c r="E1720" s="1342"/>
      <c r="F1720" s="1342"/>
      <c r="G1720" s="1342"/>
      <c r="H1720" s="1342"/>
      <c r="I1720" s="1342"/>
      <c r="J1720" s="1342"/>
      <c r="K1720" s="1342"/>
    </row>
    <row r="1721" spans="2:11" ht="14" hidden="1">
      <c r="B1721" s="1342"/>
      <c r="C1721" s="1342"/>
      <c r="D1721" s="1342"/>
      <c r="E1721" s="1342"/>
      <c r="F1721" s="1342"/>
      <c r="G1721" s="1342"/>
      <c r="H1721" s="1342"/>
      <c r="I1721" s="1342"/>
      <c r="J1721" s="1342"/>
      <c r="K1721" s="1342"/>
    </row>
    <row r="1722" spans="2:11" ht="14" hidden="1">
      <c r="B1722" s="1342"/>
      <c r="C1722" s="1342"/>
      <c r="D1722" s="1342"/>
      <c r="E1722" s="1342"/>
      <c r="F1722" s="1342"/>
      <c r="G1722" s="1342"/>
      <c r="H1722" s="1342"/>
      <c r="I1722" s="1342"/>
      <c r="J1722" s="1342"/>
      <c r="K1722" s="1342"/>
    </row>
    <row r="1723" spans="2:11" ht="14" hidden="1">
      <c r="B1723" s="1342"/>
      <c r="C1723" s="1342"/>
      <c r="D1723" s="1342"/>
      <c r="E1723" s="1342"/>
      <c r="F1723" s="1342"/>
      <c r="G1723" s="1342"/>
      <c r="H1723" s="1342"/>
      <c r="I1723" s="1342"/>
      <c r="J1723" s="1342"/>
      <c r="K1723" s="1342"/>
    </row>
    <row r="1724" spans="2:11" ht="14" hidden="1">
      <c r="B1724" s="1342"/>
      <c r="C1724" s="1342"/>
      <c r="D1724" s="1342"/>
      <c r="E1724" s="1342"/>
      <c r="F1724" s="1342"/>
      <c r="G1724" s="1342"/>
      <c r="H1724" s="1342"/>
      <c r="I1724" s="1342"/>
      <c r="J1724" s="1342"/>
      <c r="K1724" s="1342"/>
    </row>
    <row r="1725" spans="2:11" ht="14" hidden="1">
      <c r="B1725" s="1342"/>
      <c r="C1725" s="1342"/>
      <c r="D1725" s="1342"/>
      <c r="E1725" s="1342"/>
      <c r="F1725" s="1342"/>
      <c r="G1725" s="1342"/>
      <c r="H1725" s="1342"/>
      <c r="I1725" s="1342"/>
      <c r="J1725" s="1342"/>
      <c r="K1725" s="1342"/>
    </row>
    <row r="1726" spans="2:11" ht="14" hidden="1">
      <c r="B1726" s="1342"/>
      <c r="C1726" s="1342"/>
      <c r="D1726" s="1342"/>
      <c r="E1726" s="1342"/>
      <c r="F1726" s="1342"/>
      <c r="G1726" s="1342"/>
      <c r="H1726" s="1342"/>
      <c r="I1726" s="1342"/>
      <c r="J1726" s="1342"/>
      <c r="K1726" s="1342"/>
    </row>
    <row r="1727" spans="2:11" ht="14" hidden="1">
      <c r="B1727" s="1342"/>
      <c r="C1727" s="1342"/>
      <c r="D1727" s="1342"/>
      <c r="E1727" s="1342"/>
      <c r="F1727" s="1342"/>
      <c r="G1727" s="1342"/>
      <c r="H1727" s="1342"/>
      <c r="I1727" s="1342"/>
      <c r="J1727" s="1342"/>
      <c r="K1727" s="1342"/>
    </row>
    <row r="1728" spans="2:11" ht="14" hidden="1">
      <c r="B1728" s="1342"/>
      <c r="C1728" s="1342"/>
      <c r="D1728" s="1342"/>
      <c r="E1728" s="1342"/>
      <c r="F1728" s="1342"/>
      <c r="G1728" s="1342"/>
      <c r="H1728" s="1342"/>
      <c r="I1728" s="1342"/>
      <c r="J1728" s="1342"/>
      <c r="K1728" s="1342"/>
    </row>
    <row r="1729" spans="2:11" ht="14" hidden="1">
      <c r="B1729" s="1342"/>
      <c r="C1729" s="1342"/>
      <c r="D1729" s="1342"/>
      <c r="E1729" s="1342"/>
      <c r="F1729" s="1342"/>
      <c r="G1729" s="1342"/>
      <c r="H1729" s="1342"/>
      <c r="I1729" s="1342"/>
      <c r="J1729" s="1342"/>
      <c r="K1729" s="1342"/>
    </row>
    <row r="1730" spans="2:11" ht="14" hidden="1">
      <c r="B1730" s="1342"/>
      <c r="C1730" s="1342"/>
      <c r="D1730" s="1342"/>
      <c r="E1730" s="1342"/>
      <c r="F1730" s="1342"/>
      <c r="G1730" s="1342"/>
      <c r="H1730" s="1342"/>
      <c r="I1730" s="1342"/>
      <c r="J1730" s="1342"/>
      <c r="K1730" s="1342"/>
    </row>
    <row r="1731" spans="2:11" ht="14" hidden="1">
      <c r="B1731" s="1342"/>
      <c r="C1731" s="1342"/>
      <c r="D1731" s="1342"/>
      <c r="E1731" s="1342"/>
      <c r="F1731" s="1342"/>
      <c r="G1731" s="1342"/>
      <c r="H1731" s="1342"/>
      <c r="I1731" s="1342"/>
      <c r="J1731" s="1342"/>
      <c r="K1731" s="1342"/>
    </row>
    <row r="1732" spans="2:11" ht="14" hidden="1">
      <c r="B1732" s="1342"/>
      <c r="C1732" s="1342"/>
      <c r="D1732" s="1342"/>
      <c r="E1732" s="1342"/>
      <c r="F1732" s="1342"/>
      <c r="G1732" s="1342"/>
      <c r="H1732" s="1342"/>
      <c r="I1732" s="1342"/>
      <c r="J1732" s="1342"/>
      <c r="K1732" s="1342"/>
    </row>
    <row r="1733" spans="2:11" ht="14" hidden="1">
      <c r="B1733" s="1342"/>
      <c r="C1733" s="1342"/>
      <c r="D1733" s="1342"/>
      <c r="E1733" s="1342"/>
      <c r="F1733" s="1342"/>
      <c r="G1733" s="1342"/>
      <c r="H1733" s="1342"/>
      <c r="I1733" s="1342"/>
      <c r="J1733" s="1342"/>
      <c r="K1733" s="1342"/>
    </row>
    <row r="1734" spans="2:11" ht="14" hidden="1">
      <c r="B1734" s="1342"/>
      <c r="C1734" s="1342"/>
      <c r="D1734" s="1342"/>
      <c r="E1734" s="1342"/>
      <c r="F1734" s="1342"/>
      <c r="G1734" s="1342"/>
      <c r="H1734" s="1342"/>
      <c r="I1734" s="1342"/>
      <c r="J1734" s="1342"/>
      <c r="K1734" s="1342"/>
    </row>
    <row r="1735" spans="2:11" ht="14" hidden="1">
      <c r="B1735" s="1342"/>
      <c r="C1735" s="1342"/>
      <c r="D1735" s="1342"/>
      <c r="E1735" s="1342"/>
      <c r="F1735" s="1342"/>
      <c r="G1735" s="1342"/>
      <c r="H1735" s="1342"/>
      <c r="I1735" s="1342"/>
      <c r="J1735" s="1342"/>
      <c r="K1735" s="1342"/>
    </row>
    <row r="1736" spans="2:11" ht="14" hidden="1">
      <c r="B1736" s="1342"/>
      <c r="C1736" s="1342"/>
      <c r="D1736" s="1342"/>
      <c r="E1736" s="1342"/>
      <c r="F1736" s="1342"/>
      <c r="G1736" s="1342"/>
      <c r="H1736" s="1342"/>
      <c r="I1736" s="1342"/>
      <c r="J1736" s="1342"/>
      <c r="K1736" s="1342"/>
    </row>
    <row r="1737" spans="2:11" ht="14" hidden="1">
      <c r="B1737" s="1342"/>
      <c r="C1737" s="1342"/>
      <c r="D1737" s="1342"/>
      <c r="E1737" s="1342"/>
      <c r="F1737" s="1342"/>
      <c r="G1737" s="1342"/>
      <c r="H1737" s="1342"/>
      <c r="I1737" s="1342"/>
      <c r="J1737" s="1342"/>
      <c r="K1737" s="1342"/>
    </row>
    <row r="1738" spans="2:11" ht="14" hidden="1">
      <c r="B1738" s="1342"/>
      <c r="C1738" s="1342"/>
      <c r="D1738" s="1342"/>
      <c r="E1738" s="1342"/>
      <c r="F1738" s="1342"/>
      <c r="G1738" s="1342"/>
      <c r="H1738" s="1342"/>
      <c r="I1738" s="1342"/>
      <c r="J1738" s="1342"/>
      <c r="K1738" s="1342"/>
    </row>
    <row r="1739" spans="2:11" ht="14" hidden="1">
      <c r="B1739" s="1342"/>
      <c r="C1739" s="1342"/>
      <c r="D1739" s="1342"/>
      <c r="E1739" s="1342"/>
      <c r="F1739" s="1342"/>
      <c r="G1739" s="1342"/>
      <c r="H1739" s="1342"/>
      <c r="I1739" s="1342"/>
      <c r="J1739" s="1342"/>
      <c r="K1739" s="1342"/>
    </row>
    <row r="1740" spans="2:11" ht="14" hidden="1">
      <c r="B1740" s="1342"/>
      <c r="C1740" s="1342"/>
      <c r="D1740" s="1342"/>
      <c r="E1740" s="1342"/>
      <c r="F1740" s="1342"/>
      <c r="G1740" s="1342"/>
      <c r="H1740" s="1342"/>
      <c r="I1740" s="1342"/>
      <c r="J1740" s="1342"/>
      <c r="K1740" s="1342"/>
    </row>
    <row r="1741" spans="2:11" ht="14" hidden="1">
      <c r="B1741" s="1342"/>
      <c r="C1741" s="1342"/>
      <c r="D1741" s="1342"/>
      <c r="E1741" s="1342"/>
      <c r="F1741" s="1342"/>
      <c r="G1741" s="1342"/>
      <c r="H1741" s="1342"/>
      <c r="I1741" s="1342"/>
      <c r="J1741" s="1342"/>
      <c r="K1741" s="1342"/>
    </row>
    <row r="1742" spans="2:11" ht="14" hidden="1">
      <c r="B1742" s="1342"/>
      <c r="C1742" s="1342"/>
      <c r="D1742" s="1342"/>
      <c r="E1742" s="1342"/>
      <c r="F1742" s="1342"/>
      <c r="G1742" s="1342"/>
      <c r="H1742" s="1342"/>
      <c r="I1742" s="1342"/>
      <c r="J1742" s="1342"/>
      <c r="K1742" s="1342"/>
    </row>
    <row r="1743" spans="2:11" ht="14" hidden="1">
      <c r="B1743" s="1342"/>
      <c r="C1743" s="1342"/>
      <c r="D1743" s="1342"/>
      <c r="E1743" s="1342"/>
      <c r="F1743" s="1342"/>
      <c r="G1743" s="1342"/>
      <c r="H1743" s="1342"/>
      <c r="I1743" s="1342"/>
      <c r="J1743" s="1342"/>
      <c r="K1743" s="1342"/>
    </row>
    <row r="1744" spans="2:11" ht="14" hidden="1">
      <c r="B1744" s="1342"/>
      <c r="C1744" s="1342"/>
      <c r="D1744" s="1342"/>
      <c r="E1744" s="1342"/>
      <c r="F1744" s="1342"/>
      <c r="G1744" s="1342"/>
      <c r="H1744" s="1342"/>
      <c r="I1744" s="1342"/>
      <c r="J1744" s="1342"/>
      <c r="K1744" s="1342"/>
    </row>
    <row r="1745" spans="2:11" ht="14" hidden="1">
      <c r="B1745" s="1342"/>
      <c r="C1745" s="1342"/>
      <c r="D1745" s="1342"/>
      <c r="E1745" s="1342"/>
      <c r="F1745" s="1342"/>
      <c r="G1745" s="1342"/>
      <c r="H1745" s="1342"/>
      <c r="I1745" s="1342"/>
      <c r="J1745" s="1342"/>
      <c r="K1745" s="1342"/>
    </row>
    <row r="1746" spans="2:11" ht="14" hidden="1">
      <c r="B1746" s="1342"/>
      <c r="C1746" s="1342"/>
      <c r="D1746" s="1342"/>
      <c r="E1746" s="1342"/>
      <c r="F1746" s="1342"/>
      <c r="G1746" s="1342"/>
      <c r="H1746" s="1342"/>
      <c r="I1746" s="1342"/>
      <c r="J1746" s="1342"/>
      <c r="K1746" s="1342"/>
    </row>
    <row r="1747" spans="2:11" ht="14" hidden="1">
      <c r="B1747" s="1342"/>
      <c r="C1747" s="1342"/>
      <c r="D1747" s="1342"/>
      <c r="E1747" s="1342"/>
      <c r="F1747" s="1342"/>
      <c r="G1747" s="1342"/>
      <c r="H1747" s="1342"/>
      <c r="I1747" s="1342"/>
      <c r="J1747" s="1342"/>
      <c r="K1747" s="1342"/>
    </row>
    <row r="1748" spans="2:11" ht="14" hidden="1">
      <c r="B1748" s="1342"/>
      <c r="C1748" s="1342"/>
      <c r="D1748" s="1342"/>
      <c r="E1748" s="1342"/>
      <c r="F1748" s="1342"/>
      <c r="G1748" s="1342"/>
      <c r="H1748" s="1342"/>
      <c r="I1748" s="1342"/>
      <c r="J1748" s="1342"/>
      <c r="K1748" s="1342"/>
    </row>
    <row r="1749" spans="2:11" ht="14" hidden="1">
      <c r="B1749" s="1342"/>
      <c r="C1749" s="1342"/>
      <c r="D1749" s="1342"/>
      <c r="E1749" s="1342"/>
      <c r="F1749" s="1342"/>
      <c r="G1749" s="1342"/>
      <c r="H1749" s="1342"/>
      <c r="I1749" s="1342"/>
      <c r="J1749" s="1342"/>
      <c r="K1749" s="1342"/>
    </row>
    <row r="1750" spans="2:11" ht="14" hidden="1">
      <c r="B1750" s="1342"/>
      <c r="C1750" s="1342"/>
      <c r="D1750" s="1342"/>
      <c r="E1750" s="1342"/>
      <c r="F1750" s="1342"/>
      <c r="G1750" s="1342"/>
      <c r="H1750" s="1342"/>
      <c r="I1750" s="1342"/>
      <c r="J1750" s="1342"/>
      <c r="K1750" s="1342"/>
    </row>
    <row r="1751" spans="2:11" ht="14" hidden="1">
      <c r="B1751" s="1342"/>
      <c r="C1751" s="1342"/>
      <c r="D1751" s="1342"/>
      <c r="E1751" s="1342"/>
      <c r="F1751" s="1342"/>
      <c r="G1751" s="1342"/>
      <c r="H1751" s="1342"/>
      <c r="I1751" s="1342"/>
      <c r="J1751" s="1342"/>
      <c r="K1751" s="1342"/>
    </row>
    <row r="1752" spans="2:11" ht="14" hidden="1">
      <c r="B1752" s="1342"/>
      <c r="C1752" s="1342"/>
      <c r="D1752" s="1342"/>
      <c r="E1752" s="1342"/>
      <c r="F1752" s="1342"/>
      <c r="G1752" s="1342"/>
      <c r="H1752" s="1342"/>
      <c r="I1752" s="1342"/>
      <c r="J1752" s="1342"/>
      <c r="K1752" s="1342"/>
    </row>
    <row r="1753" spans="2:11" ht="14" hidden="1">
      <c r="B1753" s="1342"/>
      <c r="C1753" s="1342"/>
      <c r="D1753" s="1342"/>
      <c r="E1753" s="1342"/>
      <c r="F1753" s="1342"/>
      <c r="G1753" s="1342"/>
      <c r="H1753" s="1342"/>
      <c r="I1753" s="1342"/>
      <c r="J1753" s="1342"/>
      <c r="K1753" s="1342"/>
    </row>
    <row r="1754" spans="2:11" ht="14" hidden="1">
      <c r="B1754" s="1342"/>
      <c r="C1754" s="1342"/>
      <c r="D1754" s="1342"/>
      <c r="E1754" s="1342"/>
      <c r="F1754" s="1342"/>
      <c r="G1754" s="1342"/>
      <c r="H1754" s="1342"/>
      <c r="I1754" s="1342"/>
      <c r="J1754" s="1342"/>
      <c r="K1754" s="1342"/>
    </row>
    <row r="1755" spans="2:11" ht="14" hidden="1">
      <c r="B1755" s="1342"/>
      <c r="C1755" s="1342"/>
      <c r="D1755" s="1342"/>
      <c r="E1755" s="1342"/>
      <c r="F1755" s="1342"/>
      <c r="G1755" s="1342"/>
      <c r="H1755" s="1342"/>
      <c r="I1755" s="1342"/>
      <c r="J1755" s="1342"/>
      <c r="K1755" s="1342"/>
    </row>
    <row r="1756" spans="2:11" ht="14" hidden="1">
      <c r="B1756" s="1342"/>
      <c r="C1756" s="1342"/>
      <c r="D1756" s="1342"/>
      <c r="E1756" s="1342"/>
      <c r="F1756" s="1342"/>
      <c r="G1756" s="1342"/>
      <c r="H1756" s="1342"/>
      <c r="I1756" s="1342"/>
      <c r="J1756" s="1342"/>
      <c r="K1756" s="1342"/>
    </row>
    <row r="1757" spans="2:11" ht="14" hidden="1">
      <c r="B1757" s="1342"/>
      <c r="C1757" s="1342"/>
      <c r="D1757" s="1342"/>
      <c r="E1757" s="1342"/>
      <c r="F1757" s="1342"/>
      <c r="G1757" s="1342"/>
      <c r="H1757" s="1342"/>
      <c r="I1757" s="1342"/>
      <c r="J1757" s="1342"/>
      <c r="K1757" s="1342"/>
    </row>
    <row r="1758" spans="2:11" ht="14" hidden="1">
      <c r="B1758" s="1342"/>
      <c r="C1758" s="1342"/>
      <c r="D1758" s="1342"/>
      <c r="E1758" s="1342"/>
      <c r="F1758" s="1342"/>
      <c r="G1758" s="1342"/>
      <c r="H1758" s="1342"/>
      <c r="I1758" s="1342"/>
      <c r="J1758" s="1342"/>
      <c r="K1758" s="1342"/>
    </row>
    <row r="1759" spans="2:11" ht="14" hidden="1">
      <c r="B1759" s="1342"/>
      <c r="C1759" s="1342"/>
      <c r="D1759" s="1342"/>
      <c r="E1759" s="1342"/>
      <c r="F1759" s="1342"/>
      <c r="G1759" s="1342"/>
      <c r="H1759" s="1342"/>
      <c r="I1759" s="1342"/>
      <c r="J1759" s="1342"/>
      <c r="K1759" s="1342"/>
    </row>
    <row r="1760" spans="2:11" ht="14" hidden="1">
      <c r="B1760" s="1342"/>
      <c r="C1760" s="1342"/>
      <c r="D1760" s="1342"/>
      <c r="E1760" s="1342"/>
      <c r="F1760" s="1342"/>
      <c r="G1760" s="1342"/>
      <c r="H1760" s="1342"/>
      <c r="I1760" s="1342"/>
      <c r="J1760" s="1342"/>
      <c r="K1760" s="1342"/>
    </row>
    <row r="1761" spans="2:11" ht="14" hidden="1">
      <c r="B1761" s="1342"/>
      <c r="C1761" s="1342"/>
      <c r="D1761" s="1342"/>
      <c r="E1761" s="1342"/>
      <c r="F1761" s="1342"/>
      <c r="G1761" s="1342"/>
      <c r="H1761" s="1342"/>
      <c r="I1761" s="1342"/>
      <c r="J1761" s="1342"/>
      <c r="K1761" s="1342"/>
    </row>
    <row r="1762" spans="2:11" ht="14" hidden="1">
      <c r="B1762" s="1342"/>
      <c r="C1762" s="1342"/>
      <c r="D1762" s="1342"/>
      <c r="E1762" s="1342"/>
      <c r="F1762" s="1342"/>
      <c r="G1762" s="1342"/>
      <c r="H1762" s="1342"/>
      <c r="I1762" s="1342"/>
      <c r="J1762" s="1342"/>
      <c r="K1762" s="1342"/>
    </row>
    <row r="1763" spans="2:11" ht="14" hidden="1">
      <c r="B1763" s="1342"/>
      <c r="C1763" s="1342"/>
      <c r="D1763" s="1342"/>
      <c r="E1763" s="1342"/>
      <c r="F1763" s="1342"/>
      <c r="G1763" s="1342"/>
      <c r="H1763" s="1342"/>
      <c r="I1763" s="1342"/>
      <c r="J1763" s="1342"/>
      <c r="K1763" s="1342"/>
    </row>
    <row r="1764" spans="2:11" ht="14" hidden="1">
      <c r="B1764" s="1342"/>
      <c r="C1764" s="1342"/>
      <c r="D1764" s="1342"/>
      <c r="E1764" s="1342"/>
      <c r="F1764" s="1342"/>
      <c r="G1764" s="1342"/>
      <c r="H1764" s="1342"/>
      <c r="I1764" s="1342"/>
      <c r="J1764" s="1342"/>
      <c r="K1764" s="1342"/>
    </row>
    <row r="1765" spans="2:11" ht="14" hidden="1">
      <c r="B1765" s="1342"/>
      <c r="C1765" s="1342"/>
      <c r="D1765" s="1342"/>
      <c r="E1765" s="1342"/>
      <c r="F1765" s="1342"/>
      <c r="G1765" s="1342"/>
      <c r="H1765" s="1342"/>
      <c r="I1765" s="1342"/>
      <c r="J1765" s="1342"/>
      <c r="K1765" s="1342"/>
    </row>
    <row r="1766" spans="2:11" ht="14" hidden="1">
      <c r="B1766" s="1342"/>
      <c r="C1766" s="1342"/>
      <c r="D1766" s="1342"/>
      <c r="E1766" s="1342"/>
      <c r="F1766" s="1342"/>
      <c r="G1766" s="1342"/>
      <c r="H1766" s="1342"/>
      <c r="I1766" s="1342"/>
      <c r="J1766" s="1342"/>
      <c r="K1766" s="1342"/>
    </row>
    <row r="1767" spans="2:11" ht="14" hidden="1">
      <c r="B1767" s="1342"/>
      <c r="C1767" s="1342"/>
      <c r="D1767" s="1342"/>
      <c r="E1767" s="1342"/>
      <c r="F1767" s="1342"/>
      <c r="G1767" s="1342"/>
      <c r="H1767" s="1342"/>
      <c r="I1767" s="1342"/>
      <c r="J1767" s="1342"/>
      <c r="K1767" s="1342"/>
    </row>
    <row r="1768" spans="2:11" ht="14" hidden="1">
      <c r="B1768" s="1342"/>
      <c r="C1768" s="1342"/>
      <c r="D1768" s="1342"/>
      <c r="E1768" s="1342"/>
      <c r="F1768" s="1342"/>
      <c r="G1768" s="1342"/>
      <c r="H1768" s="1342"/>
      <c r="I1768" s="1342"/>
      <c r="J1768" s="1342"/>
      <c r="K1768" s="1342"/>
    </row>
    <row r="1769" spans="2:11" ht="14" hidden="1">
      <c r="B1769" s="1342"/>
      <c r="C1769" s="1342"/>
      <c r="D1769" s="1342"/>
      <c r="E1769" s="1342"/>
      <c r="F1769" s="1342"/>
      <c r="G1769" s="1342"/>
      <c r="H1769" s="1342"/>
      <c r="I1769" s="1342"/>
      <c r="J1769" s="1342"/>
      <c r="K1769" s="1342"/>
    </row>
    <row r="1770" spans="2:11" ht="14" hidden="1">
      <c r="B1770" s="1342"/>
      <c r="C1770" s="1342"/>
      <c r="D1770" s="1342"/>
      <c r="E1770" s="1342"/>
      <c r="F1770" s="1342"/>
      <c r="G1770" s="1342"/>
      <c r="H1770" s="1342"/>
      <c r="I1770" s="1342"/>
      <c r="J1770" s="1342"/>
      <c r="K1770" s="1342"/>
    </row>
    <row r="1771" spans="2:11" ht="14" hidden="1">
      <c r="B1771" s="1342"/>
      <c r="C1771" s="1342"/>
      <c r="D1771" s="1342"/>
      <c r="E1771" s="1342"/>
      <c r="F1771" s="1342"/>
      <c r="G1771" s="1342"/>
      <c r="H1771" s="1342"/>
      <c r="I1771" s="1342"/>
      <c r="J1771" s="1342"/>
      <c r="K1771" s="1342"/>
    </row>
    <row r="1772" spans="2:11" ht="14" hidden="1">
      <c r="B1772" s="1342"/>
      <c r="C1772" s="1342"/>
      <c r="D1772" s="1342"/>
      <c r="E1772" s="1342"/>
      <c r="F1772" s="1342"/>
      <c r="G1772" s="1342"/>
      <c r="H1772" s="1342"/>
      <c r="I1772" s="1342"/>
      <c r="J1772" s="1342"/>
      <c r="K1772" s="1342"/>
    </row>
    <row r="1773" spans="2:11" ht="14" hidden="1">
      <c r="B1773" s="1342"/>
      <c r="C1773" s="1342"/>
      <c r="D1773" s="1342"/>
      <c r="E1773" s="1342"/>
      <c r="F1773" s="1342"/>
      <c r="G1773" s="1342"/>
      <c r="H1773" s="1342"/>
      <c r="I1773" s="1342"/>
      <c r="J1773" s="1342"/>
      <c r="K1773" s="1342"/>
    </row>
    <row r="1774" spans="2:11" ht="14" hidden="1">
      <c r="B1774" s="1342"/>
      <c r="C1774" s="1342"/>
      <c r="D1774" s="1342"/>
      <c r="E1774" s="1342"/>
      <c r="F1774" s="1342"/>
      <c r="G1774" s="1342"/>
      <c r="H1774" s="1342"/>
      <c r="I1774" s="1342"/>
      <c r="J1774" s="1342"/>
      <c r="K1774" s="1342"/>
    </row>
    <row r="1775" spans="2:11" ht="14" hidden="1">
      <c r="B1775" s="1342"/>
      <c r="C1775" s="1342"/>
      <c r="D1775" s="1342"/>
      <c r="E1775" s="1342"/>
      <c r="F1775" s="1342"/>
      <c r="G1775" s="1342"/>
      <c r="H1775" s="1342"/>
      <c r="I1775" s="1342"/>
      <c r="J1775" s="1342"/>
      <c r="K1775" s="1342"/>
    </row>
    <row r="1776" spans="2:11" ht="14" hidden="1">
      <c r="B1776" s="1342"/>
      <c r="C1776" s="1342"/>
      <c r="D1776" s="1342"/>
      <c r="E1776" s="1342"/>
      <c r="F1776" s="1342"/>
      <c r="G1776" s="1342"/>
      <c r="H1776" s="1342"/>
      <c r="I1776" s="1342"/>
      <c r="J1776" s="1342"/>
      <c r="K1776" s="1342"/>
    </row>
    <row r="1777" spans="2:11" ht="14" hidden="1">
      <c r="B1777" s="1342"/>
      <c r="C1777" s="1342"/>
      <c r="D1777" s="1342"/>
      <c r="E1777" s="1342"/>
      <c r="F1777" s="1342"/>
      <c r="G1777" s="1342"/>
      <c r="H1777" s="1342"/>
      <c r="I1777" s="1342"/>
      <c r="J1777" s="1342"/>
      <c r="K1777" s="1342"/>
    </row>
    <row r="1778" spans="2:11" ht="14" hidden="1">
      <c r="B1778" s="1342"/>
      <c r="C1778" s="1342"/>
      <c r="D1778" s="1342"/>
      <c r="E1778" s="1342"/>
      <c r="F1778" s="1342"/>
      <c r="G1778" s="1342"/>
      <c r="H1778" s="1342"/>
      <c r="I1778" s="1342"/>
      <c r="J1778" s="1342"/>
      <c r="K1778" s="1342"/>
    </row>
    <row r="1779" spans="2:11" ht="14" hidden="1">
      <c r="B1779" s="1342"/>
      <c r="C1779" s="1342"/>
      <c r="D1779" s="1342"/>
      <c r="E1779" s="1342"/>
      <c r="F1779" s="1342"/>
      <c r="G1779" s="1342"/>
      <c r="H1779" s="1342"/>
      <c r="I1779" s="1342"/>
      <c r="J1779" s="1342"/>
      <c r="K1779" s="1342"/>
    </row>
    <row r="1780" spans="2:11" ht="14" hidden="1">
      <c r="B1780" s="1342"/>
      <c r="C1780" s="1342"/>
      <c r="D1780" s="1342"/>
      <c r="E1780" s="1342"/>
      <c r="F1780" s="1342"/>
      <c r="G1780" s="1342"/>
      <c r="H1780" s="1342"/>
      <c r="I1780" s="1342"/>
      <c r="J1780" s="1342"/>
      <c r="K1780" s="1342"/>
    </row>
    <row r="1781" spans="2:11" ht="14" hidden="1">
      <c r="B1781" s="1342"/>
      <c r="C1781" s="1342"/>
      <c r="D1781" s="1342"/>
      <c r="E1781" s="1342"/>
      <c r="F1781" s="1342"/>
      <c r="G1781" s="1342"/>
      <c r="H1781" s="1342"/>
      <c r="I1781" s="1342"/>
      <c r="J1781" s="1342"/>
      <c r="K1781" s="1342"/>
    </row>
    <row r="1782" spans="2:11" ht="14" hidden="1">
      <c r="B1782" s="1342"/>
      <c r="C1782" s="1342"/>
      <c r="D1782" s="1342"/>
      <c r="E1782" s="1342"/>
      <c r="F1782" s="1342"/>
      <c r="G1782" s="1342"/>
      <c r="H1782" s="1342"/>
      <c r="I1782" s="1342"/>
      <c r="J1782" s="1342"/>
      <c r="K1782" s="1342"/>
    </row>
    <row r="1783" spans="2:11" ht="14" hidden="1">
      <c r="B1783" s="1342"/>
      <c r="C1783" s="1342"/>
      <c r="D1783" s="1342"/>
      <c r="E1783" s="1342"/>
      <c r="F1783" s="1342"/>
      <c r="G1783" s="1342"/>
      <c r="H1783" s="1342"/>
      <c r="I1783" s="1342"/>
      <c r="J1783" s="1342"/>
      <c r="K1783" s="1342"/>
    </row>
    <row r="1784" spans="2:11" ht="14" hidden="1">
      <c r="B1784" s="1342"/>
      <c r="C1784" s="1342"/>
      <c r="D1784" s="1342"/>
      <c r="E1784" s="1342"/>
      <c r="F1784" s="1342"/>
      <c r="G1784" s="1342"/>
      <c r="H1784" s="1342"/>
      <c r="I1784" s="1342"/>
      <c r="J1784" s="1342"/>
      <c r="K1784" s="1342"/>
    </row>
    <row r="1785" spans="2:11" ht="14" hidden="1">
      <c r="B1785" s="1342"/>
      <c r="C1785" s="1342"/>
      <c r="D1785" s="1342"/>
      <c r="E1785" s="1342"/>
      <c r="F1785" s="1342"/>
      <c r="G1785" s="1342"/>
      <c r="H1785" s="1342"/>
      <c r="I1785" s="1342"/>
      <c r="J1785" s="1342"/>
      <c r="K1785" s="1342"/>
    </row>
    <row r="1786" spans="2:11" ht="14" hidden="1">
      <c r="B1786" s="1342"/>
      <c r="C1786" s="1342"/>
      <c r="D1786" s="1342"/>
      <c r="E1786" s="1342"/>
      <c r="F1786" s="1342"/>
      <c r="G1786" s="1342"/>
      <c r="H1786" s="1342"/>
      <c r="I1786" s="1342"/>
      <c r="J1786" s="1342"/>
      <c r="K1786" s="1342"/>
    </row>
    <row r="1787" spans="2:11" ht="14" hidden="1">
      <c r="B1787" s="1342"/>
      <c r="C1787" s="1342"/>
      <c r="D1787" s="1342"/>
      <c r="E1787" s="1342"/>
      <c r="F1787" s="1342"/>
      <c r="G1787" s="1342"/>
      <c r="H1787" s="1342"/>
      <c r="I1787" s="1342"/>
      <c r="J1787" s="1342"/>
      <c r="K1787" s="1342"/>
    </row>
    <row r="1788" spans="2:11" ht="14" hidden="1">
      <c r="B1788" s="1342"/>
      <c r="C1788" s="1342"/>
      <c r="D1788" s="1342"/>
      <c r="E1788" s="1342"/>
      <c r="F1788" s="1342"/>
      <c r="G1788" s="1342"/>
      <c r="H1788" s="1342"/>
      <c r="I1788" s="1342"/>
      <c r="J1788" s="1342"/>
      <c r="K1788" s="1342"/>
    </row>
    <row r="1789" spans="2:11" ht="14" hidden="1">
      <c r="B1789" s="1342"/>
      <c r="C1789" s="1342"/>
      <c r="D1789" s="1342"/>
      <c r="E1789" s="1342"/>
      <c r="F1789" s="1342"/>
      <c r="G1789" s="1342"/>
      <c r="H1789" s="1342"/>
      <c r="I1789" s="1342"/>
      <c r="J1789" s="1342"/>
      <c r="K1789" s="1342"/>
    </row>
    <row r="1790" spans="2:11" ht="14" hidden="1">
      <c r="B1790" s="1342"/>
      <c r="C1790" s="1342"/>
      <c r="D1790" s="1342"/>
      <c r="E1790" s="1342"/>
      <c r="F1790" s="1342"/>
      <c r="G1790" s="1342"/>
      <c r="H1790" s="1342"/>
      <c r="I1790" s="1342"/>
      <c r="J1790" s="1342"/>
      <c r="K1790" s="1342"/>
    </row>
    <row r="1791" spans="2:11" ht="14" hidden="1">
      <c r="B1791" s="1342"/>
      <c r="C1791" s="1342"/>
      <c r="D1791" s="1342"/>
      <c r="E1791" s="1342"/>
      <c r="F1791" s="1342"/>
      <c r="G1791" s="1342"/>
      <c r="H1791" s="1342"/>
      <c r="I1791" s="1342"/>
      <c r="J1791" s="1342"/>
      <c r="K1791" s="1342"/>
    </row>
    <row r="1792" spans="2:11" ht="14" hidden="1">
      <c r="B1792" s="1342"/>
      <c r="C1792" s="1342"/>
      <c r="D1792" s="1342"/>
      <c r="E1792" s="1342"/>
      <c r="F1792" s="1342"/>
      <c r="G1792" s="1342"/>
      <c r="H1792" s="1342"/>
      <c r="I1792" s="1342"/>
      <c r="J1792" s="1342"/>
      <c r="K1792" s="1342"/>
    </row>
    <row r="1793" spans="2:11" ht="14" hidden="1">
      <c r="B1793" s="1342"/>
      <c r="C1793" s="1342"/>
      <c r="D1793" s="1342"/>
      <c r="E1793" s="1342"/>
      <c r="F1793" s="1342"/>
      <c r="G1793" s="1342"/>
      <c r="H1793" s="1342"/>
      <c r="I1793" s="1342"/>
      <c r="J1793" s="1342"/>
      <c r="K1793" s="1342"/>
    </row>
    <row r="1794" spans="2:11" ht="14" hidden="1">
      <c r="B1794" s="1342"/>
      <c r="C1794" s="1342"/>
      <c r="D1794" s="1342"/>
      <c r="E1794" s="1342"/>
      <c r="F1794" s="1342"/>
      <c r="G1794" s="1342"/>
      <c r="H1794" s="1342"/>
      <c r="I1794" s="1342"/>
      <c r="J1794" s="1342"/>
      <c r="K1794" s="1342"/>
    </row>
    <row r="1795" spans="2:11" ht="14" hidden="1">
      <c r="B1795" s="1342"/>
      <c r="C1795" s="1342"/>
      <c r="D1795" s="1342"/>
      <c r="E1795" s="1342"/>
      <c r="F1795" s="1342"/>
      <c r="G1795" s="1342"/>
      <c r="H1795" s="1342"/>
      <c r="I1795" s="1342"/>
      <c r="J1795" s="1342"/>
      <c r="K1795" s="1342"/>
    </row>
    <row r="1796" spans="2:11" ht="14" hidden="1">
      <c r="B1796" s="1342"/>
      <c r="C1796" s="1342"/>
      <c r="D1796" s="1342"/>
      <c r="E1796" s="1342"/>
      <c r="F1796" s="1342"/>
      <c r="G1796" s="1342"/>
      <c r="H1796" s="1342"/>
      <c r="I1796" s="1342"/>
      <c r="J1796" s="1342"/>
      <c r="K1796" s="1342"/>
    </row>
    <row r="1797" spans="2:11" ht="14" hidden="1">
      <c r="B1797" s="1342"/>
      <c r="C1797" s="1342"/>
      <c r="D1797" s="1342"/>
      <c r="E1797" s="1342"/>
      <c r="F1797" s="1342"/>
      <c r="G1797" s="1342"/>
      <c r="H1797" s="1342"/>
      <c r="I1797" s="1342"/>
      <c r="J1797" s="1342"/>
      <c r="K1797" s="1342"/>
    </row>
    <row r="1798" spans="2:11" ht="14" hidden="1">
      <c r="B1798" s="1342"/>
      <c r="C1798" s="1342"/>
      <c r="D1798" s="1342"/>
      <c r="E1798" s="1342"/>
      <c r="F1798" s="1342"/>
      <c r="G1798" s="1342"/>
      <c r="H1798" s="1342"/>
      <c r="I1798" s="1342"/>
      <c r="J1798" s="1342"/>
      <c r="K1798" s="1342"/>
    </row>
    <row r="1799" spans="2:11" ht="14" hidden="1">
      <c r="B1799" s="1342"/>
      <c r="C1799" s="1342"/>
      <c r="D1799" s="1342"/>
      <c r="E1799" s="1342"/>
      <c r="F1799" s="1342"/>
      <c r="G1799" s="1342"/>
      <c r="H1799" s="1342"/>
      <c r="I1799" s="1342"/>
      <c r="J1799" s="1342"/>
      <c r="K1799" s="1342"/>
    </row>
    <row r="1800" spans="2:11" ht="14" hidden="1">
      <c r="B1800" s="1342"/>
      <c r="C1800" s="1342"/>
      <c r="D1800" s="1342"/>
      <c r="E1800" s="1342"/>
      <c r="F1800" s="1342"/>
      <c r="G1800" s="1342"/>
      <c r="H1800" s="1342"/>
      <c r="I1800" s="1342"/>
      <c r="J1800" s="1342"/>
      <c r="K1800" s="1342"/>
    </row>
    <row r="1801" spans="2:11" ht="14" hidden="1">
      <c r="B1801" s="1342"/>
      <c r="C1801" s="1342"/>
      <c r="D1801" s="1342"/>
      <c r="E1801" s="1342"/>
      <c r="F1801" s="1342"/>
      <c r="G1801" s="1342"/>
      <c r="H1801" s="1342"/>
      <c r="I1801" s="1342"/>
      <c r="J1801" s="1342"/>
      <c r="K1801" s="1342"/>
    </row>
    <row r="1802" spans="2:11" ht="14" hidden="1">
      <c r="B1802" s="1342"/>
      <c r="C1802" s="1342"/>
      <c r="D1802" s="1342"/>
      <c r="E1802" s="1342"/>
      <c r="F1802" s="1342"/>
      <c r="G1802" s="1342"/>
      <c r="H1802" s="1342"/>
      <c r="I1802" s="1342"/>
      <c r="J1802" s="1342"/>
      <c r="K1802" s="1342"/>
    </row>
    <row r="1803" spans="2:11" ht="14" hidden="1">
      <c r="B1803" s="1342"/>
      <c r="C1803" s="1342"/>
      <c r="D1803" s="1342"/>
      <c r="E1803" s="1342"/>
      <c r="F1803" s="1342"/>
      <c r="G1803" s="1342"/>
      <c r="H1803" s="1342"/>
      <c r="I1803" s="1342"/>
      <c r="J1803" s="1342"/>
      <c r="K1803" s="1342"/>
    </row>
    <row r="1804" spans="2:11" ht="14" hidden="1">
      <c r="B1804" s="1342"/>
      <c r="C1804" s="1342"/>
      <c r="D1804" s="1342"/>
      <c r="E1804" s="1342"/>
      <c r="F1804" s="1342"/>
      <c r="G1804" s="1342"/>
      <c r="H1804" s="1342"/>
      <c r="I1804" s="1342"/>
      <c r="J1804" s="1342"/>
      <c r="K1804" s="1342"/>
    </row>
    <row r="1805" spans="2:11" ht="14" hidden="1">
      <c r="B1805" s="1342"/>
      <c r="C1805" s="1342"/>
      <c r="D1805" s="1342"/>
      <c r="E1805" s="1342"/>
      <c r="F1805" s="1342"/>
      <c r="G1805" s="1342"/>
      <c r="H1805" s="1342"/>
      <c r="I1805" s="1342"/>
      <c r="J1805" s="1342"/>
      <c r="K1805" s="1342"/>
    </row>
    <row r="1806" spans="2:11" ht="14" hidden="1">
      <c r="B1806" s="1342"/>
      <c r="C1806" s="1342"/>
      <c r="D1806" s="1342"/>
      <c r="E1806" s="1342"/>
      <c r="F1806" s="1342"/>
      <c r="G1806" s="1342"/>
      <c r="H1806" s="1342"/>
      <c r="I1806" s="1342"/>
      <c r="J1806" s="1342"/>
      <c r="K1806" s="1342"/>
    </row>
    <row r="1807" spans="2:11" ht="14" hidden="1">
      <c r="B1807" s="1342"/>
      <c r="C1807" s="1342"/>
      <c r="D1807" s="1342"/>
      <c r="E1807" s="1342"/>
      <c r="F1807" s="1342"/>
      <c r="G1807" s="1342"/>
      <c r="H1807" s="1342"/>
      <c r="I1807" s="1342"/>
      <c r="J1807" s="1342"/>
      <c r="K1807" s="1342"/>
    </row>
    <row r="1808" spans="2:11" ht="14" hidden="1">
      <c r="B1808" s="1342"/>
      <c r="C1808" s="1342"/>
      <c r="D1808" s="1342"/>
      <c r="E1808" s="1342"/>
      <c r="F1808" s="1342"/>
      <c r="G1808" s="1342"/>
      <c r="H1808" s="1342"/>
      <c r="I1808" s="1342"/>
      <c r="J1808" s="1342"/>
      <c r="K1808" s="1342"/>
    </row>
    <row r="1809" spans="2:11" ht="14" hidden="1">
      <c r="B1809" s="1342"/>
      <c r="C1809" s="1342"/>
      <c r="D1809" s="1342"/>
      <c r="E1809" s="1342"/>
      <c r="F1809" s="1342"/>
      <c r="G1809" s="1342"/>
      <c r="H1809" s="1342"/>
      <c r="I1809" s="1342"/>
      <c r="J1809" s="1342"/>
      <c r="K1809" s="1342"/>
    </row>
    <row r="1810" spans="2:11" ht="14" hidden="1">
      <c r="B1810" s="1342"/>
      <c r="C1810" s="1342"/>
      <c r="D1810" s="1342"/>
      <c r="E1810" s="1342"/>
      <c r="F1810" s="1342"/>
      <c r="G1810" s="1342"/>
      <c r="H1810" s="1342"/>
      <c r="I1810" s="1342"/>
      <c r="J1810" s="1342"/>
      <c r="K1810" s="1342"/>
    </row>
    <row r="1811" spans="2:11" ht="14" hidden="1">
      <c r="B1811" s="1342"/>
      <c r="C1811" s="1342"/>
      <c r="D1811" s="1342"/>
      <c r="E1811" s="1342"/>
      <c r="F1811" s="1342"/>
      <c r="G1811" s="1342"/>
      <c r="H1811" s="1342"/>
      <c r="I1811" s="1342"/>
      <c r="J1811" s="1342"/>
      <c r="K1811" s="1342"/>
    </row>
    <row r="1812" spans="2:11" ht="14" hidden="1">
      <c r="B1812" s="1342"/>
      <c r="C1812" s="1342"/>
      <c r="D1812" s="1342"/>
      <c r="E1812" s="1342"/>
      <c r="F1812" s="1342"/>
      <c r="G1812" s="1342"/>
      <c r="H1812" s="1342"/>
      <c r="I1812" s="1342"/>
      <c r="J1812" s="1342"/>
      <c r="K1812" s="1342"/>
    </row>
    <row r="1813" spans="2:11" ht="14" hidden="1">
      <c r="B1813" s="1342"/>
      <c r="C1813" s="1342"/>
      <c r="D1813" s="1342"/>
      <c r="E1813" s="1342"/>
      <c r="F1813" s="1342"/>
      <c r="G1813" s="1342"/>
      <c r="H1813" s="1342"/>
      <c r="I1813" s="1342"/>
      <c r="J1813" s="1342"/>
      <c r="K1813" s="1342"/>
    </row>
    <row r="1814" spans="2:11" ht="14" hidden="1">
      <c r="B1814" s="1342"/>
      <c r="C1814" s="1342"/>
      <c r="D1814" s="1342"/>
      <c r="E1814" s="1342"/>
      <c r="F1814" s="1342"/>
      <c r="G1814" s="1342"/>
      <c r="H1814" s="1342"/>
      <c r="I1814" s="1342"/>
      <c r="J1814" s="1342"/>
      <c r="K1814" s="1342"/>
    </row>
    <row r="1815" spans="2:11" ht="14" hidden="1">
      <c r="B1815" s="1342"/>
      <c r="C1815" s="1342"/>
      <c r="D1815" s="1342"/>
      <c r="E1815" s="1342"/>
      <c r="F1815" s="1342"/>
      <c r="G1815" s="1342"/>
      <c r="H1815" s="1342"/>
      <c r="I1815" s="1342"/>
      <c r="J1815" s="1342"/>
      <c r="K1815" s="1342"/>
    </row>
    <row r="1816" spans="2:11" ht="14" hidden="1">
      <c r="B1816" s="1342"/>
      <c r="C1816" s="1342"/>
      <c r="D1816" s="1342"/>
      <c r="E1816" s="1342"/>
      <c r="F1816" s="1342"/>
      <c r="G1816" s="1342"/>
      <c r="H1816" s="1342"/>
      <c r="I1816" s="1342"/>
      <c r="J1816" s="1342"/>
      <c r="K1816" s="1342"/>
    </row>
    <row r="1817" spans="2:11" ht="14" hidden="1">
      <c r="B1817" s="1342"/>
      <c r="C1817" s="1342"/>
      <c r="D1817" s="1342"/>
      <c r="E1817" s="1342"/>
      <c r="F1817" s="1342"/>
      <c r="G1817" s="1342"/>
      <c r="H1817" s="1342"/>
      <c r="I1817" s="1342"/>
      <c r="J1817" s="1342"/>
      <c r="K1817" s="1342"/>
    </row>
    <row r="1818" spans="2:11" ht="14" hidden="1">
      <c r="B1818" s="1342"/>
      <c r="C1818" s="1342"/>
      <c r="D1818" s="1342"/>
      <c r="E1818" s="1342"/>
      <c r="F1818" s="1342"/>
      <c r="G1818" s="1342"/>
      <c r="H1818" s="1342"/>
      <c r="I1818" s="1342"/>
      <c r="J1818" s="1342"/>
      <c r="K1818" s="1342"/>
    </row>
    <row r="1819" spans="2:11" ht="14" hidden="1">
      <c r="B1819" s="1342"/>
      <c r="C1819" s="1342"/>
      <c r="D1819" s="1342"/>
      <c r="E1819" s="1342"/>
      <c r="F1819" s="1342"/>
      <c r="G1819" s="1342"/>
      <c r="H1819" s="1342"/>
      <c r="I1819" s="1342"/>
      <c r="J1819" s="1342"/>
      <c r="K1819" s="1342"/>
    </row>
    <row r="1820" spans="2:11" ht="14" hidden="1">
      <c r="B1820" s="1342"/>
      <c r="C1820" s="1342"/>
      <c r="D1820" s="1342"/>
      <c r="E1820" s="1342"/>
      <c r="F1820" s="1342"/>
      <c r="G1820" s="1342"/>
      <c r="H1820" s="1342"/>
      <c r="I1820" s="1342"/>
      <c r="J1820" s="1342"/>
      <c r="K1820" s="1342"/>
    </row>
    <row r="1821" spans="2:11" ht="14" hidden="1">
      <c r="B1821" s="1342"/>
      <c r="C1821" s="1342"/>
      <c r="D1821" s="1342"/>
      <c r="E1821" s="1342"/>
      <c r="F1821" s="1342"/>
      <c r="G1821" s="1342"/>
      <c r="H1821" s="1342"/>
      <c r="I1821" s="1342"/>
      <c r="J1821" s="1342"/>
      <c r="K1821" s="1342"/>
    </row>
    <row r="1822" spans="2:11" ht="14" hidden="1">
      <c r="B1822" s="1342"/>
      <c r="C1822" s="1342"/>
      <c r="D1822" s="1342"/>
      <c r="E1822" s="1342"/>
      <c r="F1822" s="1342"/>
      <c r="G1822" s="1342"/>
      <c r="H1822" s="1342"/>
      <c r="I1822" s="1342"/>
      <c r="J1822" s="1342"/>
      <c r="K1822" s="1342"/>
    </row>
    <row r="1823" spans="2:11" ht="14" hidden="1">
      <c r="B1823" s="1342"/>
      <c r="C1823" s="1342"/>
      <c r="D1823" s="1342"/>
      <c r="E1823" s="1342"/>
      <c r="F1823" s="1342"/>
      <c r="G1823" s="1342"/>
      <c r="H1823" s="1342"/>
      <c r="I1823" s="1342"/>
      <c r="J1823" s="1342"/>
      <c r="K1823" s="1342"/>
    </row>
    <row r="1824" spans="2:11" ht="14" hidden="1">
      <c r="B1824" s="1342"/>
      <c r="C1824" s="1342"/>
      <c r="D1824" s="1342"/>
      <c r="E1824" s="1342"/>
      <c r="F1824" s="1342"/>
      <c r="G1824" s="1342"/>
      <c r="H1824" s="1342"/>
      <c r="I1824" s="1342"/>
      <c r="J1824" s="1342"/>
      <c r="K1824" s="1342"/>
    </row>
    <row r="1825" spans="2:11" ht="14" hidden="1">
      <c r="B1825" s="1342"/>
      <c r="C1825" s="1342"/>
      <c r="D1825" s="1342"/>
      <c r="E1825" s="1342"/>
      <c r="F1825" s="1342"/>
      <c r="G1825" s="1342"/>
      <c r="H1825" s="1342"/>
      <c r="I1825" s="1342"/>
      <c r="J1825" s="1342"/>
      <c r="K1825" s="1342"/>
    </row>
    <row r="1826" spans="2:11" ht="14" hidden="1">
      <c r="B1826" s="1342"/>
      <c r="C1826" s="1342"/>
      <c r="D1826" s="1342"/>
      <c r="E1826" s="1342"/>
      <c r="F1826" s="1342"/>
      <c r="G1826" s="1342"/>
      <c r="H1826" s="1342"/>
      <c r="I1826" s="1342"/>
      <c r="J1826" s="1342"/>
      <c r="K1826" s="1342"/>
    </row>
    <row r="1827" spans="2:11" ht="14" hidden="1">
      <c r="B1827" s="1342"/>
      <c r="C1827" s="1342"/>
      <c r="D1827" s="1342"/>
      <c r="E1827" s="1342"/>
      <c r="F1827" s="1342"/>
      <c r="G1827" s="1342"/>
      <c r="H1827" s="1342"/>
      <c r="I1827" s="1342"/>
      <c r="J1827" s="1342"/>
      <c r="K1827" s="1342"/>
    </row>
    <row r="1828" spans="2:11" ht="14" hidden="1">
      <c r="B1828" s="1342"/>
      <c r="C1828" s="1342"/>
      <c r="D1828" s="1342"/>
      <c r="E1828" s="1342"/>
      <c r="F1828" s="1342"/>
      <c r="G1828" s="1342"/>
      <c r="H1828" s="1342"/>
      <c r="I1828" s="1342"/>
      <c r="J1828" s="1342"/>
      <c r="K1828" s="1342"/>
    </row>
    <row r="1829" spans="2:11" ht="14" hidden="1">
      <c r="B1829" s="1342"/>
      <c r="C1829" s="1342"/>
      <c r="D1829" s="1342"/>
      <c r="E1829" s="1342"/>
      <c r="F1829" s="1342"/>
      <c r="G1829" s="1342"/>
      <c r="H1829" s="1342"/>
      <c r="I1829" s="1342"/>
      <c r="J1829" s="1342"/>
      <c r="K1829" s="1342"/>
    </row>
    <row r="1830" spans="2:11" ht="14" hidden="1">
      <c r="B1830" s="1342"/>
      <c r="C1830" s="1342"/>
      <c r="D1830" s="1342"/>
      <c r="E1830" s="1342"/>
      <c r="F1830" s="1342"/>
      <c r="G1830" s="1342"/>
      <c r="H1830" s="1342"/>
      <c r="I1830" s="1342"/>
      <c r="J1830" s="1342"/>
      <c r="K1830" s="1342"/>
    </row>
    <row r="1831" spans="2:11" ht="14" hidden="1">
      <c r="B1831" s="1342"/>
      <c r="C1831" s="1342"/>
      <c r="D1831" s="1342"/>
      <c r="E1831" s="1342"/>
      <c r="F1831" s="1342"/>
      <c r="G1831" s="1342"/>
      <c r="H1831" s="1342"/>
      <c r="I1831" s="1342"/>
      <c r="J1831" s="1342"/>
      <c r="K1831" s="1342"/>
    </row>
    <row r="1832" spans="2:11" ht="14" hidden="1">
      <c r="B1832" s="1342"/>
      <c r="C1832" s="1342"/>
      <c r="D1832" s="1342"/>
      <c r="E1832" s="1342"/>
      <c r="F1832" s="1342"/>
      <c r="G1832" s="1342"/>
      <c r="H1832" s="1342"/>
      <c r="I1832" s="1342"/>
      <c r="J1832" s="1342"/>
      <c r="K1832" s="1342"/>
    </row>
    <row r="1833" spans="2:11" ht="14" hidden="1">
      <c r="B1833" s="1342"/>
      <c r="C1833" s="1342"/>
      <c r="D1833" s="1342"/>
      <c r="E1833" s="1342"/>
      <c r="F1833" s="1342"/>
      <c r="G1833" s="1342"/>
      <c r="H1833" s="1342"/>
      <c r="I1833" s="1342"/>
      <c r="J1833" s="1342"/>
      <c r="K1833" s="1342"/>
    </row>
    <row r="1834" spans="2:11" ht="14" hidden="1">
      <c r="B1834" s="1342"/>
      <c r="C1834" s="1342"/>
      <c r="D1834" s="1342"/>
      <c r="E1834" s="1342"/>
      <c r="F1834" s="1342"/>
      <c r="G1834" s="1342"/>
      <c r="H1834" s="1342"/>
      <c r="I1834" s="1342"/>
      <c r="J1834" s="1342"/>
      <c r="K1834" s="1342"/>
    </row>
    <row r="1835" spans="2:11" ht="14" hidden="1">
      <c r="B1835" s="1342"/>
      <c r="C1835" s="1342"/>
      <c r="D1835" s="1342"/>
      <c r="E1835" s="1342"/>
      <c r="F1835" s="1342"/>
      <c r="G1835" s="1342"/>
      <c r="H1835" s="1342"/>
      <c r="I1835" s="1342"/>
      <c r="J1835" s="1342"/>
      <c r="K1835" s="1342"/>
    </row>
    <row r="1836" spans="2:11" ht="14" hidden="1">
      <c r="B1836" s="1342"/>
      <c r="C1836" s="1342"/>
      <c r="D1836" s="1342"/>
      <c r="E1836" s="1342"/>
      <c r="F1836" s="1342"/>
      <c r="G1836" s="1342"/>
      <c r="H1836" s="1342"/>
      <c r="I1836" s="1342"/>
      <c r="J1836" s="1342"/>
      <c r="K1836" s="1342"/>
    </row>
    <row r="1837" spans="2:11" ht="14" hidden="1">
      <c r="B1837" s="1342"/>
      <c r="C1837" s="1342"/>
      <c r="D1837" s="1342"/>
      <c r="E1837" s="1342"/>
      <c r="F1837" s="1342"/>
      <c r="G1837" s="1342"/>
      <c r="H1837" s="1342"/>
      <c r="I1837" s="1342"/>
      <c r="J1837" s="1342"/>
      <c r="K1837" s="1342"/>
    </row>
    <row r="1838" spans="2:11" ht="14" hidden="1">
      <c r="B1838" s="1342"/>
      <c r="C1838" s="1342"/>
      <c r="D1838" s="1342"/>
      <c r="E1838" s="1342"/>
      <c r="F1838" s="1342"/>
      <c r="G1838" s="1342"/>
      <c r="H1838" s="1342"/>
      <c r="I1838" s="1342"/>
      <c r="J1838" s="1342"/>
      <c r="K1838" s="1342"/>
    </row>
    <row r="1839" spans="2:11" ht="14" hidden="1">
      <c r="B1839" s="1342"/>
      <c r="C1839" s="1342"/>
      <c r="D1839" s="1342"/>
      <c r="E1839" s="1342"/>
      <c r="F1839" s="1342"/>
      <c r="G1839" s="1342"/>
      <c r="H1839" s="1342"/>
      <c r="I1839" s="1342"/>
      <c r="J1839" s="1342"/>
      <c r="K1839" s="1342"/>
    </row>
    <row r="1840" spans="2:11" ht="14" hidden="1">
      <c r="B1840" s="1342"/>
      <c r="C1840" s="1342"/>
      <c r="D1840" s="1342"/>
      <c r="E1840" s="1342"/>
      <c r="F1840" s="1342"/>
      <c r="G1840" s="1342"/>
      <c r="H1840" s="1342"/>
      <c r="I1840" s="1342"/>
      <c r="J1840" s="1342"/>
      <c r="K1840" s="1342"/>
    </row>
    <row r="1841" spans="2:11" ht="14" hidden="1">
      <c r="B1841" s="1342"/>
      <c r="C1841" s="1342"/>
      <c r="D1841" s="1342"/>
      <c r="E1841" s="1342"/>
      <c r="F1841" s="1342"/>
      <c r="G1841" s="1342"/>
      <c r="H1841" s="1342"/>
      <c r="I1841" s="1342"/>
      <c r="J1841" s="1342"/>
      <c r="K1841" s="1342"/>
    </row>
    <row r="1842" spans="2:11" ht="14" hidden="1">
      <c r="B1842" s="1342"/>
      <c r="C1842" s="1342"/>
      <c r="D1842" s="1342"/>
      <c r="E1842" s="1342"/>
      <c r="F1842" s="1342"/>
      <c r="G1842" s="1342"/>
      <c r="H1842" s="1342"/>
      <c r="I1842" s="1342"/>
      <c r="J1842" s="1342"/>
      <c r="K1842" s="1342"/>
    </row>
    <row r="1843" spans="2:11" ht="14" hidden="1">
      <c r="B1843" s="1342"/>
      <c r="C1843" s="1342"/>
      <c r="D1843" s="1342"/>
      <c r="E1843" s="1342"/>
      <c r="F1843" s="1342"/>
      <c r="G1843" s="1342"/>
      <c r="H1843" s="1342"/>
      <c r="I1843" s="1342"/>
      <c r="J1843" s="1342"/>
      <c r="K1843" s="1342"/>
    </row>
    <row r="1844" spans="2:11" ht="14" hidden="1">
      <c r="B1844" s="1342"/>
      <c r="C1844" s="1342"/>
      <c r="D1844" s="1342"/>
      <c r="E1844" s="1342"/>
      <c r="F1844" s="1342"/>
      <c r="G1844" s="1342"/>
      <c r="H1844" s="1342"/>
      <c r="I1844" s="1342"/>
      <c r="J1844" s="1342"/>
      <c r="K1844" s="1342"/>
    </row>
    <row r="1845" spans="2:11" ht="14" hidden="1">
      <c r="B1845" s="1342"/>
      <c r="C1845" s="1342"/>
      <c r="D1845" s="1342"/>
      <c r="E1845" s="1342"/>
      <c r="F1845" s="1342"/>
      <c r="G1845" s="1342"/>
      <c r="H1845" s="1342"/>
      <c r="I1845" s="1342"/>
      <c r="J1845" s="1342"/>
      <c r="K1845" s="1342"/>
    </row>
    <row r="1846" spans="2:11" ht="14" hidden="1">
      <c r="B1846" s="1342"/>
      <c r="C1846" s="1342"/>
      <c r="D1846" s="1342"/>
      <c r="E1846" s="1342"/>
      <c r="F1846" s="1342"/>
      <c r="G1846" s="1342"/>
      <c r="H1846" s="1342"/>
      <c r="I1846" s="1342"/>
      <c r="J1846" s="1342"/>
      <c r="K1846" s="1342"/>
    </row>
    <row r="1847" spans="2:11" ht="14" hidden="1">
      <c r="B1847" s="1342"/>
      <c r="C1847" s="1342"/>
      <c r="D1847" s="1342"/>
      <c r="E1847" s="1342"/>
      <c r="F1847" s="1342"/>
      <c r="G1847" s="1342"/>
      <c r="H1847" s="1342"/>
      <c r="I1847" s="1342"/>
      <c r="J1847" s="1342"/>
      <c r="K1847" s="1342"/>
    </row>
    <row r="1848" spans="2:11" ht="14" hidden="1">
      <c r="B1848" s="1342"/>
      <c r="C1848" s="1342"/>
      <c r="D1848" s="1342"/>
      <c r="E1848" s="1342"/>
      <c r="F1848" s="1342"/>
      <c r="G1848" s="1342"/>
      <c r="H1848" s="1342"/>
      <c r="I1848" s="1342"/>
      <c r="J1848" s="1342"/>
      <c r="K1848" s="1342"/>
    </row>
    <row r="1849" spans="2:11" ht="14" hidden="1">
      <c r="B1849" s="1342"/>
      <c r="C1849" s="1342"/>
      <c r="D1849" s="1342"/>
      <c r="E1849" s="1342"/>
      <c r="F1849" s="1342"/>
      <c r="G1849" s="1342"/>
      <c r="H1849" s="1342"/>
      <c r="I1849" s="1342"/>
      <c r="J1849" s="1342"/>
      <c r="K1849" s="1342"/>
    </row>
    <row r="1850" spans="2:11" ht="14" hidden="1">
      <c r="B1850" s="1342"/>
      <c r="C1850" s="1342"/>
      <c r="D1850" s="1342"/>
      <c r="E1850" s="1342"/>
      <c r="F1850" s="1342"/>
      <c r="G1850" s="1342"/>
      <c r="H1850" s="1342"/>
      <c r="I1850" s="1342"/>
      <c r="J1850" s="1342"/>
      <c r="K1850" s="1342"/>
    </row>
    <row r="1851" spans="2:11" ht="14" hidden="1">
      <c r="B1851" s="1342"/>
      <c r="C1851" s="1342"/>
      <c r="D1851" s="1342"/>
      <c r="E1851" s="1342"/>
      <c r="F1851" s="1342"/>
      <c r="G1851" s="1342"/>
      <c r="H1851" s="1342"/>
      <c r="I1851" s="1342"/>
      <c r="J1851" s="1342"/>
      <c r="K1851" s="1342"/>
    </row>
    <row r="1852" spans="2:11" ht="14" hidden="1">
      <c r="B1852" s="1342"/>
      <c r="C1852" s="1342"/>
      <c r="D1852" s="1342"/>
      <c r="E1852" s="1342"/>
      <c r="F1852" s="1342"/>
      <c r="G1852" s="1342"/>
      <c r="H1852" s="1342"/>
      <c r="I1852" s="1342"/>
      <c r="J1852" s="1342"/>
      <c r="K1852" s="1342"/>
    </row>
    <row r="1853" spans="2:11" ht="14" hidden="1">
      <c r="B1853" s="1342"/>
      <c r="C1853" s="1342"/>
      <c r="D1853" s="1342"/>
      <c r="E1853" s="1342"/>
      <c r="F1853" s="1342"/>
      <c r="G1853" s="1342"/>
      <c r="H1853" s="1342"/>
      <c r="I1853" s="1342"/>
      <c r="J1853" s="1342"/>
      <c r="K1853" s="1342"/>
    </row>
    <row r="1854" spans="2:11" ht="14" hidden="1">
      <c r="B1854" s="1342"/>
      <c r="C1854" s="1342"/>
      <c r="D1854" s="1342"/>
      <c r="E1854" s="1342"/>
      <c r="F1854" s="1342"/>
      <c r="G1854" s="1342"/>
      <c r="H1854" s="1342"/>
      <c r="I1854" s="1342"/>
      <c r="J1854" s="1342"/>
      <c r="K1854" s="1342"/>
    </row>
    <row r="1855" spans="2:11" ht="14" hidden="1">
      <c r="B1855" s="1342"/>
      <c r="C1855" s="1342"/>
      <c r="D1855" s="1342"/>
      <c r="E1855" s="1342"/>
      <c r="F1855" s="1342"/>
      <c r="G1855" s="1342"/>
      <c r="H1855" s="1342"/>
      <c r="I1855" s="1342"/>
      <c r="J1855" s="1342"/>
      <c r="K1855" s="1342"/>
    </row>
    <row r="1856" spans="2:11" ht="14" hidden="1">
      <c r="B1856" s="1342"/>
      <c r="C1856" s="1342"/>
      <c r="D1856" s="1342"/>
      <c r="E1856" s="1342"/>
      <c r="F1856" s="1342"/>
      <c r="G1856" s="1342"/>
      <c r="H1856" s="1342"/>
      <c r="I1856" s="1342"/>
      <c r="J1856" s="1342"/>
      <c r="K1856" s="1342"/>
    </row>
    <row r="1857" spans="2:11" ht="14" hidden="1">
      <c r="B1857" s="1342"/>
      <c r="C1857" s="1342"/>
      <c r="D1857" s="1342"/>
      <c r="E1857" s="1342"/>
      <c r="F1857" s="1342"/>
      <c r="G1857" s="1342"/>
      <c r="H1857" s="1342"/>
      <c r="I1857" s="1342"/>
      <c r="J1857" s="1342"/>
      <c r="K1857" s="1342"/>
    </row>
    <row r="1858" spans="2:11" ht="14" hidden="1">
      <c r="B1858" s="1342"/>
      <c r="C1858" s="1342"/>
      <c r="D1858" s="1342"/>
      <c r="E1858" s="1342"/>
      <c r="F1858" s="1342"/>
      <c r="G1858" s="1342"/>
      <c r="H1858" s="1342"/>
      <c r="I1858" s="1342"/>
      <c r="J1858" s="1342"/>
      <c r="K1858" s="1342"/>
    </row>
    <row r="1859" spans="2:11" ht="14" hidden="1">
      <c r="B1859" s="1342"/>
      <c r="C1859" s="1342"/>
      <c r="D1859" s="1342"/>
      <c r="E1859" s="1342"/>
      <c r="F1859" s="1342"/>
      <c r="G1859" s="1342"/>
      <c r="H1859" s="1342"/>
      <c r="I1859" s="1342"/>
      <c r="J1859" s="1342"/>
      <c r="K1859" s="1342"/>
    </row>
    <row r="1860" spans="2:11" ht="14" hidden="1">
      <c r="B1860" s="1342"/>
      <c r="C1860" s="1342"/>
      <c r="D1860" s="1342"/>
      <c r="E1860" s="1342"/>
      <c r="F1860" s="1342"/>
      <c r="G1860" s="1342"/>
      <c r="H1860" s="1342"/>
      <c r="I1860" s="1342"/>
      <c r="J1860" s="1342"/>
      <c r="K1860" s="1342"/>
    </row>
    <row r="1861" spans="2:11" ht="14" hidden="1">
      <c r="B1861" s="1342"/>
      <c r="C1861" s="1342"/>
      <c r="D1861" s="1342"/>
      <c r="E1861" s="1342"/>
      <c r="F1861" s="1342"/>
      <c r="G1861" s="1342"/>
      <c r="H1861" s="1342"/>
      <c r="I1861" s="1342"/>
      <c r="J1861" s="1342"/>
      <c r="K1861" s="1342"/>
    </row>
    <row r="1862" spans="2:11" ht="14" hidden="1">
      <c r="B1862" s="1342"/>
      <c r="C1862" s="1342"/>
      <c r="D1862" s="1342"/>
      <c r="E1862" s="1342"/>
      <c r="F1862" s="1342"/>
      <c r="G1862" s="1342"/>
      <c r="H1862" s="1342"/>
      <c r="I1862" s="1342"/>
      <c r="J1862" s="1342"/>
      <c r="K1862" s="1342"/>
    </row>
    <row r="1863" spans="2:11" ht="14" hidden="1">
      <c r="B1863" s="1342"/>
      <c r="C1863" s="1342"/>
      <c r="D1863" s="1342"/>
      <c r="E1863" s="1342"/>
      <c r="F1863" s="1342"/>
      <c r="G1863" s="1342"/>
      <c r="H1863" s="1342"/>
      <c r="I1863" s="1342"/>
      <c r="J1863" s="1342"/>
      <c r="K1863" s="1342"/>
    </row>
    <row r="1864" spans="2:11" ht="14" hidden="1">
      <c r="B1864" s="1342"/>
      <c r="C1864" s="1342"/>
      <c r="D1864" s="1342"/>
      <c r="E1864" s="1342"/>
      <c r="F1864" s="1342"/>
      <c r="G1864" s="1342"/>
      <c r="H1864" s="1342"/>
      <c r="I1864" s="1342"/>
      <c r="J1864" s="1342"/>
      <c r="K1864" s="1342"/>
    </row>
    <row r="1865" spans="2:11" ht="14" hidden="1">
      <c r="B1865" s="1342"/>
      <c r="C1865" s="1342"/>
      <c r="D1865" s="1342"/>
      <c r="E1865" s="1342"/>
      <c r="F1865" s="1342"/>
      <c r="G1865" s="1342"/>
      <c r="H1865" s="1342"/>
      <c r="I1865" s="1342"/>
      <c r="J1865" s="1342"/>
      <c r="K1865" s="1342"/>
    </row>
    <row r="1866" spans="2:11" ht="14" hidden="1">
      <c r="B1866" s="1342"/>
      <c r="C1866" s="1342"/>
      <c r="D1866" s="1342"/>
      <c r="E1866" s="1342"/>
      <c r="F1866" s="1342"/>
      <c r="G1866" s="1342"/>
      <c r="H1866" s="1342"/>
      <c r="I1866" s="1342"/>
      <c r="J1866" s="1342"/>
      <c r="K1866" s="1342"/>
    </row>
    <row r="1867" spans="2:11" ht="14" hidden="1">
      <c r="B1867" s="1342"/>
      <c r="C1867" s="1342"/>
      <c r="D1867" s="1342"/>
      <c r="E1867" s="1342"/>
      <c r="F1867" s="1342"/>
      <c r="G1867" s="1342"/>
      <c r="H1867" s="1342"/>
      <c r="I1867" s="1342"/>
      <c r="J1867" s="1342"/>
      <c r="K1867" s="1342"/>
    </row>
    <row r="1868" spans="2:11" ht="14" hidden="1">
      <c r="B1868" s="1342"/>
      <c r="C1868" s="1342"/>
      <c r="D1868" s="1342"/>
      <c r="E1868" s="1342"/>
      <c r="F1868" s="1342"/>
      <c r="G1868" s="1342"/>
      <c r="H1868" s="1342"/>
      <c r="I1868" s="1342"/>
      <c r="J1868" s="1342"/>
      <c r="K1868" s="1342"/>
    </row>
    <row r="1869" spans="2:11" ht="14" hidden="1">
      <c r="B1869" s="1342"/>
      <c r="C1869" s="1342"/>
      <c r="D1869" s="1342"/>
      <c r="E1869" s="1342"/>
      <c r="F1869" s="1342"/>
      <c r="G1869" s="1342"/>
      <c r="H1869" s="1342"/>
      <c r="I1869" s="1342"/>
      <c r="J1869" s="1342"/>
      <c r="K1869" s="1342"/>
    </row>
    <row r="1870" spans="2:11" ht="14" hidden="1">
      <c r="B1870" s="1342"/>
      <c r="C1870" s="1342"/>
      <c r="D1870" s="1342"/>
      <c r="E1870" s="1342"/>
      <c r="F1870" s="1342"/>
      <c r="G1870" s="1342"/>
      <c r="H1870" s="1342"/>
      <c r="I1870" s="1342"/>
      <c r="J1870" s="1342"/>
      <c r="K1870" s="1342"/>
    </row>
    <row r="1871" spans="2:11" ht="14" hidden="1">
      <c r="B1871" s="1342"/>
      <c r="C1871" s="1342"/>
      <c r="D1871" s="1342"/>
      <c r="E1871" s="1342"/>
      <c r="F1871" s="1342"/>
      <c r="G1871" s="1342"/>
      <c r="H1871" s="1342"/>
      <c r="I1871" s="1342"/>
      <c r="J1871" s="1342"/>
      <c r="K1871" s="1342"/>
    </row>
    <row r="1872" spans="2:11" ht="14" hidden="1">
      <c r="B1872" s="1342"/>
      <c r="C1872" s="1342"/>
      <c r="D1872" s="1342"/>
      <c r="E1872" s="1342"/>
      <c r="F1872" s="1342"/>
      <c r="G1872" s="1342"/>
      <c r="H1872" s="1342"/>
      <c r="I1872" s="1342"/>
      <c r="J1872" s="1342"/>
      <c r="K1872" s="1342"/>
    </row>
    <row r="1873" spans="2:11" ht="14" hidden="1">
      <c r="B1873" s="1342"/>
      <c r="C1873" s="1342"/>
      <c r="D1873" s="1342"/>
      <c r="E1873" s="1342"/>
      <c r="F1873" s="1342"/>
      <c r="G1873" s="1342"/>
      <c r="H1873" s="1342"/>
      <c r="I1873" s="1342"/>
      <c r="J1873" s="1342"/>
      <c r="K1873" s="1342"/>
    </row>
    <row r="1874" spans="2:11" ht="14" hidden="1">
      <c r="B1874" s="1342"/>
      <c r="C1874" s="1342"/>
      <c r="D1874" s="1342"/>
      <c r="E1874" s="1342"/>
      <c r="F1874" s="1342"/>
      <c r="G1874" s="1342"/>
      <c r="H1874" s="1342"/>
      <c r="I1874" s="1342"/>
      <c r="J1874" s="1342"/>
      <c r="K1874" s="1342"/>
    </row>
    <row r="1875" spans="2:11" ht="14" hidden="1">
      <c r="B1875" s="1342"/>
      <c r="C1875" s="1342"/>
      <c r="D1875" s="1342"/>
      <c r="E1875" s="1342"/>
      <c r="F1875" s="1342"/>
      <c r="G1875" s="1342"/>
      <c r="H1875" s="1342"/>
      <c r="I1875" s="1342"/>
      <c r="J1875" s="1342"/>
      <c r="K1875" s="1342"/>
    </row>
    <row r="1876" spans="2:11" ht="14" hidden="1">
      <c r="B1876" s="1342"/>
      <c r="C1876" s="1342"/>
      <c r="D1876" s="1342"/>
      <c r="E1876" s="1342"/>
      <c r="F1876" s="1342"/>
      <c r="G1876" s="1342"/>
      <c r="H1876" s="1342"/>
      <c r="I1876" s="1342"/>
      <c r="J1876" s="1342"/>
      <c r="K1876" s="1342"/>
    </row>
    <row r="1877" spans="2:11" ht="14" hidden="1">
      <c r="B1877" s="1342"/>
      <c r="C1877" s="1342"/>
      <c r="D1877" s="1342"/>
      <c r="E1877" s="1342"/>
      <c r="F1877" s="1342"/>
      <c r="G1877" s="1342"/>
      <c r="H1877" s="1342"/>
      <c r="I1877" s="1342"/>
      <c r="J1877" s="1342"/>
      <c r="K1877" s="1342"/>
    </row>
    <row r="1878" spans="2:11" ht="14" hidden="1">
      <c r="B1878" s="1342"/>
      <c r="C1878" s="1342"/>
      <c r="D1878" s="1342"/>
      <c r="E1878" s="1342"/>
      <c r="F1878" s="1342"/>
      <c r="G1878" s="1342"/>
      <c r="H1878" s="1342"/>
      <c r="I1878" s="1342"/>
      <c r="J1878" s="1342"/>
      <c r="K1878" s="1342"/>
    </row>
    <row r="1879" spans="2:11" ht="14" hidden="1">
      <c r="B1879" s="1342"/>
      <c r="C1879" s="1342"/>
      <c r="D1879" s="1342"/>
      <c r="E1879" s="1342"/>
      <c r="F1879" s="1342"/>
      <c r="G1879" s="1342"/>
      <c r="H1879" s="1342"/>
      <c r="I1879" s="1342"/>
      <c r="J1879" s="1342"/>
      <c r="K1879" s="1342"/>
    </row>
    <row r="1880" spans="2:11" ht="14" hidden="1">
      <c r="B1880" s="1342"/>
      <c r="C1880" s="1342"/>
      <c r="D1880" s="1342"/>
      <c r="E1880" s="1342"/>
      <c r="F1880" s="1342"/>
      <c r="G1880" s="1342"/>
      <c r="H1880" s="1342"/>
      <c r="I1880" s="1342"/>
      <c r="J1880" s="1342"/>
      <c r="K1880" s="1342"/>
    </row>
    <row r="1881" spans="2:11" ht="14" hidden="1">
      <c r="B1881" s="1342"/>
      <c r="C1881" s="1342"/>
      <c r="D1881" s="1342"/>
      <c r="E1881" s="1342"/>
      <c r="F1881" s="1342"/>
      <c r="G1881" s="1342"/>
      <c r="H1881" s="1342"/>
      <c r="I1881" s="1342"/>
      <c r="J1881" s="1342"/>
      <c r="K1881" s="1342"/>
    </row>
    <row r="1882" spans="2:11" ht="14" hidden="1">
      <c r="B1882" s="1342"/>
      <c r="C1882" s="1342"/>
      <c r="D1882" s="1342"/>
      <c r="E1882" s="1342"/>
      <c r="F1882" s="1342"/>
      <c r="G1882" s="1342"/>
      <c r="H1882" s="1342"/>
      <c r="I1882" s="1342"/>
      <c r="J1882" s="1342"/>
      <c r="K1882" s="1342"/>
    </row>
    <row r="1883" spans="2:11" ht="14" hidden="1">
      <c r="B1883" s="1342"/>
      <c r="C1883" s="1342"/>
      <c r="D1883" s="1342"/>
      <c r="E1883" s="1342"/>
      <c r="F1883" s="1342"/>
      <c r="G1883" s="1342"/>
      <c r="H1883" s="1342"/>
      <c r="I1883" s="1342"/>
      <c r="J1883" s="1342"/>
      <c r="K1883" s="1342"/>
    </row>
    <row r="1884" spans="2:11" ht="14" hidden="1">
      <c r="B1884" s="1342"/>
      <c r="C1884" s="1342"/>
      <c r="D1884" s="1342"/>
      <c r="E1884" s="1342"/>
      <c r="F1884" s="1342"/>
      <c r="G1884" s="1342"/>
      <c r="H1884" s="1342"/>
      <c r="I1884" s="1342"/>
      <c r="J1884" s="1342"/>
      <c r="K1884" s="1342"/>
    </row>
    <row r="1885" spans="2:11" ht="14" hidden="1">
      <c r="B1885" s="1342"/>
      <c r="C1885" s="1342"/>
      <c r="D1885" s="1342"/>
      <c r="E1885" s="1342"/>
      <c r="F1885" s="1342"/>
      <c r="G1885" s="1342"/>
      <c r="H1885" s="1342"/>
      <c r="I1885" s="1342"/>
      <c r="J1885" s="1342"/>
      <c r="K1885" s="1342"/>
    </row>
    <row r="1886" spans="2:11" ht="14" hidden="1">
      <c r="B1886" s="1342"/>
      <c r="C1886" s="1342"/>
      <c r="D1886" s="1342"/>
      <c r="E1886" s="1342"/>
      <c r="F1886" s="1342"/>
      <c r="G1886" s="1342"/>
      <c r="H1886" s="1342"/>
      <c r="I1886" s="1342"/>
      <c r="J1886" s="1342"/>
      <c r="K1886" s="1342"/>
    </row>
    <row r="1887" spans="2:11" ht="14" hidden="1">
      <c r="B1887" s="1342"/>
      <c r="C1887" s="1342"/>
      <c r="D1887" s="1342"/>
      <c r="E1887" s="1342"/>
      <c r="F1887" s="1342"/>
      <c r="G1887" s="1342"/>
      <c r="H1887" s="1342"/>
      <c r="I1887" s="1342"/>
      <c r="J1887" s="1342"/>
      <c r="K1887" s="1342"/>
    </row>
    <row r="1888" spans="2:11" ht="14" hidden="1">
      <c r="B1888" s="1342"/>
      <c r="C1888" s="1342"/>
      <c r="D1888" s="1342"/>
      <c r="E1888" s="1342"/>
      <c r="F1888" s="1342"/>
      <c r="G1888" s="1342"/>
      <c r="H1888" s="1342"/>
      <c r="I1888" s="1342"/>
      <c r="J1888" s="1342"/>
      <c r="K1888" s="1342"/>
    </row>
    <row r="1889" spans="2:11" ht="14" hidden="1">
      <c r="B1889" s="1342"/>
      <c r="C1889" s="1342"/>
      <c r="D1889" s="1342"/>
      <c r="E1889" s="1342"/>
      <c r="F1889" s="1342"/>
      <c r="G1889" s="1342"/>
      <c r="H1889" s="1342"/>
      <c r="I1889" s="1342"/>
      <c r="J1889" s="1342"/>
      <c r="K1889" s="1342"/>
    </row>
    <row r="1890" spans="2:11" ht="14" hidden="1">
      <c r="B1890" s="1342"/>
      <c r="C1890" s="1342"/>
      <c r="D1890" s="1342"/>
      <c r="E1890" s="1342"/>
      <c r="F1890" s="1342"/>
      <c r="G1890" s="1342"/>
      <c r="H1890" s="1342"/>
      <c r="I1890" s="1342"/>
      <c r="J1890" s="1342"/>
      <c r="K1890" s="1342"/>
    </row>
    <row r="1891" spans="2:11" ht="14" hidden="1">
      <c r="B1891" s="1342"/>
      <c r="C1891" s="1342"/>
      <c r="D1891" s="1342"/>
      <c r="E1891" s="1342"/>
      <c r="F1891" s="1342"/>
      <c r="G1891" s="1342"/>
      <c r="H1891" s="1342"/>
      <c r="I1891" s="1342"/>
      <c r="J1891" s="1342"/>
      <c r="K1891" s="1342"/>
    </row>
    <row r="1892" spans="2:11" ht="14" hidden="1">
      <c r="B1892" s="1342"/>
      <c r="C1892" s="1342"/>
      <c r="D1892" s="1342"/>
      <c r="E1892" s="1342"/>
      <c r="F1892" s="1342"/>
      <c r="G1892" s="1342"/>
      <c r="H1892" s="1342"/>
      <c r="I1892" s="1342"/>
      <c r="J1892" s="1342"/>
      <c r="K1892" s="1342"/>
    </row>
    <row r="1893" spans="2:11" ht="14" hidden="1">
      <c r="B1893" s="1342"/>
      <c r="C1893" s="1342"/>
      <c r="D1893" s="1342"/>
      <c r="E1893" s="1342"/>
      <c r="F1893" s="1342"/>
      <c r="G1893" s="1342"/>
      <c r="H1893" s="1342"/>
      <c r="I1893" s="1342"/>
      <c r="J1893" s="1342"/>
      <c r="K1893" s="1342"/>
    </row>
    <row r="1894" spans="2:11" ht="14" hidden="1">
      <c r="B1894" s="1342"/>
      <c r="C1894" s="1342"/>
      <c r="D1894" s="1342"/>
      <c r="E1894" s="1342"/>
      <c r="F1894" s="1342"/>
      <c r="G1894" s="1342"/>
      <c r="H1894" s="1342"/>
      <c r="I1894" s="1342"/>
      <c r="J1894" s="1342"/>
      <c r="K1894" s="1342"/>
    </row>
    <row r="1895" spans="2:11" ht="14" hidden="1">
      <c r="B1895" s="1342"/>
      <c r="C1895" s="1342"/>
      <c r="D1895" s="1342"/>
      <c r="E1895" s="1342"/>
      <c r="F1895" s="1342"/>
      <c r="G1895" s="1342"/>
      <c r="H1895" s="1342"/>
      <c r="I1895" s="1342"/>
      <c r="J1895" s="1342"/>
      <c r="K1895" s="1342"/>
    </row>
    <row r="1896" spans="2:11" ht="14" hidden="1">
      <c r="B1896" s="1342"/>
      <c r="C1896" s="1342"/>
      <c r="D1896" s="1342"/>
      <c r="E1896" s="1342"/>
      <c r="F1896" s="1342"/>
      <c r="G1896" s="1342"/>
      <c r="H1896" s="1342"/>
      <c r="I1896" s="1342"/>
      <c r="J1896" s="1342"/>
      <c r="K1896" s="1342"/>
    </row>
    <row r="1897" spans="2:11" ht="14" hidden="1">
      <c r="B1897" s="1342"/>
      <c r="C1897" s="1342"/>
      <c r="D1897" s="1342"/>
      <c r="E1897" s="1342"/>
      <c r="F1897" s="1342"/>
      <c r="G1897" s="1342"/>
      <c r="H1897" s="1342"/>
      <c r="I1897" s="1342"/>
      <c r="J1897" s="1342"/>
      <c r="K1897" s="1342"/>
    </row>
    <row r="1898" spans="2:11" ht="14" hidden="1">
      <c r="B1898" s="1342"/>
      <c r="C1898" s="1342"/>
      <c r="D1898" s="1342"/>
      <c r="E1898" s="1342"/>
      <c r="F1898" s="1342"/>
      <c r="G1898" s="1342"/>
      <c r="H1898" s="1342"/>
      <c r="I1898" s="1342"/>
      <c r="J1898" s="1342"/>
      <c r="K1898" s="1342"/>
    </row>
    <row r="1899" spans="2:11" ht="14" hidden="1">
      <c r="B1899" s="1342"/>
      <c r="C1899" s="1342"/>
      <c r="D1899" s="1342"/>
      <c r="E1899" s="1342"/>
      <c r="F1899" s="1342"/>
      <c r="G1899" s="1342"/>
      <c r="H1899" s="1342"/>
      <c r="I1899" s="1342"/>
      <c r="J1899" s="1342"/>
      <c r="K1899" s="1342"/>
    </row>
    <row r="1900" spans="2:11" ht="14" hidden="1">
      <c r="B1900" s="1342"/>
      <c r="C1900" s="1342"/>
      <c r="D1900" s="1342"/>
      <c r="E1900" s="1342"/>
      <c r="F1900" s="1342"/>
      <c r="G1900" s="1342"/>
      <c r="H1900" s="1342"/>
      <c r="I1900" s="1342"/>
      <c r="J1900" s="1342"/>
      <c r="K1900" s="1342"/>
    </row>
    <row r="1901" spans="2:11" ht="14" hidden="1">
      <c r="B1901" s="1342"/>
      <c r="C1901" s="1342"/>
      <c r="D1901" s="1342"/>
      <c r="E1901" s="1342"/>
      <c r="F1901" s="1342"/>
      <c r="G1901" s="1342"/>
      <c r="H1901" s="1342"/>
      <c r="I1901" s="1342"/>
      <c r="J1901" s="1342"/>
      <c r="K1901" s="1342"/>
    </row>
    <row r="1902" spans="2:11" ht="14" hidden="1">
      <c r="B1902" s="1342"/>
      <c r="C1902" s="1342"/>
      <c r="D1902" s="1342"/>
      <c r="E1902" s="1342"/>
      <c r="F1902" s="1342"/>
      <c r="G1902" s="1342"/>
      <c r="H1902" s="1342"/>
      <c r="I1902" s="1342"/>
      <c r="J1902" s="1342"/>
      <c r="K1902" s="1342"/>
    </row>
    <row r="1903" spans="2:11" ht="14" hidden="1">
      <c r="B1903" s="1342"/>
      <c r="C1903" s="1342"/>
      <c r="D1903" s="1342"/>
      <c r="E1903" s="1342"/>
      <c r="F1903" s="1342"/>
      <c r="G1903" s="1342"/>
      <c r="H1903" s="1342"/>
      <c r="I1903" s="1342"/>
      <c r="J1903" s="1342"/>
      <c r="K1903" s="1342"/>
    </row>
    <row r="1904" spans="2:11" ht="14" hidden="1">
      <c r="B1904" s="1342"/>
      <c r="C1904" s="1342"/>
      <c r="D1904" s="1342"/>
      <c r="E1904" s="1342"/>
      <c r="F1904" s="1342"/>
      <c r="G1904" s="1342"/>
      <c r="H1904" s="1342"/>
      <c r="I1904" s="1342"/>
      <c r="J1904" s="1342"/>
      <c r="K1904" s="1342"/>
    </row>
    <row r="1905" spans="2:11" ht="14" hidden="1">
      <c r="B1905" s="1342"/>
      <c r="C1905" s="1342"/>
      <c r="D1905" s="1342"/>
      <c r="E1905" s="1342"/>
      <c r="F1905" s="1342"/>
      <c r="G1905" s="1342"/>
      <c r="H1905" s="1342"/>
      <c r="I1905" s="1342"/>
      <c r="J1905" s="1342"/>
      <c r="K1905" s="1342"/>
    </row>
    <row r="1906" spans="2:11" ht="14" hidden="1">
      <c r="B1906" s="1342"/>
      <c r="C1906" s="1342"/>
      <c r="D1906" s="1342"/>
      <c r="E1906" s="1342"/>
      <c r="F1906" s="1342"/>
      <c r="G1906" s="1342"/>
      <c r="H1906" s="1342"/>
      <c r="I1906" s="1342"/>
      <c r="J1906" s="1342"/>
      <c r="K1906" s="1342"/>
    </row>
    <row r="1907" spans="2:11" ht="14" hidden="1">
      <c r="B1907" s="1342"/>
      <c r="C1907" s="1342"/>
      <c r="D1907" s="1342"/>
      <c r="E1907" s="1342"/>
      <c r="F1907" s="1342"/>
      <c r="G1907" s="1342"/>
      <c r="H1907" s="1342"/>
      <c r="I1907" s="1342"/>
      <c r="J1907" s="1342"/>
      <c r="K1907" s="1342"/>
    </row>
    <row r="1908" spans="2:11" ht="14" hidden="1">
      <c r="B1908" s="1342"/>
      <c r="C1908" s="1342"/>
      <c r="D1908" s="1342"/>
      <c r="E1908" s="1342"/>
      <c r="F1908" s="1342"/>
      <c r="G1908" s="1342"/>
      <c r="H1908" s="1342"/>
      <c r="I1908" s="1342"/>
      <c r="J1908" s="1342"/>
      <c r="K1908" s="1342"/>
    </row>
    <row r="1909" spans="2:11" ht="14" hidden="1">
      <c r="B1909" s="1342"/>
      <c r="C1909" s="1342"/>
      <c r="D1909" s="1342"/>
      <c r="E1909" s="1342"/>
      <c r="F1909" s="1342"/>
      <c r="G1909" s="1342"/>
      <c r="H1909" s="1342"/>
      <c r="I1909" s="1342"/>
      <c r="J1909" s="1342"/>
      <c r="K1909" s="1342"/>
    </row>
    <row r="1910" spans="2:11" ht="14" hidden="1">
      <c r="B1910" s="1342"/>
      <c r="C1910" s="1342"/>
      <c r="D1910" s="1342"/>
      <c r="E1910" s="1342"/>
      <c r="F1910" s="1342"/>
      <c r="G1910" s="1342"/>
      <c r="H1910" s="1342"/>
      <c r="I1910" s="1342"/>
      <c r="J1910" s="1342"/>
      <c r="K1910" s="1342"/>
    </row>
    <row r="1911" spans="2:11" ht="14" hidden="1">
      <c r="B1911" s="1342"/>
      <c r="C1911" s="1342"/>
      <c r="D1911" s="1342"/>
      <c r="E1911" s="1342"/>
      <c r="F1911" s="1342"/>
      <c r="G1911" s="1342"/>
      <c r="H1911" s="1342"/>
      <c r="I1911" s="1342"/>
      <c r="J1911" s="1342"/>
      <c r="K1911" s="1342"/>
    </row>
    <row r="1912" spans="2:11" ht="14" hidden="1">
      <c r="B1912" s="1342"/>
      <c r="C1912" s="1342"/>
      <c r="D1912" s="1342"/>
      <c r="E1912" s="1342"/>
      <c r="F1912" s="1342"/>
      <c r="G1912" s="1342"/>
      <c r="H1912" s="1342"/>
      <c r="I1912" s="1342"/>
      <c r="J1912" s="1342"/>
      <c r="K1912" s="1342"/>
    </row>
    <row r="1913" spans="2:11" ht="14" hidden="1">
      <c r="B1913" s="1342"/>
      <c r="C1913" s="1342"/>
      <c r="D1913" s="1342"/>
      <c r="E1913" s="1342"/>
      <c r="F1913" s="1342"/>
      <c r="G1913" s="1342"/>
      <c r="H1913" s="1342"/>
      <c r="I1913" s="1342"/>
      <c r="J1913" s="1342"/>
      <c r="K1913" s="1342"/>
    </row>
    <row r="1914" spans="2:11" ht="14" hidden="1">
      <c r="B1914" s="1342"/>
      <c r="C1914" s="1342"/>
      <c r="D1914" s="1342"/>
      <c r="E1914" s="1342"/>
      <c r="F1914" s="1342"/>
      <c r="G1914" s="1342"/>
      <c r="H1914" s="1342"/>
      <c r="I1914" s="1342"/>
      <c r="J1914" s="1342"/>
      <c r="K1914" s="1342"/>
    </row>
    <row r="1915" spans="2:11" ht="14" hidden="1">
      <c r="B1915" s="1342"/>
      <c r="C1915" s="1342"/>
      <c r="D1915" s="1342"/>
      <c r="E1915" s="1342"/>
      <c r="F1915" s="1342"/>
      <c r="G1915" s="1342"/>
      <c r="H1915" s="1342"/>
      <c r="I1915" s="1342"/>
      <c r="J1915" s="1342"/>
      <c r="K1915" s="1342"/>
    </row>
    <row r="1916" spans="2:11" ht="14" hidden="1">
      <c r="B1916" s="1342"/>
      <c r="C1916" s="1342"/>
      <c r="D1916" s="1342"/>
      <c r="E1916" s="1342"/>
      <c r="F1916" s="1342"/>
      <c r="G1916" s="1342"/>
      <c r="H1916" s="1342"/>
      <c r="I1916" s="1342"/>
      <c r="J1916" s="1342"/>
      <c r="K1916" s="1342"/>
    </row>
    <row r="1917" spans="2:11" ht="14" hidden="1">
      <c r="B1917" s="1342"/>
      <c r="C1917" s="1342"/>
      <c r="D1917" s="1342"/>
      <c r="E1917" s="1342"/>
      <c r="F1917" s="1342"/>
      <c r="G1917" s="1342"/>
      <c r="H1917" s="1342"/>
      <c r="I1917" s="1342"/>
      <c r="J1917" s="1342"/>
      <c r="K1917" s="1342"/>
    </row>
    <row r="1918" spans="2:11" ht="14" hidden="1">
      <c r="B1918" s="1342"/>
      <c r="C1918" s="1342"/>
      <c r="D1918" s="1342"/>
      <c r="E1918" s="1342"/>
      <c r="F1918" s="1342"/>
      <c r="G1918" s="1342"/>
      <c r="H1918" s="1342"/>
      <c r="I1918" s="1342"/>
      <c r="J1918" s="1342"/>
      <c r="K1918" s="1342"/>
    </row>
    <row r="1919" spans="2:11" ht="14" hidden="1">
      <c r="B1919" s="1342"/>
      <c r="C1919" s="1342"/>
      <c r="D1919" s="1342"/>
      <c r="E1919" s="1342"/>
      <c r="F1919" s="1342"/>
      <c r="G1919" s="1342"/>
      <c r="H1919" s="1342"/>
      <c r="I1919" s="1342"/>
      <c r="J1919" s="1342"/>
      <c r="K1919" s="1342"/>
    </row>
    <row r="1920" spans="2:11" ht="14" hidden="1">
      <c r="B1920" s="1342"/>
      <c r="C1920" s="1342"/>
      <c r="D1920" s="1342"/>
      <c r="E1920" s="1342"/>
      <c r="F1920" s="1342"/>
      <c r="G1920" s="1342"/>
      <c r="H1920" s="1342"/>
      <c r="I1920" s="1342"/>
      <c r="J1920" s="1342"/>
      <c r="K1920" s="1342"/>
    </row>
    <row r="1921" spans="2:11" ht="14" hidden="1">
      <c r="B1921" s="1342"/>
      <c r="C1921" s="1342"/>
      <c r="D1921" s="1342"/>
      <c r="E1921" s="1342"/>
      <c r="F1921" s="1342"/>
      <c r="G1921" s="1342"/>
      <c r="H1921" s="1342"/>
      <c r="I1921" s="1342"/>
      <c r="J1921" s="1342"/>
      <c r="K1921" s="1342"/>
    </row>
    <row r="1922" spans="2:11" ht="14" hidden="1">
      <c r="B1922" s="1342"/>
      <c r="C1922" s="1342"/>
      <c r="D1922" s="1342"/>
      <c r="E1922" s="1342"/>
      <c r="F1922" s="1342"/>
      <c r="G1922" s="1342"/>
      <c r="H1922" s="1342"/>
      <c r="I1922" s="1342"/>
      <c r="J1922" s="1342"/>
      <c r="K1922" s="1342"/>
    </row>
    <row r="1923" spans="2:11" ht="14" hidden="1">
      <c r="B1923" s="1342"/>
      <c r="C1923" s="1342"/>
      <c r="D1923" s="1342"/>
      <c r="E1923" s="1342"/>
      <c r="F1923" s="1342"/>
      <c r="G1923" s="1342"/>
      <c r="H1923" s="1342"/>
      <c r="I1923" s="1342"/>
      <c r="J1923" s="1342"/>
      <c r="K1923" s="1342"/>
    </row>
    <row r="1924" spans="2:11" ht="14" hidden="1">
      <c r="B1924" s="1342"/>
      <c r="C1924" s="1342"/>
      <c r="D1924" s="1342"/>
      <c r="E1924" s="1342"/>
      <c r="F1924" s="1342"/>
      <c r="G1924" s="1342"/>
      <c r="H1924" s="1342"/>
      <c r="I1924" s="1342"/>
      <c r="J1924" s="1342"/>
      <c r="K1924" s="1342"/>
    </row>
    <row r="1925" spans="2:11" ht="14" hidden="1">
      <c r="B1925" s="1342"/>
      <c r="C1925" s="1342"/>
      <c r="D1925" s="1342"/>
      <c r="E1925" s="1342"/>
      <c r="F1925" s="1342"/>
      <c r="G1925" s="1342"/>
      <c r="H1925" s="1342"/>
      <c r="I1925" s="1342"/>
      <c r="J1925" s="1342"/>
      <c r="K1925" s="1342"/>
    </row>
    <row r="1926" spans="2:11" ht="14" hidden="1">
      <c r="B1926" s="1342"/>
      <c r="C1926" s="1342"/>
      <c r="D1926" s="1342"/>
      <c r="E1926" s="1342"/>
      <c r="F1926" s="1342"/>
      <c r="G1926" s="1342"/>
      <c r="H1926" s="1342"/>
      <c r="I1926" s="1342"/>
      <c r="J1926" s="1342"/>
      <c r="K1926" s="1342"/>
    </row>
    <row r="1927" spans="2:11" ht="14" hidden="1">
      <c r="B1927" s="1342"/>
      <c r="C1927" s="1342"/>
      <c r="D1927" s="1342"/>
      <c r="E1927" s="1342"/>
      <c r="F1927" s="1342"/>
      <c r="G1927" s="1342"/>
      <c r="H1927" s="1342"/>
      <c r="I1927" s="1342"/>
      <c r="J1927" s="1342"/>
      <c r="K1927" s="1342"/>
    </row>
    <row r="1928" spans="2:11" ht="14" hidden="1">
      <c r="B1928" s="1342"/>
      <c r="C1928" s="1342"/>
      <c r="D1928" s="1342"/>
      <c r="E1928" s="1342"/>
      <c r="F1928" s="1342"/>
      <c r="G1928" s="1342"/>
      <c r="H1928" s="1342"/>
      <c r="I1928" s="1342"/>
      <c r="J1928" s="1342"/>
      <c r="K1928" s="1342"/>
    </row>
    <row r="1929" spans="2:11" ht="14" hidden="1">
      <c r="B1929" s="1342"/>
      <c r="C1929" s="1342"/>
      <c r="D1929" s="1342"/>
      <c r="E1929" s="1342"/>
      <c r="F1929" s="1342"/>
      <c r="G1929" s="1342"/>
      <c r="H1929" s="1342"/>
      <c r="I1929" s="1342"/>
      <c r="J1929" s="1342"/>
      <c r="K1929" s="1342"/>
    </row>
    <row r="1930" spans="2:11" ht="14" hidden="1">
      <c r="B1930" s="1342"/>
      <c r="C1930" s="1342"/>
      <c r="D1930" s="1342"/>
      <c r="E1930" s="1342"/>
      <c r="F1930" s="1342"/>
      <c r="G1930" s="1342"/>
      <c r="H1930" s="1342"/>
      <c r="I1930" s="1342"/>
      <c r="J1930" s="1342"/>
      <c r="K1930" s="1342"/>
    </row>
    <row r="1931" spans="2:11" ht="14" hidden="1">
      <c r="B1931" s="1342"/>
      <c r="C1931" s="1342"/>
      <c r="D1931" s="1342"/>
      <c r="E1931" s="1342"/>
      <c r="F1931" s="1342"/>
      <c r="G1931" s="1342"/>
      <c r="H1931" s="1342"/>
      <c r="I1931" s="1342"/>
      <c r="J1931" s="1342"/>
      <c r="K1931" s="1342"/>
    </row>
    <row r="1932" spans="2:11" ht="14" hidden="1">
      <c r="B1932" s="1342"/>
      <c r="C1932" s="1342"/>
      <c r="D1932" s="1342"/>
      <c r="E1932" s="1342"/>
      <c r="F1932" s="1342"/>
      <c r="G1932" s="1342"/>
      <c r="H1932" s="1342"/>
      <c r="I1932" s="1342"/>
      <c r="J1932" s="1342"/>
      <c r="K1932" s="1342"/>
    </row>
    <row r="1933" spans="2:11" ht="14" hidden="1">
      <c r="B1933" s="1342"/>
      <c r="C1933" s="1342"/>
      <c r="D1933" s="1342"/>
      <c r="E1933" s="1342"/>
      <c r="F1933" s="1342"/>
      <c r="G1933" s="1342"/>
      <c r="H1933" s="1342"/>
      <c r="I1933" s="1342"/>
      <c r="J1933" s="1342"/>
      <c r="K1933" s="1342"/>
    </row>
    <row r="1934" spans="2:11" ht="14" hidden="1">
      <c r="B1934" s="1342"/>
      <c r="C1934" s="1342"/>
      <c r="D1934" s="1342"/>
      <c r="E1934" s="1342"/>
      <c r="F1934" s="1342"/>
      <c r="G1934" s="1342"/>
      <c r="H1934" s="1342"/>
      <c r="I1934" s="1342"/>
      <c r="J1934" s="1342"/>
      <c r="K1934" s="1342"/>
    </row>
    <row r="1935" spans="2:11" ht="14" hidden="1">
      <c r="B1935" s="1342"/>
      <c r="C1935" s="1342"/>
      <c r="D1935" s="1342"/>
      <c r="E1935" s="1342"/>
      <c r="F1935" s="1342"/>
      <c r="G1935" s="1342"/>
      <c r="H1935" s="1342"/>
      <c r="I1935" s="1342"/>
      <c r="J1935" s="1342"/>
      <c r="K1935" s="1342"/>
    </row>
    <row r="1936" spans="2:11" ht="14" hidden="1">
      <c r="B1936" s="1342"/>
      <c r="C1936" s="1342"/>
      <c r="D1936" s="1342"/>
      <c r="E1936" s="1342"/>
      <c r="F1936" s="1342"/>
      <c r="G1936" s="1342"/>
      <c r="H1936" s="1342"/>
      <c r="I1936" s="1342"/>
      <c r="J1936" s="1342"/>
      <c r="K1936" s="1342"/>
    </row>
    <row r="1937" spans="2:11" ht="14" hidden="1">
      <c r="B1937" s="1342"/>
      <c r="C1937" s="1342"/>
      <c r="D1937" s="1342"/>
      <c r="E1937" s="1342"/>
      <c r="F1937" s="1342"/>
      <c r="G1937" s="1342"/>
      <c r="H1937" s="1342"/>
      <c r="I1937" s="1342"/>
      <c r="J1937" s="1342"/>
      <c r="K1937" s="1342"/>
    </row>
    <row r="1938" spans="2:11" ht="14" hidden="1">
      <c r="B1938" s="1342"/>
      <c r="C1938" s="1342"/>
      <c r="D1938" s="1342"/>
      <c r="E1938" s="1342"/>
      <c r="F1938" s="1342"/>
      <c r="G1938" s="1342"/>
      <c r="H1938" s="1342"/>
      <c r="I1938" s="1342"/>
      <c r="J1938" s="1342"/>
      <c r="K1938" s="1342"/>
    </row>
    <row r="1939" spans="2:11" ht="14" hidden="1">
      <c r="B1939" s="1342"/>
      <c r="C1939" s="1342"/>
      <c r="D1939" s="1342"/>
      <c r="E1939" s="1342"/>
      <c r="F1939" s="1342"/>
      <c r="G1939" s="1342"/>
      <c r="H1939" s="1342"/>
      <c r="I1939" s="1342"/>
      <c r="J1939" s="1342"/>
      <c r="K1939" s="1342"/>
    </row>
    <row r="1940" spans="2:11" ht="14" hidden="1">
      <c r="B1940" s="1342"/>
      <c r="C1940" s="1342"/>
      <c r="D1940" s="1342"/>
      <c r="E1940" s="1342"/>
      <c r="F1940" s="1342"/>
      <c r="G1940" s="1342"/>
      <c r="H1940" s="1342"/>
      <c r="I1940" s="1342"/>
      <c r="J1940" s="1342"/>
      <c r="K1940" s="1342"/>
    </row>
    <row r="1941" spans="2:11" ht="14" hidden="1">
      <c r="B1941" s="1342"/>
      <c r="C1941" s="1342"/>
      <c r="D1941" s="1342"/>
      <c r="E1941" s="1342"/>
      <c r="F1941" s="1342"/>
      <c r="G1941" s="1342"/>
      <c r="H1941" s="1342"/>
      <c r="I1941" s="1342"/>
      <c r="J1941" s="1342"/>
      <c r="K1941" s="1342"/>
    </row>
    <row r="1942" spans="2:11" ht="14" hidden="1">
      <c r="B1942" s="1342"/>
      <c r="C1942" s="1342"/>
      <c r="D1942" s="1342"/>
      <c r="E1942" s="1342"/>
      <c r="F1942" s="1342"/>
      <c r="G1942" s="1342"/>
      <c r="H1942" s="1342"/>
      <c r="I1942" s="1342"/>
      <c r="J1942" s="1342"/>
      <c r="K1942" s="1342"/>
    </row>
    <row r="1943" spans="2:11" ht="14" hidden="1">
      <c r="B1943" s="1342"/>
      <c r="C1943" s="1342"/>
      <c r="D1943" s="1342"/>
      <c r="E1943" s="1342"/>
      <c r="F1943" s="1342"/>
      <c r="G1943" s="1342"/>
      <c r="H1943" s="1342"/>
      <c r="I1943" s="1342"/>
      <c r="J1943" s="1342"/>
      <c r="K1943" s="1342"/>
    </row>
    <row r="1944" spans="2:11" ht="14" hidden="1">
      <c r="B1944" s="1342"/>
      <c r="C1944" s="1342"/>
      <c r="D1944" s="1342"/>
      <c r="E1944" s="1342"/>
      <c r="F1944" s="1342"/>
      <c r="G1944" s="1342"/>
      <c r="H1944" s="1342"/>
      <c r="I1944" s="1342"/>
      <c r="J1944" s="1342"/>
      <c r="K1944" s="1342"/>
    </row>
    <row r="1945" spans="2:11" ht="14" hidden="1">
      <c r="B1945" s="1342"/>
      <c r="C1945" s="1342"/>
      <c r="D1945" s="1342"/>
      <c r="E1945" s="1342"/>
      <c r="F1945" s="1342"/>
      <c r="G1945" s="1342"/>
      <c r="H1945" s="1342"/>
      <c r="I1945" s="1342"/>
      <c r="J1945" s="1342"/>
      <c r="K1945" s="1342"/>
    </row>
    <row r="1946" spans="2:11" ht="14" hidden="1">
      <c r="B1946" s="1342"/>
      <c r="C1946" s="1342"/>
      <c r="D1946" s="1342"/>
      <c r="E1946" s="1342"/>
      <c r="F1946" s="1342"/>
      <c r="G1946" s="1342"/>
      <c r="H1946" s="1342"/>
      <c r="I1946" s="1342"/>
      <c r="J1946" s="1342"/>
      <c r="K1946" s="1342"/>
    </row>
    <row r="1947" spans="2:11" ht="14" hidden="1">
      <c r="B1947" s="1342"/>
      <c r="C1947" s="1342"/>
      <c r="D1947" s="1342"/>
      <c r="E1947" s="1342"/>
      <c r="F1947" s="1342"/>
      <c r="G1947" s="1342"/>
      <c r="H1947" s="1342"/>
      <c r="I1947" s="1342"/>
      <c r="J1947" s="1342"/>
      <c r="K1947" s="1342"/>
    </row>
    <row r="1948" spans="2:11" ht="14" hidden="1">
      <c r="B1948" s="1342"/>
      <c r="C1948" s="1342"/>
      <c r="D1948" s="1342"/>
      <c r="E1948" s="1342"/>
      <c r="F1948" s="1342"/>
      <c r="G1948" s="1342"/>
      <c r="H1948" s="1342"/>
      <c r="I1948" s="1342"/>
      <c r="J1948" s="1342"/>
      <c r="K1948" s="1342"/>
    </row>
    <row r="1949" spans="2:11" ht="14" hidden="1">
      <c r="B1949" s="1342"/>
      <c r="C1949" s="1342"/>
      <c r="D1949" s="1342"/>
      <c r="E1949" s="1342"/>
      <c r="F1949" s="1342"/>
      <c r="G1949" s="1342"/>
      <c r="H1949" s="1342"/>
      <c r="I1949" s="1342"/>
      <c r="J1949" s="1342"/>
      <c r="K1949" s="1342"/>
    </row>
    <row r="1950" spans="2:11" ht="14" hidden="1">
      <c r="B1950" s="1342"/>
      <c r="C1950" s="1342"/>
      <c r="D1950" s="1342"/>
      <c r="E1950" s="1342"/>
      <c r="F1950" s="1342"/>
      <c r="G1950" s="1342"/>
      <c r="H1950" s="1342"/>
      <c r="I1950" s="1342"/>
      <c r="J1950" s="1342"/>
      <c r="K1950" s="1342"/>
    </row>
    <row r="1951" spans="2:11" ht="14" hidden="1">
      <c r="B1951" s="1342"/>
      <c r="C1951" s="1342"/>
      <c r="D1951" s="1342"/>
      <c r="E1951" s="1342"/>
      <c r="F1951" s="1342"/>
      <c r="G1951" s="1342"/>
      <c r="H1951" s="1342"/>
      <c r="I1951" s="1342"/>
      <c r="J1951" s="1342"/>
      <c r="K1951" s="1342"/>
    </row>
    <row r="1952" spans="2:11" ht="14" hidden="1">
      <c r="B1952" s="1342"/>
      <c r="C1952" s="1342"/>
      <c r="D1952" s="1342"/>
      <c r="E1952" s="1342"/>
      <c r="F1952" s="1342"/>
      <c r="G1952" s="1342"/>
      <c r="H1952" s="1342"/>
      <c r="I1952" s="1342"/>
      <c r="J1952" s="1342"/>
      <c r="K1952" s="1342"/>
    </row>
    <row r="1953" spans="2:11" ht="14" hidden="1">
      <c r="B1953" s="1342"/>
      <c r="C1953" s="1342"/>
      <c r="D1953" s="1342"/>
      <c r="E1953" s="1342"/>
      <c r="F1953" s="1342"/>
      <c r="G1953" s="1342"/>
      <c r="H1953" s="1342"/>
      <c r="I1953" s="1342"/>
      <c r="J1953" s="1342"/>
      <c r="K1953" s="1342"/>
    </row>
    <row r="1954" spans="2:11" ht="14" hidden="1">
      <c r="B1954" s="1342"/>
      <c r="C1954" s="1342"/>
      <c r="D1954" s="1342"/>
      <c r="E1954" s="1342"/>
      <c r="F1954" s="1342"/>
      <c r="G1954" s="1342"/>
      <c r="H1954" s="1342"/>
      <c r="I1954" s="1342"/>
      <c r="J1954" s="1342"/>
      <c r="K1954" s="1342"/>
    </row>
    <row r="1955" spans="2:11" ht="14" hidden="1">
      <c r="B1955" s="1342"/>
      <c r="C1955" s="1342"/>
      <c r="D1955" s="1342"/>
      <c r="E1955" s="1342"/>
      <c r="F1955" s="1342"/>
      <c r="G1955" s="1342"/>
      <c r="H1955" s="1342"/>
      <c r="I1955" s="1342"/>
      <c r="J1955" s="1342"/>
      <c r="K1955" s="1342"/>
    </row>
    <row r="1956" spans="2:11" ht="14" hidden="1">
      <c r="B1956" s="1342"/>
      <c r="C1956" s="1342"/>
      <c r="D1956" s="1342"/>
      <c r="E1956" s="1342"/>
      <c r="F1956" s="1342"/>
      <c r="G1956" s="1342"/>
      <c r="H1956" s="1342"/>
      <c r="I1956" s="1342"/>
      <c r="J1956" s="1342"/>
      <c r="K1956" s="1342"/>
    </row>
    <row r="1957" spans="2:11" ht="14" hidden="1">
      <c r="B1957" s="1342"/>
      <c r="C1957" s="1342"/>
      <c r="D1957" s="1342"/>
      <c r="E1957" s="1342"/>
      <c r="F1957" s="1342"/>
      <c r="G1957" s="1342"/>
      <c r="H1957" s="1342"/>
      <c r="I1957" s="1342"/>
      <c r="J1957" s="1342"/>
      <c r="K1957" s="1342"/>
    </row>
    <row r="1958" spans="2:11" ht="14" hidden="1">
      <c r="B1958" s="1342"/>
      <c r="C1958" s="1342"/>
      <c r="D1958" s="1342"/>
      <c r="E1958" s="1342"/>
      <c r="F1958" s="1342"/>
      <c r="G1958" s="1342"/>
      <c r="H1958" s="1342"/>
      <c r="I1958" s="1342"/>
      <c r="J1958" s="1342"/>
      <c r="K1958" s="1342"/>
    </row>
    <row r="1959" spans="2:11" ht="14" hidden="1">
      <c r="B1959" s="1342"/>
      <c r="C1959" s="1342"/>
      <c r="D1959" s="1342"/>
      <c r="E1959" s="1342"/>
      <c r="F1959" s="1342"/>
      <c r="G1959" s="1342"/>
      <c r="H1959" s="1342"/>
      <c r="I1959" s="1342"/>
      <c r="J1959" s="1342"/>
      <c r="K1959" s="1342"/>
    </row>
    <row r="1960" spans="2:11" ht="14" hidden="1">
      <c r="B1960" s="1342"/>
      <c r="C1960" s="1342"/>
      <c r="D1960" s="1342"/>
      <c r="E1960" s="1342"/>
      <c r="F1960" s="1342"/>
      <c r="G1960" s="1342"/>
      <c r="H1960" s="1342"/>
      <c r="I1960" s="1342"/>
      <c r="J1960" s="1342"/>
      <c r="K1960" s="1342"/>
    </row>
    <row r="1961" spans="2:11" ht="14" hidden="1">
      <c r="B1961" s="1342"/>
      <c r="C1961" s="1342"/>
      <c r="D1961" s="1342"/>
      <c r="E1961" s="1342"/>
      <c r="F1961" s="1342"/>
      <c r="G1961" s="1342"/>
      <c r="H1961" s="1342"/>
      <c r="I1961" s="1342"/>
      <c r="J1961" s="1342"/>
      <c r="K1961" s="1342"/>
    </row>
    <row r="1962" spans="2:11" ht="14" hidden="1">
      <c r="B1962" s="1342"/>
      <c r="C1962" s="1342"/>
      <c r="D1962" s="1342"/>
      <c r="E1962" s="1342"/>
      <c r="F1962" s="1342"/>
      <c r="G1962" s="1342"/>
      <c r="H1962" s="1342"/>
      <c r="I1962" s="1342"/>
      <c r="J1962" s="1342"/>
      <c r="K1962" s="1342"/>
    </row>
    <row r="1963" spans="2:11" ht="14" hidden="1">
      <c r="B1963" s="1342"/>
      <c r="C1963" s="1342"/>
      <c r="D1963" s="1342"/>
      <c r="E1963" s="1342"/>
      <c r="F1963" s="1342"/>
      <c r="G1963" s="1342"/>
      <c r="H1963" s="1342"/>
      <c r="I1963" s="1342"/>
      <c r="J1963" s="1342"/>
      <c r="K1963" s="1342"/>
    </row>
    <row r="1964" spans="2:11" ht="14" hidden="1">
      <c r="B1964" s="1342"/>
      <c r="C1964" s="1342"/>
      <c r="D1964" s="1342"/>
      <c r="E1964" s="1342"/>
      <c r="F1964" s="1342"/>
      <c r="G1964" s="1342"/>
      <c r="H1964" s="1342"/>
      <c r="I1964" s="1342"/>
      <c r="J1964" s="1342"/>
      <c r="K1964" s="1342"/>
    </row>
    <row r="1965" spans="2:11" ht="14" hidden="1">
      <c r="B1965" s="1342"/>
      <c r="C1965" s="1342"/>
      <c r="D1965" s="1342"/>
      <c r="E1965" s="1342"/>
      <c r="F1965" s="1342"/>
      <c r="G1965" s="1342"/>
      <c r="H1965" s="1342"/>
      <c r="I1965" s="1342"/>
      <c r="J1965" s="1342"/>
      <c r="K1965" s="1342"/>
    </row>
    <row r="1966" spans="2:11" ht="14" hidden="1">
      <c r="B1966" s="1342"/>
      <c r="C1966" s="1342"/>
      <c r="D1966" s="1342"/>
      <c r="E1966" s="1342"/>
      <c r="F1966" s="1342"/>
      <c r="G1966" s="1342"/>
      <c r="H1966" s="1342"/>
      <c r="I1966" s="1342"/>
      <c r="J1966" s="1342"/>
      <c r="K1966" s="1342"/>
    </row>
    <row r="1967" spans="2:11" ht="14" hidden="1">
      <c r="B1967" s="1342"/>
      <c r="C1967" s="1342"/>
      <c r="D1967" s="1342"/>
      <c r="E1967" s="1342"/>
      <c r="F1967" s="1342"/>
      <c r="G1967" s="1342"/>
      <c r="H1967" s="1342"/>
      <c r="I1967" s="1342"/>
      <c r="J1967" s="1342"/>
      <c r="K1967" s="1342"/>
    </row>
    <row r="1968" spans="2:11" ht="14" hidden="1">
      <c r="B1968" s="1342"/>
      <c r="C1968" s="1342"/>
      <c r="D1968" s="1342"/>
      <c r="E1968" s="1342"/>
      <c r="F1968" s="1342"/>
      <c r="G1968" s="1342"/>
      <c r="H1968" s="1342"/>
      <c r="I1968" s="1342"/>
      <c r="J1968" s="1342"/>
      <c r="K1968" s="1342"/>
    </row>
    <row r="1969" spans="2:11" ht="14" hidden="1">
      <c r="B1969" s="1342"/>
      <c r="C1969" s="1342"/>
      <c r="D1969" s="1342"/>
      <c r="E1969" s="1342"/>
      <c r="F1969" s="1342"/>
      <c r="G1969" s="1342"/>
      <c r="H1969" s="1342"/>
      <c r="I1969" s="1342"/>
      <c r="J1969" s="1342"/>
      <c r="K1969" s="1342"/>
    </row>
    <row r="1970" spans="2:11" ht="14" hidden="1">
      <c r="B1970" s="1342"/>
      <c r="C1970" s="1342"/>
      <c r="D1970" s="1342"/>
      <c r="E1970" s="1342"/>
      <c r="F1970" s="1342"/>
      <c r="G1970" s="1342"/>
      <c r="H1970" s="1342"/>
      <c r="I1970" s="1342"/>
      <c r="J1970" s="1342"/>
      <c r="K1970" s="1342"/>
    </row>
    <row r="1971" spans="2:11" ht="14" hidden="1">
      <c r="B1971" s="1342"/>
      <c r="C1971" s="1342"/>
      <c r="D1971" s="1342"/>
      <c r="E1971" s="1342"/>
      <c r="F1971" s="1342"/>
      <c r="G1971" s="1342"/>
      <c r="H1971" s="1342"/>
      <c r="I1971" s="1342"/>
      <c r="J1971" s="1342"/>
      <c r="K1971" s="1342"/>
    </row>
    <row r="1972" spans="2:11" ht="14" hidden="1">
      <c r="B1972" s="1342"/>
      <c r="C1972" s="1342"/>
      <c r="D1972" s="1342"/>
      <c r="E1972" s="1342"/>
      <c r="F1972" s="1342"/>
      <c r="G1972" s="1342"/>
      <c r="H1972" s="1342"/>
      <c r="I1972" s="1342"/>
      <c r="J1972" s="1342"/>
      <c r="K1972" s="1342"/>
    </row>
    <row r="1973" spans="2:11" ht="14" hidden="1">
      <c r="B1973" s="1342"/>
      <c r="C1973" s="1342"/>
      <c r="D1973" s="1342"/>
      <c r="E1973" s="1342"/>
      <c r="F1973" s="1342"/>
      <c r="G1973" s="1342"/>
      <c r="H1973" s="1342"/>
      <c r="I1973" s="1342"/>
      <c r="J1973" s="1342"/>
      <c r="K1973" s="1342"/>
    </row>
    <row r="1974" spans="2:11" ht="14" hidden="1">
      <c r="B1974" s="1342"/>
      <c r="C1974" s="1342"/>
      <c r="D1974" s="1342"/>
      <c r="E1974" s="1342"/>
      <c r="F1974" s="1342"/>
      <c r="G1974" s="1342"/>
      <c r="H1974" s="1342"/>
      <c r="I1974" s="1342"/>
      <c r="J1974" s="1342"/>
      <c r="K1974" s="1342"/>
    </row>
    <row r="1975" spans="2:11" ht="14" hidden="1">
      <c r="B1975" s="1342"/>
      <c r="C1975" s="1342"/>
      <c r="D1975" s="1342"/>
      <c r="E1975" s="1342"/>
      <c r="F1975" s="1342"/>
      <c r="G1975" s="1342"/>
      <c r="H1975" s="1342"/>
      <c r="I1975" s="1342"/>
      <c r="J1975" s="1342"/>
      <c r="K1975" s="1342"/>
    </row>
    <row r="1976" spans="2:11" ht="14" hidden="1">
      <c r="B1976" s="1342"/>
      <c r="C1976" s="1342"/>
      <c r="D1976" s="1342"/>
      <c r="E1976" s="1342"/>
      <c r="F1976" s="1342"/>
      <c r="G1976" s="1342"/>
      <c r="H1976" s="1342"/>
      <c r="I1976" s="1342"/>
      <c r="J1976" s="1342"/>
      <c r="K1976" s="1342"/>
    </row>
    <row r="1977" spans="2:11" ht="14" hidden="1">
      <c r="B1977" s="1342"/>
      <c r="C1977" s="1342"/>
      <c r="D1977" s="1342"/>
      <c r="E1977" s="1342"/>
      <c r="F1977" s="1342"/>
      <c r="G1977" s="1342"/>
      <c r="H1977" s="1342"/>
      <c r="I1977" s="1342"/>
      <c r="J1977" s="1342"/>
      <c r="K1977" s="1342"/>
    </row>
    <row r="1978" spans="2:11" ht="14" hidden="1">
      <c r="B1978" s="1342"/>
      <c r="C1978" s="1342"/>
      <c r="D1978" s="1342"/>
      <c r="E1978" s="1342"/>
      <c r="F1978" s="1342"/>
      <c r="G1978" s="1342"/>
      <c r="H1978" s="1342"/>
      <c r="I1978" s="1342"/>
      <c r="J1978" s="1342"/>
      <c r="K1978" s="1342"/>
    </row>
    <row r="1979" spans="2:11" ht="14" hidden="1">
      <c r="B1979" s="1342"/>
      <c r="C1979" s="1342"/>
      <c r="D1979" s="1342"/>
      <c r="E1979" s="1342"/>
      <c r="F1979" s="1342"/>
      <c r="G1979" s="1342"/>
      <c r="H1979" s="1342"/>
      <c r="I1979" s="1342"/>
      <c r="J1979" s="1342"/>
      <c r="K1979" s="1342"/>
    </row>
    <row r="1980" spans="2:11" ht="14" hidden="1">
      <c r="B1980" s="1342"/>
      <c r="C1980" s="1342"/>
      <c r="D1980" s="1342"/>
      <c r="E1980" s="1342"/>
      <c r="F1980" s="1342"/>
      <c r="G1980" s="1342"/>
      <c r="H1980" s="1342"/>
      <c r="I1980" s="1342"/>
      <c r="J1980" s="1342"/>
      <c r="K1980" s="1342"/>
    </row>
    <row r="1981" spans="2:11" ht="14" hidden="1">
      <c r="B1981" s="1342"/>
      <c r="C1981" s="1342"/>
      <c r="D1981" s="1342"/>
      <c r="E1981" s="1342"/>
      <c r="F1981" s="1342"/>
      <c r="G1981" s="1342"/>
      <c r="H1981" s="1342"/>
      <c r="I1981" s="1342"/>
      <c r="J1981" s="1342"/>
      <c r="K1981" s="1342"/>
    </row>
    <row r="1982" spans="2:11" ht="14" hidden="1">
      <c r="B1982" s="1342"/>
      <c r="C1982" s="1342"/>
      <c r="D1982" s="1342"/>
      <c r="E1982" s="1342"/>
      <c r="F1982" s="1342"/>
      <c r="G1982" s="1342"/>
      <c r="H1982" s="1342"/>
      <c r="I1982" s="1342"/>
      <c r="J1982" s="1342"/>
      <c r="K1982" s="1342"/>
    </row>
    <row r="1983" spans="2:11" ht="14" hidden="1">
      <c r="B1983" s="1342"/>
      <c r="C1983" s="1342"/>
      <c r="D1983" s="1342"/>
      <c r="E1983" s="1342"/>
      <c r="F1983" s="1342"/>
      <c r="G1983" s="1342"/>
      <c r="H1983" s="1342"/>
      <c r="I1983" s="1342"/>
      <c r="J1983" s="1342"/>
      <c r="K1983" s="1342"/>
    </row>
    <row r="1984" spans="2:11" ht="14" hidden="1">
      <c r="B1984" s="1342"/>
      <c r="C1984" s="1342"/>
      <c r="D1984" s="1342"/>
      <c r="E1984" s="1342"/>
      <c r="F1984" s="1342"/>
      <c r="G1984" s="1342"/>
      <c r="H1984" s="1342"/>
      <c r="I1984" s="1342"/>
      <c r="J1984" s="1342"/>
      <c r="K1984" s="1342"/>
    </row>
    <row r="1985" spans="2:11" ht="14" hidden="1">
      <c r="B1985" s="1342"/>
      <c r="C1985" s="1342"/>
      <c r="D1985" s="1342"/>
      <c r="E1985" s="1342"/>
      <c r="F1985" s="1342"/>
      <c r="G1985" s="1342"/>
      <c r="H1985" s="1342"/>
      <c r="I1985" s="1342"/>
      <c r="J1985" s="1342"/>
      <c r="K1985" s="1342"/>
    </row>
    <row r="1986" spans="2:11" ht="14" hidden="1">
      <c r="B1986" s="1342"/>
      <c r="C1986" s="1342"/>
      <c r="D1986" s="1342"/>
      <c r="E1986" s="1342"/>
      <c r="F1986" s="1342"/>
      <c r="G1986" s="1342"/>
      <c r="H1986" s="1342"/>
      <c r="I1986" s="1342"/>
      <c r="J1986" s="1342"/>
      <c r="K1986" s="1342"/>
    </row>
    <row r="1987" spans="2:11" ht="14" hidden="1">
      <c r="B1987" s="1342"/>
      <c r="C1987" s="1342"/>
      <c r="D1987" s="1342"/>
      <c r="E1987" s="1342"/>
      <c r="F1987" s="1342"/>
      <c r="G1987" s="1342"/>
      <c r="H1987" s="1342"/>
      <c r="I1987" s="1342"/>
      <c r="J1987" s="1342"/>
      <c r="K1987" s="1342"/>
    </row>
    <row r="1988" spans="2:11" ht="14" hidden="1">
      <c r="B1988" s="1342"/>
      <c r="C1988" s="1342"/>
      <c r="D1988" s="1342"/>
      <c r="E1988" s="1342"/>
      <c r="F1988" s="1342"/>
      <c r="G1988" s="1342"/>
      <c r="H1988" s="1342"/>
      <c r="I1988" s="1342"/>
      <c r="J1988" s="1342"/>
      <c r="K1988" s="1342"/>
    </row>
    <row r="1989" spans="2:11" ht="14" hidden="1">
      <c r="B1989" s="1342"/>
      <c r="C1989" s="1342"/>
      <c r="D1989" s="1342"/>
      <c r="E1989" s="1342"/>
      <c r="F1989" s="1342"/>
      <c r="G1989" s="1342"/>
      <c r="H1989" s="1342"/>
      <c r="I1989" s="1342"/>
      <c r="J1989" s="1342"/>
      <c r="K1989" s="1342"/>
    </row>
    <row r="1990" spans="2:11" ht="14" hidden="1">
      <c r="B1990" s="1342"/>
      <c r="C1990" s="1342"/>
      <c r="D1990" s="1342"/>
      <c r="E1990" s="1342"/>
      <c r="F1990" s="1342"/>
      <c r="G1990" s="1342"/>
      <c r="H1990" s="1342"/>
      <c r="I1990" s="1342"/>
      <c r="J1990" s="1342"/>
      <c r="K1990" s="1342"/>
    </row>
    <row r="1991" spans="2:11" ht="14" hidden="1">
      <c r="B1991" s="1342"/>
      <c r="C1991" s="1342"/>
      <c r="D1991" s="1342"/>
      <c r="E1991" s="1342"/>
      <c r="F1991" s="1342"/>
      <c r="G1991" s="1342"/>
      <c r="H1991" s="1342"/>
      <c r="I1991" s="1342"/>
      <c r="J1991" s="1342"/>
      <c r="K1991" s="1342"/>
    </row>
    <row r="1992" spans="2:11" ht="14" hidden="1">
      <c r="B1992" s="1342"/>
      <c r="C1992" s="1342"/>
      <c r="D1992" s="1342"/>
      <c r="E1992" s="1342"/>
      <c r="F1992" s="1342"/>
      <c r="G1992" s="1342"/>
      <c r="H1992" s="1342"/>
      <c r="I1992" s="1342"/>
      <c r="J1992" s="1342"/>
      <c r="K1992" s="1342"/>
    </row>
    <row r="1993" spans="2:11" ht="14" hidden="1">
      <c r="B1993" s="1342"/>
      <c r="C1993" s="1342"/>
      <c r="D1993" s="1342"/>
      <c r="E1993" s="1342"/>
      <c r="F1993" s="1342"/>
      <c r="G1993" s="1342"/>
      <c r="H1993" s="1342"/>
      <c r="I1993" s="1342"/>
      <c r="J1993" s="1342"/>
      <c r="K1993" s="1342"/>
    </row>
    <row r="1994" spans="2:11" ht="14" hidden="1">
      <c r="B1994" s="1342"/>
      <c r="C1994" s="1342"/>
      <c r="D1994" s="1342"/>
      <c r="E1994" s="1342"/>
      <c r="F1994" s="1342"/>
      <c r="G1994" s="1342"/>
      <c r="H1994" s="1342"/>
      <c r="I1994" s="1342"/>
      <c r="J1994" s="1342"/>
      <c r="K1994" s="1342"/>
    </row>
    <row r="1995" spans="2:11" ht="14" hidden="1">
      <c r="B1995" s="1342"/>
      <c r="C1995" s="1342"/>
      <c r="D1995" s="1342"/>
      <c r="E1995" s="1342"/>
      <c r="F1995" s="1342"/>
      <c r="G1995" s="1342"/>
      <c r="H1995" s="1342"/>
      <c r="I1995" s="1342"/>
      <c r="J1995" s="1342"/>
      <c r="K1995" s="1342"/>
    </row>
    <row r="1996" spans="2:11" ht="14" hidden="1">
      <c r="B1996" s="1342"/>
      <c r="C1996" s="1342"/>
      <c r="D1996" s="1342"/>
      <c r="E1996" s="1342"/>
      <c r="F1996" s="1342"/>
      <c r="G1996" s="1342"/>
      <c r="H1996" s="1342"/>
      <c r="I1996" s="1342"/>
      <c r="J1996" s="1342"/>
      <c r="K1996" s="1342"/>
    </row>
    <row r="1997" spans="2:11" ht="14" hidden="1">
      <c r="B1997" s="1342"/>
      <c r="C1997" s="1342"/>
      <c r="D1997" s="1342"/>
      <c r="E1997" s="1342"/>
      <c r="F1997" s="1342"/>
      <c r="G1997" s="1342"/>
      <c r="H1997" s="1342"/>
      <c r="I1997" s="1342"/>
      <c r="J1997" s="1342"/>
      <c r="K1997" s="1342"/>
    </row>
    <row r="1998" spans="2:11" ht="14" hidden="1">
      <c r="B1998" s="1342"/>
      <c r="C1998" s="1342"/>
      <c r="D1998" s="1342"/>
      <c r="E1998" s="1342"/>
      <c r="F1998" s="1342"/>
      <c r="G1998" s="1342"/>
      <c r="H1998" s="1342"/>
      <c r="I1998" s="1342"/>
      <c r="J1998" s="1342"/>
      <c r="K1998" s="1342"/>
    </row>
    <row r="1999" spans="2:11" ht="14" hidden="1">
      <c r="B1999" s="1342"/>
      <c r="C1999" s="1342"/>
      <c r="D1999" s="1342"/>
      <c r="E1999" s="1342"/>
      <c r="F1999" s="1342"/>
      <c r="G1999" s="1342"/>
      <c r="H1999" s="1342"/>
      <c r="I1999" s="1342"/>
      <c r="J1999" s="1342"/>
      <c r="K1999" s="1342"/>
    </row>
    <row r="2000" spans="2:11" ht="14" hidden="1">
      <c r="B2000" s="1342"/>
      <c r="C2000" s="1342"/>
      <c r="D2000" s="1342"/>
      <c r="E2000" s="1342"/>
      <c r="F2000" s="1342"/>
      <c r="G2000" s="1342"/>
      <c r="H2000" s="1342"/>
      <c r="I2000" s="1342"/>
      <c r="J2000" s="1342"/>
      <c r="K2000" s="1342"/>
    </row>
    <row r="2001" spans="2:11" ht="14" hidden="1">
      <c r="B2001" s="1342"/>
      <c r="C2001" s="1342"/>
      <c r="D2001" s="1342"/>
      <c r="E2001" s="1342"/>
      <c r="F2001" s="1342"/>
      <c r="G2001" s="1342"/>
      <c r="H2001" s="1342"/>
      <c r="I2001" s="1342"/>
      <c r="J2001" s="1342"/>
      <c r="K2001" s="1342"/>
    </row>
    <row r="2002" spans="2:11" ht="14" hidden="1">
      <c r="B2002" s="1342"/>
      <c r="C2002" s="1342"/>
      <c r="D2002" s="1342"/>
      <c r="E2002" s="1342"/>
      <c r="F2002" s="1342"/>
      <c r="G2002" s="1342"/>
      <c r="H2002" s="1342"/>
      <c r="I2002" s="1342"/>
      <c r="J2002" s="1342"/>
      <c r="K2002" s="1342"/>
    </row>
    <row r="2003" spans="2:11" ht="14" hidden="1">
      <c r="B2003" s="1342"/>
      <c r="C2003" s="1342"/>
      <c r="D2003" s="1342"/>
      <c r="E2003" s="1342"/>
      <c r="F2003" s="1342"/>
      <c r="G2003" s="1342"/>
      <c r="H2003" s="1342"/>
      <c r="I2003" s="1342"/>
      <c r="J2003" s="1342"/>
      <c r="K2003" s="1342"/>
    </row>
    <row r="2004" spans="2:11" ht="14" hidden="1">
      <c r="B2004" s="1342"/>
      <c r="C2004" s="1342"/>
      <c r="D2004" s="1342"/>
      <c r="E2004" s="1342"/>
      <c r="F2004" s="1342"/>
      <c r="G2004" s="1342"/>
      <c r="H2004" s="1342"/>
      <c r="I2004" s="1342"/>
      <c r="J2004" s="1342"/>
      <c r="K2004" s="1342"/>
    </row>
    <row r="2005" spans="2:11" ht="14" hidden="1">
      <c r="B2005" s="1342"/>
      <c r="C2005" s="1342"/>
      <c r="D2005" s="1342"/>
      <c r="E2005" s="1342"/>
      <c r="F2005" s="1342"/>
      <c r="G2005" s="1342"/>
      <c r="H2005" s="1342"/>
      <c r="I2005" s="1342"/>
      <c r="J2005" s="1342"/>
      <c r="K2005" s="1342"/>
    </row>
    <row r="2006" spans="2:11" ht="14" hidden="1">
      <c r="B2006" s="1342"/>
      <c r="C2006" s="1342"/>
      <c r="D2006" s="1342"/>
      <c r="E2006" s="1342"/>
      <c r="F2006" s="1342"/>
      <c r="G2006" s="1342"/>
      <c r="H2006" s="1342"/>
      <c r="I2006" s="1342"/>
      <c r="J2006" s="1342"/>
      <c r="K2006" s="1342"/>
    </row>
    <row r="2007" spans="2:11" ht="14" hidden="1">
      <c r="B2007" s="1342"/>
      <c r="C2007" s="1342"/>
      <c r="D2007" s="1342"/>
      <c r="E2007" s="1342"/>
      <c r="F2007" s="1342"/>
      <c r="G2007" s="1342"/>
      <c r="H2007" s="1342"/>
      <c r="I2007" s="1342"/>
      <c r="J2007" s="1342"/>
      <c r="K2007" s="1342"/>
    </row>
    <row r="2008" spans="2:11" ht="14" hidden="1">
      <c r="B2008" s="1342"/>
      <c r="C2008" s="1342"/>
      <c r="D2008" s="1342"/>
      <c r="E2008" s="1342"/>
      <c r="F2008" s="1342"/>
      <c r="G2008" s="1342"/>
      <c r="H2008" s="1342"/>
      <c r="I2008" s="1342"/>
      <c r="J2008" s="1342"/>
      <c r="K2008" s="1342"/>
    </row>
    <row r="2009" spans="2:11" ht="14" hidden="1">
      <c r="B2009" s="1342"/>
      <c r="C2009" s="1342"/>
      <c r="D2009" s="1342"/>
      <c r="E2009" s="1342"/>
      <c r="F2009" s="1342"/>
      <c r="G2009" s="1342"/>
      <c r="H2009" s="1342"/>
      <c r="I2009" s="1342"/>
      <c r="J2009" s="1342"/>
      <c r="K2009" s="1342"/>
    </row>
    <row r="2010" spans="2:11" ht="14" hidden="1">
      <c r="B2010" s="1342"/>
      <c r="C2010" s="1342"/>
      <c r="D2010" s="1342"/>
      <c r="E2010" s="1342"/>
      <c r="F2010" s="1342"/>
      <c r="G2010" s="1342"/>
      <c r="H2010" s="1342"/>
      <c r="I2010" s="1342"/>
      <c r="J2010" s="1342"/>
      <c r="K2010" s="1342"/>
    </row>
    <row r="2011" spans="2:11" ht="14" hidden="1">
      <c r="B2011" s="1342"/>
      <c r="C2011" s="1342"/>
      <c r="D2011" s="1342"/>
      <c r="E2011" s="1342"/>
      <c r="F2011" s="1342"/>
      <c r="G2011" s="1342"/>
      <c r="H2011" s="1342"/>
      <c r="I2011" s="1342"/>
      <c r="J2011" s="1342"/>
      <c r="K2011" s="1342"/>
    </row>
    <row r="2012" spans="2:11" ht="14" hidden="1">
      <c r="B2012" s="1342"/>
      <c r="C2012" s="1342"/>
      <c r="D2012" s="1342"/>
      <c r="E2012" s="1342"/>
      <c r="F2012" s="1342"/>
      <c r="G2012" s="1342"/>
      <c r="H2012" s="1342"/>
      <c r="I2012" s="1342"/>
      <c r="J2012" s="1342"/>
      <c r="K2012" s="1342"/>
    </row>
    <row r="2013" spans="2:11" ht="14" hidden="1">
      <c r="B2013" s="1342"/>
      <c r="C2013" s="1342"/>
      <c r="D2013" s="1342"/>
      <c r="E2013" s="1342"/>
      <c r="F2013" s="1342"/>
      <c r="G2013" s="1342"/>
      <c r="H2013" s="1342"/>
      <c r="I2013" s="1342"/>
      <c r="J2013" s="1342"/>
      <c r="K2013" s="1342"/>
    </row>
    <row r="2014" spans="2:11" ht="14" hidden="1">
      <c r="B2014" s="1342"/>
      <c r="C2014" s="1342"/>
      <c r="D2014" s="1342"/>
      <c r="E2014" s="1342"/>
      <c r="F2014" s="1342"/>
      <c r="G2014" s="1342"/>
      <c r="H2014" s="1342"/>
      <c r="I2014" s="1342"/>
      <c r="J2014" s="1342"/>
      <c r="K2014" s="1342"/>
    </row>
    <row r="2015" spans="2:11" ht="14" hidden="1">
      <c r="B2015" s="1342"/>
      <c r="C2015" s="1342"/>
      <c r="D2015" s="1342"/>
      <c r="E2015" s="1342"/>
      <c r="F2015" s="1342"/>
      <c r="G2015" s="1342"/>
      <c r="H2015" s="1342"/>
      <c r="I2015" s="1342"/>
      <c r="J2015" s="1342"/>
      <c r="K2015" s="1342"/>
    </row>
    <row r="2016" spans="2:11" ht="14" hidden="1">
      <c r="B2016" s="1342"/>
      <c r="C2016" s="1342"/>
      <c r="D2016" s="1342"/>
      <c r="E2016" s="1342"/>
      <c r="F2016" s="1342"/>
      <c r="G2016" s="1342"/>
      <c r="H2016" s="1342"/>
      <c r="I2016" s="1342"/>
      <c r="J2016" s="1342"/>
      <c r="K2016" s="1342"/>
    </row>
    <row r="2017" spans="2:11" ht="14" hidden="1">
      <c r="B2017" s="1342"/>
      <c r="C2017" s="1342"/>
      <c r="D2017" s="1342"/>
      <c r="E2017" s="1342"/>
      <c r="F2017" s="1342"/>
      <c r="G2017" s="1342"/>
      <c r="H2017" s="1342"/>
      <c r="I2017" s="1342"/>
      <c r="J2017" s="1342"/>
      <c r="K2017" s="1342"/>
    </row>
    <row r="2018" spans="2:11" ht="14" hidden="1">
      <c r="B2018" s="1342"/>
      <c r="C2018" s="1342"/>
      <c r="D2018" s="1342"/>
      <c r="E2018" s="1342"/>
      <c r="F2018" s="1342"/>
      <c r="G2018" s="1342"/>
      <c r="H2018" s="1342"/>
      <c r="I2018" s="1342"/>
      <c r="J2018" s="1342"/>
      <c r="K2018" s="1342"/>
    </row>
    <row r="2019" spans="2:11" ht="14" hidden="1">
      <c r="B2019" s="1342"/>
      <c r="C2019" s="1342"/>
      <c r="D2019" s="1342"/>
      <c r="E2019" s="1342"/>
      <c r="F2019" s="1342"/>
      <c r="G2019" s="1342"/>
      <c r="H2019" s="1342"/>
      <c r="I2019" s="1342"/>
      <c r="J2019" s="1342"/>
      <c r="K2019" s="1342"/>
    </row>
    <row r="2020" spans="2:11" ht="14" hidden="1">
      <c r="B2020" s="1342"/>
      <c r="C2020" s="1342"/>
      <c r="D2020" s="1342"/>
      <c r="E2020" s="1342"/>
      <c r="F2020" s="1342"/>
      <c r="G2020" s="1342"/>
      <c r="H2020" s="1342"/>
      <c r="I2020" s="1342"/>
      <c r="J2020" s="1342"/>
      <c r="K2020" s="1342"/>
    </row>
    <row r="2021" spans="2:11" ht="14" hidden="1">
      <c r="B2021" s="1342"/>
      <c r="C2021" s="1342"/>
      <c r="D2021" s="1342"/>
      <c r="E2021" s="1342"/>
      <c r="F2021" s="1342"/>
      <c r="G2021" s="1342"/>
      <c r="H2021" s="1342"/>
      <c r="I2021" s="1342"/>
      <c r="J2021" s="1342"/>
      <c r="K2021" s="1342"/>
    </row>
    <row r="2022" spans="2:11" ht="14" hidden="1">
      <c r="B2022" s="1342"/>
      <c r="C2022" s="1342"/>
      <c r="D2022" s="1342"/>
      <c r="E2022" s="1342"/>
      <c r="F2022" s="1342"/>
      <c r="G2022" s="1342"/>
      <c r="H2022" s="1342"/>
      <c r="I2022" s="1342"/>
      <c r="J2022" s="1342"/>
      <c r="K2022" s="1342"/>
    </row>
    <row r="2023" spans="2:11" ht="14" hidden="1">
      <c r="B2023" s="1342"/>
      <c r="C2023" s="1342"/>
      <c r="D2023" s="1342"/>
      <c r="E2023" s="1342"/>
      <c r="F2023" s="1342"/>
      <c r="G2023" s="1342"/>
      <c r="H2023" s="1342"/>
      <c r="I2023" s="1342"/>
      <c r="J2023" s="1342"/>
      <c r="K2023" s="1342"/>
    </row>
    <row r="2024" spans="2:11" ht="14" hidden="1">
      <c r="B2024" s="1342"/>
      <c r="C2024" s="1342"/>
      <c r="D2024" s="1342"/>
      <c r="E2024" s="1342"/>
      <c r="F2024" s="1342"/>
      <c r="G2024" s="1342"/>
      <c r="H2024" s="1342"/>
      <c r="I2024" s="1342"/>
      <c r="J2024" s="1342"/>
      <c r="K2024" s="1342"/>
    </row>
    <row r="2025" spans="2:11" ht="14" hidden="1">
      <c r="B2025" s="1342"/>
      <c r="C2025" s="1342"/>
      <c r="D2025" s="1342"/>
      <c r="E2025" s="1342"/>
      <c r="F2025" s="1342"/>
      <c r="G2025" s="1342"/>
      <c r="H2025" s="1342"/>
      <c r="I2025" s="1342"/>
      <c r="J2025" s="1342"/>
      <c r="K2025" s="1342"/>
    </row>
    <row r="2026" spans="2:11" ht="14" hidden="1">
      <c r="B2026" s="1342"/>
      <c r="C2026" s="1342"/>
      <c r="D2026" s="1342"/>
      <c r="E2026" s="1342"/>
      <c r="F2026" s="1342"/>
      <c r="G2026" s="1342"/>
      <c r="H2026" s="1342"/>
      <c r="I2026" s="1342"/>
      <c r="J2026" s="1342"/>
      <c r="K2026" s="1342"/>
    </row>
    <row r="2027" spans="2:11" ht="14" hidden="1">
      <c r="B2027" s="1342"/>
      <c r="C2027" s="1342"/>
      <c r="D2027" s="1342"/>
      <c r="E2027" s="1342"/>
      <c r="F2027" s="1342"/>
      <c r="G2027" s="1342"/>
      <c r="H2027" s="1342"/>
      <c r="I2027" s="1342"/>
      <c r="J2027" s="1342"/>
      <c r="K2027" s="1342"/>
    </row>
    <row r="2028" spans="2:11" ht="14" hidden="1">
      <c r="B2028" s="1342"/>
      <c r="C2028" s="1342"/>
      <c r="D2028" s="1342"/>
      <c r="E2028" s="1342"/>
      <c r="F2028" s="1342"/>
      <c r="G2028" s="1342"/>
      <c r="H2028" s="1342"/>
      <c r="I2028" s="1342"/>
      <c r="J2028" s="1342"/>
      <c r="K2028" s="1342"/>
    </row>
    <row r="2029" spans="2:11" ht="14" hidden="1">
      <c r="B2029" s="1342"/>
      <c r="C2029" s="1342"/>
      <c r="D2029" s="1342"/>
      <c r="E2029" s="1342"/>
      <c r="F2029" s="1342"/>
      <c r="G2029" s="1342"/>
      <c r="H2029" s="1342"/>
      <c r="I2029" s="1342"/>
      <c r="J2029" s="1342"/>
      <c r="K2029" s="1342"/>
    </row>
    <row r="2030" spans="2:11" ht="14" hidden="1">
      <c r="B2030" s="1342"/>
      <c r="C2030" s="1342"/>
      <c r="D2030" s="1342"/>
      <c r="E2030" s="1342"/>
      <c r="F2030" s="1342"/>
      <c r="G2030" s="1342"/>
      <c r="H2030" s="1342"/>
      <c r="I2030" s="1342"/>
      <c r="J2030" s="1342"/>
      <c r="K2030" s="1342"/>
    </row>
    <row r="2031" spans="2:11" ht="14" hidden="1">
      <c r="B2031" s="1342"/>
      <c r="C2031" s="1342"/>
      <c r="D2031" s="1342"/>
      <c r="E2031" s="1342"/>
      <c r="F2031" s="1342"/>
      <c r="G2031" s="1342"/>
      <c r="H2031" s="1342"/>
      <c r="I2031" s="1342"/>
      <c r="J2031" s="1342"/>
      <c r="K2031" s="1342"/>
    </row>
    <row r="2032" spans="2:11" ht="14" hidden="1">
      <c r="B2032" s="1342"/>
      <c r="C2032" s="1342"/>
      <c r="D2032" s="1342"/>
      <c r="E2032" s="1342"/>
      <c r="F2032" s="1342"/>
      <c r="G2032" s="1342"/>
      <c r="H2032" s="1342"/>
      <c r="I2032" s="1342"/>
      <c r="J2032" s="1342"/>
      <c r="K2032" s="1342"/>
    </row>
    <row r="2033" spans="2:11" ht="14" hidden="1">
      <c r="B2033" s="1342"/>
      <c r="C2033" s="1342"/>
      <c r="D2033" s="1342"/>
      <c r="E2033" s="1342"/>
      <c r="F2033" s="1342"/>
      <c r="G2033" s="1342"/>
      <c r="H2033" s="1342"/>
      <c r="I2033" s="1342"/>
      <c r="J2033" s="1342"/>
      <c r="K2033" s="1342"/>
    </row>
    <row r="2034" spans="2:11" ht="14" hidden="1">
      <c r="B2034" s="1342"/>
      <c r="C2034" s="1342"/>
      <c r="D2034" s="1342"/>
      <c r="E2034" s="1342"/>
      <c r="F2034" s="1342"/>
      <c r="G2034" s="1342"/>
      <c r="H2034" s="1342"/>
      <c r="I2034" s="1342"/>
      <c r="J2034" s="1342"/>
      <c r="K2034" s="1342"/>
    </row>
    <row r="2035" spans="2:11" ht="14" hidden="1">
      <c r="B2035" s="1342"/>
      <c r="C2035" s="1342"/>
      <c r="D2035" s="1342"/>
      <c r="E2035" s="1342"/>
      <c r="F2035" s="1342"/>
      <c r="G2035" s="1342"/>
      <c r="H2035" s="1342"/>
      <c r="I2035" s="1342"/>
      <c r="J2035" s="1342"/>
      <c r="K2035" s="1342"/>
    </row>
    <row r="2036" spans="2:11" ht="14" hidden="1">
      <c r="B2036" s="1342"/>
      <c r="C2036" s="1342"/>
      <c r="D2036" s="1342"/>
      <c r="E2036" s="1342"/>
      <c r="F2036" s="1342"/>
      <c r="G2036" s="1342"/>
      <c r="H2036" s="1342"/>
      <c r="I2036" s="1342"/>
      <c r="J2036" s="1342"/>
      <c r="K2036" s="1342"/>
    </row>
    <row r="2037" spans="2:11" ht="14" hidden="1">
      <c r="B2037" s="1342"/>
      <c r="C2037" s="1342"/>
      <c r="D2037" s="1342"/>
      <c r="E2037" s="1342"/>
      <c r="F2037" s="1342"/>
      <c r="G2037" s="1342"/>
      <c r="H2037" s="1342"/>
      <c r="I2037" s="1342"/>
      <c r="J2037" s="1342"/>
      <c r="K2037" s="1342"/>
    </row>
    <row r="2038" spans="2:11" ht="14" hidden="1">
      <c r="B2038" s="1342"/>
      <c r="C2038" s="1342"/>
      <c r="D2038" s="1342"/>
      <c r="E2038" s="1342"/>
      <c r="F2038" s="1342"/>
      <c r="G2038" s="1342"/>
      <c r="H2038" s="1342"/>
      <c r="I2038" s="1342"/>
      <c r="J2038" s="1342"/>
      <c r="K2038" s="1342"/>
    </row>
    <row r="2039" spans="2:11" ht="14" hidden="1">
      <c r="B2039" s="1342"/>
      <c r="C2039" s="1342"/>
      <c r="D2039" s="1342"/>
      <c r="E2039" s="1342"/>
      <c r="F2039" s="1342"/>
      <c r="G2039" s="1342"/>
      <c r="H2039" s="1342"/>
      <c r="I2039" s="1342"/>
      <c r="J2039" s="1342"/>
      <c r="K2039" s="1342"/>
    </row>
    <row r="2040" spans="2:11" ht="14" hidden="1">
      <c r="B2040" s="1342"/>
      <c r="C2040" s="1342"/>
      <c r="D2040" s="1342"/>
      <c r="E2040" s="1342"/>
      <c r="F2040" s="1342"/>
      <c r="G2040" s="1342"/>
      <c r="H2040" s="1342"/>
      <c r="I2040" s="1342"/>
      <c r="J2040" s="1342"/>
      <c r="K2040" s="1342"/>
    </row>
    <row r="2041" spans="2:11" ht="14" hidden="1">
      <c r="B2041" s="1342"/>
      <c r="C2041" s="1342"/>
      <c r="D2041" s="1342"/>
      <c r="E2041" s="1342"/>
      <c r="F2041" s="1342"/>
      <c r="G2041" s="1342"/>
      <c r="H2041" s="1342"/>
      <c r="I2041" s="1342"/>
      <c r="J2041" s="1342"/>
      <c r="K2041" s="1342"/>
    </row>
    <row r="2042" spans="2:11" ht="14" hidden="1">
      <c r="B2042" s="1342"/>
      <c r="C2042" s="1342"/>
      <c r="D2042" s="1342"/>
      <c r="E2042" s="1342"/>
      <c r="F2042" s="1342"/>
      <c r="G2042" s="1342"/>
      <c r="H2042" s="1342"/>
      <c r="I2042" s="1342"/>
      <c r="J2042" s="1342"/>
      <c r="K2042" s="1342"/>
    </row>
    <row r="2043" spans="2:11" ht="14" hidden="1">
      <c r="B2043" s="1342"/>
      <c r="C2043" s="1342"/>
      <c r="D2043" s="1342"/>
      <c r="E2043" s="1342"/>
      <c r="F2043" s="1342"/>
      <c r="G2043" s="1342"/>
      <c r="H2043" s="1342"/>
      <c r="I2043" s="1342"/>
      <c r="J2043" s="1342"/>
      <c r="K2043" s="1342"/>
    </row>
    <row r="2044" spans="2:11" ht="14" hidden="1">
      <c r="B2044" s="1342"/>
      <c r="C2044" s="1342"/>
      <c r="D2044" s="1342"/>
      <c r="E2044" s="1342"/>
      <c r="F2044" s="1342"/>
      <c r="G2044" s="1342"/>
      <c r="H2044" s="1342"/>
      <c r="I2044" s="1342"/>
      <c r="J2044" s="1342"/>
      <c r="K2044" s="1342"/>
    </row>
    <row r="2045" spans="2:11" ht="14" hidden="1">
      <c r="B2045" s="1342"/>
      <c r="C2045" s="1342"/>
      <c r="D2045" s="1342"/>
      <c r="E2045" s="1342"/>
      <c r="F2045" s="1342"/>
      <c r="G2045" s="1342"/>
      <c r="H2045" s="1342"/>
      <c r="I2045" s="1342"/>
      <c r="J2045" s="1342"/>
      <c r="K2045" s="1342"/>
    </row>
    <row r="2046" spans="2:11" ht="14" hidden="1">
      <c r="B2046" s="1342"/>
      <c r="C2046" s="1342"/>
      <c r="D2046" s="1342"/>
      <c r="E2046" s="1342"/>
      <c r="F2046" s="1342"/>
      <c r="G2046" s="1342"/>
      <c r="H2046" s="1342"/>
      <c r="I2046" s="1342"/>
      <c r="J2046" s="1342"/>
      <c r="K2046" s="1342"/>
    </row>
    <row r="2047" spans="2:11" ht="14" hidden="1">
      <c r="B2047" s="1342"/>
      <c r="C2047" s="1342"/>
      <c r="D2047" s="1342"/>
      <c r="E2047" s="1342"/>
      <c r="F2047" s="1342"/>
      <c r="G2047" s="1342"/>
      <c r="H2047" s="1342"/>
      <c r="I2047" s="1342"/>
      <c r="J2047" s="1342"/>
      <c r="K2047" s="1342"/>
    </row>
    <row r="2048" spans="2:11" ht="14" hidden="1">
      <c r="B2048" s="1342"/>
      <c r="C2048" s="1342"/>
      <c r="D2048" s="1342"/>
      <c r="E2048" s="1342"/>
      <c r="F2048" s="1342"/>
      <c r="G2048" s="1342"/>
      <c r="H2048" s="1342"/>
      <c r="I2048" s="1342"/>
      <c r="J2048" s="1342"/>
      <c r="K2048" s="1342"/>
    </row>
    <row r="2049" spans="2:11" ht="14" hidden="1">
      <c r="B2049" s="1342"/>
      <c r="C2049" s="1342"/>
      <c r="D2049" s="1342"/>
      <c r="E2049" s="1342"/>
      <c r="F2049" s="1342"/>
      <c r="G2049" s="1342"/>
      <c r="H2049" s="1342"/>
      <c r="I2049" s="1342"/>
      <c r="J2049" s="1342"/>
      <c r="K2049" s="1342"/>
    </row>
    <row r="2050" spans="2:11" ht="14" hidden="1">
      <c r="B2050" s="1342"/>
      <c r="C2050" s="1342"/>
      <c r="D2050" s="1342"/>
      <c r="E2050" s="1342"/>
      <c r="F2050" s="1342"/>
      <c r="G2050" s="1342"/>
      <c r="H2050" s="1342"/>
      <c r="I2050" s="1342"/>
      <c r="J2050" s="1342"/>
      <c r="K2050" s="1342"/>
    </row>
    <row r="2051" spans="2:11" ht="14" hidden="1">
      <c r="B2051" s="1342"/>
      <c r="C2051" s="1342"/>
      <c r="D2051" s="1342"/>
      <c r="E2051" s="1342"/>
      <c r="F2051" s="1342"/>
      <c r="G2051" s="1342"/>
      <c r="H2051" s="1342"/>
      <c r="I2051" s="1342"/>
      <c r="J2051" s="1342"/>
      <c r="K2051" s="1342"/>
    </row>
    <row r="2052" spans="2:11" ht="14" hidden="1">
      <c r="B2052" s="1342"/>
      <c r="C2052" s="1342"/>
      <c r="D2052" s="1342"/>
      <c r="E2052" s="1342"/>
      <c r="F2052" s="1342"/>
      <c r="G2052" s="1342"/>
      <c r="H2052" s="1342"/>
      <c r="I2052" s="1342"/>
      <c r="J2052" s="1342"/>
      <c r="K2052" s="1342"/>
    </row>
    <row r="2053" spans="2:11" ht="14" hidden="1">
      <c r="B2053" s="1342"/>
      <c r="C2053" s="1342"/>
      <c r="D2053" s="1342"/>
      <c r="E2053" s="1342"/>
      <c r="F2053" s="1342"/>
      <c r="G2053" s="1342"/>
      <c r="H2053" s="1342"/>
      <c r="I2053" s="1342"/>
      <c r="J2053" s="1342"/>
      <c r="K2053" s="1342"/>
    </row>
    <row r="2054" spans="2:11" ht="14" hidden="1">
      <c r="B2054" s="1342"/>
      <c r="C2054" s="1342"/>
      <c r="D2054" s="1342"/>
      <c r="E2054" s="1342"/>
      <c r="F2054" s="1342"/>
      <c r="G2054" s="1342"/>
      <c r="H2054" s="1342"/>
      <c r="I2054" s="1342"/>
      <c r="J2054" s="1342"/>
      <c r="K2054" s="1342"/>
    </row>
    <row r="2055" spans="2:11" ht="14" hidden="1">
      <c r="B2055" s="1342"/>
      <c r="C2055" s="1342"/>
      <c r="D2055" s="1342"/>
      <c r="E2055" s="1342"/>
      <c r="F2055" s="1342"/>
      <c r="G2055" s="1342"/>
      <c r="H2055" s="1342"/>
      <c r="I2055" s="1342"/>
      <c r="J2055" s="1342"/>
      <c r="K2055" s="1342"/>
    </row>
    <row r="2056" spans="2:11" ht="14" hidden="1">
      <c r="B2056" s="1342"/>
      <c r="C2056" s="1342"/>
      <c r="D2056" s="1342"/>
      <c r="E2056" s="1342"/>
      <c r="F2056" s="1342"/>
      <c r="G2056" s="1342"/>
      <c r="H2056" s="1342"/>
      <c r="I2056" s="1342"/>
      <c r="J2056" s="1342"/>
      <c r="K2056" s="1342"/>
    </row>
    <row r="2057" spans="2:11" ht="14" hidden="1">
      <c r="B2057" s="1342"/>
      <c r="C2057" s="1342"/>
      <c r="D2057" s="1342"/>
      <c r="E2057" s="1342"/>
      <c r="F2057" s="1342"/>
      <c r="G2057" s="1342"/>
      <c r="H2057" s="1342"/>
      <c r="I2057" s="1342"/>
      <c r="J2057" s="1342"/>
      <c r="K2057" s="1342"/>
    </row>
    <row r="2058" spans="2:11" ht="14" hidden="1">
      <c r="B2058" s="1342"/>
      <c r="C2058" s="1342"/>
      <c r="D2058" s="1342"/>
      <c r="E2058" s="1342"/>
      <c r="F2058" s="1342"/>
      <c r="G2058" s="1342"/>
      <c r="H2058" s="1342"/>
      <c r="I2058" s="1342"/>
      <c r="J2058" s="1342"/>
      <c r="K2058" s="1342"/>
    </row>
    <row r="2059" spans="2:11" ht="14" hidden="1">
      <c r="B2059" s="1342"/>
      <c r="C2059" s="1342"/>
      <c r="D2059" s="1342"/>
      <c r="E2059" s="1342"/>
      <c r="F2059" s="1342"/>
      <c r="G2059" s="1342"/>
      <c r="H2059" s="1342"/>
      <c r="I2059" s="1342"/>
      <c r="J2059" s="1342"/>
      <c r="K2059" s="1342"/>
    </row>
    <row r="2060" spans="2:11" ht="14" hidden="1">
      <c r="B2060" s="1342"/>
      <c r="C2060" s="1342"/>
      <c r="D2060" s="1342"/>
      <c r="E2060" s="1342"/>
      <c r="F2060" s="1342"/>
      <c r="G2060" s="1342"/>
      <c r="H2060" s="1342"/>
      <c r="I2060" s="1342"/>
      <c r="J2060" s="1342"/>
      <c r="K2060" s="1342"/>
    </row>
    <row r="2061" spans="2:11" ht="14" hidden="1">
      <c r="B2061" s="1342"/>
      <c r="C2061" s="1342"/>
      <c r="D2061" s="1342"/>
      <c r="E2061" s="1342"/>
      <c r="F2061" s="1342"/>
      <c r="G2061" s="1342"/>
      <c r="H2061" s="1342"/>
      <c r="I2061" s="1342"/>
      <c r="J2061" s="1342"/>
      <c r="K2061" s="1342"/>
    </row>
    <row r="2062" spans="2:11" ht="14" hidden="1">
      <c r="B2062" s="1342"/>
      <c r="C2062" s="1342"/>
      <c r="D2062" s="1342"/>
      <c r="E2062" s="1342"/>
      <c r="F2062" s="1342"/>
      <c r="G2062" s="1342"/>
      <c r="H2062" s="1342"/>
      <c r="I2062" s="1342"/>
      <c r="J2062" s="1342"/>
      <c r="K2062" s="1342"/>
    </row>
    <row r="2063" spans="2:11" ht="14" hidden="1">
      <c r="B2063" s="1342"/>
      <c r="C2063" s="1342"/>
      <c r="D2063" s="1342"/>
      <c r="E2063" s="1342"/>
      <c r="F2063" s="1342"/>
      <c r="G2063" s="1342"/>
      <c r="H2063" s="1342"/>
      <c r="I2063" s="1342"/>
      <c r="J2063" s="1342"/>
      <c r="K2063" s="1342"/>
    </row>
    <row r="2064" spans="2:11" ht="14" hidden="1">
      <c r="B2064" s="1342"/>
      <c r="C2064" s="1342"/>
      <c r="D2064" s="1342"/>
      <c r="E2064" s="1342"/>
      <c r="F2064" s="1342"/>
      <c r="G2064" s="1342"/>
      <c r="H2064" s="1342"/>
      <c r="I2064" s="1342"/>
      <c r="J2064" s="1342"/>
      <c r="K2064" s="1342"/>
    </row>
    <row r="2065" spans="2:11" ht="14" hidden="1">
      <c r="B2065" s="1342"/>
      <c r="C2065" s="1342"/>
      <c r="D2065" s="1342"/>
      <c r="E2065" s="1342"/>
      <c r="F2065" s="1342"/>
      <c r="G2065" s="1342"/>
      <c r="H2065" s="1342"/>
      <c r="I2065" s="1342"/>
      <c r="J2065" s="1342"/>
      <c r="K2065" s="1342"/>
    </row>
    <row r="2066" spans="2:11" ht="14" hidden="1">
      <c r="B2066" s="1342"/>
      <c r="C2066" s="1342"/>
      <c r="D2066" s="1342"/>
      <c r="E2066" s="1342"/>
      <c r="F2066" s="1342"/>
      <c r="G2066" s="1342"/>
      <c r="H2066" s="1342"/>
      <c r="I2066" s="1342"/>
      <c r="J2066" s="1342"/>
      <c r="K2066" s="1342"/>
    </row>
    <row r="2067" spans="2:11" ht="14" hidden="1">
      <c r="B2067" s="1342"/>
      <c r="C2067" s="1342"/>
      <c r="D2067" s="1342"/>
      <c r="E2067" s="1342"/>
      <c r="F2067" s="1342"/>
      <c r="G2067" s="1342"/>
      <c r="H2067" s="1342"/>
      <c r="I2067" s="1342"/>
      <c r="J2067" s="1342"/>
      <c r="K2067" s="1342"/>
    </row>
    <row r="2068" spans="2:11" ht="14" hidden="1">
      <c r="B2068" s="1342"/>
      <c r="C2068" s="1342"/>
      <c r="D2068" s="1342"/>
      <c r="E2068" s="1342"/>
      <c r="F2068" s="1342"/>
      <c r="G2068" s="1342"/>
      <c r="H2068" s="1342"/>
      <c r="I2068" s="1342"/>
      <c r="J2068" s="1342"/>
      <c r="K2068" s="1342"/>
    </row>
    <row r="2069" spans="2:11" ht="14" hidden="1">
      <c r="B2069" s="1342"/>
      <c r="C2069" s="1342"/>
      <c r="D2069" s="1342"/>
      <c r="E2069" s="1342"/>
      <c r="F2069" s="1342"/>
      <c r="G2069" s="1342"/>
      <c r="H2069" s="1342"/>
      <c r="I2069" s="1342"/>
      <c r="J2069" s="1342"/>
      <c r="K2069" s="1342"/>
    </row>
    <row r="2070" spans="2:11" ht="14" hidden="1">
      <c r="B2070" s="1342"/>
      <c r="C2070" s="1342"/>
      <c r="D2070" s="1342"/>
      <c r="E2070" s="1342"/>
      <c r="F2070" s="1342"/>
      <c r="G2070" s="1342"/>
      <c r="H2070" s="1342"/>
      <c r="I2070" s="1342"/>
      <c r="J2070" s="1342"/>
      <c r="K2070" s="1342"/>
    </row>
    <row r="2071" spans="2:11" ht="14" hidden="1">
      <c r="B2071" s="1342"/>
      <c r="C2071" s="1342"/>
      <c r="D2071" s="1342"/>
      <c r="E2071" s="1342"/>
      <c r="F2071" s="1342"/>
      <c r="G2071" s="1342"/>
      <c r="H2071" s="1342"/>
      <c r="I2071" s="1342"/>
      <c r="J2071" s="1342"/>
      <c r="K2071" s="1342"/>
    </row>
    <row r="2072" spans="2:11" ht="14" hidden="1">
      <c r="B2072" s="1342"/>
      <c r="C2072" s="1342"/>
      <c r="D2072" s="1342"/>
      <c r="E2072" s="1342"/>
      <c r="F2072" s="1342"/>
      <c r="G2072" s="1342"/>
      <c r="H2072" s="1342"/>
      <c r="I2072" s="1342"/>
      <c r="J2072" s="1342"/>
      <c r="K2072" s="1342"/>
    </row>
    <row r="2073" spans="2:11" ht="14" hidden="1">
      <c r="B2073" s="1342"/>
      <c r="C2073" s="1342"/>
      <c r="D2073" s="1342"/>
      <c r="E2073" s="1342"/>
      <c r="F2073" s="1342"/>
      <c r="G2073" s="1342"/>
      <c r="H2073" s="1342"/>
      <c r="I2073" s="1342"/>
      <c r="J2073" s="1342"/>
      <c r="K2073" s="1342"/>
    </row>
    <row r="2074" spans="2:11" ht="14" hidden="1">
      <c r="B2074" s="1342"/>
      <c r="C2074" s="1342"/>
      <c r="D2074" s="1342"/>
      <c r="E2074" s="1342"/>
      <c r="F2074" s="1342"/>
      <c r="G2074" s="1342"/>
      <c r="H2074" s="1342"/>
      <c r="I2074" s="1342"/>
      <c r="J2074" s="1342"/>
      <c r="K2074" s="1342"/>
    </row>
    <row r="2075" spans="2:11" ht="14" hidden="1">
      <c r="B2075" s="1342"/>
      <c r="C2075" s="1342"/>
      <c r="D2075" s="1342"/>
      <c r="E2075" s="1342"/>
      <c r="F2075" s="1342"/>
      <c r="G2075" s="1342"/>
      <c r="H2075" s="1342"/>
      <c r="I2075" s="1342"/>
      <c r="J2075" s="1342"/>
      <c r="K2075" s="1342"/>
    </row>
    <row r="2076" spans="2:11" ht="14" hidden="1">
      <c r="B2076" s="1342"/>
      <c r="C2076" s="1342"/>
      <c r="D2076" s="1342"/>
      <c r="E2076" s="1342"/>
      <c r="F2076" s="1342"/>
      <c r="G2076" s="1342"/>
      <c r="H2076" s="1342"/>
      <c r="I2076" s="1342"/>
      <c r="J2076" s="1342"/>
      <c r="K2076" s="1342"/>
    </row>
    <row r="2077" spans="2:11" ht="14" hidden="1">
      <c r="B2077" s="1342"/>
      <c r="C2077" s="1342"/>
      <c r="D2077" s="1342"/>
      <c r="E2077" s="1342"/>
      <c r="F2077" s="1342"/>
      <c r="G2077" s="1342"/>
      <c r="H2077" s="1342"/>
      <c r="I2077" s="1342"/>
      <c r="J2077" s="1342"/>
      <c r="K2077" s="1342"/>
    </row>
    <row r="2078" spans="2:11" ht="14" hidden="1">
      <c r="B2078" s="1342"/>
      <c r="C2078" s="1342"/>
      <c r="D2078" s="1342"/>
      <c r="E2078" s="1342"/>
      <c r="F2078" s="1342"/>
      <c r="G2078" s="1342"/>
      <c r="H2078" s="1342"/>
      <c r="I2078" s="1342"/>
      <c r="J2078" s="1342"/>
      <c r="K2078" s="1342"/>
    </row>
    <row r="2079" spans="2:11" ht="14" hidden="1">
      <c r="B2079" s="1342"/>
      <c r="C2079" s="1342"/>
      <c r="D2079" s="1342"/>
      <c r="E2079" s="1342"/>
      <c r="F2079" s="1342"/>
      <c r="G2079" s="1342"/>
      <c r="H2079" s="1342"/>
      <c r="I2079" s="1342"/>
      <c r="J2079" s="1342"/>
      <c r="K2079" s="1342"/>
    </row>
    <row r="2080" spans="2:11" ht="14" hidden="1">
      <c r="B2080" s="1342"/>
      <c r="C2080" s="1342"/>
      <c r="D2080" s="1342"/>
      <c r="E2080" s="1342"/>
      <c r="F2080" s="1342"/>
      <c r="G2080" s="1342"/>
      <c r="H2080" s="1342"/>
      <c r="I2080" s="1342"/>
      <c r="J2080" s="1342"/>
      <c r="K2080" s="1342"/>
    </row>
    <row r="2081" spans="2:11" ht="14" hidden="1">
      <c r="B2081" s="1342"/>
      <c r="C2081" s="1342"/>
      <c r="D2081" s="1342"/>
      <c r="E2081" s="1342"/>
      <c r="F2081" s="1342"/>
      <c r="G2081" s="1342"/>
      <c r="H2081" s="1342"/>
      <c r="I2081" s="1342"/>
      <c r="J2081" s="1342"/>
      <c r="K2081" s="1342"/>
    </row>
    <row r="2082" spans="2:11" ht="14" hidden="1">
      <c r="B2082" s="1342"/>
      <c r="C2082" s="1342"/>
      <c r="D2082" s="1342"/>
      <c r="E2082" s="1342"/>
      <c r="F2082" s="1342"/>
      <c r="G2082" s="1342"/>
      <c r="H2082" s="1342"/>
      <c r="I2082" s="1342"/>
      <c r="J2082" s="1342"/>
      <c r="K2082" s="1342"/>
    </row>
    <row r="2083" spans="2:11" ht="14" hidden="1">
      <c r="B2083" s="1342"/>
      <c r="C2083" s="1342"/>
      <c r="D2083" s="1342"/>
      <c r="E2083" s="1342"/>
      <c r="F2083" s="1342"/>
      <c r="G2083" s="1342"/>
      <c r="H2083" s="1342"/>
      <c r="I2083" s="1342"/>
      <c r="J2083" s="1342"/>
      <c r="K2083" s="1342"/>
    </row>
    <row r="2084" spans="2:11" ht="14" hidden="1">
      <c r="B2084" s="1342"/>
      <c r="C2084" s="1342"/>
      <c r="D2084" s="1342"/>
      <c r="E2084" s="1342"/>
      <c r="F2084" s="1342"/>
      <c r="G2084" s="1342"/>
      <c r="H2084" s="1342"/>
      <c r="I2084" s="1342"/>
      <c r="J2084" s="1342"/>
      <c r="K2084" s="1342"/>
    </row>
    <row r="2085" spans="2:11" ht="14" hidden="1">
      <c r="B2085" s="1342"/>
      <c r="C2085" s="1342"/>
      <c r="D2085" s="1342"/>
      <c r="E2085" s="1342"/>
      <c r="F2085" s="1342"/>
      <c r="G2085" s="1342"/>
      <c r="H2085" s="1342"/>
      <c r="I2085" s="1342"/>
      <c r="J2085" s="1342"/>
      <c r="K2085" s="1342"/>
    </row>
    <row r="2086" spans="2:11" ht="14" hidden="1">
      <c r="B2086" s="1342"/>
      <c r="C2086" s="1342"/>
      <c r="D2086" s="1342"/>
      <c r="E2086" s="1342"/>
      <c r="F2086" s="1342"/>
      <c r="G2086" s="1342"/>
      <c r="H2086" s="1342"/>
      <c r="I2086" s="1342"/>
      <c r="J2086" s="1342"/>
      <c r="K2086" s="1342"/>
    </row>
    <row r="2087" spans="2:11" ht="14" hidden="1">
      <c r="B2087" s="1342"/>
      <c r="C2087" s="1342"/>
      <c r="D2087" s="1342"/>
      <c r="E2087" s="1342"/>
      <c r="F2087" s="1342"/>
      <c r="G2087" s="1342"/>
      <c r="H2087" s="1342"/>
      <c r="I2087" s="1342"/>
      <c r="J2087" s="1342"/>
      <c r="K2087" s="1342"/>
    </row>
    <row r="2088" spans="2:11" ht="14" hidden="1">
      <c r="B2088" s="1342"/>
      <c r="C2088" s="1342"/>
      <c r="D2088" s="1342"/>
      <c r="E2088" s="1342"/>
      <c r="F2088" s="1342"/>
      <c r="G2088" s="1342"/>
      <c r="H2088" s="1342"/>
      <c r="I2088" s="1342"/>
      <c r="J2088" s="1342"/>
      <c r="K2088" s="1342"/>
    </row>
    <row r="2089" spans="2:11" ht="14" hidden="1">
      <c r="B2089" s="1342"/>
      <c r="C2089" s="1342"/>
      <c r="D2089" s="1342"/>
      <c r="E2089" s="1342"/>
      <c r="F2089" s="1342"/>
      <c r="G2089" s="1342"/>
      <c r="H2089" s="1342"/>
      <c r="I2089" s="1342"/>
      <c r="J2089" s="1342"/>
      <c r="K2089" s="1342"/>
    </row>
    <row r="2090" spans="2:11" ht="14" hidden="1">
      <c r="B2090" s="1342"/>
      <c r="C2090" s="1342"/>
      <c r="D2090" s="1342"/>
      <c r="E2090" s="1342"/>
      <c r="F2090" s="1342"/>
      <c r="G2090" s="1342"/>
      <c r="H2090" s="1342"/>
      <c r="I2090" s="1342"/>
      <c r="J2090" s="1342"/>
      <c r="K2090" s="1342"/>
    </row>
    <row r="2091" spans="2:11" ht="14" hidden="1">
      <c r="B2091" s="1342"/>
      <c r="C2091" s="1342"/>
      <c r="D2091" s="1342"/>
      <c r="E2091" s="1342"/>
      <c r="F2091" s="1342"/>
      <c r="G2091" s="1342"/>
      <c r="H2091" s="1342"/>
      <c r="I2091" s="1342"/>
      <c r="J2091" s="1342"/>
      <c r="K2091" s="1342"/>
    </row>
    <row r="2092" spans="2:11" ht="14" hidden="1">
      <c r="B2092" s="1342"/>
      <c r="C2092" s="1342"/>
      <c r="D2092" s="1342"/>
      <c r="E2092" s="1342"/>
      <c r="F2092" s="1342"/>
      <c r="G2092" s="1342"/>
      <c r="H2092" s="1342"/>
      <c r="I2092" s="1342"/>
      <c r="J2092" s="1342"/>
      <c r="K2092" s="1342"/>
    </row>
    <row r="2093" spans="2:11" ht="14" hidden="1">
      <c r="B2093" s="1342"/>
      <c r="C2093" s="1342"/>
      <c r="D2093" s="1342"/>
      <c r="E2093" s="1342"/>
      <c r="F2093" s="1342"/>
      <c r="G2093" s="1342"/>
      <c r="H2093" s="1342"/>
      <c r="I2093" s="1342"/>
      <c r="J2093" s="1342"/>
      <c r="K2093" s="1342"/>
    </row>
    <row r="2094" spans="2:11" ht="14" hidden="1">
      <c r="B2094" s="1342"/>
      <c r="C2094" s="1342"/>
      <c r="D2094" s="1342"/>
      <c r="E2094" s="1342"/>
      <c r="F2094" s="1342"/>
      <c r="G2094" s="1342"/>
      <c r="H2094" s="1342"/>
      <c r="I2094" s="1342"/>
      <c r="J2094" s="1342"/>
      <c r="K2094" s="1342"/>
    </row>
    <row r="2095" spans="2:11" ht="14" hidden="1">
      <c r="B2095" s="1342"/>
      <c r="C2095" s="1342"/>
      <c r="D2095" s="1342"/>
      <c r="E2095" s="1342"/>
      <c r="F2095" s="1342"/>
      <c r="G2095" s="1342"/>
      <c r="H2095" s="1342"/>
      <c r="I2095" s="1342"/>
      <c r="J2095" s="1342"/>
      <c r="K2095" s="1342"/>
    </row>
    <row r="2096" spans="2:11" ht="14" hidden="1">
      <c r="B2096" s="1342"/>
      <c r="C2096" s="1342"/>
      <c r="D2096" s="1342"/>
      <c r="E2096" s="1342"/>
      <c r="F2096" s="1342"/>
      <c r="G2096" s="1342"/>
      <c r="H2096" s="1342"/>
      <c r="I2096" s="1342"/>
      <c r="J2096" s="1342"/>
      <c r="K2096" s="1342"/>
    </row>
    <row r="2097" spans="2:11" ht="14" hidden="1">
      <c r="B2097" s="1342"/>
      <c r="C2097" s="1342"/>
      <c r="D2097" s="1342"/>
      <c r="E2097" s="1342"/>
      <c r="F2097" s="1342"/>
      <c r="G2097" s="1342"/>
      <c r="H2097" s="1342"/>
      <c r="I2097" s="1342"/>
      <c r="J2097" s="1342"/>
      <c r="K2097" s="1342"/>
    </row>
    <row r="2098" spans="2:11" ht="14" hidden="1">
      <c r="B2098" s="1342"/>
      <c r="C2098" s="1342"/>
      <c r="D2098" s="1342"/>
      <c r="E2098" s="1342"/>
      <c r="F2098" s="1342"/>
      <c r="G2098" s="1342"/>
      <c r="H2098" s="1342"/>
      <c r="I2098" s="1342"/>
      <c r="J2098" s="1342"/>
      <c r="K2098" s="1342"/>
    </row>
    <row r="2099" spans="2:11" ht="14" hidden="1">
      <c r="B2099" s="1342"/>
      <c r="C2099" s="1342"/>
      <c r="D2099" s="1342"/>
      <c r="E2099" s="1342"/>
      <c r="F2099" s="1342"/>
      <c r="G2099" s="1342"/>
      <c r="H2099" s="1342"/>
      <c r="I2099" s="1342"/>
      <c r="J2099" s="1342"/>
      <c r="K2099" s="1342"/>
    </row>
    <row r="2100" spans="2:11" ht="14" hidden="1">
      <c r="B2100" s="1342"/>
      <c r="C2100" s="1342"/>
      <c r="D2100" s="1342"/>
      <c r="E2100" s="1342"/>
      <c r="F2100" s="1342"/>
      <c r="G2100" s="1342"/>
      <c r="H2100" s="1342"/>
      <c r="I2100" s="1342"/>
      <c r="J2100" s="1342"/>
      <c r="K2100" s="1342"/>
    </row>
    <row r="2101" spans="2:11" ht="14" hidden="1">
      <c r="B2101" s="1342"/>
      <c r="C2101" s="1342"/>
      <c r="D2101" s="1342"/>
      <c r="E2101" s="1342"/>
      <c r="F2101" s="1342"/>
      <c r="G2101" s="1342"/>
      <c r="H2101" s="1342"/>
      <c r="I2101" s="1342"/>
      <c r="J2101" s="1342"/>
      <c r="K2101" s="1342"/>
    </row>
    <row r="2102" spans="2:11" ht="14" hidden="1">
      <c r="B2102" s="1342"/>
      <c r="C2102" s="1342"/>
      <c r="D2102" s="1342"/>
      <c r="E2102" s="1342"/>
      <c r="F2102" s="1342"/>
      <c r="G2102" s="1342"/>
      <c r="H2102" s="1342"/>
      <c r="I2102" s="1342"/>
      <c r="J2102" s="1342"/>
      <c r="K2102" s="1342"/>
    </row>
    <row r="2103" spans="2:11" ht="14" hidden="1">
      <c r="B2103" s="1342"/>
      <c r="C2103" s="1342"/>
      <c r="D2103" s="1342"/>
      <c r="E2103" s="1342"/>
      <c r="F2103" s="1342"/>
      <c r="G2103" s="1342"/>
      <c r="H2103" s="1342"/>
      <c r="I2103" s="1342"/>
      <c r="J2103" s="1342"/>
      <c r="K2103" s="1342"/>
    </row>
    <row r="2104" spans="2:11" ht="14" hidden="1">
      <c r="B2104" s="1342"/>
      <c r="C2104" s="1342"/>
      <c r="D2104" s="1342"/>
      <c r="E2104" s="1342"/>
      <c r="F2104" s="1342"/>
      <c r="G2104" s="1342"/>
      <c r="H2104" s="1342"/>
      <c r="I2104" s="1342"/>
      <c r="J2104" s="1342"/>
      <c r="K2104" s="1342"/>
    </row>
    <row r="2105" spans="2:11" ht="14" hidden="1">
      <c r="B2105" s="1342"/>
      <c r="C2105" s="1342"/>
      <c r="D2105" s="1342"/>
      <c r="E2105" s="1342"/>
      <c r="F2105" s="1342"/>
      <c r="G2105" s="1342"/>
      <c r="H2105" s="1342"/>
      <c r="I2105" s="1342"/>
      <c r="J2105" s="1342"/>
      <c r="K2105" s="1342"/>
    </row>
    <row r="2106" spans="2:11" ht="14" hidden="1">
      <c r="B2106" s="1342"/>
      <c r="C2106" s="1342"/>
      <c r="D2106" s="1342"/>
      <c r="E2106" s="1342"/>
      <c r="F2106" s="1342"/>
      <c r="G2106" s="1342"/>
      <c r="H2106" s="1342"/>
      <c r="I2106" s="1342"/>
      <c r="J2106" s="1342"/>
      <c r="K2106" s="1342"/>
    </row>
    <row r="2107" spans="2:11" ht="14" hidden="1">
      <c r="B2107" s="1342"/>
      <c r="C2107" s="1342"/>
      <c r="D2107" s="1342"/>
      <c r="E2107" s="1342"/>
      <c r="F2107" s="1342"/>
      <c r="G2107" s="1342"/>
      <c r="H2107" s="1342"/>
      <c r="I2107" s="1342"/>
      <c r="J2107" s="1342"/>
      <c r="K2107" s="1342"/>
    </row>
    <row r="2108" spans="2:11" ht="14" hidden="1">
      <c r="B2108" s="1342"/>
      <c r="C2108" s="1342"/>
      <c r="D2108" s="1342"/>
      <c r="E2108" s="1342"/>
      <c r="F2108" s="1342"/>
      <c r="G2108" s="1342"/>
      <c r="H2108" s="1342"/>
      <c r="I2108" s="1342"/>
      <c r="J2108" s="1342"/>
      <c r="K2108" s="1342"/>
    </row>
    <row r="2109" spans="2:11" ht="14" hidden="1">
      <c r="B2109" s="1342"/>
      <c r="C2109" s="1342"/>
      <c r="D2109" s="1342"/>
      <c r="E2109" s="1342"/>
      <c r="F2109" s="1342"/>
      <c r="G2109" s="1342"/>
      <c r="H2109" s="1342"/>
      <c r="I2109" s="1342"/>
      <c r="J2109" s="1342"/>
      <c r="K2109" s="1342"/>
    </row>
    <row r="2110" spans="2:11" ht="14" hidden="1">
      <c r="B2110" s="1342"/>
      <c r="C2110" s="1342"/>
      <c r="D2110" s="1342"/>
      <c r="E2110" s="1342"/>
      <c r="F2110" s="1342"/>
      <c r="G2110" s="1342"/>
      <c r="H2110" s="1342"/>
      <c r="I2110" s="1342"/>
      <c r="J2110" s="1342"/>
      <c r="K2110" s="1342"/>
    </row>
    <row r="2111" spans="2:11" ht="14" hidden="1">
      <c r="B2111" s="1342"/>
      <c r="C2111" s="1342"/>
      <c r="D2111" s="1342"/>
      <c r="E2111" s="1342"/>
      <c r="F2111" s="1342"/>
      <c r="G2111" s="1342"/>
      <c r="H2111" s="1342"/>
      <c r="I2111" s="1342"/>
      <c r="J2111" s="1342"/>
      <c r="K2111" s="1342"/>
    </row>
    <row r="2112" spans="2:11" ht="14" hidden="1">
      <c r="B2112" s="1342"/>
      <c r="C2112" s="1342"/>
      <c r="D2112" s="1342"/>
      <c r="E2112" s="1342"/>
      <c r="F2112" s="1342"/>
      <c r="G2112" s="1342"/>
      <c r="H2112" s="1342"/>
      <c r="I2112" s="1342"/>
      <c r="J2112" s="1342"/>
      <c r="K2112" s="1342"/>
    </row>
    <row r="2113" spans="2:11" ht="14" hidden="1">
      <c r="B2113" s="1342"/>
      <c r="C2113" s="1342"/>
      <c r="D2113" s="1342"/>
      <c r="E2113" s="1342"/>
      <c r="F2113" s="1342"/>
      <c r="G2113" s="1342"/>
      <c r="H2113" s="1342"/>
      <c r="I2113" s="1342"/>
      <c r="J2113" s="1342"/>
      <c r="K2113" s="1342"/>
    </row>
    <row r="2114" spans="2:11" ht="14" hidden="1">
      <c r="B2114" s="1342"/>
      <c r="C2114" s="1342"/>
      <c r="D2114" s="1342"/>
      <c r="E2114" s="1342"/>
      <c r="F2114" s="1342"/>
      <c r="G2114" s="1342"/>
      <c r="H2114" s="1342"/>
      <c r="I2114" s="1342"/>
      <c r="J2114" s="1342"/>
      <c r="K2114" s="1342"/>
    </row>
    <row r="2115" spans="2:11" ht="14" hidden="1">
      <c r="B2115" s="1342"/>
      <c r="C2115" s="1342"/>
      <c r="D2115" s="1342"/>
      <c r="E2115" s="1342"/>
      <c r="F2115" s="1342"/>
      <c r="G2115" s="1342"/>
      <c r="H2115" s="1342"/>
      <c r="I2115" s="1342"/>
      <c r="J2115" s="1342"/>
      <c r="K2115" s="1342"/>
    </row>
    <row r="2116" spans="2:11" ht="14" hidden="1">
      <c r="B2116" s="1342"/>
      <c r="C2116" s="1342"/>
      <c r="D2116" s="1342"/>
      <c r="E2116" s="1342"/>
      <c r="F2116" s="1342"/>
      <c r="G2116" s="1342"/>
      <c r="H2116" s="1342"/>
      <c r="I2116" s="1342"/>
      <c r="J2116" s="1342"/>
      <c r="K2116" s="1342"/>
    </row>
    <row r="2117" spans="2:11" ht="14" hidden="1">
      <c r="B2117" s="1342"/>
      <c r="C2117" s="1342"/>
      <c r="D2117" s="1342"/>
      <c r="E2117" s="1342"/>
      <c r="F2117" s="1342"/>
      <c r="G2117" s="1342"/>
      <c r="H2117" s="1342"/>
      <c r="I2117" s="1342"/>
      <c r="J2117" s="1342"/>
      <c r="K2117" s="1342"/>
    </row>
    <row r="2118" spans="2:11" ht="14" hidden="1">
      <c r="B2118" s="1342"/>
      <c r="C2118" s="1342"/>
      <c r="D2118" s="1342"/>
      <c r="E2118" s="1342"/>
      <c r="F2118" s="1342"/>
      <c r="G2118" s="1342"/>
      <c r="H2118" s="1342"/>
      <c r="I2118" s="1342"/>
      <c r="J2118" s="1342"/>
      <c r="K2118" s="1342"/>
    </row>
    <row r="2119" spans="2:11" ht="14" hidden="1">
      <c r="B2119" s="1342"/>
      <c r="C2119" s="1342"/>
      <c r="D2119" s="1342"/>
      <c r="E2119" s="1342"/>
      <c r="F2119" s="1342"/>
      <c r="G2119" s="1342"/>
      <c r="H2119" s="1342"/>
      <c r="I2119" s="1342"/>
      <c r="J2119" s="1342"/>
      <c r="K2119" s="1342"/>
    </row>
    <row r="2120" spans="2:11" ht="14" hidden="1">
      <c r="B2120" s="1342"/>
      <c r="C2120" s="1342"/>
      <c r="D2120" s="1342"/>
      <c r="E2120" s="1342"/>
      <c r="F2120" s="1342"/>
      <c r="G2120" s="1342"/>
      <c r="H2120" s="1342"/>
      <c r="I2120" s="1342"/>
      <c r="J2120" s="1342"/>
      <c r="K2120" s="1342"/>
    </row>
    <row r="2121" spans="2:11" ht="14" hidden="1">
      <c r="B2121" s="1342"/>
      <c r="C2121" s="1342"/>
      <c r="D2121" s="1342"/>
      <c r="E2121" s="1342"/>
      <c r="F2121" s="1342"/>
      <c r="G2121" s="1342"/>
      <c r="H2121" s="1342"/>
      <c r="I2121" s="1342"/>
      <c r="J2121" s="1342"/>
      <c r="K2121" s="1342"/>
    </row>
    <row r="2122" spans="2:11" ht="14" hidden="1">
      <c r="B2122" s="1342"/>
      <c r="C2122" s="1342"/>
      <c r="D2122" s="1342"/>
      <c r="E2122" s="1342"/>
      <c r="F2122" s="1342"/>
      <c r="G2122" s="1342"/>
      <c r="H2122" s="1342"/>
      <c r="I2122" s="1342"/>
      <c r="J2122" s="1342"/>
      <c r="K2122" s="1342"/>
    </row>
    <row r="2123" spans="2:11" ht="14" hidden="1">
      <c r="B2123" s="1342"/>
      <c r="C2123" s="1342"/>
      <c r="D2123" s="1342"/>
      <c r="E2123" s="1342"/>
      <c r="F2123" s="1342"/>
      <c r="G2123" s="1342"/>
      <c r="H2123" s="1342"/>
      <c r="I2123" s="1342"/>
      <c r="J2123" s="1342"/>
      <c r="K2123" s="1342"/>
    </row>
    <row r="2124" spans="2:11" ht="14" hidden="1">
      <c r="B2124" s="1342"/>
      <c r="C2124" s="1342"/>
      <c r="D2124" s="1342"/>
      <c r="E2124" s="1342"/>
      <c r="F2124" s="1342"/>
      <c r="G2124" s="1342"/>
      <c r="H2124" s="1342"/>
      <c r="I2124" s="1342"/>
      <c r="J2124" s="1342"/>
      <c r="K2124" s="1342"/>
    </row>
    <row r="2125" spans="2:11" ht="14" hidden="1">
      <c r="B2125" s="1342"/>
      <c r="C2125" s="1342"/>
      <c r="D2125" s="1342"/>
      <c r="E2125" s="1342"/>
      <c r="F2125" s="1342"/>
      <c r="G2125" s="1342"/>
      <c r="H2125" s="1342"/>
      <c r="I2125" s="1342"/>
      <c r="J2125" s="1342"/>
      <c r="K2125" s="1342"/>
    </row>
    <row r="2126" spans="2:11" ht="14" hidden="1">
      <c r="B2126" s="1342"/>
      <c r="C2126" s="1342"/>
      <c r="D2126" s="1342"/>
      <c r="E2126" s="1342"/>
      <c r="F2126" s="1342"/>
      <c r="G2126" s="1342"/>
      <c r="H2126" s="1342"/>
      <c r="I2126" s="1342"/>
      <c r="J2126" s="1342"/>
      <c r="K2126" s="1342"/>
    </row>
    <row r="2127" spans="2:11" ht="14" hidden="1">
      <c r="B2127" s="1342"/>
      <c r="C2127" s="1342"/>
      <c r="D2127" s="1342"/>
      <c r="E2127" s="1342"/>
      <c r="F2127" s="1342"/>
      <c r="G2127" s="1342"/>
      <c r="H2127" s="1342"/>
      <c r="I2127" s="1342"/>
      <c r="J2127" s="1342"/>
      <c r="K2127" s="1342"/>
    </row>
    <row r="2128" spans="2:11" ht="14" hidden="1">
      <c r="B2128" s="1342"/>
      <c r="C2128" s="1342"/>
      <c r="D2128" s="1342"/>
      <c r="E2128" s="1342"/>
      <c r="F2128" s="1342"/>
      <c r="G2128" s="1342"/>
      <c r="H2128" s="1342"/>
      <c r="I2128" s="1342"/>
      <c r="J2128" s="1342"/>
      <c r="K2128" s="1342"/>
    </row>
    <row r="2129" spans="2:11" ht="14" hidden="1">
      <c r="B2129" s="1342"/>
      <c r="C2129" s="1342"/>
      <c r="D2129" s="1342"/>
      <c r="E2129" s="1342"/>
      <c r="F2129" s="1342"/>
      <c r="G2129" s="1342"/>
      <c r="H2129" s="1342"/>
      <c r="I2129" s="1342"/>
      <c r="J2129" s="1342"/>
      <c r="K2129" s="1342"/>
    </row>
    <row r="2130" spans="2:11" ht="14" hidden="1">
      <c r="B2130" s="1342"/>
      <c r="C2130" s="1342"/>
      <c r="D2130" s="1342"/>
      <c r="E2130" s="1342"/>
      <c r="F2130" s="1342"/>
      <c r="G2130" s="1342"/>
      <c r="H2130" s="1342"/>
      <c r="I2130" s="1342"/>
      <c r="J2130" s="1342"/>
      <c r="K2130" s="1342"/>
    </row>
    <row r="2131" spans="2:11" ht="14" hidden="1">
      <c r="B2131" s="1342"/>
      <c r="C2131" s="1342"/>
      <c r="D2131" s="1342"/>
      <c r="E2131" s="1342"/>
      <c r="F2131" s="1342"/>
      <c r="G2131" s="1342"/>
      <c r="H2131" s="1342"/>
      <c r="I2131" s="1342"/>
      <c r="J2131" s="1342"/>
      <c r="K2131" s="1342"/>
    </row>
    <row r="2132" spans="2:11" ht="14" hidden="1">
      <c r="B2132" s="1342"/>
      <c r="C2132" s="1342"/>
      <c r="D2132" s="1342"/>
      <c r="E2132" s="1342"/>
      <c r="F2132" s="1342"/>
      <c r="G2132" s="1342"/>
      <c r="H2132" s="1342"/>
      <c r="I2132" s="1342"/>
      <c r="J2132" s="1342"/>
      <c r="K2132" s="1342"/>
    </row>
    <row r="2133" spans="2:11" ht="14" hidden="1">
      <c r="B2133" s="1342"/>
      <c r="C2133" s="1342"/>
      <c r="D2133" s="1342"/>
      <c r="E2133" s="1342"/>
      <c r="F2133" s="1342"/>
      <c r="G2133" s="1342"/>
      <c r="H2133" s="1342"/>
      <c r="I2133" s="1342"/>
      <c r="J2133" s="1342"/>
      <c r="K2133" s="1342"/>
    </row>
    <row r="2134" spans="2:11" ht="14" hidden="1">
      <c r="B2134" s="1342"/>
      <c r="C2134" s="1342"/>
      <c r="D2134" s="1342"/>
      <c r="E2134" s="1342"/>
      <c r="F2134" s="1342"/>
      <c r="G2134" s="1342"/>
      <c r="H2134" s="1342"/>
      <c r="I2134" s="1342"/>
      <c r="J2134" s="1342"/>
      <c r="K2134" s="1342"/>
    </row>
    <row r="2135" spans="2:11" ht="14" hidden="1">
      <c r="B2135" s="1342"/>
      <c r="C2135" s="1342"/>
      <c r="D2135" s="1342"/>
      <c r="E2135" s="1342"/>
      <c r="F2135" s="1342"/>
      <c r="G2135" s="1342"/>
      <c r="H2135" s="1342"/>
      <c r="I2135" s="1342"/>
      <c r="J2135" s="1342"/>
      <c r="K2135" s="1342"/>
    </row>
    <row r="2136" spans="2:11" ht="14" hidden="1">
      <c r="B2136" s="1342"/>
      <c r="C2136" s="1342"/>
      <c r="D2136" s="1342"/>
      <c r="E2136" s="1342"/>
      <c r="F2136" s="1342"/>
      <c r="G2136" s="1342"/>
      <c r="H2136" s="1342"/>
      <c r="I2136" s="1342"/>
      <c r="J2136" s="1342"/>
      <c r="K2136" s="1342"/>
    </row>
    <row r="2137" spans="2:11" ht="14" hidden="1">
      <c r="B2137" s="1342"/>
      <c r="C2137" s="1342"/>
      <c r="D2137" s="1342"/>
      <c r="E2137" s="1342"/>
      <c r="F2137" s="1342"/>
      <c r="G2137" s="1342"/>
      <c r="H2137" s="1342"/>
      <c r="I2137" s="1342"/>
      <c r="J2137" s="1342"/>
      <c r="K2137" s="1342"/>
    </row>
    <row r="2138" spans="2:11" ht="14" hidden="1">
      <c r="B2138" s="1342"/>
      <c r="C2138" s="1342"/>
      <c r="D2138" s="1342"/>
      <c r="E2138" s="1342"/>
      <c r="F2138" s="1342"/>
      <c r="G2138" s="1342"/>
      <c r="H2138" s="1342"/>
      <c r="I2138" s="1342"/>
      <c r="J2138" s="1342"/>
      <c r="K2138" s="1342"/>
    </row>
    <row r="2139" spans="2:11" ht="14" hidden="1">
      <c r="B2139" s="1342"/>
      <c r="C2139" s="1342"/>
      <c r="D2139" s="1342"/>
      <c r="E2139" s="1342"/>
      <c r="F2139" s="1342"/>
      <c r="G2139" s="1342"/>
      <c r="H2139" s="1342"/>
      <c r="I2139" s="1342"/>
      <c r="J2139" s="1342"/>
      <c r="K2139" s="1342"/>
    </row>
    <row r="2140" spans="2:11" ht="14" hidden="1">
      <c r="B2140" s="1342"/>
      <c r="C2140" s="1342"/>
      <c r="D2140" s="1342"/>
      <c r="E2140" s="1342"/>
      <c r="F2140" s="1342"/>
      <c r="G2140" s="1342"/>
      <c r="H2140" s="1342"/>
      <c r="I2140" s="1342"/>
      <c r="J2140" s="1342"/>
      <c r="K2140" s="1342"/>
    </row>
    <row r="2141" spans="2:11" ht="14" hidden="1">
      <c r="B2141" s="1342"/>
      <c r="C2141" s="1342"/>
      <c r="D2141" s="1342"/>
      <c r="E2141" s="1342"/>
      <c r="F2141" s="1342"/>
      <c r="G2141" s="1342"/>
      <c r="H2141" s="1342"/>
      <c r="I2141" s="1342"/>
      <c r="J2141" s="1342"/>
      <c r="K2141" s="1342"/>
    </row>
    <row r="2142" spans="2:11" ht="14" hidden="1">
      <c r="B2142" s="1342"/>
      <c r="C2142" s="1342"/>
      <c r="D2142" s="1342"/>
      <c r="E2142" s="1342"/>
      <c r="F2142" s="1342"/>
      <c r="G2142" s="1342"/>
      <c r="H2142" s="1342"/>
      <c r="I2142" s="1342"/>
      <c r="J2142" s="1342"/>
      <c r="K2142" s="1342"/>
    </row>
    <row r="2143" spans="2:11" ht="14" hidden="1">
      <c r="B2143" s="1342"/>
      <c r="C2143" s="1342"/>
      <c r="D2143" s="1342"/>
      <c r="E2143" s="1342"/>
      <c r="F2143" s="1342"/>
      <c r="G2143" s="1342"/>
      <c r="H2143" s="1342"/>
      <c r="I2143" s="1342"/>
      <c r="J2143" s="1342"/>
      <c r="K2143" s="1342"/>
    </row>
    <row r="2144" spans="2:11" ht="14" hidden="1">
      <c r="B2144" s="1342"/>
      <c r="C2144" s="1342"/>
      <c r="D2144" s="1342"/>
      <c r="E2144" s="1342"/>
      <c r="F2144" s="1342"/>
      <c r="G2144" s="1342"/>
      <c r="H2144" s="1342"/>
      <c r="I2144" s="1342"/>
      <c r="J2144" s="1342"/>
      <c r="K2144" s="1342"/>
    </row>
    <row r="2145" spans="2:11" ht="14" hidden="1">
      <c r="B2145" s="1342"/>
      <c r="C2145" s="1342"/>
      <c r="D2145" s="1342"/>
      <c r="E2145" s="1342"/>
      <c r="F2145" s="1342"/>
      <c r="G2145" s="1342"/>
      <c r="H2145" s="1342"/>
      <c r="I2145" s="1342"/>
      <c r="J2145" s="1342"/>
      <c r="K2145" s="1342"/>
    </row>
    <row r="2146" spans="2:11" ht="14" hidden="1">
      <c r="B2146" s="1342"/>
      <c r="C2146" s="1342"/>
      <c r="D2146" s="1342"/>
      <c r="E2146" s="1342"/>
      <c r="F2146" s="1342"/>
      <c r="G2146" s="1342"/>
      <c r="H2146" s="1342"/>
      <c r="I2146" s="1342"/>
      <c r="J2146" s="1342"/>
      <c r="K2146" s="1342"/>
    </row>
    <row r="2147" spans="2:11" ht="14" hidden="1">
      <c r="B2147" s="1342"/>
      <c r="C2147" s="1342"/>
      <c r="D2147" s="1342"/>
      <c r="E2147" s="1342"/>
      <c r="F2147" s="1342"/>
      <c r="G2147" s="1342"/>
      <c r="H2147" s="1342"/>
      <c r="I2147" s="1342"/>
      <c r="J2147" s="1342"/>
      <c r="K2147" s="1342"/>
    </row>
    <row r="2148" spans="2:11" ht="14" hidden="1">
      <c r="B2148" s="1342"/>
      <c r="C2148" s="1342"/>
      <c r="D2148" s="1342"/>
      <c r="E2148" s="1342"/>
      <c r="F2148" s="1342"/>
      <c r="G2148" s="1342"/>
      <c r="H2148" s="1342"/>
      <c r="I2148" s="1342"/>
      <c r="J2148" s="1342"/>
      <c r="K2148" s="1342"/>
    </row>
    <row r="2149" spans="2:11" ht="14" hidden="1">
      <c r="B2149" s="1342"/>
      <c r="C2149" s="1342"/>
      <c r="D2149" s="1342"/>
      <c r="E2149" s="1342"/>
      <c r="F2149" s="1342"/>
      <c r="G2149" s="1342"/>
      <c r="H2149" s="1342"/>
      <c r="I2149" s="1342"/>
      <c r="J2149" s="1342"/>
      <c r="K2149" s="1342"/>
    </row>
    <row r="2150" spans="2:11" ht="14" hidden="1">
      <c r="B2150" s="1342"/>
      <c r="C2150" s="1342"/>
      <c r="D2150" s="1342"/>
      <c r="E2150" s="1342"/>
      <c r="F2150" s="1342"/>
      <c r="G2150" s="1342"/>
      <c r="H2150" s="1342"/>
      <c r="I2150" s="1342"/>
      <c r="J2150" s="1342"/>
      <c r="K2150" s="1342"/>
    </row>
    <row r="2151" spans="2:11" ht="14" hidden="1">
      <c r="B2151" s="1342"/>
      <c r="C2151" s="1342"/>
      <c r="D2151" s="1342"/>
      <c r="E2151" s="1342"/>
      <c r="F2151" s="1342"/>
      <c r="G2151" s="1342"/>
      <c r="H2151" s="1342"/>
      <c r="I2151" s="1342"/>
      <c r="J2151" s="1342"/>
      <c r="K2151" s="1342"/>
    </row>
    <row r="2152" spans="2:11" ht="14" hidden="1">
      <c r="B2152" s="1342"/>
      <c r="C2152" s="1342"/>
      <c r="D2152" s="1342"/>
      <c r="E2152" s="1342"/>
      <c r="F2152" s="1342"/>
      <c r="G2152" s="1342"/>
      <c r="H2152" s="1342"/>
      <c r="I2152" s="1342"/>
      <c r="J2152" s="1342"/>
      <c r="K2152" s="1342"/>
    </row>
    <row r="2153" spans="2:11" ht="14" hidden="1">
      <c r="B2153" s="1342"/>
      <c r="C2153" s="1342"/>
      <c r="D2153" s="1342"/>
      <c r="E2153" s="1342"/>
      <c r="F2153" s="1342"/>
      <c r="G2153" s="1342"/>
      <c r="H2153" s="1342"/>
      <c r="I2153" s="1342"/>
      <c r="J2153" s="1342"/>
      <c r="K2153" s="1342"/>
    </row>
    <row r="2154" spans="2:11" ht="14" hidden="1">
      <c r="B2154" s="1342"/>
      <c r="C2154" s="1342"/>
      <c r="D2154" s="1342"/>
      <c r="E2154" s="1342"/>
      <c r="F2154" s="1342"/>
      <c r="G2154" s="1342"/>
      <c r="H2154" s="1342"/>
      <c r="I2154" s="1342"/>
      <c r="J2154" s="1342"/>
      <c r="K2154" s="1342"/>
    </row>
    <row r="2155" spans="2:11" ht="14" hidden="1">
      <c r="B2155" s="1342"/>
      <c r="C2155" s="1342"/>
      <c r="D2155" s="1342"/>
      <c r="E2155" s="1342"/>
      <c r="F2155" s="1342"/>
      <c r="G2155" s="1342"/>
      <c r="H2155" s="1342"/>
      <c r="I2155" s="1342"/>
      <c r="J2155" s="1342"/>
      <c r="K2155" s="1342"/>
    </row>
    <row r="2156" spans="2:11" ht="14" hidden="1">
      <c r="B2156" s="1342"/>
      <c r="C2156" s="1342"/>
      <c r="D2156" s="1342"/>
      <c r="E2156" s="1342"/>
      <c r="F2156" s="1342"/>
      <c r="G2156" s="1342"/>
      <c r="H2156" s="1342"/>
      <c r="I2156" s="1342"/>
      <c r="J2156" s="1342"/>
      <c r="K2156" s="1342"/>
    </row>
    <row r="2157" spans="2:11" ht="14" hidden="1">
      <c r="B2157" s="1342"/>
      <c r="C2157" s="1342"/>
      <c r="D2157" s="1342"/>
      <c r="E2157" s="1342"/>
      <c r="F2157" s="1342"/>
      <c r="G2157" s="1342"/>
      <c r="H2157" s="1342"/>
      <c r="I2157" s="1342"/>
      <c r="J2157" s="1342"/>
      <c r="K2157" s="1342"/>
    </row>
    <row r="2158" spans="2:11" ht="14" hidden="1">
      <c r="B2158" s="1342"/>
      <c r="C2158" s="1342"/>
      <c r="D2158" s="1342"/>
      <c r="E2158" s="1342"/>
      <c r="F2158" s="1342"/>
      <c r="G2158" s="1342"/>
      <c r="H2158" s="1342"/>
      <c r="I2158" s="1342"/>
      <c r="J2158" s="1342"/>
      <c r="K2158" s="1342"/>
    </row>
    <row r="2159" spans="2:11" ht="14" hidden="1">
      <c r="B2159" s="1342"/>
      <c r="C2159" s="1342"/>
      <c r="D2159" s="1342"/>
      <c r="E2159" s="1342"/>
      <c r="F2159" s="1342"/>
      <c r="G2159" s="1342"/>
      <c r="H2159" s="1342"/>
      <c r="I2159" s="1342"/>
      <c r="J2159" s="1342"/>
      <c r="K2159" s="1342"/>
    </row>
    <row r="2160" spans="2:11" ht="14" hidden="1">
      <c r="B2160" s="1342"/>
      <c r="C2160" s="1342"/>
      <c r="D2160" s="1342"/>
      <c r="E2160" s="1342"/>
      <c r="F2160" s="1342"/>
      <c r="G2160" s="1342"/>
      <c r="H2160" s="1342"/>
      <c r="I2160" s="1342"/>
      <c r="J2160" s="1342"/>
      <c r="K2160" s="1342"/>
    </row>
    <row r="2161" spans="2:11" ht="14" hidden="1">
      <c r="B2161" s="1342"/>
      <c r="C2161" s="1342"/>
      <c r="D2161" s="1342"/>
      <c r="E2161" s="1342"/>
      <c r="F2161" s="1342"/>
      <c r="G2161" s="1342"/>
      <c r="H2161" s="1342"/>
      <c r="I2161" s="1342"/>
      <c r="J2161" s="1342"/>
      <c r="K2161" s="1342"/>
    </row>
    <row r="2162" spans="2:11" ht="14" hidden="1">
      <c r="B2162" s="1342"/>
      <c r="C2162" s="1342"/>
      <c r="D2162" s="1342"/>
      <c r="E2162" s="1342"/>
      <c r="F2162" s="1342"/>
      <c r="G2162" s="1342"/>
      <c r="H2162" s="1342"/>
      <c r="I2162" s="1342"/>
      <c r="J2162" s="1342"/>
      <c r="K2162" s="1342"/>
    </row>
    <row r="2163" spans="2:11" ht="14" hidden="1">
      <c r="B2163" s="1342"/>
      <c r="C2163" s="1342"/>
      <c r="D2163" s="1342"/>
      <c r="E2163" s="1342"/>
      <c r="F2163" s="1342"/>
      <c r="G2163" s="1342"/>
      <c r="H2163" s="1342"/>
      <c r="I2163" s="1342"/>
      <c r="J2163" s="1342"/>
      <c r="K2163" s="1342"/>
    </row>
    <row r="2164" spans="2:11" ht="14" hidden="1">
      <c r="B2164" s="1342"/>
      <c r="C2164" s="1342"/>
      <c r="D2164" s="1342"/>
      <c r="E2164" s="1342"/>
      <c r="F2164" s="1342"/>
      <c r="G2164" s="1342"/>
      <c r="H2164" s="1342"/>
      <c r="I2164" s="1342"/>
      <c r="J2164" s="1342"/>
      <c r="K2164" s="1342"/>
    </row>
    <row r="2165" spans="2:11" ht="14" hidden="1">
      <c r="B2165" s="1342"/>
      <c r="C2165" s="1342"/>
      <c r="D2165" s="1342"/>
      <c r="E2165" s="1342"/>
      <c r="F2165" s="1342"/>
      <c r="G2165" s="1342"/>
      <c r="H2165" s="1342"/>
      <c r="I2165" s="1342"/>
      <c r="J2165" s="1342"/>
      <c r="K2165" s="1342"/>
    </row>
    <row r="2166" spans="2:11" ht="14" hidden="1">
      <c r="B2166" s="1342"/>
      <c r="C2166" s="1342"/>
      <c r="D2166" s="1342"/>
      <c r="E2166" s="1342"/>
      <c r="F2166" s="1342"/>
      <c r="G2166" s="1342"/>
      <c r="H2166" s="1342"/>
      <c r="I2166" s="1342"/>
      <c r="J2166" s="1342"/>
      <c r="K2166" s="1342"/>
    </row>
    <row r="2167" spans="2:11" ht="14" hidden="1">
      <c r="B2167" s="1342"/>
      <c r="C2167" s="1342"/>
      <c r="D2167" s="1342"/>
      <c r="E2167" s="1342"/>
      <c r="F2167" s="1342"/>
      <c r="G2167" s="1342"/>
      <c r="H2167" s="1342"/>
      <c r="I2167" s="1342"/>
      <c r="J2167" s="1342"/>
      <c r="K2167" s="1342"/>
    </row>
    <row r="2168" spans="2:11" ht="14" hidden="1">
      <c r="B2168" s="1342"/>
      <c r="C2168" s="1342"/>
      <c r="D2168" s="1342"/>
      <c r="E2168" s="1342"/>
      <c r="F2168" s="1342"/>
      <c r="G2168" s="1342"/>
      <c r="H2168" s="1342"/>
      <c r="I2168" s="1342"/>
      <c r="J2168" s="1342"/>
      <c r="K2168" s="1342"/>
    </row>
    <row r="2169" spans="2:11" ht="14" hidden="1">
      <c r="B2169" s="1342"/>
      <c r="C2169" s="1342"/>
      <c r="D2169" s="1342"/>
      <c r="E2169" s="1342"/>
      <c r="F2169" s="1342"/>
      <c r="G2169" s="1342"/>
      <c r="H2169" s="1342"/>
      <c r="I2169" s="1342"/>
      <c r="J2169" s="1342"/>
      <c r="K2169" s="1342"/>
    </row>
    <row r="2170" spans="2:11" ht="14" hidden="1">
      <c r="B2170" s="1342"/>
      <c r="C2170" s="1342"/>
      <c r="D2170" s="1342"/>
      <c r="E2170" s="1342"/>
      <c r="F2170" s="1342"/>
      <c r="G2170" s="1342"/>
      <c r="H2170" s="1342"/>
      <c r="I2170" s="1342"/>
      <c r="J2170" s="1342"/>
      <c r="K2170" s="1342"/>
    </row>
    <row r="2171" spans="2:11" ht="14" hidden="1">
      <c r="B2171" s="1342"/>
      <c r="C2171" s="1342"/>
      <c r="D2171" s="1342"/>
      <c r="E2171" s="1342"/>
      <c r="F2171" s="1342"/>
      <c r="G2171" s="1342"/>
      <c r="H2171" s="1342"/>
      <c r="I2171" s="1342"/>
      <c r="J2171" s="1342"/>
      <c r="K2171" s="1342"/>
    </row>
    <row r="2172" spans="2:11" ht="14" hidden="1">
      <c r="B2172" s="1342"/>
      <c r="C2172" s="1342"/>
      <c r="D2172" s="1342"/>
      <c r="E2172" s="1342"/>
      <c r="F2172" s="1342"/>
      <c r="G2172" s="1342"/>
      <c r="H2172" s="1342"/>
      <c r="I2172" s="1342"/>
      <c r="J2172" s="1342"/>
      <c r="K2172" s="1342"/>
    </row>
    <row r="2173" spans="2:11" ht="14" hidden="1">
      <c r="B2173" s="1342"/>
      <c r="C2173" s="1342"/>
      <c r="D2173" s="1342"/>
      <c r="E2173" s="1342"/>
      <c r="F2173" s="1342"/>
      <c r="G2173" s="1342"/>
      <c r="H2173" s="1342"/>
      <c r="I2173" s="1342"/>
      <c r="J2173" s="1342"/>
      <c r="K2173" s="1342"/>
    </row>
    <row r="2174" spans="2:11" ht="14" hidden="1">
      <c r="B2174" s="1342"/>
      <c r="C2174" s="1342"/>
      <c r="D2174" s="1342"/>
      <c r="E2174" s="1342"/>
      <c r="F2174" s="1342"/>
      <c r="G2174" s="1342"/>
      <c r="H2174" s="1342"/>
      <c r="I2174" s="1342"/>
      <c r="J2174" s="1342"/>
      <c r="K2174" s="1342"/>
    </row>
    <row r="2175" spans="2:11" ht="14" hidden="1">
      <c r="B2175" s="1342"/>
      <c r="C2175" s="1342"/>
      <c r="D2175" s="1342"/>
      <c r="E2175" s="1342"/>
      <c r="F2175" s="1342"/>
      <c r="G2175" s="1342"/>
      <c r="H2175" s="1342"/>
      <c r="I2175" s="1342"/>
      <c r="J2175" s="1342"/>
      <c r="K2175" s="1342"/>
    </row>
    <row r="2176" spans="2:11" ht="14" hidden="1">
      <c r="B2176" s="1342"/>
      <c r="C2176" s="1342"/>
      <c r="D2176" s="1342"/>
      <c r="E2176" s="1342"/>
      <c r="F2176" s="1342"/>
      <c r="G2176" s="1342"/>
      <c r="H2176" s="1342"/>
      <c r="I2176" s="1342"/>
      <c r="J2176" s="1342"/>
      <c r="K2176" s="1342"/>
    </row>
    <row r="2177" spans="2:11" ht="14" hidden="1">
      <c r="B2177" s="1342"/>
      <c r="C2177" s="1342"/>
      <c r="D2177" s="1342"/>
      <c r="E2177" s="1342"/>
      <c r="F2177" s="1342"/>
      <c r="G2177" s="1342"/>
      <c r="H2177" s="1342"/>
      <c r="I2177" s="1342"/>
      <c r="J2177" s="1342"/>
      <c r="K2177" s="1342"/>
    </row>
    <row r="2178" spans="2:11" ht="14" hidden="1">
      <c r="B2178" s="1342"/>
      <c r="C2178" s="1342"/>
      <c r="D2178" s="1342"/>
      <c r="E2178" s="1342"/>
      <c r="F2178" s="1342"/>
      <c r="G2178" s="1342"/>
      <c r="H2178" s="1342"/>
      <c r="I2178" s="1342"/>
      <c r="J2178" s="1342"/>
      <c r="K2178" s="1342"/>
    </row>
    <row r="2179" spans="2:11" ht="14" hidden="1">
      <c r="B2179" s="1342"/>
      <c r="C2179" s="1342"/>
      <c r="D2179" s="1342"/>
      <c r="E2179" s="1342"/>
      <c r="F2179" s="1342"/>
      <c r="G2179" s="1342"/>
      <c r="H2179" s="1342"/>
      <c r="I2179" s="1342"/>
      <c r="J2179" s="1342"/>
      <c r="K2179" s="1342"/>
    </row>
    <row r="2180" spans="2:11" ht="14" hidden="1">
      <c r="B2180" s="1342"/>
      <c r="C2180" s="1342"/>
      <c r="D2180" s="1342"/>
      <c r="E2180" s="1342"/>
      <c r="F2180" s="1342"/>
      <c r="G2180" s="1342"/>
      <c r="H2180" s="1342"/>
      <c r="I2180" s="1342"/>
      <c r="J2180" s="1342"/>
      <c r="K2180" s="1342"/>
    </row>
    <row r="2181" spans="2:11" ht="14" hidden="1">
      <c r="B2181" s="1342"/>
      <c r="C2181" s="1342"/>
      <c r="D2181" s="1342"/>
      <c r="E2181" s="1342"/>
      <c r="F2181" s="1342"/>
      <c r="G2181" s="1342"/>
      <c r="H2181" s="1342"/>
      <c r="I2181" s="1342"/>
      <c r="J2181" s="1342"/>
      <c r="K2181" s="1342"/>
    </row>
    <row r="2182" spans="2:11" ht="14" hidden="1">
      <c r="B2182" s="1342"/>
      <c r="C2182" s="1342"/>
      <c r="D2182" s="1342"/>
      <c r="E2182" s="1342"/>
      <c r="F2182" s="1342"/>
      <c r="G2182" s="1342"/>
      <c r="H2182" s="1342"/>
      <c r="I2182" s="1342"/>
      <c r="J2182" s="1342"/>
      <c r="K2182" s="1342"/>
    </row>
    <row r="2183" spans="2:11" ht="14" hidden="1">
      <c r="B2183" s="1342"/>
      <c r="C2183" s="1342"/>
      <c r="D2183" s="1342"/>
      <c r="E2183" s="1342"/>
      <c r="F2183" s="1342"/>
      <c r="G2183" s="1342"/>
      <c r="H2183" s="1342"/>
      <c r="I2183" s="1342"/>
      <c r="J2183" s="1342"/>
      <c r="K2183" s="1342"/>
    </row>
    <row r="2184" spans="2:11" ht="14" hidden="1">
      <c r="B2184" s="1342"/>
      <c r="C2184" s="1342"/>
      <c r="D2184" s="1342"/>
      <c r="E2184" s="1342"/>
      <c r="F2184" s="1342"/>
      <c r="G2184" s="1342"/>
      <c r="H2184" s="1342"/>
      <c r="I2184" s="1342"/>
      <c r="J2184" s="1342"/>
      <c r="K2184" s="1342"/>
    </row>
    <row r="2185" spans="2:11" ht="14" hidden="1">
      <c r="B2185" s="1342"/>
      <c r="C2185" s="1342"/>
      <c r="D2185" s="1342"/>
      <c r="E2185" s="1342"/>
      <c r="F2185" s="1342"/>
      <c r="G2185" s="1342"/>
      <c r="H2185" s="1342"/>
      <c r="I2185" s="1342"/>
      <c r="J2185" s="1342"/>
      <c r="K2185" s="1342"/>
    </row>
    <row r="2186" spans="2:11" ht="14" hidden="1">
      <c r="B2186" s="1342"/>
      <c r="C2186" s="1342"/>
      <c r="D2186" s="1342"/>
      <c r="E2186" s="1342"/>
      <c r="F2186" s="1342"/>
      <c r="G2186" s="1342"/>
      <c r="H2186" s="1342"/>
      <c r="I2186" s="1342"/>
      <c r="J2186" s="1342"/>
      <c r="K2186" s="1342"/>
    </row>
    <row r="2187" spans="2:11" ht="14" hidden="1">
      <c r="B2187" s="1342"/>
      <c r="C2187" s="1342"/>
      <c r="D2187" s="1342"/>
      <c r="E2187" s="1342"/>
      <c r="F2187" s="1342"/>
      <c r="G2187" s="1342"/>
      <c r="H2187" s="1342"/>
      <c r="I2187" s="1342"/>
      <c r="J2187" s="1342"/>
      <c r="K2187" s="1342"/>
    </row>
    <row r="2188" spans="2:11" ht="14" hidden="1">
      <c r="B2188" s="1342"/>
      <c r="C2188" s="1342"/>
      <c r="D2188" s="1342"/>
      <c r="E2188" s="1342"/>
      <c r="F2188" s="1342"/>
      <c r="G2188" s="1342"/>
      <c r="H2188" s="1342"/>
      <c r="I2188" s="1342"/>
      <c r="J2188" s="1342"/>
      <c r="K2188" s="1342"/>
    </row>
    <row r="2189" spans="2:11" ht="14" hidden="1">
      <c r="B2189" s="1342"/>
      <c r="C2189" s="1342"/>
      <c r="D2189" s="1342"/>
      <c r="E2189" s="1342"/>
      <c r="F2189" s="1342"/>
      <c r="G2189" s="1342"/>
      <c r="H2189" s="1342"/>
      <c r="I2189" s="1342"/>
      <c r="J2189" s="1342"/>
      <c r="K2189" s="1342"/>
    </row>
    <row r="2190" spans="2:11" ht="14" hidden="1">
      <c r="B2190" s="1342"/>
      <c r="C2190" s="1342"/>
      <c r="D2190" s="1342"/>
      <c r="E2190" s="1342"/>
      <c r="F2190" s="1342"/>
      <c r="G2190" s="1342"/>
      <c r="H2190" s="1342"/>
      <c r="I2190" s="1342"/>
      <c r="J2190" s="1342"/>
      <c r="K2190" s="1342"/>
    </row>
    <row r="2191" spans="2:11" ht="14" hidden="1">
      <c r="B2191" s="1342"/>
      <c r="C2191" s="1342"/>
      <c r="D2191" s="1342"/>
      <c r="E2191" s="1342"/>
      <c r="F2191" s="1342"/>
      <c r="G2191" s="1342"/>
      <c r="H2191" s="1342"/>
      <c r="I2191" s="1342"/>
      <c r="J2191" s="1342"/>
      <c r="K2191" s="1342"/>
    </row>
    <row r="2192" spans="2:11" ht="14" hidden="1">
      <c r="B2192" s="1342"/>
      <c r="C2192" s="1342"/>
      <c r="D2192" s="1342"/>
      <c r="E2192" s="1342"/>
      <c r="F2192" s="1342"/>
      <c r="G2192" s="1342"/>
      <c r="H2192" s="1342"/>
      <c r="I2192" s="1342"/>
      <c r="J2192" s="1342"/>
      <c r="K2192" s="1342"/>
    </row>
    <row r="2193" spans="2:11" ht="14" hidden="1">
      <c r="B2193" s="1342"/>
      <c r="C2193" s="1342"/>
      <c r="D2193" s="1342"/>
      <c r="E2193" s="1342"/>
      <c r="F2193" s="1342"/>
      <c r="G2193" s="1342"/>
      <c r="H2193" s="1342"/>
      <c r="I2193" s="1342"/>
      <c r="J2193" s="1342"/>
      <c r="K2193" s="1342"/>
    </row>
    <row r="2194" spans="2:11" ht="14" hidden="1">
      <c r="B2194" s="1342"/>
      <c r="C2194" s="1342"/>
      <c r="D2194" s="1342"/>
      <c r="E2194" s="1342"/>
      <c r="F2194" s="1342"/>
      <c r="G2194" s="1342"/>
      <c r="H2194" s="1342"/>
      <c r="I2194" s="1342"/>
      <c r="J2194" s="1342"/>
      <c r="K2194" s="1342"/>
    </row>
    <row r="2195" spans="2:11" ht="14" hidden="1">
      <c r="B2195" s="1342"/>
      <c r="C2195" s="1342"/>
      <c r="D2195" s="1342"/>
      <c r="E2195" s="1342"/>
      <c r="F2195" s="1342"/>
      <c r="G2195" s="1342"/>
      <c r="H2195" s="1342"/>
      <c r="I2195" s="1342"/>
      <c r="J2195" s="1342"/>
      <c r="K2195" s="1342"/>
    </row>
    <row r="2196" spans="2:11" ht="14" hidden="1">
      <c r="B2196" s="1342"/>
      <c r="C2196" s="1342"/>
      <c r="D2196" s="1342"/>
      <c r="E2196" s="1342"/>
      <c r="F2196" s="1342"/>
      <c r="G2196" s="1342"/>
      <c r="H2196" s="1342"/>
      <c r="I2196" s="1342"/>
      <c r="J2196" s="1342"/>
      <c r="K2196" s="1342"/>
    </row>
    <row r="2197" spans="2:11" ht="14" hidden="1">
      <c r="B2197" s="1342"/>
      <c r="C2197" s="1342"/>
      <c r="D2197" s="1342"/>
      <c r="E2197" s="1342"/>
      <c r="F2197" s="1342"/>
      <c r="G2197" s="1342"/>
      <c r="H2197" s="1342"/>
      <c r="I2197" s="1342"/>
      <c r="J2197" s="1342"/>
      <c r="K2197" s="1342"/>
    </row>
    <row r="2198" spans="2:11" ht="14" hidden="1">
      <c r="B2198" s="1342"/>
      <c r="C2198" s="1342"/>
      <c r="D2198" s="1342"/>
      <c r="E2198" s="1342"/>
      <c r="F2198" s="1342"/>
      <c r="G2198" s="1342"/>
      <c r="H2198" s="1342"/>
      <c r="I2198" s="1342"/>
      <c r="J2198" s="1342"/>
      <c r="K2198" s="1342"/>
    </row>
    <row r="2199" spans="2:11" ht="14" hidden="1">
      <c r="B2199" s="1342"/>
      <c r="C2199" s="1342"/>
      <c r="D2199" s="1342"/>
      <c r="E2199" s="1342"/>
      <c r="F2199" s="1342"/>
      <c r="G2199" s="1342"/>
      <c r="H2199" s="1342"/>
      <c r="I2199" s="1342"/>
      <c r="J2199" s="1342"/>
      <c r="K2199" s="1342"/>
    </row>
    <row r="2200" spans="2:11" ht="14" hidden="1">
      <c r="B2200" s="1342"/>
      <c r="C2200" s="1342"/>
      <c r="D2200" s="1342"/>
      <c r="E2200" s="1342"/>
      <c r="F2200" s="1342"/>
      <c r="G2200" s="1342"/>
      <c r="H2200" s="1342"/>
      <c r="I2200" s="1342"/>
      <c r="J2200" s="1342"/>
      <c r="K2200" s="1342"/>
    </row>
    <row r="2201" spans="2:11" ht="14" hidden="1">
      <c r="B2201" s="1342"/>
      <c r="C2201" s="1342"/>
      <c r="D2201" s="1342"/>
      <c r="E2201" s="1342"/>
      <c r="F2201" s="1342"/>
      <c r="G2201" s="1342"/>
      <c r="H2201" s="1342"/>
      <c r="I2201" s="1342"/>
      <c r="J2201" s="1342"/>
      <c r="K2201" s="1342"/>
    </row>
    <row r="2202" spans="2:11" ht="14" hidden="1">
      <c r="B2202" s="1342"/>
      <c r="C2202" s="1342"/>
      <c r="D2202" s="1342"/>
      <c r="E2202" s="1342"/>
      <c r="F2202" s="1342"/>
      <c r="G2202" s="1342"/>
      <c r="H2202" s="1342"/>
      <c r="I2202" s="1342"/>
      <c r="J2202" s="1342"/>
      <c r="K2202" s="1342"/>
    </row>
    <row r="2203" spans="2:11" ht="14" hidden="1">
      <c r="B2203" s="1342"/>
      <c r="C2203" s="1342"/>
      <c r="D2203" s="1342"/>
      <c r="E2203" s="1342"/>
      <c r="F2203" s="1342"/>
      <c r="G2203" s="1342"/>
      <c r="H2203" s="1342"/>
      <c r="I2203" s="1342"/>
      <c r="J2203" s="1342"/>
      <c r="K2203" s="1342"/>
    </row>
    <row r="2204" spans="2:11" ht="14" hidden="1">
      <c r="B2204" s="1342"/>
      <c r="C2204" s="1342"/>
      <c r="D2204" s="1342"/>
      <c r="E2204" s="1342"/>
      <c r="F2204" s="1342"/>
      <c r="G2204" s="1342"/>
      <c r="H2204" s="1342"/>
      <c r="I2204" s="1342"/>
      <c r="J2204" s="1342"/>
      <c r="K2204" s="1342"/>
    </row>
    <row r="2205" spans="2:11" ht="14" hidden="1">
      <c r="B2205" s="1342"/>
      <c r="C2205" s="1342"/>
      <c r="D2205" s="1342"/>
      <c r="E2205" s="1342"/>
      <c r="F2205" s="1342"/>
      <c r="G2205" s="1342"/>
      <c r="H2205" s="1342"/>
      <c r="I2205" s="1342"/>
      <c r="J2205" s="1342"/>
      <c r="K2205" s="1342"/>
    </row>
    <row r="2206" spans="2:11" ht="14" hidden="1">
      <c r="B2206" s="1342"/>
      <c r="C2206" s="1342"/>
      <c r="D2206" s="1342"/>
      <c r="E2206" s="1342"/>
      <c r="F2206" s="1342"/>
      <c r="G2206" s="1342"/>
      <c r="H2206" s="1342"/>
      <c r="I2206" s="1342"/>
      <c r="J2206" s="1342"/>
      <c r="K2206" s="1342"/>
    </row>
    <row r="2207" spans="2:11" ht="14" hidden="1">
      <c r="B2207" s="1342"/>
      <c r="C2207" s="1342"/>
      <c r="D2207" s="1342"/>
      <c r="E2207" s="1342"/>
      <c r="F2207" s="1342"/>
      <c r="G2207" s="1342"/>
      <c r="H2207" s="1342"/>
      <c r="I2207" s="1342"/>
      <c r="J2207" s="1342"/>
      <c r="K2207" s="1342"/>
    </row>
    <row r="2208" spans="2:11" ht="14" hidden="1">
      <c r="B2208" s="1342"/>
      <c r="C2208" s="1342"/>
      <c r="D2208" s="1342"/>
      <c r="E2208" s="1342"/>
      <c r="F2208" s="1342"/>
      <c r="G2208" s="1342"/>
      <c r="H2208" s="1342"/>
      <c r="I2208" s="1342"/>
      <c r="J2208" s="1342"/>
      <c r="K2208" s="1342"/>
    </row>
    <row r="2209" spans="2:11" ht="14" hidden="1">
      <c r="B2209" s="1342"/>
      <c r="C2209" s="1342"/>
      <c r="D2209" s="1342"/>
      <c r="E2209" s="1342"/>
      <c r="F2209" s="1342"/>
      <c r="G2209" s="1342"/>
      <c r="H2209" s="1342"/>
      <c r="I2209" s="1342"/>
      <c r="J2209" s="1342"/>
      <c r="K2209" s="1342"/>
    </row>
    <row r="2210" spans="2:11" ht="14" hidden="1">
      <c r="B2210" s="1342"/>
      <c r="C2210" s="1342"/>
      <c r="D2210" s="1342"/>
      <c r="E2210" s="1342"/>
      <c r="F2210" s="1342"/>
      <c r="G2210" s="1342"/>
      <c r="H2210" s="1342"/>
      <c r="I2210" s="1342"/>
      <c r="J2210" s="1342"/>
      <c r="K2210" s="1342"/>
    </row>
    <row r="2211" spans="2:11" ht="14" hidden="1">
      <c r="B2211" s="1342"/>
      <c r="C2211" s="1342"/>
      <c r="D2211" s="1342"/>
      <c r="E2211" s="1342"/>
      <c r="F2211" s="1342"/>
      <c r="G2211" s="1342"/>
      <c r="H2211" s="1342"/>
      <c r="I2211" s="1342"/>
      <c r="J2211" s="1342"/>
      <c r="K2211" s="1342"/>
    </row>
    <row r="2212" spans="2:11" ht="14" hidden="1">
      <c r="B2212" s="1342"/>
      <c r="C2212" s="1342"/>
      <c r="D2212" s="1342"/>
      <c r="E2212" s="1342"/>
      <c r="F2212" s="1342"/>
      <c r="G2212" s="1342"/>
      <c r="H2212" s="1342"/>
      <c r="I2212" s="1342"/>
      <c r="J2212" s="1342"/>
      <c r="K2212" s="1342"/>
    </row>
    <row r="2213" spans="2:11" ht="14" hidden="1">
      <c r="B2213" s="1342"/>
      <c r="C2213" s="1342"/>
      <c r="D2213" s="1342"/>
      <c r="E2213" s="1342"/>
      <c r="F2213" s="1342"/>
      <c r="G2213" s="1342"/>
      <c r="H2213" s="1342"/>
      <c r="I2213" s="1342"/>
      <c r="J2213" s="1342"/>
      <c r="K2213" s="1342"/>
    </row>
    <row r="2214" spans="2:11" ht="14" hidden="1">
      <c r="B2214" s="1342"/>
      <c r="C2214" s="1342"/>
      <c r="D2214" s="1342"/>
      <c r="E2214" s="1342"/>
      <c r="F2214" s="1342"/>
      <c r="G2214" s="1342"/>
      <c r="H2214" s="1342"/>
      <c r="I2214" s="1342"/>
      <c r="J2214" s="1342"/>
      <c r="K2214" s="1342"/>
    </row>
    <row r="2215" spans="2:11" ht="14" hidden="1">
      <c r="B2215" s="1342"/>
      <c r="C2215" s="1342"/>
      <c r="D2215" s="1342"/>
      <c r="E2215" s="1342"/>
      <c r="F2215" s="1342"/>
      <c r="G2215" s="1342"/>
      <c r="H2215" s="1342"/>
      <c r="I2215" s="1342"/>
      <c r="J2215" s="1342"/>
      <c r="K2215" s="1342"/>
    </row>
    <row r="2216" spans="2:11" ht="14" hidden="1">
      <c r="B2216" s="1342"/>
      <c r="C2216" s="1342"/>
      <c r="D2216" s="1342"/>
      <c r="E2216" s="1342"/>
      <c r="F2216" s="1342"/>
      <c r="G2216" s="1342"/>
      <c r="H2216" s="1342"/>
      <c r="I2216" s="1342"/>
      <c r="J2216" s="1342"/>
      <c r="K2216" s="1342"/>
    </row>
    <row r="2217" spans="2:11" ht="14" hidden="1">
      <c r="B2217" s="1342"/>
      <c r="C2217" s="1342"/>
      <c r="D2217" s="1342"/>
      <c r="E2217" s="1342"/>
      <c r="F2217" s="1342"/>
      <c r="G2217" s="1342"/>
      <c r="H2217" s="1342"/>
      <c r="I2217" s="1342"/>
      <c r="J2217" s="1342"/>
      <c r="K2217" s="1342"/>
    </row>
    <row r="2218" spans="2:11" ht="14" hidden="1">
      <c r="B2218" s="1342"/>
      <c r="C2218" s="1342"/>
      <c r="D2218" s="1342"/>
      <c r="E2218" s="1342"/>
      <c r="F2218" s="1342"/>
      <c r="G2218" s="1342"/>
      <c r="H2218" s="1342"/>
      <c r="I2218" s="1342"/>
      <c r="J2218" s="1342"/>
      <c r="K2218" s="1342"/>
    </row>
    <row r="2219" spans="2:11" ht="14" hidden="1">
      <c r="B2219" s="1342"/>
      <c r="C2219" s="1342"/>
      <c r="D2219" s="1342"/>
      <c r="E2219" s="1342"/>
      <c r="F2219" s="1342"/>
      <c r="G2219" s="1342"/>
      <c r="H2219" s="1342"/>
      <c r="I2219" s="1342"/>
      <c r="J2219" s="1342"/>
      <c r="K2219" s="1342"/>
    </row>
    <row r="2220" spans="2:11" ht="14" hidden="1">
      <c r="B2220" s="1342"/>
      <c r="C2220" s="1342"/>
      <c r="D2220" s="1342"/>
      <c r="E2220" s="1342"/>
      <c r="F2220" s="1342"/>
      <c r="G2220" s="1342"/>
      <c r="H2220" s="1342"/>
      <c r="I2220" s="1342"/>
      <c r="J2220" s="1342"/>
      <c r="K2220" s="1342"/>
    </row>
    <row r="2221" spans="2:11" ht="14" hidden="1">
      <c r="B2221" s="1342"/>
      <c r="C2221" s="1342"/>
      <c r="D2221" s="1342"/>
      <c r="E2221" s="1342"/>
      <c r="F2221" s="1342"/>
      <c r="G2221" s="1342"/>
      <c r="H2221" s="1342"/>
      <c r="I2221" s="1342"/>
      <c r="J2221" s="1342"/>
      <c r="K2221" s="1342"/>
    </row>
    <row r="2222" spans="2:11" ht="14" hidden="1">
      <c r="B2222" s="1342"/>
      <c r="C2222" s="1342"/>
      <c r="D2222" s="1342"/>
      <c r="E2222" s="1342"/>
      <c r="F2222" s="1342"/>
      <c r="G2222" s="1342"/>
      <c r="H2222" s="1342"/>
      <c r="I2222" s="1342"/>
      <c r="J2222" s="1342"/>
      <c r="K2222" s="1342"/>
    </row>
    <row r="2223" spans="2:11" ht="14" hidden="1">
      <c r="B2223" s="1342"/>
      <c r="C2223" s="1342"/>
      <c r="D2223" s="1342"/>
      <c r="E2223" s="1342"/>
      <c r="F2223" s="1342"/>
      <c r="G2223" s="1342"/>
      <c r="H2223" s="1342"/>
      <c r="I2223" s="1342"/>
      <c r="J2223" s="1342"/>
      <c r="K2223" s="1342"/>
    </row>
    <row r="2224" spans="2:11" ht="14" hidden="1">
      <c r="B2224" s="1342"/>
      <c r="C2224" s="1342"/>
      <c r="D2224" s="1342"/>
      <c r="E2224" s="1342"/>
      <c r="F2224" s="1342"/>
      <c r="G2224" s="1342"/>
      <c r="H2224" s="1342"/>
      <c r="I2224" s="1342"/>
      <c r="J2224" s="1342"/>
      <c r="K2224" s="1342"/>
    </row>
    <row r="2225" spans="2:11" ht="14" hidden="1">
      <c r="B2225" s="1342"/>
      <c r="C2225" s="1342"/>
      <c r="D2225" s="1342"/>
      <c r="E2225" s="1342"/>
      <c r="F2225" s="1342"/>
      <c r="G2225" s="1342"/>
      <c r="H2225" s="1342"/>
      <c r="I2225" s="1342"/>
      <c r="J2225" s="1342"/>
      <c r="K2225" s="1342"/>
    </row>
    <row r="2226" spans="2:11" ht="14" hidden="1">
      <c r="B2226" s="1342"/>
      <c r="C2226" s="1342"/>
      <c r="D2226" s="1342"/>
      <c r="E2226" s="1342"/>
      <c r="F2226" s="1342"/>
      <c r="G2226" s="1342"/>
      <c r="H2226" s="1342"/>
      <c r="I2226" s="1342"/>
      <c r="J2226" s="1342"/>
      <c r="K2226" s="1342"/>
    </row>
    <row r="2227" spans="2:11" ht="14" hidden="1">
      <c r="B2227" s="1342"/>
      <c r="C2227" s="1342"/>
      <c r="D2227" s="1342"/>
      <c r="E2227" s="1342"/>
      <c r="F2227" s="1342"/>
      <c r="G2227" s="1342"/>
      <c r="H2227" s="1342"/>
      <c r="I2227" s="1342"/>
      <c r="J2227" s="1342"/>
      <c r="K2227" s="1342"/>
    </row>
    <row r="2228" spans="2:11" ht="14" hidden="1">
      <c r="B2228" s="1342"/>
      <c r="C2228" s="1342"/>
      <c r="D2228" s="1342"/>
      <c r="E2228" s="1342"/>
      <c r="F2228" s="1342"/>
      <c r="G2228" s="1342"/>
      <c r="H2228" s="1342"/>
      <c r="I2228" s="1342"/>
      <c r="J2228" s="1342"/>
      <c r="K2228" s="1342"/>
    </row>
    <row r="2229" spans="2:11" ht="14" hidden="1">
      <c r="B2229" s="1342"/>
      <c r="C2229" s="1342"/>
      <c r="D2229" s="1342"/>
      <c r="E2229" s="1342"/>
      <c r="F2229" s="1342"/>
      <c r="G2229" s="1342"/>
      <c r="H2229" s="1342"/>
      <c r="I2229" s="1342"/>
      <c r="J2229" s="1342"/>
      <c r="K2229" s="1342"/>
    </row>
    <row r="2230" spans="2:11" ht="14" hidden="1">
      <c r="B2230" s="1342"/>
      <c r="C2230" s="1342"/>
      <c r="D2230" s="1342"/>
      <c r="E2230" s="1342"/>
      <c r="F2230" s="1342"/>
      <c r="G2230" s="1342"/>
      <c r="H2230" s="1342"/>
      <c r="I2230" s="1342"/>
      <c r="J2230" s="1342"/>
      <c r="K2230" s="1342"/>
    </row>
    <row r="2231" spans="2:11" ht="14" hidden="1">
      <c r="B2231" s="1342"/>
      <c r="C2231" s="1342"/>
      <c r="D2231" s="1342"/>
      <c r="E2231" s="1342"/>
      <c r="F2231" s="1342"/>
      <c r="G2231" s="1342"/>
      <c r="H2231" s="1342"/>
      <c r="I2231" s="1342"/>
      <c r="J2231" s="1342"/>
      <c r="K2231" s="1342"/>
    </row>
    <row r="2232" spans="2:11" ht="14" hidden="1">
      <c r="B2232" s="1342"/>
      <c r="C2232" s="1342"/>
      <c r="D2232" s="1342"/>
      <c r="E2232" s="1342"/>
      <c r="F2232" s="1342"/>
      <c r="G2232" s="1342"/>
      <c r="H2232" s="1342"/>
      <c r="I2232" s="1342"/>
      <c r="J2232" s="1342"/>
      <c r="K2232" s="1342"/>
    </row>
    <row r="2233" spans="2:11" ht="14" hidden="1">
      <c r="B2233" s="1342"/>
      <c r="C2233" s="1342"/>
      <c r="D2233" s="1342"/>
      <c r="E2233" s="1342"/>
      <c r="F2233" s="1342"/>
      <c r="G2233" s="1342"/>
      <c r="H2233" s="1342"/>
      <c r="I2233" s="1342"/>
      <c r="J2233" s="1342"/>
      <c r="K2233" s="1342"/>
    </row>
    <row r="2234" spans="2:11" ht="14" hidden="1">
      <c r="B2234" s="1342"/>
      <c r="C2234" s="1342"/>
      <c r="D2234" s="1342"/>
      <c r="E2234" s="1342"/>
      <c r="F2234" s="1342"/>
      <c r="G2234" s="1342"/>
      <c r="H2234" s="1342"/>
      <c r="I2234" s="1342"/>
      <c r="J2234" s="1342"/>
      <c r="K2234" s="1342"/>
    </row>
    <row r="2235" spans="2:11" ht="14" hidden="1">
      <c r="B2235" s="1342"/>
      <c r="C2235" s="1342"/>
      <c r="D2235" s="1342"/>
      <c r="E2235" s="1342"/>
      <c r="F2235" s="1342"/>
      <c r="G2235" s="1342"/>
      <c r="H2235" s="1342"/>
      <c r="I2235" s="1342"/>
      <c r="J2235" s="1342"/>
      <c r="K2235" s="1342"/>
    </row>
    <row r="2236" spans="2:11" ht="14" hidden="1">
      <c r="B2236" s="1342"/>
      <c r="C2236" s="1342"/>
      <c r="D2236" s="1342"/>
      <c r="E2236" s="1342"/>
      <c r="F2236" s="1342"/>
      <c r="G2236" s="1342"/>
      <c r="H2236" s="1342"/>
      <c r="I2236" s="1342"/>
      <c r="J2236" s="1342"/>
      <c r="K2236" s="1342"/>
    </row>
    <row r="2237" spans="2:11" ht="14" hidden="1">
      <c r="B2237" s="1342"/>
      <c r="C2237" s="1342"/>
      <c r="D2237" s="1342"/>
      <c r="E2237" s="1342"/>
      <c r="F2237" s="1342"/>
      <c r="G2237" s="1342"/>
      <c r="H2237" s="1342"/>
      <c r="I2237" s="1342"/>
      <c r="J2237" s="1342"/>
      <c r="K2237" s="1342"/>
    </row>
    <row r="2238" spans="2:11" ht="14" hidden="1">
      <c r="B2238" s="1342"/>
      <c r="C2238" s="1342"/>
      <c r="D2238" s="1342"/>
      <c r="E2238" s="1342"/>
      <c r="F2238" s="1342"/>
      <c r="G2238" s="1342"/>
      <c r="H2238" s="1342"/>
      <c r="I2238" s="1342"/>
      <c r="J2238" s="1342"/>
      <c r="K2238" s="1342"/>
    </row>
    <row r="2239" spans="2:11" ht="14" hidden="1">
      <c r="B2239" s="1342"/>
      <c r="C2239" s="1342"/>
      <c r="D2239" s="1342"/>
      <c r="E2239" s="1342"/>
      <c r="F2239" s="1342"/>
      <c r="G2239" s="1342"/>
      <c r="H2239" s="1342"/>
      <c r="I2239" s="1342"/>
      <c r="J2239" s="1342"/>
      <c r="K2239" s="1342"/>
    </row>
    <row r="2240" spans="2:11" ht="14" hidden="1">
      <c r="B2240" s="1342"/>
      <c r="C2240" s="1342"/>
      <c r="D2240" s="1342"/>
      <c r="E2240" s="1342"/>
      <c r="F2240" s="1342"/>
      <c r="G2240" s="1342"/>
      <c r="H2240" s="1342"/>
      <c r="I2240" s="1342"/>
      <c r="J2240" s="1342"/>
      <c r="K2240" s="1342"/>
    </row>
    <row r="2241" spans="2:11" ht="14" hidden="1">
      <c r="B2241" s="1342"/>
      <c r="C2241" s="1342"/>
      <c r="D2241" s="1342"/>
      <c r="E2241" s="1342"/>
      <c r="F2241" s="1342"/>
      <c r="G2241" s="1342"/>
      <c r="H2241" s="1342"/>
      <c r="I2241" s="1342"/>
      <c r="J2241" s="1342"/>
      <c r="K2241" s="1342"/>
    </row>
    <row r="2242" spans="2:11" ht="14" hidden="1">
      <c r="B2242" s="1342"/>
      <c r="C2242" s="1342"/>
      <c r="D2242" s="1342"/>
      <c r="E2242" s="1342"/>
      <c r="F2242" s="1342"/>
      <c r="G2242" s="1342"/>
      <c r="H2242" s="1342"/>
      <c r="I2242" s="1342"/>
      <c r="J2242" s="1342"/>
      <c r="K2242" s="1342"/>
    </row>
    <row r="2243" spans="2:11" ht="14" hidden="1">
      <c r="B2243" s="1342"/>
      <c r="C2243" s="1342"/>
      <c r="D2243" s="1342"/>
      <c r="E2243" s="1342"/>
      <c r="F2243" s="1342"/>
      <c r="G2243" s="1342"/>
      <c r="H2243" s="1342"/>
      <c r="I2243" s="1342"/>
      <c r="J2243" s="1342"/>
      <c r="K2243" s="1342"/>
    </row>
    <row r="2244" spans="2:11" ht="14" hidden="1">
      <c r="B2244" s="1342"/>
      <c r="C2244" s="1342"/>
      <c r="D2244" s="1342"/>
      <c r="E2244" s="1342"/>
      <c r="F2244" s="1342"/>
      <c r="G2244" s="1342"/>
      <c r="H2244" s="1342"/>
      <c r="I2244" s="1342"/>
      <c r="J2244" s="1342"/>
      <c r="K2244" s="1342"/>
    </row>
    <row r="2245" spans="2:11" ht="14" hidden="1">
      <c r="B2245" s="1342"/>
      <c r="C2245" s="1342"/>
      <c r="D2245" s="1342"/>
      <c r="E2245" s="1342"/>
      <c r="F2245" s="1342"/>
      <c r="G2245" s="1342"/>
      <c r="H2245" s="1342"/>
      <c r="I2245" s="1342"/>
      <c r="J2245" s="1342"/>
      <c r="K2245" s="1342"/>
    </row>
    <row r="2246" spans="2:11" ht="14" hidden="1">
      <c r="B2246" s="1342"/>
      <c r="C2246" s="1342"/>
      <c r="D2246" s="1342"/>
      <c r="E2246" s="1342"/>
      <c r="F2246" s="1342"/>
      <c r="G2246" s="1342"/>
      <c r="H2246" s="1342"/>
      <c r="I2246" s="1342"/>
      <c r="J2246" s="1342"/>
      <c r="K2246" s="1342"/>
    </row>
    <row r="2247" spans="2:11" ht="14" hidden="1">
      <c r="B2247" s="1342"/>
      <c r="C2247" s="1342"/>
      <c r="D2247" s="1342"/>
      <c r="E2247" s="1342"/>
      <c r="F2247" s="1342"/>
      <c r="G2247" s="1342"/>
      <c r="H2247" s="1342"/>
      <c r="I2247" s="1342"/>
      <c r="J2247" s="1342"/>
      <c r="K2247" s="1342"/>
    </row>
    <row r="2248" spans="2:11" ht="14" hidden="1">
      <c r="B2248" s="1342"/>
      <c r="C2248" s="1342"/>
      <c r="D2248" s="1342"/>
      <c r="E2248" s="1342"/>
      <c r="F2248" s="1342"/>
      <c r="G2248" s="1342"/>
      <c r="H2248" s="1342"/>
      <c r="I2248" s="1342"/>
      <c r="J2248" s="1342"/>
      <c r="K2248" s="1342"/>
    </row>
    <row r="2249" spans="2:11" ht="14" hidden="1">
      <c r="B2249" s="1342"/>
      <c r="C2249" s="1342"/>
      <c r="D2249" s="1342"/>
      <c r="E2249" s="1342"/>
      <c r="F2249" s="1342"/>
      <c r="G2249" s="1342"/>
      <c r="H2249" s="1342"/>
      <c r="I2249" s="1342"/>
      <c r="J2249" s="1342"/>
      <c r="K2249" s="1342"/>
    </row>
    <row r="2250" spans="2:11" ht="14" hidden="1">
      <c r="B2250" s="1342"/>
      <c r="C2250" s="1342"/>
      <c r="D2250" s="1342"/>
      <c r="E2250" s="1342"/>
      <c r="F2250" s="1342"/>
      <c r="G2250" s="1342"/>
      <c r="H2250" s="1342"/>
      <c r="I2250" s="1342"/>
      <c r="J2250" s="1342"/>
      <c r="K2250" s="1342"/>
    </row>
    <row r="2251" spans="2:11" ht="14" hidden="1">
      <c r="B2251" s="1342"/>
      <c r="C2251" s="1342"/>
      <c r="D2251" s="1342"/>
      <c r="E2251" s="1342"/>
      <c r="F2251" s="1342"/>
      <c r="G2251" s="1342"/>
      <c r="H2251" s="1342"/>
      <c r="I2251" s="1342"/>
      <c r="J2251" s="1342"/>
      <c r="K2251" s="1342"/>
    </row>
    <row r="2252" spans="2:11" ht="14" hidden="1">
      <c r="B2252" s="1342"/>
      <c r="C2252" s="1342"/>
      <c r="D2252" s="1342"/>
      <c r="E2252" s="1342"/>
      <c r="F2252" s="1342"/>
      <c r="G2252" s="1342"/>
      <c r="H2252" s="1342"/>
      <c r="I2252" s="1342"/>
      <c r="J2252" s="1342"/>
      <c r="K2252" s="1342"/>
    </row>
    <row r="2253" spans="2:11" ht="14" hidden="1">
      <c r="B2253" s="1342"/>
      <c r="C2253" s="1342"/>
      <c r="D2253" s="1342"/>
      <c r="E2253" s="1342"/>
      <c r="F2253" s="1342"/>
      <c r="G2253" s="1342"/>
      <c r="H2253" s="1342"/>
      <c r="I2253" s="1342"/>
      <c r="J2253" s="1342"/>
      <c r="K2253" s="1342"/>
    </row>
    <row r="2254" spans="2:11" ht="14" hidden="1">
      <c r="B2254" s="1342"/>
      <c r="C2254" s="1342"/>
      <c r="D2254" s="1342"/>
      <c r="E2254" s="1342"/>
      <c r="F2254" s="1342"/>
      <c r="G2254" s="1342"/>
      <c r="H2254" s="1342"/>
      <c r="I2254" s="1342"/>
      <c r="J2254" s="1342"/>
      <c r="K2254" s="1342"/>
    </row>
    <row r="2255" spans="2:11" ht="14" hidden="1">
      <c r="B2255" s="1342"/>
      <c r="C2255" s="1342"/>
      <c r="D2255" s="1342"/>
      <c r="E2255" s="1342"/>
      <c r="F2255" s="1342"/>
      <c r="G2255" s="1342"/>
      <c r="H2255" s="1342"/>
      <c r="I2255" s="1342"/>
      <c r="J2255" s="1342"/>
      <c r="K2255" s="1342"/>
    </row>
    <row r="2256" spans="2:11" ht="14" hidden="1">
      <c r="B2256" s="1342"/>
      <c r="C2256" s="1342"/>
      <c r="D2256" s="1342"/>
      <c r="E2256" s="1342"/>
      <c r="F2256" s="1342"/>
      <c r="G2256" s="1342"/>
      <c r="H2256" s="1342"/>
      <c r="I2256" s="1342"/>
      <c r="J2256" s="1342"/>
      <c r="K2256" s="1342"/>
    </row>
    <row r="2257" spans="2:11" ht="14" hidden="1">
      <c r="B2257" s="1342"/>
      <c r="C2257" s="1342"/>
      <c r="D2257" s="1342"/>
      <c r="E2257" s="1342"/>
      <c r="F2257" s="1342"/>
      <c r="G2257" s="1342"/>
      <c r="H2257" s="1342"/>
      <c r="I2257" s="1342"/>
      <c r="J2257" s="1342"/>
      <c r="K2257" s="1342"/>
    </row>
    <row r="2258" spans="2:11" ht="14" hidden="1">
      <c r="B2258" s="1342"/>
      <c r="C2258" s="1342"/>
      <c r="D2258" s="1342"/>
      <c r="E2258" s="1342"/>
      <c r="F2258" s="1342"/>
      <c r="G2258" s="1342"/>
      <c r="H2258" s="1342"/>
      <c r="I2258" s="1342"/>
      <c r="J2258" s="1342"/>
      <c r="K2258" s="1342"/>
    </row>
    <row r="2259" spans="2:11" ht="14" hidden="1">
      <c r="B2259" s="1342"/>
      <c r="C2259" s="1342"/>
      <c r="D2259" s="1342"/>
      <c r="E2259" s="1342"/>
      <c r="F2259" s="1342"/>
      <c r="G2259" s="1342"/>
      <c r="H2259" s="1342"/>
      <c r="I2259" s="1342"/>
      <c r="J2259" s="1342"/>
      <c r="K2259" s="1342"/>
    </row>
    <row r="2260" spans="2:11" ht="14" hidden="1">
      <c r="B2260" s="1342"/>
      <c r="C2260" s="1342"/>
      <c r="D2260" s="1342"/>
      <c r="E2260" s="1342"/>
      <c r="F2260" s="1342"/>
      <c r="G2260" s="1342"/>
      <c r="H2260" s="1342"/>
      <c r="I2260" s="1342"/>
      <c r="J2260" s="1342"/>
      <c r="K2260" s="1342"/>
    </row>
    <row r="2261" spans="2:11" ht="14" hidden="1">
      <c r="B2261" s="1342"/>
      <c r="C2261" s="1342"/>
      <c r="D2261" s="1342"/>
      <c r="E2261" s="1342"/>
      <c r="F2261" s="1342"/>
      <c r="G2261" s="1342"/>
      <c r="H2261" s="1342"/>
      <c r="I2261" s="1342"/>
      <c r="J2261" s="1342"/>
      <c r="K2261" s="1342"/>
    </row>
    <row r="2262" spans="2:11" ht="14" hidden="1">
      <c r="B2262" s="1342"/>
      <c r="C2262" s="1342"/>
      <c r="D2262" s="1342"/>
      <c r="E2262" s="1342"/>
      <c r="F2262" s="1342"/>
      <c r="G2262" s="1342"/>
      <c r="H2262" s="1342"/>
      <c r="I2262" s="1342"/>
      <c r="J2262" s="1342"/>
      <c r="K2262" s="1342"/>
    </row>
    <row r="2263" spans="2:11" ht="14" hidden="1">
      <c r="B2263" s="1342"/>
      <c r="C2263" s="1342"/>
      <c r="D2263" s="1342"/>
      <c r="E2263" s="1342"/>
      <c r="F2263" s="1342"/>
      <c r="G2263" s="1342"/>
      <c r="H2263" s="1342"/>
      <c r="I2263" s="1342"/>
      <c r="J2263" s="1342"/>
      <c r="K2263" s="1342"/>
    </row>
    <row r="2264" spans="2:11" ht="14" hidden="1">
      <c r="B2264" s="1342"/>
      <c r="C2264" s="1342"/>
      <c r="D2264" s="1342"/>
      <c r="E2264" s="1342"/>
      <c r="F2264" s="1342"/>
      <c r="G2264" s="1342"/>
      <c r="H2264" s="1342"/>
      <c r="I2264" s="1342"/>
      <c r="J2264" s="1342"/>
      <c r="K2264" s="1342"/>
    </row>
    <row r="2265" spans="2:11" ht="14" hidden="1">
      <c r="B2265" s="1342"/>
      <c r="C2265" s="1342"/>
      <c r="D2265" s="1342"/>
      <c r="E2265" s="1342"/>
      <c r="F2265" s="1342"/>
      <c r="G2265" s="1342"/>
      <c r="H2265" s="1342"/>
      <c r="I2265" s="1342"/>
      <c r="J2265" s="1342"/>
      <c r="K2265" s="1342"/>
    </row>
    <row r="2266" spans="2:11" ht="14" hidden="1">
      <c r="B2266" s="1342"/>
      <c r="C2266" s="1342"/>
      <c r="D2266" s="1342"/>
      <c r="E2266" s="1342"/>
      <c r="F2266" s="1342"/>
      <c r="G2266" s="1342"/>
      <c r="H2266" s="1342"/>
      <c r="I2266" s="1342"/>
      <c r="J2266" s="1342"/>
      <c r="K2266" s="1342"/>
    </row>
    <row r="2267" spans="2:11" ht="14" hidden="1">
      <c r="B2267" s="1342"/>
      <c r="C2267" s="1342"/>
      <c r="D2267" s="1342"/>
      <c r="E2267" s="1342"/>
      <c r="F2267" s="1342"/>
      <c r="G2267" s="1342"/>
      <c r="H2267" s="1342"/>
      <c r="I2267" s="1342"/>
      <c r="J2267" s="1342"/>
      <c r="K2267" s="1342"/>
    </row>
    <row r="2268" spans="2:11" ht="14" hidden="1">
      <c r="B2268" s="1342"/>
      <c r="C2268" s="1342"/>
      <c r="D2268" s="1342"/>
      <c r="E2268" s="1342"/>
      <c r="F2268" s="1342"/>
      <c r="G2268" s="1342"/>
      <c r="H2268" s="1342"/>
      <c r="I2268" s="1342"/>
      <c r="J2268" s="1342"/>
      <c r="K2268" s="1342"/>
    </row>
    <row r="2269" spans="2:11" ht="14" hidden="1">
      <c r="B2269" s="1342"/>
      <c r="C2269" s="1342"/>
      <c r="D2269" s="1342"/>
      <c r="E2269" s="1342"/>
      <c r="F2269" s="1342"/>
      <c r="G2269" s="1342"/>
      <c r="H2269" s="1342"/>
      <c r="I2269" s="1342"/>
      <c r="J2269" s="1342"/>
      <c r="K2269" s="1342"/>
    </row>
    <row r="2270" spans="2:11" ht="14" hidden="1">
      <c r="B2270" s="1342"/>
      <c r="C2270" s="1342"/>
      <c r="D2270" s="1342"/>
      <c r="E2270" s="1342"/>
      <c r="F2270" s="1342"/>
      <c r="G2270" s="1342"/>
      <c r="H2270" s="1342"/>
      <c r="I2270" s="1342"/>
      <c r="J2270" s="1342"/>
      <c r="K2270" s="1342"/>
    </row>
    <row r="2271" spans="2:11" ht="14" hidden="1">
      <c r="B2271" s="1342"/>
      <c r="C2271" s="1342"/>
      <c r="D2271" s="1342"/>
      <c r="E2271" s="1342"/>
      <c r="F2271" s="1342"/>
      <c r="G2271" s="1342"/>
      <c r="H2271" s="1342"/>
      <c r="I2271" s="1342"/>
      <c r="J2271" s="1342"/>
      <c r="K2271" s="1342"/>
    </row>
    <row r="2272" spans="2:11" ht="14" hidden="1">
      <c r="B2272" s="1342"/>
      <c r="C2272" s="1342"/>
      <c r="D2272" s="1342"/>
      <c r="E2272" s="1342"/>
      <c r="F2272" s="1342"/>
      <c r="G2272" s="1342"/>
      <c r="H2272" s="1342"/>
      <c r="I2272" s="1342"/>
      <c r="J2272" s="1342"/>
      <c r="K2272" s="1342"/>
    </row>
    <row r="2273" spans="2:11" ht="14" hidden="1">
      <c r="B2273" s="1342"/>
      <c r="C2273" s="1342"/>
      <c r="D2273" s="1342"/>
      <c r="E2273" s="1342"/>
      <c r="F2273" s="1342"/>
      <c r="G2273" s="1342"/>
      <c r="H2273" s="1342"/>
      <c r="I2273" s="1342"/>
      <c r="J2273" s="1342"/>
      <c r="K2273" s="1342"/>
    </row>
    <row r="2274" spans="2:11" ht="14" hidden="1">
      <c r="B2274" s="1342"/>
      <c r="C2274" s="1342"/>
      <c r="D2274" s="1342"/>
      <c r="E2274" s="1342"/>
      <c r="F2274" s="1342"/>
      <c r="G2274" s="1342"/>
      <c r="H2274" s="1342"/>
      <c r="I2274" s="1342"/>
      <c r="J2274" s="1342"/>
      <c r="K2274" s="1342"/>
    </row>
    <row r="2275" spans="2:11" ht="14" hidden="1">
      <c r="B2275" s="1342"/>
      <c r="C2275" s="1342"/>
      <c r="D2275" s="1342"/>
      <c r="E2275" s="1342"/>
      <c r="F2275" s="1342"/>
      <c r="G2275" s="1342"/>
      <c r="H2275" s="1342"/>
      <c r="I2275" s="1342"/>
      <c r="J2275" s="1342"/>
      <c r="K2275" s="1342"/>
    </row>
    <row r="2276" spans="2:11" ht="14" hidden="1">
      <c r="B2276" s="1342"/>
      <c r="C2276" s="1342"/>
      <c r="D2276" s="1342"/>
      <c r="E2276" s="1342"/>
      <c r="F2276" s="1342"/>
      <c r="G2276" s="1342"/>
      <c r="H2276" s="1342"/>
      <c r="I2276" s="1342"/>
      <c r="J2276" s="1342"/>
      <c r="K2276" s="1342"/>
    </row>
    <row r="2277" spans="2:11" ht="14" hidden="1">
      <c r="B2277" s="1342"/>
      <c r="C2277" s="1342"/>
      <c r="D2277" s="1342"/>
      <c r="E2277" s="1342"/>
      <c r="F2277" s="1342"/>
      <c r="G2277" s="1342"/>
      <c r="H2277" s="1342"/>
      <c r="I2277" s="1342"/>
      <c r="J2277" s="1342"/>
      <c r="K2277" s="1342"/>
    </row>
    <row r="2278" spans="2:11" ht="14" hidden="1">
      <c r="B2278" s="1342"/>
      <c r="C2278" s="1342"/>
      <c r="D2278" s="1342"/>
      <c r="E2278" s="1342"/>
      <c r="F2278" s="1342"/>
      <c r="G2278" s="1342"/>
      <c r="H2278" s="1342"/>
      <c r="I2278" s="1342"/>
      <c r="J2278" s="1342"/>
      <c r="K2278" s="1342"/>
    </row>
    <row r="2279" spans="2:11" ht="14" hidden="1">
      <c r="B2279" s="1342"/>
      <c r="C2279" s="1342"/>
      <c r="D2279" s="1342"/>
      <c r="E2279" s="1342"/>
      <c r="F2279" s="1342"/>
      <c r="G2279" s="1342"/>
      <c r="H2279" s="1342"/>
      <c r="I2279" s="1342"/>
      <c r="J2279" s="1342"/>
      <c r="K2279" s="1342"/>
    </row>
    <row r="2280" spans="2:11" ht="14" hidden="1">
      <c r="B2280" s="1342"/>
      <c r="C2280" s="1342"/>
      <c r="D2280" s="1342"/>
      <c r="E2280" s="1342"/>
      <c r="F2280" s="1342"/>
      <c r="G2280" s="1342"/>
      <c r="H2280" s="1342"/>
      <c r="I2280" s="1342"/>
      <c r="J2280" s="1342"/>
      <c r="K2280" s="1342"/>
    </row>
    <row r="2281" spans="2:11" ht="14" hidden="1">
      <c r="B2281" s="1342"/>
      <c r="C2281" s="1342"/>
      <c r="D2281" s="1342"/>
      <c r="E2281" s="1342"/>
      <c r="F2281" s="1342"/>
      <c r="G2281" s="1342"/>
      <c r="H2281" s="1342"/>
      <c r="I2281" s="1342"/>
      <c r="J2281" s="1342"/>
      <c r="K2281" s="1342"/>
    </row>
    <row r="2282" spans="2:11" ht="14" hidden="1">
      <c r="B2282" s="1342"/>
      <c r="C2282" s="1342"/>
      <c r="D2282" s="1342"/>
      <c r="E2282" s="1342"/>
      <c r="F2282" s="1342"/>
      <c r="G2282" s="1342"/>
      <c r="H2282" s="1342"/>
      <c r="I2282" s="1342"/>
      <c r="J2282" s="1342"/>
      <c r="K2282" s="1342"/>
    </row>
    <row r="2283" spans="2:11" ht="14" hidden="1">
      <c r="B2283" s="1342"/>
      <c r="C2283" s="1342"/>
      <c r="D2283" s="1342"/>
      <c r="E2283" s="1342"/>
      <c r="F2283" s="1342"/>
      <c r="G2283" s="1342"/>
      <c r="H2283" s="1342"/>
      <c r="I2283" s="1342"/>
      <c r="J2283" s="1342"/>
      <c r="K2283" s="1342"/>
    </row>
    <row r="2284" spans="2:11" ht="14" hidden="1">
      <c r="B2284" s="1342"/>
      <c r="C2284" s="1342"/>
      <c r="D2284" s="1342"/>
      <c r="E2284" s="1342"/>
      <c r="F2284" s="1342"/>
      <c r="G2284" s="1342"/>
      <c r="H2284" s="1342"/>
      <c r="I2284" s="1342"/>
      <c r="J2284" s="1342"/>
      <c r="K2284" s="1342"/>
    </row>
    <row r="2285" spans="2:11" ht="14" hidden="1">
      <c r="B2285" s="1342"/>
      <c r="C2285" s="1342"/>
      <c r="D2285" s="1342"/>
      <c r="E2285" s="1342"/>
      <c r="F2285" s="1342"/>
      <c r="G2285" s="1342"/>
      <c r="H2285" s="1342"/>
      <c r="I2285" s="1342"/>
      <c r="J2285" s="1342"/>
      <c r="K2285" s="1342"/>
    </row>
    <row r="2286" spans="2:11" ht="14" hidden="1">
      <c r="B2286" s="1342"/>
      <c r="C2286" s="1342"/>
      <c r="D2286" s="1342"/>
      <c r="E2286" s="1342"/>
      <c r="F2286" s="1342"/>
      <c r="G2286" s="1342"/>
      <c r="H2286" s="1342"/>
      <c r="I2286" s="1342"/>
      <c r="J2286" s="1342"/>
      <c r="K2286" s="1342"/>
    </row>
    <row r="2287" spans="2:11" ht="14" hidden="1">
      <c r="B2287" s="1342"/>
      <c r="C2287" s="1342"/>
      <c r="D2287" s="1342"/>
      <c r="E2287" s="1342"/>
      <c r="F2287" s="1342"/>
      <c r="G2287" s="1342"/>
      <c r="H2287" s="1342"/>
      <c r="I2287" s="1342"/>
      <c r="J2287" s="1342"/>
      <c r="K2287" s="1342"/>
    </row>
    <row r="2288" spans="2:11" ht="14" hidden="1">
      <c r="B2288" s="1342"/>
      <c r="C2288" s="1342"/>
      <c r="D2288" s="1342"/>
      <c r="E2288" s="1342"/>
      <c r="F2288" s="1342"/>
      <c r="G2288" s="1342"/>
      <c r="H2288" s="1342"/>
      <c r="I2288" s="1342"/>
      <c r="J2288" s="1342"/>
      <c r="K2288" s="1342"/>
    </row>
    <row r="2289" spans="2:11" ht="14" hidden="1">
      <c r="B2289" s="1342"/>
      <c r="C2289" s="1342"/>
      <c r="D2289" s="1342"/>
      <c r="E2289" s="1342"/>
      <c r="F2289" s="1342"/>
      <c r="G2289" s="1342"/>
      <c r="H2289" s="1342"/>
      <c r="I2289" s="1342"/>
      <c r="J2289" s="1342"/>
      <c r="K2289" s="1342"/>
    </row>
    <row r="2290" spans="2:11" ht="14" hidden="1">
      <c r="B2290" s="1342"/>
      <c r="C2290" s="1342"/>
      <c r="D2290" s="1342"/>
      <c r="E2290" s="1342"/>
      <c r="F2290" s="1342"/>
      <c r="G2290" s="1342"/>
      <c r="H2290" s="1342"/>
      <c r="I2290" s="1342"/>
      <c r="J2290" s="1342"/>
      <c r="K2290" s="1342"/>
    </row>
    <row r="2291" spans="2:11" ht="14" hidden="1">
      <c r="B2291" s="1342"/>
      <c r="C2291" s="1342"/>
      <c r="D2291" s="1342"/>
      <c r="E2291" s="1342"/>
      <c r="F2291" s="1342"/>
      <c r="G2291" s="1342"/>
      <c r="H2291" s="1342"/>
      <c r="I2291" s="1342"/>
      <c r="J2291" s="1342"/>
      <c r="K2291" s="1342"/>
    </row>
    <row r="2292" spans="2:11" ht="14" hidden="1">
      <c r="B2292" s="1342"/>
      <c r="C2292" s="1342"/>
      <c r="D2292" s="1342"/>
      <c r="E2292" s="1342"/>
      <c r="F2292" s="1342"/>
      <c r="G2292" s="1342"/>
      <c r="H2292" s="1342"/>
      <c r="I2292" s="1342"/>
      <c r="J2292" s="1342"/>
      <c r="K2292" s="1342"/>
    </row>
    <row r="2293" spans="2:11" ht="14" hidden="1">
      <c r="B2293" s="1342"/>
      <c r="C2293" s="1342"/>
      <c r="D2293" s="1342"/>
      <c r="E2293" s="1342"/>
      <c r="F2293" s="1342"/>
      <c r="G2293" s="1342"/>
      <c r="H2293" s="1342"/>
      <c r="I2293" s="1342"/>
      <c r="J2293" s="1342"/>
      <c r="K2293" s="1342"/>
    </row>
    <row r="2294" spans="2:11" ht="14" hidden="1">
      <c r="B2294" s="1342"/>
      <c r="C2294" s="1342"/>
      <c r="D2294" s="1342"/>
      <c r="E2294" s="1342"/>
      <c r="F2294" s="1342"/>
      <c r="G2294" s="1342"/>
      <c r="H2294" s="1342"/>
      <c r="I2294" s="1342"/>
      <c r="J2294" s="1342"/>
      <c r="K2294" s="1342"/>
    </row>
    <row r="2295" spans="2:11" ht="14" hidden="1">
      <c r="B2295" s="1342"/>
      <c r="C2295" s="1342"/>
      <c r="D2295" s="1342"/>
      <c r="E2295" s="1342"/>
      <c r="F2295" s="1342"/>
      <c r="G2295" s="1342"/>
      <c r="H2295" s="1342"/>
      <c r="I2295" s="1342"/>
      <c r="J2295" s="1342"/>
      <c r="K2295" s="1342"/>
    </row>
    <row r="2296" spans="2:11" ht="14" hidden="1">
      <c r="B2296" s="1342"/>
      <c r="C2296" s="1342"/>
      <c r="D2296" s="1342"/>
      <c r="E2296" s="1342"/>
      <c r="F2296" s="1342"/>
      <c r="G2296" s="1342"/>
      <c r="H2296" s="1342"/>
      <c r="I2296" s="1342"/>
      <c r="J2296" s="1342"/>
      <c r="K2296" s="1342"/>
    </row>
    <row r="2297" spans="2:11" ht="14" hidden="1">
      <c r="B2297" s="1342"/>
      <c r="C2297" s="1342"/>
      <c r="D2297" s="1342"/>
      <c r="E2297" s="1342"/>
      <c r="F2297" s="1342"/>
      <c r="G2297" s="1342"/>
      <c r="H2297" s="1342"/>
      <c r="I2297" s="1342"/>
      <c r="J2297" s="1342"/>
      <c r="K2297" s="1342"/>
    </row>
    <row r="2298" spans="2:11" ht="14" hidden="1">
      <c r="B2298" s="1342"/>
      <c r="C2298" s="1342"/>
      <c r="D2298" s="1342"/>
      <c r="E2298" s="1342"/>
      <c r="F2298" s="1342"/>
      <c r="G2298" s="1342"/>
      <c r="H2298" s="1342"/>
      <c r="I2298" s="1342"/>
      <c r="J2298" s="1342"/>
      <c r="K2298" s="1342"/>
    </row>
    <row r="2299" spans="2:11" ht="14" hidden="1">
      <c r="B2299" s="1342"/>
      <c r="C2299" s="1342"/>
      <c r="D2299" s="1342"/>
      <c r="E2299" s="1342"/>
      <c r="F2299" s="1342"/>
      <c r="G2299" s="1342"/>
      <c r="H2299" s="1342"/>
      <c r="I2299" s="1342"/>
      <c r="J2299" s="1342"/>
      <c r="K2299" s="1342"/>
    </row>
    <row r="2300" spans="2:11" ht="14" hidden="1">
      <c r="B2300" s="1342"/>
      <c r="C2300" s="1342"/>
      <c r="D2300" s="1342"/>
      <c r="E2300" s="1342"/>
      <c r="F2300" s="1342"/>
      <c r="G2300" s="1342"/>
      <c r="H2300" s="1342"/>
      <c r="I2300" s="1342"/>
      <c r="J2300" s="1342"/>
      <c r="K2300" s="1342"/>
    </row>
    <row r="2301" spans="2:11" ht="14" hidden="1">
      <c r="B2301" s="1342"/>
      <c r="C2301" s="1342"/>
      <c r="D2301" s="1342"/>
      <c r="E2301" s="1342"/>
      <c r="F2301" s="1342"/>
      <c r="G2301" s="1342"/>
      <c r="H2301" s="1342"/>
      <c r="I2301" s="1342"/>
      <c r="J2301" s="1342"/>
      <c r="K2301" s="1342"/>
    </row>
    <row r="2302" spans="2:11" ht="14" hidden="1">
      <c r="B2302" s="1342"/>
      <c r="C2302" s="1342"/>
      <c r="D2302" s="1342"/>
      <c r="E2302" s="1342"/>
      <c r="F2302" s="1342"/>
      <c r="G2302" s="1342"/>
      <c r="H2302" s="1342"/>
      <c r="I2302" s="1342"/>
      <c r="J2302" s="1342"/>
      <c r="K2302" s="1342"/>
    </row>
    <row r="2303" spans="2:11" ht="14" hidden="1">
      <c r="B2303" s="1342"/>
      <c r="C2303" s="1342"/>
      <c r="D2303" s="1342"/>
      <c r="E2303" s="1342"/>
      <c r="F2303" s="1342"/>
      <c r="G2303" s="1342"/>
      <c r="H2303" s="1342"/>
      <c r="I2303" s="1342"/>
      <c r="J2303" s="1342"/>
      <c r="K2303" s="1342"/>
    </row>
    <row r="2304" spans="2:11" ht="14" hidden="1">
      <c r="B2304" s="1342"/>
      <c r="C2304" s="1342"/>
      <c r="D2304" s="1342"/>
      <c r="E2304" s="1342"/>
      <c r="F2304" s="1342"/>
      <c r="G2304" s="1342"/>
      <c r="H2304" s="1342"/>
      <c r="I2304" s="1342"/>
      <c r="J2304" s="1342"/>
      <c r="K2304" s="1342"/>
    </row>
    <row r="2305" spans="2:11" ht="14" hidden="1">
      <c r="B2305" s="1342"/>
      <c r="C2305" s="1342"/>
      <c r="D2305" s="1342"/>
      <c r="E2305" s="1342"/>
      <c r="F2305" s="1342"/>
      <c r="G2305" s="1342"/>
      <c r="H2305" s="1342"/>
      <c r="I2305" s="1342"/>
      <c r="J2305" s="1342"/>
      <c r="K2305" s="1342"/>
    </row>
    <row r="2306" spans="2:11" ht="14" hidden="1">
      <c r="B2306" s="1342"/>
      <c r="C2306" s="1342"/>
      <c r="D2306" s="1342"/>
      <c r="E2306" s="1342"/>
      <c r="F2306" s="1342"/>
      <c r="G2306" s="1342"/>
      <c r="H2306" s="1342"/>
      <c r="I2306" s="1342"/>
      <c r="J2306" s="1342"/>
      <c r="K2306" s="1342"/>
    </row>
    <row r="2307" spans="2:11" ht="14" hidden="1">
      <c r="B2307" s="1342"/>
      <c r="C2307" s="1342"/>
      <c r="D2307" s="1342"/>
      <c r="E2307" s="1342"/>
      <c r="F2307" s="1342"/>
      <c r="G2307" s="1342"/>
      <c r="H2307" s="1342"/>
      <c r="I2307" s="1342"/>
      <c r="J2307" s="1342"/>
      <c r="K2307" s="1342"/>
    </row>
    <row r="2308" spans="2:11" ht="14" hidden="1">
      <c r="B2308" s="1342"/>
      <c r="C2308" s="1342"/>
      <c r="D2308" s="1342"/>
      <c r="E2308" s="1342"/>
      <c r="F2308" s="1342"/>
      <c r="G2308" s="1342"/>
      <c r="H2308" s="1342"/>
      <c r="I2308" s="1342"/>
      <c r="J2308" s="1342"/>
      <c r="K2308" s="1342"/>
    </row>
    <row r="2309" spans="2:11" ht="14" hidden="1">
      <c r="B2309" s="1342"/>
      <c r="C2309" s="1342"/>
      <c r="D2309" s="1342"/>
      <c r="E2309" s="1342"/>
      <c r="F2309" s="1342"/>
      <c r="G2309" s="1342"/>
      <c r="H2309" s="1342"/>
      <c r="I2309" s="1342"/>
      <c r="J2309" s="1342"/>
      <c r="K2309" s="1342"/>
    </row>
    <row r="2310" spans="2:11" ht="14" hidden="1">
      <c r="B2310" s="1342"/>
      <c r="C2310" s="1342"/>
      <c r="D2310" s="1342"/>
      <c r="E2310" s="1342"/>
      <c r="F2310" s="1342"/>
      <c r="G2310" s="1342"/>
      <c r="H2310" s="1342"/>
      <c r="I2310" s="1342"/>
      <c r="J2310" s="1342"/>
      <c r="K2310" s="1342"/>
    </row>
    <row r="2311" spans="2:11" ht="14" hidden="1">
      <c r="B2311" s="1342"/>
      <c r="C2311" s="1342"/>
      <c r="D2311" s="1342"/>
      <c r="E2311" s="1342"/>
      <c r="F2311" s="1342"/>
      <c r="G2311" s="1342"/>
      <c r="H2311" s="1342"/>
      <c r="I2311" s="1342"/>
      <c r="J2311" s="1342"/>
      <c r="K2311" s="1342"/>
    </row>
    <row r="2312" spans="2:11" ht="14" hidden="1">
      <c r="B2312" s="1342"/>
      <c r="C2312" s="1342"/>
      <c r="D2312" s="1342"/>
      <c r="E2312" s="1342"/>
      <c r="F2312" s="1342"/>
      <c r="G2312" s="1342"/>
      <c r="H2312" s="1342"/>
      <c r="I2312" s="1342"/>
      <c r="J2312" s="1342"/>
      <c r="K2312" s="1342"/>
    </row>
    <row r="2313" spans="2:11" ht="14" hidden="1">
      <c r="B2313" s="1342"/>
      <c r="C2313" s="1342"/>
      <c r="D2313" s="1342"/>
      <c r="E2313" s="1342"/>
      <c r="F2313" s="1342"/>
      <c r="G2313" s="1342"/>
      <c r="H2313" s="1342"/>
      <c r="I2313" s="1342"/>
      <c r="J2313" s="1342"/>
      <c r="K2313" s="1342"/>
    </row>
    <row r="2314" spans="2:11" ht="14" hidden="1">
      <c r="B2314" s="1342"/>
      <c r="C2314" s="1342"/>
      <c r="D2314" s="1342"/>
      <c r="E2314" s="1342"/>
      <c r="F2314" s="1342"/>
      <c r="G2314" s="1342"/>
      <c r="H2314" s="1342"/>
      <c r="I2314" s="1342"/>
      <c r="J2314" s="1342"/>
      <c r="K2314" s="1342"/>
    </row>
    <row r="2315" spans="2:11" ht="14" hidden="1">
      <c r="B2315" s="1342"/>
      <c r="C2315" s="1342"/>
      <c r="D2315" s="1342"/>
      <c r="E2315" s="1342"/>
      <c r="F2315" s="1342"/>
      <c r="G2315" s="1342"/>
      <c r="H2315" s="1342"/>
      <c r="I2315" s="1342"/>
      <c r="J2315" s="1342"/>
      <c r="K2315" s="1342"/>
    </row>
    <row r="2316" spans="2:11" ht="14" hidden="1">
      <c r="B2316" s="1342"/>
      <c r="C2316" s="1342"/>
      <c r="D2316" s="1342"/>
      <c r="E2316" s="1342"/>
      <c r="F2316" s="1342"/>
      <c r="G2316" s="1342"/>
      <c r="H2316" s="1342"/>
      <c r="I2316" s="1342"/>
      <c r="J2316" s="1342"/>
      <c r="K2316" s="1342"/>
    </row>
    <row r="2317" spans="2:11" ht="14" hidden="1">
      <c r="B2317" s="1342"/>
      <c r="C2317" s="1342"/>
      <c r="D2317" s="1342"/>
      <c r="E2317" s="1342"/>
      <c r="F2317" s="1342"/>
      <c r="G2317" s="1342"/>
      <c r="H2317" s="1342"/>
      <c r="I2317" s="1342"/>
      <c r="J2317" s="1342"/>
      <c r="K2317" s="1342"/>
    </row>
    <row r="2318" spans="2:11" ht="14" hidden="1">
      <c r="B2318" s="1342"/>
      <c r="C2318" s="1342"/>
      <c r="D2318" s="1342"/>
      <c r="E2318" s="1342"/>
      <c r="F2318" s="1342"/>
      <c r="G2318" s="1342"/>
      <c r="H2318" s="1342"/>
      <c r="I2318" s="1342"/>
      <c r="J2318" s="1342"/>
      <c r="K2318" s="1342"/>
    </row>
    <row r="2319" spans="2:11" ht="14" hidden="1">
      <c r="B2319" s="1342"/>
      <c r="C2319" s="1342"/>
      <c r="D2319" s="1342"/>
      <c r="E2319" s="1342"/>
      <c r="F2319" s="1342"/>
      <c r="G2319" s="1342"/>
      <c r="H2319" s="1342"/>
      <c r="I2319" s="1342"/>
      <c r="J2319" s="1342"/>
      <c r="K2319" s="1342"/>
    </row>
    <row r="2320" spans="2:11" ht="14" hidden="1">
      <c r="B2320" s="1342"/>
      <c r="C2320" s="1342"/>
      <c r="D2320" s="1342"/>
      <c r="E2320" s="1342"/>
      <c r="F2320" s="1342"/>
      <c r="G2320" s="1342"/>
      <c r="H2320" s="1342"/>
      <c r="I2320" s="1342"/>
      <c r="J2320" s="1342"/>
      <c r="K2320" s="1342"/>
    </row>
    <row r="2321" spans="2:11" ht="14" hidden="1">
      <c r="B2321" s="1342"/>
      <c r="C2321" s="1342"/>
      <c r="D2321" s="1342"/>
      <c r="E2321" s="1342"/>
      <c r="F2321" s="1342"/>
      <c r="G2321" s="1342"/>
      <c r="H2321" s="1342"/>
      <c r="I2321" s="1342"/>
      <c r="J2321" s="1342"/>
      <c r="K2321" s="1342"/>
    </row>
    <row r="2322" spans="2:11" ht="14" hidden="1">
      <c r="B2322" s="1342"/>
      <c r="C2322" s="1342"/>
      <c r="D2322" s="1342"/>
      <c r="E2322" s="1342"/>
      <c r="F2322" s="1342"/>
      <c r="G2322" s="1342"/>
      <c r="H2322" s="1342"/>
      <c r="I2322" s="1342"/>
      <c r="J2322" s="1342"/>
      <c r="K2322" s="1342"/>
    </row>
    <row r="2323" spans="2:11" ht="14" hidden="1">
      <c r="B2323" s="1342"/>
      <c r="C2323" s="1342"/>
      <c r="D2323" s="1342"/>
      <c r="E2323" s="1342"/>
      <c r="F2323" s="1342"/>
      <c r="G2323" s="1342"/>
      <c r="H2323" s="1342"/>
      <c r="I2323" s="1342"/>
      <c r="J2323" s="1342"/>
      <c r="K2323" s="1342"/>
    </row>
    <row r="2324" spans="2:11" ht="14" hidden="1">
      <c r="B2324" s="1342"/>
      <c r="C2324" s="1342"/>
      <c r="D2324" s="1342"/>
      <c r="E2324" s="1342"/>
      <c r="F2324" s="1342"/>
      <c r="G2324" s="1342"/>
      <c r="H2324" s="1342"/>
      <c r="I2324" s="1342"/>
      <c r="J2324" s="1342"/>
      <c r="K2324" s="1342"/>
    </row>
    <row r="2325" spans="2:11" ht="14" hidden="1">
      <c r="B2325" s="1342"/>
      <c r="C2325" s="1342"/>
      <c r="D2325" s="1342"/>
      <c r="E2325" s="1342"/>
      <c r="F2325" s="1342"/>
      <c r="G2325" s="1342"/>
      <c r="H2325" s="1342"/>
      <c r="I2325" s="1342"/>
      <c r="J2325" s="1342"/>
      <c r="K2325" s="1342"/>
    </row>
    <row r="2326" spans="2:11" ht="14" hidden="1">
      <c r="B2326" s="1342"/>
      <c r="C2326" s="1342"/>
      <c r="D2326" s="1342"/>
      <c r="E2326" s="1342"/>
      <c r="F2326" s="1342"/>
      <c r="G2326" s="1342"/>
      <c r="H2326" s="1342"/>
      <c r="I2326" s="1342"/>
      <c r="J2326" s="1342"/>
      <c r="K2326" s="1342"/>
    </row>
    <row r="2327" spans="2:11" ht="14" hidden="1">
      <c r="B2327" s="1342"/>
      <c r="C2327" s="1342"/>
      <c r="D2327" s="1342"/>
      <c r="E2327" s="1342"/>
      <c r="F2327" s="1342"/>
      <c r="G2327" s="1342"/>
      <c r="H2327" s="1342"/>
      <c r="I2327" s="1342"/>
      <c r="J2327" s="1342"/>
      <c r="K2327" s="1342"/>
    </row>
    <row r="2328" spans="2:11" ht="14" hidden="1">
      <c r="B2328" s="1342"/>
      <c r="C2328" s="1342"/>
      <c r="D2328" s="1342"/>
      <c r="E2328" s="1342"/>
      <c r="F2328" s="1342"/>
      <c r="G2328" s="1342"/>
      <c r="H2328" s="1342"/>
      <c r="I2328" s="1342"/>
      <c r="J2328" s="1342"/>
      <c r="K2328" s="1342"/>
    </row>
    <row r="2329" spans="2:11" ht="14" hidden="1">
      <c r="B2329" s="1342"/>
      <c r="C2329" s="1342"/>
      <c r="D2329" s="1342"/>
      <c r="E2329" s="1342"/>
      <c r="F2329" s="1342"/>
      <c r="G2329" s="1342"/>
      <c r="H2329" s="1342"/>
      <c r="I2329" s="1342"/>
      <c r="J2329" s="1342"/>
      <c r="K2329" s="1342"/>
    </row>
    <row r="2330" spans="2:11" ht="14" hidden="1">
      <c r="B2330" s="1342"/>
      <c r="C2330" s="1342"/>
      <c r="D2330" s="1342"/>
      <c r="E2330" s="1342"/>
      <c r="F2330" s="1342"/>
      <c r="G2330" s="1342"/>
      <c r="H2330" s="1342"/>
      <c r="I2330" s="1342"/>
      <c r="J2330" s="1342"/>
      <c r="K2330" s="1342"/>
    </row>
    <row r="2331" spans="2:11" ht="14" hidden="1">
      <c r="B2331" s="1342"/>
      <c r="C2331" s="1342"/>
      <c r="D2331" s="1342"/>
      <c r="E2331" s="1342"/>
      <c r="F2331" s="1342"/>
      <c r="G2331" s="1342"/>
      <c r="H2331" s="1342"/>
      <c r="I2331" s="1342"/>
      <c r="J2331" s="1342"/>
      <c r="K2331" s="1342"/>
    </row>
    <row r="2332" spans="2:11" ht="14" hidden="1">
      <c r="B2332" s="1342"/>
      <c r="C2332" s="1342"/>
      <c r="D2332" s="1342"/>
      <c r="E2332" s="1342"/>
      <c r="F2332" s="1342"/>
      <c r="G2332" s="1342"/>
      <c r="H2332" s="1342"/>
      <c r="I2332" s="1342"/>
      <c r="J2332" s="1342"/>
      <c r="K2332" s="1342"/>
    </row>
    <row r="2333" spans="2:11" ht="14" hidden="1">
      <c r="B2333" s="1342"/>
      <c r="C2333" s="1342"/>
      <c r="D2333" s="1342"/>
      <c r="E2333" s="1342"/>
      <c r="F2333" s="1342"/>
      <c r="G2333" s="1342"/>
      <c r="H2333" s="1342"/>
      <c r="I2333" s="1342"/>
      <c r="J2333" s="1342"/>
      <c r="K2333" s="1342"/>
    </row>
    <row r="2334" spans="2:11" ht="14" hidden="1">
      <c r="B2334" s="1342"/>
      <c r="C2334" s="1342"/>
      <c r="D2334" s="1342"/>
      <c r="E2334" s="1342"/>
      <c r="F2334" s="1342"/>
      <c r="G2334" s="1342"/>
      <c r="H2334" s="1342"/>
      <c r="I2334" s="1342"/>
      <c r="J2334" s="1342"/>
      <c r="K2334" s="1342"/>
    </row>
    <row r="2335" spans="2:11" ht="14" hidden="1">
      <c r="B2335" s="1342"/>
      <c r="C2335" s="1342"/>
      <c r="D2335" s="1342"/>
      <c r="E2335" s="1342"/>
      <c r="F2335" s="1342"/>
      <c r="G2335" s="1342"/>
      <c r="H2335" s="1342"/>
      <c r="I2335" s="1342"/>
      <c r="J2335" s="1342"/>
      <c r="K2335" s="1342"/>
    </row>
    <row r="2336" spans="2:11" ht="14" hidden="1">
      <c r="B2336" s="1342"/>
      <c r="C2336" s="1342"/>
      <c r="D2336" s="1342"/>
      <c r="E2336" s="1342"/>
      <c r="F2336" s="1342"/>
      <c r="G2336" s="1342"/>
      <c r="H2336" s="1342"/>
      <c r="I2336" s="1342"/>
      <c r="J2336" s="1342"/>
      <c r="K2336" s="1342"/>
    </row>
    <row r="2337" spans="2:11" ht="14" hidden="1">
      <c r="B2337" s="1342"/>
      <c r="C2337" s="1342"/>
      <c r="D2337" s="1342"/>
      <c r="E2337" s="1342"/>
      <c r="F2337" s="1342"/>
      <c r="G2337" s="1342"/>
      <c r="H2337" s="1342"/>
      <c r="I2337" s="1342"/>
      <c r="J2337" s="1342"/>
      <c r="K2337" s="1342"/>
    </row>
    <row r="2338" spans="2:11" ht="14" hidden="1">
      <c r="B2338" s="1342"/>
      <c r="C2338" s="1342"/>
      <c r="D2338" s="1342"/>
      <c r="E2338" s="1342"/>
      <c r="F2338" s="1342"/>
      <c r="G2338" s="1342"/>
      <c r="H2338" s="1342"/>
      <c r="I2338" s="1342"/>
      <c r="J2338" s="1342"/>
      <c r="K2338" s="1342"/>
    </row>
    <row r="2339" spans="2:11" ht="14" hidden="1">
      <c r="B2339" s="1342"/>
      <c r="C2339" s="1342"/>
      <c r="D2339" s="1342"/>
      <c r="E2339" s="1342"/>
      <c r="F2339" s="1342"/>
      <c r="G2339" s="1342"/>
      <c r="H2339" s="1342"/>
      <c r="I2339" s="1342"/>
      <c r="J2339" s="1342"/>
      <c r="K2339" s="1342"/>
    </row>
    <row r="2340" spans="2:11" ht="14" hidden="1">
      <c r="B2340" s="1342"/>
      <c r="C2340" s="1342"/>
      <c r="D2340" s="1342"/>
      <c r="E2340" s="1342"/>
      <c r="F2340" s="1342"/>
      <c r="G2340" s="1342"/>
      <c r="H2340" s="1342"/>
      <c r="I2340" s="1342"/>
      <c r="J2340" s="1342"/>
      <c r="K2340" s="1342"/>
    </row>
    <row r="2341" spans="2:11" ht="14" hidden="1">
      <c r="B2341" s="1342"/>
      <c r="C2341" s="1342"/>
      <c r="D2341" s="1342"/>
      <c r="E2341" s="1342"/>
      <c r="F2341" s="1342"/>
      <c r="G2341" s="1342"/>
      <c r="H2341" s="1342"/>
      <c r="I2341" s="1342"/>
      <c r="J2341" s="1342"/>
      <c r="K2341" s="1342"/>
    </row>
    <row r="2342" spans="2:11" ht="14" hidden="1">
      <c r="B2342" s="1342"/>
      <c r="C2342" s="1342"/>
      <c r="D2342" s="1342"/>
      <c r="E2342" s="1342"/>
      <c r="F2342" s="1342"/>
      <c r="G2342" s="1342"/>
      <c r="H2342" s="1342"/>
      <c r="I2342" s="1342"/>
      <c r="J2342" s="1342"/>
      <c r="K2342" s="1342"/>
    </row>
    <row r="2343" spans="2:11" ht="14" hidden="1">
      <c r="B2343" s="1342"/>
      <c r="C2343" s="1342"/>
      <c r="D2343" s="1342"/>
      <c r="E2343" s="1342"/>
      <c r="F2343" s="1342"/>
      <c r="G2343" s="1342"/>
      <c r="H2343" s="1342"/>
      <c r="I2343" s="1342"/>
      <c r="J2343" s="1342"/>
      <c r="K2343" s="1342"/>
    </row>
    <row r="2344" spans="2:11" ht="14" hidden="1">
      <c r="B2344" s="1342"/>
      <c r="C2344" s="1342"/>
      <c r="D2344" s="1342"/>
      <c r="E2344" s="1342"/>
      <c r="F2344" s="1342"/>
      <c r="G2344" s="1342"/>
      <c r="H2344" s="1342"/>
      <c r="I2344" s="1342"/>
      <c r="J2344" s="1342"/>
      <c r="K2344" s="1342"/>
    </row>
    <row r="2345" spans="2:11" ht="14" hidden="1">
      <c r="B2345" s="1342"/>
      <c r="C2345" s="1342"/>
      <c r="D2345" s="1342"/>
      <c r="E2345" s="1342"/>
      <c r="F2345" s="1342"/>
      <c r="G2345" s="1342"/>
      <c r="H2345" s="1342"/>
      <c r="I2345" s="1342"/>
      <c r="J2345" s="1342"/>
      <c r="K2345" s="1342"/>
    </row>
    <row r="2346" spans="2:11" ht="14" hidden="1">
      <c r="B2346" s="1342"/>
      <c r="C2346" s="1342"/>
      <c r="D2346" s="1342"/>
      <c r="E2346" s="1342"/>
      <c r="F2346" s="1342"/>
      <c r="G2346" s="1342"/>
      <c r="H2346" s="1342"/>
      <c r="I2346" s="1342"/>
      <c r="J2346" s="1342"/>
      <c r="K2346" s="1342"/>
    </row>
    <row r="2347" spans="2:11" ht="14" hidden="1">
      <c r="B2347" s="1342"/>
      <c r="C2347" s="1342"/>
      <c r="D2347" s="1342"/>
      <c r="E2347" s="1342"/>
      <c r="F2347" s="1342"/>
      <c r="G2347" s="1342"/>
      <c r="H2347" s="1342"/>
      <c r="I2347" s="1342"/>
      <c r="J2347" s="1342"/>
      <c r="K2347" s="1342"/>
    </row>
    <row r="2348" spans="2:11" ht="14" hidden="1">
      <c r="B2348" s="1342"/>
      <c r="C2348" s="1342"/>
      <c r="D2348" s="1342"/>
      <c r="E2348" s="1342"/>
      <c r="F2348" s="1342"/>
      <c r="G2348" s="1342"/>
      <c r="H2348" s="1342"/>
      <c r="I2348" s="1342"/>
      <c r="J2348" s="1342"/>
      <c r="K2348" s="1342"/>
    </row>
    <row r="2349" spans="2:11" ht="14" hidden="1">
      <c r="B2349" s="1342"/>
      <c r="C2349" s="1342"/>
      <c r="D2349" s="1342"/>
      <c r="E2349" s="1342"/>
      <c r="F2349" s="1342"/>
      <c r="G2349" s="1342"/>
      <c r="H2349" s="1342"/>
      <c r="I2349" s="1342"/>
      <c r="J2349" s="1342"/>
      <c r="K2349" s="1342"/>
    </row>
    <row r="2350" spans="2:11" ht="14" hidden="1">
      <c r="B2350" s="1342"/>
      <c r="C2350" s="1342"/>
      <c r="D2350" s="1342"/>
      <c r="E2350" s="1342"/>
      <c r="F2350" s="1342"/>
      <c r="G2350" s="1342"/>
      <c r="H2350" s="1342"/>
      <c r="I2350" s="1342"/>
      <c r="J2350" s="1342"/>
      <c r="K2350" s="1342"/>
    </row>
    <row r="2351" spans="2:11" ht="14" hidden="1">
      <c r="B2351" s="1342"/>
      <c r="C2351" s="1342"/>
      <c r="D2351" s="1342"/>
      <c r="E2351" s="1342"/>
      <c r="F2351" s="1342"/>
      <c r="G2351" s="1342"/>
      <c r="H2351" s="1342"/>
      <c r="I2351" s="1342"/>
      <c r="J2351" s="1342"/>
      <c r="K2351" s="1342"/>
    </row>
    <row r="2352" spans="2:11" ht="14" hidden="1">
      <c r="B2352" s="1342"/>
      <c r="C2352" s="1342"/>
      <c r="D2352" s="1342"/>
      <c r="E2352" s="1342"/>
      <c r="F2352" s="1342"/>
      <c r="G2352" s="1342"/>
      <c r="H2352" s="1342"/>
      <c r="I2352" s="1342"/>
      <c r="J2352" s="1342"/>
      <c r="K2352" s="1342"/>
    </row>
    <row r="2353" spans="2:11" ht="14" hidden="1">
      <c r="B2353" s="1342"/>
      <c r="C2353" s="1342"/>
      <c r="D2353" s="1342"/>
      <c r="E2353" s="1342"/>
      <c r="F2353" s="1342"/>
      <c r="G2353" s="1342"/>
      <c r="H2353" s="1342"/>
      <c r="I2353" s="1342"/>
      <c r="J2353" s="1342"/>
      <c r="K2353" s="1342"/>
    </row>
    <row r="2354" spans="2:11" ht="14" hidden="1">
      <c r="B2354" s="1342"/>
      <c r="C2354" s="1342"/>
      <c r="D2354" s="1342"/>
      <c r="E2354" s="1342"/>
      <c r="F2354" s="1342"/>
      <c r="G2354" s="1342"/>
      <c r="H2354" s="1342"/>
      <c r="I2354" s="1342"/>
      <c r="J2354" s="1342"/>
      <c r="K2354" s="1342"/>
    </row>
    <row r="2355" spans="2:11" ht="14" hidden="1">
      <c r="B2355" s="1342"/>
      <c r="C2355" s="1342"/>
      <c r="D2355" s="1342"/>
      <c r="E2355" s="1342"/>
      <c r="F2355" s="1342"/>
      <c r="G2355" s="1342"/>
      <c r="H2355" s="1342"/>
      <c r="I2355" s="1342"/>
      <c r="J2355" s="1342"/>
      <c r="K2355" s="1342"/>
    </row>
    <row r="2356" spans="2:11" ht="14" hidden="1">
      <c r="B2356" s="1342"/>
      <c r="C2356" s="1342"/>
      <c r="D2356" s="1342"/>
      <c r="E2356" s="1342"/>
      <c r="F2356" s="1342"/>
      <c r="G2356" s="1342"/>
      <c r="H2356" s="1342"/>
      <c r="I2356" s="1342"/>
      <c r="J2356" s="1342"/>
      <c r="K2356" s="1342"/>
    </row>
    <row r="2357" spans="2:11" ht="14" hidden="1">
      <c r="B2357" s="1342"/>
      <c r="C2357" s="1342"/>
      <c r="D2357" s="1342"/>
      <c r="E2357" s="1342"/>
      <c r="F2357" s="1342"/>
      <c r="G2357" s="1342"/>
      <c r="H2357" s="1342"/>
      <c r="I2357" s="1342"/>
      <c r="J2357" s="1342"/>
      <c r="K2357" s="1342"/>
    </row>
    <row r="2358" spans="2:11" ht="14" hidden="1">
      <c r="B2358" s="1342"/>
      <c r="C2358" s="1342"/>
      <c r="D2358" s="1342"/>
      <c r="E2358" s="1342"/>
      <c r="F2358" s="1342"/>
      <c r="G2358" s="1342"/>
      <c r="H2358" s="1342"/>
      <c r="I2358" s="1342"/>
      <c r="J2358" s="1342"/>
      <c r="K2358" s="1342"/>
    </row>
    <row r="2359" spans="2:11" ht="14" hidden="1">
      <c r="B2359" s="1342"/>
      <c r="C2359" s="1342"/>
      <c r="D2359" s="1342"/>
      <c r="E2359" s="1342"/>
      <c r="F2359" s="1342"/>
      <c r="G2359" s="1342"/>
      <c r="H2359" s="1342"/>
      <c r="I2359" s="1342"/>
      <c r="J2359" s="1342"/>
      <c r="K2359" s="1342"/>
    </row>
    <row r="2360" spans="2:11" ht="14" hidden="1">
      <c r="B2360" s="1342"/>
      <c r="C2360" s="1342"/>
      <c r="D2360" s="1342"/>
      <c r="E2360" s="1342"/>
      <c r="F2360" s="1342"/>
      <c r="G2360" s="1342"/>
      <c r="H2360" s="1342"/>
      <c r="I2360" s="1342"/>
      <c r="J2360" s="1342"/>
      <c r="K2360" s="1342"/>
    </row>
    <row r="2361" spans="2:11" ht="14" hidden="1">
      <c r="B2361" s="1342"/>
      <c r="C2361" s="1342"/>
      <c r="D2361" s="1342"/>
      <c r="E2361" s="1342"/>
      <c r="F2361" s="1342"/>
      <c r="G2361" s="1342"/>
      <c r="H2361" s="1342"/>
      <c r="I2361" s="1342"/>
      <c r="J2361" s="1342"/>
      <c r="K2361" s="1342"/>
    </row>
    <row r="2362" spans="2:11" ht="14" hidden="1">
      <c r="B2362" s="1342"/>
      <c r="C2362" s="1342"/>
      <c r="D2362" s="1342"/>
      <c r="E2362" s="1342"/>
      <c r="F2362" s="1342"/>
      <c r="G2362" s="1342"/>
      <c r="H2362" s="1342"/>
      <c r="I2362" s="1342"/>
      <c r="J2362" s="1342"/>
      <c r="K2362" s="1342"/>
    </row>
    <row r="2363" spans="2:11" ht="14" hidden="1">
      <c r="B2363" s="1342"/>
      <c r="C2363" s="1342"/>
      <c r="D2363" s="1342"/>
      <c r="E2363" s="1342"/>
      <c r="F2363" s="1342"/>
      <c r="G2363" s="1342"/>
      <c r="H2363" s="1342"/>
      <c r="I2363" s="1342"/>
      <c r="J2363" s="1342"/>
      <c r="K2363" s="1342"/>
    </row>
    <row r="2364" spans="2:11" ht="14" hidden="1">
      <c r="B2364" s="1342"/>
      <c r="C2364" s="1342"/>
      <c r="D2364" s="1342"/>
      <c r="E2364" s="1342"/>
      <c r="F2364" s="1342"/>
      <c r="G2364" s="1342"/>
      <c r="H2364" s="1342"/>
      <c r="I2364" s="1342"/>
      <c r="J2364" s="1342"/>
      <c r="K2364" s="1342"/>
    </row>
    <row r="2365" spans="2:11" ht="14" hidden="1">
      <c r="B2365" s="1342"/>
      <c r="C2365" s="1342"/>
      <c r="D2365" s="1342"/>
      <c r="E2365" s="1342"/>
      <c r="F2365" s="1342"/>
      <c r="G2365" s="1342"/>
      <c r="H2365" s="1342"/>
      <c r="I2365" s="1342"/>
      <c r="J2365" s="1342"/>
      <c r="K2365" s="1342"/>
    </row>
    <row r="2366" spans="2:11" ht="14" hidden="1">
      <c r="B2366" s="1342"/>
      <c r="C2366" s="1342"/>
      <c r="D2366" s="1342"/>
      <c r="E2366" s="1342"/>
      <c r="F2366" s="1342"/>
      <c r="G2366" s="1342"/>
      <c r="H2366" s="1342"/>
      <c r="I2366" s="1342"/>
      <c r="J2366" s="1342"/>
      <c r="K2366" s="1342"/>
    </row>
    <row r="2367" spans="2:11" ht="14" hidden="1">
      <c r="B2367" s="1342"/>
      <c r="C2367" s="1342"/>
      <c r="D2367" s="1342"/>
      <c r="E2367" s="1342"/>
      <c r="F2367" s="1342"/>
      <c r="G2367" s="1342"/>
      <c r="H2367" s="1342"/>
      <c r="I2367" s="1342"/>
      <c r="J2367" s="1342"/>
      <c r="K2367" s="1342"/>
    </row>
    <row r="2368" spans="2:11" ht="14" hidden="1">
      <c r="B2368" s="1342"/>
      <c r="C2368" s="1342"/>
      <c r="D2368" s="1342"/>
      <c r="E2368" s="1342"/>
      <c r="F2368" s="1342"/>
      <c r="G2368" s="1342"/>
      <c r="H2368" s="1342"/>
      <c r="I2368" s="1342"/>
      <c r="J2368" s="1342"/>
      <c r="K2368" s="1342"/>
    </row>
    <row r="2369" spans="2:11" ht="14" hidden="1">
      <c r="B2369" s="1342"/>
      <c r="C2369" s="1342"/>
      <c r="D2369" s="1342"/>
      <c r="E2369" s="1342"/>
      <c r="F2369" s="1342"/>
      <c r="G2369" s="1342"/>
      <c r="H2369" s="1342"/>
      <c r="I2369" s="1342"/>
      <c r="J2369" s="1342"/>
      <c r="K2369" s="1342"/>
    </row>
    <row r="2370" spans="2:11" ht="14" hidden="1">
      <c r="B2370" s="1342"/>
      <c r="C2370" s="1342"/>
      <c r="D2370" s="1342"/>
      <c r="E2370" s="1342"/>
      <c r="F2370" s="1342"/>
      <c r="G2370" s="1342"/>
      <c r="H2370" s="1342"/>
      <c r="I2370" s="1342"/>
      <c r="J2370" s="1342"/>
      <c r="K2370" s="1342"/>
    </row>
    <row r="2371" spans="2:11" ht="14" hidden="1">
      <c r="B2371" s="1342"/>
      <c r="C2371" s="1342"/>
      <c r="D2371" s="1342"/>
      <c r="E2371" s="1342"/>
      <c r="F2371" s="1342"/>
      <c r="G2371" s="1342"/>
      <c r="H2371" s="1342"/>
      <c r="I2371" s="1342"/>
      <c r="J2371" s="1342"/>
      <c r="K2371" s="1342"/>
    </row>
    <row r="2372" spans="2:11" ht="14" hidden="1">
      <c r="B2372" s="1342"/>
      <c r="C2372" s="1342"/>
      <c r="D2372" s="1342"/>
      <c r="E2372" s="1342"/>
      <c r="F2372" s="1342"/>
      <c r="G2372" s="1342"/>
      <c r="H2372" s="1342"/>
      <c r="I2372" s="1342"/>
      <c r="J2372" s="1342"/>
      <c r="K2372" s="1342"/>
    </row>
    <row r="2373" spans="2:11" ht="14" hidden="1">
      <c r="B2373" s="1342"/>
      <c r="C2373" s="1342"/>
      <c r="D2373" s="1342"/>
      <c r="E2373" s="1342"/>
      <c r="F2373" s="1342"/>
      <c r="G2373" s="1342"/>
      <c r="H2373" s="1342"/>
      <c r="I2373" s="1342"/>
      <c r="J2373" s="1342"/>
      <c r="K2373" s="1342"/>
    </row>
    <row r="2374" spans="2:11" ht="14" hidden="1">
      <c r="B2374" s="1342"/>
      <c r="C2374" s="1342"/>
      <c r="D2374" s="1342"/>
      <c r="E2374" s="1342"/>
      <c r="F2374" s="1342"/>
      <c r="G2374" s="1342"/>
      <c r="H2374" s="1342"/>
      <c r="I2374" s="1342"/>
      <c r="J2374" s="1342"/>
      <c r="K2374" s="1342"/>
    </row>
    <row r="2375" spans="2:11" ht="14" hidden="1">
      <c r="B2375" s="1342"/>
      <c r="C2375" s="1342"/>
      <c r="D2375" s="1342"/>
      <c r="E2375" s="1342"/>
      <c r="F2375" s="1342"/>
      <c r="G2375" s="1342"/>
      <c r="H2375" s="1342"/>
      <c r="I2375" s="1342"/>
      <c r="J2375" s="1342"/>
      <c r="K2375" s="1342"/>
    </row>
    <row r="2376" spans="2:11" ht="14" hidden="1">
      <c r="B2376" s="1342"/>
      <c r="C2376" s="1342"/>
      <c r="D2376" s="1342"/>
      <c r="E2376" s="1342"/>
      <c r="F2376" s="1342"/>
      <c r="G2376" s="1342"/>
      <c r="H2376" s="1342"/>
      <c r="I2376" s="1342"/>
      <c r="J2376" s="1342"/>
      <c r="K2376" s="1342"/>
    </row>
    <row r="2377" spans="2:11" ht="14" hidden="1">
      <c r="B2377" s="1342"/>
      <c r="C2377" s="1342"/>
      <c r="D2377" s="1342"/>
      <c r="E2377" s="1342"/>
      <c r="F2377" s="1342"/>
      <c r="G2377" s="1342"/>
      <c r="H2377" s="1342"/>
      <c r="I2377" s="1342"/>
      <c r="J2377" s="1342"/>
      <c r="K2377" s="1342"/>
    </row>
    <row r="2378" spans="2:11" ht="14" hidden="1">
      <c r="B2378" s="1342"/>
      <c r="C2378" s="1342"/>
      <c r="D2378" s="1342"/>
      <c r="E2378" s="1342"/>
      <c r="F2378" s="1342"/>
      <c r="G2378" s="1342"/>
      <c r="H2378" s="1342"/>
      <c r="I2378" s="1342"/>
      <c r="J2378" s="1342"/>
      <c r="K2378" s="1342"/>
    </row>
    <row r="2379" spans="2:11" ht="14" hidden="1">
      <c r="B2379" s="1342"/>
      <c r="C2379" s="1342"/>
      <c r="D2379" s="1342"/>
      <c r="E2379" s="1342"/>
      <c r="F2379" s="1342"/>
      <c r="G2379" s="1342"/>
      <c r="H2379" s="1342"/>
      <c r="I2379" s="1342"/>
      <c r="J2379" s="1342"/>
      <c r="K2379" s="1342"/>
    </row>
    <row r="2380" spans="2:11" ht="14" hidden="1">
      <c r="B2380" s="1342"/>
      <c r="C2380" s="1342"/>
      <c r="D2380" s="1342"/>
      <c r="E2380" s="1342"/>
      <c r="F2380" s="1342"/>
      <c r="G2380" s="1342"/>
      <c r="H2380" s="1342"/>
      <c r="I2380" s="1342"/>
      <c r="J2380" s="1342"/>
      <c r="K2380" s="1342"/>
    </row>
    <row r="2381" spans="2:11" ht="14" hidden="1">
      <c r="B2381" s="1342"/>
      <c r="C2381" s="1342"/>
      <c r="D2381" s="1342"/>
      <c r="E2381" s="1342"/>
      <c r="F2381" s="1342"/>
      <c r="G2381" s="1342"/>
      <c r="H2381" s="1342"/>
      <c r="I2381" s="1342"/>
      <c r="J2381" s="1342"/>
      <c r="K2381" s="1342"/>
    </row>
    <row r="2382" spans="2:11" ht="14" hidden="1">
      <c r="B2382" s="1342"/>
      <c r="C2382" s="1342"/>
      <c r="D2382" s="1342"/>
      <c r="E2382" s="1342"/>
      <c r="F2382" s="1342"/>
      <c r="G2382" s="1342"/>
      <c r="H2382" s="1342"/>
      <c r="I2382" s="1342"/>
      <c r="J2382" s="1342"/>
      <c r="K2382" s="1342"/>
    </row>
    <row r="2383" spans="2:11" ht="14" hidden="1">
      <c r="B2383" s="1342"/>
      <c r="C2383" s="1342"/>
      <c r="D2383" s="1342"/>
      <c r="E2383" s="1342"/>
      <c r="F2383" s="1342"/>
      <c r="G2383" s="1342"/>
      <c r="H2383" s="1342"/>
      <c r="I2383" s="1342"/>
      <c r="J2383" s="1342"/>
      <c r="K2383" s="1342"/>
    </row>
    <row r="2384" spans="2:11" ht="14" hidden="1">
      <c r="B2384" s="1342"/>
      <c r="C2384" s="1342"/>
      <c r="D2384" s="1342"/>
      <c r="E2384" s="1342"/>
      <c r="F2384" s="1342"/>
      <c r="G2384" s="1342"/>
      <c r="H2384" s="1342"/>
      <c r="I2384" s="1342"/>
      <c r="J2384" s="1342"/>
      <c r="K2384" s="1342"/>
    </row>
    <row r="2385" spans="2:11" ht="14" hidden="1">
      <c r="B2385" s="1342"/>
      <c r="C2385" s="1342"/>
      <c r="D2385" s="1342"/>
      <c r="E2385" s="1342"/>
      <c r="F2385" s="1342"/>
      <c r="G2385" s="1342"/>
      <c r="H2385" s="1342"/>
      <c r="I2385" s="1342"/>
      <c r="J2385" s="1342"/>
      <c r="K2385" s="1342"/>
    </row>
    <row r="2386" spans="2:11" ht="14" hidden="1">
      <c r="B2386" s="1342"/>
      <c r="C2386" s="1342"/>
      <c r="D2386" s="1342"/>
      <c r="E2386" s="1342"/>
      <c r="F2386" s="1342"/>
      <c r="G2386" s="1342"/>
      <c r="H2386" s="1342"/>
      <c r="I2386" s="1342"/>
      <c r="J2386" s="1342"/>
      <c r="K2386" s="1342"/>
    </row>
    <row r="2387" spans="2:11" ht="14" hidden="1">
      <c r="B2387" s="1342"/>
      <c r="C2387" s="1342"/>
      <c r="D2387" s="1342"/>
      <c r="E2387" s="1342"/>
      <c r="F2387" s="1342"/>
      <c r="G2387" s="1342"/>
      <c r="H2387" s="1342"/>
      <c r="I2387" s="1342"/>
      <c r="J2387" s="1342"/>
      <c r="K2387" s="1342"/>
    </row>
    <row r="2388" spans="2:11" ht="14" hidden="1">
      <c r="B2388" s="1342"/>
      <c r="C2388" s="1342"/>
      <c r="D2388" s="1342"/>
      <c r="E2388" s="1342"/>
      <c r="F2388" s="1342"/>
      <c r="G2388" s="1342"/>
      <c r="H2388" s="1342"/>
      <c r="I2388" s="1342"/>
      <c r="J2388" s="1342"/>
      <c r="K2388" s="1342"/>
    </row>
    <row r="2389" spans="2:11" ht="14" hidden="1">
      <c r="B2389" s="1342"/>
      <c r="C2389" s="1342"/>
      <c r="D2389" s="1342"/>
      <c r="E2389" s="1342"/>
      <c r="F2389" s="1342"/>
      <c r="G2389" s="1342"/>
      <c r="H2389" s="1342"/>
      <c r="I2389" s="1342"/>
      <c r="J2389" s="1342"/>
      <c r="K2389" s="1342"/>
    </row>
    <row r="2390" spans="2:11" ht="14" hidden="1">
      <c r="B2390" s="1342"/>
      <c r="C2390" s="1342"/>
      <c r="D2390" s="1342"/>
      <c r="E2390" s="1342"/>
      <c r="F2390" s="1342"/>
      <c r="G2390" s="1342"/>
      <c r="H2390" s="1342"/>
      <c r="I2390" s="1342"/>
      <c r="J2390" s="1342"/>
      <c r="K2390" s="1342"/>
    </row>
    <row r="2391" spans="2:11" ht="14" hidden="1">
      <c r="B2391" s="1342"/>
      <c r="C2391" s="1342"/>
      <c r="D2391" s="1342"/>
      <c r="E2391" s="1342"/>
      <c r="F2391" s="1342"/>
      <c r="G2391" s="1342"/>
      <c r="H2391" s="1342"/>
      <c r="I2391" s="1342"/>
      <c r="J2391" s="1342"/>
      <c r="K2391" s="1342"/>
    </row>
    <row r="2392" spans="2:11" ht="14" hidden="1">
      <c r="B2392" s="1342"/>
      <c r="C2392" s="1342"/>
      <c r="D2392" s="1342"/>
      <c r="E2392" s="1342"/>
      <c r="F2392" s="1342"/>
      <c r="G2392" s="1342"/>
      <c r="H2392" s="1342"/>
      <c r="I2392" s="1342"/>
      <c r="J2392" s="1342"/>
      <c r="K2392" s="1342"/>
    </row>
    <row r="2393" spans="2:11" ht="14" hidden="1">
      <c r="B2393" s="1342"/>
      <c r="C2393" s="1342"/>
      <c r="D2393" s="1342"/>
      <c r="E2393" s="1342"/>
      <c r="F2393" s="1342"/>
      <c r="G2393" s="1342"/>
      <c r="H2393" s="1342"/>
      <c r="I2393" s="1342"/>
      <c r="J2393" s="1342"/>
      <c r="K2393" s="1342"/>
    </row>
    <row r="2394" spans="2:11" ht="14" hidden="1">
      <c r="B2394" s="1342"/>
      <c r="C2394" s="1342"/>
      <c r="D2394" s="1342"/>
      <c r="E2394" s="1342"/>
      <c r="F2394" s="1342"/>
      <c r="G2394" s="1342"/>
      <c r="H2394" s="1342"/>
      <c r="I2394" s="1342"/>
      <c r="J2394" s="1342"/>
      <c r="K2394" s="1342"/>
    </row>
    <row r="2395" spans="2:11" ht="14" hidden="1">
      <c r="B2395" s="1342"/>
      <c r="C2395" s="1342"/>
      <c r="D2395" s="1342"/>
      <c r="E2395" s="1342"/>
      <c r="F2395" s="1342"/>
      <c r="G2395" s="1342"/>
      <c r="H2395" s="1342"/>
      <c r="I2395" s="1342"/>
      <c r="J2395" s="1342"/>
      <c r="K2395" s="1342"/>
    </row>
    <row r="2396" spans="2:11" ht="14" hidden="1">
      <c r="B2396" s="1342"/>
      <c r="C2396" s="1342"/>
      <c r="D2396" s="1342"/>
      <c r="E2396" s="1342"/>
      <c r="F2396" s="1342"/>
      <c r="G2396" s="1342"/>
      <c r="H2396" s="1342"/>
      <c r="I2396" s="1342"/>
      <c r="J2396" s="1342"/>
      <c r="K2396" s="1342"/>
    </row>
    <row r="2397" spans="2:11" ht="14" hidden="1">
      <c r="B2397" s="1342"/>
      <c r="C2397" s="1342"/>
      <c r="D2397" s="1342"/>
      <c r="E2397" s="1342"/>
      <c r="F2397" s="1342"/>
      <c r="G2397" s="1342"/>
      <c r="H2397" s="1342"/>
      <c r="I2397" s="1342"/>
      <c r="J2397" s="1342"/>
      <c r="K2397" s="1342"/>
    </row>
    <row r="2398" spans="2:11" ht="14" hidden="1">
      <c r="B2398" s="1342"/>
      <c r="C2398" s="1342"/>
      <c r="D2398" s="1342"/>
      <c r="E2398" s="1342"/>
      <c r="F2398" s="1342"/>
      <c r="G2398" s="1342"/>
      <c r="H2398" s="1342"/>
      <c r="I2398" s="1342"/>
      <c r="J2398" s="1342"/>
      <c r="K2398" s="1342"/>
    </row>
    <row r="2399" spans="2:11" ht="14" hidden="1">
      <c r="B2399" s="1342"/>
      <c r="C2399" s="1342"/>
      <c r="D2399" s="1342"/>
      <c r="E2399" s="1342"/>
      <c r="F2399" s="1342"/>
      <c r="G2399" s="1342"/>
      <c r="H2399" s="1342"/>
      <c r="I2399" s="1342"/>
      <c r="J2399" s="1342"/>
      <c r="K2399" s="1342"/>
    </row>
    <row r="2400" spans="2:11" ht="14" hidden="1">
      <c r="B2400" s="1342"/>
      <c r="C2400" s="1342"/>
      <c r="D2400" s="1342"/>
      <c r="E2400" s="1342"/>
      <c r="F2400" s="1342"/>
      <c r="G2400" s="1342"/>
      <c r="H2400" s="1342"/>
      <c r="I2400" s="1342"/>
      <c r="J2400" s="1342"/>
      <c r="K2400" s="1342"/>
    </row>
    <row r="2401" spans="2:11" ht="14" hidden="1">
      <c r="B2401" s="1342"/>
      <c r="C2401" s="1342"/>
      <c r="D2401" s="1342"/>
      <c r="E2401" s="1342"/>
      <c r="F2401" s="1342"/>
      <c r="G2401" s="1342"/>
      <c r="H2401" s="1342"/>
      <c r="I2401" s="1342"/>
      <c r="J2401" s="1342"/>
      <c r="K2401" s="1342"/>
    </row>
    <row r="2402" spans="2:11" ht="14" hidden="1">
      <c r="B2402" s="1342"/>
      <c r="C2402" s="1342"/>
      <c r="D2402" s="1342"/>
      <c r="E2402" s="1342"/>
      <c r="F2402" s="1342"/>
      <c r="G2402" s="1342"/>
      <c r="H2402" s="1342"/>
      <c r="I2402" s="1342"/>
      <c r="J2402" s="1342"/>
      <c r="K2402" s="1342"/>
    </row>
    <row r="2403" spans="2:11" ht="14" hidden="1">
      <c r="B2403" s="1342"/>
      <c r="C2403" s="1342"/>
      <c r="D2403" s="1342"/>
      <c r="E2403" s="1342"/>
      <c r="F2403" s="1342"/>
      <c r="G2403" s="1342"/>
      <c r="H2403" s="1342"/>
      <c r="I2403" s="1342"/>
      <c r="J2403" s="1342"/>
      <c r="K2403" s="1342"/>
    </row>
    <row r="2404" spans="2:11" ht="14" hidden="1">
      <c r="B2404" s="1342"/>
      <c r="C2404" s="1342"/>
      <c r="D2404" s="1342"/>
      <c r="E2404" s="1342"/>
      <c r="F2404" s="1342"/>
      <c r="G2404" s="1342"/>
      <c r="H2404" s="1342"/>
      <c r="I2404" s="1342"/>
      <c r="J2404" s="1342"/>
      <c r="K2404" s="1342"/>
    </row>
    <row r="2405" spans="2:11" ht="14" hidden="1">
      <c r="B2405" s="1342"/>
      <c r="C2405" s="1342"/>
      <c r="D2405" s="1342"/>
      <c r="E2405" s="1342"/>
      <c r="F2405" s="1342"/>
      <c r="G2405" s="1342"/>
      <c r="H2405" s="1342"/>
      <c r="I2405" s="1342"/>
      <c r="J2405" s="1342"/>
      <c r="K2405" s="1342"/>
    </row>
    <row r="2406" spans="2:11" ht="14" hidden="1">
      <c r="B2406" s="1342"/>
      <c r="C2406" s="1342"/>
      <c r="D2406" s="1342"/>
      <c r="E2406" s="1342"/>
      <c r="F2406" s="1342"/>
      <c r="G2406" s="1342"/>
      <c r="H2406" s="1342"/>
      <c r="I2406" s="1342"/>
      <c r="J2406" s="1342"/>
      <c r="K2406" s="1342"/>
    </row>
    <row r="2407" spans="2:11" ht="14" hidden="1">
      <c r="B2407" s="1342"/>
      <c r="C2407" s="1342"/>
      <c r="D2407" s="1342"/>
      <c r="E2407" s="1342"/>
      <c r="F2407" s="1342"/>
      <c r="G2407" s="1342"/>
      <c r="H2407" s="1342"/>
      <c r="I2407" s="1342"/>
      <c r="J2407" s="1342"/>
      <c r="K2407" s="1342"/>
    </row>
    <row r="2408" spans="2:11" ht="14" hidden="1">
      <c r="B2408" s="1342"/>
      <c r="C2408" s="1342"/>
      <c r="D2408" s="1342"/>
      <c r="E2408" s="1342"/>
      <c r="F2408" s="1342"/>
      <c r="G2408" s="1342"/>
      <c r="H2408" s="1342"/>
      <c r="I2408" s="1342"/>
      <c r="J2408" s="1342"/>
      <c r="K2408" s="1342"/>
    </row>
    <row r="2409" spans="2:11" ht="14" hidden="1">
      <c r="B2409" s="1342"/>
      <c r="C2409" s="1342"/>
      <c r="D2409" s="1342"/>
      <c r="E2409" s="1342"/>
      <c r="F2409" s="1342"/>
      <c r="G2409" s="1342"/>
      <c r="H2409" s="1342"/>
      <c r="I2409" s="1342"/>
      <c r="J2409" s="1342"/>
      <c r="K2409" s="1342"/>
    </row>
    <row r="2410" spans="2:11" ht="14" hidden="1">
      <c r="B2410" s="1342"/>
      <c r="C2410" s="1342"/>
      <c r="D2410" s="1342"/>
      <c r="E2410" s="1342"/>
      <c r="F2410" s="1342"/>
      <c r="G2410" s="1342"/>
      <c r="H2410" s="1342"/>
      <c r="I2410" s="1342"/>
      <c r="J2410" s="1342"/>
      <c r="K2410" s="1342"/>
    </row>
    <row r="2411" spans="2:11" ht="14" hidden="1">
      <c r="B2411" s="1342"/>
      <c r="C2411" s="1342"/>
      <c r="D2411" s="1342"/>
      <c r="E2411" s="1342"/>
      <c r="F2411" s="1342"/>
      <c r="G2411" s="1342"/>
      <c r="H2411" s="1342"/>
      <c r="I2411" s="1342"/>
      <c r="J2411" s="1342"/>
      <c r="K2411" s="1342"/>
    </row>
    <row r="2412" spans="2:11" ht="14" hidden="1">
      <c r="B2412" s="1342"/>
      <c r="C2412" s="1342"/>
      <c r="D2412" s="1342"/>
      <c r="E2412" s="1342"/>
      <c r="F2412" s="1342"/>
      <c r="G2412" s="1342"/>
      <c r="H2412" s="1342"/>
      <c r="I2412" s="1342"/>
      <c r="J2412" s="1342"/>
      <c r="K2412" s="1342"/>
    </row>
    <row r="2413" spans="2:11" ht="14" hidden="1">
      <c r="B2413" s="1342"/>
      <c r="C2413" s="1342"/>
      <c r="D2413" s="1342"/>
      <c r="E2413" s="1342"/>
      <c r="F2413" s="1342"/>
      <c r="G2413" s="1342"/>
      <c r="H2413" s="1342"/>
      <c r="I2413" s="1342"/>
      <c r="J2413" s="1342"/>
      <c r="K2413" s="1342"/>
    </row>
    <row r="2414" spans="2:11" ht="14" hidden="1">
      <c r="B2414" s="1342"/>
      <c r="C2414" s="1342"/>
      <c r="D2414" s="1342"/>
      <c r="E2414" s="1342"/>
      <c r="F2414" s="1342"/>
      <c r="G2414" s="1342"/>
      <c r="H2414" s="1342"/>
      <c r="I2414" s="1342"/>
      <c r="J2414" s="1342"/>
      <c r="K2414" s="1342"/>
    </row>
    <row r="2415" spans="2:11" ht="14" hidden="1">
      <c r="B2415" s="1342"/>
      <c r="C2415" s="1342"/>
      <c r="D2415" s="1342"/>
      <c r="E2415" s="1342"/>
      <c r="F2415" s="1342"/>
      <c r="G2415" s="1342"/>
      <c r="H2415" s="1342"/>
      <c r="I2415" s="1342"/>
      <c r="J2415" s="1342"/>
      <c r="K2415" s="1342"/>
    </row>
    <row r="2416" spans="2:11" ht="14" hidden="1">
      <c r="B2416" s="1342"/>
      <c r="C2416" s="1342"/>
      <c r="D2416" s="1342"/>
      <c r="E2416" s="1342"/>
      <c r="F2416" s="1342"/>
      <c r="G2416" s="1342"/>
      <c r="H2416" s="1342"/>
      <c r="I2416" s="1342"/>
      <c r="J2416" s="1342"/>
      <c r="K2416" s="1342"/>
    </row>
    <row r="2417" spans="2:11" ht="14" hidden="1">
      <c r="B2417" s="1342"/>
      <c r="C2417" s="1342"/>
      <c r="D2417" s="1342"/>
      <c r="E2417" s="1342"/>
      <c r="F2417" s="1342"/>
      <c r="G2417" s="1342"/>
      <c r="H2417" s="1342"/>
      <c r="I2417" s="1342"/>
      <c r="J2417" s="1342"/>
      <c r="K2417" s="1342"/>
    </row>
    <row r="2418" spans="2:11" ht="14" hidden="1">
      <c r="B2418" s="1342"/>
      <c r="C2418" s="1342"/>
      <c r="D2418" s="1342"/>
      <c r="E2418" s="1342"/>
      <c r="F2418" s="1342"/>
      <c r="G2418" s="1342"/>
      <c r="H2418" s="1342"/>
      <c r="I2418" s="1342"/>
      <c r="J2418" s="1342"/>
      <c r="K2418" s="1342"/>
    </row>
    <row r="2419" spans="2:11" ht="14" hidden="1">
      <c r="B2419" s="1342"/>
      <c r="C2419" s="1342"/>
      <c r="D2419" s="1342"/>
      <c r="E2419" s="1342"/>
      <c r="F2419" s="1342"/>
      <c r="G2419" s="1342"/>
      <c r="H2419" s="1342"/>
      <c r="I2419" s="1342"/>
      <c r="J2419" s="1342"/>
      <c r="K2419" s="1342"/>
    </row>
    <row r="2420" spans="2:11" ht="14" hidden="1">
      <c r="B2420" s="1342"/>
      <c r="C2420" s="1342"/>
      <c r="D2420" s="1342"/>
      <c r="E2420" s="1342"/>
      <c r="F2420" s="1342"/>
      <c r="G2420" s="1342"/>
      <c r="H2420" s="1342"/>
      <c r="I2420" s="1342"/>
      <c r="J2420" s="1342"/>
      <c r="K2420" s="1342"/>
    </row>
    <row r="2421" spans="2:11" ht="14" hidden="1">
      <c r="B2421" s="1342"/>
      <c r="C2421" s="1342"/>
      <c r="D2421" s="1342"/>
      <c r="E2421" s="1342"/>
      <c r="F2421" s="1342"/>
      <c r="G2421" s="1342"/>
      <c r="H2421" s="1342"/>
      <c r="I2421" s="1342"/>
      <c r="J2421" s="1342"/>
      <c r="K2421" s="1342"/>
    </row>
    <row r="2422" spans="2:11" ht="14" hidden="1">
      <c r="B2422" s="1342"/>
      <c r="C2422" s="1342"/>
      <c r="D2422" s="1342"/>
      <c r="E2422" s="1342"/>
      <c r="F2422" s="1342"/>
      <c r="G2422" s="1342"/>
      <c r="H2422" s="1342"/>
      <c r="I2422" s="1342"/>
      <c r="J2422" s="1342"/>
      <c r="K2422" s="1342"/>
    </row>
    <row r="2423" spans="2:11" ht="14" hidden="1">
      <c r="B2423" s="1342"/>
      <c r="C2423" s="1342"/>
      <c r="D2423" s="1342"/>
      <c r="E2423" s="1342"/>
      <c r="F2423" s="1342"/>
      <c r="G2423" s="1342"/>
      <c r="H2423" s="1342"/>
      <c r="I2423" s="1342"/>
      <c r="J2423" s="1342"/>
      <c r="K2423" s="1342"/>
    </row>
    <row r="2424" spans="2:11" ht="14" hidden="1">
      <c r="B2424" s="1342"/>
      <c r="C2424" s="1342"/>
      <c r="D2424" s="1342"/>
      <c r="E2424" s="1342"/>
      <c r="F2424" s="1342"/>
      <c r="G2424" s="1342"/>
      <c r="H2424" s="1342"/>
      <c r="I2424" s="1342"/>
      <c r="J2424" s="1342"/>
      <c r="K2424" s="1342"/>
    </row>
    <row r="2425" spans="2:11" ht="14" hidden="1">
      <c r="B2425" s="1342"/>
      <c r="C2425" s="1342"/>
      <c r="D2425" s="1342"/>
      <c r="E2425" s="1342"/>
      <c r="F2425" s="1342"/>
      <c r="G2425" s="1342"/>
      <c r="H2425" s="1342"/>
      <c r="I2425" s="1342"/>
      <c r="J2425" s="1342"/>
      <c r="K2425" s="1342"/>
    </row>
    <row r="2426" spans="2:11" ht="14" hidden="1">
      <c r="B2426" s="1342"/>
      <c r="C2426" s="1342"/>
      <c r="D2426" s="1342"/>
      <c r="E2426" s="1342"/>
      <c r="F2426" s="1342"/>
      <c r="G2426" s="1342"/>
      <c r="H2426" s="1342"/>
      <c r="I2426" s="1342"/>
      <c r="J2426" s="1342"/>
      <c r="K2426" s="1342"/>
    </row>
    <row r="2427" spans="2:11" ht="14" hidden="1">
      <c r="B2427" s="1342"/>
      <c r="C2427" s="1342"/>
      <c r="D2427" s="1342"/>
      <c r="E2427" s="1342"/>
      <c r="F2427" s="1342"/>
      <c r="G2427" s="1342"/>
      <c r="H2427" s="1342"/>
      <c r="I2427" s="1342"/>
      <c r="J2427" s="1342"/>
      <c r="K2427" s="1342"/>
    </row>
    <row r="2428" spans="2:11" ht="14" hidden="1">
      <c r="B2428" s="1342"/>
      <c r="C2428" s="1342"/>
      <c r="D2428" s="1342"/>
      <c r="E2428" s="1342"/>
      <c r="F2428" s="1342"/>
      <c r="G2428" s="1342"/>
      <c r="H2428" s="1342"/>
      <c r="I2428" s="1342"/>
      <c r="J2428" s="1342"/>
      <c r="K2428" s="1342"/>
    </row>
    <row r="2429" spans="2:11" ht="14" hidden="1">
      <c r="B2429" s="1342"/>
      <c r="C2429" s="1342"/>
      <c r="D2429" s="1342"/>
      <c r="E2429" s="1342"/>
      <c r="F2429" s="1342"/>
      <c r="G2429" s="1342"/>
      <c r="H2429" s="1342"/>
      <c r="I2429" s="1342"/>
      <c r="J2429" s="1342"/>
      <c r="K2429" s="1342"/>
    </row>
    <row r="2430" spans="2:11" ht="14" hidden="1">
      <c r="B2430" s="1342"/>
      <c r="C2430" s="1342"/>
      <c r="D2430" s="1342"/>
      <c r="E2430" s="1342"/>
      <c r="F2430" s="1342"/>
      <c r="G2430" s="1342"/>
      <c r="H2430" s="1342"/>
      <c r="I2430" s="1342"/>
      <c r="J2430" s="1342"/>
      <c r="K2430" s="1342"/>
    </row>
    <row r="2431" spans="2:11" ht="14" hidden="1">
      <c r="B2431" s="1342"/>
      <c r="C2431" s="1342"/>
      <c r="D2431" s="1342"/>
      <c r="E2431" s="1342"/>
      <c r="F2431" s="1342"/>
      <c r="G2431" s="1342"/>
      <c r="H2431" s="1342"/>
      <c r="I2431" s="1342"/>
      <c r="J2431" s="1342"/>
      <c r="K2431" s="1342"/>
    </row>
    <row r="2432" spans="2:11" ht="14" hidden="1">
      <c r="B2432" s="1342"/>
      <c r="C2432" s="1342"/>
      <c r="D2432" s="1342"/>
      <c r="E2432" s="1342"/>
      <c r="F2432" s="1342"/>
      <c r="G2432" s="1342"/>
      <c r="H2432" s="1342"/>
      <c r="I2432" s="1342"/>
      <c r="J2432" s="1342"/>
      <c r="K2432" s="1342"/>
    </row>
    <row r="2433" spans="2:11" ht="14" hidden="1">
      <c r="B2433" s="1342"/>
      <c r="C2433" s="1342"/>
      <c r="D2433" s="1342"/>
      <c r="E2433" s="1342"/>
      <c r="F2433" s="1342"/>
      <c r="G2433" s="1342"/>
      <c r="H2433" s="1342"/>
      <c r="I2433" s="1342"/>
      <c r="J2433" s="1342"/>
      <c r="K2433" s="1342"/>
    </row>
    <row r="2434" spans="2:11" ht="14" hidden="1">
      <c r="B2434" s="1342"/>
      <c r="C2434" s="1342"/>
      <c r="D2434" s="1342"/>
      <c r="E2434" s="1342"/>
      <c r="F2434" s="1342"/>
      <c r="G2434" s="1342"/>
      <c r="H2434" s="1342"/>
      <c r="I2434" s="1342"/>
      <c r="J2434" s="1342"/>
      <c r="K2434" s="1342"/>
    </row>
    <row r="2435" spans="2:11" ht="14" hidden="1">
      <c r="B2435" s="1342"/>
      <c r="C2435" s="1342"/>
      <c r="D2435" s="1342"/>
      <c r="E2435" s="1342"/>
      <c r="F2435" s="1342"/>
      <c r="G2435" s="1342"/>
      <c r="H2435" s="1342"/>
      <c r="I2435" s="1342"/>
      <c r="J2435" s="1342"/>
      <c r="K2435" s="1342"/>
    </row>
    <row r="2436" spans="2:11" ht="14" hidden="1">
      <c r="B2436" s="1342"/>
      <c r="C2436" s="1342"/>
      <c r="D2436" s="1342"/>
      <c r="E2436" s="1342"/>
      <c r="F2436" s="1342"/>
      <c r="G2436" s="1342"/>
      <c r="H2436" s="1342"/>
      <c r="I2436" s="1342"/>
      <c r="J2436" s="1342"/>
      <c r="K2436" s="1342"/>
    </row>
    <row r="2437" spans="2:11" ht="14" hidden="1">
      <c r="B2437" s="1342"/>
      <c r="C2437" s="1342"/>
      <c r="D2437" s="1342"/>
      <c r="E2437" s="1342"/>
      <c r="F2437" s="1342"/>
      <c r="G2437" s="1342"/>
      <c r="H2437" s="1342"/>
      <c r="I2437" s="1342"/>
      <c r="J2437" s="1342"/>
      <c r="K2437" s="1342"/>
    </row>
    <row r="2438" spans="2:11" ht="14" hidden="1">
      <c r="B2438" s="1342"/>
      <c r="C2438" s="1342"/>
      <c r="D2438" s="1342"/>
      <c r="E2438" s="1342"/>
      <c r="F2438" s="1342"/>
      <c r="G2438" s="1342"/>
      <c r="H2438" s="1342"/>
      <c r="I2438" s="1342"/>
      <c r="J2438" s="1342"/>
      <c r="K2438" s="1342"/>
    </row>
    <row r="2439" spans="2:11" ht="14" hidden="1">
      <c r="B2439" s="1342"/>
      <c r="C2439" s="1342"/>
      <c r="D2439" s="1342"/>
      <c r="E2439" s="1342"/>
      <c r="F2439" s="1342"/>
      <c r="G2439" s="1342"/>
      <c r="H2439" s="1342"/>
      <c r="I2439" s="1342"/>
      <c r="J2439" s="1342"/>
      <c r="K2439" s="1342"/>
    </row>
    <row r="2440" spans="2:11" ht="14" hidden="1">
      <c r="B2440" s="1342"/>
      <c r="C2440" s="1342"/>
      <c r="D2440" s="1342"/>
      <c r="E2440" s="1342"/>
      <c r="F2440" s="1342"/>
      <c r="G2440" s="1342"/>
      <c r="H2440" s="1342"/>
      <c r="I2440" s="1342"/>
      <c r="J2440" s="1342"/>
      <c r="K2440" s="1342"/>
    </row>
    <row r="2441" spans="2:11" ht="14" hidden="1">
      <c r="B2441" s="1342"/>
      <c r="C2441" s="1342"/>
      <c r="D2441" s="1342"/>
      <c r="E2441" s="1342"/>
      <c r="F2441" s="1342"/>
      <c r="G2441" s="1342"/>
      <c r="H2441" s="1342"/>
      <c r="I2441" s="1342"/>
      <c r="J2441" s="1342"/>
      <c r="K2441" s="1342"/>
    </row>
    <row r="2442" spans="2:11" ht="14" hidden="1">
      <c r="B2442" s="1342"/>
      <c r="C2442" s="1342"/>
      <c r="D2442" s="1342"/>
      <c r="E2442" s="1342"/>
      <c r="F2442" s="1342"/>
      <c r="G2442" s="1342"/>
      <c r="H2442" s="1342"/>
      <c r="I2442" s="1342"/>
      <c r="J2442" s="1342"/>
      <c r="K2442" s="1342"/>
    </row>
    <row r="2443" spans="2:11" ht="14" hidden="1">
      <c r="B2443" s="1342"/>
      <c r="C2443" s="1342"/>
      <c r="D2443" s="1342"/>
      <c r="E2443" s="1342"/>
      <c r="F2443" s="1342"/>
      <c r="G2443" s="1342"/>
      <c r="H2443" s="1342"/>
      <c r="I2443" s="1342"/>
      <c r="J2443" s="1342"/>
      <c r="K2443" s="1342"/>
    </row>
    <row r="2444" spans="2:11" ht="14" hidden="1">
      <c r="B2444" s="1342"/>
      <c r="C2444" s="1342"/>
      <c r="D2444" s="1342"/>
      <c r="E2444" s="1342"/>
      <c r="F2444" s="1342"/>
      <c r="G2444" s="1342"/>
      <c r="H2444" s="1342"/>
      <c r="I2444" s="1342"/>
      <c r="J2444" s="1342"/>
      <c r="K2444" s="1342"/>
    </row>
    <row r="2445" spans="2:11" ht="14" hidden="1">
      <c r="B2445" s="1342"/>
      <c r="C2445" s="1342"/>
      <c r="D2445" s="1342"/>
      <c r="E2445" s="1342"/>
      <c r="F2445" s="1342"/>
      <c r="G2445" s="1342"/>
      <c r="H2445" s="1342"/>
      <c r="I2445" s="1342"/>
      <c r="J2445" s="1342"/>
      <c r="K2445" s="1342"/>
    </row>
    <row r="2446" spans="2:11" ht="14" hidden="1">
      <c r="B2446" s="1342"/>
      <c r="C2446" s="1342"/>
      <c r="D2446" s="1342"/>
      <c r="E2446" s="1342"/>
      <c r="F2446" s="1342"/>
      <c r="G2446" s="1342"/>
      <c r="H2446" s="1342"/>
      <c r="I2446" s="1342"/>
      <c r="J2446" s="1342"/>
      <c r="K2446" s="1342"/>
    </row>
    <row r="2447" spans="2:11" ht="14" hidden="1">
      <c r="B2447" s="1342"/>
      <c r="C2447" s="1342"/>
      <c r="D2447" s="1342"/>
      <c r="E2447" s="1342"/>
      <c r="F2447" s="1342"/>
      <c r="G2447" s="1342"/>
      <c r="H2447" s="1342"/>
      <c r="I2447" s="1342"/>
      <c r="J2447" s="1342"/>
      <c r="K2447" s="1342"/>
    </row>
    <row r="2448" spans="2:11" ht="14" hidden="1">
      <c r="B2448" s="1342"/>
      <c r="C2448" s="1342"/>
      <c r="D2448" s="1342"/>
      <c r="E2448" s="1342"/>
      <c r="F2448" s="1342"/>
      <c r="G2448" s="1342"/>
      <c r="H2448" s="1342"/>
      <c r="I2448" s="1342"/>
      <c r="J2448" s="1342"/>
      <c r="K2448" s="1342"/>
    </row>
    <row r="2449" spans="2:11" ht="14" hidden="1">
      <c r="B2449" s="1342"/>
      <c r="C2449" s="1342"/>
      <c r="D2449" s="1342"/>
      <c r="E2449" s="1342"/>
      <c r="F2449" s="1342"/>
      <c r="G2449" s="1342"/>
      <c r="H2449" s="1342"/>
      <c r="I2449" s="1342"/>
      <c r="J2449" s="1342"/>
      <c r="K2449" s="1342"/>
    </row>
    <row r="2450" spans="2:11" ht="14" hidden="1">
      <c r="B2450" s="1342"/>
      <c r="C2450" s="1342"/>
      <c r="D2450" s="1342"/>
      <c r="E2450" s="1342"/>
      <c r="F2450" s="1342"/>
      <c r="G2450" s="1342"/>
      <c r="H2450" s="1342"/>
      <c r="I2450" s="1342"/>
      <c r="J2450" s="1342"/>
      <c r="K2450" s="1342"/>
    </row>
    <row r="2451" spans="2:11" ht="14" hidden="1">
      <c r="B2451" s="1342"/>
      <c r="C2451" s="1342"/>
      <c r="D2451" s="1342"/>
      <c r="E2451" s="1342"/>
      <c r="F2451" s="1342"/>
      <c r="G2451" s="1342"/>
      <c r="H2451" s="1342"/>
      <c r="I2451" s="1342"/>
      <c r="J2451" s="1342"/>
      <c r="K2451" s="1342"/>
    </row>
    <row r="2452" spans="2:11" ht="14" hidden="1">
      <c r="B2452" s="1342"/>
      <c r="C2452" s="1342"/>
      <c r="D2452" s="1342"/>
      <c r="E2452" s="1342"/>
      <c r="F2452" s="1342"/>
      <c r="G2452" s="1342"/>
      <c r="H2452" s="1342"/>
      <c r="I2452" s="1342"/>
      <c r="J2452" s="1342"/>
      <c r="K2452" s="1342"/>
    </row>
    <row r="2453" spans="2:11" ht="14" hidden="1">
      <c r="B2453" s="1342"/>
      <c r="C2453" s="1342"/>
      <c r="D2453" s="1342"/>
      <c r="E2453" s="1342"/>
      <c r="F2453" s="1342"/>
      <c r="G2453" s="1342"/>
      <c r="H2453" s="1342"/>
      <c r="I2453" s="1342"/>
      <c r="J2453" s="1342"/>
      <c r="K2453" s="1342"/>
    </row>
    <row r="2454" spans="2:11" ht="14" hidden="1">
      <c r="B2454" s="1342"/>
      <c r="C2454" s="1342"/>
      <c r="D2454" s="1342"/>
      <c r="E2454" s="1342"/>
      <c r="F2454" s="1342"/>
      <c r="G2454" s="1342"/>
      <c r="H2454" s="1342"/>
      <c r="I2454" s="1342"/>
      <c r="J2454" s="1342"/>
      <c r="K2454" s="1342"/>
    </row>
    <row r="2455" spans="2:11" ht="14" hidden="1">
      <c r="B2455" s="1342"/>
      <c r="C2455" s="1342"/>
      <c r="D2455" s="1342"/>
      <c r="E2455" s="1342"/>
      <c r="F2455" s="1342"/>
      <c r="G2455" s="1342"/>
      <c r="H2455" s="1342"/>
      <c r="I2455" s="1342"/>
      <c r="J2455" s="1342"/>
      <c r="K2455" s="1342"/>
    </row>
    <row r="2456" spans="2:11" ht="14" hidden="1">
      <c r="B2456" s="1342"/>
      <c r="C2456" s="1342"/>
      <c r="D2456" s="1342"/>
      <c r="E2456" s="1342"/>
      <c r="F2456" s="1342"/>
      <c r="G2456" s="1342"/>
      <c r="H2456" s="1342"/>
      <c r="I2456" s="1342"/>
      <c r="J2456" s="1342"/>
      <c r="K2456" s="1342"/>
    </row>
    <row r="2457" spans="2:11" ht="14" hidden="1">
      <c r="B2457" s="1342"/>
      <c r="C2457" s="1342"/>
      <c r="D2457" s="1342"/>
      <c r="E2457" s="1342"/>
      <c r="F2457" s="1342"/>
      <c r="G2457" s="1342"/>
      <c r="H2457" s="1342"/>
      <c r="I2457" s="1342"/>
      <c r="J2457" s="1342"/>
      <c r="K2457" s="1342"/>
    </row>
    <row r="2458" spans="2:11" ht="14" hidden="1">
      <c r="B2458" s="1342"/>
      <c r="C2458" s="1342"/>
      <c r="D2458" s="1342"/>
      <c r="E2458" s="1342"/>
      <c r="F2458" s="1342"/>
      <c r="G2458" s="1342"/>
      <c r="H2458" s="1342"/>
      <c r="I2458" s="1342"/>
      <c r="J2458" s="1342"/>
      <c r="K2458" s="1342"/>
    </row>
    <row r="2459" spans="2:11" ht="14" hidden="1">
      <c r="B2459" s="1342"/>
      <c r="C2459" s="1342"/>
      <c r="D2459" s="1342"/>
      <c r="E2459" s="1342"/>
      <c r="F2459" s="1342"/>
      <c r="G2459" s="1342"/>
      <c r="H2459" s="1342"/>
      <c r="I2459" s="1342"/>
      <c r="J2459" s="1342"/>
      <c r="K2459" s="1342"/>
    </row>
    <row r="2460" spans="2:11" ht="14" hidden="1">
      <c r="B2460" s="1342"/>
      <c r="C2460" s="1342"/>
      <c r="D2460" s="1342"/>
      <c r="E2460" s="1342"/>
      <c r="F2460" s="1342"/>
      <c r="G2460" s="1342"/>
      <c r="H2460" s="1342"/>
      <c r="I2460" s="1342"/>
      <c r="J2460" s="1342"/>
      <c r="K2460" s="1342"/>
    </row>
    <row r="2461" spans="2:11" ht="14" hidden="1">
      <c r="B2461" s="1342"/>
      <c r="C2461" s="1342"/>
      <c r="D2461" s="1342"/>
      <c r="E2461" s="1342"/>
      <c r="F2461" s="1342"/>
      <c r="G2461" s="1342"/>
      <c r="H2461" s="1342"/>
      <c r="I2461" s="1342"/>
      <c r="J2461" s="1342"/>
      <c r="K2461" s="1342"/>
    </row>
    <row r="2462" spans="2:11" ht="14" hidden="1">
      <c r="B2462" s="1342"/>
      <c r="C2462" s="1342"/>
      <c r="D2462" s="1342"/>
      <c r="E2462" s="1342"/>
      <c r="F2462" s="1342"/>
      <c r="G2462" s="1342"/>
      <c r="H2462" s="1342"/>
      <c r="I2462" s="1342"/>
      <c r="J2462" s="1342"/>
      <c r="K2462" s="1342"/>
    </row>
    <row r="2463" spans="2:11" ht="14" hidden="1">
      <c r="B2463" s="1342"/>
      <c r="C2463" s="1342"/>
      <c r="D2463" s="1342"/>
      <c r="E2463" s="1342"/>
      <c r="F2463" s="1342"/>
      <c r="G2463" s="1342"/>
      <c r="H2463" s="1342"/>
      <c r="I2463" s="1342"/>
      <c r="J2463" s="1342"/>
      <c r="K2463" s="1342"/>
    </row>
    <row r="2464" spans="2:11" ht="14" hidden="1">
      <c r="B2464" s="1342"/>
      <c r="C2464" s="1342"/>
      <c r="D2464" s="1342"/>
      <c r="E2464" s="1342"/>
      <c r="F2464" s="1342"/>
      <c r="G2464" s="1342"/>
      <c r="H2464" s="1342"/>
      <c r="I2464" s="1342"/>
      <c r="J2464" s="1342"/>
      <c r="K2464" s="1342"/>
    </row>
    <row r="2465" spans="2:11" ht="14" hidden="1">
      <c r="B2465" s="1342"/>
      <c r="C2465" s="1342"/>
      <c r="D2465" s="1342"/>
      <c r="E2465" s="1342"/>
      <c r="F2465" s="1342"/>
      <c r="G2465" s="1342"/>
      <c r="H2465" s="1342"/>
      <c r="I2465" s="1342"/>
      <c r="J2465" s="1342"/>
      <c r="K2465" s="1342"/>
    </row>
    <row r="2466" spans="2:11" ht="14" hidden="1">
      <c r="B2466" s="1342"/>
      <c r="C2466" s="1342"/>
      <c r="D2466" s="1342"/>
      <c r="E2466" s="1342"/>
      <c r="F2466" s="1342"/>
      <c r="G2466" s="1342"/>
      <c r="H2466" s="1342"/>
      <c r="I2466" s="1342"/>
      <c r="J2466" s="1342"/>
      <c r="K2466" s="1342"/>
    </row>
    <row r="2467" spans="2:11" ht="14" hidden="1">
      <c r="B2467" s="1342"/>
      <c r="C2467" s="1342"/>
      <c r="D2467" s="1342"/>
      <c r="E2467" s="1342"/>
      <c r="F2467" s="1342"/>
      <c r="G2467" s="1342"/>
      <c r="H2467" s="1342"/>
      <c r="I2467" s="1342"/>
      <c r="J2467" s="1342"/>
      <c r="K2467" s="1342"/>
    </row>
    <row r="2468" spans="2:11" ht="14" hidden="1">
      <c r="B2468" s="1342"/>
      <c r="C2468" s="1342"/>
      <c r="D2468" s="1342"/>
      <c r="E2468" s="1342"/>
      <c r="F2468" s="1342"/>
      <c r="G2468" s="1342"/>
      <c r="H2468" s="1342"/>
      <c r="I2468" s="1342"/>
      <c r="J2468" s="1342"/>
      <c r="K2468" s="1342"/>
    </row>
    <row r="2469" spans="2:11" ht="14" hidden="1">
      <c r="B2469" s="1342"/>
      <c r="C2469" s="1342"/>
      <c r="D2469" s="1342"/>
      <c r="E2469" s="1342"/>
      <c r="F2469" s="1342"/>
      <c r="G2469" s="1342"/>
      <c r="H2469" s="1342"/>
      <c r="I2469" s="1342"/>
      <c r="J2469" s="1342"/>
      <c r="K2469" s="1342"/>
    </row>
    <row r="2470" spans="2:11" ht="14" hidden="1">
      <c r="B2470" s="1342"/>
      <c r="C2470" s="1342"/>
      <c r="D2470" s="1342"/>
      <c r="E2470" s="1342"/>
      <c r="F2470" s="1342"/>
      <c r="G2470" s="1342"/>
      <c r="H2470" s="1342"/>
      <c r="I2470" s="1342"/>
      <c r="J2470" s="1342"/>
      <c r="K2470" s="1342"/>
    </row>
    <row r="2471" spans="2:11" ht="14" hidden="1">
      <c r="B2471" s="1342"/>
      <c r="C2471" s="1342"/>
      <c r="D2471" s="1342"/>
      <c r="E2471" s="1342"/>
      <c r="F2471" s="1342"/>
      <c r="G2471" s="1342"/>
      <c r="H2471" s="1342"/>
      <c r="I2471" s="1342"/>
      <c r="J2471" s="1342"/>
      <c r="K2471" s="1342"/>
    </row>
    <row r="2472" spans="2:11" ht="14" hidden="1">
      <c r="B2472" s="1342"/>
      <c r="C2472" s="1342"/>
      <c r="D2472" s="1342"/>
      <c r="E2472" s="1342"/>
      <c r="F2472" s="1342"/>
      <c r="G2472" s="1342"/>
      <c r="H2472" s="1342"/>
      <c r="I2472" s="1342"/>
      <c r="J2472" s="1342"/>
      <c r="K2472" s="1342"/>
    </row>
    <row r="2473" spans="2:11" ht="14" hidden="1">
      <c r="B2473" s="1342"/>
      <c r="C2473" s="1342"/>
      <c r="D2473" s="1342"/>
      <c r="E2473" s="1342"/>
      <c r="F2473" s="1342"/>
      <c r="G2473" s="1342"/>
      <c r="H2473" s="1342"/>
      <c r="I2473" s="1342"/>
      <c r="J2473" s="1342"/>
      <c r="K2473" s="1342"/>
    </row>
    <row r="2474" spans="2:11" ht="14" hidden="1">
      <c r="B2474" s="1342"/>
      <c r="C2474" s="1342"/>
      <c r="D2474" s="1342"/>
      <c r="E2474" s="1342"/>
      <c r="F2474" s="1342"/>
      <c r="G2474" s="1342"/>
      <c r="H2474" s="1342"/>
      <c r="I2474" s="1342"/>
      <c r="J2474" s="1342"/>
      <c r="K2474" s="1342"/>
    </row>
    <row r="2475" spans="2:11" ht="14" hidden="1">
      <c r="B2475" s="1342"/>
      <c r="C2475" s="1342"/>
      <c r="D2475" s="1342"/>
      <c r="E2475" s="1342"/>
      <c r="F2475" s="1342"/>
      <c r="G2475" s="1342"/>
      <c r="H2475" s="1342"/>
      <c r="I2475" s="1342"/>
      <c r="J2475" s="1342"/>
      <c r="K2475" s="1342"/>
    </row>
    <row r="2476" spans="2:11" ht="14" hidden="1">
      <c r="B2476" s="1342"/>
      <c r="C2476" s="1342"/>
      <c r="D2476" s="1342"/>
      <c r="E2476" s="1342"/>
      <c r="F2476" s="1342"/>
      <c r="G2476" s="1342"/>
      <c r="H2476" s="1342"/>
      <c r="I2476" s="1342"/>
      <c r="J2476" s="1342"/>
      <c r="K2476" s="1342"/>
    </row>
    <row r="2477" spans="2:11" ht="14" hidden="1">
      <c r="B2477" s="1342"/>
      <c r="C2477" s="1342"/>
      <c r="D2477" s="1342"/>
      <c r="E2477" s="1342"/>
      <c r="F2477" s="1342"/>
      <c r="G2477" s="1342"/>
      <c r="H2477" s="1342"/>
      <c r="I2477" s="1342"/>
      <c r="J2477" s="1342"/>
      <c r="K2477" s="1342"/>
    </row>
    <row r="2478" spans="2:11" ht="14" hidden="1">
      <c r="B2478" s="1342"/>
      <c r="C2478" s="1342"/>
      <c r="D2478" s="1342"/>
      <c r="E2478" s="1342"/>
      <c r="F2478" s="1342"/>
      <c r="G2478" s="1342"/>
      <c r="H2478" s="1342"/>
      <c r="I2478" s="1342"/>
      <c r="J2478" s="1342"/>
      <c r="K2478" s="1342"/>
    </row>
    <row r="2479" spans="2:11" ht="14" hidden="1">
      <c r="B2479" s="1342"/>
      <c r="C2479" s="1342"/>
      <c r="D2479" s="1342"/>
      <c r="E2479" s="1342"/>
      <c r="F2479" s="1342"/>
      <c r="G2479" s="1342"/>
      <c r="H2479" s="1342"/>
      <c r="I2479" s="1342"/>
      <c r="J2479" s="1342"/>
      <c r="K2479" s="1342"/>
    </row>
    <row r="2480" spans="2:11" ht="14" hidden="1">
      <c r="B2480" s="1342"/>
      <c r="C2480" s="1342"/>
      <c r="D2480" s="1342"/>
      <c r="E2480" s="1342"/>
      <c r="F2480" s="1342"/>
      <c r="G2480" s="1342"/>
      <c r="H2480" s="1342"/>
      <c r="I2480" s="1342"/>
      <c r="J2480" s="1342"/>
      <c r="K2480" s="1342"/>
    </row>
    <row r="2481" spans="2:11" ht="14" hidden="1">
      <c r="B2481" s="1342"/>
      <c r="C2481" s="1342"/>
      <c r="D2481" s="1342"/>
      <c r="E2481" s="1342"/>
      <c r="F2481" s="1342"/>
      <c r="G2481" s="1342"/>
      <c r="H2481" s="1342"/>
      <c r="I2481" s="1342"/>
      <c r="J2481" s="1342"/>
      <c r="K2481" s="1342"/>
    </row>
    <row r="2482" spans="2:11" ht="14" hidden="1">
      <c r="B2482" s="1342"/>
      <c r="C2482" s="1342"/>
      <c r="D2482" s="1342"/>
      <c r="E2482" s="1342"/>
      <c r="F2482" s="1342"/>
      <c r="G2482" s="1342"/>
      <c r="H2482" s="1342"/>
      <c r="I2482" s="1342"/>
      <c r="J2482" s="1342"/>
      <c r="K2482" s="1342"/>
    </row>
    <row r="2483" spans="2:11" ht="14" hidden="1">
      <c r="B2483" s="1342"/>
      <c r="C2483" s="1342"/>
      <c r="D2483" s="1342"/>
      <c r="E2483" s="1342"/>
      <c r="F2483" s="1342"/>
      <c r="G2483" s="1342"/>
      <c r="H2483" s="1342"/>
      <c r="I2483" s="1342"/>
      <c r="J2483" s="1342"/>
      <c r="K2483" s="1342"/>
    </row>
    <row r="2484" spans="2:11" ht="14" hidden="1">
      <c r="B2484" s="1342"/>
      <c r="C2484" s="1342"/>
      <c r="D2484" s="1342"/>
      <c r="E2484" s="1342"/>
      <c r="F2484" s="1342"/>
      <c r="G2484" s="1342"/>
      <c r="H2484" s="1342"/>
      <c r="I2484" s="1342"/>
      <c r="J2484" s="1342"/>
      <c r="K2484" s="1342"/>
    </row>
    <row r="2485" spans="2:11" ht="14" hidden="1">
      <c r="B2485" s="1342"/>
      <c r="C2485" s="1342"/>
      <c r="D2485" s="1342"/>
      <c r="E2485" s="1342"/>
      <c r="F2485" s="1342"/>
      <c r="G2485" s="1342"/>
      <c r="H2485" s="1342"/>
      <c r="I2485" s="1342"/>
      <c r="J2485" s="1342"/>
      <c r="K2485" s="1342"/>
    </row>
    <row r="2486" spans="2:11" ht="14" hidden="1">
      <c r="B2486" s="1342"/>
      <c r="C2486" s="1342"/>
      <c r="D2486" s="1342"/>
      <c r="E2486" s="1342"/>
      <c r="F2486" s="1342"/>
      <c r="G2486" s="1342"/>
      <c r="H2486" s="1342"/>
      <c r="I2486" s="1342"/>
      <c r="J2486" s="1342"/>
      <c r="K2486" s="1342"/>
    </row>
    <row r="2487" spans="2:11" ht="14" hidden="1">
      <c r="B2487" s="1342"/>
      <c r="C2487" s="1342"/>
      <c r="D2487" s="1342"/>
      <c r="E2487" s="1342"/>
      <c r="F2487" s="1342"/>
      <c r="G2487" s="1342"/>
      <c r="H2487" s="1342"/>
      <c r="I2487" s="1342"/>
      <c r="J2487" s="1342"/>
      <c r="K2487" s="1342"/>
    </row>
    <row r="2488" spans="2:11" ht="14" hidden="1">
      <c r="B2488" s="1342"/>
      <c r="C2488" s="1342"/>
      <c r="D2488" s="1342"/>
      <c r="E2488" s="1342"/>
      <c r="F2488" s="1342"/>
      <c r="G2488" s="1342"/>
      <c r="H2488" s="1342"/>
      <c r="I2488" s="1342"/>
      <c r="J2488" s="1342"/>
      <c r="K2488" s="1342"/>
    </row>
    <row r="2489" spans="2:11" ht="14" hidden="1">
      <c r="B2489" s="1342"/>
      <c r="C2489" s="1342"/>
      <c r="D2489" s="1342"/>
      <c r="E2489" s="1342"/>
      <c r="F2489" s="1342"/>
      <c r="G2489" s="1342"/>
      <c r="H2489" s="1342"/>
      <c r="I2489" s="1342"/>
      <c r="J2489" s="1342"/>
      <c r="K2489" s="1342"/>
    </row>
    <row r="2490" spans="2:11" ht="14" hidden="1">
      <c r="B2490" s="1342"/>
      <c r="C2490" s="1342"/>
      <c r="D2490" s="1342"/>
      <c r="E2490" s="1342"/>
      <c r="F2490" s="1342"/>
      <c r="G2490" s="1342"/>
      <c r="H2490" s="1342"/>
      <c r="I2490" s="1342"/>
      <c r="J2490" s="1342"/>
      <c r="K2490" s="1342"/>
    </row>
    <row r="2491" spans="2:11" ht="14" hidden="1">
      <c r="B2491" s="1342"/>
      <c r="C2491" s="1342"/>
      <c r="D2491" s="1342"/>
      <c r="E2491" s="1342"/>
      <c r="F2491" s="1342"/>
      <c r="G2491" s="1342"/>
      <c r="H2491" s="1342"/>
      <c r="I2491" s="1342"/>
      <c r="J2491" s="1342"/>
      <c r="K2491" s="1342"/>
    </row>
    <row r="2492" spans="2:11" ht="14" hidden="1">
      <c r="B2492" s="1342"/>
      <c r="C2492" s="1342"/>
      <c r="D2492" s="1342"/>
      <c r="E2492" s="1342"/>
      <c r="F2492" s="1342"/>
      <c r="G2492" s="1342"/>
      <c r="H2492" s="1342"/>
      <c r="I2492" s="1342"/>
      <c r="J2492" s="1342"/>
      <c r="K2492" s="1342"/>
    </row>
    <row r="2493" spans="2:11" ht="14" hidden="1">
      <c r="B2493" s="1342"/>
      <c r="C2493" s="1342"/>
      <c r="D2493" s="1342"/>
      <c r="E2493" s="1342"/>
      <c r="F2493" s="1342"/>
      <c r="G2493" s="1342"/>
      <c r="H2493" s="1342"/>
      <c r="I2493" s="1342"/>
      <c r="J2493" s="1342"/>
      <c r="K2493" s="1342"/>
    </row>
    <row r="2494" spans="2:11" ht="14" hidden="1">
      <c r="B2494" s="1342"/>
      <c r="C2494" s="1342"/>
      <c r="D2494" s="1342"/>
      <c r="E2494" s="1342"/>
      <c r="F2494" s="1342"/>
      <c r="G2494" s="1342"/>
      <c r="H2494" s="1342"/>
      <c r="I2494" s="1342"/>
      <c r="J2494" s="1342"/>
      <c r="K2494" s="1342"/>
    </row>
    <row r="2495" spans="2:11" ht="14" hidden="1">
      <c r="B2495" s="1342"/>
      <c r="C2495" s="1342"/>
      <c r="D2495" s="1342"/>
      <c r="E2495" s="1342"/>
      <c r="F2495" s="1342"/>
      <c r="G2495" s="1342"/>
      <c r="H2495" s="1342"/>
      <c r="I2495" s="1342"/>
      <c r="J2495" s="1342"/>
      <c r="K2495" s="1342"/>
    </row>
    <row r="2496" spans="2:11" ht="14" hidden="1">
      <c r="B2496" s="1342"/>
      <c r="C2496" s="1342"/>
      <c r="D2496" s="1342"/>
      <c r="E2496" s="1342"/>
      <c r="F2496" s="1342"/>
      <c r="G2496" s="1342"/>
      <c r="H2496" s="1342"/>
      <c r="I2496" s="1342"/>
      <c r="J2496" s="1342"/>
      <c r="K2496" s="1342"/>
    </row>
    <row r="2497" spans="2:11" ht="14" hidden="1">
      <c r="B2497" s="1342"/>
      <c r="C2497" s="1342"/>
      <c r="D2497" s="1342"/>
      <c r="E2497" s="1342"/>
      <c r="F2497" s="1342"/>
      <c r="G2497" s="1342"/>
      <c r="H2497" s="1342"/>
      <c r="I2497" s="1342"/>
      <c r="J2497" s="1342"/>
      <c r="K2497" s="1342"/>
    </row>
    <row r="2498" spans="2:11" ht="14" hidden="1">
      <c r="B2498" s="1342"/>
      <c r="C2498" s="1342"/>
      <c r="D2498" s="1342"/>
      <c r="E2498" s="1342"/>
      <c r="F2498" s="1342"/>
      <c r="G2498" s="1342"/>
      <c r="H2498" s="1342"/>
      <c r="I2498" s="1342"/>
      <c r="J2498" s="1342"/>
      <c r="K2498" s="1342"/>
    </row>
    <row r="2499" spans="2:11" ht="14" hidden="1">
      <c r="B2499" s="1342"/>
      <c r="C2499" s="1342"/>
      <c r="D2499" s="1342"/>
      <c r="E2499" s="1342"/>
      <c r="F2499" s="1342"/>
      <c r="G2499" s="1342"/>
      <c r="H2499" s="1342"/>
      <c r="I2499" s="1342"/>
      <c r="J2499" s="1342"/>
      <c r="K2499" s="1342"/>
    </row>
    <row r="2500" spans="2:11" ht="14" hidden="1">
      <c r="B2500" s="1342"/>
      <c r="C2500" s="1342"/>
      <c r="D2500" s="1342"/>
      <c r="E2500" s="1342"/>
      <c r="F2500" s="1342"/>
      <c r="G2500" s="1342"/>
      <c r="H2500" s="1342"/>
      <c r="I2500" s="1342"/>
      <c r="J2500" s="1342"/>
      <c r="K2500" s="1342"/>
    </row>
    <row r="2501" spans="2:11" ht="14" hidden="1">
      <c r="B2501" s="1342"/>
      <c r="C2501" s="1342"/>
      <c r="D2501" s="1342"/>
      <c r="E2501" s="1342"/>
      <c r="F2501" s="1342"/>
      <c r="G2501" s="1342"/>
      <c r="H2501" s="1342"/>
      <c r="I2501" s="1342"/>
      <c r="J2501" s="1342"/>
      <c r="K2501" s="1342"/>
    </row>
    <row r="2502" spans="2:11" ht="14" hidden="1">
      <c r="B2502" s="1342"/>
      <c r="C2502" s="1342"/>
      <c r="D2502" s="1342"/>
      <c r="E2502" s="1342"/>
      <c r="F2502" s="1342"/>
      <c r="G2502" s="1342"/>
      <c r="H2502" s="1342"/>
      <c r="I2502" s="1342"/>
      <c r="J2502" s="1342"/>
      <c r="K2502" s="1342"/>
    </row>
    <row r="2503" spans="2:11" ht="14" hidden="1">
      <c r="B2503" s="1342"/>
      <c r="C2503" s="1342"/>
      <c r="D2503" s="1342"/>
      <c r="E2503" s="1342"/>
      <c r="F2503" s="1342"/>
      <c r="G2503" s="1342"/>
      <c r="H2503" s="1342"/>
      <c r="I2503" s="1342"/>
      <c r="J2503" s="1342"/>
      <c r="K2503" s="1342"/>
    </row>
    <row r="2504" spans="2:11" ht="14" hidden="1">
      <c r="B2504" s="1342"/>
      <c r="C2504" s="1342"/>
      <c r="D2504" s="1342"/>
      <c r="E2504" s="1342"/>
      <c r="F2504" s="1342"/>
      <c r="G2504" s="1342"/>
      <c r="H2504" s="1342"/>
      <c r="I2504" s="1342"/>
      <c r="J2504" s="1342"/>
      <c r="K2504" s="1342"/>
    </row>
    <row r="2505" spans="2:11" ht="14" hidden="1">
      <c r="B2505" s="1342"/>
      <c r="C2505" s="1342"/>
      <c r="D2505" s="1342"/>
      <c r="E2505" s="1342"/>
      <c r="F2505" s="1342"/>
      <c r="G2505" s="1342"/>
      <c r="H2505" s="1342"/>
      <c r="I2505" s="1342"/>
      <c r="J2505" s="1342"/>
      <c r="K2505" s="1342"/>
    </row>
    <row r="2506" spans="2:11" ht="14" hidden="1">
      <c r="B2506" s="1342"/>
      <c r="C2506" s="1342"/>
      <c r="D2506" s="1342"/>
      <c r="E2506" s="1342"/>
      <c r="F2506" s="1342"/>
      <c r="G2506" s="1342"/>
      <c r="H2506" s="1342"/>
      <c r="I2506" s="1342"/>
      <c r="J2506" s="1342"/>
      <c r="K2506" s="1342"/>
    </row>
    <row r="2507" spans="2:11" ht="14" hidden="1">
      <c r="B2507" s="1342"/>
      <c r="C2507" s="1342"/>
      <c r="D2507" s="1342"/>
      <c r="E2507" s="1342"/>
      <c r="F2507" s="1342"/>
      <c r="G2507" s="1342"/>
      <c r="H2507" s="1342"/>
      <c r="I2507" s="1342"/>
      <c r="J2507" s="1342"/>
      <c r="K2507" s="1342"/>
    </row>
    <row r="2508" spans="2:11" ht="14" hidden="1">
      <c r="B2508" s="1342"/>
      <c r="C2508" s="1342"/>
      <c r="D2508" s="1342"/>
      <c r="E2508" s="1342"/>
      <c r="F2508" s="1342"/>
      <c r="G2508" s="1342"/>
      <c r="H2508" s="1342"/>
      <c r="I2508" s="1342"/>
      <c r="J2508" s="1342"/>
      <c r="K2508" s="1342"/>
    </row>
    <row r="2509" spans="2:11" ht="14" hidden="1">
      <c r="B2509" s="1342"/>
      <c r="C2509" s="1342"/>
      <c r="D2509" s="1342"/>
      <c r="E2509" s="1342"/>
      <c r="F2509" s="1342"/>
      <c r="G2509" s="1342"/>
      <c r="H2509" s="1342"/>
      <c r="I2509" s="1342"/>
      <c r="J2509" s="1342"/>
      <c r="K2509" s="1342"/>
    </row>
    <row r="2510" spans="2:11" ht="14" hidden="1">
      <c r="B2510" s="1342"/>
      <c r="C2510" s="1342"/>
      <c r="D2510" s="1342"/>
      <c r="E2510" s="1342"/>
      <c r="F2510" s="1342"/>
      <c r="G2510" s="1342"/>
      <c r="H2510" s="1342"/>
      <c r="I2510" s="1342"/>
      <c r="J2510" s="1342"/>
      <c r="K2510" s="1342"/>
    </row>
    <row r="2511" spans="2:11" ht="14" hidden="1">
      <c r="B2511" s="1342"/>
      <c r="C2511" s="1342"/>
      <c r="D2511" s="1342"/>
      <c r="E2511" s="1342"/>
      <c r="F2511" s="1342"/>
      <c r="G2511" s="1342"/>
      <c r="H2511" s="1342"/>
      <c r="I2511" s="1342"/>
      <c r="J2511" s="1342"/>
      <c r="K2511" s="1342"/>
    </row>
    <row r="2512" spans="2:11" ht="14" hidden="1">
      <c r="B2512" s="1342"/>
      <c r="C2512" s="1342"/>
      <c r="D2512" s="1342"/>
      <c r="E2512" s="1342"/>
      <c r="F2512" s="1342"/>
      <c r="G2512" s="1342"/>
      <c r="H2512" s="1342"/>
      <c r="I2512" s="1342"/>
      <c r="J2512" s="1342"/>
      <c r="K2512" s="1342"/>
    </row>
    <row r="2513" spans="2:11" ht="14" hidden="1">
      <c r="B2513" s="1342"/>
      <c r="C2513" s="1342"/>
      <c r="D2513" s="1342"/>
      <c r="E2513" s="1342"/>
      <c r="F2513" s="1342"/>
      <c r="G2513" s="1342"/>
      <c r="H2513" s="1342"/>
      <c r="I2513" s="1342"/>
      <c r="J2513" s="1342"/>
      <c r="K2513" s="1342"/>
    </row>
    <row r="2514" spans="2:11" ht="14" hidden="1">
      <c r="B2514" s="1342"/>
      <c r="C2514" s="1342"/>
      <c r="D2514" s="1342"/>
      <c r="E2514" s="1342"/>
      <c r="F2514" s="1342"/>
      <c r="G2514" s="1342"/>
      <c r="H2514" s="1342"/>
      <c r="I2514" s="1342"/>
      <c r="J2514" s="1342"/>
      <c r="K2514" s="1342"/>
    </row>
    <row r="2515" spans="2:11" ht="14" hidden="1">
      <c r="B2515" s="1342"/>
      <c r="C2515" s="1342"/>
      <c r="D2515" s="1342"/>
      <c r="E2515" s="1342"/>
      <c r="F2515" s="1342"/>
      <c r="G2515" s="1342"/>
      <c r="H2515" s="1342"/>
      <c r="I2515" s="1342"/>
      <c r="J2515" s="1342"/>
      <c r="K2515" s="1342"/>
    </row>
    <row r="2516" spans="2:11" ht="14" hidden="1">
      <c r="B2516" s="1342"/>
      <c r="C2516" s="1342"/>
      <c r="D2516" s="1342"/>
      <c r="E2516" s="1342"/>
      <c r="F2516" s="1342"/>
      <c r="G2516" s="1342"/>
      <c r="H2516" s="1342"/>
      <c r="I2516" s="1342"/>
      <c r="J2516" s="1342"/>
      <c r="K2516" s="1342"/>
    </row>
    <row r="2517" spans="2:11" ht="14" hidden="1">
      <c r="B2517" s="1342"/>
      <c r="C2517" s="1342"/>
      <c r="D2517" s="1342"/>
      <c r="E2517" s="1342"/>
      <c r="F2517" s="1342"/>
      <c r="G2517" s="1342"/>
      <c r="H2517" s="1342"/>
      <c r="I2517" s="1342"/>
      <c r="J2517" s="1342"/>
      <c r="K2517" s="1342"/>
    </row>
    <row r="2518" spans="2:11" ht="14" hidden="1">
      <c r="B2518" s="1342"/>
      <c r="C2518" s="1342"/>
      <c r="D2518" s="1342"/>
      <c r="E2518" s="1342"/>
      <c r="F2518" s="1342"/>
      <c r="G2518" s="1342"/>
      <c r="H2518" s="1342"/>
      <c r="I2518" s="1342"/>
      <c r="J2518" s="1342"/>
      <c r="K2518" s="1342"/>
    </row>
    <row r="2519" spans="2:11" ht="14" hidden="1">
      <c r="B2519" s="1342"/>
      <c r="C2519" s="1342"/>
      <c r="D2519" s="1342"/>
      <c r="E2519" s="1342"/>
      <c r="F2519" s="1342"/>
      <c r="G2519" s="1342"/>
      <c r="H2519" s="1342"/>
      <c r="I2519" s="1342"/>
      <c r="J2519" s="1342"/>
      <c r="K2519" s="1342"/>
    </row>
    <row r="2520" spans="2:11" ht="14" hidden="1">
      <c r="B2520" s="1342"/>
      <c r="C2520" s="1342"/>
      <c r="D2520" s="1342"/>
      <c r="E2520" s="1342"/>
      <c r="F2520" s="1342"/>
      <c r="G2520" s="1342"/>
      <c r="H2520" s="1342"/>
      <c r="I2520" s="1342"/>
      <c r="J2520" s="1342"/>
      <c r="K2520" s="1342"/>
    </row>
    <row r="2521" spans="2:11" ht="14" hidden="1">
      <c r="B2521" s="1342"/>
      <c r="C2521" s="1342"/>
      <c r="D2521" s="1342"/>
      <c r="E2521" s="1342"/>
      <c r="F2521" s="1342"/>
      <c r="G2521" s="1342"/>
      <c r="H2521" s="1342"/>
      <c r="I2521" s="1342"/>
      <c r="J2521" s="1342"/>
      <c r="K2521" s="1342"/>
    </row>
    <row r="2522" spans="2:11" ht="14" hidden="1">
      <c r="B2522" s="1342"/>
      <c r="C2522" s="1342"/>
      <c r="D2522" s="1342"/>
      <c r="E2522" s="1342"/>
      <c r="F2522" s="1342"/>
      <c r="G2522" s="1342"/>
      <c r="H2522" s="1342"/>
      <c r="I2522" s="1342"/>
      <c r="J2522" s="1342"/>
      <c r="K2522" s="1342"/>
    </row>
    <row r="2523" spans="2:11" ht="14" hidden="1">
      <c r="B2523" s="1342"/>
      <c r="C2523" s="1342"/>
      <c r="D2523" s="1342"/>
      <c r="E2523" s="1342"/>
      <c r="F2523" s="1342"/>
      <c r="G2523" s="1342"/>
      <c r="H2523" s="1342"/>
      <c r="I2523" s="1342"/>
      <c r="J2523" s="1342"/>
      <c r="K2523" s="1342"/>
    </row>
    <row r="2524" spans="2:11" ht="14" hidden="1">
      <c r="B2524" s="1342"/>
      <c r="C2524" s="1342"/>
      <c r="D2524" s="1342"/>
      <c r="E2524" s="1342"/>
      <c r="F2524" s="1342"/>
      <c r="G2524" s="1342"/>
      <c r="H2524" s="1342"/>
      <c r="I2524" s="1342"/>
      <c r="J2524" s="1342"/>
      <c r="K2524" s="1342"/>
    </row>
    <row r="2525" spans="2:11" ht="14" hidden="1">
      <c r="B2525" s="1342"/>
      <c r="C2525" s="1342"/>
      <c r="D2525" s="1342"/>
      <c r="E2525" s="1342"/>
      <c r="F2525" s="1342"/>
      <c r="G2525" s="1342"/>
      <c r="H2525" s="1342"/>
      <c r="I2525" s="1342"/>
      <c r="J2525" s="1342"/>
      <c r="K2525" s="1342"/>
    </row>
    <row r="2526" spans="2:11" ht="14" hidden="1">
      <c r="B2526" s="1342"/>
      <c r="C2526" s="1342"/>
      <c r="D2526" s="1342"/>
      <c r="E2526" s="1342"/>
      <c r="F2526" s="1342"/>
      <c r="G2526" s="1342"/>
      <c r="H2526" s="1342"/>
      <c r="I2526" s="1342"/>
      <c r="J2526" s="1342"/>
      <c r="K2526" s="1342"/>
    </row>
    <row r="2527" spans="2:11" ht="14" hidden="1">
      <c r="B2527" s="1342"/>
      <c r="C2527" s="1342"/>
      <c r="D2527" s="1342"/>
      <c r="E2527" s="1342"/>
      <c r="F2527" s="1342"/>
      <c r="G2527" s="1342"/>
      <c r="H2527" s="1342"/>
      <c r="I2527" s="1342"/>
      <c r="J2527" s="1342"/>
      <c r="K2527" s="1342"/>
    </row>
    <row r="2528" spans="2:11" ht="14" hidden="1">
      <c r="B2528" s="1342"/>
      <c r="C2528" s="1342"/>
      <c r="D2528" s="1342"/>
      <c r="E2528" s="1342"/>
      <c r="F2528" s="1342"/>
      <c r="G2528" s="1342"/>
      <c r="H2528" s="1342"/>
      <c r="I2528" s="1342"/>
      <c r="J2528" s="1342"/>
      <c r="K2528" s="1342"/>
    </row>
    <row r="2529" spans="2:11" ht="14" hidden="1">
      <c r="B2529" s="1342"/>
      <c r="C2529" s="1342"/>
      <c r="D2529" s="1342"/>
      <c r="E2529" s="1342"/>
      <c r="F2529" s="1342"/>
      <c r="G2529" s="1342"/>
      <c r="H2529" s="1342"/>
      <c r="I2529" s="1342"/>
      <c r="J2529" s="1342"/>
      <c r="K2529" s="1342"/>
    </row>
    <row r="2530" spans="2:11" ht="14" hidden="1">
      <c r="B2530" s="1342"/>
      <c r="C2530" s="1342"/>
      <c r="D2530" s="1342"/>
      <c r="E2530" s="1342"/>
      <c r="F2530" s="1342"/>
      <c r="G2530" s="1342"/>
      <c r="H2530" s="1342"/>
      <c r="I2530" s="1342"/>
      <c r="J2530" s="1342"/>
      <c r="K2530" s="1342"/>
    </row>
    <row r="2531" spans="2:11" ht="14" hidden="1">
      <c r="B2531" s="1342"/>
      <c r="C2531" s="1342"/>
      <c r="D2531" s="1342"/>
      <c r="E2531" s="1342"/>
      <c r="F2531" s="1342"/>
      <c r="G2531" s="1342"/>
      <c r="H2531" s="1342"/>
      <c r="I2531" s="1342"/>
      <c r="J2531" s="1342"/>
      <c r="K2531" s="1342"/>
    </row>
    <row r="2532" spans="2:11" ht="14" hidden="1">
      <c r="B2532" s="1342"/>
      <c r="C2532" s="1342"/>
      <c r="D2532" s="1342"/>
      <c r="E2532" s="1342"/>
      <c r="F2532" s="1342"/>
      <c r="G2532" s="1342"/>
      <c r="H2532" s="1342"/>
      <c r="I2532" s="1342"/>
      <c r="J2532" s="1342"/>
      <c r="K2532" s="1342"/>
    </row>
    <row r="2533" spans="2:11" ht="14" hidden="1">
      <c r="B2533" s="1342"/>
      <c r="C2533" s="1342"/>
      <c r="D2533" s="1342"/>
      <c r="E2533" s="1342"/>
      <c r="F2533" s="1342"/>
      <c r="G2533" s="1342"/>
      <c r="H2533" s="1342"/>
      <c r="I2533" s="1342"/>
      <c r="J2533" s="1342"/>
      <c r="K2533" s="1342"/>
    </row>
    <row r="2534" spans="2:11" ht="14" hidden="1">
      <c r="B2534" s="1342"/>
      <c r="C2534" s="1342"/>
      <c r="D2534" s="1342"/>
      <c r="E2534" s="1342"/>
      <c r="F2534" s="1342"/>
      <c r="G2534" s="1342"/>
      <c r="H2534" s="1342"/>
      <c r="I2534" s="1342"/>
      <c r="J2534" s="1342"/>
      <c r="K2534" s="1342"/>
    </row>
    <row r="2535" spans="2:11" ht="14" hidden="1">
      <c r="B2535" s="1342"/>
      <c r="C2535" s="1342"/>
      <c r="D2535" s="1342"/>
      <c r="E2535" s="1342"/>
      <c r="F2535" s="1342"/>
      <c r="G2535" s="1342"/>
      <c r="H2535" s="1342"/>
      <c r="I2535" s="1342"/>
      <c r="J2535" s="1342"/>
      <c r="K2535" s="1342"/>
    </row>
    <row r="2536" spans="2:11" ht="14" hidden="1">
      <c r="B2536" s="1342"/>
      <c r="C2536" s="1342"/>
      <c r="D2536" s="1342"/>
      <c r="E2536" s="1342"/>
      <c r="F2536" s="1342"/>
      <c r="G2536" s="1342"/>
      <c r="H2536" s="1342"/>
      <c r="I2536" s="1342"/>
      <c r="J2536" s="1342"/>
      <c r="K2536" s="1342"/>
    </row>
    <row r="2537" spans="2:11" ht="14" hidden="1">
      <c r="B2537" s="1342"/>
      <c r="C2537" s="1342"/>
      <c r="D2537" s="1342"/>
      <c r="E2537" s="1342"/>
      <c r="F2537" s="1342"/>
      <c r="G2537" s="1342"/>
      <c r="H2537" s="1342"/>
      <c r="I2537" s="1342"/>
      <c r="J2537" s="1342"/>
      <c r="K2537" s="1342"/>
    </row>
    <row r="2538" spans="2:11" ht="14" hidden="1">
      <c r="B2538" s="1342"/>
      <c r="C2538" s="1342"/>
      <c r="D2538" s="1342"/>
      <c r="E2538" s="1342"/>
      <c r="F2538" s="1342"/>
      <c r="G2538" s="1342"/>
      <c r="H2538" s="1342"/>
      <c r="I2538" s="1342"/>
      <c r="J2538" s="1342"/>
      <c r="K2538" s="1342"/>
    </row>
    <row r="2539" spans="2:11" ht="14" hidden="1">
      <c r="B2539" s="1342"/>
      <c r="C2539" s="1342"/>
      <c r="D2539" s="1342"/>
      <c r="E2539" s="1342"/>
      <c r="F2539" s="1342"/>
      <c r="G2539" s="1342"/>
      <c r="H2539" s="1342"/>
      <c r="I2539" s="1342"/>
      <c r="J2539" s="1342"/>
      <c r="K2539" s="1342"/>
    </row>
    <row r="2540" spans="2:11" ht="14" hidden="1">
      <c r="B2540" s="1342"/>
      <c r="C2540" s="1342"/>
      <c r="D2540" s="1342"/>
      <c r="E2540" s="1342"/>
      <c r="F2540" s="1342"/>
      <c r="G2540" s="1342"/>
      <c r="H2540" s="1342"/>
      <c r="I2540" s="1342"/>
      <c r="J2540" s="1342"/>
      <c r="K2540" s="1342"/>
    </row>
    <row r="2541" spans="2:11" ht="14" hidden="1">
      <c r="B2541" s="1342"/>
      <c r="C2541" s="1342"/>
      <c r="D2541" s="1342"/>
      <c r="E2541" s="1342"/>
      <c r="F2541" s="1342"/>
      <c r="G2541" s="1342"/>
      <c r="H2541" s="1342"/>
      <c r="I2541" s="1342"/>
      <c r="J2541" s="1342"/>
      <c r="K2541" s="1342"/>
    </row>
    <row r="2542" spans="2:11" ht="14" hidden="1">
      <c r="B2542" s="1342"/>
      <c r="C2542" s="1342"/>
      <c r="D2542" s="1342"/>
      <c r="E2542" s="1342"/>
      <c r="F2542" s="1342"/>
      <c r="G2542" s="1342"/>
      <c r="H2542" s="1342"/>
      <c r="I2542" s="1342"/>
      <c r="J2542" s="1342"/>
      <c r="K2542" s="1342"/>
    </row>
    <row r="2543" spans="2:11" ht="14" hidden="1">
      <c r="B2543" s="1342"/>
      <c r="C2543" s="1342"/>
      <c r="D2543" s="1342"/>
      <c r="E2543" s="1342"/>
      <c r="F2543" s="1342"/>
      <c r="G2543" s="1342"/>
      <c r="H2543" s="1342"/>
      <c r="I2543" s="1342"/>
      <c r="J2543" s="1342"/>
      <c r="K2543" s="1342"/>
    </row>
    <row r="2544" spans="2:11" ht="14" hidden="1">
      <c r="B2544" s="1342"/>
      <c r="C2544" s="1342"/>
      <c r="D2544" s="1342"/>
      <c r="E2544" s="1342"/>
      <c r="F2544" s="1342"/>
      <c r="G2544" s="1342"/>
      <c r="H2544" s="1342"/>
      <c r="I2544" s="1342"/>
      <c r="J2544" s="1342"/>
      <c r="K2544" s="1342"/>
    </row>
    <row r="2545" spans="2:11" ht="14" hidden="1">
      <c r="B2545" s="1342"/>
      <c r="C2545" s="1342"/>
      <c r="D2545" s="1342"/>
      <c r="E2545" s="1342"/>
      <c r="F2545" s="1342"/>
      <c r="G2545" s="1342"/>
      <c r="H2545" s="1342"/>
      <c r="I2545" s="1342"/>
      <c r="J2545" s="1342"/>
      <c r="K2545" s="1342"/>
    </row>
    <row r="2546" spans="2:11" ht="14" hidden="1">
      <c r="B2546" s="1342"/>
      <c r="C2546" s="1342"/>
      <c r="D2546" s="1342"/>
      <c r="E2546" s="1342"/>
      <c r="F2546" s="1342"/>
      <c r="G2546" s="1342"/>
      <c r="H2546" s="1342"/>
      <c r="I2546" s="1342"/>
      <c r="J2546" s="1342"/>
      <c r="K2546" s="1342"/>
    </row>
    <row r="2547" spans="2:11" ht="14" hidden="1">
      <c r="B2547" s="1342"/>
      <c r="C2547" s="1342"/>
      <c r="D2547" s="1342"/>
      <c r="E2547" s="1342"/>
      <c r="F2547" s="1342"/>
      <c r="G2547" s="1342"/>
      <c r="H2547" s="1342"/>
      <c r="I2547" s="1342"/>
      <c r="J2547" s="1342"/>
      <c r="K2547" s="1342"/>
    </row>
    <row r="2548" spans="2:11" ht="14" hidden="1">
      <c r="B2548" s="1342"/>
      <c r="C2548" s="1342"/>
      <c r="D2548" s="1342"/>
      <c r="E2548" s="1342"/>
      <c r="F2548" s="1342"/>
      <c r="G2548" s="1342"/>
      <c r="H2548" s="1342"/>
      <c r="I2548" s="1342"/>
      <c r="J2548" s="1342"/>
      <c r="K2548" s="1342"/>
    </row>
    <row r="2549" spans="2:11" ht="14" hidden="1">
      <c r="B2549" s="1342"/>
      <c r="C2549" s="1342"/>
      <c r="D2549" s="1342"/>
      <c r="E2549" s="1342"/>
      <c r="F2549" s="1342"/>
      <c r="G2549" s="1342"/>
      <c r="H2549" s="1342"/>
      <c r="I2549" s="1342"/>
      <c r="J2549" s="1342"/>
      <c r="K2549" s="1342"/>
    </row>
    <row r="2550" spans="2:11" ht="14" hidden="1">
      <c r="B2550" s="1342"/>
      <c r="C2550" s="1342"/>
      <c r="D2550" s="1342"/>
      <c r="E2550" s="1342"/>
      <c r="F2550" s="1342"/>
      <c r="G2550" s="1342"/>
      <c r="H2550" s="1342"/>
      <c r="I2550" s="1342"/>
      <c r="J2550" s="1342"/>
      <c r="K2550" s="1342"/>
    </row>
    <row r="2551" spans="2:11" ht="14" hidden="1">
      <c r="B2551" s="1342"/>
      <c r="C2551" s="1342"/>
      <c r="D2551" s="1342"/>
      <c r="E2551" s="1342"/>
      <c r="F2551" s="1342"/>
      <c r="G2551" s="1342"/>
      <c r="H2551" s="1342"/>
      <c r="I2551" s="1342"/>
      <c r="J2551" s="1342"/>
      <c r="K2551" s="1342"/>
    </row>
    <row r="2552" spans="2:11" ht="14" hidden="1">
      <c r="B2552" s="1342"/>
      <c r="C2552" s="1342"/>
      <c r="D2552" s="1342"/>
      <c r="E2552" s="1342"/>
      <c r="F2552" s="1342"/>
      <c r="G2552" s="1342"/>
      <c r="H2552" s="1342"/>
      <c r="I2552" s="1342"/>
      <c r="J2552" s="1342"/>
      <c r="K2552" s="1342"/>
    </row>
    <row r="2553" spans="2:11" ht="14" hidden="1">
      <c r="B2553" s="1342"/>
      <c r="C2553" s="1342"/>
      <c r="D2553" s="1342"/>
      <c r="E2553" s="1342"/>
      <c r="F2553" s="1342"/>
      <c r="G2553" s="1342"/>
      <c r="H2553" s="1342"/>
      <c r="I2553" s="1342"/>
      <c r="J2553" s="1342"/>
      <c r="K2553" s="1342"/>
    </row>
    <row r="2554" spans="2:11" ht="14" hidden="1">
      <c r="B2554" s="1342"/>
      <c r="C2554" s="1342"/>
      <c r="D2554" s="1342"/>
      <c r="E2554" s="1342"/>
      <c r="F2554" s="1342"/>
      <c r="G2554" s="1342"/>
      <c r="H2554" s="1342"/>
      <c r="I2554" s="1342"/>
      <c r="J2554" s="1342"/>
      <c r="K2554" s="1342"/>
    </row>
    <row r="2555" spans="2:11" ht="14" hidden="1">
      <c r="B2555" s="1342"/>
      <c r="C2555" s="1342"/>
      <c r="D2555" s="1342"/>
      <c r="E2555" s="1342"/>
      <c r="F2555" s="1342"/>
      <c r="G2555" s="1342"/>
      <c r="H2555" s="1342"/>
      <c r="I2555" s="1342"/>
      <c r="J2555" s="1342"/>
      <c r="K2555" s="1342"/>
    </row>
    <row r="2556" spans="2:11" ht="14" hidden="1">
      <c r="B2556" s="1342"/>
      <c r="C2556" s="1342"/>
      <c r="D2556" s="1342"/>
      <c r="E2556" s="1342"/>
      <c r="F2556" s="1342"/>
      <c r="G2556" s="1342"/>
      <c r="H2556" s="1342"/>
      <c r="I2556" s="1342"/>
      <c r="J2556" s="1342"/>
      <c r="K2556" s="1342"/>
    </row>
    <row r="2557" spans="2:11" ht="14" hidden="1">
      <c r="B2557" s="1342"/>
      <c r="C2557" s="1342"/>
      <c r="D2557" s="1342"/>
      <c r="E2557" s="1342"/>
      <c r="F2557" s="1342"/>
      <c r="G2557" s="1342"/>
      <c r="H2557" s="1342"/>
      <c r="I2557" s="1342"/>
      <c r="J2557" s="1342"/>
      <c r="K2557" s="1342"/>
    </row>
    <row r="2558" spans="2:11" ht="14" hidden="1">
      <c r="B2558" s="1342"/>
      <c r="C2558" s="1342"/>
      <c r="D2558" s="1342"/>
      <c r="E2558" s="1342"/>
      <c r="F2558" s="1342"/>
      <c r="G2558" s="1342"/>
      <c r="H2558" s="1342"/>
      <c r="I2558" s="1342"/>
      <c r="J2558" s="1342"/>
      <c r="K2558" s="1342"/>
    </row>
    <row r="2559" spans="2:11" ht="14" hidden="1">
      <c r="B2559" s="1342"/>
      <c r="C2559" s="1342"/>
      <c r="D2559" s="1342"/>
      <c r="E2559" s="1342"/>
      <c r="F2559" s="1342"/>
      <c r="G2559" s="1342"/>
      <c r="H2559" s="1342"/>
      <c r="I2559" s="1342"/>
      <c r="J2559" s="1342"/>
      <c r="K2559" s="1342"/>
    </row>
    <row r="2560" spans="2:11" ht="14" hidden="1">
      <c r="B2560" s="1342"/>
      <c r="C2560" s="1342"/>
      <c r="D2560" s="1342"/>
      <c r="E2560" s="1342"/>
      <c r="F2560" s="1342"/>
      <c r="G2560" s="1342"/>
      <c r="H2560" s="1342"/>
      <c r="I2560" s="1342"/>
      <c r="J2560" s="1342"/>
      <c r="K2560" s="1342"/>
    </row>
    <row r="2561" spans="2:11" ht="14" hidden="1">
      <c r="B2561" s="1342"/>
      <c r="C2561" s="1342"/>
      <c r="D2561" s="1342"/>
      <c r="E2561" s="1342"/>
      <c r="F2561" s="1342"/>
      <c r="G2561" s="1342"/>
      <c r="H2561" s="1342"/>
      <c r="I2561" s="1342"/>
      <c r="J2561" s="1342"/>
      <c r="K2561" s="1342"/>
    </row>
    <row r="2562" spans="2:11" ht="14" hidden="1">
      <c r="B2562" s="1342"/>
      <c r="C2562" s="1342"/>
      <c r="D2562" s="1342"/>
      <c r="E2562" s="1342"/>
      <c r="F2562" s="1342"/>
      <c r="G2562" s="1342"/>
      <c r="H2562" s="1342"/>
      <c r="I2562" s="1342"/>
      <c r="J2562" s="1342"/>
      <c r="K2562" s="1342"/>
    </row>
    <row r="2563" spans="2:11" ht="14" hidden="1">
      <c r="B2563" s="1342"/>
      <c r="C2563" s="1342"/>
      <c r="D2563" s="1342"/>
      <c r="E2563" s="1342"/>
      <c r="F2563" s="1342"/>
      <c r="G2563" s="1342"/>
      <c r="H2563" s="1342"/>
      <c r="I2563" s="1342"/>
      <c r="J2563" s="1342"/>
      <c r="K2563" s="1342"/>
    </row>
    <row r="2564" spans="2:11" ht="14" hidden="1">
      <c r="B2564" s="1342"/>
      <c r="C2564" s="1342"/>
      <c r="D2564" s="1342"/>
      <c r="E2564" s="1342"/>
      <c r="F2564" s="1342"/>
      <c r="G2564" s="1342"/>
      <c r="H2564" s="1342"/>
      <c r="I2564" s="1342"/>
      <c r="J2564" s="1342"/>
      <c r="K2564" s="1342"/>
    </row>
    <row r="2565" spans="2:11" ht="14" hidden="1">
      <c r="B2565" s="1342"/>
      <c r="C2565" s="1342"/>
      <c r="D2565" s="1342"/>
      <c r="E2565" s="1342"/>
      <c r="F2565" s="1342"/>
      <c r="G2565" s="1342"/>
      <c r="H2565" s="1342"/>
      <c r="I2565" s="1342"/>
      <c r="J2565" s="1342"/>
      <c r="K2565" s="1342"/>
    </row>
    <row r="2566" spans="2:11" ht="14" hidden="1">
      <c r="B2566" s="1342"/>
      <c r="C2566" s="1342"/>
      <c r="D2566" s="1342"/>
      <c r="E2566" s="1342"/>
      <c r="F2566" s="1342"/>
      <c r="G2566" s="1342"/>
      <c r="H2566" s="1342"/>
      <c r="I2566" s="1342"/>
      <c r="J2566" s="1342"/>
      <c r="K2566" s="1342"/>
    </row>
    <row r="2567" spans="2:11" ht="14" hidden="1">
      <c r="B2567" s="1342"/>
      <c r="C2567" s="1342"/>
      <c r="D2567" s="1342"/>
      <c r="E2567" s="1342"/>
      <c r="F2567" s="1342"/>
      <c r="G2567" s="1342"/>
      <c r="H2567" s="1342"/>
      <c r="I2567" s="1342"/>
      <c r="J2567" s="1342"/>
      <c r="K2567" s="1342"/>
    </row>
    <row r="2568" spans="2:11" ht="14" hidden="1">
      <c r="B2568" s="1342"/>
      <c r="C2568" s="1342"/>
      <c r="D2568" s="1342"/>
      <c r="E2568" s="1342"/>
      <c r="F2568" s="1342"/>
      <c r="G2568" s="1342"/>
      <c r="H2568" s="1342"/>
      <c r="I2568" s="1342"/>
      <c r="J2568" s="1342"/>
      <c r="K2568" s="1342"/>
    </row>
    <row r="2569" spans="2:11" ht="14" hidden="1">
      <c r="B2569" s="1342"/>
      <c r="C2569" s="1342"/>
      <c r="D2569" s="1342"/>
      <c r="E2569" s="1342"/>
      <c r="F2569" s="1342"/>
      <c r="G2569" s="1342"/>
      <c r="H2569" s="1342"/>
      <c r="I2569" s="1342"/>
      <c r="J2569" s="1342"/>
      <c r="K2569" s="1342"/>
    </row>
    <row r="2570" spans="2:11" ht="14" hidden="1">
      <c r="B2570" s="1342"/>
      <c r="C2570" s="1342"/>
      <c r="D2570" s="1342"/>
      <c r="E2570" s="1342"/>
      <c r="F2570" s="1342"/>
      <c r="G2570" s="1342"/>
      <c r="H2570" s="1342"/>
      <c r="I2570" s="1342"/>
      <c r="J2570" s="1342"/>
      <c r="K2570" s="1342"/>
    </row>
    <row r="2571" spans="2:11" ht="14" hidden="1">
      <c r="B2571" s="1342"/>
      <c r="C2571" s="1342"/>
      <c r="D2571" s="1342"/>
      <c r="E2571" s="1342"/>
      <c r="F2571" s="1342"/>
      <c r="G2571" s="1342"/>
      <c r="H2571" s="1342"/>
      <c r="I2571" s="1342"/>
      <c r="J2571" s="1342"/>
      <c r="K2571" s="1342"/>
    </row>
    <row r="2572" spans="2:11" ht="14" hidden="1">
      <c r="B2572" s="1342"/>
      <c r="C2572" s="1342"/>
      <c r="D2572" s="1342"/>
      <c r="E2572" s="1342"/>
      <c r="F2572" s="1342"/>
      <c r="G2572" s="1342"/>
      <c r="H2572" s="1342"/>
      <c r="I2572" s="1342"/>
      <c r="J2572" s="1342"/>
      <c r="K2572" s="1342"/>
    </row>
    <row r="2573" spans="2:11" ht="14" hidden="1">
      <c r="B2573" s="1342"/>
      <c r="C2573" s="1342"/>
      <c r="D2573" s="1342"/>
      <c r="E2573" s="1342"/>
      <c r="F2573" s="1342"/>
      <c r="G2573" s="1342"/>
      <c r="H2573" s="1342"/>
      <c r="I2573" s="1342"/>
      <c r="J2573" s="1342"/>
      <c r="K2573" s="1342"/>
    </row>
    <row r="2574" spans="2:11" ht="14" hidden="1">
      <c r="B2574" s="1342"/>
      <c r="C2574" s="1342"/>
      <c r="D2574" s="1342"/>
      <c r="E2574" s="1342"/>
      <c r="F2574" s="1342"/>
      <c r="G2574" s="1342"/>
      <c r="H2574" s="1342"/>
      <c r="I2574" s="1342"/>
      <c r="J2574" s="1342"/>
      <c r="K2574" s="1342"/>
    </row>
    <row r="2575" spans="2:11" ht="14" hidden="1">
      <c r="B2575" s="1342"/>
      <c r="C2575" s="1342"/>
      <c r="D2575" s="1342"/>
      <c r="E2575" s="1342"/>
      <c r="F2575" s="1342"/>
      <c r="G2575" s="1342"/>
      <c r="H2575" s="1342"/>
      <c r="I2575" s="1342"/>
      <c r="J2575" s="1342"/>
      <c r="K2575" s="1342"/>
    </row>
    <row r="2576" spans="2:11" ht="14" hidden="1">
      <c r="B2576" s="1342"/>
      <c r="C2576" s="1342"/>
      <c r="D2576" s="1342"/>
      <c r="E2576" s="1342"/>
      <c r="F2576" s="1342"/>
      <c r="G2576" s="1342"/>
      <c r="H2576" s="1342"/>
      <c r="I2576" s="1342"/>
      <c r="J2576" s="1342"/>
      <c r="K2576" s="1342"/>
    </row>
    <row r="2577" spans="2:11" ht="14" hidden="1">
      <c r="B2577" s="1342"/>
      <c r="C2577" s="1342"/>
      <c r="D2577" s="1342"/>
      <c r="E2577" s="1342"/>
      <c r="F2577" s="1342"/>
      <c r="G2577" s="1342"/>
      <c r="H2577" s="1342"/>
      <c r="I2577" s="1342"/>
      <c r="J2577" s="1342"/>
      <c r="K2577" s="1342"/>
    </row>
    <row r="2578" spans="2:11" ht="14" hidden="1">
      <c r="B2578" s="1342"/>
      <c r="C2578" s="1342"/>
      <c r="D2578" s="1342"/>
      <c r="E2578" s="1342"/>
      <c r="F2578" s="1342"/>
      <c r="G2578" s="1342"/>
      <c r="H2578" s="1342"/>
      <c r="I2578" s="1342"/>
      <c r="J2578" s="1342"/>
      <c r="K2578" s="1342"/>
    </row>
    <row r="2579" spans="2:11" ht="14" hidden="1">
      <c r="B2579" s="1342"/>
      <c r="C2579" s="1342"/>
      <c r="D2579" s="1342"/>
      <c r="E2579" s="1342"/>
      <c r="F2579" s="1342"/>
      <c r="G2579" s="1342"/>
      <c r="H2579" s="1342"/>
      <c r="I2579" s="1342"/>
      <c r="J2579" s="1342"/>
      <c r="K2579" s="1342"/>
    </row>
    <row r="2580" spans="2:11" ht="14" hidden="1">
      <c r="B2580" s="1342"/>
      <c r="C2580" s="1342"/>
      <c r="D2580" s="1342"/>
      <c r="E2580" s="1342"/>
      <c r="F2580" s="1342"/>
      <c r="G2580" s="1342"/>
      <c r="H2580" s="1342"/>
      <c r="I2580" s="1342"/>
      <c r="J2580" s="1342"/>
      <c r="K2580" s="1342"/>
    </row>
    <row r="2581" spans="2:11" ht="14" hidden="1">
      <c r="B2581" s="1342"/>
      <c r="C2581" s="1342"/>
      <c r="D2581" s="1342"/>
      <c r="E2581" s="1342"/>
      <c r="F2581" s="1342"/>
      <c r="G2581" s="1342"/>
      <c r="H2581" s="1342"/>
      <c r="I2581" s="1342"/>
      <c r="J2581" s="1342"/>
      <c r="K2581" s="1342"/>
    </row>
    <row r="2582" spans="2:11" ht="14" hidden="1">
      <c r="B2582" s="1342"/>
      <c r="C2582" s="1342"/>
      <c r="D2582" s="1342"/>
      <c r="E2582" s="1342"/>
      <c r="F2582" s="1342"/>
      <c r="G2582" s="1342"/>
      <c r="H2582" s="1342"/>
      <c r="I2582" s="1342"/>
      <c r="J2582" s="1342"/>
      <c r="K2582" s="1342"/>
    </row>
    <row r="2583" spans="2:11" ht="14" hidden="1">
      <c r="B2583" s="1342"/>
      <c r="C2583" s="1342"/>
      <c r="D2583" s="1342"/>
      <c r="E2583" s="1342"/>
      <c r="F2583" s="1342"/>
      <c r="G2583" s="1342"/>
      <c r="H2583" s="1342"/>
      <c r="I2583" s="1342"/>
      <c r="J2583" s="1342"/>
      <c r="K2583" s="1342"/>
    </row>
    <row r="2584" spans="2:11" ht="14" hidden="1">
      <c r="B2584" s="1342"/>
      <c r="C2584" s="1342"/>
      <c r="D2584" s="1342"/>
      <c r="E2584" s="1342"/>
      <c r="F2584" s="1342"/>
      <c r="G2584" s="1342"/>
      <c r="H2584" s="1342"/>
      <c r="I2584" s="1342"/>
      <c r="J2584" s="1342"/>
      <c r="K2584" s="1342"/>
    </row>
    <row r="2585" spans="2:11" ht="14" hidden="1">
      <c r="B2585" s="1342"/>
      <c r="C2585" s="1342"/>
      <c r="D2585" s="1342"/>
      <c r="E2585" s="1342"/>
      <c r="F2585" s="1342"/>
      <c r="G2585" s="1342"/>
      <c r="H2585" s="1342"/>
      <c r="I2585" s="1342"/>
      <c r="J2585" s="1342"/>
      <c r="K2585" s="1342"/>
    </row>
    <row r="2586" spans="2:11" ht="14" hidden="1">
      <c r="B2586" s="1342"/>
      <c r="C2586" s="1342"/>
      <c r="D2586" s="1342"/>
      <c r="E2586" s="1342"/>
      <c r="F2586" s="1342"/>
      <c r="G2586" s="1342"/>
      <c r="H2586" s="1342"/>
      <c r="I2586" s="1342"/>
      <c r="J2586" s="1342"/>
      <c r="K2586" s="1342"/>
    </row>
    <row r="2587" spans="2:11" ht="14" hidden="1">
      <c r="B2587" s="1342"/>
      <c r="C2587" s="1342"/>
      <c r="D2587" s="1342"/>
      <c r="E2587" s="1342"/>
      <c r="F2587" s="1342"/>
      <c r="G2587" s="1342"/>
      <c r="H2587" s="1342"/>
      <c r="I2587" s="1342"/>
      <c r="J2587" s="1342"/>
      <c r="K2587" s="1342"/>
    </row>
    <row r="2588" spans="2:11" ht="14" hidden="1">
      <c r="B2588" s="1342"/>
      <c r="C2588" s="1342"/>
      <c r="D2588" s="1342"/>
      <c r="E2588" s="1342"/>
      <c r="F2588" s="1342"/>
      <c r="G2588" s="1342"/>
      <c r="H2588" s="1342"/>
      <c r="I2588" s="1342"/>
      <c r="J2588" s="1342"/>
      <c r="K2588" s="1342"/>
    </row>
    <row r="2589" spans="2:11" ht="14" hidden="1">
      <c r="B2589" s="1342"/>
      <c r="C2589" s="1342"/>
      <c r="D2589" s="1342"/>
      <c r="E2589" s="1342"/>
      <c r="F2589" s="1342"/>
      <c r="G2589" s="1342"/>
      <c r="H2589" s="1342"/>
      <c r="I2589" s="1342"/>
      <c r="J2589" s="1342"/>
      <c r="K2589" s="1342"/>
    </row>
    <row r="2590" spans="2:11" ht="14" hidden="1">
      <c r="B2590" s="1342"/>
      <c r="C2590" s="1342"/>
      <c r="D2590" s="1342"/>
      <c r="E2590" s="1342"/>
      <c r="F2590" s="1342"/>
      <c r="G2590" s="1342"/>
      <c r="H2590" s="1342"/>
      <c r="I2590" s="1342"/>
      <c r="J2590" s="1342"/>
      <c r="K2590" s="1342"/>
    </row>
    <row r="2591" spans="2:11" ht="14" hidden="1">
      <c r="B2591" s="1342"/>
      <c r="C2591" s="1342"/>
      <c r="D2591" s="1342"/>
      <c r="E2591" s="1342"/>
      <c r="F2591" s="1342"/>
      <c r="G2591" s="1342"/>
      <c r="H2591" s="1342"/>
      <c r="I2591" s="1342"/>
      <c r="J2591" s="1342"/>
      <c r="K2591" s="1342"/>
    </row>
    <row r="2592" spans="2:11" ht="14" hidden="1">
      <c r="B2592" s="1342"/>
      <c r="C2592" s="1342"/>
      <c r="D2592" s="1342"/>
      <c r="E2592" s="1342"/>
      <c r="F2592" s="1342"/>
      <c r="G2592" s="1342"/>
      <c r="H2592" s="1342"/>
      <c r="I2592" s="1342"/>
      <c r="J2592" s="1342"/>
      <c r="K2592" s="1342"/>
    </row>
    <row r="2593" spans="2:11" ht="14" hidden="1">
      <c r="B2593" s="1342"/>
      <c r="C2593" s="1342"/>
      <c r="D2593" s="1342"/>
      <c r="E2593" s="1342"/>
      <c r="F2593" s="1342"/>
      <c r="G2593" s="1342"/>
      <c r="H2593" s="1342"/>
      <c r="I2593" s="1342"/>
      <c r="J2593" s="1342"/>
      <c r="K2593" s="1342"/>
    </row>
    <row r="2594" spans="2:11" ht="14" hidden="1">
      <c r="B2594" s="1342"/>
      <c r="C2594" s="1342"/>
      <c r="D2594" s="1342"/>
      <c r="E2594" s="1342"/>
      <c r="F2594" s="1342"/>
      <c r="G2594" s="1342"/>
      <c r="H2594" s="1342"/>
      <c r="I2594" s="1342"/>
      <c r="J2594" s="1342"/>
      <c r="K2594" s="1342"/>
    </row>
    <row r="2595" spans="2:11" ht="14" hidden="1">
      <c r="B2595" s="1342"/>
      <c r="C2595" s="1342"/>
      <c r="D2595" s="1342"/>
      <c r="E2595" s="1342"/>
      <c r="F2595" s="1342"/>
      <c r="G2595" s="1342"/>
      <c r="H2595" s="1342"/>
      <c r="I2595" s="1342"/>
      <c r="J2595" s="1342"/>
      <c r="K2595" s="1342"/>
    </row>
    <row r="2596" spans="2:11" ht="14" hidden="1">
      <c r="B2596" s="1342"/>
      <c r="C2596" s="1342"/>
      <c r="D2596" s="1342"/>
      <c r="E2596" s="1342"/>
      <c r="F2596" s="1342"/>
      <c r="G2596" s="1342"/>
      <c r="H2596" s="1342"/>
      <c r="I2596" s="1342"/>
      <c r="J2596" s="1342"/>
      <c r="K2596" s="1342"/>
    </row>
    <row r="2597" spans="2:11" ht="14" hidden="1">
      <c r="B2597" s="1342"/>
      <c r="C2597" s="1342"/>
      <c r="D2597" s="1342"/>
      <c r="E2597" s="1342"/>
      <c r="F2597" s="1342"/>
      <c r="G2597" s="1342"/>
      <c r="H2597" s="1342"/>
      <c r="I2597" s="1342"/>
      <c r="J2597" s="1342"/>
      <c r="K2597" s="1342"/>
    </row>
    <row r="2598" spans="2:11" ht="14" hidden="1">
      <c r="B2598" s="1342"/>
      <c r="C2598" s="1342"/>
      <c r="D2598" s="1342"/>
      <c r="E2598" s="1342"/>
      <c r="F2598" s="1342"/>
      <c r="G2598" s="1342"/>
      <c r="H2598" s="1342"/>
      <c r="I2598" s="1342"/>
      <c r="J2598" s="1342"/>
      <c r="K2598" s="1342"/>
    </row>
    <row r="2599" spans="2:11" ht="14" hidden="1">
      <c r="B2599" s="1342"/>
      <c r="C2599" s="1342"/>
      <c r="D2599" s="1342"/>
      <c r="E2599" s="1342"/>
      <c r="F2599" s="1342"/>
      <c r="G2599" s="1342"/>
      <c r="H2599" s="1342"/>
      <c r="I2599" s="1342"/>
      <c r="J2599" s="1342"/>
      <c r="K2599" s="1342"/>
    </row>
    <row r="2600" spans="2:11" ht="14" hidden="1">
      <c r="B2600" s="1342"/>
      <c r="C2600" s="1342"/>
      <c r="D2600" s="1342"/>
      <c r="E2600" s="1342"/>
      <c r="F2600" s="1342"/>
      <c r="G2600" s="1342"/>
      <c r="H2600" s="1342"/>
      <c r="I2600" s="1342"/>
      <c r="J2600" s="1342"/>
      <c r="K2600" s="1342"/>
    </row>
    <row r="2601" spans="2:11" ht="14" hidden="1">
      <c r="B2601" s="1342"/>
      <c r="C2601" s="1342"/>
      <c r="D2601" s="1342"/>
      <c r="E2601" s="1342"/>
      <c r="F2601" s="1342"/>
      <c r="G2601" s="1342"/>
      <c r="H2601" s="1342"/>
      <c r="I2601" s="1342"/>
      <c r="J2601" s="1342"/>
      <c r="K2601" s="1342"/>
    </row>
    <row r="2602" spans="2:11" ht="14" hidden="1">
      <c r="B2602" s="1342"/>
      <c r="C2602" s="1342"/>
      <c r="D2602" s="1342"/>
      <c r="E2602" s="1342"/>
      <c r="F2602" s="1342"/>
      <c r="G2602" s="1342"/>
      <c r="H2602" s="1342"/>
      <c r="I2602" s="1342"/>
      <c r="J2602" s="1342"/>
      <c r="K2602" s="1342"/>
    </row>
    <row r="2603" spans="2:11" ht="14" hidden="1">
      <c r="B2603" s="1342"/>
      <c r="C2603" s="1342"/>
      <c r="D2603" s="1342"/>
      <c r="E2603" s="1342"/>
      <c r="F2603" s="1342"/>
      <c r="G2603" s="1342"/>
      <c r="H2603" s="1342"/>
      <c r="I2603" s="1342"/>
      <c r="J2603" s="1342"/>
      <c r="K2603" s="1342"/>
    </row>
    <row r="2604" spans="2:11" ht="14" hidden="1">
      <c r="B2604" s="1342"/>
      <c r="C2604" s="1342"/>
      <c r="D2604" s="1342"/>
      <c r="E2604" s="1342"/>
      <c r="F2604" s="1342"/>
      <c r="G2604" s="1342"/>
      <c r="H2604" s="1342"/>
      <c r="I2604" s="1342"/>
      <c r="J2604" s="1342"/>
      <c r="K2604" s="1342"/>
    </row>
    <row r="2605" spans="2:11" ht="14" hidden="1">
      <c r="B2605" s="1342"/>
      <c r="C2605" s="1342"/>
      <c r="D2605" s="1342"/>
      <c r="E2605" s="1342"/>
      <c r="F2605" s="1342"/>
      <c r="G2605" s="1342"/>
      <c r="H2605" s="1342"/>
      <c r="I2605" s="1342"/>
      <c r="J2605" s="1342"/>
      <c r="K2605" s="1342"/>
    </row>
    <row r="2606" spans="2:11" ht="14" hidden="1">
      <c r="B2606" s="1342"/>
      <c r="C2606" s="1342"/>
      <c r="D2606" s="1342"/>
      <c r="E2606" s="1342"/>
      <c r="F2606" s="1342"/>
      <c r="G2606" s="1342"/>
      <c r="H2606" s="1342"/>
      <c r="I2606" s="1342"/>
      <c r="J2606" s="1342"/>
      <c r="K2606" s="1342"/>
    </row>
    <row r="2607" spans="2:11" ht="14" hidden="1">
      <c r="B2607" s="1342"/>
      <c r="C2607" s="1342"/>
      <c r="D2607" s="1342"/>
      <c r="E2607" s="1342"/>
      <c r="F2607" s="1342"/>
      <c r="G2607" s="1342"/>
      <c r="H2607" s="1342"/>
      <c r="I2607" s="1342"/>
      <c r="J2607" s="1342"/>
      <c r="K2607" s="1342"/>
    </row>
    <row r="2608" spans="2:11" ht="14" hidden="1">
      <c r="B2608" s="1342"/>
      <c r="C2608" s="1342"/>
      <c r="D2608" s="1342"/>
      <c r="E2608" s="1342"/>
      <c r="F2608" s="1342"/>
      <c r="G2608" s="1342"/>
      <c r="H2608" s="1342"/>
      <c r="I2608" s="1342"/>
      <c r="J2608" s="1342"/>
      <c r="K2608" s="1342"/>
    </row>
    <row r="2609" spans="2:11" ht="14" hidden="1">
      <c r="B2609" s="1342"/>
      <c r="C2609" s="1342"/>
      <c r="D2609" s="1342"/>
      <c r="E2609" s="1342"/>
      <c r="F2609" s="1342"/>
      <c r="G2609" s="1342"/>
      <c r="H2609" s="1342"/>
      <c r="I2609" s="1342"/>
      <c r="J2609" s="1342"/>
      <c r="K2609" s="1342"/>
    </row>
    <row r="2610" spans="2:11" ht="14" hidden="1">
      <c r="B2610" s="1342"/>
      <c r="C2610" s="1342"/>
      <c r="D2610" s="1342"/>
      <c r="E2610" s="1342"/>
      <c r="F2610" s="1342"/>
      <c r="G2610" s="1342"/>
      <c r="H2610" s="1342"/>
      <c r="I2610" s="1342"/>
      <c r="J2610" s="1342"/>
      <c r="K2610" s="1342"/>
    </row>
    <row r="2611" spans="2:11" ht="14" hidden="1">
      <c r="B2611" s="1342"/>
      <c r="C2611" s="1342"/>
      <c r="D2611" s="1342"/>
      <c r="E2611" s="1342"/>
      <c r="F2611" s="1342"/>
      <c r="G2611" s="1342"/>
      <c r="H2611" s="1342"/>
      <c r="I2611" s="1342"/>
      <c r="J2611" s="1342"/>
      <c r="K2611" s="1342"/>
    </row>
    <row r="2612" spans="2:11" ht="14" hidden="1">
      <c r="B2612" s="1342"/>
      <c r="C2612" s="1342"/>
      <c r="D2612" s="1342"/>
      <c r="E2612" s="1342"/>
      <c r="F2612" s="1342"/>
      <c r="G2612" s="1342"/>
      <c r="H2612" s="1342"/>
      <c r="I2612" s="1342"/>
      <c r="J2612" s="1342"/>
      <c r="K2612" s="1342"/>
    </row>
    <row r="2613" spans="2:11" ht="14" hidden="1">
      <c r="B2613" s="1342"/>
      <c r="C2613" s="1342"/>
      <c r="D2613" s="1342"/>
      <c r="E2613" s="1342"/>
      <c r="F2613" s="1342"/>
      <c r="G2613" s="1342"/>
      <c r="H2613" s="1342"/>
      <c r="I2613" s="1342"/>
      <c r="J2613" s="1342"/>
      <c r="K2613" s="1342"/>
    </row>
    <row r="2614" spans="2:11" ht="14" hidden="1">
      <c r="B2614" s="1342"/>
      <c r="C2614" s="1342"/>
      <c r="D2614" s="1342"/>
      <c r="E2614" s="1342"/>
      <c r="F2614" s="1342"/>
      <c r="G2614" s="1342"/>
      <c r="H2614" s="1342"/>
      <c r="I2614" s="1342"/>
      <c r="J2614" s="1342"/>
      <c r="K2614" s="1342"/>
    </row>
    <row r="2615" spans="2:11" ht="14" hidden="1">
      <c r="B2615" s="1342"/>
      <c r="C2615" s="1342"/>
      <c r="D2615" s="1342"/>
      <c r="E2615" s="1342"/>
      <c r="F2615" s="1342"/>
      <c r="G2615" s="1342"/>
      <c r="H2615" s="1342"/>
      <c r="I2615" s="1342"/>
      <c r="J2615" s="1342"/>
      <c r="K2615" s="1342"/>
    </row>
    <row r="2616" spans="2:11" ht="14" hidden="1">
      <c r="B2616" s="1342"/>
      <c r="C2616" s="1342"/>
      <c r="D2616" s="1342"/>
      <c r="E2616" s="1342"/>
      <c r="F2616" s="1342"/>
      <c r="G2616" s="1342"/>
      <c r="H2616" s="1342"/>
      <c r="I2616" s="1342"/>
      <c r="J2616" s="1342"/>
      <c r="K2616" s="1342"/>
    </row>
    <row r="2617" spans="2:11" ht="14" hidden="1">
      <c r="B2617" s="1342"/>
      <c r="C2617" s="1342"/>
      <c r="D2617" s="1342"/>
      <c r="E2617" s="1342"/>
      <c r="F2617" s="1342"/>
      <c r="G2617" s="1342"/>
      <c r="H2617" s="1342"/>
      <c r="I2617" s="1342"/>
      <c r="J2617" s="1342"/>
      <c r="K2617" s="1342"/>
    </row>
    <row r="2618" spans="2:11" ht="14" hidden="1">
      <c r="B2618" s="1342"/>
      <c r="C2618" s="1342"/>
      <c r="D2618" s="1342"/>
      <c r="E2618" s="1342"/>
      <c r="F2618" s="1342"/>
      <c r="G2618" s="1342"/>
      <c r="H2618" s="1342"/>
      <c r="I2618" s="1342"/>
      <c r="J2618" s="1342"/>
      <c r="K2618" s="1342"/>
    </row>
    <row r="2619" spans="2:11" ht="14" hidden="1">
      <c r="B2619" s="1342"/>
      <c r="C2619" s="1342"/>
      <c r="D2619" s="1342"/>
      <c r="E2619" s="1342"/>
      <c r="F2619" s="1342"/>
      <c r="G2619" s="1342"/>
      <c r="H2619" s="1342"/>
      <c r="I2619" s="1342"/>
      <c r="J2619" s="1342"/>
      <c r="K2619" s="1342"/>
    </row>
    <row r="2620" spans="2:11" ht="14" hidden="1">
      <c r="B2620" s="1342"/>
      <c r="C2620" s="1342"/>
      <c r="D2620" s="1342"/>
      <c r="E2620" s="1342"/>
      <c r="F2620" s="1342"/>
      <c r="G2620" s="1342"/>
      <c r="H2620" s="1342"/>
      <c r="I2620" s="1342"/>
      <c r="J2620" s="1342"/>
      <c r="K2620" s="1342"/>
    </row>
    <row r="2621" spans="2:11" ht="14" hidden="1">
      <c r="B2621" s="1342"/>
      <c r="C2621" s="1342"/>
      <c r="D2621" s="1342"/>
      <c r="E2621" s="1342"/>
      <c r="F2621" s="1342"/>
      <c r="G2621" s="1342"/>
      <c r="H2621" s="1342"/>
      <c r="I2621" s="1342"/>
      <c r="J2621" s="1342"/>
      <c r="K2621" s="1342"/>
    </row>
    <row r="2622" spans="2:11" ht="14" hidden="1">
      <c r="B2622" s="1342"/>
      <c r="C2622" s="1342"/>
      <c r="D2622" s="1342"/>
      <c r="E2622" s="1342"/>
      <c r="F2622" s="1342"/>
      <c r="G2622" s="1342"/>
      <c r="H2622" s="1342"/>
      <c r="I2622" s="1342"/>
      <c r="J2622" s="1342"/>
      <c r="K2622" s="1342"/>
    </row>
    <row r="2623" spans="2:11" ht="14" hidden="1">
      <c r="B2623" s="1342"/>
      <c r="C2623" s="1342"/>
      <c r="D2623" s="1342"/>
      <c r="E2623" s="1342"/>
      <c r="F2623" s="1342"/>
      <c r="G2623" s="1342"/>
      <c r="H2623" s="1342"/>
      <c r="I2623" s="1342"/>
      <c r="J2623" s="1342"/>
      <c r="K2623" s="1342"/>
    </row>
    <row r="2624" spans="2:11" ht="14" hidden="1">
      <c r="B2624" s="1342"/>
      <c r="C2624" s="1342"/>
      <c r="D2624" s="1342"/>
      <c r="E2624" s="1342"/>
      <c r="F2624" s="1342"/>
      <c r="G2624" s="1342"/>
      <c r="H2624" s="1342"/>
      <c r="I2624" s="1342"/>
      <c r="J2624" s="1342"/>
      <c r="K2624" s="1342"/>
    </row>
    <row r="2625" spans="2:11" ht="14" hidden="1">
      <c r="B2625" s="1342"/>
      <c r="C2625" s="1342"/>
      <c r="D2625" s="1342"/>
      <c r="E2625" s="1342"/>
      <c r="F2625" s="1342"/>
      <c r="G2625" s="1342"/>
      <c r="H2625" s="1342"/>
      <c r="I2625" s="1342"/>
      <c r="J2625" s="1342"/>
      <c r="K2625" s="1342"/>
    </row>
    <row r="2626" spans="2:11" ht="14" hidden="1">
      <c r="B2626" s="1342"/>
      <c r="C2626" s="1342"/>
      <c r="D2626" s="1342"/>
      <c r="E2626" s="1342"/>
      <c r="F2626" s="1342"/>
      <c r="G2626" s="1342"/>
      <c r="H2626" s="1342"/>
      <c r="I2626" s="1342"/>
      <c r="J2626" s="1342"/>
      <c r="K2626" s="1342"/>
    </row>
    <row r="2627" spans="2:11" ht="14" hidden="1">
      <c r="B2627" s="1342"/>
      <c r="C2627" s="1342"/>
      <c r="D2627" s="1342"/>
      <c r="E2627" s="1342"/>
      <c r="F2627" s="1342"/>
      <c r="G2627" s="1342"/>
      <c r="H2627" s="1342"/>
      <c r="I2627" s="1342"/>
      <c r="J2627" s="1342"/>
      <c r="K2627" s="1342"/>
    </row>
    <row r="2628" spans="2:11" ht="14" hidden="1">
      <c r="B2628" s="1342"/>
      <c r="C2628" s="1342"/>
      <c r="D2628" s="1342"/>
      <c r="E2628" s="1342"/>
      <c r="F2628" s="1342"/>
      <c r="G2628" s="1342"/>
      <c r="H2628" s="1342"/>
      <c r="I2628" s="1342"/>
      <c r="J2628" s="1342"/>
      <c r="K2628" s="1342"/>
    </row>
    <row r="2629" spans="2:11" ht="14" hidden="1">
      <c r="B2629" s="1342"/>
      <c r="C2629" s="1342"/>
      <c r="D2629" s="1342"/>
      <c r="E2629" s="1342"/>
      <c r="F2629" s="1342"/>
      <c r="G2629" s="1342"/>
      <c r="H2629" s="1342"/>
      <c r="I2629" s="1342"/>
      <c r="J2629" s="1342"/>
      <c r="K2629" s="1342"/>
    </row>
    <row r="2630" spans="2:11" ht="14" hidden="1">
      <c r="B2630" s="1342"/>
      <c r="C2630" s="1342"/>
      <c r="D2630" s="1342"/>
      <c r="E2630" s="1342"/>
      <c r="F2630" s="1342"/>
      <c r="G2630" s="1342"/>
      <c r="H2630" s="1342"/>
      <c r="I2630" s="1342"/>
      <c r="J2630" s="1342"/>
      <c r="K2630" s="1342"/>
    </row>
    <row r="2631" spans="2:11" ht="14" hidden="1">
      <c r="B2631" s="1342"/>
      <c r="C2631" s="1342"/>
      <c r="D2631" s="1342"/>
      <c r="E2631" s="1342"/>
      <c r="F2631" s="1342"/>
      <c r="G2631" s="1342"/>
      <c r="H2631" s="1342"/>
      <c r="I2631" s="1342"/>
      <c r="J2631" s="1342"/>
      <c r="K2631" s="1342"/>
    </row>
    <row r="2632" spans="2:11" ht="14" hidden="1">
      <c r="B2632" s="1342"/>
      <c r="C2632" s="1342"/>
      <c r="D2632" s="1342"/>
      <c r="E2632" s="1342"/>
      <c r="F2632" s="1342"/>
      <c r="G2632" s="1342"/>
      <c r="H2632" s="1342"/>
      <c r="I2632" s="1342"/>
      <c r="J2632" s="1342"/>
      <c r="K2632" s="1342"/>
    </row>
    <row r="2633" spans="2:11" ht="14" hidden="1">
      <c r="B2633" s="1342"/>
      <c r="C2633" s="1342"/>
      <c r="D2633" s="1342"/>
      <c r="E2633" s="1342"/>
      <c r="F2633" s="1342"/>
      <c r="G2633" s="1342"/>
      <c r="H2633" s="1342"/>
      <c r="I2633" s="1342"/>
      <c r="J2633" s="1342"/>
      <c r="K2633" s="1342"/>
    </row>
    <row r="2634" spans="2:11" ht="14" hidden="1">
      <c r="B2634" s="1342"/>
      <c r="C2634" s="1342"/>
      <c r="D2634" s="1342"/>
      <c r="E2634" s="1342"/>
      <c r="F2634" s="1342"/>
      <c r="G2634" s="1342"/>
      <c r="H2634" s="1342"/>
      <c r="I2634" s="1342"/>
      <c r="J2634" s="1342"/>
      <c r="K2634" s="1342"/>
    </row>
    <row r="2635" spans="2:11" ht="14" hidden="1">
      <c r="B2635" s="1342"/>
      <c r="C2635" s="1342"/>
      <c r="D2635" s="1342"/>
      <c r="E2635" s="1342"/>
      <c r="F2635" s="1342"/>
      <c r="G2635" s="1342"/>
      <c r="H2635" s="1342"/>
      <c r="I2635" s="1342"/>
      <c r="J2635" s="1342"/>
      <c r="K2635" s="1342"/>
    </row>
    <row r="2636" spans="2:11" ht="14" hidden="1">
      <c r="B2636" s="1342"/>
      <c r="C2636" s="1342"/>
      <c r="D2636" s="1342"/>
      <c r="E2636" s="1342"/>
      <c r="F2636" s="1342"/>
      <c r="G2636" s="1342"/>
      <c r="H2636" s="1342"/>
      <c r="I2636" s="1342"/>
      <c r="J2636" s="1342"/>
      <c r="K2636" s="1342"/>
    </row>
    <row r="2637" spans="2:11" ht="14" hidden="1">
      <c r="B2637" s="1342"/>
      <c r="C2637" s="1342"/>
      <c r="D2637" s="1342"/>
      <c r="E2637" s="1342"/>
      <c r="F2637" s="1342"/>
      <c r="G2637" s="1342"/>
      <c r="H2637" s="1342"/>
      <c r="I2637" s="1342"/>
      <c r="J2637" s="1342"/>
      <c r="K2637" s="1342"/>
    </row>
    <row r="2638" spans="2:11" ht="14" hidden="1">
      <c r="B2638" s="1342"/>
      <c r="C2638" s="1342"/>
      <c r="D2638" s="1342"/>
      <c r="E2638" s="1342"/>
      <c r="F2638" s="1342"/>
      <c r="G2638" s="1342"/>
      <c r="H2638" s="1342"/>
      <c r="I2638" s="1342"/>
      <c r="J2638" s="1342"/>
      <c r="K2638" s="1342"/>
    </row>
    <row r="2639" spans="2:11" ht="14" hidden="1">
      <c r="B2639" s="1342"/>
      <c r="C2639" s="1342"/>
      <c r="D2639" s="1342"/>
      <c r="E2639" s="1342"/>
      <c r="F2639" s="1342"/>
      <c r="G2639" s="1342"/>
      <c r="H2639" s="1342"/>
      <c r="I2639" s="1342"/>
      <c r="J2639" s="1342"/>
      <c r="K2639" s="1342"/>
    </row>
    <row r="2640" spans="2:11" ht="14" hidden="1">
      <c r="B2640" s="1342"/>
      <c r="C2640" s="1342"/>
      <c r="D2640" s="1342"/>
      <c r="E2640" s="1342"/>
      <c r="F2640" s="1342"/>
      <c r="G2640" s="1342"/>
      <c r="H2640" s="1342"/>
      <c r="I2640" s="1342"/>
      <c r="J2640" s="1342"/>
      <c r="K2640" s="1342"/>
    </row>
    <row r="2641" spans="2:11" ht="14" hidden="1">
      <c r="B2641" s="1342"/>
      <c r="C2641" s="1342"/>
      <c r="D2641" s="1342"/>
      <c r="E2641" s="1342"/>
      <c r="F2641" s="1342"/>
      <c r="G2641" s="1342"/>
      <c r="H2641" s="1342"/>
      <c r="I2641" s="1342"/>
      <c r="J2641" s="1342"/>
      <c r="K2641" s="1342"/>
    </row>
    <row r="2642" spans="2:11" ht="14" hidden="1">
      <c r="B2642" s="1342"/>
      <c r="C2642" s="1342"/>
      <c r="D2642" s="1342"/>
      <c r="E2642" s="1342"/>
      <c r="F2642" s="1342"/>
      <c r="G2642" s="1342"/>
      <c r="H2642" s="1342"/>
      <c r="I2642" s="1342"/>
      <c r="J2642" s="1342"/>
      <c r="K2642" s="1342"/>
    </row>
    <row r="2643" spans="2:11" ht="14" hidden="1">
      <c r="B2643" s="1342"/>
      <c r="C2643" s="1342"/>
      <c r="D2643" s="1342"/>
      <c r="E2643" s="1342"/>
      <c r="F2643" s="1342"/>
      <c r="G2643" s="1342"/>
      <c r="H2643" s="1342"/>
      <c r="I2643" s="1342"/>
      <c r="J2643" s="1342"/>
      <c r="K2643" s="1342"/>
    </row>
    <row r="2644" spans="2:11" ht="14" hidden="1">
      <c r="B2644" s="1342"/>
      <c r="C2644" s="1342"/>
      <c r="D2644" s="1342"/>
      <c r="E2644" s="1342"/>
      <c r="F2644" s="1342"/>
      <c r="G2644" s="1342"/>
      <c r="H2644" s="1342"/>
      <c r="I2644" s="1342"/>
      <c r="J2644" s="1342"/>
      <c r="K2644" s="1342"/>
    </row>
    <row r="2645" spans="2:11" ht="14" hidden="1">
      <c r="B2645" s="1342"/>
      <c r="C2645" s="1342"/>
      <c r="D2645" s="1342"/>
      <c r="E2645" s="1342"/>
      <c r="F2645" s="1342"/>
      <c r="G2645" s="1342"/>
      <c r="H2645" s="1342"/>
      <c r="I2645" s="1342"/>
      <c r="J2645" s="1342"/>
      <c r="K2645" s="1342"/>
    </row>
    <row r="2646" spans="2:11" ht="14" hidden="1">
      <c r="B2646" s="1342"/>
      <c r="C2646" s="1342"/>
      <c r="D2646" s="1342"/>
      <c r="E2646" s="1342"/>
      <c r="F2646" s="1342"/>
      <c r="G2646" s="1342"/>
      <c r="H2646" s="1342"/>
      <c r="I2646" s="1342"/>
      <c r="J2646" s="1342"/>
      <c r="K2646" s="1342"/>
    </row>
    <row r="2647" spans="2:11" ht="14" hidden="1">
      <c r="B2647" s="1342"/>
      <c r="C2647" s="1342"/>
      <c r="D2647" s="1342"/>
      <c r="E2647" s="1342"/>
      <c r="F2647" s="1342"/>
      <c r="G2647" s="1342"/>
      <c r="H2647" s="1342"/>
      <c r="I2647" s="1342"/>
      <c r="J2647" s="1342"/>
      <c r="K2647" s="1342"/>
    </row>
    <row r="2648" spans="2:11" ht="14" hidden="1">
      <c r="B2648" s="1342"/>
      <c r="C2648" s="1342"/>
      <c r="D2648" s="1342"/>
      <c r="E2648" s="1342"/>
      <c r="F2648" s="1342"/>
      <c r="G2648" s="1342"/>
      <c r="H2648" s="1342"/>
      <c r="I2648" s="1342"/>
      <c r="J2648" s="1342"/>
      <c r="K2648" s="1342"/>
    </row>
    <row r="2649" spans="2:11" ht="14" hidden="1">
      <c r="B2649" s="1342"/>
      <c r="C2649" s="1342"/>
      <c r="D2649" s="1342"/>
      <c r="E2649" s="1342"/>
      <c r="F2649" s="1342"/>
      <c r="G2649" s="1342"/>
      <c r="H2649" s="1342"/>
      <c r="I2649" s="1342"/>
      <c r="J2649" s="1342"/>
      <c r="K2649" s="1342"/>
    </row>
    <row r="2650" spans="2:11" ht="14" hidden="1">
      <c r="B2650" s="1342"/>
      <c r="C2650" s="1342"/>
      <c r="D2650" s="1342"/>
      <c r="E2650" s="1342"/>
      <c r="F2650" s="1342"/>
      <c r="G2650" s="1342"/>
      <c r="H2650" s="1342"/>
      <c r="I2650" s="1342"/>
      <c r="J2650" s="1342"/>
      <c r="K2650" s="1342"/>
    </row>
    <row r="2651" spans="2:11" ht="14" hidden="1">
      <c r="B2651" s="1342"/>
      <c r="C2651" s="1342"/>
      <c r="D2651" s="1342"/>
      <c r="E2651" s="1342"/>
      <c r="F2651" s="1342"/>
      <c r="G2651" s="1342"/>
      <c r="H2651" s="1342"/>
      <c r="I2651" s="1342"/>
      <c r="J2651" s="1342"/>
      <c r="K2651" s="1342"/>
    </row>
    <row r="2652" spans="2:11" ht="14" hidden="1">
      <c r="B2652" s="1342"/>
      <c r="C2652" s="1342"/>
      <c r="D2652" s="1342"/>
      <c r="E2652" s="1342"/>
      <c r="F2652" s="1342"/>
      <c r="G2652" s="1342"/>
      <c r="H2652" s="1342"/>
      <c r="I2652" s="1342"/>
      <c r="J2652" s="1342"/>
      <c r="K2652" s="1342"/>
    </row>
    <row r="2653" spans="2:11" ht="14" hidden="1">
      <c r="B2653" s="1342"/>
      <c r="C2653" s="1342"/>
      <c r="D2653" s="1342"/>
      <c r="E2653" s="1342"/>
      <c r="F2653" s="1342"/>
      <c r="G2653" s="1342"/>
      <c r="H2653" s="1342"/>
      <c r="I2653" s="1342"/>
      <c r="J2653" s="1342"/>
      <c r="K2653" s="1342"/>
    </row>
    <row r="2654" spans="2:11" ht="14" hidden="1">
      <c r="B2654" s="1342"/>
      <c r="C2654" s="1342"/>
      <c r="D2654" s="1342"/>
      <c r="E2654" s="1342"/>
      <c r="F2654" s="1342"/>
      <c r="G2654" s="1342"/>
      <c r="H2654" s="1342"/>
      <c r="I2654" s="1342"/>
      <c r="J2654" s="1342"/>
      <c r="K2654" s="1342"/>
    </row>
    <row r="2655" spans="2:11" ht="14" hidden="1">
      <c r="B2655" s="1342"/>
      <c r="C2655" s="1342"/>
      <c r="D2655" s="1342"/>
      <c r="E2655" s="1342"/>
      <c r="F2655" s="1342"/>
      <c r="G2655" s="1342"/>
      <c r="H2655" s="1342"/>
      <c r="I2655" s="1342"/>
      <c r="J2655" s="1342"/>
      <c r="K2655" s="1342"/>
    </row>
    <row r="2656" spans="2:11" ht="14" hidden="1">
      <c r="B2656" s="1342"/>
      <c r="C2656" s="1342"/>
      <c r="D2656" s="1342"/>
      <c r="E2656" s="1342"/>
      <c r="F2656" s="1342"/>
      <c r="G2656" s="1342"/>
      <c r="H2656" s="1342"/>
      <c r="I2656" s="1342"/>
      <c r="J2656" s="1342"/>
      <c r="K2656" s="1342"/>
    </row>
    <row r="2657" spans="2:11" ht="14" hidden="1">
      <c r="B2657" s="1342"/>
      <c r="C2657" s="1342"/>
      <c r="D2657" s="1342"/>
      <c r="E2657" s="1342"/>
      <c r="F2657" s="1342"/>
      <c r="G2657" s="1342"/>
      <c r="H2657" s="1342"/>
      <c r="I2657" s="1342"/>
      <c r="J2657" s="1342"/>
      <c r="K2657" s="1342"/>
    </row>
    <row r="2658" spans="2:11" ht="14" hidden="1">
      <c r="B2658" s="1342"/>
      <c r="C2658" s="1342"/>
      <c r="D2658" s="1342"/>
      <c r="E2658" s="1342"/>
      <c r="F2658" s="1342"/>
      <c r="G2658" s="1342"/>
      <c r="H2658" s="1342"/>
      <c r="I2658" s="1342"/>
      <c r="J2658" s="1342"/>
      <c r="K2658" s="1342"/>
    </row>
    <row r="2659" spans="2:11" ht="14" hidden="1">
      <c r="B2659" s="1342"/>
      <c r="C2659" s="1342"/>
      <c r="D2659" s="1342"/>
      <c r="E2659" s="1342"/>
      <c r="F2659" s="1342"/>
      <c r="G2659" s="1342"/>
      <c r="H2659" s="1342"/>
      <c r="I2659" s="1342"/>
      <c r="J2659" s="1342"/>
      <c r="K2659" s="1342"/>
    </row>
    <row r="2660" spans="2:11" ht="14" hidden="1">
      <c r="B2660" s="1342"/>
      <c r="C2660" s="1342"/>
      <c r="D2660" s="1342"/>
      <c r="E2660" s="1342"/>
      <c r="F2660" s="1342"/>
      <c r="G2660" s="1342"/>
      <c r="H2660" s="1342"/>
      <c r="I2660" s="1342"/>
      <c r="J2660" s="1342"/>
      <c r="K2660" s="1342"/>
    </row>
    <row r="2661" spans="2:11" ht="14" hidden="1">
      <c r="B2661" s="1342"/>
      <c r="C2661" s="1342"/>
      <c r="D2661" s="1342"/>
      <c r="E2661" s="1342"/>
      <c r="F2661" s="1342"/>
      <c r="G2661" s="1342"/>
      <c r="H2661" s="1342"/>
      <c r="I2661" s="1342"/>
      <c r="J2661" s="1342"/>
      <c r="K2661" s="1342"/>
    </row>
    <row r="2662" spans="2:11" ht="14" hidden="1">
      <c r="B2662" s="1342"/>
      <c r="C2662" s="1342"/>
      <c r="D2662" s="1342"/>
      <c r="E2662" s="1342"/>
      <c r="F2662" s="1342"/>
      <c r="G2662" s="1342"/>
      <c r="H2662" s="1342"/>
      <c r="I2662" s="1342"/>
      <c r="J2662" s="1342"/>
      <c r="K2662" s="1342"/>
    </row>
    <row r="2663" spans="2:11" ht="14" hidden="1">
      <c r="B2663" s="1342"/>
      <c r="C2663" s="1342"/>
      <c r="D2663" s="1342"/>
      <c r="E2663" s="1342"/>
      <c r="F2663" s="1342"/>
      <c r="G2663" s="1342"/>
      <c r="H2663" s="1342"/>
      <c r="I2663" s="1342"/>
      <c r="J2663" s="1342"/>
      <c r="K2663" s="1342"/>
    </row>
    <row r="2664" spans="2:11" ht="14" hidden="1">
      <c r="B2664" s="1342"/>
      <c r="C2664" s="1342"/>
      <c r="D2664" s="1342"/>
      <c r="E2664" s="1342"/>
      <c r="F2664" s="1342"/>
      <c r="G2664" s="1342"/>
      <c r="H2664" s="1342"/>
      <c r="I2664" s="1342"/>
      <c r="J2664" s="1342"/>
      <c r="K2664" s="1342"/>
    </row>
    <row r="2665" spans="2:11" ht="14" hidden="1">
      <c r="B2665" s="1342"/>
      <c r="C2665" s="1342"/>
      <c r="D2665" s="1342"/>
      <c r="E2665" s="1342"/>
      <c r="F2665" s="1342"/>
      <c r="G2665" s="1342"/>
      <c r="H2665" s="1342"/>
      <c r="I2665" s="1342"/>
      <c r="J2665" s="1342"/>
      <c r="K2665" s="1342"/>
    </row>
    <row r="2666" spans="2:11" ht="14" hidden="1">
      <c r="B2666" s="1342"/>
      <c r="C2666" s="1342"/>
      <c r="D2666" s="1342"/>
      <c r="E2666" s="1342"/>
      <c r="F2666" s="1342"/>
      <c r="G2666" s="1342"/>
      <c r="H2666" s="1342"/>
      <c r="I2666" s="1342"/>
      <c r="J2666" s="1342"/>
      <c r="K2666" s="1342"/>
    </row>
    <row r="2667" spans="2:11" ht="14" hidden="1">
      <c r="B2667" s="1342"/>
      <c r="C2667" s="1342"/>
      <c r="D2667" s="1342"/>
      <c r="E2667" s="1342"/>
      <c r="F2667" s="1342"/>
      <c r="G2667" s="1342"/>
      <c r="H2667" s="1342"/>
      <c r="I2667" s="1342"/>
      <c r="J2667" s="1342"/>
      <c r="K2667" s="1342"/>
    </row>
    <row r="2668" spans="2:11" ht="14" hidden="1">
      <c r="B2668" s="1342"/>
      <c r="C2668" s="1342"/>
      <c r="D2668" s="1342"/>
      <c r="E2668" s="1342"/>
      <c r="F2668" s="1342"/>
      <c r="G2668" s="1342"/>
      <c r="H2668" s="1342"/>
      <c r="I2668" s="1342"/>
      <c r="J2668" s="1342"/>
      <c r="K2668" s="1342"/>
    </row>
    <row r="2669" spans="2:11" ht="14" hidden="1">
      <c r="B2669" s="1342"/>
      <c r="C2669" s="1342"/>
      <c r="D2669" s="1342"/>
      <c r="E2669" s="1342"/>
      <c r="F2669" s="1342"/>
      <c r="G2669" s="1342"/>
      <c r="H2669" s="1342"/>
      <c r="I2669" s="1342"/>
      <c r="J2669" s="1342"/>
      <c r="K2669" s="1342"/>
    </row>
    <row r="2670" spans="2:11" ht="14" hidden="1">
      <c r="B2670" s="1342"/>
      <c r="C2670" s="1342"/>
      <c r="D2670" s="1342"/>
      <c r="E2670" s="1342"/>
      <c r="F2670" s="1342"/>
      <c r="G2670" s="1342"/>
      <c r="H2670" s="1342"/>
      <c r="I2670" s="1342"/>
      <c r="J2670" s="1342"/>
      <c r="K2670" s="1342"/>
    </row>
    <row r="2671" spans="2:11" ht="14" hidden="1">
      <c r="B2671" s="1342"/>
      <c r="C2671" s="1342"/>
      <c r="D2671" s="1342"/>
      <c r="E2671" s="1342"/>
      <c r="F2671" s="1342"/>
      <c r="G2671" s="1342"/>
      <c r="H2671" s="1342"/>
      <c r="I2671" s="1342"/>
      <c r="J2671" s="1342"/>
      <c r="K2671" s="1342"/>
    </row>
    <row r="2672" spans="2:11" ht="14" hidden="1">
      <c r="B2672" s="1342"/>
      <c r="C2672" s="1342"/>
      <c r="D2672" s="1342"/>
      <c r="E2672" s="1342"/>
      <c r="F2672" s="1342"/>
      <c r="G2672" s="1342"/>
      <c r="H2672" s="1342"/>
      <c r="I2672" s="1342"/>
      <c r="J2672" s="1342"/>
      <c r="K2672" s="1342"/>
    </row>
    <row r="2673" spans="2:11" ht="14" hidden="1">
      <c r="B2673" s="1342"/>
      <c r="C2673" s="1342"/>
      <c r="D2673" s="1342"/>
      <c r="E2673" s="1342"/>
      <c r="F2673" s="1342"/>
      <c r="G2673" s="1342"/>
      <c r="H2673" s="1342"/>
      <c r="I2673" s="1342"/>
      <c r="J2673" s="1342"/>
      <c r="K2673" s="1342"/>
    </row>
    <row r="2674" spans="2:11" ht="14" hidden="1">
      <c r="B2674" s="1342"/>
      <c r="C2674" s="1342"/>
      <c r="D2674" s="1342"/>
      <c r="E2674" s="1342"/>
      <c r="F2674" s="1342"/>
      <c r="G2674" s="1342"/>
      <c r="H2674" s="1342"/>
      <c r="I2674" s="1342"/>
      <c r="J2674" s="1342"/>
      <c r="K2674" s="1342"/>
    </row>
    <row r="2675" spans="2:11" ht="14" hidden="1">
      <c r="B2675" s="1342"/>
      <c r="C2675" s="1342"/>
      <c r="D2675" s="1342"/>
      <c r="E2675" s="1342"/>
      <c r="F2675" s="1342"/>
      <c r="G2675" s="1342"/>
      <c r="H2675" s="1342"/>
      <c r="I2675" s="1342"/>
      <c r="J2675" s="1342"/>
      <c r="K2675" s="1342"/>
    </row>
    <row r="2676" spans="2:11" ht="14" hidden="1">
      <c r="B2676" s="1342"/>
      <c r="C2676" s="1342"/>
      <c r="D2676" s="1342"/>
      <c r="E2676" s="1342"/>
      <c r="F2676" s="1342"/>
      <c r="G2676" s="1342"/>
      <c r="H2676" s="1342"/>
      <c r="I2676" s="1342"/>
      <c r="J2676" s="1342"/>
      <c r="K2676" s="1342"/>
    </row>
    <row r="2677" spans="2:11" ht="14" hidden="1">
      <c r="B2677" s="1342"/>
      <c r="C2677" s="1342"/>
      <c r="D2677" s="1342"/>
      <c r="E2677" s="1342"/>
      <c r="F2677" s="1342"/>
      <c r="G2677" s="1342"/>
      <c r="H2677" s="1342"/>
      <c r="I2677" s="1342"/>
      <c r="J2677" s="1342"/>
      <c r="K2677" s="1342"/>
    </row>
    <row r="2678" spans="2:11" ht="14" hidden="1">
      <c r="B2678" s="1342"/>
      <c r="C2678" s="1342"/>
      <c r="D2678" s="1342"/>
      <c r="E2678" s="1342"/>
      <c r="F2678" s="1342"/>
      <c r="G2678" s="1342"/>
      <c r="H2678" s="1342"/>
      <c r="I2678" s="1342"/>
      <c r="J2678" s="1342"/>
      <c r="K2678" s="1342"/>
    </row>
    <row r="2679" spans="2:11" ht="14" hidden="1">
      <c r="B2679" s="1342"/>
      <c r="C2679" s="1342"/>
      <c r="D2679" s="1342"/>
      <c r="E2679" s="1342"/>
      <c r="F2679" s="1342"/>
      <c r="G2679" s="1342"/>
      <c r="H2679" s="1342"/>
      <c r="I2679" s="1342"/>
      <c r="J2679" s="1342"/>
      <c r="K2679" s="1342"/>
    </row>
    <row r="2680" spans="2:11" ht="14" hidden="1">
      <c r="B2680" s="1342"/>
      <c r="C2680" s="1342"/>
      <c r="D2680" s="1342"/>
      <c r="E2680" s="1342"/>
      <c r="F2680" s="1342"/>
      <c r="G2680" s="1342"/>
      <c r="H2680" s="1342"/>
      <c r="I2680" s="1342"/>
      <c r="J2680" s="1342"/>
      <c r="K2680" s="1342"/>
    </row>
    <row r="2681" spans="2:11" ht="14" hidden="1">
      <c r="B2681" s="1342"/>
      <c r="C2681" s="1342"/>
      <c r="D2681" s="1342"/>
      <c r="E2681" s="1342"/>
      <c r="F2681" s="1342"/>
      <c r="G2681" s="1342"/>
      <c r="H2681" s="1342"/>
      <c r="I2681" s="1342"/>
      <c r="J2681" s="1342"/>
      <c r="K2681" s="1342"/>
    </row>
    <row r="2682" spans="2:11" ht="14" hidden="1">
      <c r="B2682" s="1342"/>
      <c r="C2682" s="1342"/>
      <c r="D2682" s="1342"/>
      <c r="E2682" s="1342"/>
      <c r="F2682" s="1342"/>
      <c r="G2682" s="1342"/>
      <c r="H2682" s="1342"/>
      <c r="I2682" s="1342"/>
      <c r="J2682" s="1342"/>
      <c r="K2682" s="1342"/>
    </row>
    <row r="2683" spans="2:11" ht="14" hidden="1">
      <c r="B2683" s="1342"/>
      <c r="C2683" s="1342"/>
      <c r="D2683" s="1342"/>
      <c r="E2683" s="1342"/>
      <c r="F2683" s="1342"/>
      <c r="G2683" s="1342"/>
      <c r="H2683" s="1342"/>
      <c r="I2683" s="1342"/>
      <c r="J2683" s="1342"/>
      <c r="K2683" s="1342"/>
    </row>
    <row r="2684" spans="2:11" ht="14" hidden="1">
      <c r="B2684" s="1342"/>
      <c r="C2684" s="1342"/>
      <c r="D2684" s="1342"/>
      <c r="E2684" s="1342"/>
      <c r="F2684" s="1342"/>
      <c r="G2684" s="1342"/>
      <c r="H2684" s="1342"/>
      <c r="I2684" s="1342"/>
      <c r="J2684" s="1342"/>
      <c r="K2684" s="1342"/>
    </row>
    <row r="2685" spans="2:11" ht="14" hidden="1">
      <c r="B2685" s="1342"/>
      <c r="C2685" s="1342"/>
      <c r="D2685" s="1342"/>
      <c r="E2685" s="1342"/>
      <c r="F2685" s="1342"/>
      <c r="G2685" s="1342"/>
      <c r="H2685" s="1342"/>
      <c r="I2685" s="1342"/>
      <c r="J2685" s="1342"/>
      <c r="K2685" s="1342"/>
    </row>
    <row r="2686" spans="2:11" ht="14" hidden="1">
      <c r="B2686" s="1342"/>
      <c r="C2686" s="1342"/>
      <c r="D2686" s="1342"/>
      <c r="E2686" s="1342"/>
      <c r="F2686" s="1342"/>
      <c r="G2686" s="1342"/>
      <c r="H2686" s="1342"/>
      <c r="I2686" s="1342"/>
      <c r="J2686" s="1342"/>
      <c r="K2686" s="1342"/>
    </row>
    <row r="2687" spans="2:11" ht="14" hidden="1">
      <c r="B2687" s="1342"/>
      <c r="C2687" s="1342"/>
      <c r="D2687" s="1342"/>
      <c r="E2687" s="1342"/>
      <c r="F2687" s="1342"/>
      <c r="G2687" s="1342"/>
      <c r="H2687" s="1342"/>
      <c r="I2687" s="1342"/>
      <c r="J2687" s="1342"/>
      <c r="K2687" s="1342"/>
    </row>
    <row r="2688" spans="2:11" ht="14" hidden="1">
      <c r="B2688" s="1342"/>
      <c r="C2688" s="1342"/>
      <c r="D2688" s="1342"/>
      <c r="E2688" s="1342"/>
      <c r="F2688" s="1342"/>
      <c r="G2688" s="1342"/>
      <c r="H2688" s="1342"/>
      <c r="I2688" s="1342"/>
      <c r="J2688" s="1342"/>
      <c r="K2688" s="1342"/>
    </row>
    <row r="2689" spans="2:11" ht="14" hidden="1">
      <c r="B2689" s="1342"/>
      <c r="C2689" s="1342"/>
      <c r="D2689" s="1342"/>
      <c r="E2689" s="1342"/>
      <c r="F2689" s="1342"/>
      <c r="G2689" s="1342"/>
      <c r="H2689" s="1342"/>
      <c r="I2689" s="1342"/>
      <c r="J2689" s="1342"/>
      <c r="K2689" s="1342"/>
    </row>
    <row r="2690" spans="2:11" ht="14" hidden="1">
      <c r="B2690" s="1342"/>
      <c r="C2690" s="1342"/>
      <c r="D2690" s="1342"/>
      <c r="E2690" s="1342"/>
      <c r="F2690" s="1342"/>
      <c r="G2690" s="1342"/>
      <c r="H2690" s="1342"/>
      <c r="I2690" s="1342"/>
      <c r="J2690" s="1342"/>
      <c r="K2690" s="1342"/>
    </row>
    <row r="2691" spans="2:11" ht="14" hidden="1">
      <c r="B2691" s="1342"/>
      <c r="C2691" s="1342"/>
      <c r="D2691" s="1342"/>
      <c r="E2691" s="1342"/>
      <c r="F2691" s="1342"/>
      <c r="G2691" s="1342"/>
      <c r="H2691" s="1342"/>
      <c r="I2691" s="1342"/>
      <c r="J2691" s="1342"/>
      <c r="K2691" s="1342"/>
    </row>
    <row r="2692" spans="2:11" ht="14" hidden="1">
      <c r="B2692" s="1342"/>
      <c r="C2692" s="1342"/>
      <c r="D2692" s="1342"/>
      <c r="E2692" s="1342"/>
      <c r="F2692" s="1342"/>
      <c r="G2692" s="1342"/>
      <c r="H2692" s="1342"/>
      <c r="I2692" s="1342"/>
      <c r="J2692" s="1342"/>
      <c r="K2692" s="1342"/>
    </row>
    <row r="2693" spans="2:11" ht="14" hidden="1">
      <c r="B2693" s="1342"/>
      <c r="C2693" s="1342"/>
      <c r="D2693" s="1342"/>
      <c r="E2693" s="1342"/>
      <c r="F2693" s="1342"/>
      <c r="G2693" s="1342"/>
      <c r="H2693" s="1342"/>
      <c r="I2693" s="1342"/>
      <c r="J2693" s="1342"/>
      <c r="K2693" s="1342"/>
    </row>
    <row r="2694" spans="2:11" ht="14" hidden="1">
      <c r="B2694" s="1342"/>
      <c r="C2694" s="1342"/>
      <c r="D2694" s="1342"/>
      <c r="E2694" s="1342"/>
      <c r="F2694" s="1342"/>
      <c r="G2694" s="1342"/>
      <c r="H2694" s="1342"/>
      <c r="I2694" s="1342"/>
      <c r="J2694" s="1342"/>
      <c r="K2694" s="1342"/>
    </row>
    <row r="2695" spans="2:11" ht="14" hidden="1">
      <c r="B2695" s="1342"/>
      <c r="C2695" s="1342"/>
      <c r="D2695" s="1342"/>
      <c r="E2695" s="1342"/>
      <c r="F2695" s="1342"/>
      <c r="G2695" s="1342"/>
      <c r="H2695" s="1342"/>
      <c r="I2695" s="1342"/>
      <c r="J2695" s="1342"/>
      <c r="K2695" s="1342"/>
    </row>
    <row r="2696" spans="2:11" ht="14" hidden="1">
      <c r="B2696" s="1342"/>
      <c r="C2696" s="1342"/>
      <c r="D2696" s="1342"/>
      <c r="E2696" s="1342"/>
      <c r="F2696" s="1342"/>
      <c r="G2696" s="1342"/>
      <c r="H2696" s="1342"/>
      <c r="I2696" s="1342"/>
      <c r="J2696" s="1342"/>
      <c r="K2696" s="1342"/>
    </row>
    <row r="2697" spans="2:11" ht="14" hidden="1">
      <c r="B2697" s="1342"/>
      <c r="C2697" s="1342"/>
      <c r="D2697" s="1342"/>
      <c r="E2697" s="1342"/>
      <c r="F2697" s="1342"/>
      <c r="G2697" s="1342"/>
      <c r="H2697" s="1342"/>
      <c r="I2697" s="1342"/>
      <c r="J2697" s="1342"/>
      <c r="K2697" s="1342"/>
    </row>
    <row r="2698" spans="2:11" ht="14" hidden="1">
      <c r="B2698" s="1342"/>
      <c r="C2698" s="1342"/>
      <c r="D2698" s="1342"/>
      <c r="E2698" s="1342"/>
      <c r="F2698" s="1342"/>
      <c r="G2698" s="1342"/>
      <c r="H2698" s="1342"/>
      <c r="I2698" s="1342"/>
      <c r="J2698" s="1342"/>
      <c r="K2698" s="1342"/>
    </row>
    <row r="2699" spans="2:11" ht="14" hidden="1">
      <c r="B2699" s="1342"/>
      <c r="C2699" s="1342"/>
      <c r="D2699" s="1342"/>
      <c r="E2699" s="1342"/>
      <c r="F2699" s="1342"/>
      <c r="G2699" s="1342"/>
      <c r="H2699" s="1342"/>
      <c r="I2699" s="1342"/>
      <c r="J2699" s="1342"/>
      <c r="K2699" s="1342"/>
    </row>
    <row r="2700" spans="2:11" ht="14" hidden="1">
      <c r="B2700" s="1342"/>
      <c r="C2700" s="1342"/>
      <c r="D2700" s="1342"/>
      <c r="E2700" s="1342"/>
      <c r="F2700" s="1342"/>
      <c r="G2700" s="1342"/>
      <c r="H2700" s="1342"/>
      <c r="I2700" s="1342"/>
      <c r="J2700" s="1342"/>
      <c r="K2700" s="1342"/>
    </row>
    <row r="2701" spans="2:11" ht="14" hidden="1">
      <c r="B2701" s="1342"/>
      <c r="C2701" s="1342"/>
      <c r="D2701" s="1342"/>
      <c r="E2701" s="1342"/>
      <c r="F2701" s="1342"/>
      <c r="G2701" s="1342"/>
      <c r="H2701" s="1342"/>
      <c r="I2701" s="1342"/>
      <c r="J2701" s="1342"/>
      <c r="K2701" s="1342"/>
    </row>
    <row r="2702" spans="2:11" ht="14" hidden="1">
      <c r="B2702" s="1342"/>
      <c r="C2702" s="1342"/>
      <c r="D2702" s="1342"/>
      <c r="E2702" s="1342"/>
      <c r="F2702" s="1342"/>
      <c r="G2702" s="1342"/>
      <c r="H2702" s="1342"/>
      <c r="I2702" s="1342"/>
      <c r="J2702" s="1342"/>
      <c r="K2702" s="1342"/>
    </row>
    <row r="2703" spans="2:11" ht="14" hidden="1">
      <c r="B2703" s="1342"/>
      <c r="C2703" s="1342"/>
      <c r="D2703" s="1342"/>
      <c r="E2703" s="1342"/>
      <c r="F2703" s="1342"/>
      <c r="G2703" s="1342"/>
      <c r="H2703" s="1342"/>
      <c r="I2703" s="1342"/>
      <c r="J2703" s="1342"/>
      <c r="K2703" s="1342"/>
    </row>
    <row r="2704" spans="2:11" ht="14" hidden="1">
      <c r="B2704" s="1342"/>
      <c r="C2704" s="1342"/>
      <c r="D2704" s="1342"/>
      <c r="E2704" s="1342"/>
      <c r="F2704" s="1342"/>
      <c r="G2704" s="1342"/>
      <c r="H2704" s="1342"/>
      <c r="I2704" s="1342"/>
      <c r="J2704" s="1342"/>
      <c r="K2704" s="1342"/>
    </row>
    <row r="2705" spans="2:11" ht="14" hidden="1">
      <c r="B2705" s="1342"/>
      <c r="C2705" s="1342"/>
      <c r="D2705" s="1342"/>
      <c r="E2705" s="1342"/>
      <c r="F2705" s="1342"/>
      <c r="G2705" s="1342"/>
      <c r="H2705" s="1342"/>
      <c r="I2705" s="1342"/>
      <c r="J2705" s="1342"/>
      <c r="K2705" s="1342"/>
    </row>
    <row r="2706" spans="2:11" ht="14" hidden="1">
      <c r="B2706" s="1342"/>
      <c r="C2706" s="1342"/>
      <c r="D2706" s="1342"/>
      <c r="E2706" s="1342"/>
      <c r="F2706" s="1342"/>
      <c r="G2706" s="1342"/>
      <c r="H2706" s="1342"/>
      <c r="I2706" s="1342"/>
      <c r="J2706" s="1342"/>
      <c r="K2706" s="1342"/>
    </row>
    <row r="2707" spans="2:11" ht="14" hidden="1">
      <c r="B2707" s="1342"/>
      <c r="C2707" s="1342"/>
      <c r="D2707" s="1342"/>
      <c r="E2707" s="1342"/>
      <c r="F2707" s="1342"/>
      <c r="G2707" s="1342"/>
      <c r="H2707" s="1342"/>
      <c r="I2707" s="1342"/>
      <c r="J2707" s="1342"/>
      <c r="K2707" s="1342"/>
    </row>
    <row r="2708" spans="2:11" ht="14" hidden="1">
      <c r="B2708" s="1342"/>
      <c r="C2708" s="1342"/>
      <c r="D2708" s="1342"/>
      <c r="E2708" s="1342"/>
      <c r="F2708" s="1342"/>
      <c r="G2708" s="1342"/>
      <c r="H2708" s="1342"/>
      <c r="I2708" s="1342"/>
      <c r="J2708" s="1342"/>
      <c r="K2708" s="1342"/>
    </row>
    <row r="2709" spans="2:11" ht="14" hidden="1">
      <c r="B2709" s="1342"/>
      <c r="C2709" s="1342"/>
      <c r="D2709" s="1342"/>
      <c r="E2709" s="1342"/>
      <c r="F2709" s="1342"/>
      <c r="G2709" s="1342"/>
      <c r="H2709" s="1342"/>
      <c r="I2709" s="1342"/>
      <c r="J2709" s="1342"/>
      <c r="K2709" s="1342"/>
    </row>
    <row r="2710" spans="2:11" ht="14" hidden="1">
      <c r="B2710" s="1342"/>
      <c r="C2710" s="1342"/>
      <c r="D2710" s="1342"/>
      <c r="E2710" s="1342"/>
      <c r="F2710" s="1342"/>
      <c r="G2710" s="1342"/>
      <c r="H2710" s="1342"/>
      <c r="I2710" s="1342"/>
      <c r="J2710" s="1342"/>
      <c r="K2710" s="1342"/>
    </row>
    <row r="2711" spans="2:11" ht="14" hidden="1">
      <c r="B2711" s="1342"/>
      <c r="C2711" s="1342"/>
      <c r="D2711" s="1342"/>
      <c r="E2711" s="1342"/>
      <c r="F2711" s="1342"/>
      <c r="G2711" s="1342"/>
      <c r="H2711" s="1342"/>
      <c r="I2711" s="1342"/>
      <c r="J2711" s="1342"/>
      <c r="K2711" s="1342"/>
    </row>
    <row r="2712" spans="2:11" ht="14" hidden="1">
      <c r="B2712" s="1342"/>
      <c r="C2712" s="1342"/>
      <c r="D2712" s="1342"/>
      <c r="E2712" s="1342"/>
      <c r="F2712" s="1342"/>
      <c r="G2712" s="1342"/>
      <c r="H2712" s="1342"/>
      <c r="I2712" s="1342"/>
      <c r="J2712" s="1342"/>
      <c r="K2712" s="1342"/>
    </row>
    <row r="2713" spans="2:11" ht="14" hidden="1">
      <c r="B2713" s="1342"/>
      <c r="C2713" s="1342"/>
      <c r="D2713" s="1342"/>
      <c r="E2713" s="1342"/>
      <c r="F2713" s="1342"/>
      <c r="G2713" s="1342"/>
      <c r="H2713" s="1342"/>
      <c r="I2713" s="1342"/>
      <c r="J2713" s="1342"/>
      <c r="K2713" s="1342"/>
    </row>
    <row r="2714" spans="2:11" ht="14" hidden="1">
      <c r="B2714" s="1342"/>
      <c r="C2714" s="1342"/>
      <c r="D2714" s="1342"/>
      <c r="E2714" s="1342"/>
      <c r="F2714" s="1342"/>
      <c r="G2714" s="1342"/>
      <c r="H2714" s="1342"/>
      <c r="I2714" s="1342"/>
      <c r="J2714" s="1342"/>
      <c r="K2714" s="1342"/>
    </row>
    <row r="2715" spans="2:11" ht="14" hidden="1">
      <c r="B2715" s="1342"/>
      <c r="C2715" s="1342"/>
      <c r="D2715" s="1342"/>
      <c r="E2715" s="1342"/>
      <c r="F2715" s="1342"/>
      <c r="G2715" s="1342"/>
      <c r="H2715" s="1342"/>
      <c r="I2715" s="1342"/>
      <c r="J2715" s="1342"/>
      <c r="K2715" s="1342"/>
    </row>
    <row r="2716" spans="2:11" ht="14" hidden="1">
      <c r="B2716" s="1342"/>
      <c r="C2716" s="1342"/>
      <c r="D2716" s="1342"/>
      <c r="E2716" s="1342"/>
      <c r="F2716" s="1342"/>
      <c r="G2716" s="1342"/>
      <c r="H2716" s="1342"/>
      <c r="I2716" s="1342"/>
      <c r="J2716" s="1342"/>
      <c r="K2716" s="1342"/>
    </row>
    <row r="2717" spans="2:11" ht="14" hidden="1">
      <c r="B2717" s="1342"/>
      <c r="C2717" s="1342"/>
      <c r="D2717" s="1342"/>
      <c r="E2717" s="1342"/>
      <c r="F2717" s="1342"/>
      <c r="G2717" s="1342"/>
      <c r="H2717" s="1342"/>
      <c r="I2717" s="1342"/>
      <c r="J2717" s="1342"/>
      <c r="K2717" s="1342"/>
    </row>
    <row r="2718" spans="2:11" ht="14" hidden="1">
      <c r="B2718" s="1342"/>
      <c r="C2718" s="1342"/>
      <c r="D2718" s="1342"/>
      <c r="E2718" s="1342"/>
      <c r="F2718" s="1342"/>
      <c r="G2718" s="1342"/>
      <c r="H2718" s="1342"/>
      <c r="I2718" s="1342"/>
      <c r="J2718" s="1342"/>
      <c r="K2718" s="1342"/>
    </row>
    <row r="2719" spans="2:11" ht="14" hidden="1">
      <c r="B2719" s="1342"/>
      <c r="C2719" s="1342"/>
      <c r="D2719" s="1342"/>
      <c r="E2719" s="1342"/>
      <c r="F2719" s="1342"/>
      <c r="G2719" s="1342"/>
      <c r="H2719" s="1342"/>
      <c r="I2719" s="1342"/>
      <c r="J2719" s="1342"/>
      <c r="K2719" s="1342"/>
    </row>
    <row r="2720" spans="2:11" ht="14" hidden="1">
      <c r="B2720" s="1342"/>
      <c r="C2720" s="1342"/>
      <c r="D2720" s="1342"/>
      <c r="E2720" s="1342"/>
      <c r="F2720" s="1342"/>
      <c r="G2720" s="1342"/>
      <c r="H2720" s="1342"/>
      <c r="I2720" s="1342"/>
      <c r="J2720" s="1342"/>
      <c r="K2720" s="1342"/>
    </row>
    <row r="2721" spans="2:11" ht="14" hidden="1">
      <c r="B2721" s="1342"/>
      <c r="C2721" s="1342"/>
      <c r="D2721" s="1342"/>
      <c r="E2721" s="1342"/>
      <c r="F2721" s="1342"/>
      <c r="G2721" s="1342"/>
      <c r="H2721" s="1342"/>
      <c r="I2721" s="1342"/>
      <c r="J2721" s="1342"/>
      <c r="K2721" s="1342"/>
    </row>
    <row r="2722" spans="2:11" ht="14" hidden="1">
      <c r="B2722" s="1342"/>
      <c r="C2722" s="1342"/>
      <c r="D2722" s="1342"/>
      <c r="E2722" s="1342"/>
      <c r="F2722" s="1342"/>
      <c r="G2722" s="1342"/>
      <c r="H2722" s="1342"/>
      <c r="I2722" s="1342"/>
      <c r="J2722" s="1342"/>
      <c r="K2722" s="1342"/>
    </row>
    <row r="2723" spans="2:11" ht="14" hidden="1">
      <c r="B2723" s="1342"/>
      <c r="C2723" s="1342"/>
      <c r="D2723" s="1342"/>
      <c r="E2723" s="1342"/>
      <c r="F2723" s="1342"/>
      <c r="G2723" s="1342"/>
      <c r="H2723" s="1342"/>
      <c r="I2723" s="1342"/>
      <c r="J2723" s="1342"/>
      <c r="K2723" s="1342"/>
    </row>
    <row r="2724" spans="2:11" ht="14" hidden="1">
      <c r="B2724" s="1342"/>
      <c r="C2724" s="1342"/>
      <c r="D2724" s="1342"/>
      <c r="E2724" s="1342"/>
      <c r="F2724" s="1342"/>
      <c r="G2724" s="1342"/>
      <c r="H2724" s="1342"/>
      <c r="I2724" s="1342"/>
      <c r="J2724" s="1342"/>
      <c r="K2724" s="1342"/>
    </row>
    <row r="2725" spans="2:11" ht="14" hidden="1">
      <c r="B2725" s="1342"/>
      <c r="C2725" s="1342"/>
      <c r="D2725" s="1342"/>
      <c r="E2725" s="1342"/>
      <c r="F2725" s="1342"/>
      <c r="G2725" s="1342"/>
      <c r="H2725" s="1342"/>
      <c r="I2725" s="1342"/>
      <c r="J2725" s="1342"/>
      <c r="K2725" s="1342"/>
    </row>
    <row r="2726" spans="2:11" ht="14" hidden="1">
      <c r="B2726" s="1342"/>
      <c r="C2726" s="1342"/>
      <c r="D2726" s="1342"/>
      <c r="E2726" s="1342"/>
      <c r="F2726" s="1342"/>
      <c r="G2726" s="1342"/>
      <c r="H2726" s="1342"/>
      <c r="I2726" s="1342"/>
      <c r="J2726" s="1342"/>
      <c r="K2726" s="1342"/>
    </row>
    <row r="2727" spans="2:11" ht="14" hidden="1">
      <c r="B2727" s="1342"/>
      <c r="C2727" s="1342"/>
      <c r="D2727" s="1342"/>
      <c r="E2727" s="1342"/>
      <c r="F2727" s="1342"/>
      <c r="G2727" s="1342"/>
      <c r="H2727" s="1342"/>
      <c r="I2727" s="1342"/>
      <c r="J2727" s="1342"/>
      <c r="K2727" s="1342"/>
    </row>
    <row r="2728" spans="2:11" ht="14" hidden="1">
      <c r="B2728" s="1342"/>
      <c r="C2728" s="1342"/>
      <c r="D2728" s="1342"/>
      <c r="E2728" s="1342"/>
      <c r="F2728" s="1342"/>
      <c r="G2728" s="1342"/>
      <c r="H2728" s="1342"/>
      <c r="I2728" s="1342"/>
      <c r="J2728" s="1342"/>
      <c r="K2728" s="1342"/>
    </row>
    <row r="2729" spans="2:11" ht="14" hidden="1">
      <c r="B2729" s="1342"/>
      <c r="C2729" s="1342"/>
      <c r="D2729" s="1342"/>
      <c r="E2729" s="1342"/>
      <c r="F2729" s="1342"/>
      <c r="G2729" s="1342"/>
      <c r="H2729" s="1342"/>
      <c r="I2729" s="1342"/>
      <c r="J2729" s="1342"/>
      <c r="K2729" s="1342"/>
    </row>
    <row r="2730" spans="2:11" ht="14" hidden="1">
      <c r="B2730" s="1342"/>
      <c r="C2730" s="1342"/>
      <c r="D2730" s="1342"/>
      <c r="E2730" s="1342"/>
      <c r="F2730" s="1342"/>
      <c r="G2730" s="1342"/>
      <c r="H2730" s="1342"/>
      <c r="I2730" s="1342"/>
      <c r="J2730" s="1342"/>
      <c r="K2730" s="1342"/>
    </row>
    <row r="2731" spans="2:11" ht="14" hidden="1">
      <c r="B2731" s="1342"/>
      <c r="C2731" s="1342"/>
      <c r="D2731" s="1342"/>
      <c r="E2731" s="1342"/>
      <c r="F2731" s="1342"/>
      <c r="G2731" s="1342"/>
      <c r="H2731" s="1342"/>
      <c r="I2731" s="1342"/>
      <c r="J2731" s="1342"/>
      <c r="K2731" s="1342"/>
    </row>
    <row r="2732" spans="2:11" ht="14" hidden="1">
      <c r="B2732" s="1342"/>
      <c r="C2732" s="1342"/>
      <c r="D2732" s="1342"/>
      <c r="E2732" s="1342"/>
      <c r="F2732" s="1342"/>
      <c r="G2732" s="1342"/>
      <c r="H2732" s="1342"/>
      <c r="I2732" s="1342"/>
      <c r="J2732" s="1342"/>
      <c r="K2732" s="1342"/>
    </row>
    <row r="2733" spans="2:11" ht="14" hidden="1">
      <c r="B2733" s="1342"/>
      <c r="C2733" s="1342"/>
      <c r="D2733" s="1342"/>
      <c r="E2733" s="1342"/>
      <c r="F2733" s="1342"/>
      <c r="G2733" s="1342"/>
      <c r="H2733" s="1342"/>
      <c r="I2733" s="1342"/>
      <c r="J2733" s="1342"/>
      <c r="K2733" s="1342"/>
    </row>
    <row r="2734" spans="2:11" ht="14" hidden="1">
      <c r="B2734" s="1342"/>
      <c r="C2734" s="1342"/>
      <c r="D2734" s="1342"/>
      <c r="E2734" s="1342"/>
      <c r="F2734" s="1342"/>
      <c r="G2734" s="1342"/>
      <c r="H2734" s="1342"/>
      <c r="I2734" s="1342"/>
      <c r="J2734" s="1342"/>
      <c r="K2734" s="1342"/>
    </row>
    <row r="2735" spans="2:11" ht="14" hidden="1">
      <c r="B2735" s="1342"/>
      <c r="C2735" s="1342"/>
      <c r="D2735" s="1342"/>
      <c r="E2735" s="1342"/>
      <c r="F2735" s="1342"/>
      <c r="G2735" s="1342"/>
      <c r="H2735" s="1342"/>
      <c r="I2735" s="1342"/>
      <c r="J2735" s="1342"/>
      <c r="K2735" s="1342"/>
    </row>
    <row r="2736" spans="2:11" ht="14" hidden="1">
      <c r="B2736" s="1342"/>
      <c r="C2736" s="1342"/>
      <c r="D2736" s="1342"/>
      <c r="E2736" s="1342"/>
      <c r="F2736" s="1342"/>
      <c r="G2736" s="1342"/>
      <c r="H2736" s="1342"/>
      <c r="I2736" s="1342"/>
      <c r="J2736" s="1342"/>
      <c r="K2736" s="1342"/>
    </row>
    <row r="2737" spans="2:11" ht="14" hidden="1">
      <c r="B2737" s="1342"/>
      <c r="C2737" s="1342"/>
      <c r="D2737" s="1342"/>
      <c r="E2737" s="1342"/>
      <c r="F2737" s="1342"/>
      <c r="G2737" s="1342"/>
      <c r="H2737" s="1342"/>
      <c r="I2737" s="1342"/>
      <c r="J2737" s="1342"/>
      <c r="K2737" s="1342"/>
    </row>
    <row r="2738" spans="2:11" ht="14" hidden="1">
      <c r="B2738" s="1342"/>
      <c r="C2738" s="1342"/>
      <c r="D2738" s="1342"/>
      <c r="E2738" s="1342"/>
      <c r="F2738" s="1342"/>
      <c r="G2738" s="1342"/>
      <c r="H2738" s="1342"/>
      <c r="I2738" s="1342"/>
      <c r="J2738" s="1342"/>
      <c r="K2738" s="1342"/>
    </row>
    <row r="2739" spans="2:11" ht="14" hidden="1">
      <c r="B2739" s="1342"/>
      <c r="C2739" s="1342"/>
      <c r="D2739" s="1342"/>
      <c r="E2739" s="1342"/>
      <c r="F2739" s="1342"/>
      <c r="G2739" s="1342"/>
      <c r="H2739" s="1342"/>
      <c r="I2739" s="1342"/>
      <c r="J2739" s="1342"/>
      <c r="K2739" s="1342"/>
    </row>
    <row r="2740" spans="2:11" ht="14" hidden="1">
      <c r="B2740" s="1342"/>
      <c r="C2740" s="1342"/>
      <c r="D2740" s="1342"/>
      <c r="E2740" s="1342"/>
      <c r="F2740" s="1342"/>
      <c r="G2740" s="1342"/>
      <c r="H2740" s="1342"/>
      <c r="I2740" s="1342"/>
      <c r="J2740" s="1342"/>
      <c r="K2740" s="1342"/>
    </row>
    <row r="2741" spans="2:11" ht="14" hidden="1">
      <c r="B2741" s="1342"/>
      <c r="C2741" s="1342"/>
      <c r="D2741" s="1342"/>
      <c r="E2741" s="1342"/>
      <c r="F2741" s="1342"/>
      <c r="G2741" s="1342"/>
      <c r="H2741" s="1342"/>
      <c r="I2741" s="1342"/>
      <c r="J2741" s="1342"/>
      <c r="K2741" s="1342"/>
    </row>
    <row r="2742" spans="2:11" ht="14" hidden="1">
      <c r="B2742" s="1342"/>
      <c r="C2742" s="1342"/>
      <c r="D2742" s="1342"/>
      <c r="E2742" s="1342"/>
      <c r="F2742" s="1342"/>
      <c r="G2742" s="1342"/>
      <c r="H2742" s="1342"/>
      <c r="I2742" s="1342"/>
      <c r="J2742" s="1342"/>
      <c r="K2742" s="1342"/>
    </row>
    <row r="2743" spans="2:11" ht="14" hidden="1">
      <c r="B2743" s="1342"/>
      <c r="C2743" s="1342"/>
      <c r="D2743" s="1342"/>
      <c r="E2743" s="1342"/>
      <c r="F2743" s="1342"/>
      <c r="G2743" s="1342"/>
      <c r="H2743" s="1342"/>
      <c r="I2743" s="1342"/>
      <c r="J2743" s="1342"/>
      <c r="K2743" s="1342"/>
    </row>
    <row r="2744" spans="2:11" ht="14" hidden="1">
      <c r="B2744" s="1342"/>
      <c r="C2744" s="1342"/>
      <c r="D2744" s="1342"/>
      <c r="E2744" s="1342"/>
      <c r="F2744" s="1342"/>
      <c r="G2744" s="1342"/>
      <c r="H2744" s="1342"/>
      <c r="I2744" s="1342"/>
      <c r="J2744" s="1342"/>
      <c r="K2744" s="1342"/>
    </row>
    <row r="2745" spans="2:11" ht="14" hidden="1">
      <c r="B2745" s="1342"/>
      <c r="C2745" s="1342"/>
      <c r="D2745" s="1342"/>
      <c r="E2745" s="1342"/>
      <c r="F2745" s="1342"/>
      <c r="G2745" s="1342"/>
      <c r="H2745" s="1342"/>
      <c r="I2745" s="1342"/>
      <c r="J2745" s="1342"/>
      <c r="K2745" s="1342"/>
    </row>
    <row r="2746" spans="2:11" ht="14" hidden="1">
      <c r="B2746" s="1342"/>
      <c r="C2746" s="1342"/>
      <c r="D2746" s="1342"/>
      <c r="E2746" s="1342"/>
      <c r="F2746" s="1342"/>
      <c r="G2746" s="1342"/>
      <c r="H2746" s="1342"/>
      <c r="I2746" s="1342"/>
      <c r="J2746" s="1342"/>
      <c r="K2746" s="1342"/>
    </row>
    <row r="2747" spans="2:11" ht="14" hidden="1">
      <c r="B2747" s="1342"/>
      <c r="C2747" s="1342"/>
      <c r="D2747" s="1342"/>
      <c r="E2747" s="1342"/>
      <c r="F2747" s="1342"/>
      <c r="G2747" s="1342"/>
      <c r="H2747" s="1342"/>
      <c r="I2747" s="1342"/>
      <c r="J2747" s="1342"/>
      <c r="K2747" s="1342"/>
    </row>
    <row r="2748" spans="2:11" ht="14" hidden="1">
      <c r="B2748" s="1342"/>
      <c r="C2748" s="1342"/>
      <c r="D2748" s="1342"/>
      <c r="E2748" s="1342"/>
      <c r="F2748" s="1342"/>
      <c r="G2748" s="1342"/>
      <c r="H2748" s="1342"/>
      <c r="I2748" s="1342"/>
      <c r="J2748" s="1342"/>
      <c r="K2748" s="1342"/>
    </row>
    <row r="2749" spans="2:11" ht="14" hidden="1">
      <c r="B2749" s="1342"/>
      <c r="C2749" s="1342"/>
      <c r="D2749" s="1342"/>
      <c r="E2749" s="1342"/>
      <c r="F2749" s="1342"/>
      <c r="G2749" s="1342"/>
      <c r="H2749" s="1342"/>
      <c r="I2749" s="1342"/>
      <c r="J2749" s="1342"/>
      <c r="K2749" s="1342"/>
    </row>
    <row r="2750" spans="2:11" ht="14" hidden="1">
      <c r="B2750" s="1342"/>
      <c r="C2750" s="1342"/>
      <c r="D2750" s="1342"/>
      <c r="E2750" s="1342"/>
      <c r="F2750" s="1342"/>
      <c r="G2750" s="1342"/>
      <c r="H2750" s="1342"/>
      <c r="I2750" s="1342"/>
      <c r="J2750" s="1342"/>
      <c r="K2750" s="1342"/>
    </row>
    <row r="2751" spans="2:11" ht="14" hidden="1">
      <c r="B2751" s="1342"/>
      <c r="C2751" s="1342"/>
      <c r="D2751" s="1342"/>
      <c r="E2751" s="1342"/>
      <c r="F2751" s="1342"/>
      <c r="G2751" s="1342"/>
      <c r="H2751" s="1342"/>
      <c r="I2751" s="1342"/>
      <c r="J2751" s="1342"/>
      <c r="K2751" s="1342"/>
    </row>
    <row r="2752" spans="2:11" ht="14" hidden="1">
      <c r="B2752" s="1342"/>
      <c r="C2752" s="1342"/>
      <c r="D2752" s="1342"/>
      <c r="E2752" s="1342"/>
      <c r="F2752" s="1342"/>
      <c r="G2752" s="1342"/>
      <c r="H2752" s="1342"/>
      <c r="I2752" s="1342"/>
      <c r="J2752" s="1342"/>
      <c r="K2752" s="1342"/>
    </row>
    <row r="2753" spans="2:11" ht="14" hidden="1">
      <c r="B2753" s="1342"/>
      <c r="C2753" s="1342"/>
      <c r="D2753" s="1342"/>
      <c r="E2753" s="1342"/>
      <c r="F2753" s="1342"/>
      <c r="G2753" s="1342"/>
      <c r="H2753" s="1342"/>
      <c r="I2753" s="1342"/>
      <c r="J2753" s="1342"/>
      <c r="K2753" s="1342"/>
    </row>
    <row r="2754" spans="2:11" ht="14" hidden="1">
      <c r="B2754" s="1342"/>
      <c r="C2754" s="1342"/>
      <c r="D2754" s="1342"/>
      <c r="E2754" s="1342"/>
      <c r="F2754" s="1342"/>
      <c r="G2754" s="1342"/>
      <c r="H2754" s="1342"/>
      <c r="I2754" s="1342"/>
      <c r="J2754" s="1342"/>
      <c r="K2754" s="1342"/>
    </row>
    <row r="2755" spans="2:11" ht="14" hidden="1">
      <c r="B2755" s="1342"/>
      <c r="C2755" s="1342"/>
      <c r="D2755" s="1342"/>
      <c r="E2755" s="1342"/>
      <c r="F2755" s="1342"/>
      <c r="G2755" s="1342"/>
      <c r="H2755" s="1342"/>
      <c r="I2755" s="1342"/>
      <c r="J2755" s="1342"/>
      <c r="K2755" s="1342"/>
    </row>
    <row r="2756" spans="2:11" ht="14" hidden="1">
      <c r="B2756" s="1342"/>
      <c r="C2756" s="1342"/>
      <c r="D2756" s="1342"/>
      <c r="E2756" s="1342"/>
      <c r="F2756" s="1342"/>
      <c r="G2756" s="1342"/>
      <c r="H2756" s="1342"/>
      <c r="I2756" s="1342"/>
      <c r="J2756" s="1342"/>
      <c r="K2756" s="1342"/>
    </row>
    <row r="2757" spans="2:11" ht="14" hidden="1">
      <c r="B2757" s="1342"/>
      <c r="C2757" s="1342"/>
      <c r="D2757" s="1342"/>
      <c r="E2757" s="1342"/>
      <c r="F2757" s="1342"/>
      <c r="G2757" s="1342"/>
      <c r="H2757" s="1342"/>
      <c r="I2757" s="1342"/>
      <c r="J2757" s="1342"/>
      <c r="K2757" s="1342"/>
    </row>
    <row r="2758" spans="2:11" ht="14" hidden="1">
      <c r="B2758" s="1342"/>
      <c r="C2758" s="1342"/>
      <c r="D2758" s="1342"/>
      <c r="E2758" s="1342"/>
      <c r="F2758" s="1342"/>
      <c r="G2758" s="1342"/>
      <c r="H2758" s="1342"/>
      <c r="I2758" s="1342"/>
      <c r="J2758" s="1342"/>
      <c r="K2758" s="1342"/>
    </row>
    <row r="2759" spans="2:11" ht="14" hidden="1">
      <c r="B2759" s="1342"/>
      <c r="C2759" s="1342"/>
      <c r="D2759" s="1342"/>
      <c r="E2759" s="1342"/>
      <c r="F2759" s="1342"/>
      <c r="G2759" s="1342"/>
      <c r="H2759" s="1342"/>
      <c r="I2759" s="1342"/>
      <c r="J2759" s="1342"/>
      <c r="K2759" s="1342"/>
    </row>
    <row r="2760" spans="2:11" ht="14" hidden="1">
      <c r="B2760" s="1342"/>
      <c r="C2760" s="1342"/>
      <c r="D2760" s="1342"/>
      <c r="E2760" s="1342"/>
      <c r="F2760" s="1342"/>
      <c r="G2760" s="1342"/>
      <c r="H2760" s="1342"/>
      <c r="I2760" s="1342"/>
      <c r="J2760" s="1342"/>
      <c r="K2760" s="1342"/>
    </row>
    <row r="2761" spans="2:11" ht="14" hidden="1">
      <c r="B2761" s="1342"/>
      <c r="C2761" s="1342"/>
      <c r="D2761" s="1342"/>
      <c r="E2761" s="1342"/>
      <c r="F2761" s="1342"/>
      <c r="G2761" s="1342"/>
      <c r="H2761" s="1342"/>
      <c r="I2761" s="1342"/>
      <c r="J2761" s="1342"/>
      <c r="K2761" s="1342"/>
    </row>
    <row r="2762" spans="2:11" ht="14" hidden="1">
      <c r="B2762" s="1342"/>
      <c r="C2762" s="1342"/>
      <c r="D2762" s="1342"/>
      <c r="E2762" s="1342"/>
      <c r="F2762" s="1342"/>
      <c r="G2762" s="1342"/>
      <c r="H2762" s="1342"/>
      <c r="I2762" s="1342"/>
      <c r="J2762" s="1342"/>
      <c r="K2762" s="1342"/>
    </row>
    <row r="2763" spans="2:11" ht="14" hidden="1">
      <c r="B2763" s="1342"/>
      <c r="C2763" s="1342"/>
      <c r="D2763" s="1342"/>
      <c r="E2763" s="1342"/>
      <c r="F2763" s="1342"/>
      <c r="G2763" s="1342"/>
      <c r="H2763" s="1342"/>
      <c r="I2763" s="1342"/>
      <c r="J2763" s="1342"/>
      <c r="K2763" s="1342"/>
    </row>
    <row r="2764" spans="2:11" ht="14" hidden="1">
      <c r="B2764" s="1342"/>
      <c r="C2764" s="1342"/>
      <c r="D2764" s="1342"/>
      <c r="E2764" s="1342"/>
      <c r="F2764" s="1342"/>
      <c r="G2764" s="1342"/>
      <c r="H2764" s="1342"/>
      <c r="I2764" s="1342"/>
      <c r="J2764" s="1342"/>
      <c r="K2764" s="1342"/>
    </row>
    <row r="2765" spans="2:11" ht="14" hidden="1">
      <c r="B2765" s="1342"/>
      <c r="C2765" s="1342"/>
      <c r="D2765" s="1342"/>
      <c r="E2765" s="1342"/>
      <c r="F2765" s="1342"/>
      <c r="G2765" s="1342"/>
      <c r="H2765" s="1342"/>
      <c r="I2765" s="1342"/>
      <c r="J2765" s="1342"/>
      <c r="K2765" s="1342"/>
    </row>
    <row r="2766" spans="2:11" ht="14" hidden="1">
      <c r="B2766" s="1342"/>
      <c r="C2766" s="1342"/>
      <c r="D2766" s="1342"/>
      <c r="E2766" s="1342"/>
      <c r="F2766" s="1342"/>
      <c r="G2766" s="1342"/>
      <c r="H2766" s="1342"/>
      <c r="I2766" s="1342"/>
      <c r="J2766" s="1342"/>
      <c r="K2766" s="1342"/>
    </row>
    <row r="2767" spans="2:11" ht="14" hidden="1">
      <c r="B2767" s="1342"/>
      <c r="C2767" s="1342"/>
      <c r="D2767" s="1342"/>
      <c r="E2767" s="1342"/>
      <c r="F2767" s="1342"/>
      <c r="G2767" s="1342"/>
      <c r="H2767" s="1342"/>
      <c r="I2767" s="1342"/>
      <c r="J2767" s="1342"/>
      <c r="K2767" s="1342"/>
    </row>
    <row r="2768" spans="2:11" ht="14" hidden="1">
      <c r="B2768" s="1342"/>
      <c r="C2768" s="1342"/>
      <c r="D2768" s="1342"/>
      <c r="E2768" s="1342"/>
      <c r="F2768" s="1342"/>
      <c r="G2768" s="1342"/>
      <c r="H2768" s="1342"/>
      <c r="I2768" s="1342"/>
      <c r="J2768" s="1342"/>
      <c r="K2768" s="1342"/>
    </row>
    <row r="2769" spans="2:11" ht="14" hidden="1">
      <c r="B2769" s="1342"/>
      <c r="C2769" s="1342"/>
      <c r="D2769" s="1342"/>
      <c r="E2769" s="1342"/>
      <c r="F2769" s="1342"/>
      <c r="G2769" s="1342"/>
      <c r="H2769" s="1342"/>
      <c r="I2769" s="1342"/>
      <c r="J2769" s="1342"/>
      <c r="K2769" s="1342"/>
    </row>
    <row r="2770" spans="2:11" ht="14" hidden="1">
      <c r="B2770" s="1342"/>
      <c r="C2770" s="1342"/>
      <c r="D2770" s="1342"/>
      <c r="E2770" s="1342"/>
      <c r="F2770" s="1342"/>
      <c r="G2770" s="1342"/>
      <c r="H2770" s="1342"/>
      <c r="I2770" s="1342"/>
      <c r="J2770" s="1342"/>
      <c r="K2770" s="1342"/>
    </row>
    <row r="2771" spans="2:11" ht="14" hidden="1">
      <c r="B2771" s="1342"/>
      <c r="C2771" s="1342"/>
      <c r="D2771" s="1342"/>
      <c r="E2771" s="1342"/>
      <c r="F2771" s="1342"/>
      <c r="G2771" s="1342"/>
      <c r="H2771" s="1342"/>
      <c r="I2771" s="1342"/>
      <c r="J2771" s="1342"/>
      <c r="K2771" s="1342"/>
    </row>
    <row r="2772" spans="2:11" ht="14" hidden="1">
      <c r="B2772" s="1342"/>
      <c r="C2772" s="1342"/>
      <c r="D2772" s="1342"/>
      <c r="E2772" s="1342"/>
      <c r="F2772" s="1342"/>
      <c r="G2772" s="1342"/>
      <c r="H2772" s="1342"/>
      <c r="I2772" s="1342"/>
      <c r="J2772" s="1342"/>
      <c r="K2772" s="1342"/>
    </row>
    <row r="2773" spans="2:11" ht="14" hidden="1">
      <c r="B2773" s="1342"/>
      <c r="C2773" s="1342"/>
      <c r="D2773" s="1342"/>
      <c r="E2773" s="1342"/>
      <c r="F2773" s="1342"/>
      <c r="G2773" s="1342"/>
      <c r="H2773" s="1342"/>
      <c r="I2773" s="1342"/>
      <c r="J2773" s="1342"/>
      <c r="K2773" s="1342"/>
    </row>
    <row r="2774" spans="2:11" ht="14" hidden="1">
      <c r="B2774" s="1342"/>
      <c r="C2774" s="1342"/>
      <c r="D2774" s="1342"/>
      <c r="E2774" s="1342"/>
      <c r="F2774" s="1342"/>
      <c r="G2774" s="1342"/>
      <c r="H2774" s="1342"/>
      <c r="I2774" s="1342"/>
      <c r="J2774" s="1342"/>
      <c r="K2774" s="1342"/>
    </row>
    <row r="2775" spans="2:11" ht="14" hidden="1">
      <c r="B2775" s="1342"/>
      <c r="C2775" s="1342"/>
      <c r="D2775" s="1342"/>
      <c r="E2775" s="1342"/>
      <c r="F2775" s="1342"/>
      <c r="G2775" s="1342"/>
      <c r="H2775" s="1342"/>
      <c r="I2775" s="1342"/>
      <c r="J2775" s="1342"/>
      <c r="K2775" s="1342"/>
    </row>
    <row r="2776" spans="2:11" ht="14" hidden="1">
      <c r="B2776" s="1342"/>
      <c r="C2776" s="1342"/>
      <c r="D2776" s="1342"/>
      <c r="E2776" s="1342"/>
      <c r="F2776" s="1342"/>
      <c r="G2776" s="1342"/>
      <c r="H2776" s="1342"/>
      <c r="I2776" s="1342"/>
      <c r="J2776" s="1342"/>
      <c r="K2776" s="1342"/>
    </row>
    <row r="2777" spans="2:11" ht="14" hidden="1">
      <c r="B2777" s="1342"/>
      <c r="C2777" s="1342"/>
      <c r="D2777" s="1342"/>
      <c r="E2777" s="1342"/>
      <c r="F2777" s="1342"/>
      <c r="G2777" s="1342"/>
      <c r="H2777" s="1342"/>
      <c r="I2777" s="1342"/>
      <c r="J2777" s="1342"/>
      <c r="K2777" s="1342"/>
    </row>
    <row r="2778" spans="2:11" ht="14" hidden="1">
      <c r="B2778" s="1342"/>
      <c r="C2778" s="1342"/>
      <c r="D2778" s="1342"/>
      <c r="E2778" s="1342"/>
      <c r="F2778" s="1342"/>
      <c r="G2778" s="1342"/>
      <c r="H2778" s="1342"/>
      <c r="I2778" s="1342"/>
      <c r="J2778" s="1342"/>
      <c r="K2778" s="1342"/>
    </row>
    <row r="2779" spans="2:11" ht="14" hidden="1">
      <c r="B2779" s="1342"/>
      <c r="C2779" s="1342"/>
      <c r="D2779" s="1342"/>
      <c r="E2779" s="1342"/>
      <c r="F2779" s="1342"/>
      <c r="G2779" s="1342"/>
      <c r="H2779" s="1342"/>
      <c r="I2779" s="1342"/>
      <c r="J2779" s="1342"/>
      <c r="K2779" s="1342"/>
    </row>
    <row r="2780" spans="2:11" ht="14" hidden="1">
      <c r="B2780" s="1342"/>
      <c r="C2780" s="1342"/>
      <c r="D2780" s="1342"/>
      <c r="E2780" s="1342"/>
      <c r="F2780" s="1342"/>
      <c r="G2780" s="1342"/>
      <c r="H2780" s="1342"/>
      <c r="I2780" s="1342"/>
      <c r="J2780" s="1342"/>
      <c r="K2780" s="1342"/>
    </row>
    <row r="2781" spans="2:11" ht="14" hidden="1">
      <c r="B2781" s="1342"/>
      <c r="C2781" s="1342"/>
      <c r="D2781" s="1342"/>
      <c r="E2781" s="1342"/>
      <c r="F2781" s="1342"/>
      <c r="G2781" s="1342"/>
      <c r="H2781" s="1342"/>
      <c r="I2781" s="1342"/>
      <c r="J2781" s="1342"/>
      <c r="K2781" s="1342"/>
    </row>
    <row r="2782" spans="2:11" ht="14" hidden="1">
      <c r="B2782" s="1342"/>
      <c r="C2782" s="1342"/>
      <c r="D2782" s="1342"/>
      <c r="E2782" s="1342"/>
      <c r="F2782" s="1342"/>
      <c r="G2782" s="1342"/>
      <c r="H2782" s="1342"/>
      <c r="I2782" s="1342"/>
      <c r="J2782" s="1342"/>
      <c r="K2782" s="1342"/>
    </row>
    <row r="2783" spans="2:11" ht="14" hidden="1">
      <c r="B2783" s="1342"/>
      <c r="C2783" s="1342"/>
      <c r="D2783" s="1342"/>
      <c r="E2783" s="1342"/>
      <c r="F2783" s="1342"/>
      <c r="G2783" s="1342"/>
      <c r="H2783" s="1342"/>
      <c r="I2783" s="1342"/>
      <c r="J2783" s="1342"/>
      <c r="K2783" s="1342"/>
    </row>
    <row r="2784" spans="2:11" ht="14" hidden="1">
      <c r="B2784" s="1342"/>
      <c r="C2784" s="1342"/>
      <c r="D2784" s="1342"/>
      <c r="E2784" s="1342"/>
      <c r="F2784" s="1342"/>
      <c r="G2784" s="1342"/>
      <c r="H2784" s="1342"/>
      <c r="I2784" s="1342"/>
      <c r="J2784" s="1342"/>
      <c r="K2784" s="1342"/>
    </row>
    <row r="2785" spans="2:11" ht="14" hidden="1">
      <c r="B2785" s="1342"/>
      <c r="C2785" s="1342"/>
      <c r="D2785" s="1342"/>
      <c r="E2785" s="1342"/>
      <c r="F2785" s="1342"/>
      <c r="G2785" s="1342"/>
      <c r="H2785" s="1342"/>
      <c r="I2785" s="1342"/>
      <c r="J2785" s="1342"/>
      <c r="K2785" s="1342"/>
    </row>
    <row r="2786" spans="2:11" ht="14" hidden="1">
      <c r="B2786" s="1342"/>
      <c r="C2786" s="1342"/>
      <c r="D2786" s="1342"/>
      <c r="E2786" s="1342"/>
      <c r="F2786" s="1342"/>
      <c r="G2786" s="1342"/>
      <c r="H2786" s="1342"/>
      <c r="I2786" s="1342"/>
      <c r="J2786" s="1342"/>
      <c r="K2786" s="1342"/>
    </row>
    <row r="2787" spans="2:11" ht="14" hidden="1">
      <c r="B2787" s="1342"/>
      <c r="C2787" s="1342"/>
      <c r="D2787" s="1342"/>
      <c r="E2787" s="1342"/>
      <c r="F2787" s="1342"/>
      <c r="G2787" s="1342"/>
      <c r="H2787" s="1342"/>
      <c r="I2787" s="1342"/>
      <c r="J2787" s="1342"/>
      <c r="K2787" s="1342"/>
    </row>
    <row r="2788" spans="2:11" ht="14" hidden="1">
      <c r="B2788" s="1342"/>
      <c r="C2788" s="1342"/>
      <c r="D2788" s="1342"/>
      <c r="E2788" s="1342"/>
      <c r="F2788" s="1342"/>
      <c r="G2788" s="1342"/>
      <c r="H2788" s="1342"/>
      <c r="I2788" s="1342"/>
      <c r="J2788" s="1342"/>
      <c r="K2788" s="1342"/>
    </row>
    <row r="2789" spans="2:11" ht="14" hidden="1">
      <c r="B2789" s="1342"/>
      <c r="C2789" s="1342"/>
      <c r="D2789" s="1342"/>
      <c r="E2789" s="1342"/>
      <c r="F2789" s="1342"/>
      <c r="G2789" s="1342"/>
      <c r="H2789" s="1342"/>
      <c r="I2789" s="1342"/>
      <c r="J2789" s="1342"/>
      <c r="K2789" s="1342"/>
    </row>
    <row r="2790" spans="2:11" ht="14" hidden="1">
      <c r="B2790" s="1342"/>
      <c r="C2790" s="1342"/>
      <c r="D2790" s="1342"/>
      <c r="E2790" s="1342"/>
      <c r="F2790" s="1342"/>
      <c r="G2790" s="1342"/>
      <c r="H2790" s="1342"/>
      <c r="I2790" s="1342"/>
      <c r="J2790" s="1342"/>
      <c r="K2790" s="1342"/>
    </row>
    <row r="2791" spans="2:11" ht="14" hidden="1">
      <c r="B2791" s="1342"/>
      <c r="C2791" s="1342"/>
      <c r="D2791" s="1342"/>
      <c r="E2791" s="1342"/>
      <c r="F2791" s="1342"/>
      <c r="G2791" s="1342"/>
      <c r="H2791" s="1342"/>
      <c r="I2791" s="1342"/>
      <c r="J2791" s="1342"/>
      <c r="K2791" s="1342"/>
    </row>
    <row r="2792" spans="2:11" ht="14" hidden="1">
      <c r="B2792" s="1342"/>
      <c r="C2792" s="1342"/>
      <c r="D2792" s="1342"/>
      <c r="E2792" s="1342"/>
      <c r="F2792" s="1342"/>
      <c r="G2792" s="1342"/>
      <c r="H2792" s="1342"/>
      <c r="I2792" s="1342"/>
      <c r="J2792" s="1342"/>
      <c r="K2792" s="1342"/>
    </row>
    <row r="2793" spans="2:11" ht="14" hidden="1">
      <c r="B2793" s="1342"/>
      <c r="C2793" s="1342"/>
      <c r="D2793" s="1342"/>
      <c r="E2793" s="1342"/>
      <c r="F2793" s="1342"/>
      <c r="G2793" s="1342"/>
      <c r="H2793" s="1342"/>
      <c r="I2793" s="1342"/>
      <c r="J2793" s="1342"/>
      <c r="K2793" s="1342"/>
    </row>
    <row r="2794" spans="2:11" ht="14" hidden="1">
      <c r="B2794" s="1342"/>
      <c r="C2794" s="1342"/>
      <c r="D2794" s="1342"/>
      <c r="E2794" s="1342"/>
      <c r="F2794" s="1342"/>
      <c r="G2794" s="1342"/>
      <c r="H2794" s="1342"/>
      <c r="I2794" s="1342"/>
      <c r="J2794" s="1342"/>
      <c r="K2794" s="1342"/>
    </row>
    <row r="2795" spans="2:11" ht="14" hidden="1">
      <c r="B2795" s="1342"/>
      <c r="C2795" s="1342"/>
      <c r="D2795" s="1342"/>
      <c r="E2795" s="1342"/>
      <c r="F2795" s="1342"/>
      <c r="G2795" s="1342"/>
      <c r="H2795" s="1342"/>
      <c r="I2795" s="1342"/>
      <c r="J2795" s="1342"/>
      <c r="K2795" s="1342"/>
    </row>
    <row r="2796" spans="2:11" ht="14" hidden="1">
      <c r="B2796" s="1342"/>
      <c r="C2796" s="1342"/>
      <c r="D2796" s="1342"/>
      <c r="E2796" s="1342"/>
      <c r="F2796" s="1342"/>
      <c r="G2796" s="1342"/>
      <c r="H2796" s="1342"/>
      <c r="I2796" s="1342"/>
      <c r="J2796" s="1342"/>
      <c r="K2796" s="1342"/>
    </row>
    <row r="2797" spans="2:11" ht="14" hidden="1">
      <c r="B2797" s="1342"/>
      <c r="C2797" s="1342"/>
      <c r="D2797" s="1342"/>
      <c r="E2797" s="1342"/>
      <c r="F2797" s="1342"/>
      <c r="G2797" s="1342"/>
      <c r="H2797" s="1342"/>
      <c r="I2797" s="1342"/>
      <c r="J2797" s="1342"/>
      <c r="K2797" s="1342"/>
    </row>
    <row r="2798" spans="2:11" ht="14" hidden="1">
      <c r="B2798" s="1342"/>
      <c r="C2798" s="1342"/>
      <c r="D2798" s="1342"/>
      <c r="E2798" s="1342"/>
      <c r="F2798" s="1342"/>
      <c r="G2798" s="1342"/>
      <c r="H2798" s="1342"/>
      <c r="I2798" s="1342"/>
      <c r="J2798" s="1342"/>
      <c r="K2798" s="1342"/>
    </row>
    <row r="2799" spans="2:11" ht="14" hidden="1">
      <c r="B2799" s="1342"/>
      <c r="C2799" s="1342"/>
      <c r="D2799" s="1342"/>
      <c r="E2799" s="1342"/>
      <c r="F2799" s="1342"/>
      <c r="G2799" s="1342"/>
      <c r="H2799" s="1342"/>
      <c r="I2799" s="1342"/>
      <c r="J2799" s="1342"/>
      <c r="K2799" s="1342"/>
    </row>
    <row r="2800" spans="2:11" ht="14" hidden="1">
      <c r="B2800" s="1342"/>
      <c r="C2800" s="1342"/>
      <c r="D2800" s="1342"/>
      <c r="E2800" s="1342"/>
      <c r="F2800" s="1342"/>
      <c r="G2800" s="1342"/>
      <c r="H2800" s="1342"/>
      <c r="I2800" s="1342"/>
      <c r="J2800" s="1342"/>
      <c r="K2800" s="1342"/>
    </row>
    <row r="2801" spans="2:11" ht="14" hidden="1">
      <c r="B2801" s="1342"/>
      <c r="C2801" s="1342"/>
      <c r="D2801" s="1342"/>
      <c r="E2801" s="1342"/>
      <c r="F2801" s="1342"/>
      <c r="G2801" s="1342"/>
      <c r="H2801" s="1342"/>
      <c r="I2801" s="1342"/>
      <c r="J2801" s="1342"/>
      <c r="K2801" s="1342"/>
    </row>
    <row r="2802" spans="2:11" ht="14" hidden="1">
      <c r="B2802" s="1342"/>
      <c r="C2802" s="1342"/>
      <c r="D2802" s="1342"/>
      <c r="E2802" s="1342"/>
      <c r="F2802" s="1342"/>
      <c r="G2802" s="1342"/>
      <c r="H2802" s="1342"/>
      <c r="I2802" s="1342"/>
      <c r="J2802" s="1342"/>
      <c r="K2802" s="1342"/>
    </row>
    <row r="2803" spans="2:11" ht="14" hidden="1">
      <c r="B2803" s="1342"/>
      <c r="C2803" s="1342"/>
      <c r="D2803" s="1342"/>
      <c r="E2803" s="1342"/>
      <c r="F2803" s="1342"/>
      <c r="G2803" s="1342"/>
      <c r="H2803" s="1342"/>
      <c r="I2803" s="1342"/>
      <c r="J2803" s="1342"/>
      <c r="K2803" s="1342"/>
    </row>
    <row r="2804" spans="2:11" ht="14" hidden="1">
      <c r="B2804" s="1342"/>
      <c r="C2804" s="1342"/>
      <c r="D2804" s="1342"/>
      <c r="E2804" s="1342"/>
      <c r="F2804" s="1342"/>
      <c r="G2804" s="1342"/>
      <c r="H2804" s="1342"/>
      <c r="I2804" s="1342"/>
      <c r="J2804" s="1342"/>
      <c r="K2804" s="1342"/>
    </row>
    <row r="2805" spans="2:11" ht="14" hidden="1">
      <c r="B2805" s="1342"/>
      <c r="C2805" s="1342"/>
      <c r="D2805" s="1342"/>
      <c r="E2805" s="1342"/>
      <c r="F2805" s="1342"/>
      <c r="G2805" s="1342"/>
      <c r="H2805" s="1342"/>
      <c r="I2805" s="1342"/>
      <c r="J2805" s="1342"/>
      <c r="K2805" s="1342"/>
    </row>
    <row r="2806" spans="2:11" ht="14" hidden="1">
      <c r="B2806" s="1342"/>
      <c r="C2806" s="1342"/>
      <c r="D2806" s="1342"/>
      <c r="E2806" s="1342"/>
      <c r="F2806" s="1342"/>
      <c r="G2806" s="1342"/>
      <c r="H2806" s="1342"/>
      <c r="I2806" s="1342"/>
      <c r="J2806" s="1342"/>
      <c r="K2806" s="1342"/>
    </row>
    <row r="2807" spans="2:11" ht="14" hidden="1">
      <c r="B2807" s="1342"/>
      <c r="C2807" s="1342"/>
      <c r="D2807" s="1342"/>
      <c r="E2807" s="1342"/>
      <c r="F2807" s="1342"/>
      <c r="G2807" s="1342"/>
      <c r="H2807" s="1342"/>
      <c r="I2807" s="1342"/>
      <c r="J2807" s="1342"/>
      <c r="K2807" s="1342"/>
    </row>
    <row r="2808" spans="2:11" ht="14" hidden="1">
      <c r="B2808" s="1342"/>
      <c r="C2808" s="1342"/>
      <c r="D2808" s="1342"/>
      <c r="E2808" s="1342"/>
      <c r="F2808" s="1342"/>
      <c r="G2808" s="1342"/>
      <c r="H2808" s="1342"/>
      <c r="I2808" s="1342"/>
      <c r="J2808" s="1342"/>
      <c r="K2808" s="1342"/>
    </row>
    <row r="2809" spans="2:11" ht="14" hidden="1">
      <c r="B2809" s="1342"/>
      <c r="C2809" s="1342"/>
      <c r="D2809" s="1342"/>
      <c r="E2809" s="1342"/>
      <c r="F2809" s="1342"/>
      <c r="G2809" s="1342"/>
      <c r="H2809" s="1342"/>
      <c r="I2809" s="1342"/>
      <c r="J2809" s="1342"/>
      <c r="K2809" s="1342"/>
    </row>
    <row r="2810" spans="2:11" ht="14" hidden="1">
      <c r="B2810" s="1342"/>
      <c r="C2810" s="1342"/>
      <c r="D2810" s="1342"/>
      <c r="E2810" s="1342"/>
      <c r="F2810" s="1342"/>
      <c r="G2810" s="1342"/>
      <c r="H2810" s="1342"/>
      <c r="I2810" s="1342"/>
      <c r="J2810" s="1342"/>
      <c r="K2810" s="1342"/>
    </row>
    <row r="2811" spans="2:11" ht="14" hidden="1">
      <c r="B2811" s="1342"/>
      <c r="C2811" s="1342"/>
      <c r="D2811" s="1342"/>
      <c r="E2811" s="1342"/>
      <c r="F2811" s="1342"/>
      <c r="G2811" s="1342"/>
      <c r="H2811" s="1342"/>
      <c r="I2811" s="1342"/>
      <c r="J2811" s="1342"/>
      <c r="K2811" s="1342"/>
    </row>
    <row r="2812" spans="2:11" ht="14" hidden="1">
      <c r="B2812" s="1342"/>
      <c r="C2812" s="1342"/>
      <c r="D2812" s="1342"/>
      <c r="E2812" s="1342"/>
      <c r="F2812" s="1342"/>
      <c r="G2812" s="1342"/>
      <c r="H2812" s="1342"/>
      <c r="I2812" s="1342"/>
      <c r="J2812" s="1342"/>
      <c r="K2812" s="1342"/>
    </row>
    <row r="2813" spans="2:11" ht="14" hidden="1">
      <c r="B2813" s="1342"/>
      <c r="C2813" s="1342"/>
      <c r="D2813" s="1342"/>
      <c r="E2813" s="1342"/>
      <c r="F2813" s="1342"/>
      <c r="G2813" s="1342"/>
      <c r="H2813" s="1342"/>
      <c r="I2813" s="1342"/>
      <c r="J2813" s="1342"/>
      <c r="K2813" s="1342"/>
    </row>
    <row r="2814" spans="2:11" ht="14" hidden="1">
      <c r="B2814" s="1342"/>
      <c r="C2814" s="1342"/>
      <c r="D2814" s="1342"/>
      <c r="E2814" s="1342"/>
      <c r="F2814" s="1342"/>
      <c r="G2814" s="1342"/>
      <c r="H2814" s="1342"/>
      <c r="I2814" s="1342"/>
      <c r="J2814" s="1342"/>
      <c r="K2814" s="1342"/>
    </row>
    <row r="2815" spans="2:11" ht="14" hidden="1">
      <c r="B2815" s="1342"/>
      <c r="C2815" s="1342"/>
      <c r="D2815" s="1342"/>
      <c r="E2815" s="1342"/>
      <c r="F2815" s="1342"/>
      <c r="G2815" s="1342"/>
      <c r="H2815" s="1342"/>
      <c r="I2815" s="1342"/>
      <c r="J2815" s="1342"/>
      <c r="K2815" s="1342"/>
    </row>
    <row r="2816" spans="2:11" ht="14" hidden="1">
      <c r="B2816" s="1342"/>
      <c r="C2816" s="1342"/>
      <c r="D2816" s="1342"/>
      <c r="E2816" s="1342"/>
      <c r="F2816" s="1342"/>
      <c r="G2816" s="1342"/>
      <c r="H2816" s="1342"/>
      <c r="I2816" s="1342"/>
      <c r="J2816" s="1342"/>
      <c r="K2816" s="1342"/>
    </row>
    <row r="2817" spans="2:11" ht="14" hidden="1">
      <c r="B2817" s="1342"/>
      <c r="C2817" s="1342"/>
      <c r="D2817" s="1342"/>
      <c r="E2817" s="1342"/>
      <c r="F2817" s="1342"/>
      <c r="G2817" s="1342"/>
      <c r="H2817" s="1342"/>
      <c r="I2817" s="1342"/>
      <c r="J2817" s="1342"/>
      <c r="K2817" s="1342"/>
    </row>
    <row r="2818" spans="2:11" ht="14" hidden="1">
      <c r="B2818" s="1342"/>
      <c r="C2818" s="1342"/>
      <c r="D2818" s="1342"/>
      <c r="E2818" s="1342"/>
      <c r="F2818" s="1342"/>
      <c r="G2818" s="1342"/>
      <c r="H2818" s="1342"/>
      <c r="I2818" s="1342"/>
      <c r="J2818" s="1342"/>
      <c r="K2818" s="1342"/>
    </row>
    <row r="2819" spans="2:11" ht="14" hidden="1">
      <c r="B2819" s="1342"/>
      <c r="C2819" s="1342"/>
      <c r="D2819" s="1342"/>
      <c r="E2819" s="1342"/>
      <c r="F2819" s="1342"/>
      <c r="G2819" s="1342"/>
      <c r="H2819" s="1342"/>
      <c r="I2819" s="1342"/>
      <c r="J2819" s="1342"/>
      <c r="K2819" s="1342"/>
    </row>
    <row r="2820" spans="2:11" ht="14" hidden="1">
      <c r="B2820" s="1342"/>
      <c r="C2820" s="1342"/>
      <c r="D2820" s="1342"/>
      <c r="E2820" s="1342"/>
      <c r="F2820" s="1342"/>
      <c r="G2820" s="1342"/>
      <c r="H2820" s="1342"/>
      <c r="I2820" s="1342"/>
      <c r="J2820" s="1342"/>
      <c r="K2820" s="1342"/>
    </row>
    <row r="2821" spans="2:11" ht="14" hidden="1">
      <c r="B2821" s="1342"/>
      <c r="C2821" s="1342"/>
      <c r="D2821" s="1342"/>
      <c r="E2821" s="1342"/>
      <c r="F2821" s="1342"/>
      <c r="G2821" s="1342"/>
      <c r="H2821" s="1342"/>
      <c r="I2821" s="1342"/>
      <c r="J2821" s="1342"/>
      <c r="K2821" s="1342"/>
    </row>
    <row r="2822" spans="2:11" ht="14" hidden="1">
      <c r="B2822" s="1342"/>
      <c r="C2822" s="1342"/>
      <c r="D2822" s="1342"/>
      <c r="E2822" s="1342"/>
      <c r="F2822" s="1342"/>
      <c r="G2822" s="1342"/>
      <c r="H2822" s="1342"/>
      <c r="I2822" s="1342"/>
      <c r="J2822" s="1342"/>
      <c r="K2822" s="1342"/>
    </row>
    <row r="2823" spans="2:11" ht="14" hidden="1">
      <c r="B2823" s="1342"/>
      <c r="C2823" s="1342"/>
      <c r="D2823" s="1342"/>
      <c r="E2823" s="1342"/>
      <c r="F2823" s="1342"/>
      <c r="G2823" s="1342"/>
      <c r="H2823" s="1342"/>
      <c r="I2823" s="1342"/>
      <c r="J2823" s="1342"/>
      <c r="K2823" s="1342"/>
    </row>
    <row r="2824" spans="2:11" ht="14" hidden="1">
      <c r="B2824" s="1342"/>
      <c r="C2824" s="1342"/>
      <c r="D2824" s="1342"/>
      <c r="E2824" s="1342"/>
      <c r="F2824" s="1342"/>
      <c r="G2824" s="1342"/>
      <c r="H2824" s="1342"/>
      <c r="I2824" s="1342"/>
      <c r="J2824" s="1342"/>
      <c r="K2824" s="1342"/>
    </row>
    <row r="2825" spans="2:11" ht="14" hidden="1">
      <c r="B2825" s="1342"/>
      <c r="C2825" s="1342"/>
      <c r="D2825" s="1342"/>
      <c r="E2825" s="1342"/>
      <c r="F2825" s="1342"/>
      <c r="G2825" s="1342"/>
      <c r="H2825" s="1342"/>
      <c r="I2825" s="1342"/>
      <c r="J2825" s="1342"/>
      <c r="K2825" s="1342"/>
    </row>
    <row r="2826" spans="2:11" ht="14" hidden="1">
      <c r="B2826" s="1342"/>
      <c r="C2826" s="1342"/>
      <c r="D2826" s="1342"/>
      <c r="E2826" s="1342"/>
      <c r="F2826" s="1342"/>
      <c r="G2826" s="1342"/>
      <c r="H2826" s="1342"/>
      <c r="I2826" s="1342"/>
      <c r="J2826" s="1342"/>
      <c r="K2826" s="1342"/>
    </row>
    <row r="2827" spans="2:11" ht="14" hidden="1">
      <c r="B2827" s="1342"/>
      <c r="C2827" s="1342"/>
      <c r="D2827" s="1342"/>
      <c r="E2827" s="1342"/>
      <c r="F2827" s="1342"/>
      <c r="G2827" s="1342"/>
      <c r="H2827" s="1342"/>
      <c r="I2827" s="1342"/>
      <c r="J2827" s="1342"/>
      <c r="K2827" s="1342"/>
    </row>
    <row r="2828" spans="2:11" ht="14" hidden="1">
      <c r="B2828" s="1342"/>
      <c r="C2828" s="1342"/>
      <c r="D2828" s="1342"/>
      <c r="E2828" s="1342"/>
      <c r="F2828" s="1342"/>
      <c r="G2828" s="1342"/>
      <c r="H2828" s="1342"/>
      <c r="I2828" s="1342"/>
      <c r="J2828" s="1342"/>
      <c r="K2828" s="1342"/>
    </row>
    <row r="2829" spans="2:11" ht="14" hidden="1">
      <c r="B2829" s="1342"/>
      <c r="C2829" s="1342"/>
      <c r="D2829" s="1342"/>
      <c r="E2829" s="1342"/>
      <c r="F2829" s="1342"/>
      <c r="G2829" s="1342"/>
      <c r="H2829" s="1342"/>
      <c r="I2829" s="1342"/>
      <c r="J2829" s="1342"/>
      <c r="K2829" s="1342"/>
    </row>
    <row r="2830" spans="2:11" ht="14" hidden="1">
      <c r="B2830" s="1342"/>
      <c r="C2830" s="1342"/>
      <c r="D2830" s="1342"/>
      <c r="E2830" s="1342"/>
      <c r="F2830" s="1342"/>
      <c r="G2830" s="1342"/>
      <c r="H2830" s="1342"/>
      <c r="I2830" s="1342"/>
      <c r="J2830" s="1342"/>
      <c r="K2830" s="1342"/>
    </row>
    <row r="2831" spans="2:11" ht="14" hidden="1">
      <c r="B2831" s="1342"/>
      <c r="C2831" s="1342"/>
      <c r="D2831" s="1342"/>
      <c r="E2831" s="1342"/>
      <c r="F2831" s="1342"/>
      <c r="G2831" s="1342"/>
      <c r="H2831" s="1342"/>
      <c r="I2831" s="1342"/>
      <c r="J2831" s="1342"/>
      <c r="K2831" s="1342"/>
    </row>
    <row r="2832" spans="2:11" ht="14" hidden="1">
      <c r="B2832" s="1342"/>
      <c r="C2832" s="1342"/>
      <c r="D2832" s="1342"/>
      <c r="E2832" s="1342"/>
      <c r="F2832" s="1342"/>
      <c r="G2832" s="1342"/>
      <c r="H2832" s="1342"/>
      <c r="I2832" s="1342"/>
      <c r="J2832" s="1342"/>
      <c r="K2832" s="1342"/>
    </row>
    <row r="2833" spans="2:11" ht="14" hidden="1">
      <c r="B2833" s="1342"/>
      <c r="C2833" s="1342"/>
      <c r="D2833" s="1342"/>
      <c r="E2833" s="1342"/>
      <c r="F2833" s="1342"/>
      <c r="G2833" s="1342"/>
      <c r="H2833" s="1342"/>
      <c r="I2833" s="1342"/>
      <c r="J2833" s="1342"/>
      <c r="K2833" s="1342"/>
    </row>
    <row r="2834" spans="2:11" ht="14" hidden="1">
      <c r="B2834" s="1342"/>
      <c r="C2834" s="1342"/>
      <c r="D2834" s="1342"/>
      <c r="E2834" s="1342"/>
      <c r="F2834" s="1342"/>
      <c r="G2834" s="1342"/>
      <c r="H2834" s="1342"/>
      <c r="I2834" s="1342"/>
      <c r="J2834" s="1342"/>
      <c r="K2834" s="1342"/>
    </row>
    <row r="2835" spans="2:11" ht="14" hidden="1">
      <c r="B2835" s="1342"/>
      <c r="C2835" s="1342"/>
      <c r="D2835" s="1342"/>
      <c r="E2835" s="1342"/>
      <c r="F2835" s="1342"/>
      <c r="G2835" s="1342"/>
      <c r="H2835" s="1342"/>
      <c r="I2835" s="1342"/>
      <c r="J2835" s="1342"/>
      <c r="K2835" s="1342"/>
    </row>
    <row r="2836" spans="2:11" ht="14" hidden="1">
      <c r="B2836" s="1342"/>
      <c r="C2836" s="1342"/>
      <c r="D2836" s="1342"/>
      <c r="E2836" s="1342"/>
      <c r="F2836" s="1342"/>
      <c r="G2836" s="1342"/>
      <c r="H2836" s="1342"/>
      <c r="I2836" s="1342"/>
      <c r="J2836" s="1342"/>
      <c r="K2836" s="1342"/>
    </row>
    <row r="2837" spans="2:11" ht="14" hidden="1">
      <c r="B2837" s="1342"/>
      <c r="C2837" s="1342"/>
      <c r="D2837" s="1342"/>
      <c r="E2837" s="1342"/>
      <c r="F2837" s="1342"/>
      <c r="G2837" s="1342"/>
      <c r="H2837" s="1342"/>
      <c r="I2837" s="1342"/>
      <c r="J2837" s="1342"/>
      <c r="K2837" s="1342"/>
    </row>
    <row r="2838" spans="2:11" ht="14" hidden="1">
      <c r="B2838" s="1342"/>
      <c r="C2838" s="1342"/>
      <c r="D2838" s="1342"/>
      <c r="E2838" s="1342"/>
      <c r="F2838" s="1342"/>
      <c r="G2838" s="1342"/>
      <c r="H2838" s="1342"/>
      <c r="I2838" s="1342"/>
      <c r="J2838" s="1342"/>
      <c r="K2838" s="1342"/>
    </row>
    <row r="2839" spans="2:11" ht="14" hidden="1">
      <c r="B2839" s="1342"/>
      <c r="C2839" s="1342"/>
      <c r="D2839" s="1342"/>
      <c r="E2839" s="1342"/>
      <c r="F2839" s="1342"/>
      <c r="G2839" s="1342"/>
      <c r="H2839" s="1342"/>
      <c r="I2839" s="1342"/>
      <c r="J2839" s="1342"/>
      <c r="K2839" s="1342"/>
    </row>
    <row r="2840" spans="2:11" ht="14" hidden="1">
      <c r="B2840" s="1342"/>
      <c r="C2840" s="1342"/>
      <c r="D2840" s="1342"/>
      <c r="E2840" s="1342"/>
      <c r="F2840" s="1342"/>
      <c r="G2840" s="1342"/>
      <c r="H2840" s="1342"/>
      <c r="I2840" s="1342"/>
      <c r="J2840" s="1342"/>
      <c r="K2840" s="1342"/>
    </row>
    <row r="2841" spans="2:11" ht="14" hidden="1">
      <c r="B2841" s="1342"/>
      <c r="C2841" s="1342"/>
      <c r="D2841" s="1342"/>
      <c r="E2841" s="1342"/>
      <c r="F2841" s="1342"/>
      <c r="G2841" s="1342"/>
      <c r="H2841" s="1342"/>
      <c r="I2841" s="1342"/>
      <c r="J2841" s="1342"/>
      <c r="K2841" s="1342"/>
    </row>
    <row r="2842" spans="2:11" ht="14" hidden="1">
      <c r="B2842" s="1342"/>
      <c r="C2842" s="1342"/>
      <c r="D2842" s="1342"/>
      <c r="E2842" s="1342"/>
      <c r="F2842" s="1342"/>
      <c r="G2842" s="1342"/>
      <c r="H2842" s="1342"/>
      <c r="I2842" s="1342"/>
      <c r="J2842" s="1342"/>
      <c r="K2842" s="1342"/>
    </row>
    <row r="2843" spans="2:11" ht="14" hidden="1">
      <c r="B2843" s="1342"/>
      <c r="C2843" s="1342"/>
      <c r="D2843" s="1342"/>
      <c r="E2843" s="1342"/>
      <c r="F2843" s="1342"/>
      <c r="G2843" s="1342"/>
      <c r="H2843" s="1342"/>
      <c r="I2843" s="1342"/>
      <c r="J2843" s="1342"/>
      <c r="K2843" s="1342"/>
    </row>
    <row r="2844" spans="2:11" ht="14" hidden="1">
      <c r="B2844" s="1342"/>
      <c r="C2844" s="1342"/>
      <c r="D2844" s="1342"/>
      <c r="E2844" s="1342"/>
      <c r="F2844" s="1342"/>
      <c r="G2844" s="1342"/>
      <c r="H2844" s="1342"/>
      <c r="I2844" s="1342"/>
      <c r="J2844" s="1342"/>
      <c r="K2844" s="1342"/>
    </row>
    <row r="2845" spans="2:11" ht="14" hidden="1">
      <c r="B2845" s="1342"/>
      <c r="C2845" s="1342"/>
      <c r="D2845" s="1342"/>
      <c r="E2845" s="1342"/>
      <c r="F2845" s="1342"/>
      <c r="G2845" s="1342"/>
      <c r="H2845" s="1342"/>
      <c r="I2845" s="1342"/>
      <c r="J2845" s="1342"/>
      <c r="K2845" s="1342"/>
    </row>
    <row r="2846" spans="2:11" ht="14" hidden="1">
      <c r="B2846" s="1342"/>
      <c r="C2846" s="1342"/>
      <c r="D2846" s="1342"/>
      <c r="E2846" s="1342"/>
      <c r="F2846" s="1342"/>
      <c r="G2846" s="1342"/>
      <c r="H2846" s="1342"/>
      <c r="I2846" s="1342"/>
      <c r="J2846" s="1342"/>
      <c r="K2846" s="1342"/>
    </row>
    <row r="2847" spans="2:11" ht="14" hidden="1">
      <c r="B2847" s="1342"/>
      <c r="C2847" s="1342"/>
      <c r="D2847" s="1342"/>
      <c r="E2847" s="1342"/>
      <c r="F2847" s="1342"/>
      <c r="G2847" s="1342"/>
      <c r="H2847" s="1342"/>
      <c r="I2847" s="1342"/>
      <c r="J2847" s="1342"/>
      <c r="K2847" s="1342"/>
    </row>
    <row r="2848" spans="2:11" ht="14" hidden="1">
      <c r="B2848" s="1342"/>
      <c r="C2848" s="1342"/>
      <c r="D2848" s="1342"/>
      <c r="E2848" s="1342"/>
      <c r="F2848" s="1342"/>
      <c r="G2848" s="1342"/>
      <c r="H2848" s="1342"/>
      <c r="I2848" s="1342"/>
      <c r="J2848" s="1342"/>
      <c r="K2848" s="1342"/>
    </row>
    <row r="2849" spans="2:11" ht="14" hidden="1">
      <c r="B2849" s="1342"/>
      <c r="C2849" s="1342"/>
      <c r="D2849" s="1342"/>
      <c r="E2849" s="1342"/>
      <c r="F2849" s="1342"/>
      <c r="G2849" s="1342"/>
      <c r="H2849" s="1342"/>
      <c r="I2849" s="1342"/>
      <c r="J2849" s="1342"/>
      <c r="K2849" s="1342"/>
    </row>
    <row r="2850" spans="2:11" ht="14" hidden="1">
      <c r="B2850" s="1342"/>
      <c r="C2850" s="1342"/>
      <c r="D2850" s="1342"/>
      <c r="E2850" s="1342"/>
      <c r="F2850" s="1342"/>
      <c r="G2850" s="1342"/>
      <c r="H2850" s="1342"/>
      <c r="I2850" s="1342"/>
      <c r="J2850" s="1342"/>
      <c r="K2850" s="1342"/>
    </row>
    <row r="2851" spans="2:11" ht="14" hidden="1">
      <c r="B2851" s="1342"/>
      <c r="C2851" s="1342"/>
      <c r="D2851" s="1342"/>
      <c r="E2851" s="1342"/>
      <c r="F2851" s="1342"/>
      <c r="G2851" s="1342"/>
      <c r="H2851" s="1342"/>
      <c r="I2851" s="1342"/>
      <c r="J2851" s="1342"/>
      <c r="K2851" s="1342"/>
    </row>
    <row r="2852" spans="2:11" ht="14" hidden="1">
      <c r="B2852" s="1342"/>
      <c r="C2852" s="1342"/>
      <c r="D2852" s="1342"/>
      <c r="E2852" s="1342"/>
      <c r="F2852" s="1342"/>
      <c r="G2852" s="1342"/>
      <c r="H2852" s="1342"/>
      <c r="I2852" s="1342"/>
      <c r="J2852" s="1342"/>
      <c r="K2852" s="1342"/>
    </row>
    <row r="2853" spans="2:11" ht="14" hidden="1">
      <c r="B2853" s="1342"/>
      <c r="C2853" s="1342"/>
      <c r="D2853" s="1342"/>
      <c r="E2853" s="1342"/>
      <c r="F2853" s="1342"/>
      <c r="G2853" s="1342"/>
      <c r="H2853" s="1342"/>
      <c r="I2853" s="1342"/>
      <c r="J2853" s="1342"/>
      <c r="K2853" s="1342"/>
    </row>
    <row r="2854" spans="2:11" ht="14" hidden="1">
      <c r="B2854" s="1342"/>
      <c r="C2854" s="1342"/>
      <c r="D2854" s="1342"/>
      <c r="E2854" s="1342"/>
      <c r="F2854" s="1342"/>
      <c r="G2854" s="1342"/>
      <c r="H2854" s="1342"/>
      <c r="I2854" s="1342"/>
      <c r="J2854" s="1342"/>
      <c r="K2854" s="1342"/>
    </row>
    <row r="2855" spans="2:11" ht="14" hidden="1">
      <c r="B2855" s="1342"/>
      <c r="C2855" s="1342"/>
      <c r="D2855" s="1342"/>
      <c r="E2855" s="1342"/>
      <c r="F2855" s="1342"/>
      <c r="G2855" s="1342"/>
      <c r="H2855" s="1342"/>
      <c r="I2855" s="1342"/>
      <c r="J2855" s="1342"/>
      <c r="K2855" s="1342"/>
    </row>
    <row r="2856" spans="2:11" ht="14" hidden="1">
      <c r="B2856" s="1342"/>
      <c r="C2856" s="1342"/>
      <c r="D2856" s="1342"/>
      <c r="E2856" s="1342"/>
      <c r="F2856" s="1342"/>
      <c r="G2856" s="1342"/>
      <c r="H2856" s="1342"/>
      <c r="I2856" s="1342"/>
      <c r="J2856" s="1342"/>
      <c r="K2856" s="1342"/>
    </row>
    <row r="2857" spans="2:11" ht="14" hidden="1">
      <c r="B2857" s="1342"/>
      <c r="C2857" s="1342"/>
      <c r="D2857" s="1342"/>
      <c r="E2857" s="1342"/>
      <c r="F2857" s="1342"/>
      <c r="G2857" s="1342"/>
      <c r="H2857" s="1342"/>
      <c r="I2857" s="1342"/>
      <c r="J2857" s="1342"/>
      <c r="K2857" s="1342"/>
    </row>
    <row r="2858" spans="2:11" ht="14" hidden="1">
      <c r="B2858" s="1342"/>
      <c r="C2858" s="1342"/>
      <c r="D2858" s="1342"/>
      <c r="E2858" s="1342"/>
      <c r="F2858" s="1342"/>
      <c r="G2858" s="1342"/>
      <c r="H2858" s="1342"/>
      <c r="I2858" s="1342"/>
      <c r="J2858" s="1342"/>
      <c r="K2858" s="1342"/>
    </row>
    <row r="2859" spans="2:11" ht="14" hidden="1">
      <c r="B2859" s="1342"/>
      <c r="C2859" s="1342"/>
      <c r="D2859" s="1342"/>
      <c r="E2859" s="1342"/>
      <c r="F2859" s="1342"/>
      <c r="G2859" s="1342"/>
      <c r="H2859" s="1342"/>
      <c r="I2859" s="1342"/>
      <c r="J2859" s="1342"/>
      <c r="K2859" s="1342"/>
    </row>
    <row r="2860" spans="2:11" ht="14" hidden="1">
      <c r="B2860" s="1342"/>
      <c r="C2860" s="1342"/>
      <c r="D2860" s="1342"/>
      <c r="E2860" s="1342"/>
      <c r="F2860" s="1342"/>
      <c r="G2860" s="1342"/>
      <c r="H2860" s="1342"/>
      <c r="I2860" s="1342"/>
      <c r="J2860" s="1342"/>
      <c r="K2860" s="1342"/>
    </row>
    <row r="2861" spans="2:11" ht="14" hidden="1">
      <c r="B2861" s="1342"/>
      <c r="C2861" s="1342"/>
      <c r="D2861" s="1342"/>
      <c r="E2861" s="1342"/>
      <c r="F2861" s="1342"/>
      <c r="G2861" s="1342"/>
      <c r="H2861" s="1342"/>
      <c r="I2861" s="1342"/>
      <c r="J2861" s="1342"/>
      <c r="K2861" s="1342"/>
    </row>
    <row r="2862" spans="2:11" ht="14" hidden="1">
      <c r="B2862" s="1342"/>
      <c r="C2862" s="1342"/>
      <c r="D2862" s="1342"/>
      <c r="E2862" s="1342"/>
      <c r="F2862" s="1342"/>
      <c r="G2862" s="1342"/>
      <c r="H2862" s="1342"/>
      <c r="I2862" s="1342"/>
      <c r="J2862" s="1342"/>
      <c r="K2862" s="1342"/>
    </row>
    <row r="2863" spans="2:11" ht="14" hidden="1">
      <c r="B2863" s="1342"/>
      <c r="C2863" s="1342"/>
      <c r="D2863" s="1342"/>
      <c r="E2863" s="1342"/>
      <c r="F2863" s="1342"/>
      <c r="G2863" s="1342"/>
      <c r="H2863" s="1342"/>
      <c r="I2863" s="1342"/>
      <c r="J2863" s="1342"/>
      <c r="K2863" s="1342"/>
    </row>
    <row r="2864" spans="2:11" ht="14" hidden="1">
      <c r="B2864" s="1342"/>
      <c r="C2864" s="1342"/>
      <c r="D2864" s="1342"/>
      <c r="E2864" s="1342"/>
      <c r="F2864" s="1342"/>
      <c r="G2864" s="1342"/>
      <c r="H2864" s="1342"/>
      <c r="I2864" s="1342"/>
      <c r="J2864" s="1342"/>
      <c r="K2864" s="1342"/>
    </row>
    <row r="2865" spans="2:11" ht="14" hidden="1">
      <c r="B2865" s="1342"/>
      <c r="C2865" s="1342"/>
      <c r="D2865" s="1342"/>
      <c r="E2865" s="1342"/>
      <c r="F2865" s="1342"/>
      <c r="G2865" s="1342"/>
      <c r="H2865" s="1342"/>
      <c r="I2865" s="1342"/>
      <c r="J2865" s="1342"/>
      <c r="K2865" s="1342"/>
    </row>
    <row r="2866" spans="2:11" ht="14" hidden="1">
      <c r="B2866" s="1342"/>
      <c r="C2866" s="1342"/>
      <c r="D2866" s="1342"/>
      <c r="E2866" s="1342"/>
      <c r="F2866" s="1342"/>
      <c r="G2866" s="1342"/>
      <c r="H2866" s="1342"/>
      <c r="I2866" s="1342"/>
      <c r="J2866" s="1342"/>
      <c r="K2866" s="1342"/>
    </row>
    <row r="2867" spans="2:11" ht="14" hidden="1">
      <c r="B2867" s="1342"/>
      <c r="C2867" s="1342"/>
      <c r="D2867" s="1342"/>
      <c r="E2867" s="1342"/>
      <c r="F2867" s="1342"/>
      <c r="G2867" s="1342"/>
      <c r="H2867" s="1342"/>
      <c r="I2867" s="1342"/>
      <c r="J2867" s="1342"/>
      <c r="K2867" s="1342"/>
    </row>
    <row r="2868" spans="2:11" ht="14" hidden="1">
      <c r="B2868" s="1342"/>
      <c r="C2868" s="1342"/>
      <c r="D2868" s="1342"/>
      <c r="E2868" s="1342"/>
      <c r="F2868" s="1342"/>
      <c r="G2868" s="1342"/>
      <c r="H2868" s="1342"/>
      <c r="I2868" s="1342"/>
      <c r="J2868" s="1342"/>
      <c r="K2868" s="1342"/>
    </row>
    <row r="2869" spans="2:11" ht="14" hidden="1">
      <c r="B2869" s="1342"/>
      <c r="C2869" s="1342"/>
      <c r="D2869" s="1342"/>
      <c r="E2869" s="1342"/>
      <c r="F2869" s="1342"/>
      <c r="G2869" s="1342"/>
      <c r="H2869" s="1342"/>
      <c r="I2869" s="1342"/>
      <c r="J2869" s="1342"/>
      <c r="K2869" s="1342"/>
    </row>
    <row r="2870" spans="2:11" ht="14" hidden="1">
      <c r="B2870" s="1342"/>
      <c r="C2870" s="1342"/>
      <c r="D2870" s="1342"/>
      <c r="E2870" s="1342"/>
      <c r="F2870" s="1342"/>
      <c r="G2870" s="1342"/>
      <c r="H2870" s="1342"/>
      <c r="I2870" s="1342"/>
      <c r="J2870" s="1342"/>
      <c r="K2870" s="1342"/>
    </row>
    <row r="2871" spans="2:11" ht="14" hidden="1">
      <c r="B2871" s="1342"/>
      <c r="C2871" s="1342"/>
      <c r="D2871" s="1342"/>
      <c r="E2871" s="1342"/>
      <c r="F2871" s="1342"/>
      <c r="G2871" s="1342"/>
      <c r="H2871" s="1342"/>
      <c r="I2871" s="1342"/>
      <c r="J2871" s="1342"/>
      <c r="K2871" s="1342"/>
    </row>
    <row r="2872" spans="2:11" ht="14" hidden="1">
      <c r="B2872" s="1342"/>
      <c r="C2872" s="1342"/>
      <c r="D2872" s="1342"/>
      <c r="E2872" s="1342"/>
      <c r="F2872" s="1342"/>
      <c r="G2872" s="1342"/>
      <c r="H2872" s="1342"/>
      <c r="I2872" s="1342"/>
      <c r="J2872" s="1342"/>
      <c r="K2872" s="1342"/>
    </row>
    <row r="2873" spans="2:11" ht="14" hidden="1">
      <c r="B2873" s="1342"/>
      <c r="C2873" s="1342"/>
      <c r="D2873" s="1342"/>
      <c r="E2873" s="1342"/>
      <c r="F2873" s="1342"/>
      <c r="G2873" s="1342"/>
      <c r="H2873" s="1342"/>
      <c r="I2873" s="1342"/>
      <c r="J2873" s="1342"/>
      <c r="K2873" s="1342"/>
    </row>
    <row r="2874" spans="2:11" ht="14" hidden="1">
      <c r="B2874" s="1342"/>
      <c r="C2874" s="1342"/>
      <c r="D2874" s="1342"/>
      <c r="E2874" s="1342"/>
      <c r="F2874" s="1342"/>
      <c r="G2874" s="1342"/>
      <c r="H2874" s="1342"/>
      <c r="I2874" s="1342"/>
      <c r="J2874" s="1342"/>
      <c r="K2874" s="1342"/>
    </row>
    <row r="2875" spans="2:11" ht="14" hidden="1">
      <c r="B2875" s="1342"/>
      <c r="C2875" s="1342"/>
      <c r="D2875" s="1342"/>
      <c r="E2875" s="1342"/>
      <c r="F2875" s="1342"/>
      <c r="G2875" s="1342"/>
      <c r="H2875" s="1342"/>
      <c r="I2875" s="1342"/>
      <c r="J2875" s="1342"/>
      <c r="K2875" s="1342"/>
    </row>
    <row r="2876" spans="2:11" ht="14" hidden="1">
      <c r="B2876" s="1342"/>
      <c r="C2876" s="1342"/>
      <c r="D2876" s="1342"/>
      <c r="E2876" s="1342"/>
      <c r="F2876" s="1342"/>
      <c r="G2876" s="1342"/>
      <c r="H2876" s="1342"/>
      <c r="I2876" s="1342"/>
      <c r="J2876" s="1342"/>
      <c r="K2876" s="1342"/>
    </row>
    <row r="2877" spans="2:11" ht="14" hidden="1">
      <c r="B2877" s="1342"/>
      <c r="C2877" s="1342"/>
      <c r="D2877" s="1342"/>
      <c r="E2877" s="1342"/>
      <c r="F2877" s="1342"/>
      <c r="G2877" s="1342"/>
      <c r="H2877" s="1342"/>
      <c r="I2877" s="1342"/>
      <c r="J2877" s="1342"/>
      <c r="K2877" s="1342"/>
    </row>
    <row r="2878" spans="2:11" ht="14" hidden="1">
      <c r="B2878" s="1342"/>
      <c r="C2878" s="1342"/>
      <c r="D2878" s="1342"/>
      <c r="E2878" s="1342"/>
      <c r="F2878" s="1342"/>
      <c r="G2878" s="1342"/>
      <c r="H2878" s="1342"/>
      <c r="I2878" s="1342"/>
      <c r="J2878" s="1342"/>
      <c r="K2878" s="1342"/>
    </row>
    <row r="2879" spans="2:11" ht="14" hidden="1">
      <c r="B2879" s="1342"/>
      <c r="C2879" s="1342"/>
      <c r="D2879" s="1342"/>
      <c r="E2879" s="1342"/>
      <c r="F2879" s="1342"/>
      <c r="G2879" s="1342"/>
      <c r="H2879" s="1342"/>
      <c r="I2879" s="1342"/>
      <c r="J2879" s="1342"/>
      <c r="K2879" s="1342"/>
    </row>
    <row r="2880" spans="2:11" ht="14" hidden="1">
      <c r="B2880" s="1342"/>
      <c r="C2880" s="1342"/>
      <c r="D2880" s="1342"/>
      <c r="E2880" s="1342"/>
      <c r="F2880" s="1342"/>
      <c r="G2880" s="1342"/>
      <c r="H2880" s="1342"/>
      <c r="I2880" s="1342"/>
      <c r="J2880" s="1342"/>
      <c r="K2880" s="1342"/>
    </row>
    <row r="2881" spans="2:11" ht="14" hidden="1">
      <c r="B2881" s="1342"/>
      <c r="C2881" s="1342"/>
      <c r="D2881" s="1342"/>
      <c r="E2881" s="1342"/>
      <c r="F2881" s="1342"/>
      <c r="G2881" s="1342"/>
      <c r="H2881" s="1342"/>
      <c r="I2881" s="1342"/>
      <c r="J2881" s="1342"/>
      <c r="K2881" s="1342"/>
    </row>
    <row r="2882" spans="2:11" ht="14" hidden="1">
      <c r="B2882" s="1342"/>
      <c r="C2882" s="1342"/>
      <c r="D2882" s="1342"/>
      <c r="E2882" s="1342"/>
      <c r="F2882" s="1342"/>
      <c r="G2882" s="1342"/>
      <c r="H2882" s="1342"/>
      <c r="I2882" s="1342"/>
      <c r="J2882" s="1342"/>
      <c r="K2882" s="1342"/>
    </row>
    <row r="2883" spans="2:11" ht="14" hidden="1">
      <c r="B2883" s="1342"/>
      <c r="C2883" s="1342"/>
      <c r="D2883" s="1342"/>
      <c r="E2883" s="1342"/>
      <c r="F2883" s="1342"/>
      <c r="G2883" s="1342"/>
      <c r="H2883" s="1342"/>
      <c r="I2883" s="1342"/>
      <c r="J2883" s="1342"/>
      <c r="K2883" s="1342"/>
    </row>
    <row r="2884" spans="2:11" ht="14" hidden="1">
      <c r="B2884" s="1342"/>
      <c r="C2884" s="1342"/>
      <c r="D2884" s="1342"/>
      <c r="E2884" s="1342"/>
      <c r="F2884" s="1342"/>
      <c r="G2884" s="1342"/>
      <c r="H2884" s="1342"/>
      <c r="I2884" s="1342"/>
      <c r="J2884" s="1342"/>
      <c r="K2884" s="1342"/>
    </row>
    <row r="2885" spans="2:11" ht="14" hidden="1">
      <c r="B2885" s="1342"/>
      <c r="C2885" s="1342"/>
      <c r="D2885" s="1342"/>
      <c r="E2885" s="1342"/>
      <c r="F2885" s="1342"/>
      <c r="G2885" s="1342"/>
      <c r="H2885" s="1342"/>
      <c r="I2885" s="1342"/>
      <c r="J2885" s="1342"/>
      <c r="K2885" s="1342"/>
    </row>
    <row r="2886" spans="2:11" ht="14" hidden="1">
      <c r="B2886" s="1342"/>
      <c r="C2886" s="1342"/>
      <c r="D2886" s="1342"/>
      <c r="E2886" s="1342"/>
      <c r="F2886" s="1342"/>
      <c r="G2886" s="1342"/>
      <c r="H2886" s="1342"/>
      <c r="I2886" s="1342"/>
      <c r="J2886" s="1342"/>
      <c r="K2886" s="1342"/>
    </row>
    <row r="2887" spans="2:11" ht="14" hidden="1">
      <c r="B2887" s="1342"/>
      <c r="C2887" s="1342"/>
      <c r="D2887" s="1342"/>
      <c r="E2887" s="1342"/>
      <c r="F2887" s="1342"/>
      <c r="G2887" s="1342"/>
      <c r="H2887" s="1342"/>
      <c r="I2887" s="1342"/>
      <c r="J2887" s="1342"/>
      <c r="K2887" s="1342"/>
    </row>
    <row r="2888" spans="2:11" ht="14" hidden="1">
      <c r="B2888" s="1342"/>
      <c r="C2888" s="1342"/>
      <c r="D2888" s="1342"/>
      <c r="E2888" s="1342"/>
      <c r="F2888" s="1342"/>
      <c r="G2888" s="1342"/>
      <c r="H2888" s="1342"/>
      <c r="I2888" s="1342"/>
      <c r="J2888" s="1342"/>
      <c r="K2888" s="1342"/>
    </row>
    <row r="2889" spans="2:11" ht="14" hidden="1">
      <c r="B2889" s="1342"/>
      <c r="C2889" s="1342"/>
      <c r="D2889" s="1342"/>
      <c r="E2889" s="1342"/>
      <c r="F2889" s="1342"/>
      <c r="G2889" s="1342"/>
      <c r="H2889" s="1342"/>
      <c r="I2889" s="1342"/>
      <c r="J2889" s="1342"/>
      <c r="K2889" s="1342"/>
    </row>
    <row r="2890" spans="2:11" ht="14" hidden="1">
      <c r="B2890" s="1342"/>
      <c r="C2890" s="1342"/>
      <c r="D2890" s="1342"/>
      <c r="E2890" s="1342"/>
      <c r="F2890" s="1342"/>
      <c r="G2890" s="1342"/>
      <c r="H2890" s="1342"/>
      <c r="I2890" s="1342"/>
      <c r="J2890" s="1342"/>
      <c r="K2890" s="1342"/>
    </row>
    <row r="2891" spans="2:11" ht="14" hidden="1">
      <c r="B2891" s="1342"/>
      <c r="C2891" s="1342"/>
      <c r="D2891" s="1342"/>
      <c r="E2891" s="1342"/>
      <c r="F2891" s="1342"/>
      <c r="G2891" s="1342"/>
      <c r="H2891" s="1342"/>
      <c r="I2891" s="1342"/>
      <c r="J2891" s="1342"/>
      <c r="K2891" s="1342"/>
    </row>
    <row r="2892" spans="2:11" ht="14" hidden="1">
      <c r="B2892" s="1342"/>
      <c r="C2892" s="1342"/>
      <c r="D2892" s="1342"/>
      <c r="E2892" s="1342"/>
      <c r="F2892" s="1342"/>
      <c r="G2892" s="1342"/>
      <c r="H2892" s="1342"/>
      <c r="I2892" s="1342"/>
      <c r="J2892" s="1342"/>
      <c r="K2892" s="1342"/>
    </row>
    <row r="2893" spans="2:11" ht="14" hidden="1">
      <c r="B2893" s="1342"/>
      <c r="C2893" s="1342"/>
      <c r="D2893" s="1342"/>
      <c r="E2893" s="1342"/>
      <c r="F2893" s="1342"/>
      <c r="G2893" s="1342"/>
      <c r="H2893" s="1342"/>
      <c r="I2893" s="1342"/>
      <c r="J2893" s="1342"/>
      <c r="K2893" s="1342"/>
    </row>
    <row r="2894" spans="2:11" ht="14" hidden="1">
      <c r="B2894" s="1342"/>
      <c r="C2894" s="1342"/>
      <c r="D2894" s="1342"/>
      <c r="E2894" s="1342"/>
      <c r="F2894" s="1342"/>
      <c r="G2894" s="1342"/>
      <c r="H2894" s="1342"/>
      <c r="I2894" s="1342"/>
      <c r="J2894" s="1342"/>
      <c r="K2894" s="1342"/>
    </row>
    <row r="2895" spans="2:11" ht="14" hidden="1">
      <c r="B2895" s="1342"/>
      <c r="C2895" s="1342"/>
      <c r="D2895" s="1342"/>
      <c r="E2895" s="1342"/>
      <c r="F2895" s="1342"/>
      <c r="G2895" s="1342"/>
      <c r="H2895" s="1342"/>
      <c r="I2895" s="1342"/>
      <c r="J2895" s="1342"/>
      <c r="K2895" s="1342"/>
    </row>
    <row r="2896" spans="2:11" ht="14" hidden="1">
      <c r="B2896" s="1342"/>
      <c r="C2896" s="1342"/>
      <c r="D2896" s="1342"/>
      <c r="E2896" s="1342"/>
      <c r="F2896" s="1342"/>
      <c r="G2896" s="1342"/>
      <c r="H2896" s="1342"/>
      <c r="I2896" s="1342"/>
      <c r="J2896" s="1342"/>
      <c r="K2896" s="1342"/>
    </row>
    <row r="2897" spans="2:11" ht="14" hidden="1">
      <c r="B2897" s="1342"/>
      <c r="C2897" s="1342"/>
      <c r="D2897" s="1342"/>
      <c r="E2897" s="1342"/>
      <c r="F2897" s="1342"/>
      <c r="G2897" s="1342"/>
      <c r="H2897" s="1342"/>
      <c r="I2897" s="1342"/>
      <c r="J2897" s="1342"/>
      <c r="K2897" s="1342"/>
    </row>
    <row r="2898" spans="2:11" ht="14" hidden="1">
      <c r="B2898" s="1342"/>
      <c r="C2898" s="1342"/>
      <c r="D2898" s="1342"/>
      <c r="E2898" s="1342"/>
      <c r="F2898" s="1342"/>
      <c r="G2898" s="1342"/>
      <c r="H2898" s="1342"/>
      <c r="I2898" s="1342"/>
      <c r="J2898" s="1342"/>
      <c r="K2898" s="1342"/>
    </row>
    <row r="2899" spans="2:11" ht="14" hidden="1">
      <c r="B2899" s="1342"/>
      <c r="C2899" s="1342"/>
      <c r="D2899" s="1342"/>
      <c r="E2899" s="1342"/>
      <c r="F2899" s="1342"/>
      <c r="G2899" s="1342"/>
      <c r="H2899" s="1342"/>
      <c r="I2899" s="1342"/>
      <c r="J2899" s="1342"/>
      <c r="K2899" s="1342"/>
    </row>
    <row r="2900" spans="2:11" ht="14" hidden="1">
      <c r="B2900" s="1342"/>
      <c r="C2900" s="1342"/>
      <c r="D2900" s="1342"/>
      <c r="E2900" s="1342"/>
      <c r="F2900" s="1342"/>
      <c r="G2900" s="1342"/>
      <c r="H2900" s="1342"/>
      <c r="I2900" s="1342"/>
      <c r="J2900" s="1342"/>
      <c r="K2900" s="1342"/>
    </row>
    <row r="2901" spans="2:11" ht="14" hidden="1">
      <c r="B2901" s="1342"/>
      <c r="C2901" s="1342"/>
      <c r="D2901" s="1342"/>
      <c r="E2901" s="1342"/>
      <c r="F2901" s="1342"/>
      <c r="G2901" s="1342"/>
      <c r="H2901" s="1342"/>
      <c r="I2901" s="1342"/>
      <c r="J2901" s="1342"/>
      <c r="K2901" s="1342"/>
    </row>
    <row r="2902" spans="2:11" ht="14" hidden="1">
      <c r="B2902" s="1342"/>
      <c r="C2902" s="1342"/>
      <c r="D2902" s="1342"/>
      <c r="E2902" s="1342"/>
      <c r="F2902" s="1342"/>
      <c r="G2902" s="1342"/>
      <c r="H2902" s="1342"/>
      <c r="I2902" s="1342"/>
      <c r="J2902" s="1342"/>
      <c r="K2902" s="1342"/>
    </row>
    <row r="2903" spans="2:11" ht="14" hidden="1">
      <c r="B2903" s="1342"/>
      <c r="C2903" s="1342"/>
      <c r="D2903" s="1342"/>
      <c r="E2903" s="1342"/>
      <c r="F2903" s="1342"/>
      <c r="G2903" s="1342"/>
      <c r="H2903" s="1342"/>
      <c r="I2903" s="1342"/>
      <c r="J2903" s="1342"/>
      <c r="K2903" s="1342"/>
    </row>
    <row r="2904" spans="2:11" ht="14" hidden="1">
      <c r="B2904" s="1342"/>
      <c r="C2904" s="1342"/>
      <c r="D2904" s="1342"/>
      <c r="E2904" s="1342"/>
      <c r="F2904" s="1342"/>
      <c r="G2904" s="1342"/>
      <c r="H2904" s="1342"/>
      <c r="I2904" s="1342"/>
      <c r="J2904" s="1342"/>
      <c r="K2904" s="1342"/>
    </row>
    <row r="2905" spans="2:11" ht="14" hidden="1">
      <c r="B2905" s="1342"/>
      <c r="C2905" s="1342"/>
      <c r="D2905" s="1342"/>
      <c r="E2905" s="1342"/>
      <c r="F2905" s="1342"/>
      <c r="G2905" s="1342"/>
      <c r="H2905" s="1342"/>
      <c r="I2905" s="1342"/>
      <c r="J2905" s="1342"/>
      <c r="K2905" s="1342"/>
    </row>
    <row r="2906" spans="2:11" ht="14" hidden="1">
      <c r="B2906" s="1342"/>
      <c r="C2906" s="1342"/>
      <c r="D2906" s="1342"/>
      <c r="E2906" s="1342"/>
      <c r="F2906" s="1342"/>
      <c r="G2906" s="1342"/>
      <c r="H2906" s="1342"/>
      <c r="I2906" s="1342"/>
      <c r="J2906" s="1342"/>
      <c r="K2906" s="1342"/>
    </row>
    <row r="2907" spans="2:11" ht="14" hidden="1">
      <c r="B2907" s="1342"/>
      <c r="C2907" s="1342"/>
      <c r="D2907" s="1342"/>
      <c r="E2907" s="1342"/>
      <c r="F2907" s="1342"/>
      <c r="G2907" s="1342"/>
      <c r="H2907" s="1342"/>
      <c r="I2907" s="1342"/>
      <c r="J2907" s="1342"/>
      <c r="K2907" s="1342"/>
    </row>
    <row r="2908" spans="2:11" ht="14" hidden="1">
      <c r="B2908" s="1342"/>
      <c r="C2908" s="1342"/>
      <c r="D2908" s="1342"/>
      <c r="E2908" s="1342"/>
      <c r="F2908" s="1342"/>
      <c r="G2908" s="1342"/>
      <c r="H2908" s="1342"/>
      <c r="I2908" s="1342"/>
      <c r="J2908" s="1342"/>
      <c r="K2908" s="1342"/>
    </row>
    <row r="2909" spans="2:11" ht="14" hidden="1">
      <c r="B2909" s="1342"/>
      <c r="C2909" s="1342"/>
      <c r="D2909" s="1342"/>
      <c r="E2909" s="1342"/>
      <c r="F2909" s="1342"/>
      <c r="G2909" s="1342"/>
      <c r="H2909" s="1342"/>
      <c r="I2909" s="1342"/>
      <c r="J2909" s="1342"/>
      <c r="K2909" s="1342"/>
    </row>
    <row r="2910" spans="2:11" ht="14" hidden="1">
      <c r="B2910" s="1342"/>
      <c r="C2910" s="1342"/>
      <c r="D2910" s="1342"/>
      <c r="E2910" s="1342"/>
      <c r="F2910" s="1342"/>
      <c r="G2910" s="1342"/>
      <c r="H2910" s="1342"/>
      <c r="I2910" s="1342"/>
      <c r="J2910" s="1342"/>
      <c r="K2910" s="1342"/>
    </row>
    <row r="2911" spans="2:11" ht="14" hidden="1">
      <c r="B2911" s="1342"/>
      <c r="C2911" s="1342"/>
      <c r="D2911" s="1342"/>
      <c r="E2911" s="1342"/>
      <c r="F2911" s="1342"/>
      <c r="G2911" s="1342"/>
      <c r="H2911" s="1342"/>
      <c r="I2911" s="1342"/>
      <c r="J2911" s="1342"/>
      <c r="K2911" s="1342"/>
    </row>
    <row r="2912" spans="2:11" ht="14" hidden="1">
      <c r="B2912" s="1342"/>
      <c r="C2912" s="1342"/>
      <c r="D2912" s="1342"/>
      <c r="E2912" s="1342"/>
      <c r="F2912" s="1342"/>
      <c r="G2912" s="1342"/>
      <c r="H2912" s="1342"/>
      <c r="I2912" s="1342"/>
      <c r="J2912" s="1342"/>
      <c r="K2912" s="1342"/>
    </row>
    <row r="2913" spans="2:11" ht="14" hidden="1">
      <c r="B2913" s="1342"/>
      <c r="C2913" s="1342"/>
      <c r="D2913" s="1342"/>
      <c r="E2913" s="1342"/>
      <c r="F2913" s="1342"/>
      <c r="G2913" s="1342"/>
      <c r="H2913" s="1342"/>
      <c r="I2913" s="1342"/>
      <c r="J2913" s="1342"/>
      <c r="K2913" s="1342"/>
    </row>
    <row r="2914" spans="2:11" ht="14" hidden="1">
      <c r="B2914" s="1342"/>
      <c r="C2914" s="1342"/>
      <c r="D2914" s="1342"/>
      <c r="E2914" s="1342"/>
      <c r="F2914" s="1342"/>
      <c r="G2914" s="1342"/>
      <c r="H2914" s="1342"/>
      <c r="I2914" s="1342"/>
      <c r="J2914" s="1342"/>
      <c r="K2914" s="1342"/>
    </row>
    <row r="2915" spans="2:11" ht="14" hidden="1">
      <c r="B2915" s="1342"/>
      <c r="C2915" s="1342"/>
      <c r="D2915" s="1342"/>
      <c r="E2915" s="1342"/>
      <c r="F2915" s="1342"/>
      <c r="G2915" s="1342"/>
      <c r="H2915" s="1342"/>
      <c r="I2915" s="1342"/>
      <c r="J2915" s="1342"/>
      <c r="K2915" s="1342"/>
    </row>
    <row r="2916" spans="2:11" ht="14" hidden="1">
      <c r="B2916" s="1342"/>
      <c r="C2916" s="1342"/>
      <c r="D2916" s="1342"/>
      <c r="E2916" s="1342"/>
      <c r="F2916" s="1342"/>
      <c r="G2916" s="1342"/>
      <c r="H2916" s="1342"/>
      <c r="I2916" s="1342"/>
      <c r="J2916" s="1342"/>
      <c r="K2916" s="1342"/>
    </row>
    <row r="2917" spans="2:11" ht="14" hidden="1">
      <c r="B2917" s="1342"/>
      <c r="C2917" s="1342"/>
      <c r="D2917" s="1342"/>
      <c r="E2917" s="1342"/>
      <c r="F2917" s="1342"/>
      <c r="G2917" s="1342"/>
      <c r="H2917" s="1342"/>
      <c r="I2917" s="1342"/>
      <c r="J2917" s="1342"/>
      <c r="K2917" s="1342"/>
    </row>
    <row r="2918" spans="2:11" ht="14" hidden="1">
      <c r="B2918" s="1342"/>
      <c r="C2918" s="1342"/>
      <c r="D2918" s="1342"/>
      <c r="E2918" s="1342"/>
      <c r="F2918" s="1342"/>
      <c r="G2918" s="1342"/>
      <c r="H2918" s="1342"/>
      <c r="I2918" s="1342"/>
      <c r="J2918" s="1342"/>
      <c r="K2918" s="1342"/>
    </row>
    <row r="2919" spans="2:11" ht="14" hidden="1">
      <c r="B2919" s="1342"/>
      <c r="C2919" s="1342"/>
      <c r="D2919" s="1342"/>
      <c r="E2919" s="1342"/>
      <c r="F2919" s="1342"/>
      <c r="G2919" s="1342"/>
      <c r="H2919" s="1342"/>
      <c r="I2919" s="1342"/>
      <c r="J2919" s="1342"/>
      <c r="K2919" s="1342"/>
    </row>
    <row r="2920" spans="2:11" ht="14" hidden="1">
      <c r="B2920" s="1342"/>
      <c r="C2920" s="1342"/>
      <c r="D2920" s="1342"/>
      <c r="E2920" s="1342"/>
      <c r="F2920" s="1342"/>
      <c r="G2920" s="1342"/>
      <c r="H2920" s="1342"/>
      <c r="I2920" s="1342"/>
      <c r="J2920" s="1342"/>
      <c r="K2920" s="1342"/>
    </row>
    <row r="2921" spans="2:11" ht="14" hidden="1">
      <c r="B2921" s="1342"/>
      <c r="C2921" s="1342"/>
      <c r="D2921" s="1342"/>
      <c r="E2921" s="1342"/>
      <c r="F2921" s="1342"/>
      <c r="G2921" s="1342"/>
      <c r="H2921" s="1342"/>
      <c r="I2921" s="1342"/>
      <c r="J2921" s="1342"/>
      <c r="K2921" s="1342"/>
    </row>
    <row r="2922" spans="2:11" ht="14" hidden="1">
      <c r="B2922" s="1342"/>
      <c r="C2922" s="1342"/>
      <c r="D2922" s="1342"/>
      <c r="E2922" s="1342"/>
      <c r="F2922" s="1342"/>
      <c r="G2922" s="1342"/>
      <c r="H2922" s="1342"/>
      <c r="I2922" s="1342"/>
      <c r="J2922" s="1342"/>
      <c r="K2922" s="1342"/>
    </row>
    <row r="2923" spans="2:11" ht="14" hidden="1">
      <c r="B2923" s="1342"/>
      <c r="C2923" s="1342"/>
      <c r="D2923" s="1342"/>
      <c r="E2923" s="1342"/>
      <c r="F2923" s="1342"/>
      <c r="G2923" s="1342"/>
      <c r="H2923" s="1342"/>
      <c r="I2923" s="1342"/>
      <c r="J2923" s="1342"/>
      <c r="K2923" s="1342"/>
    </row>
    <row r="2924" spans="2:11" ht="14" hidden="1">
      <c r="B2924" s="1342"/>
      <c r="C2924" s="1342"/>
      <c r="D2924" s="1342"/>
      <c r="E2924" s="1342"/>
      <c r="F2924" s="1342"/>
      <c r="G2924" s="1342"/>
      <c r="H2924" s="1342"/>
      <c r="I2924" s="1342"/>
      <c r="J2924" s="1342"/>
      <c r="K2924" s="1342"/>
    </row>
    <row r="2925" spans="2:11" ht="14" hidden="1">
      <c r="B2925" s="1342"/>
      <c r="C2925" s="1342"/>
      <c r="D2925" s="1342"/>
      <c r="E2925" s="1342"/>
      <c r="F2925" s="1342"/>
      <c r="G2925" s="1342"/>
      <c r="H2925" s="1342"/>
      <c r="I2925" s="1342"/>
      <c r="J2925" s="1342"/>
      <c r="K2925" s="1342"/>
    </row>
    <row r="2926" spans="2:11" ht="14" hidden="1">
      <c r="B2926" s="1342"/>
      <c r="C2926" s="1342"/>
      <c r="D2926" s="1342"/>
      <c r="E2926" s="1342"/>
      <c r="F2926" s="1342"/>
      <c r="G2926" s="1342"/>
      <c r="H2926" s="1342"/>
      <c r="I2926" s="1342"/>
      <c r="J2926" s="1342"/>
      <c r="K2926" s="1342"/>
    </row>
    <row r="2927" spans="2:11" ht="14" hidden="1">
      <c r="B2927" s="1342"/>
      <c r="C2927" s="1342"/>
      <c r="D2927" s="1342"/>
      <c r="E2927" s="1342"/>
      <c r="F2927" s="1342"/>
      <c r="G2927" s="1342"/>
      <c r="H2927" s="1342"/>
      <c r="I2927" s="1342"/>
      <c r="J2927" s="1342"/>
      <c r="K2927" s="1342"/>
    </row>
    <row r="2928" spans="2:11" ht="14" hidden="1">
      <c r="B2928" s="1342"/>
      <c r="C2928" s="1342"/>
      <c r="D2928" s="1342"/>
      <c r="E2928" s="1342"/>
      <c r="F2928" s="1342"/>
      <c r="G2928" s="1342"/>
      <c r="H2928" s="1342"/>
      <c r="I2928" s="1342"/>
      <c r="J2928" s="1342"/>
      <c r="K2928" s="1342"/>
    </row>
    <row r="2929" spans="2:11" ht="14" hidden="1">
      <c r="B2929" s="1342"/>
      <c r="C2929" s="1342"/>
      <c r="D2929" s="1342"/>
      <c r="E2929" s="1342"/>
      <c r="F2929" s="1342"/>
      <c r="G2929" s="1342"/>
      <c r="H2929" s="1342"/>
      <c r="I2929" s="1342"/>
      <c r="J2929" s="1342"/>
      <c r="K2929" s="1342"/>
    </row>
    <row r="2930" spans="2:11" ht="14" hidden="1">
      <c r="B2930" s="1342"/>
      <c r="C2930" s="1342"/>
      <c r="D2930" s="1342"/>
      <c r="E2930" s="1342"/>
      <c r="F2930" s="1342"/>
      <c r="G2930" s="1342"/>
      <c r="H2930" s="1342"/>
      <c r="I2930" s="1342"/>
      <c r="J2930" s="1342"/>
      <c r="K2930" s="1342"/>
    </row>
    <row r="2931" spans="2:11" ht="14" hidden="1">
      <c r="B2931" s="1342"/>
      <c r="C2931" s="1342"/>
      <c r="D2931" s="1342"/>
      <c r="E2931" s="1342"/>
      <c r="F2931" s="1342"/>
      <c r="G2931" s="1342"/>
      <c r="H2931" s="1342"/>
      <c r="I2931" s="1342"/>
      <c r="J2931" s="1342"/>
      <c r="K2931" s="1342"/>
    </row>
    <row r="2932" spans="2:11" ht="14" hidden="1">
      <c r="B2932" s="1342"/>
      <c r="C2932" s="1342"/>
      <c r="D2932" s="1342"/>
      <c r="E2932" s="1342"/>
      <c r="F2932" s="1342"/>
      <c r="G2932" s="1342"/>
      <c r="H2932" s="1342"/>
      <c r="I2932" s="1342"/>
      <c r="J2932" s="1342"/>
      <c r="K2932" s="1342"/>
    </row>
    <row r="2933" spans="2:11" ht="14" hidden="1">
      <c r="B2933" s="1342"/>
      <c r="C2933" s="1342"/>
      <c r="D2933" s="1342"/>
      <c r="E2933" s="1342"/>
      <c r="F2933" s="1342"/>
      <c r="G2933" s="1342"/>
      <c r="H2933" s="1342"/>
      <c r="I2933" s="1342"/>
      <c r="J2933" s="1342"/>
      <c r="K2933" s="1342"/>
    </row>
    <row r="2934" spans="2:11" ht="14" hidden="1">
      <c r="B2934" s="1342"/>
      <c r="C2934" s="1342"/>
      <c r="D2934" s="1342"/>
      <c r="E2934" s="1342"/>
      <c r="F2934" s="1342"/>
      <c r="G2934" s="1342"/>
      <c r="H2934" s="1342"/>
      <c r="I2934" s="1342"/>
      <c r="J2934" s="1342"/>
      <c r="K2934" s="1342"/>
    </row>
    <row r="2935" spans="2:11" ht="14" hidden="1">
      <c r="B2935" s="1342"/>
      <c r="C2935" s="1342"/>
      <c r="D2935" s="1342"/>
      <c r="E2935" s="1342"/>
      <c r="F2935" s="1342"/>
      <c r="G2935" s="1342"/>
      <c r="H2935" s="1342"/>
      <c r="I2935" s="1342"/>
      <c r="J2935" s="1342"/>
      <c r="K2935" s="1342"/>
    </row>
    <row r="2936" spans="2:11" ht="14" hidden="1">
      <c r="B2936" s="1342"/>
      <c r="C2936" s="1342"/>
      <c r="D2936" s="1342"/>
      <c r="E2936" s="1342"/>
      <c r="F2936" s="1342"/>
      <c r="G2936" s="1342"/>
      <c r="H2936" s="1342"/>
      <c r="I2936" s="1342"/>
      <c r="J2936" s="1342"/>
      <c r="K2936" s="1342"/>
    </row>
    <row r="2937" spans="2:11" ht="14" hidden="1">
      <c r="B2937" s="1342"/>
      <c r="C2937" s="1342"/>
      <c r="D2937" s="1342"/>
      <c r="E2937" s="1342"/>
      <c r="F2937" s="1342"/>
      <c r="G2937" s="1342"/>
      <c r="H2937" s="1342"/>
      <c r="I2937" s="1342"/>
      <c r="J2937" s="1342"/>
      <c r="K2937" s="1342"/>
    </row>
    <row r="2938" spans="2:11" ht="14" hidden="1">
      <c r="B2938" s="1342"/>
      <c r="C2938" s="1342"/>
      <c r="D2938" s="1342"/>
      <c r="E2938" s="1342"/>
      <c r="F2938" s="1342"/>
      <c r="G2938" s="1342"/>
      <c r="H2938" s="1342"/>
      <c r="I2938" s="1342"/>
      <c r="J2938" s="1342"/>
      <c r="K2938" s="1342"/>
    </row>
    <row r="2939" spans="2:11" ht="14" hidden="1">
      <c r="B2939" s="1342"/>
      <c r="C2939" s="1342"/>
      <c r="D2939" s="1342"/>
      <c r="E2939" s="1342"/>
      <c r="F2939" s="1342"/>
      <c r="G2939" s="1342"/>
      <c r="H2939" s="1342"/>
      <c r="I2939" s="1342"/>
      <c r="J2939" s="1342"/>
      <c r="K2939" s="1342"/>
    </row>
    <row r="2940" spans="2:11" ht="14" hidden="1">
      <c r="B2940" s="1342"/>
      <c r="C2940" s="1342"/>
      <c r="D2940" s="1342"/>
      <c r="E2940" s="1342"/>
      <c r="F2940" s="1342"/>
      <c r="G2940" s="1342"/>
      <c r="H2940" s="1342"/>
      <c r="I2940" s="1342"/>
      <c r="J2940" s="1342"/>
      <c r="K2940" s="1342"/>
    </row>
    <row r="2941" spans="2:11" ht="14" hidden="1">
      <c r="B2941" s="1342"/>
      <c r="C2941" s="1342"/>
      <c r="D2941" s="1342"/>
      <c r="E2941" s="1342"/>
      <c r="F2941" s="1342"/>
      <c r="G2941" s="1342"/>
      <c r="H2941" s="1342"/>
      <c r="I2941" s="1342"/>
      <c r="J2941" s="1342"/>
      <c r="K2941" s="1342"/>
    </row>
    <row r="2942" spans="2:11" ht="14" hidden="1">
      <c r="B2942" s="1342"/>
      <c r="C2942" s="1342"/>
      <c r="D2942" s="1342"/>
      <c r="E2942" s="1342"/>
      <c r="F2942" s="1342"/>
      <c r="G2942" s="1342"/>
      <c r="H2942" s="1342"/>
      <c r="I2942" s="1342"/>
      <c r="J2942" s="1342"/>
      <c r="K2942" s="1342"/>
    </row>
    <row r="2943" spans="2:11" ht="14" hidden="1">
      <c r="B2943" s="1342"/>
      <c r="C2943" s="1342"/>
      <c r="D2943" s="1342"/>
      <c r="E2943" s="1342"/>
      <c r="F2943" s="1342"/>
      <c r="G2943" s="1342"/>
      <c r="H2943" s="1342"/>
      <c r="I2943" s="1342"/>
      <c r="J2943" s="1342"/>
      <c r="K2943" s="1342"/>
    </row>
    <row r="2944" spans="2:11" ht="14" hidden="1">
      <c r="B2944" s="1342"/>
      <c r="C2944" s="1342"/>
      <c r="D2944" s="1342"/>
      <c r="E2944" s="1342"/>
      <c r="F2944" s="1342"/>
      <c r="G2944" s="1342"/>
      <c r="H2944" s="1342"/>
      <c r="I2944" s="1342"/>
      <c r="J2944" s="1342"/>
      <c r="K2944" s="1342"/>
    </row>
    <row r="2945" spans="2:11" ht="14" hidden="1">
      <c r="B2945" s="1342"/>
      <c r="C2945" s="1342"/>
      <c r="D2945" s="1342"/>
      <c r="E2945" s="1342"/>
      <c r="F2945" s="1342"/>
      <c r="G2945" s="1342"/>
      <c r="H2945" s="1342"/>
      <c r="I2945" s="1342"/>
      <c r="J2945" s="1342"/>
      <c r="K2945" s="1342"/>
    </row>
    <row r="2946" spans="2:11" ht="14" hidden="1">
      <c r="B2946" s="1342"/>
      <c r="C2946" s="1342"/>
      <c r="D2946" s="1342"/>
      <c r="E2946" s="1342"/>
      <c r="F2946" s="1342"/>
      <c r="G2946" s="1342"/>
      <c r="H2946" s="1342"/>
      <c r="I2946" s="1342"/>
      <c r="J2946" s="1342"/>
      <c r="K2946" s="1342"/>
    </row>
    <row r="2947" spans="2:11" ht="14" hidden="1">
      <c r="B2947" s="1342"/>
      <c r="C2947" s="1342"/>
      <c r="D2947" s="1342"/>
      <c r="E2947" s="1342"/>
      <c r="F2947" s="1342"/>
      <c r="G2947" s="1342"/>
      <c r="H2947" s="1342"/>
      <c r="I2947" s="1342"/>
      <c r="J2947" s="1342"/>
      <c r="K2947" s="1342"/>
    </row>
    <row r="2948" spans="2:11" ht="14" hidden="1">
      <c r="B2948" s="1342"/>
      <c r="C2948" s="1342"/>
      <c r="D2948" s="1342"/>
      <c r="E2948" s="1342"/>
      <c r="F2948" s="1342"/>
      <c r="G2948" s="1342"/>
      <c r="H2948" s="1342"/>
      <c r="I2948" s="1342"/>
      <c r="J2948" s="1342"/>
      <c r="K2948" s="1342"/>
    </row>
    <row r="2949" spans="2:11" ht="14" hidden="1">
      <c r="B2949" s="1342"/>
      <c r="C2949" s="1342"/>
      <c r="D2949" s="1342"/>
      <c r="E2949" s="1342"/>
      <c r="F2949" s="1342"/>
      <c r="G2949" s="1342"/>
      <c r="H2949" s="1342"/>
      <c r="I2949" s="1342"/>
      <c r="J2949" s="1342"/>
      <c r="K2949" s="1342"/>
    </row>
    <row r="2950" spans="2:11" ht="14" hidden="1">
      <c r="B2950" s="1342"/>
      <c r="C2950" s="1342"/>
      <c r="D2950" s="1342"/>
      <c r="E2950" s="1342"/>
      <c r="F2950" s="1342"/>
      <c r="G2950" s="1342"/>
      <c r="H2950" s="1342"/>
      <c r="I2950" s="1342"/>
      <c r="J2950" s="1342"/>
      <c r="K2950" s="1342"/>
    </row>
    <row r="2951" spans="2:11" ht="14" hidden="1">
      <c r="B2951" s="1342"/>
      <c r="C2951" s="1342"/>
      <c r="D2951" s="1342"/>
      <c r="E2951" s="1342"/>
      <c r="F2951" s="1342"/>
      <c r="G2951" s="1342"/>
      <c r="H2951" s="1342"/>
      <c r="I2951" s="1342"/>
      <c r="J2951" s="1342"/>
      <c r="K2951" s="1342"/>
    </row>
    <row r="2952" spans="2:11" ht="14" hidden="1">
      <c r="B2952" s="1342"/>
      <c r="C2952" s="1342"/>
      <c r="D2952" s="1342"/>
      <c r="E2952" s="1342"/>
      <c r="F2952" s="1342"/>
      <c r="G2952" s="1342"/>
      <c r="H2952" s="1342"/>
      <c r="I2952" s="1342"/>
      <c r="J2952" s="1342"/>
      <c r="K2952" s="1342"/>
    </row>
    <row r="2953" spans="2:11" ht="14" hidden="1">
      <c r="B2953" s="1342"/>
      <c r="C2953" s="1342"/>
      <c r="D2953" s="1342"/>
      <c r="E2953" s="1342"/>
      <c r="F2953" s="1342"/>
      <c r="G2953" s="1342"/>
      <c r="H2953" s="1342"/>
      <c r="I2953" s="1342"/>
      <c r="J2953" s="1342"/>
      <c r="K2953" s="1342"/>
    </row>
    <row r="2954" spans="2:11" ht="14" hidden="1">
      <c r="B2954" s="1342"/>
      <c r="C2954" s="1342"/>
      <c r="D2954" s="1342"/>
      <c r="E2954" s="1342"/>
      <c r="F2954" s="1342"/>
      <c r="G2954" s="1342"/>
      <c r="H2954" s="1342"/>
      <c r="I2954" s="1342"/>
      <c r="J2954" s="1342"/>
      <c r="K2954" s="1342"/>
    </row>
    <row r="2955" spans="2:11" ht="14" hidden="1">
      <c r="B2955" s="1342"/>
      <c r="C2955" s="1342"/>
      <c r="D2955" s="1342"/>
      <c r="E2955" s="1342"/>
      <c r="F2955" s="1342"/>
      <c r="G2955" s="1342"/>
      <c r="H2955" s="1342"/>
      <c r="I2955" s="1342"/>
      <c r="J2955" s="1342"/>
      <c r="K2955" s="1342"/>
    </row>
    <row r="2956" spans="2:11" ht="14" hidden="1">
      <c r="B2956" s="1342"/>
      <c r="C2956" s="1342"/>
      <c r="D2956" s="1342"/>
      <c r="E2956" s="1342"/>
      <c r="F2956" s="1342"/>
      <c r="G2956" s="1342"/>
      <c r="H2956" s="1342"/>
      <c r="I2956" s="1342"/>
      <c r="J2956" s="1342"/>
      <c r="K2956" s="1342"/>
    </row>
    <row r="2957" spans="2:11" ht="14" hidden="1">
      <c r="B2957" s="1342"/>
      <c r="C2957" s="1342"/>
      <c r="D2957" s="1342"/>
      <c r="E2957" s="1342"/>
      <c r="F2957" s="1342"/>
      <c r="G2957" s="1342"/>
      <c r="H2957" s="1342"/>
      <c r="I2957" s="1342"/>
      <c r="J2957" s="1342"/>
      <c r="K2957" s="1342"/>
    </row>
    <row r="2958" spans="2:11" ht="14" hidden="1">
      <c r="B2958" s="1342"/>
      <c r="C2958" s="1342"/>
      <c r="D2958" s="1342"/>
      <c r="E2958" s="1342"/>
      <c r="F2958" s="1342"/>
      <c r="G2958" s="1342"/>
      <c r="H2958" s="1342"/>
      <c r="I2958" s="1342"/>
      <c r="J2958" s="1342"/>
      <c r="K2958" s="1342"/>
    </row>
    <row r="2959" spans="2:11" ht="14" hidden="1">
      <c r="B2959" s="1342"/>
      <c r="C2959" s="1342"/>
      <c r="D2959" s="1342"/>
      <c r="E2959" s="1342"/>
      <c r="F2959" s="1342"/>
      <c r="G2959" s="1342"/>
      <c r="H2959" s="1342"/>
      <c r="I2959" s="1342"/>
      <c r="J2959" s="1342"/>
      <c r="K2959" s="1342"/>
    </row>
    <row r="2960" spans="2:11" ht="14" hidden="1">
      <c r="B2960" s="1342"/>
      <c r="C2960" s="1342"/>
      <c r="D2960" s="1342"/>
      <c r="E2960" s="1342"/>
      <c r="F2960" s="1342"/>
      <c r="G2960" s="1342"/>
      <c r="H2960" s="1342"/>
      <c r="I2960" s="1342"/>
      <c r="J2960" s="1342"/>
      <c r="K2960" s="1342"/>
    </row>
    <row r="2961" spans="2:11" ht="14" hidden="1">
      <c r="B2961" s="1342"/>
      <c r="C2961" s="1342"/>
      <c r="D2961" s="1342"/>
      <c r="E2961" s="1342"/>
      <c r="F2961" s="1342"/>
      <c r="G2961" s="1342"/>
      <c r="H2961" s="1342"/>
      <c r="I2961" s="1342"/>
      <c r="J2961" s="1342"/>
      <c r="K2961" s="1342"/>
    </row>
    <row r="2962" spans="2:11" ht="14" hidden="1">
      <c r="B2962" s="1342"/>
      <c r="C2962" s="1342"/>
      <c r="D2962" s="1342"/>
      <c r="E2962" s="1342"/>
      <c r="F2962" s="1342"/>
      <c r="G2962" s="1342"/>
      <c r="H2962" s="1342"/>
      <c r="I2962" s="1342"/>
      <c r="J2962" s="1342"/>
      <c r="K2962" s="1342"/>
    </row>
    <row r="2963" spans="2:11" ht="14" hidden="1">
      <c r="B2963" s="1342"/>
      <c r="C2963" s="1342"/>
      <c r="D2963" s="1342"/>
      <c r="E2963" s="1342"/>
      <c r="F2963" s="1342"/>
      <c r="G2963" s="1342"/>
      <c r="H2963" s="1342"/>
      <c r="I2963" s="1342"/>
      <c r="J2963" s="1342"/>
      <c r="K2963" s="1342"/>
    </row>
    <row r="2964" spans="2:11" ht="14" hidden="1">
      <c r="B2964" s="1342"/>
      <c r="C2964" s="1342"/>
      <c r="D2964" s="1342"/>
      <c r="E2964" s="1342"/>
      <c r="F2964" s="1342"/>
      <c r="G2964" s="1342"/>
      <c r="H2964" s="1342"/>
      <c r="I2964" s="1342"/>
      <c r="J2964" s="1342"/>
      <c r="K2964" s="1342"/>
    </row>
    <row r="2965" spans="2:11" ht="14" hidden="1">
      <c r="B2965" s="1342"/>
      <c r="C2965" s="1342"/>
      <c r="D2965" s="1342"/>
      <c r="E2965" s="1342"/>
      <c r="F2965" s="1342"/>
      <c r="G2965" s="1342"/>
      <c r="H2965" s="1342"/>
      <c r="I2965" s="1342"/>
      <c r="J2965" s="1342"/>
      <c r="K2965" s="1342"/>
    </row>
    <row r="2966" spans="2:11" ht="14" hidden="1">
      <c r="B2966" s="1342"/>
      <c r="C2966" s="1342"/>
      <c r="D2966" s="1342"/>
      <c r="E2966" s="1342"/>
      <c r="F2966" s="1342"/>
      <c r="G2966" s="1342"/>
      <c r="H2966" s="1342"/>
      <c r="I2966" s="1342"/>
      <c r="J2966" s="1342"/>
      <c r="K2966" s="1342"/>
    </row>
    <row r="2967" spans="2:11" ht="14" hidden="1">
      <c r="B2967" s="1342"/>
      <c r="C2967" s="1342"/>
      <c r="D2967" s="1342"/>
      <c r="E2967" s="1342"/>
      <c r="F2967" s="1342"/>
      <c r="G2967" s="1342"/>
      <c r="H2967" s="1342"/>
      <c r="I2967" s="1342"/>
      <c r="J2967" s="1342"/>
      <c r="K2967" s="1342"/>
    </row>
    <row r="2968" spans="2:11" ht="14" hidden="1">
      <c r="B2968" s="1342"/>
      <c r="C2968" s="1342"/>
      <c r="D2968" s="1342"/>
      <c r="E2968" s="1342"/>
      <c r="F2968" s="1342"/>
      <c r="G2968" s="1342"/>
      <c r="H2968" s="1342"/>
      <c r="I2968" s="1342"/>
      <c r="J2968" s="1342"/>
      <c r="K2968" s="1342"/>
    </row>
    <row r="2969" spans="2:11" ht="14" hidden="1">
      <c r="B2969" s="1342"/>
      <c r="C2969" s="1342"/>
      <c r="D2969" s="1342"/>
      <c r="E2969" s="1342"/>
      <c r="F2969" s="1342"/>
      <c r="G2969" s="1342"/>
      <c r="H2969" s="1342"/>
      <c r="I2969" s="1342"/>
      <c r="J2969" s="1342"/>
      <c r="K2969" s="1342"/>
    </row>
    <row r="2970" spans="2:11" ht="14" hidden="1">
      <c r="B2970" s="1342"/>
      <c r="C2970" s="1342"/>
      <c r="D2970" s="1342"/>
      <c r="E2970" s="1342"/>
      <c r="F2970" s="1342"/>
      <c r="G2970" s="1342"/>
      <c r="H2970" s="1342"/>
      <c r="I2970" s="1342"/>
      <c r="J2970" s="1342"/>
      <c r="K2970" s="1342"/>
    </row>
    <row r="2971" spans="2:11" ht="14" hidden="1">
      <c r="B2971" s="1342"/>
      <c r="C2971" s="1342"/>
      <c r="D2971" s="1342"/>
      <c r="E2971" s="1342"/>
      <c r="F2971" s="1342"/>
      <c r="G2971" s="1342"/>
      <c r="H2971" s="1342"/>
      <c r="I2971" s="1342"/>
      <c r="J2971" s="1342"/>
      <c r="K2971" s="1342"/>
    </row>
    <row r="2972" spans="2:11" ht="14" hidden="1">
      <c r="B2972" s="1342"/>
      <c r="C2972" s="1342"/>
      <c r="D2972" s="1342"/>
      <c r="E2972" s="1342"/>
      <c r="F2972" s="1342"/>
      <c r="G2972" s="1342"/>
      <c r="H2972" s="1342"/>
      <c r="I2972" s="1342"/>
      <c r="J2972" s="1342"/>
      <c r="K2972" s="1342"/>
    </row>
    <row r="2973" spans="2:11" ht="14" hidden="1">
      <c r="B2973" s="1342"/>
      <c r="C2973" s="1342"/>
      <c r="D2973" s="1342"/>
      <c r="E2973" s="1342"/>
      <c r="F2973" s="1342"/>
      <c r="G2973" s="1342"/>
      <c r="H2973" s="1342"/>
      <c r="I2973" s="1342"/>
      <c r="J2973" s="1342"/>
      <c r="K2973" s="1342"/>
    </row>
    <row r="2974" spans="2:11" ht="14" hidden="1">
      <c r="B2974" s="1342"/>
      <c r="C2974" s="1342"/>
      <c r="D2974" s="1342"/>
      <c r="E2974" s="1342"/>
      <c r="F2974" s="1342"/>
      <c r="G2974" s="1342"/>
      <c r="H2974" s="1342"/>
      <c r="I2974" s="1342"/>
      <c r="J2974" s="1342"/>
      <c r="K2974" s="1342"/>
    </row>
    <row r="2975" spans="2:11" ht="14" hidden="1">
      <c r="B2975" s="1342"/>
      <c r="C2975" s="1342"/>
      <c r="D2975" s="1342"/>
      <c r="E2975" s="1342"/>
      <c r="F2975" s="1342"/>
      <c r="G2975" s="1342"/>
      <c r="H2975" s="1342"/>
      <c r="I2975" s="1342"/>
      <c r="J2975" s="1342"/>
      <c r="K2975" s="1342"/>
    </row>
    <row r="2976" spans="2:11" ht="14" hidden="1">
      <c r="B2976" s="1342"/>
      <c r="C2976" s="1342"/>
      <c r="D2976" s="1342"/>
      <c r="E2976" s="1342"/>
      <c r="F2976" s="1342"/>
      <c r="G2976" s="1342"/>
      <c r="H2976" s="1342"/>
      <c r="I2976" s="1342"/>
      <c r="J2976" s="1342"/>
      <c r="K2976" s="1342"/>
    </row>
    <row r="2977" spans="2:11" ht="14" hidden="1">
      <c r="B2977" s="1342"/>
      <c r="C2977" s="1342"/>
      <c r="D2977" s="1342"/>
      <c r="E2977" s="1342"/>
      <c r="F2977" s="1342"/>
      <c r="G2977" s="1342"/>
      <c r="H2977" s="1342"/>
      <c r="I2977" s="1342"/>
      <c r="J2977" s="1342"/>
      <c r="K2977" s="1342"/>
    </row>
    <row r="2978" spans="2:11" ht="14" hidden="1">
      <c r="B2978" s="1342"/>
      <c r="C2978" s="1342"/>
      <c r="D2978" s="1342"/>
      <c r="E2978" s="1342"/>
      <c r="F2978" s="1342"/>
      <c r="G2978" s="1342"/>
      <c r="H2978" s="1342"/>
      <c r="I2978" s="1342"/>
      <c r="J2978" s="1342"/>
      <c r="K2978" s="1342"/>
    </row>
    <row r="2979" spans="2:11" ht="14" hidden="1">
      <c r="B2979" s="1342"/>
      <c r="C2979" s="1342"/>
      <c r="D2979" s="1342"/>
      <c r="E2979" s="1342"/>
      <c r="F2979" s="1342"/>
      <c r="G2979" s="1342"/>
      <c r="H2979" s="1342"/>
      <c r="I2979" s="1342"/>
      <c r="J2979" s="1342"/>
      <c r="K2979" s="1342"/>
    </row>
    <row r="2980" spans="2:11" ht="14" hidden="1">
      <c r="B2980" s="1342"/>
      <c r="C2980" s="1342"/>
      <c r="D2980" s="1342"/>
      <c r="E2980" s="1342"/>
      <c r="F2980" s="1342"/>
      <c r="G2980" s="1342"/>
      <c r="H2980" s="1342"/>
      <c r="I2980" s="1342"/>
      <c r="J2980" s="1342"/>
      <c r="K2980" s="1342"/>
    </row>
    <row r="2981" spans="2:11" ht="14" hidden="1">
      <c r="B2981" s="1342"/>
      <c r="C2981" s="1342"/>
      <c r="D2981" s="1342"/>
      <c r="E2981" s="1342"/>
      <c r="F2981" s="1342"/>
      <c r="G2981" s="1342"/>
      <c r="H2981" s="1342"/>
      <c r="I2981" s="1342"/>
      <c r="J2981" s="1342"/>
      <c r="K2981" s="1342"/>
    </row>
    <row r="2982" spans="2:11" ht="14" hidden="1">
      <c r="B2982" s="1342"/>
      <c r="C2982" s="1342"/>
      <c r="D2982" s="1342"/>
      <c r="E2982" s="1342"/>
      <c r="F2982" s="1342"/>
      <c r="G2982" s="1342"/>
      <c r="H2982" s="1342"/>
      <c r="I2982" s="1342"/>
      <c r="J2982" s="1342"/>
      <c r="K2982" s="1342"/>
    </row>
    <row r="2983" spans="2:11" ht="14" hidden="1">
      <c r="B2983" s="1342"/>
      <c r="C2983" s="1342"/>
      <c r="D2983" s="1342"/>
      <c r="E2983" s="1342"/>
      <c r="F2983" s="1342"/>
      <c r="G2983" s="1342"/>
      <c r="H2983" s="1342"/>
      <c r="I2983" s="1342"/>
      <c r="J2983" s="1342"/>
      <c r="K2983" s="1342"/>
    </row>
    <row r="2984" spans="2:11" ht="14" hidden="1">
      <c r="B2984" s="1342"/>
      <c r="C2984" s="1342"/>
      <c r="D2984" s="1342"/>
      <c r="E2984" s="1342"/>
      <c r="F2984" s="1342"/>
      <c r="G2984" s="1342"/>
      <c r="H2984" s="1342"/>
      <c r="I2984" s="1342"/>
      <c r="J2984" s="1342"/>
      <c r="K2984" s="1342"/>
    </row>
    <row r="2985" spans="2:11" ht="14" hidden="1">
      <c r="B2985" s="1342"/>
      <c r="C2985" s="1342"/>
      <c r="D2985" s="1342"/>
      <c r="E2985" s="1342"/>
      <c r="F2985" s="1342"/>
      <c r="G2985" s="1342"/>
      <c r="H2985" s="1342"/>
      <c r="I2985" s="1342"/>
      <c r="J2985" s="1342"/>
      <c r="K2985" s="1342"/>
    </row>
    <row r="2986" spans="2:11" ht="14" hidden="1">
      <c r="B2986" s="1342"/>
      <c r="C2986" s="1342"/>
      <c r="D2986" s="1342"/>
      <c r="E2986" s="1342"/>
      <c r="F2986" s="1342"/>
      <c r="G2986" s="1342"/>
      <c r="H2986" s="1342"/>
      <c r="I2986" s="1342"/>
      <c r="J2986" s="1342"/>
      <c r="K2986" s="1342"/>
    </row>
    <row r="2987" spans="2:11" ht="14" hidden="1">
      <c r="B2987" s="1342"/>
      <c r="C2987" s="1342"/>
      <c r="D2987" s="1342"/>
      <c r="E2987" s="1342"/>
      <c r="F2987" s="1342"/>
      <c r="G2987" s="1342"/>
      <c r="H2987" s="1342"/>
      <c r="I2987" s="1342"/>
      <c r="J2987" s="1342"/>
      <c r="K2987" s="1342"/>
    </row>
    <row r="2988" spans="2:11" ht="14" hidden="1">
      <c r="B2988" s="1342"/>
      <c r="C2988" s="1342"/>
      <c r="D2988" s="1342"/>
      <c r="E2988" s="1342"/>
      <c r="F2988" s="1342"/>
      <c r="G2988" s="1342"/>
      <c r="H2988" s="1342"/>
      <c r="I2988" s="1342"/>
      <c r="J2988" s="1342"/>
      <c r="K2988" s="1342"/>
    </row>
    <row r="2989" spans="2:11" ht="14" hidden="1">
      <c r="B2989" s="1342"/>
      <c r="C2989" s="1342"/>
      <c r="D2989" s="1342"/>
      <c r="E2989" s="1342"/>
      <c r="F2989" s="1342"/>
      <c r="G2989" s="1342"/>
      <c r="H2989" s="1342"/>
      <c r="I2989" s="1342"/>
      <c r="J2989" s="1342"/>
      <c r="K2989" s="1342"/>
    </row>
    <row r="2990" spans="2:11" ht="14" hidden="1">
      <c r="B2990" s="1342"/>
      <c r="C2990" s="1342"/>
      <c r="D2990" s="1342"/>
      <c r="E2990" s="1342"/>
      <c r="F2990" s="1342"/>
      <c r="G2990" s="1342"/>
      <c r="H2990" s="1342"/>
      <c r="I2990" s="1342"/>
      <c r="J2990" s="1342"/>
      <c r="K2990" s="1342"/>
    </row>
    <row r="2991" spans="2:11" ht="14" hidden="1">
      <c r="B2991" s="1342"/>
      <c r="C2991" s="1342"/>
      <c r="D2991" s="1342"/>
      <c r="E2991" s="1342"/>
      <c r="F2991" s="1342"/>
      <c r="G2991" s="1342"/>
      <c r="H2991" s="1342"/>
      <c r="I2991" s="1342"/>
      <c r="J2991" s="1342"/>
      <c r="K2991" s="1342"/>
    </row>
    <row r="2992" spans="2:11" ht="14" hidden="1">
      <c r="B2992" s="1342"/>
      <c r="C2992" s="1342"/>
      <c r="D2992" s="1342"/>
      <c r="E2992" s="1342"/>
      <c r="F2992" s="1342"/>
      <c r="G2992" s="1342"/>
      <c r="H2992" s="1342"/>
      <c r="I2992" s="1342"/>
      <c r="J2992" s="1342"/>
      <c r="K2992" s="1342"/>
    </row>
    <row r="2993" spans="2:11" ht="14" hidden="1">
      <c r="B2993" s="1342"/>
      <c r="C2993" s="1342"/>
      <c r="D2993" s="1342"/>
      <c r="E2993" s="1342"/>
      <c r="F2993" s="1342"/>
      <c r="G2993" s="1342"/>
      <c r="H2993" s="1342"/>
      <c r="I2993" s="1342"/>
      <c r="J2993" s="1342"/>
      <c r="K2993" s="1342"/>
    </row>
    <row r="2994" spans="2:11" ht="14" hidden="1">
      <c r="B2994" s="1342"/>
      <c r="C2994" s="1342"/>
      <c r="D2994" s="1342"/>
      <c r="E2994" s="1342"/>
      <c r="F2994" s="1342"/>
      <c r="G2994" s="1342"/>
      <c r="H2994" s="1342"/>
      <c r="I2994" s="1342"/>
      <c r="J2994" s="1342"/>
      <c r="K2994" s="1342"/>
    </row>
    <row r="2995" spans="2:11" ht="14" hidden="1">
      <c r="B2995" s="1342"/>
      <c r="C2995" s="1342"/>
      <c r="D2995" s="1342"/>
      <c r="E2995" s="1342"/>
      <c r="F2995" s="1342"/>
      <c r="G2995" s="1342"/>
      <c r="H2995" s="1342"/>
      <c r="I2995" s="1342"/>
      <c r="J2995" s="1342"/>
      <c r="K2995" s="1342"/>
    </row>
    <row r="2996" spans="2:11" ht="14" hidden="1">
      <c r="B2996" s="1342"/>
      <c r="C2996" s="1342"/>
      <c r="D2996" s="1342"/>
      <c r="E2996" s="1342"/>
      <c r="F2996" s="1342"/>
      <c r="G2996" s="1342"/>
      <c r="H2996" s="1342"/>
      <c r="I2996" s="1342"/>
      <c r="J2996" s="1342"/>
      <c r="K2996" s="1342"/>
    </row>
    <row r="2997" spans="2:11" ht="14" hidden="1">
      <c r="B2997" s="1342"/>
      <c r="C2997" s="1342"/>
      <c r="D2997" s="1342"/>
      <c r="E2997" s="1342"/>
      <c r="F2997" s="1342"/>
      <c r="G2997" s="1342"/>
      <c r="H2997" s="1342"/>
      <c r="I2997" s="1342"/>
      <c r="J2997" s="1342"/>
      <c r="K2997" s="1342"/>
    </row>
    <row r="2998" spans="2:11" ht="14" hidden="1">
      <c r="B2998" s="1342"/>
      <c r="C2998" s="1342"/>
      <c r="D2998" s="1342"/>
      <c r="E2998" s="1342"/>
      <c r="F2998" s="1342"/>
      <c r="G2998" s="1342"/>
      <c r="H2998" s="1342"/>
      <c r="I2998" s="1342"/>
      <c r="J2998" s="1342"/>
      <c r="K2998" s="1342"/>
    </row>
    <row r="2999" spans="2:11" ht="14" hidden="1">
      <c r="B2999" s="1342"/>
      <c r="C2999" s="1342"/>
      <c r="D2999" s="1342"/>
      <c r="E2999" s="1342"/>
      <c r="F2999" s="1342"/>
      <c r="G2999" s="1342"/>
      <c r="H2999" s="1342"/>
      <c r="I2999" s="1342"/>
      <c r="J2999" s="1342"/>
      <c r="K2999" s="1342"/>
    </row>
    <row r="3000" spans="2:11" ht="14" hidden="1">
      <c r="B3000" s="1342"/>
      <c r="C3000" s="1342"/>
      <c r="D3000" s="1342"/>
      <c r="E3000" s="1342"/>
      <c r="F3000" s="1342"/>
      <c r="G3000" s="1342"/>
      <c r="H3000" s="1342"/>
      <c r="I3000" s="1342"/>
      <c r="J3000" s="1342"/>
      <c r="K3000" s="1342"/>
    </row>
    <row r="3001" spans="2:11" ht="14" hidden="1">
      <c r="B3001" s="1342"/>
      <c r="C3001" s="1342"/>
      <c r="D3001" s="1342"/>
      <c r="E3001" s="1342"/>
      <c r="F3001" s="1342"/>
      <c r="G3001" s="1342"/>
      <c r="H3001" s="1342"/>
      <c r="I3001" s="1342"/>
      <c r="J3001" s="1342"/>
      <c r="K3001" s="1342"/>
    </row>
    <row r="3002" spans="2:11" ht="14" hidden="1">
      <c r="B3002" s="1342"/>
      <c r="C3002" s="1342"/>
      <c r="D3002" s="1342"/>
      <c r="E3002" s="1342"/>
      <c r="F3002" s="1342"/>
      <c r="G3002" s="1342"/>
      <c r="H3002" s="1342"/>
      <c r="I3002" s="1342"/>
      <c r="J3002" s="1342"/>
      <c r="K3002" s="1342"/>
    </row>
    <row r="3003" spans="2:11" ht="14" hidden="1">
      <c r="B3003" s="1342"/>
      <c r="C3003" s="1342"/>
      <c r="D3003" s="1342"/>
      <c r="E3003" s="1342"/>
      <c r="F3003" s="1342"/>
      <c r="G3003" s="1342"/>
      <c r="H3003" s="1342"/>
      <c r="I3003" s="1342"/>
      <c r="J3003" s="1342"/>
      <c r="K3003" s="1342"/>
    </row>
    <row r="3004" spans="2:11" ht="14" hidden="1">
      <c r="B3004" s="1342"/>
      <c r="C3004" s="1342"/>
      <c r="D3004" s="1342"/>
      <c r="E3004" s="1342"/>
      <c r="F3004" s="1342"/>
      <c r="G3004" s="1342"/>
      <c r="H3004" s="1342"/>
      <c r="I3004" s="1342"/>
      <c r="J3004" s="1342"/>
      <c r="K3004" s="1342"/>
    </row>
    <row r="3005" spans="2:11" ht="14" hidden="1">
      <c r="B3005" s="1342"/>
      <c r="C3005" s="1342"/>
      <c r="D3005" s="1342"/>
      <c r="E3005" s="1342"/>
      <c r="F3005" s="1342"/>
      <c r="G3005" s="1342"/>
      <c r="H3005" s="1342"/>
      <c r="I3005" s="1342"/>
      <c r="J3005" s="1342"/>
      <c r="K3005" s="1342"/>
    </row>
    <row r="3006" spans="2:11" ht="14" hidden="1">
      <c r="B3006" s="1342"/>
      <c r="C3006" s="1342"/>
      <c r="D3006" s="1342"/>
      <c r="E3006" s="1342"/>
      <c r="F3006" s="1342"/>
      <c r="G3006" s="1342"/>
      <c r="H3006" s="1342"/>
      <c r="I3006" s="1342"/>
      <c r="J3006" s="1342"/>
      <c r="K3006" s="1342"/>
    </row>
    <row r="3007" spans="2:11" ht="14" hidden="1">
      <c r="B3007" s="1342"/>
      <c r="C3007" s="1342"/>
      <c r="D3007" s="1342"/>
      <c r="E3007" s="1342"/>
      <c r="F3007" s="1342"/>
      <c r="G3007" s="1342"/>
      <c r="H3007" s="1342"/>
      <c r="I3007" s="1342"/>
      <c r="J3007" s="1342"/>
      <c r="K3007" s="1342"/>
    </row>
    <row r="3008" spans="2:11" ht="14" hidden="1">
      <c r="B3008" s="1342"/>
      <c r="C3008" s="1342"/>
      <c r="D3008" s="1342"/>
      <c r="E3008" s="1342"/>
      <c r="F3008" s="1342"/>
      <c r="G3008" s="1342"/>
      <c r="H3008" s="1342"/>
      <c r="I3008" s="1342"/>
      <c r="J3008" s="1342"/>
      <c r="K3008" s="1342"/>
    </row>
    <row r="3009" spans="2:11" ht="14" hidden="1">
      <c r="B3009" s="1342"/>
      <c r="C3009" s="1342"/>
      <c r="D3009" s="1342"/>
      <c r="E3009" s="1342"/>
      <c r="F3009" s="1342"/>
      <c r="G3009" s="1342"/>
      <c r="H3009" s="1342"/>
      <c r="I3009" s="1342"/>
      <c r="J3009" s="1342"/>
      <c r="K3009" s="1342"/>
    </row>
    <row r="3010" spans="2:11" ht="14" hidden="1">
      <c r="B3010" s="1342"/>
      <c r="C3010" s="1342"/>
      <c r="D3010" s="1342"/>
      <c r="E3010" s="1342"/>
      <c r="F3010" s="1342"/>
      <c r="G3010" s="1342"/>
      <c r="H3010" s="1342"/>
      <c r="I3010" s="1342"/>
      <c r="J3010" s="1342"/>
      <c r="K3010" s="1342"/>
    </row>
    <row r="3011" spans="2:11" ht="14" hidden="1">
      <c r="B3011" s="1342"/>
      <c r="C3011" s="1342"/>
      <c r="D3011" s="1342"/>
      <c r="E3011" s="1342"/>
      <c r="F3011" s="1342"/>
      <c r="G3011" s="1342"/>
      <c r="H3011" s="1342"/>
      <c r="I3011" s="1342"/>
      <c r="J3011" s="1342"/>
      <c r="K3011" s="1342"/>
    </row>
    <row r="3012" spans="2:11" ht="14" hidden="1">
      <c r="B3012" s="1342"/>
      <c r="C3012" s="1342"/>
      <c r="D3012" s="1342"/>
      <c r="E3012" s="1342"/>
      <c r="F3012" s="1342"/>
      <c r="G3012" s="1342"/>
      <c r="H3012" s="1342"/>
      <c r="I3012" s="1342"/>
      <c r="J3012" s="1342"/>
      <c r="K3012" s="1342"/>
    </row>
    <row r="3013" spans="2:11" ht="14" hidden="1">
      <c r="B3013" s="1342"/>
      <c r="C3013" s="1342"/>
      <c r="D3013" s="1342"/>
      <c r="E3013" s="1342"/>
      <c r="F3013" s="1342"/>
      <c r="G3013" s="1342"/>
      <c r="H3013" s="1342"/>
      <c r="I3013" s="1342"/>
      <c r="J3013" s="1342"/>
      <c r="K3013" s="1342"/>
    </row>
    <row r="3014" spans="2:11" ht="14" hidden="1">
      <c r="B3014" s="1342"/>
      <c r="C3014" s="1342"/>
      <c r="D3014" s="1342"/>
      <c r="E3014" s="1342"/>
      <c r="F3014" s="1342"/>
      <c r="G3014" s="1342"/>
      <c r="H3014" s="1342"/>
      <c r="I3014" s="1342"/>
      <c r="J3014" s="1342"/>
      <c r="K3014" s="1342"/>
    </row>
    <row r="3015" spans="2:11" ht="14" hidden="1">
      <c r="B3015" s="1342"/>
      <c r="C3015" s="1342"/>
      <c r="D3015" s="1342"/>
      <c r="E3015" s="1342"/>
      <c r="F3015" s="1342"/>
      <c r="G3015" s="1342"/>
      <c r="H3015" s="1342"/>
      <c r="I3015" s="1342"/>
      <c r="J3015" s="1342"/>
      <c r="K3015" s="1342"/>
    </row>
    <row r="3016" spans="2:11" ht="14" hidden="1">
      <c r="B3016" s="1342"/>
      <c r="C3016" s="1342"/>
      <c r="D3016" s="1342"/>
      <c r="E3016" s="1342"/>
      <c r="F3016" s="1342"/>
      <c r="G3016" s="1342"/>
      <c r="H3016" s="1342"/>
      <c r="I3016" s="1342"/>
      <c r="J3016" s="1342"/>
      <c r="K3016" s="1342"/>
    </row>
    <row r="3017" spans="2:11" ht="14" hidden="1">
      <c r="B3017" s="1342"/>
      <c r="C3017" s="1342"/>
      <c r="D3017" s="1342"/>
      <c r="E3017" s="1342"/>
      <c r="F3017" s="1342"/>
      <c r="G3017" s="1342"/>
      <c r="H3017" s="1342"/>
      <c r="I3017" s="1342"/>
      <c r="J3017" s="1342"/>
      <c r="K3017" s="1342"/>
    </row>
    <row r="3018" spans="2:11" ht="14" hidden="1">
      <c r="B3018" s="1342"/>
      <c r="C3018" s="1342"/>
      <c r="D3018" s="1342"/>
      <c r="E3018" s="1342"/>
      <c r="F3018" s="1342"/>
      <c r="G3018" s="1342"/>
      <c r="H3018" s="1342"/>
      <c r="I3018" s="1342"/>
      <c r="J3018" s="1342"/>
      <c r="K3018" s="1342"/>
    </row>
    <row r="3019" spans="2:11" ht="14" hidden="1">
      <c r="B3019" s="1342"/>
      <c r="C3019" s="1342"/>
      <c r="D3019" s="1342"/>
      <c r="E3019" s="1342"/>
      <c r="F3019" s="1342"/>
      <c r="G3019" s="1342"/>
      <c r="H3019" s="1342"/>
      <c r="I3019" s="1342"/>
      <c r="J3019" s="1342"/>
      <c r="K3019" s="1342"/>
    </row>
    <row r="3020" spans="2:11" ht="14" hidden="1">
      <c r="B3020" s="1342"/>
      <c r="C3020" s="1342"/>
      <c r="D3020" s="1342"/>
      <c r="E3020" s="1342"/>
      <c r="F3020" s="1342"/>
      <c r="G3020" s="1342"/>
      <c r="H3020" s="1342"/>
      <c r="I3020" s="1342"/>
      <c r="J3020" s="1342"/>
      <c r="K3020" s="1342"/>
    </row>
    <row r="3021" spans="2:11" ht="14" hidden="1">
      <c r="B3021" s="1342"/>
      <c r="C3021" s="1342"/>
      <c r="D3021" s="1342"/>
      <c r="E3021" s="1342"/>
      <c r="F3021" s="1342"/>
      <c r="G3021" s="1342"/>
      <c r="H3021" s="1342"/>
      <c r="I3021" s="1342"/>
      <c r="J3021" s="1342"/>
      <c r="K3021" s="1342"/>
    </row>
    <row r="3022" spans="2:11" ht="14" hidden="1">
      <c r="B3022" s="1342"/>
      <c r="C3022" s="1342"/>
      <c r="D3022" s="1342"/>
      <c r="E3022" s="1342"/>
      <c r="F3022" s="1342"/>
      <c r="G3022" s="1342"/>
      <c r="H3022" s="1342"/>
      <c r="I3022" s="1342"/>
      <c r="J3022" s="1342"/>
      <c r="K3022" s="1342"/>
    </row>
    <row r="3023" spans="2:11" ht="14" hidden="1">
      <c r="B3023" s="1342"/>
      <c r="C3023" s="1342"/>
      <c r="D3023" s="1342"/>
      <c r="E3023" s="1342"/>
      <c r="F3023" s="1342"/>
      <c r="G3023" s="1342"/>
      <c r="H3023" s="1342"/>
      <c r="I3023" s="1342"/>
      <c r="J3023" s="1342"/>
      <c r="K3023" s="1342"/>
    </row>
    <row r="3024" spans="2:11" ht="14" hidden="1">
      <c r="B3024" s="1342"/>
      <c r="C3024" s="1342"/>
      <c r="D3024" s="1342"/>
      <c r="E3024" s="1342"/>
      <c r="F3024" s="1342"/>
      <c r="G3024" s="1342"/>
      <c r="H3024" s="1342"/>
      <c r="I3024" s="1342"/>
      <c r="J3024" s="1342"/>
      <c r="K3024" s="1342"/>
    </row>
    <row r="3025" spans="2:11" ht="14" hidden="1">
      <c r="B3025" s="1342"/>
      <c r="C3025" s="1342"/>
      <c r="D3025" s="1342"/>
      <c r="E3025" s="1342"/>
      <c r="F3025" s="1342"/>
      <c r="G3025" s="1342"/>
      <c r="H3025" s="1342"/>
      <c r="I3025" s="1342"/>
      <c r="J3025" s="1342"/>
      <c r="K3025" s="1342"/>
    </row>
    <row r="3026" spans="2:11" ht="14" hidden="1">
      <c r="B3026" s="1342"/>
      <c r="C3026" s="1342"/>
      <c r="D3026" s="1342"/>
      <c r="E3026" s="1342"/>
      <c r="F3026" s="1342"/>
      <c r="G3026" s="1342"/>
      <c r="H3026" s="1342"/>
      <c r="I3026" s="1342"/>
      <c r="J3026" s="1342"/>
      <c r="K3026" s="1342"/>
    </row>
    <row r="3027" spans="2:11" ht="14" hidden="1">
      <c r="B3027" s="1342"/>
      <c r="C3027" s="1342"/>
      <c r="D3027" s="1342"/>
      <c r="E3027" s="1342"/>
      <c r="F3027" s="1342"/>
      <c r="G3027" s="1342"/>
      <c r="H3027" s="1342"/>
      <c r="I3027" s="1342"/>
      <c r="J3027" s="1342"/>
      <c r="K3027" s="1342"/>
    </row>
    <row r="3028" spans="2:11" ht="14" hidden="1">
      <c r="B3028" s="1342"/>
      <c r="C3028" s="1342"/>
      <c r="D3028" s="1342"/>
      <c r="E3028" s="1342"/>
      <c r="F3028" s="1342"/>
      <c r="G3028" s="1342"/>
      <c r="H3028" s="1342"/>
      <c r="I3028" s="1342"/>
      <c r="J3028" s="1342"/>
      <c r="K3028" s="1342"/>
    </row>
    <row r="3029" spans="2:11" ht="14" hidden="1">
      <c r="B3029" s="1342"/>
      <c r="C3029" s="1342"/>
      <c r="D3029" s="1342"/>
      <c r="E3029" s="1342"/>
      <c r="F3029" s="1342"/>
      <c r="G3029" s="1342"/>
      <c r="H3029" s="1342"/>
      <c r="I3029" s="1342"/>
      <c r="J3029" s="1342"/>
      <c r="K3029" s="1342"/>
    </row>
    <row r="3030" spans="2:11" ht="14" hidden="1">
      <c r="B3030" s="1342"/>
      <c r="C3030" s="1342"/>
      <c r="D3030" s="1342"/>
      <c r="E3030" s="1342"/>
      <c r="F3030" s="1342"/>
      <c r="G3030" s="1342"/>
      <c r="H3030" s="1342"/>
      <c r="I3030" s="1342"/>
      <c r="J3030" s="1342"/>
      <c r="K3030" s="1342"/>
    </row>
    <row r="3031" spans="2:11" ht="14" hidden="1">
      <c r="B3031" s="1342"/>
      <c r="C3031" s="1342"/>
      <c r="D3031" s="1342"/>
      <c r="E3031" s="1342"/>
      <c r="F3031" s="1342"/>
      <c r="G3031" s="1342"/>
      <c r="H3031" s="1342"/>
      <c r="I3031" s="1342"/>
      <c r="J3031" s="1342"/>
      <c r="K3031" s="1342"/>
    </row>
    <row r="3032" spans="2:11" ht="14" hidden="1">
      <c r="B3032" s="1342"/>
      <c r="C3032" s="1342"/>
      <c r="D3032" s="1342"/>
      <c r="E3032" s="1342"/>
      <c r="F3032" s="1342"/>
      <c r="G3032" s="1342"/>
      <c r="H3032" s="1342"/>
      <c r="I3032" s="1342"/>
      <c r="J3032" s="1342"/>
      <c r="K3032" s="1342"/>
    </row>
    <row r="3033" spans="2:11" ht="14" hidden="1">
      <c r="B3033" s="1342"/>
      <c r="C3033" s="1342"/>
      <c r="D3033" s="1342"/>
      <c r="E3033" s="1342"/>
      <c r="F3033" s="1342"/>
      <c r="G3033" s="1342"/>
      <c r="H3033" s="1342"/>
      <c r="I3033" s="1342"/>
      <c r="J3033" s="1342"/>
      <c r="K3033" s="1342"/>
    </row>
    <row r="3034" spans="2:11" ht="14" hidden="1">
      <c r="B3034" s="1342"/>
      <c r="C3034" s="1342"/>
      <c r="D3034" s="1342"/>
      <c r="E3034" s="1342"/>
      <c r="F3034" s="1342"/>
      <c r="G3034" s="1342"/>
      <c r="H3034" s="1342"/>
      <c r="I3034" s="1342"/>
      <c r="J3034" s="1342"/>
      <c r="K3034" s="1342"/>
    </row>
    <row r="3035" spans="2:11" ht="14" hidden="1">
      <c r="B3035" s="1342"/>
      <c r="C3035" s="1342"/>
      <c r="D3035" s="1342"/>
      <c r="E3035" s="1342"/>
      <c r="F3035" s="1342"/>
      <c r="G3035" s="1342"/>
      <c r="H3035" s="1342"/>
      <c r="I3035" s="1342"/>
      <c r="J3035" s="1342"/>
      <c r="K3035" s="1342"/>
    </row>
    <row r="3036" spans="2:11" ht="14" hidden="1">
      <c r="B3036" s="1342"/>
      <c r="C3036" s="1342"/>
      <c r="D3036" s="1342"/>
      <c r="E3036" s="1342"/>
      <c r="F3036" s="1342"/>
      <c r="G3036" s="1342"/>
      <c r="H3036" s="1342"/>
      <c r="I3036" s="1342"/>
      <c r="J3036" s="1342"/>
      <c r="K3036" s="1342"/>
    </row>
    <row r="3037" spans="2:11" ht="14" hidden="1">
      <c r="B3037" s="1342"/>
      <c r="C3037" s="1342"/>
      <c r="D3037" s="1342"/>
      <c r="E3037" s="1342"/>
      <c r="F3037" s="1342"/>
      <c r="G3037" s="1342"/>
      <c r="H3037" s="1342"/>
      <c r="I3037" s="1342"/>
      <c r="J3037" s="1342"/>
      <c r="K3037" s="1342"/>
    </row>
    <row r="3038" spans="2:11" ht="14" hidden="1">
      <c r="B3038" s="1342"/>
      <c r="C3038" s="1342"/>
      <c r="D3038" s="1342"/>
      <c r="E3038" s="1342"/>
      <c r="F3038" s="1342"/>
      <c r="G3038" s="1342"/>
      <c r="H3038" s="1342"/>
      <c r="I3038" s="1342"/>
      <c r="J3038" s="1342"/>
      <c r="K3038" s="1342"/>
    </row>
    <row r="3039" spans="2:11" ht="14" hidden="1">
      <c r="B3039" s="1342"/>
      <c r="C3039" s="1342"/>
      <c r="D3039" s="1342"/>
      <c r="E3039" s="1342"/>
      <c r="F3039" s="1342"/>
      <c r="G3039" s="1342"/>
      <c r="H3039" s="1342"/>
      <c r="I3039" s="1342"/>
      <c r="J3039" s="1342"/>
      <c r="K3039" s="1342"/>
    </row>
    <row r="3040" spans="2:11" ht="14" hidden="1">
      <c r="B3040" s="1342"/>
      <c r="C3040" s="1342"/>
      <c r="D3040" s="1342"/>
      <c r="E3040" s="1342"/>
      <c r="F3040" s="1342"/>
      <c r="G3040" s="1342"/>
      <c r="H3040" s="1342"/>
      <c r="I3040" s="1342"/>
      <c r="J3040" s="1342"/>
      <c r="K3040" s="1342"/>
    </row>
    <row r="3041" spans="2:11" ht="14" hidden="1">
      <c r="B3041" s="1342"/>
      <c r="C3041" s="1342"/>
      <c r="D3041" s="1342"/>
      <c r="E3041" s="1342"/>
      <c r="F3041" s="1342"/>
      <c r="G3041" s="1342"/>
      <c r="H3041" s="1342"/>
      <c r="I3041" s="1342"/>
      <c r="J3041" s="1342"/>
      <c r="K3041" s="1342"/>
    </row>
    <row r="3042" spans="2:11" ht="14" hidden="1">
      <c r="B3042" s="1342"/>
      <c r="C3042" s="1342"/>
      <c r="D3042" s="1342"/>
      <c r="E3042" s="1342"/>
      <c r="F3042" s="1342"/>
      <c r="G3042" s="1342"/>
      <c r="H3042" s="1342"/>
      <c r="I3042" s="1342"/>
      <c r="J3042" s="1342"/>
      <c r="K3042" s="1342"/>
    </row>
    <row r="3043" spans="2:11" ht="14" hidden="1">
      <c r="B3043" s="1342"/>
      <c r="C3043" s="1342"/>
      <c r="D3043" s="1342"/>
      <c r="E3043" s="1342"/>
      <c r="F3043" s="1342"/>
      <c r="G3043" s="1342"/>
      <c r="H3043" s="1342"/>
      <c r="I3043" s="1342"/>
      <c r="J3043" s="1342"/>
      <c r="K3043" s="1342"/>
    </row>
    <row r="3044" spans="2:11" ht="14" hidden="1">
      <c r="B3044" s="1342"/>
      <c r="C3044" s="1342"/>
      <c r="D3044" s="1342"/>
      <c r="E3044" s="1342"/>
      <c r="F3044" s="1342"/>
      <c r="G3044" s="1342"/>
      <c r="H3044" s="1342"/>
      <c r="I3044" s="1342"/>
      <c r="J3044" s="1342"/>
      <c r="K3044" s="1342"/>
    </row>
    <row r="3045" spans="2:11" ht="14" hidden="1">
      <c r="B3045" s="1342"/>
      <c r="C3045" s="1342"/>
      <c r="D3045" s="1342"/>
      <c r="E3045" s="1342"/>
      <c r="F3045" s="1342"/>
      <c r="G3045" s="1342"/>
      <c r="H3045" s="1342"/>
      <c r="I3045" s="1342"/>
      <c r="J3045" s="1342"/>
      <c r="K3045" s="1342"/>
    </row>
    <row r="3046" spans="2:11" ht="14" hidden="1">
      <c r="B3046" s="1342"/>
      <c r="C3046" s="1342"/>
      <c r="D3046" s="1342"/>
      <c r="E3046" s="1342"/>
      <c r="F3046" s="1342"/>
      <c r="G3046" s="1342"/>
      <c r="H3046" s="1342"/>
      <c r="I3046" s="1342"/>
      <c r="J3046" s="1342"/>
      <c r="K3046" s="1342"/>
    </row>
    <row r="3047" spans="2:11" ht="14" hidden="1">
      <c r="B3047" s="1342"/>
      <c r="C3047" s="1342"/>
      <c r="D3047" s="1342"/>
      <c r="E3047" s="1342"/>
      <c r="F3047" s="1342"/>
      <c r="G3047" s="1342"/>
      <c r="H3047" s="1342"/>
      <c r="I3047" s="1342"/>
      <c r="J3047" s="1342"/>
      <c r="K3047" s="1342"/>
    </row>
    <row r="3048" spans="2:11" ht="14" hidden="1">
      <c r="B3048" s="1342"/>
      <c r="C3048" s="1342"/>
      <c r="D3048" s="1342"/>
      <c r="E3048" s="1342"/>
      <c r="F3048" s="1342"/>
      <c r="G3048" s="1342"/>
      <c r="H3048" s="1342"/>
      <c r="I3048" s="1342"/>
      <c r="J3048" s="1342"/>
      <c r="K3048" s="1342"/>
    </row>
    <row r="3049" spans="2:11" ht="14" hidden="1">
      <c r="B3049" s="1342"/>
      <c r="C3049" s="1342"/>
      <c r="D3049" s="1342"/>
      <c r="E3049" s="1342"/>
      <c r="F3049" s="1342"/>
      <c r="G3049" s="1342"/>
      <c r="H3049" s="1342"/>
      <c r="I3049" s="1342"/>
      <c r="J3049" s="1342"/>
      <c r="K3049" s="1342"/>
    </row>
    <row r="3050" spans="2:11" ht="14" hidden="1">
      <c r="B3050" s="1342"/>
      <c r="C3050" s="1342"/>
      <c r="D3050" s="1342"/>
      <c r="E3050" s="1342"/>
      <c r="F3050" s="1342"/>
      <c r="G3050" s="1342"/>
      <c r="H3050" s="1342"/>
      <c r="I3050" s="1342"/>
      <c r="J3050" s="1342"/>
      <c r="K3050" s="1342"/>
    </row>
    <row r="3051" spans="2:11" ht="14" hidden="1">
      <c r="B3051" s="1342"/>
      <c r="C3051" s="1342"/>
      <c r="D3051" s="1342"/>
      <c r="E3051" s="1342"/>
      <c r="F3051" s="1342"/>
      <c r="G3051" s="1342"/>
      <c r="H3051" s="1342"/>
      <c r="I3051" s="1342"/>
      <c r="J3051" s="1342"/>
      <c r="K3051" s="1342"/>
    </row>
    <row r="3052" spans="2:11" ht="14" hidden="1">
      <c r="B3052" s="1342"/>
      <c r="C3052" s="1342"/>
      <c r="D3052" s="1342"/>
      <c r="E3052" s="1342"/>
      <c r="F3052" s="1342"/>
      <c r="G3052" s="1342"/>
      <c r="H3052" s="1342"/>
      <c r="I3052" s="1342"/>
      <c r="J3052" s="1342"/>
      <c r="K3052" s="1342"/>
    </row>
    <row r="3053" spans="2:11" ht="14" hidden="1">
      <c r="B3053" s="1342"/>
      <c r="C3053" s="1342"/>
      <c r="D3053" s="1342"/>
      <c r="E3053" s="1342"/>
      <c r="F3053" s="1342"/>
      <c r="G3053" s="1342"/>
      <c r="H3053" s="1342"/>
      <c r="I3053" s="1342"/>
      <c r="J3053" s="1342"/>
      <c r="K3053" s="1342"/>
    </row>
    <row r="3054" spans="2:11" ht="14" hidden="1">
      <c r="B3054" s="1342"/>
      <c r="C3054" s="1342"/>
      <c r="D3054" s="1342"/>
      <c r="E3054" s="1342"/>
      <c r="F3054" s="1342"/>
      <c r="G3054" s="1342"/>
      <c r="H3054" s="1342"/>
      <c r="I3054" s="1342"/>
      <c r="J3054" s="1342"/>
      <c r="K3054" s="1342"/>
    </row>
    <row r="3055" spans="2:11" ht="14" hidden="1">
      <c r="B3055" s="1342"/>
      <c r="C3055" s="1342"/>
      <c r="D3055" s="1342"/>
      <c r="E3055" s="1342"/>
      <c r="F3055" s="1342"/>
      <c r="G3055" s="1342"/>
      <c r="H3055" s="1342"/>
      <c r="I3055" s="1342"/>
      <c r="J3055" s="1342"/>
      <c r="K3055" s="1342"/>
    </row>
    <row r="3056" spans="2:11" ht="14" hidden="1">
      <c r="B3056" s="1342"/>
      <c r="C3056" s="1342"/>
      <c r="D3056" s="1342"/>
      <c r="E3056" s="1342"/>
      <c r="F3056" s="1342"/>
      <c r="G3056" s="1342"/>
      <c r="H3056" s="1342"/>
      <c r="I3056" s="1342"/>
      <c r="J3056" s="1342"/>
      <c r="K3056" s="1342"/>
    </row>
    <row r="3057" spans="2:11" ht="14" hidden="1">
      <c r="B3057" s="1342"/>
      <c r="C3057" s="1342"/>
      <c r="D3057" s="1342"/>
      <c r="E3057" s="1342"/>
      <c r="F3057" s="1342"/>
      <c r="G3057" s="1342"/>
      <c r="H3057" s="1342"/>
      <c r="I3057" s="1342"/>
      <c r="J3057" s="1342"/>
      <c r="K3057" s="1342"/>
    </row>
    <row r="3058" spans="2:11" ht="14" hidden="1">
      <c r="B3058" s="1342"/>
      <c r="C3058" s="1342"/>
      <c r="D3058" s="1342"/>
      <c r="E3058" s="1342"/>
      <c r="F3058" s="1342"/>
      <c r="G3058" s="1342"/>
      <c r="H3058" s="1342"/>
      <c r="I3058" s="1342"/>
      <c r="J3058" s="1342"/>
      <c r="K3058" s="1342"/>
    </row>
    <row r="3059" spans="2:11" ht="14" hidden="1">
      <c r="B3059" s="1342"/>
      <c r="C3059" s="1342"/>
      <c r="D3059" s="1342"/>
      <c r="E3059" s="1342"/>
      <c r="F3059" s="1342"/>
      <c r="G3059" s="1342"/>
      <c r="H3059" s="1342"/>
      <c r="I3059" s="1342"/>
      <c r="J3059" s="1342"/>
      <c r="K3059" s="1342"/>
    </row>
    <row r="3060" spans="2:11" ht="14" hidden="1">
      <c r="B3060" s="1342"/>
      <c r="C3060" s="1342"/>
      <c r="D3060" s="1342"/>
      <c r="E3060" s="1342"/>
      <c r="F3060" s="1342"/>
      <c r="G3060" s="1342"/>
      <c r="H3060" s="1342"/>
      <c r="I3060" s="1342"/>
      <c r="J3060" s="1342"/>
      <c r="K3060" s="1342"/>
    </row>
    <row r="3061" spans="2:11" ht="14" hidden="1">
      <c r="B3061" s="1342"/>
      <c r="C3061" s="1342"/>
      <c r="D3061" s="1342"/>
      <c r="E3061" s="1342"/>
      <c r="F3061" s="1342"/>
      <c r="G3061" s="1342"/>
      <c r="H3061" s="1342"/>
      <c r="I3061" s="1342"/>
      <c r="J3061" s="1342"/>
      <c r="K3061" s="1342"/>
    </row>
    <row r="3062" spans="2:11" ht="14" hidden="1">
      <c r="B3062" s="1342"/>
      <c r="C3062" s="1342"/>
      <c r="D3062" s="1342"/>
      <c r="E3062" s="1342"/>
      <c r="F3062" s="1342"/>
      <c r="G3062" s="1342"/>
      <c r="H3062" s="1342"/>
      <c r="I3062" s="1342"/>
      <c r="J3062" s="1342"/>
      <c r="K3062" s="1342"/>
    </row>
    <row r="3063" spans="2:11" ht="14" hidden="1">
      <c r="B3063" s="1342"/>
      <c r="C3063" s="1342"/>
      <c r="D3063" s="1342"/>
      <c r="E3063" s="1342"/>
      <c r="F3063" s="1342"/>
      <c r="G3063" s="1342"/>
      <c r="H3063" s="1342"/>
      <c r="I3063" s="1342"/>
      <c r="J3063" s="1342"/>
      <c r="K3063" s="1342"/>
    </row>
    <row r="3064" spans="2:11" ht="14" hidden="1">
      <c r="B3064" s="1342"/>
      <c r="C3064" s="1342"/>
      <c r="D3064" s="1342"/>
      <c r="E3064" s="1342"/>
      <c r="F3064" s="1342"/>
      <c r="G3064" s="1342"/>
      <c r="H3064" s="1342"/>
      <c r="I3064" s="1342"/>
      <c r="J3064" s="1342"/>
      <c r="K3064" s="1342"/>
    </row>
    <row r="3065" spans="2:11" ht="14" hidden="1">
      <c r="B3065" s="1342"/>
      <c r="C3065" s="1342"/>
      <c r="D3065" s="1342"/>
      <c r="E3065" s="1342"/>
      <c r="F3065" s="1342"/>
      <c r="G3065" s="1342"/>
      <c r="H3065" s="1342"/>
      <c r="I3065" s="1342"/>
      <c r="J3065" s="1342"/>
      <c r="K3065" s="1342"/>
    </row>
    <row r="3066" spans="2:11" ht="14" hidden="1">
      <c r="B3066" s="1342"/>
      <c r="C3066" s="1342"/>
      <c r="D3066" s="1342"/>
      <c r="E3066" s="1342"/>
      <c r="F3066" s="1342"/>
      <c r="G3066" s="1342"/>
      <c r="H3066" s="1342"/>
      <c r="I3066" s="1342"/>
      <c r="J3066" s="1342"/>
      <c r="K3066" s="1342"/>
    </row>
    <row r="3067" spans="2:11" ht="14" hidden="1">
      <c r="B3067" s="1342"/>
      <c r="C3067" s="1342"/>
      <c r="D3067" s="1342"/>
      <c r="E3067" s="1342"/>
      <c r="F3067" s="1342"/>
      <c r="G3067" s="1342"/>
      <c r="H3067" s="1342"/>
      <c r="I3067" s="1342"/>
      <c r="J3067" s="1342"/>
      <c r="K3067" s="1342"/>
    </row>
    <row r="3068" spans="2:11" ht="14" hidden="1">
      <c r="B3068" s="1342"/>
      <c r="C3068" s="1342"/>
      <c r="D3068" s="1342"/>
      <c r="E3068" s="1342"/>
      <c r="F3068" s="1342"/>
      <c r="G3068" s="1342"/>
      <c r="H3068" s="1342"/>
      <c r="I3068" s="1342"/>
      <c r="J3068" s="1342"/>
      <c r="K3068" s="1342"/>
    </row>
    <row r="3069" spans="2:11" ht="14" hidden="1">
      <c r="B3069" s="1342"/>
      <c r="C3069" s="1342"/>
      <c r="D3069" s="1342"/>
      <c r="E3069" s="1342"/>
      <c r="F3069" s="1342"/>
      <c r="G3069" s="1342"/>
      <c r="H3069" s="1342"/>
      <c r="I3069" s="1342"/>
      <c r="J3069" s="1342"/>
      <c r="K3069" s="1342"/>
    </row>
    <row r="3070" spans="2:11" ht="14" hidden="1">
      <c r="B3070" s="1342"/>
      <c r="C3070" s="1342"/>
      <c r="D3070" s="1342"/>
      <c r="E3070" s="1342"/>
      <c r="F3070" s="1342"/>
      <c r="G3070" s="1342"/>
      <c r="H3070" s="1342"/>
      <c r="I3070" s="1342"/>
      <c r="J3070" s="1342"/>
      <c r="K3070" s="1342"/>
    </row>
    <row r="3071" spans="2:11" ht="14" hidden="1">
      <c r="B3071" s="1342"/>
      <c r="C3071" s="1342"/>
      <c r="D3071" s="1342"/>
      <c r="E3071" s="1342"/>
      <c r="F3071" s="1342"/>
      <c r="G3071" s="1342"/>
      <c r="H3071" s="1342"/>
      <c r="I3071" s="1342"/>
      <c r="J3071" s="1342"/>
      <c r="K3071" s="1342"/>
    </row>
    <row r="3072" spans="2:11" ht="14" hidden="1">
      <c r="B3072" s="1342"/>
      <c r="C3072" s="1342"/>
      <c r="D3072" s="1342"/>
      <c r="E3072" s="1342"/>
      <c r="F3072" s="1342"/>
      <c r="G3072" s="1342"/>
      <c r="H3072" s="1342"/>
      <c r="I3072" s="1342"/>
      <c r="J3072" s="1342"/>
      <c r="K3072" s="1342"/>
    </row>
    <row r="3073" spans="2:11" ht="14" hidden="1">
      <c r="B3073" s="1342"/>
      <c r="C3073" s="1342"/>
      <c r="D3073" s="1342"/>
      <c r="E3073" s="1342"/>
      <c r="F3073" s="1342"/>
      <c r="G3073" s="1342"/>
      <c r="H3073" s="1342"/>
      <c r="I3073" s="1342"/>
      <c r="J3073" s="1342"/>
      <c r="K3073" s="1342"/>
    </row>
    <row r="3074" spans="2:11" ht="14" hidden="1">
      <c r="B3074" s="1342"/>
      <c r="C3074" s="1342"/>
      <c r="D3074" s="1342"/>
      <c r="E3074" s="1342"/>
      <c r="F3074" s="1342"/>
      <c r="G3074" s="1342"/>
      <c r="H3074" s="1342"/>
      <c r="I3074" s="1342"/>
      <c r="J3074" s="1342"/>
      <c r="K3074" s="1342"/>
    </row>
    <row r="3075" spans="2:11" ht="14" hidden="1">
      <c r="B3075" s="1342"/>
      <c r="C3075" s="1342"/>
      <c r="D3075" s="1342"/>
      <c r="E3075" s="1342"/>
      <c r="F3075" s="1342"/>
      <c r="G3075" s="1342"/>
      <c r="H3075" s="1342"/>
      <c r="I3075" s="1342"/>
      <c r="J3075" s="1342"/>
      <c r="K3075" s="1342"/>
    </row>
    <row r="3076" spans="2:11" ht="14" hidden="1">
      <c r="B3076" s="1342"/>
      <c r="C3076" s="1342"/>
      <c r="D3076" s="1342"/>
      <c r="E3076" s="1342"/>
      <c r="F3076" s="1342"/>
      <c r="G3076" s="1342"/>
      <c r="H3076" s="1342"/>
      <c r="I3076" s="1342"/>
      <c r="J3076" s="1342"/>
      <c r="K3076" s="1342"/>
    </row>
    <row r="3077" spans="2:11" ht="14" hidden="1">
      <c r="B3077" s="1342"/>
      <c r="C3077" s="1342"/>
      <c r="D3077" s="1342"/>
      <c r="E3077" s="1342"/>
      <c r="F3077" s="1342"/>
      <c r="G3077" s="1342"/>
      <c r="H3077" s="1342"/>
      <c r="I3077" s="1342"/>
      <c r="J3077" s="1342"/>
      <c r="K3077" s="1342"/>
    </row>
    <row r="3078" spans="2:11" ht="14" hidden="1">
      <c r="B3078" s="1342"/>
      <c r="C3078" s="1342"/>
      <c r="D3078" s="1342"/>
      <c r="E3078" s="1342"/>
      <c r="F3078" s="1342"/>
      <c r="G3078" s="1342"/>
      <c r="H3078" s="1342"/>
      <c r="I3078" s="1342"/>
      <c r="J3078" s="1342"/>
      <c r="K3078" s="1342"/>
    </row>
    <row r="3079" spans="2:11" ht="14" hidden="1">
      <c r="B3079" s="1342"/>
      <c r="C3079" s="1342"/>
      <c r="D3079" s="1342"/>
      <c r="E3079" s="1342"/>
      <c r="F3079" s="1342"/>
      <c r="G3079" s="1342"/>
      <c r="H3079" s="1342"/>
      <c r="I3079" s="1342"/>
      <c r="J3079" s="1342"/>
      <c r="K3079" s="1342"/>
    </row>
    <row r="3080" spans="2:11" ht="14" hidden="1">
      <c r="B3080" s="1342"/>
      <c r="C3080" s="1342"/>
      <c r="D3080" s="1342"/>
      <c r="E3080" s="1342"/>
      <c r="F3080" s="1342"/>
      <c r="G3080" s="1342"/>
      <c r="H3080" s="1342"/>
      <c r="I3080" s="1342"/>
      <c r="J3080" s="1342"/>
      <c r="K3080" s="1342"/>
    </row>
    <row r="3081" spans="2:11" ht="14" hidden="1">
      <c r="B3081" s="1342"/>
      <c r="C3081" s="1342"/>
      <c r="D3081" s="1342"/>
      <c r="E3081" s="1342"/>
      <c r="F3081" s="1342"/>
      <c r="G3081" s="1342"/>
      <c r="H3081" s="1342"/>
      <c r="I3081" s="1342"/>
      <c r="J3081" s="1342"/>
      <c r="K3081" s="1342"/>
    </row>
    <row r="3082" spans="2:11" ht="14" hidden="1">
      <c r="B3082" s="1342"/>
      <c r="C3082" s="1342"/>
      <c r="D3082" s="1342"/>
      <c r="E3082" s="1342"/>
      <c r="F3082" s="1342"/>
      <c r="G3082" s="1342"/>
      <c r="H3082" s="1342"/>
      <c r="I3082" s="1342"/>
      <c r="J3082" s="1342"/>
      <c r="K3082" s="1342"/>
    </row>
    <row r="3083" spans="2:11" ht="14" hidden="1">
      <c r="B3083" s="1342"/>
      <c r="C3083" s="1342"/>
      <c r="D3083" s="1342"/>
      <c r="E3083" s="1342"/>
      <c r="F3083" s="1342"/>
      <c r="G3083" s="1342"/>
      <c r="H3083" s="1342"/>
      <c r="I3083" s="1342"/>
      <c r="J3083" s="1342"/>
      <c r="K3083" s="1342"/>
    </row>
    <row r="3084" spans="2:11" ht="14" hidden="1">
      <c r="B3084" s="1342"/>
      <c r="C3084" s="1342"/>
      <c r="D3084" s="1342"/>
      <c r="E3084" s="1342"/>
      <c r="F3084" s="1342"/>
      <c r="G3084" s="1342"/>
      <c r="H3084" s="1342"/>
      <c r="I3084" s="1342"/>
      <c r="J3084" s="1342"/>
      <c r="K3084" s="1342"/>
    </row>
    <row r="3085" spans="2:11" ht="14" hidden="1">
      <c r="B3085" s="1342"/>
      <c r="C3085" s="1342"/>
      <c r="D3085" s="1342"/>
      <c r="E3085" s="1342"/>
      <c r="F3085" s="1342"/>
      <c r="G3085" s="1342"/>
      <c r="H3085" s="1342"/>
      <c r="I3085" s="1342"/>
      <c r="J3085" s="1342"/>
      <c r="K3085" s="1342"/>
    </row>
    <row r="3086" spans="2:11" ht="14" hidden="1">
      <c r="B3086" s="1342"/>
      <c r="C3086" s="1342"/>
      <c r="D3086" s="1342"/>
      <c r="E3086" s="1342"/>
      <c r="F3086" s="1342"/>
      <c r="G3086" s="1342"/>
      <c r="H3086" s="1342"/>
      <c r="I3086" s="1342"/>
      <c r="J3086" s="1342"/>
      <c r="K3086" s="1342"/>
    </row>
    <row r="3087" spans="2:11" ht="14" hidden="1">
      <c r="B3087" s="1342"/>
      <c r="C3087" s="1342"/>
      <c r="D3087" s="1342"/>
      <c r="E3087" s="1342"/>
      <c r="F3087" s="1342"/>
      <c r="G3087" s="1342"/>
      <c r="H3087" s="1342"/>
      <c r="I3087" s="1342"/>
      <c r="J3087" s="1342"/>
      <c r="K3087" s="1342"/>
    </row>
    <row r="3088" spans="2:11" ht="14" hidden="1">
      <c r="B3088" s="1342"/>
      <c r="C3088" s="1342"/>
      <c r="D3088" s="1342"/>
      <c r="E3088" s="1342"/>
      <c r="F3088" s="1342"/>
      <c r="G3088" s="1342"/>
      <c r="H3088" s="1342"/>
      <c r="I3088" s="1342"/>
      <c r="J3088" s="1342"/>
      <c r="K3088" s="1342"/>
    </row>
    <row r="3089" spans="2:11" ht="14" hidden="1">
      <c r="B3089" s="1342"/>
      <c r="C3089" s="1342"/>
      <c r="D3089" s="1342"/>
      <c r="E3089" s="1342"/>
      <c r="F3089" s="1342"/>
      <c r="G3089" s="1342"/>
      <c r="H3089" s="1342"/>
      <c r="I3089" s="1342"/>
      <c r="J3089" s="1342"/>
      <c r="K3089" s="1342"/>
    </row>
    <row r="3090" spans="2:11" ht="14" hidden="1">
      <c r="B3090" s="1342"/>
      <c r="C3090" s="1342"/>
      <c r="D3090" s="1342"/>
      <c r="E3090" s="1342"/>
      <c r="F3090" s="1342"/>
      <c r="G3090" s="1342"/>
      <c r="H3090" s="1342"/>
      <c r="I3090" s="1342"/>
      <c r="J3090" s="1342"/>
      <c r="K3090" s="1342"/>
    </row>
    <row r="3091" spans="2:11" ht="14" hidden="1">
      <c r="B3091" s="1342"/>
      <c r="C3091" s="1342"/>
      <c r="D3091" s="1342"/>
      <c r="E3091" s="1342"/>
      <c r="F3091" s="1342"/>
      <c r="G3091" s="1342"/>
      <c r="H3091" s="1342"/>
      <c r="I3091" s="1342"/>
      <c r="J3091" s="1342"/>
      <c r="K3091" s="1342"/>
    </row>
    <row r="3092" spans="2:11" ht="14" hidden="1">
      <c r="B3092" s="1342"/>
      <c r="C3092" s="1342"/>
      <c r="D3092" s="1342"/>
      <c r="E3092" s="1342"/>
      <c r="F3092" s="1342"/>
      <c r="G3092" s="1342"/>
      <c r="H3092" s="1342"/>
      <c r="I3092" s="1342"/>
      <c r="J3092" s="1342"/>
      <c r="K3092" s="1342"/>
    </row>
    <row r="3093" spans="2:11" ht="14" hidden="1">
      <c r="B3093" s="1342"/>
      <c r="C3093" s="1342"/>
      <c r="D3093" s="1342"/>
      <c r="E3093" s="1342"/>
      <c r="F3093" s="1342"/>
      <c r="G3093" s="1342"/>
      <c r="H3093" s="1342"/>
      <c r="I3093" s="1342"/>
      <c r="J3093" s="1342"/>
      <c r="K3093" s="1342"/>
    </row>
    <row r="3094" spans="2:11" ht="14" hidden="1">
      <c r="B3094" s="1342"/>
      <c r="C3094" s="1342"/>
      <c r="D3094" s="1342"/>
      <c r="E3094" s="1342"/>
      <c r="F3094" s="1342"/>
      <c r="G3094" s="1342"/>
      <c r="H3094" s="1342"/>
      <c r="I3094" s="1342"/>
      <c r="J3094" s="1342"/>
      <c r="K3094" s="1342"/>
    </row>
    <row r="3095" spans="2:11" ht="14" hidden="1">
      <c r="B3095" s="1342"/>
      <c r="C3095" s="1342"/>
      <c r="D3095" s="1342"/>
      <c r="E3095" s="1342"/>
      <c r="F3095" s="1342"/>
      <c r="G3095" s="1342"/>
      <c r="H3095" s="1342"/>
      <c r="I3095" s="1342"/>
      <c r="J3095" s="1342"/>
      <c r="K3095" s="1342"/>
    </row>
    <row r="3096" spans="2:11" ht="14" hidden="1">
      <c r="B3096" s="1342"/>
      <c r="C3096" s="1342"/>
      <c r="D3096" s="1342"/>
      <c r="E3096" s="1342"/>
      <c r="F3096" s="1342"/>
      <c r="G3096" s="1342"/>
      <c r="H3096" s="1342"/>
      <c r="I3096" s="1342"/>
      <c r="J3096" s="1342"/>
      <c r="K3096" s="1342"/>
    </row>
    <row r="3097" spans="2:11" ht="14" hidden="1">
      <c r="B3097" s="1342"/>
      <c r="C3097" s="1342"/>
      <c r="D3097" s="1342"/>
      <c r="E3097" s="1342"/>
      <c r="F3097" s="1342"/>
      <c r="G3097" s="1342"/>
      <c r="H3097" s="1342"/>
      <c r="I3097" s="1342"/>
      <c r="J3097" s="1342"/>
      <c r="K3097" s="1342"/>
    </row>
    <row r="3098" spans="2:11" ht="14" hidden="1">
      <c r="B3098" s="1342"/>
      <c r="C3098" s="1342"/>
      <c r="D3098" s="1342"/>
      <c r="E3098" s="1342"/>
      <c r="F3098" s="1342"/>
      <c r="G3098" s="1342"/>
      <c r="H3098" s="1342"/>
      <c r="I3098" s="1342"/>
      <c r="J3098" s="1342"/>
      <c r="K3098" s="1342"/>
    </row>
    <row r="3099" spans="2:11" ht="14" hidden="1">
      <c r="B3099" s="1342"/>
      <c r="C3099" s="1342"/>
      <c r="D3099" s="1342"/>
      <c r="E3099" s="1342"/>
      <c r="F3099" s="1342"/>
      <c r="G3099" s="1342"/>
      <c r="H3099" s="1342"/>
      <c r="I3099" s="1342"/>
      <c r="J3099" s="1342"/>
      <c r="K3099" s="1342"/>
    </row>
    <row r="3100" spans="2:11" ht="14" hidden="1">
      <c r="B3100" s="1342"/>
      <c r="C3100" s="1342"/>
      <c r="D3100" s="1342"/>
      <c r="E3100" s="1342"/>
      <c r="F3100" s="1342"/>
      <c r="G3100" s="1342"/>
      <c r="H3100" s="1342"/>
      <c r="I3100" s="1342"/>
      <c r="J3100" s="1342"/>
      <c r="K3100" s="1342"/>
    </row>
    <row r="3101" spans="2:11" ht="14" hidden="1">
      <c r="B3101" s="1342"/>
      <c r="C3101" s="1342"/>
      <c r="D3101" s="1342"/>
      <c r="E3101" s="1342"/>
      <c r="F3101" s="1342"/>
      <c r="G3101" s="1342"/>
      <c r="H3101" s="1342"/>
      <c r="I3101" s="1342"/>
      <c r="J3101" s="1342"/>
      <c r="K3101" s="1342"/>
    </row>
    <row r="3102" spans="2:11" ht="14" hidden="1">
      <c r="B3102" s="1342"/>
      <c r="C3102" s="1342"/>
      <c r="D3102" s="1342"/>
      <c r="E3102" s="1342"/>
      <c r="F3102" s="1342"/>
      <c r="G3102" s="1342"/>
      <c r="H3102" s="1342"/>
      <c r="I3102" s="1342"/>
      <c r="J3102" s="1342"/>
      <c r="K3102" s="1342"/>
    </row>
    <row r="3103" spans="2:11" ht="14" hidden="1">
      <c r="B3103" s="1342"/>
      <c r="C3103" s="1342"/>
      <c r="D3103" s="1342"/>
      <c r="E3103" s="1342"/>
      <c r="F3103" s="1342"/>
      <c r="G3103" s="1342"/>
      <c r="H3103" s="1342"/>
      <c r="I3103" s="1342"/>
      <c r="J3103" s="1342"/>
      <c r="K3103" s="1342"/>
    </row>
    <row r="3104" spans="2:11" ht="14" hidden="1">
      <c r="B3104" s="1342"/>
      <c r="C3104" s="1342"/>
      <c r="D3104" s="1342"/>
      <c r="E3104" s="1342"/>
      <c r="F3104" s="1342"/>
      <c r="G3104" s="1342"/>
      <c r="H3104" s="1342"/>
      <c r="I3104" s="1342"/>
      <c r="J3104" s="1342"/>
      <c r="K3104" s="1342"/>
    </row>
    <row r="3105" spans="2:11" ht="14" hidden="1">
      <c r="B3105" s="1342"/>
      <c r="C3105" s="1342"/>
      <c r="D3105" s="1342"/>
      <c r="E3105" s="1342"/>
      <c r="F3105" s="1342"/>
      <c r="G3105" s="1342"/>
      <c r="H3105" s="1342"/>
      <c r="I3105" s="1342"/>
      <c r="J3105" s="1342"/>
      <c r="K3105" s="1342"/>
    </row>
    <row r="3106" spans="2:11" ht="14" hidden="1">
      <c r="B3106" s="1342"/>
      <c r="C3106" s="1342"/>
      <c r="D3106" s="1342"/>
      <c r="E3106" s="1342"/>
      <c r="F3106" s="1342"/>
      <c r="G3106" s="1342"/>
      <c r="H3106" s="1342"/>
      <c r="I3106" s="1342"/>
      <c r="J3106" s="1342"/>
      <c r="K3106" s="1342"/>
    </row>
    <row r="3107" spans="2:11" ht="14" hidden="1">
      <c r="B3107" s="1342"/>
      <c r="C3107" s="1342"/>
      <c r="D3107" s="1342"/>
      <c r="E3107" s="1342"/>
      <c r="F3107" s="1342"/>
      <c r="G3107" s="1342"/>
      <c r="H3107" s="1342"/>
      <c r="I3107" s="1342"/>
      <c r="J3107" s="1342"/>
      <c r="K3107" s="1342"/>
    </row>
    <row r="3108" spans="2:11" ht="14" hidden="1">
      <c r="B3108" s="1342"/>
      <c r="C3108" s="1342"/>
      <c r="D3108" s="1342"/>
      <c r="E3108" s="1342"/>
      <c r="F3108" s="1342"/>
      <c r="G3108" s="1342"/>
      <c r="H3108" s="1342"/>
      <c r="I3108" s="1342"/>
      <c r="J3108" s="1342"/>
      <c r="K3108" s="1342"/>
    </row>
    <row r="3109" spans="2:11" ht="14" hidden="1">
      <c r="B3109" s="1342"/>
      <c r="C3109" s="1342"/>
      <c r="D3109" s="1342"/>
      <c r="E3109" s="1342"/>
      <c r="F3109" s="1342"/>
      <c r="G3109" s="1342"/>
      <c r="H3109" s="1342"/>
      <c r="I3109" s="1342"/>
      <c r="J3109" s="1342"/>
      <c r="K3109" s="1342"/>
    </row>
    <row r="3110" spans="2:11" ht="14" hidden="1">
      <c r="B3110" s="1342"/>
      <c r="C3110" s="1342"/>
      <c r="D3110" s="1342"/>
      <c r="E3110" s="1342"/>
      <c r="F3110" s="1342"/>
      <c r="G3110" s="1342"/>
      <c r="H3110" s="1342"/>
      <c r="I3110" s="1342"/>
      <c r="J3110" s="1342"/>
      <c r="K3110" s="1342"/>
    </row>
    <row r="3111" spans="2:11" ht="14" hidden="1">
      <c r="B3111" s="1342"/>
      <c r="C3111" s="1342"/>
      <c r="D3111" s="1342"/>
      <c r="E3111" s="1342"/>
      <c r="F3111" s="1342"/>
      <c r="G3111" s="1342"/>
      <c r="H3111" s="1342"/>
      <c r="I3111" s="1342"/>
      <c r="J3111" s="1342"/>
      <c r="K3111" s="1342"/>
    </row>
    <row r="3112" spans="2:11" ht="14" hidden="1">
      <c r="B3112" s="1342"/>
      <c r="C3112" s="1342"/>
      <c r="D3112" s="1342"/>
      <c r="E3112" s="1342"/>
      <c r="F3112" s="1342"/>
      <c r="G3112" s="1342"/>
      <c r="H3112" s="1342"/>
      <c r="I3112" s="1342"/>
      <c r="J3112" s="1342"/>
      <c r="K3112" s="1342"/>
    </row>
    <row r="3113" spans="2:11" ht="14" hidden="1">
      <c r="B3113" s="1342"/>
      <c r="C3113" s="1342"/>
      <c r="D3113" s="1342"/>
      <c r="E3113" s="1342"/>
      <c r="F3113" s="1342"/>
      <c r="G3113" s="1342"/>
      <c r="H3113" s="1342"/>
      <c r="I3113" s="1342"/>
      <c r="J3113" s="1342"/>
      <c r="K3113" s="1342"/>
    </row>
    <row r="3114" spans="2:11" ht="14" hidden="1">
      <c r="B3114" s="1342"/>
      <c r="C3114" s="1342"/>
      <c r="D3114" s="1342"/>
      <c r="E3114" s="1342"/>
      <c r="F3114" s="1342"/>
      <c r="G3114" s="1342"/>
      <c r="H3114" s="1342"/>
      <c r="I3114" s="1342"/>
      <c r="J3114" s="1342"/>
      <c r="K3114" s="1342"/>
    </row>
    <row r="3115" spans="2:11" ht="14" hidden="1">
      <c r="B3115" s="1342"/>
      <c r="C3115" s="1342"/>
      <c r="D3115" s="1342"/>
      <c r="E3115" s="1342"/>
      <c r="F3115" s="1342"/>
      <c r="G3115" s="1342"/>
      <c r="H3115" s="1342"/>
      <c r="I3115" s="1342"/>
      <c r="J3115" s="1342"/>
      <c r="K3115" s="1342"/>
    </row>
    <row r="3116" spans="2:11" ht="14" hidden="1">
      <c r="B3116" s="1342"/>
      <c r="C3116" s="1342"/>
      <c r="D3116" s="1342"/>
      <c r="E3116" s="1342"/>
      <c r="F3116" s="1342"/>
      <c r="G3116" s="1342"/>
      <c r="H3116" s="1342"/>
      <c r="I3116" s="1342"/>
      <c r="J3116" s="1342"/>
      <c r="K3116" s="1342"/>
    </row>
    <row r="3117" spans="2:11" ht="14" hidden="1">
      <c r="B3117" s="1342"/>
      <c r="C3117" s="1342"/>
      <c r="D3117" s="1342"/>
      <c r="E3117" s="1342"/>
      <c r="F3117" s="1342"/>
      <c r="G3117" s="1342"/>
      <c r="H3117" s="1342"/>
      <c r="I3117" s="1342"/>
      <c r="J3117" s="1342"/>
      <c r="K3117" s="1342"/>
    </row>
    <row r="3118" spans="2:11" ht="14" hidden="1">
      <c r="B3118" s="1342"/>
      <c r="C3118" s="1342"/>
      <c r="D3118" s="1342"/>
      <c r="E3118" s="1342"/>
      <c r="F3118" s="1342"/>
      <c r="G3118" s="1342"/>
      <c r="H3118" s="1342"/>
      <c r="I3118" s="1342"/>
      <c r="J3118" s="1342"/>
      <c r="K3118" s="1342"/>
    </row>
    <row r="3119" spans="2:11" ht="14" hidden="1">
      <c r="B3119" s="1342"/>
      <c r="C3119" s="1342"/>
      <c r="D3119" s="1342"/>
      <c r="E3119" s="1342"/>
      <c r="F3119" s="1342"/>
      <c r="G3119" s="1342"/>
      <c r="H3119" s="1342"/>
      <c r="I3119" s="1342"/>
      <c r="J3119" s="1342"/>
      <c r="K3119" s="1342"/>
    </row>
    <row r="3120" spans="2:11" ht="14" hidden="1">
      <c r="B3120" s="1342"/>
      <c r="C3120" s="1342"/>
      <c r="D3120" s="1342"/>
      <c r="E3120" s="1342"/>
      <c r="F3120" s="1342"/>
      <c r="G3120" s="1342"/>
      <c r="H3120" s="1342"/>
      <c r="I3120" s="1342"/>
      <c r="J3120" s="1342"/>
      <c r="K3120" s="1342"/>
    </row>
    <row r="3121" spans="2:11" ht="14" hidden="1">
      <c r="B3121" s="1342"/>
      <c r="C3121" s="1342"/>
      <c r="D3121" s="1342"/>
      <c r="E3121" s="1342"/>
      <c r="F3121" s="1342"/>
      <c r="G3121" s="1342"/>
      <c r="H3121" s="1342"/>
      <c r="I3121" s="1342"/>
      <c r="J3121" s="1342"/>
      <c r="K3121" s="1342"/>
    </row>
    <row r="3122" spans="2:11" ht="14" hidden="1">
      <c r="B3122" s="1342"/>
      <c r="C3122" s="1342"/>
      <c r="D3122" s="1342"/>
      <c r="E3122" s="1342"/>
      <c r="F3122" s="1342"/>
      <c r="G3122" s="1342"/>
      <c r="H3122" s="1342"/>
      <c r="I3122" s="1342"/>
      <c r="J3122" s="1342"/>
      <c r="K3122" s="1342"/>
    </row>
    <row r="3123" spans="2:11" ht="14" hidden="1">
      <c r="B3123" s="1342"/>
      <c r="C3123" s="1342"/>
      <c r="D3123" s="1342"/>
      <c r="E3123" s="1342"/>
      <c r="F3123" s="1342"/>
      <c r="G3123" s="1342"/>
      <c r="H3123" s="1342"/>
      <c r="I3123" s="1342"/>
      <c r="J3123" s="1342"/>
      <c r="K3123" s="1342"/>
    </row>
    <row r="3124" spans="2:11" ht="14" hidden="1">
      <c r="B3124" s="1342"/>
      <c r="C3124" s="1342"/>
      <c r="D3124" s="1342"/>
      <c r="E3124" s="1342"/>
      <c r="F3124" s="1342"/>
      <c r="G3124" s="1342"/>
      <c r="H3124" s="1342"/>
      <c r="I3124" s="1342"/>
      <c r="J3124" s="1342"/>
      <c r="K3124" s="1342"/>
    </row>
    <row r="3125" spans="2:11" ht="14" hidden="1">
      <c r="B3125" s="1342"/>
      <c r="C3125" s="1342"/>
      <c r="D3125" s="1342"/>
      <c r="E3125" s="1342"/>
      <c r="F3125" s="1342"/>
      <c r="G3125" s="1342"/>
      <c r="H3125" s="1342"/>
      <c r="I3125" s="1342"/>
      <c r="J3125" s="1342"/>
      <c r="K3125" s="1342"/>
    </row>
    <row r="3126" spans="2:11" ht="14" hidden="1">
      <c r="B3126" s="1342"/>
      <c r="C3126" s="1342"/>
      <c r="D3126" s="1342"/>
      <c r="E3126" s="1342"/>
      <c r="F3126" s="1342"/>
      <c r="G3126" s="1342"/>
      <c r="H3126" s="1342"/>
      <c r="I3126" s="1342"/>
      <c r="J3126" s="1342"/>
      <c r="K3126" s="1342"/>
    </row>
    <row r="3127" spans="2:11" ht="14" hidden="1">
      <c r="B3127" s="1342"/>
      <c r="C3127" s="1342"/>
      <c r="D3127" s="1342"/>
      <c r="E3127" s="1342"/>
      <c r="F3127" s="1342"/>
      <c r="G3127" s="1342"/>
      <c r="H3127" s="1342"/>
      <c r="I3127" s="1342"/>
      <c r="J3127" s="1342"/>
      <c r="K3127" s="1342"/>
    </row>
    <row r="3128" spans="2:11" ht="14" hidden="1">
      <c r="B3128" s="1342"/>
      <c r="C3128" s="1342"/>
      <c r="D3128" s="1342"/>
      <c r="E3128" s="1342"/>
      <c r="F3128" s="1342"/>
      <c r="G3128" s="1342"/>
      <c r="H3128" s="1342"/>
      <c r="I3128" s="1342"/>
      <c r="J3128" s="1342"/>
      <c r="K3128" s="1342"/>
    </row>
    <row r="3129" spans="2:11" ht="14" hidden="1">
      <c r="B3129" s="1342"/>
      <c r="C3129" s="1342"/>
      <c r="D3129" s="1342"/>
      <c r="E3129" s="1342"/>
      <c r="F3129" s="1342"/>
      <c r="G3129" s="1342"/>
      <c r="H3129" s="1342"/>
      <c r="I3129" s="1342"/>
      <c r="J3129" s="1342"/>
      <c r="K3129" s="1342"/>
    </row>
    <row r="3130" spans="2:11" ht="14" hidden="1">
      <c r="B3130" s="1342"/>
      <c r="C3130" s="1342"/>
      <c r="D3130" s="1342"/>
      <c r="E3130" s="1342"/>
      <c r="F3130" s="1342"/>
      <c r="G3130" s="1342"/>
      <c r="H3130" s="1342"/>
      <c r="I3130" s="1342"/>
      <c r="J3130" s="1342"/>
      <c r="K3130" s="1342"/>
    </row>
    <row r="3131" spans="2:11" ht="14" hidden="1">
      <c r="B3131" s="1342"/>
      <c r="C3131" s="1342"/>
      <c r="D3131" s="1342"/>
      <c r="E3131" s="1342"/>
      <c r="F3131" s="1342"/>
      <c r="G3131" s="1342"/>
      <c r="H3131" s="1342"/>
      <c r="I3131" s="1342"/>
      <c r="J3131" s="1342"/>
      <c r="K3131" s="1342"/>
    </row>
    <row r="3132" spans="2:11" ht="14" hidden="1">
      <c r="B3132" s="1342"/>
      <c r="C3132" s="1342"/>
      <c r="D3132" s="1342"/>
      <c r="E3132" s="1342"/>
      <c r="F3132" s="1342"/>
      <c r="G3132" s="1342"/>
      <c r="H3132" s="1342"/>
      <c r="I3132" s="1342"/>
      <c r="J3132" s="1342"/>
      <c r="K3132" s="1342"/>
    </row>
    <row r="3133" spans="2:11" ht="14" hidden="1">
      <c r="B3133" s="1342"/>
      <c r="C3133" s="1342"/>
      <c r="D3133" s="1342"/>
      <c r="E3133" s="1342"/>
      <c r="F3133" s="1342"/>
      <c r="G3133" s="1342"/>
      <c r="H3133" s="1342"/>
      <c r="I3133" s="1342"/>
      <c r="J3133" s="1342"/>
      <c r="K3133" s="1342"/>
    </row>
    <row r="3134" spans="2:11" ht="14" hidden="1">
      <c r="B3134" s="1342"/>
      <c r="C3134" s="1342"/>
      <c r="D3134" s="1342"/>
      <c r="E3134" s="1342"/>
      <c r="F3134" s="1342"/>
      <c r="G3134" s="1342"/>
      <c r="H3134" s="1342"/>
      <c r="I3134" s="1342"/>
      <c r="J3134" s="1342"/>
      <c r="K3134" s="1342"/>
    </row>
    <row r="3135" spans="2:11" ht="14" hidden="1">
      <c r="B3135" s="1342"/>
      <c r="C3135" s="1342"/>
      <c r="D3135" s="1342"/>
      <c r="E3135" s="1342"/>
      <c r="F3135" s="1342"/>
      <c r="G3135" s="1342"/>
      <c r="H3135" s="1342"/>
      <c r="I3135" s="1342"/>
      <c r="J3135" s="1342"/>
      <c r="K3135" s="1342"/>
    </row>
    <row r="3136" spans="2:11" ht="14" hidden="1">
      <c r="B3136" s="1342"/>
      <c r="C3136" s="1342"/>
      <c r="D3136" s="1342"/>
      <c r="E3136" s="1342"/>
      <c r="F3136" s="1342"/>
      <c r="G3136" s="1342"/>
      <c r="H3136" s="1342"/>
      <c r="I3136" s="1342"/>
      <c r="J3136" s="1342"/>
      <c r="K3136" s="1342"/>
    </row>
    <row r="3137" spans="2:11" ht="14" hidden="1">
      <c r="B3137" s="1342"/>
      <c r="C3137" s="1342"/>
      <c r="D3137" s="1342"/>
      <c r="E3137" s="1342"/>
      <c r="F3137" s="1342"/>
      <c r="G3137" s="1342"/>
      <c r="H3137" s="1342"/>
      <c r="I3137" s="1342"/>
      <c r="J3137" s="1342"/>
      <c r="K3137" s="1342"/>
    </row>
    <row r="3138" spans="2:11" ht="14" hidden="1">
      <c r="B3138" s="1342"/>
      <c r="C3138" s="1342"/>
      <c r="D3138" s="1342"/>
      <c r="E3138" s="1342"/>
      <c r="F3138" s="1342"/>
      <c r="G3138" s="1342"/>
      <c r="H3138" s="1342"/>
      <c r="I3138" s="1342"/>
      <c r="J3138" s="1342"/>
      <c r="K3138" s="1342"/>
    </row>
    <row r="3139" spans="2:11" ht="14" hidden="1">
      <c r="B3139" s="1342"/>
      <c r="C3139" s="1342"/>
      <c r="D3139" s="1342"/>
      <c r="E3139" s="1342"/>
      <c r="F3139" s="1342"/>
      <c r="G3139" s="1342"/>
      <c r="H3139" s="1342"/>
      <c r="I3139" s="1342"/>
      <c r="J3139" s="1342"/>
      <c r="K3139" s="1342"/>
    </row>
    <row r="3140" spans="2:11" ht="14" hidden="1">
      <c r="B3140" s="1342"/>
      <c r="C3140" s="1342"/>
      <c r="D3140" s="1342"/>
      <c r="E3140" s="1342"/>
      <c r="F3140" s="1342"/>
      <c r="G3140" s="1342"/>
      <c r="H3140" s="1342"/>
      <c r="I3140" s="1342"/>
      <c r="J3140" s="1342"/>
      <c r="K3140" s="1342"/>
    </row>
    <row r="3141" spans="2:11" ht="14" hidden="1">
      <c r="B3141" s="1342"/>
      <c r="C3141" s="1342"/>
      <c r="D3141" s="1342"/>
      <c r="E3141" s="1342"/>
      <c r="F3141" s="1342"/>
      <c r="G3141" s="1342"/>
      <c r="H3141" s="1342"/>
      <c r="I3141" s="1342"/>
      <c r="J3141" s="1342"/>
      <c r="K3141" s="1342"/>
    </row>
    <row r="3142" spans="2:11" ht="14" hidden="1">
      <c r="B3142" s="1342"/>
      <c r="C3142" s="1342"/>
      <c r="D3142" s="1342"/>
      <c r="E3142" s="1342"/>
      <c r="F3142" s="1342"/>
      <c r="G3142" s="1342"/>
      <c r="H3142" s="1342"/>
      <c r="I3142" s="1342"/>
      <c r="J3142" s="1342"/>
      <c r="K3142" s="1342"/>
    </row>
    <row r="3143" spans="2:11" ht="14" hidden="1">
      <c r="B3143" s="1342"/>
      <c r="C3143" s="1342"/>
      <c r="D3143" s="1342"/>
      <c r="E3143" s="1342"/>
      <c r="F3143" s="1342"/>
      <c r="G3143" s="1342"/>
      <c r="H3143" s="1342"/>
      <c r="I3143" s="1342"/>
      <c r="J3143" s="1342"/>
      <c r="K3143" s="1342"/>
    </row>
    <row r="3144" spans="2:11" ht="14" hidden="1">
      <c r="B3144" s="1342"/>
      <c r="C3144" s="1342"/>
      <c r="D3144" s="1342"/>
      <c r="E3144" s="1342"/>
      <c r="F3144" s="1342"/>
      <c r="G3144" s="1342"/>
      <c r="H3144" s="1342"/>
      <c r="I3144" s="1342"/>
      <c r="J3144" s="1342"/>
      <c r="K3144" s="1342"/>
    </row>
    <row r="3145" spans="2:11" ht="14" hidden="1">
      <c r="B3145" s="1342"/>
      <c r="C3145" s="1342"/>
      <c r="D3145" s="1342"/>
      <c r="E3145" s="1342"/>
      <c r="F3145" s="1342"/>
      <c r="G3145" s="1342"/>
      <c r="H3145" s="1342"/>
      <c r="I3145" s="1342"/>
      <c r="J3145" s="1342"/>
      <c r="K3145" s="1342"/>
    </row>
    <row r="3146" spans="2:11" ht="14" hidden="1">
      <c r="B3146" s="1342"/>
      <c r="C3146" s="1342"/>
      <c r="D3146" s="1342"/>
      <c r="E3146" s="1342"/>
      <c r="F3146" s="1342"/>
      <c r="G3146" s="1342"/>
      <c r="H3146" s="1342"/>
      <c r="I3146" s="1342"/>
      <c r="J3146" s="1342"/>
      <c r="K3146" s="1342"/>
    </row>
    <row r="3147" spans="2:11" ht="14" hidden="1">
      <c r="B3147" s="1342"/>
      <c r="C3147" s="1342"/>
      <c r="D3147" s="1342"/>
      <c r="E3147" s="1342"/>
      <c r="F3147" s="1342"/>
      <c r="G3147" s="1342"/>
      <c r="H3147" s="1342"/>
      <c r="I3147" s="1342"/>
      <c r="J3147" s="1342"/>
      <c r="K3147" s="1342"/>
    </row>
    <row r="3148" spans="2:11" ht="14" hidden="1">
      <c r="B3148" s="1342"/>
      <c r="C3148" s="1342"/>
      <c r="D3148" s="1342"/>
      <c r="E3148" s="1342"/>
      <c r="F3148" s="1342"/>
      <c r="G3148" s="1342"/>
      <c r="H3148" s="1342"/>
      <c r="I3148" s="1342"/>
      <c r="J3148" s="1342"/>
      <c r="K3148" s="1342"/>
    </row>
    <row r="3149" spans="2:11" ht="14" hidden="1">
      <c r="B3149" s="1342"/>
      <c r="C3149" s="1342"/>
      <c r="D3149" s="1342"/>
      <c r="E3149" s="1342"/>
      <c r="F3149" s="1342"/>
      <c r="G3149" s="1342"/>
      <c r="H3149" s="1342"/>
      <c r="I3149" s="1342"/>
      <c r="J3149" s="1342"/>
      <c r="K3149" s="1342"/>
    </row>
    <row r="3150" spans="2:11" ht="14" hidden="1">
      <c r="B3150" s="1342"/>
      <c r="C3150" s="1342"/>
      <c r="D3150" s="1342"/>
      <c r="E3150" s="1342"/>
      <c r="F3150" s="1342"/>
      <c r="G3150" s="1342"/>
      <c r="H3150" s="1342"/>
      <c r="I3150" s="1342"/>
      <c r="J3150" s="1342"/>
      <c r="K3150" s="1342"/>
    </row>
    <row r="3151" spans="2:11" ht="14" hidden="1">
      <c r="B3151" s="1342"/>
      <c r="C3151" s="1342"/>
      <c r="D3151" s="1342"/>
      <c r="E3151" s="1342"/>
      <c r="F3151" s="1342"/>
      <c r="G3151" s="1342"/>
      <c r="H3151" s="1342"/>
      <c r="I3151" s="1342"/>
      <c r="J3151" s="1342"/>
      <c r="K3151" s="1342"/>
    </row>
    <row r="3152" spans="2:11" ht="14" hidden="1">
      <c r="B3152" s="1342"/>
      <c r="C3152" s="1342"/>
      <c r="D3152" s="1342"/>
      <c r="E3152" s="1342"/>
      <c r="F3152" s="1342"/>
      <c r="G3152" s="1342"/>
      <c r="H3152" s="1342"/>
      <c r="I3152" s="1342"/>
      <c r="J3152" s="1342"/>
      <c r="K3152" s="1342"/>
    </row>
    <row r="3153" spans="2:11" ht="14" hidden="1">
      <c r="B3153" s="1342"/>
      <c r="C3153" s="1342"/>
      <c r="D3153" s="1342"/>
      <c r="E3153" s="1342"/>
      <c r="F3153" s="1342"/>
      <c r="G3153" s="1342"/>
      <c r="H3153" s="1342"/>
      <c r="I3153" s="1342"/>
      <c r="J3153" s="1342"/>
      <c r="K3153" s="1342"/>
    </row>
    <row r="3154" spans="2:11" ht="14" hidden="1">
      <c r="B3154" s="1342"/>
      <c r="C3154" s="1342"/>
      <c r="D3154" s="1342"/>
      <c r="E3154" s="1342"/>
      <c r="F3154" s="1342"/>
      <c r="G3154" s="1342"/>
      <c r="H3154" s="1342"/>
      <c r="I3154" s="1342"/>
      <c r="J3154" s="1342"/>
      <c r="K3154" s="1342"/>
    </row>
    <row r="3155" spans="2:11" ht="14" hidden="1">
      <c r="B3155" s="1342"/>
      <c r="C3155" s="1342"/>
      <c r="D3155" s="1342"/>
      <c r="E3155" s="1342"/>
      <c r="F3155" s="1342"/>
      <c r="G3155" s="1342"/>
      <c r="H3155" s="1342"/>
      <c r="I3155" s="1342"/>
      <c r="J3155" s="1342"/>
      <c r="K3155" s="1342"/>
    </row>
    <row r="3156" spans="2:11" ht="14" hidden="1">
      <c r="B3156" s="1342"/>
      <c r="C3156" s="1342"/>
      <c r="D3156" s="1342"/>
      <c r="E3156" s="1342"/>
      <c r="F3156" s="1342"/>
      <c r="G3156" s="1342"/>
      <c r="H3156" s="1342"/>
      <c r="I3156" s="1342"/>
      <c r="J3156" s="1342"/>
      <c r="K3156" s="1342"/>
    </row>
    <row r="3157" spans="2:11" ht="14" hidden="1">
      <c r="B3157" s="1342"/>
      <c r="C3157" s="1342"/>
      <c r="D3157" s="1342"/>
      <c r="E3157" s="1342"/>
      <c r="F3157" s="1342"/>
      <c r="G3157" s="1342"/>
      <c r="H3157" s="1342"/>
      <c r="I3157" s="1342"/>
      <c r="J3157" s="1342"/>
      <c r="K3157" s="1342"/>
    </row>
    <row r="3158" spans="2:11" ht="14" hidden="1">
      <c r="B3158" s="1342"/>
      <c r="C3158" s="1342"/>
      <c r="D3158" s="1342"/>
      <c r="E3158" s="1342"/>
      <c r="F3158" s="1342"/>
      <c r="G3158" s="1342"/>
      <c r="H3158" s="1342"/>
      <c r="I3158" s="1342"/>
      <c r="J3158" s="1342"/>
      <c r="K3158" s="1342"/>
    </row>
    <row r="3159" spans="2:11" ht="14" hidden="1">
      <c r="B3159" s="1342"/>
      <c r="C3159" s="1342"/>
      <c r="D3159" s="1342"/>
      <c r="E3159" s="1342"/>
      <c r="F3159" s="1342"/>
      <c r="G3159" s="1342"/>
      <c r="H3159" s="1342"/>
      <c r="I3159" s="1342"/>
      <c r="J3159" s="1342"/>
      <c r="K3159" s="1342"/>
    </row>
    <row r="3160" spans="2:11" ht="14" hidden="1">
      <c r="B3160" s="1342"/>
      <c r="C3160" s="1342"/>
      <c r="D3160" s="1342"/>
      <c r="E3160" s="1342"/>
      <c r="F3160" s="1342"/>
      <c r="G3160" s="1342"/>
      <c r="H3160" s="1342"/>
      <c r="I3160" s="1342"/>
      <c r="J3160" s="1342"/>
      <c r="K3160" s="1342"/>
    </row>
    <row r="3161" spans="2:11" ht="14" hidden="1">
      <c r="B3161" s="1342"/>
      <c r="C3161" s="1342"/>
      <c r="D3161" s="1342"/>
      <c r="E3161" s="1342"/>
      <c r="F3161" s="1342"/>
      <c r="G3161" s="1342"/>
      <c r="H3161" s="1342"/>
      <c r="I3161" s="1342"/>
      <c r="J3161" s="1342"/>
      <c r="K3161" s="1342"/>
    </row>
    <row r="3162" spans="2:11" ht="14" hidden="1">
      <c r="B3162" s="1342"/>
      <c r="C3162" s="1342"/>
      <c r="D3162" s="1342"/>
      <c r="E3162" s="1342"/>
      <c r="F3162" s="1342"/>
      <c r="G3162" s="1342"/>
      <c r="H3162" s="1342"/>
      <c r="I3162" s="1342"/>
      <c r="J3162" s="1342"/>
      <c r="K3162" s="1342"/>
    </row>
    <row r="3163" spans="2:11" ht="14" hidden="1">
      <c r="B3163" s="1342"/>
      <c r="C3163" s="1342"/>
      <c r="D3163" s="1342"/>
      <c r="E3163" s="1342"/>
      <c r="F3163" s="1342"/>
      <c r="G3163" s="1342"/>
      <c r="H3163" s="1342"/>
      <c r="I3163" s="1342"/>
      <c r="J3163" s="1342"/>
      <c r="K3163" s="1342"/>
    </row>
    <row r="3164" spans="2:11" ht="14" hidden="1">
      <c r="B3164" s="1342"/>
      <c r="C3164" s="1342"/>
      <c r="D3164" s="1342"/>
      <c r="E3164" s="1342"/>
      <c r="F3164" s="1342"/>
      <c r="G3164" s="1342"/>
      <c r="H3164" s="1342"/>
      <c r="I3164" s="1342"/>
      <c r="J3164" s="1342"/>
      <c r="K3164" s="1342"/>
    </row>
    <row r="3165" spans="2:11" ht="14" hidden="1">
      <c r="B3165" s="1342"/>
      <c r="C3165" s="1342"/>
      <c r="D3165" s="1342"/>
      <c r="E3165" s="1342"/>
      <c r="F3165" s="1342"/>
      <c r="G3165" s="1342"/>
      <c r="H3165" s="1342"/>
      <c r="I3165" s="1342"/>
      <c r="J3165" s="1342"/>
      <c r="K3165" s="1342"/>
    </row>
    <row r="3166" spans="2:11" ht="14" hidden="1">
      <c r="B3166" s="1342"/>
      <c r="C3166" s="1342"/>
      <c r="D3166" s="1342"/>
      <c r="E3166" s="1342"/>
      <c r="F3166" s="1342"/>
      <c r="G3166" s="1342"/>
      <c r="H3166" s="1342"/>
      <c r="I3166" s="1342"/>
      <c r="J3166" s="1342"/>
      <c r="K3166" s="1342"/>
    </row>
    <row r="3167" spans="2:11" ht="14" hidden="1">
      <c r="B3167" s="1342"/>
      <c r="C3167" s="1342"/>
      <c r="D3167" s="1342"/>
      <c r="E3167" s="1342"/>
      <c r="F3167" s="1342"/>
      <c r="G3167" s="1342"/>
      <c r="H3167" s="1342"/>
      <c r="I3167" s="1342"/>
      <c r="J3167" s="1342"/>
      <c r="K3167" s="1342"/>
    </row>
    <row r="3168" spans="2:11" ht="14" hidden="1">
      <c r="B3168" s="1342"/>
      <c r="C3168" s="1342"/>
      <c r="D3168" s="1342"/>
      <c r="E3168" s="1342"/>
      <c r="F3168" s="1342"/>
      <c r="G3168" s="1342"/>
      <c r="H3168" s="1342"/>
      <c r="I3168" s="1342"/>
      <c r="J3168" s="1342"/>
      <c r="K3168" s="1342"/>
    </row>
    <row r="3169" spans="2:11" ht="14" hidden="1">
      <c r="B3169" s="1342"/>
      <c r="C3169" s="1342"/>
      <c r="D3169" s="1342"/>
      <c r="E3169" s="1342"/>
      <c r="F3169" s="1342"/>
      <c r="G3169" s="1342"/>
      <c r="H3169" s="1342"/>
      <c r="I3169" s="1342"/>
      <c r="J3169" s="1342"/>
      <c r="K3169" s="1342"/>
    </row>
    <row r="3170" spans="2:11" ht="14" hidden="1">
      <c r="B3170" s="1342"/>
      <c r="C3170" s="1342"/>
      <c r="D3170" s="1342"/>
      <c r="E3170" s="1342"/>
      <c r="F3170" s="1342"/>
      <c r="G3170" s="1342"/>
      <c r="H3170" s="1342"/>
      <c r="I3170" s="1342"/>
      <c r="J3170" s="1342"/>
      <c r="K3170" s="1342"/>
    </row>
    <row r="3171" spans="2:11" ht="14" hidden="1">
      <c r="B3171" s="1342"/>
      <c r="C3171" s="1342"/>
      <c r="D3171" s="1342"/>
      <c r="E3171" s="1342"/>
      <c r="F3171" s="1342"/>
      <c r="G3171" s="1342"/>
      <c r="H3171" s="1342"/>
      <c r="I3171" s="1342"/>
      <c r="J3171" s="1342"/>
      <c r="K3171" s="1342"/>
    </row>
    <row r="3172" spans="2:11" ht="14" hidden="1">
      <c r="B3172" s="1342"/>
      <c r="C3172" s="1342"/>
      <c r="D3172" s="1342"/>
      <c r="E3172" s="1342"/>
      <c r="F3172" s="1342"/>
      <c r="G3172" s="1342"/>
      <c r="H3172" s="1342"/>
      <c r="I3172" s="1342"/>
      <c r="J3172" s="1342"/>
      <c r="K3172" s="1342"/>
    </row>
    <row r="3173" spans="2:11" ht="14" hidden="1">
      <c r="B3173" s="1342"/>
      <c r="C3173" s="1342"/>
      <c r="D3173" s="1342"/>
      <c r="E3173" s="1342"/>
      <c r="F3173" s="1342"/>
      <c r="G3173" s="1342"/>
      <c r="H3173" s="1342"/>
      <c r="I3173" s="1342"/>
      <c r="J3173" s="1342"/>
      <c r="K3173" s="1342"/>
    </row>
    <row r="3174" spans="2:11" ht="14" hidden="1">
      <c r="B3174" s="1342"/>
      <c r="C3174" s="1342"/>
      <c r="D3174" s="1342"/>
      <c r="E3174" s="1342"/>
      <c r="F3174" s="1342"/>
      <c r="G3174" s="1342"/>
      <c r="H3174" s="1342"/>
      <c r="I3174" s="1342"/>
      <c r="J3174" s="1342"/>
      <c r="K3174" s="1342"/>
    </row>
    <row r="3175" spans="2:11" ht="14" hidden="1">
      <c r="B3175" s="1342"/>
      <c r="C3175" s="1342"/>
      <c r="D3175" s="1342"/>
      <c r="E3175" s="1342"/>
      <c r="F3175" s="1342"/>
      <c r="G3175" s="1342"/>
      <c r="H3175" s="1342"/>
      <c r="I3175" s="1342"/>
      <c r="J3175" s="1342"/>
      <c r="K3175" s="1342"/>
    </row>
    <row r="3176" spans="2:11" ht="14" hidden="1">
      <c r="B3176" s="1342"/>
      <c r="C3176" s="1342"/>
      <c r="D3176" s="1342"/>
      <c r="E3176" s="1342"/>
      <c r="F3176" s="1342"/>
      <c r="G3176" s="1342"/>
      <c r="H3176" s="1342"/>
      <c r="I3176" s="1342"/>
      <c r="J3176" s="1342"/>
      <c r="K3176" s="1342"/>
    </row>
    <row r="3177" spans="2:11" ht="14" hidden="1">
      <c r="B3177" s="1342"/>
      <c r="C3177" s="1342"/>
      <c r="D3177" s="1342"/>
      <c r="E3177" s="1342"/>
      <c r="F3177" s="1342"/>
      <c r="G3177" s="1342"/>
      <c r="H3177" s="1342"/>
      <c r="I3177" s="1342"/>
      <c r="J3177" s="1342"/>
      <c r="K3177" s="1342"/>
    </row>
    <row r="3178" spans="2:11" ht="14" hidden="1">
      <c r="B3178" s="1342"/>
      <c r="C3178" s="1342"/>
      <c r="D3178" s="1342"/>
      <c r="E3178" s="1342"/>
      <c r="F3178" s="1342"/>
      <c r="G3178" s="1342"/>
      <c r="H3178" s="1342"/>
      <c r="I3178" s="1342"/>
      <c r="J3178" s="1342"/>
      <c r="K3178" s="1342"/>
    </row>
    <row r="3179" spans="2:11" ht="14" hidden="1">
      <c r="B3179" s="1342"/>
      <c r="C3179" s="1342"/>
      <c r="D3179" s="1342"/>
      <c r="E3179" s="1342"/>
      <c r="F3179" s="1342"/>
      <c r="G3179" s="1342"/>
      <c r="H3179" s="1342"/>
      <c r="I3179" s="1342"/>
      <c r="J3179" s="1342"/>
      <c r="K3179" s="1342"/>
    </row>
    <row r="3180" spans="2:11" ht="14" hidden="1">
      <c r="B3180" s="1342"/>
      <c r="C3180" s="1342"/>
      <c r="D3180" s="1342"/>
      <c r="E3180" s="1342"/>
      <c r="F3180" s="1342"/>
      <c r="G3180" s="1342"/>
      <c r="H3180" s="1342"/>
      <c r="I3180" s="1342"/>
      <c r="J3180" s="1342"/>
      <c r="K3180" s="1342"/>
    </row>
    <row r="3181" spans="2:11" ht="14" hidden="1">
      <c r="B3181" s="1342"/>
      <c r="C3181" s="1342"/>
      <c r="D3181" s="1342"/>
      <c r="E3181" s="1342"/>
      <c r="F3181" s="1342"/>
      <c r="G3181" s="1342"/>
      <c r="H3181" s="1342"/>
      <c r="I3181" s="1342"/>
      <c r="J3181" s="1342"/>
      <c r="K3181" s="1342"/>
    </row>
    <row r="3182" spans="2:11" ht="14" hidden="1">
      <c r="B3182" s="1342"/>
      <c r="C3182" s="1342"/>
      <c r="D3182" s="1342"/>
      <c r="E3182" s="1342"/>
      <c r="F3182" s="1342"/>
      <c r="G3182" s="1342"/>
      <c r="H3182" s="1342"/>
      <c r="I3182" s="1342"/>
      <c r="J3182" s="1342"/>
      <c r="K3182" s="1342"/>
    </row>
    <row r="3183" spans="2:11" ht="14" hidden="1">
      <c r="B3183" s="1342"/>
      <c r="C3183" s="1342"/>
      <c r="D3183" s="1342"/>
      <c r="E3183" s="1342"/>
      <c r="F3183" s="1342"/>
      <c r="G3183" s="1342"/>
      <c r="H3183" s="1342"/>
      <c r="I3183" s="1342"/>
      <c r="J3183" s="1342"/>
      <c r="K3183" s="1342"/>
    </row>
    <row r="3184" spans="2:11" ht="14" hidden="1">
      <c r="B3184" s="1342"/>
      <c r="C3184" s="1342"/>
      <c r="D3184" s="1342"/>
      <c r="E3184" s="1342"/>
      <c r="F3184" s="1342"/>
      <c r="G3184" s="1342"/>
      <c r="H3184" s="1342"/>
      <c r="I3184" s="1342"/>
      <c r="J3184" s="1342"/>
      <c r="K3184" s="1342"/>
    </row>
    <row r="3185" spans="2:11" ht="14" hidden="1">
      <c r="B3185" s="1342"/>
      <c r="C3185" s="1342"/>
      <c r="D3185" s="1342"/>
      <c r="E3185" s="1342"/>
      <c r="F3185" s="1342"/>
      <c r="G3185" s="1342"/>
      <c r="H3185" s="1342"/>
      <c r="I3185" s="1342"/>
      <c r="J3185" s="1342"/>
      <c r="K3185" s="1342"/>
    </row>
    <row r="3186" spans="2:11" ht="14" hidden="1">
      <c r="B3186" s="1342"/>
      <c r="C3186" s="1342"/>
      <c r="D3186" s="1342"/>
      <c r="E3186" s="1342"/>
      <c r="F3186" s="1342"/>
      <c r="G3186" s="1342"/>
      <c r="H3186" s="1342"/>
      <c r="I3186" s="1342"/>
      <c r="J3186" s="1342"/>
      <c r="K3186" s="1342"/>
    </row>
    <row r="3187" spans="2:11" ht="14" hidden="1">
      <c r="B3187" s="1342"/>
      <c r="C3187" s="1342"/>
      <c r="D3187" s="1342"/>
      <c r="E3187" s="1342"/>
      <c r="F3187" s="1342"/>
      <c r="G3187" s="1342"/>
      <c r="H3187" s="1342"/>
      <c r="I3187" s="1342"/>
      <c r="J3187" s="1342"/>
      <c r="K3187" s="1342"/>
    </row>
    <row r="3188" spans="2:11" ht="14" hidden="1">
      <c r="B3188" s="1342"/>
      <c r="C3188" s="1342"/>
      <c r="D3188" s="1342"/>
      <c r="E3188" s="1342"/>
      <c r="F3188" s="1342"/>
      <c r="G3188" s="1342"/>
      <c r="H3188" s="1342"/>
      <c r="I3188" s="1342"/>
      <c r="J3188" s="1342"/>
      <c r="K3188" s="1342"/>
    </row>
    <row r="3189" spans="2:11" ht="14" hidden="1">
      <c r="B3189" s="1342"/>
      <c r="C3189" s="1342"/>
      <c r="D3189" s="1342"/>
      <c r="E3189" s="1342"/>
      <c r="F3189" s="1342"/>
      <c r="G3189" s="1342"/>
      <c r="H3189" s="1342"/>
      <c r="I3189" s="1342"/>
      <c r="J3189" s="1342"/>
      <c r="K3189" s="1342"/>
    </row>
    <row r="3190" spans="2:11" ht="14" hidden="1">
      <c r="B3190" s="1342"/>
      <c r="C3190" s="1342"/>
      <c r="D3190" s="1342"/>
      <c r="E3190" s="1342"/>
      <c r="F3190" s="1342"/>
      <c r="G3190" s="1342"/>
      <c r="H3190" s="1342"/>
      <c r="I3190" s="1342"/>
      <c r="J3190" s="1342"/>
      <c r="K3190" s="1342"/>
    </row>
    <row r="3191" spans="2:11" ht="14" hidden="1">
      <c r="B3191" s="1342"/>
      <c r="C3191" s="1342"/>
      <c r="D3191" s="1342"/>
      <c r="E3191" s="1342"/>
      <c r="F3191" s="1342"/>
      <c r="G3191" s="1342"/>
      <c r="H3191" s="1342"/>
      <c r="I3191" s="1342"/>
      <c r="J3191" s="1342"/>
      <c r="K3191" s="1342"/>
    </row>
    <row r="3192" spans="2:11" ht="14" hidden="1">
      <c r="B3192" s="1342"/>
      <c r="C3192" s="1342"/>
      <c r="D3192" s="1342"/>
      <c r="E3192" s="1342"/>
      <c r="F3192" s="1342"/>
      <c r="G3192" s="1342"/>
      <c r="H3192" s="1342"/>
      <c r="I3192" s="1342"/>
      <c r="J3192" s="1342"/>
      <c r="K3192" s="1342"/>
    </row>
    <row r="3193" spans="2:11" ht="14" hidden="1">
      <c r="B3193" s="1342"/>
      <c r="C3193" s="1342"/>
      <c r="D3193" s="1342"/>
      <c r="E3193" s="1342"/>
      <c r="F3193" s="1342"/>
      <c r="G3193" s="1342"/>
      <c r="H3193" s="1342"/>
      <c r="I3193" s="1342"/>
      <c r="J3193" s="1342"/>
      <c r="K3193" s="1342"/>
    </row>
    <row r="3194" spans="2:11" ht="14" hidden="1">
      <c r="B3194" s="1342"/>
      <c r="C3194" s="1342"/>
      <c r="D3194" s="1342"/>
      <c r="E3194" s="1342"/>
      <c r="F3194" s="1342"/>
      <c r="G3194" s="1342"/>
      <c r="H3194" s="1342"/>
      <c r="I3194" s="1342"/>
      <c r="J3194" s="1342"/>
      <c r="K3194" s="1342"/>
    </row>
    <row r="3195" spans="2:11" ht="14" hidden="1">
      <c r="B3195" s="1342"/>
      <c r="C3195" s="1342"/>
      <c r="D3195" s="1342"/>
      <c r="E3195" s="1342"/>
      <c r="F3195" s="1342"/>
      <c r="G3195" s="1342"/>
      <c r="H3195" s="1342"/>
      <c r="I3195" s="1342"/>
      <c r="J3195" s="1342"/>
      <c r="K3195" s="1342"/>
    </row>
    <row r="3196" spans="2:11" ht="14" hidden="1">
      <c r="B3196" s="1342"/>
      <c r="C3196" s="1342"/>
      <c r="D3196" s="1342"/>
      <c r="E3196" s="1342"/>
      <c r="F3196" s="1342"/>
      <c r="G3196" s="1342"/>
      <c r="H3196" s="1342"/>
      <c r="I3196" s="1342"/>
      <c r="J3196" s="1342"/>
      <c r="K3196" s="1342"/>
    </row>
    <row r="3197" spans="2:11" ht="14" hidden="1">
      <c r="B3197" s="1342"/>
      <c r="C3197" s="1342"/>
      <c r="D3197" s="1342"/>
      <c r="E3197" s="1342"/>
      <c r="F3197" s="1342"/>
      <c r="G3197" s="1342"/>
      <c r="H3197" s="1342"/>
      <c r="I3197" s="1342"/>
      <c r="J3197" s="1342"/>
      <c r="K3197" s="1342"/>
    </row>
    <row r="3198" spans="2:11" ht="14" hidden="1">
      <c r="B3198" s="1342"/>
      <c r="C3198" s="1342"/>
      <c r="D3198" s="1342"/>
      <c r="E3198" s="1342"/>
      <c r="F3198" s="1342"/>
      <c r="G3198" s="1342"/>
      <c r="H3198" s="1342"/>
      <c r="I3198" s="1342"/>
      <c r="J3198" s="1342"/>
      <c r="K3198" s="1342"/>
    </row>
    <row r="3199" spans="2:11" ht="14" hidden="1">
      <c r="B3199" s="1342"/>
      <c r="C3199" s="1342"/>
      <c r="D3199" s="1342"/>
      <c r="E3199" s="1342"/>
      <c r="F3199" s="1342"/>
      <c r="G3199" s="1342"/>
      <c r="H3199" s="1342"/>
      <c r="I3199" s="1342"/>
      <c r="J3199" s="1342"/>
      <c r="K3199" s="1342"/>
    </row>
    <row r="3200" spans="2:11" ht="14" hidden="1">
      <c r="B3200" s="1342"/>
      <c r="C3200" s="1342"/>
      <c r="D3200" s="1342"/>
      <c r="E3200" s="1342"/>
      <c r="F3200" s="1342"/>
      <c r="G3200" s="1342"/>
      <c r="H3200" s="1342"/>
      <c r="I3200" s="1342"/>
      <c r="J3200" s="1342"/>
      <c r="K3200" s="1342"/>
    </row>
    <row r="3201" spans="2:11" ht="14" hidden="1">
      <c r="B3201" s="1342"/>
      <c r="C3201" s="1342"/>
      <c r="D3201" s="1342"/>
      <c r="E3201" s="1342"/>
      <c r="F3201" s="1342"/>
      <c r="G3201" s="1342"/>
      <c r="H3201" s="1342"/>
      <c r="I3201" s="1342"/>
      <c r="J3201" s="1342"/>
      <c r="K3201" s="1342"/>
    </row>
    <row r="3202" spans="2:11" ht="14" hidden="1">
      <c r="B3202" s="1342"/>
      <c r="C3202" s="1342"/>
      <c r="D3202" s="1342"/>
      <c r="E3202" s="1342"/>
      <c r="F3202" s="1342"/>
      <c r="G3202" s="1342"/>
      <c r="H3202" s="1342"/>
      <c r="I3202" s="1342"/>
      <c r="J3202" s="1342"/>
      <c r="K3202" s="1342"/>
    </row>
    <row r="3203" spans="2:11" ht="14" hidden="1">
      <c r="B3203" s="1342"/>
      <c r="C3203" s="1342"/>
      <c r="D3203" s="1342"/>
      <c r="E3203" s="1342"/>
      <c r="F3203" s="1342"/>
      <c r="G3203" s="1342"/>
      <c r="H3203" s="1342"/>
      <c r="I3203" s="1342"/>
      <c r="J3203" s="1342"/>
      <c r="K3203" s="1342"/>
    </row>
    <row r="3204" spans="2:11" ht="14" hidden="1">
      <c r="B3204" s="1342"/>
      <c r="C3204" s="1342"/>
      <c r="D3204" s="1342"/>
      <c r="E3204" s="1342"/>
      <c r="F3204" s="1342"/>
      <c r="G3204" s="1342"/>
      <c r="H3204" s="1342"/>
      <c r="I3204" s="1342"/>
      <c r="J3204" s="1342"/>
      <c r="K3204" s="1342"/>
    </row>
    <row r="3205" spans="2:11" ht="14" hidden="1">
      <c r="B3205" s="1342"/>
      <c r="C3205" s="1342"/>
      <c r="D3205" s="1342"/>
      <c r="E3205" s="1342"/>
      <c r="F3205" s="1342"/>
      <c r="G3205" s="1342"/>
      <c r="H3205" s="1342"/>
      <c r="I3205" s="1342"/>
      <c r="J3205" s="1342"/>
      <c r="K3205" s="1342"/>
    </row>
    <row r="3206" spans="2:11" ht="14" hidden="1">
      <c r="B3206" s="1342"/>
      <c r="C3206" s="1342"/>
      <c r="D3206" s="1342"/>
      <c r="E3206" s="1342"/>
      <c r="F3206" s="1342"/>
      <c r="G3206" s="1342"/>
      <c r="H3206" s="1342"/>
      <c r="I3206" s="1342"/>
      <c r="J3206" s="1342"/>
      <c r="K3206" s="1342"/>
    </row>
    <row r="3207" spans="2:11" ht="14" hidden="1">
      <c r="B3207" s="1342"/>
      <c r="C3207" s="1342"/>
      <c r="D3207" s="1342"/>
      <c r="E3207" s="1342"/>
      <c r="F3207" s="1342"/>
      <c r="G3207" s="1342"/>
      <c r="H3207" s="1342"/>
      <c r="I3207" s="1342"/>
      <c r="J3207" s="1342"/>
      <c r="K3207" s="1342"/>
    </row>
    <row r="3208" spans="2:11" ht="14" hidden="1">
      <c r="B3208" s="1342"/>
      <c r="C3208" s="1342"/>
      <c r="D3208" s="1342"/>
      <c r="E3208" s="1342"/>
      <c r="F3208" s="1342"/>
      <c r="G3208" s="1342"/>
      <c r="H3208" s="1342"/>
      <c r="I3208" s="1342"/>
      <c r="J3208" s="1342"/>
      <c r="K3208" s="1342"/>
    </row>
    <row r="3209" spans="2:11" ht="14" hidden="1">
      <c r="B3209" s="1342"/>
      <c r="C3209" s="1342"/>
      <c r="D3209" s="1342"/>
      <c r="E3209" s="1342"/>
      <c r="F3209" s="1342"/>
      <c r="G3209" s="1342"/>
      <c r="H3209" s="1342"/>
      <c r="I3209" s="1342"/>
      <c r="J3209" s="1342"/>
      <c r="K3209" s="1342"/>
    </row>
    <row r="3210" spans="2:11" ht="14" hidden="1">
      <c r="B3210" s="1342"/>
      <c r="C3210" s="1342"/>
      <c r="D3210" s="1342"/>
      <c r="E3210" s="1342"/>
      <c r="F3210" s="1342"/>
      <c r="G3210" s="1342"/>
      <c r="H3210" s="1342"/>
      <c r="I3210" s="1342"/>
      <c r="J3210" s="1342"/>
      <c r="K3210" s="1342"/>
    </row>
    <row r="3211" spans="2:11" ht="14" hidden="1">
      <c r="B3211" s="1342"/>
      <c r="C3211" s="1342"/>
      <c r="D3211" s="1342"/>
      <c r="E3211" s="1342"/>
      <c r="F3211" s="1342"/>
      <c r="G3211" s="1342"/>
      <c r="H3211" s="1342"/>
      <c r="I3211" s="1342"/>
      <c r="J3211" s="1342"/>
      <c r="K3211" s="1342"/>
    </row>
    <row r="3212" spans="2:11" ht="14" hidden="1">
      <c r="B3212" s="1342"/>
      <c r="C3212" s="1342"/>
      <c r="D3212" s="1342"/>
      <c r="E3212" s="1342"/>
      <c r="F3212" s="1342"/>
      <c r="G3212" s="1342"/>
      <c r="H3212" s="1342"/>
      <c r="I3212" s="1342"/>
      <c r="J3212" s="1342"/>
      <c r="K3212" s="1342"/>
    </row>
    <row r="3213" spans="2:11" ht="14" hidden="1">
      <c r="B3213" s="1342"/>
      <c r="C3213" s="1342"/>
      <c r="D3213" s="1342"/>
      <c r="E3213" s="1342"/>
      <c r="F3213" s="1342"/>
      <c r="G3213" s="1342"/>
      <c r="H3213" s="1342"/>
      <c r="I3213" s="1342"/>
      <c r="J3213" s="1342"/>
      <c r="K3213" s="1342"/>
    </row>
    <row r="3214" spans="2:11" ht="14" hidden="1">
      <c r="B3214" s="1342"/>
      <c r="C3214" s="1342"/>
      <c r="D3214" s="1342"/>
      <c r="E3214" s="1342"/>
      <c r="F3214" s="1342"/>
      <c r="G3214" s="1342"/>
      <c r="H3214" s="1342"/>
      <c r="I3214" s="1342"/>
      <c r="J3214" s="1342"/>
      <c r="K3214" s="1342"/>
    </row>
    <row r="3215" spans="2:11" ht="14" hidden="1">
      <c r="B3215" s="1342"/>
      <c r="C3215" s="1342"/>
      <c r="D3215" s="1342"/>
      <c r="E3215" s="1342"/>
      <c r="F3215" s="1342"/>
      <c r="G3215" s="1342"/>
      <c r="H3215" s="1342"/>
      <c r="I3215" s="1342"/>
      <c r="J3215" s="1342"/>
      <c r="K3215" s="1342"/>
    </row>
    <row r="3216" spans="2:11" ht="14" hidden="1">
      <c r="B3216" s="1342"/>
      <c r="C3216" s="1342"/>
      <c r="D3216" s="1342"/>
      <c r="E3216" s="1342"/>
      <c r="F3216" s="1342"/>
      <c r="G3216" s="1342"/>
      <c r="H3216" s="1342"/>
      <c r="I3216" s="1342"/>
      <c r="J3216" s="1342"/>
      <c r="K3216" s="1342"/>
    </row>
    <row r="3217" spans="2:11" ht="14" hidden="1">
      <c r="B3217" s="1342"/>
      <c r="C3217" s="1342"/>
      <c r="D3217" s="1342"/>
      <c r="E3217" s="1342"/>
      <c r="F3217" s="1342"/>
      <c r="G3217" s="1342"/>
      <c r="H3217" s="1342"/>
      <c r="I3217" s="1342"/>
      <c r="J3217" s="1342"/>
      <c r="K3217" s="1342"/>
    </row>
    <row r="3218" spans="2:11" ht="14" hidden="1">
      <c r="B3218" s="1342"/>
      <c r="C3218" s="1342"/>
      <c r="D3218" s="1342"/>
      <c r="E3218" s="1342"/>
      <c r="F3218" s="1342"/>
      <c r="G3218" s="1342"/>
      <c r="H3218" s="1342"/>
      <c r="I3218" s="1342"/>
      <c r="J3218" s="1342"/>
      <c r="K3218" s="1342"/>
    </row>
    <row r="3219" spans="2:11" ht="14" hidden="1">
      <c r="B3219" s="1342"/>
      <c r="C3219" s="1342"/>
      <c r="D3219" s="1342"/>
      <c r="E3219" s="1342"/>
      <c r="F3219" s="1342"/>
      <c r="G3219" s="1342"/>
      <c r="H3219" s="1342"/>
      <c r="I3219" s="1342"/>
      <c r="J3219" s="1342"/>
      <c r="K3219" s="1342"/>
    </row>
    <row r="3220" spans="2:11" ht="14" hidden="1">
      <c r="B3220" s="1342"/>
      <c r="C3220" s="1342"/>
      <c r="D3220" s="1342"/>
      <c r="E3220" s="1342"/>
      <c r="F3220" s="1342"/>
      <c r="G3220" s="1342"/>
      <c r="H3220" s="1342"/>
      <c r="I3220" s="1342"/>
      <c r="J3220" s="1342"/>
      <c r="K3220" s="1342"/>
    </row>
    <row r="3221" spans="2:11" ht="14" hidden="1">
      <c r="B3221" s="1342"/>
      <c r="C3221" s="1342"/>
      <c r="D3221" s="1342"/>
      <c r="E3221" s="1342"/>
      <c r="F3221" s="1342"/>
      <c r="G3221" s="1342"/>
      <c r="H3221" s="1342"/>
      <c r="I3221" s="1342"/>
      <c r="J3221" s="1342"/>
      <c r="K3221" s="1342"/>
    </row>
    <row r="3222" spans="2:11" ht="14" hidden="1">
      <c r="B3222" s="1342"/>
      <c r="C3222" s="1342"/>
      <c r="D3222" s="1342"/>
      <c r="E3222" s="1342"/>
      <c r="F3222" s="1342"/>
      <c r="G3222" s="1342"/>
      <c r="H3222" s="1342"/>
      <c r="I3222" s="1342"/>
      <c r="J3222" s="1342"/>
      <c r="K3222" s="1342"/>
    </row>
    <row r="3223" spans="2:11" ht="14" hidden="1">
      <c r="B3223" s="1342"/>
      <c r="C3223" s="1342"/>
      <c r="D3223" s="1342"/>
      <c r="E3223" s="1342"/>
      <c r="F3223" s="1342"/>
      <c r="G3223" s="1342"/>
      <c r="H3223" s="1342"/>
      <c r="I3223" s="1342"/>
      <c r="J3223" s="1342"/>
      <c r="K3223" s="1342"/>
    </row>
    <row r="3224" spans="2:11" ht="14" hidden="1">
      <c r="B3224" s="1342"/>
      <c r="C3224" s="1342"/>
      <c r="D3224" s="1342"/>
      <c r="E3224" s="1342"/>
      <c r="F3224" s="1342"/>
      <c r="G3224" s="1342"/>
      <c r="H3224" s="1342"/>
      <c r="I3224" s="1342"/>
      <c r="J3224" s="1342"/>
      <c r="K3224" s="1342"/>
    </row>
    <row r="3225" spans="2:11" ht="14" hidden="1">
      <c r="B3225" s="1342"/>
      <c r="C3225" s="1342"/>
      <c r="D3225" s="1342"/>
      <c r="E3225" s="1342"/>
      <c r="F3225" s="1342"/>
      <c r="G3225" s="1342"/>
      <c r="H3225" s="1342"/>
      <c r="I3225" s="1342"/>
      <c r="J3225" s="1342"/>
      <c r="K3225" s="1342"/>
    </row>
    <row r="3226" spans="2:11" ht="14" hidden="1">
      <c r="B3226" s="1342"/>
      <c r="C3226" s="1342"/>
      <c r="D3226" s="1342"/>
      <c r="E3226" s="1342"/>
      <c r="F3226" s="1342"/>
      <c r="G3226" s="1342"/>
      <c r="H3226" s="1342"/>
      <c r="I3226" s="1342"/>
      <c r="J3226" s="1342"/>
      <c r="K3226" s="1342"/>
    </row>
    <row r="3227" spans="2:11" ht="14" hidden="1">
      <c r="B3227" s="1342"/>
      <c r="C3227" s="1342"/>
      <c r="D3227" s="1342"/>
      <c r="E3227" s="1342"/>
      <c r="F3227" s="1342"/>
      <c r="G3227" s="1342"/>
      <c r="H3227" s="1342"/>
      <c r="I3227" s="1342"/>
      <c r="J3227" s="1342"/>
      <c r="K3227" s="1342"/>
    </row>
    <row r="3228" spans="2:11" ht="14" hidden="1">
      <c r="B3228" s="1342"/>
      <c r="C3228" s="1342"/>
      <c r="D3228" s="1342"/>
      <c r="E3228" s="1342"/>
      <c r="F3228" s="1342"/>
      <c r="G3228" s="1342"/>
      <c r="H3228" s="1342"/>
      <c r="I3228" s="1342"/>
      <c r="J3228" s="1342"/>
      <c r="K3228" s="1342"/>
    </row>
    <row r="3229" spans="2:11" ht="14" hidden="1">
      <c r="B3229" s="1342"/>
      <c r="C3229" s="1342"/>
      <c r="D3229" s="1342"/>
      <c r="E3229" s="1342"/>
      <c r="F3229" s="1342"/>
      <c r="G3229" s="1342"/>
      <c r="H3229" s="1342"/>
      <c r="I3229" s="1342"/>
      <c r="J3229" s="1342"/>
      <c r="K3229" s="1342"/>
    </row>
    <row r="3230" spans="2:11" ht="14" hidden="1">
      <c r="B3230" s="1342"/>
      <c r="C3230" s="1342"/>
      <c r="D3230" s="1342"/>
      <c r="E3230" s="1342"/>
      <c r="F3230" s="1342"/>
      <c r="G3230" s="1342"/>
      <c r="H3230" s="1342"/>
      <c r="I3230" s="1342"/>
      <c r="J3230" s="1342"/>
      <c r="K3230" s="1342"/>
    </row>
    <row r="3231" spans="2:11" ht="14" hidden="1">
      <c r="B3231" s="1342"/>
      <c r="C3231" s="1342"/>
      <c r="D3231" s="1342"/>
      <c r="E3231" s="1342"/>
      <c r="F3231" s="1342"/>
      <c r="G3231" s="1342"/>
      <c r="H3231" s="1342"/>
      <c r="I3231" s="1342"/>
      <c r="J3231" s="1342"/>
      <c r="K3231" s="1342"/>
    </row>
    <row r="3232" spans="2:11" ht="14" hidden="1">
      <c r="B3232" s="1342"/>
      <c r="C3232" s="1342"/>
      <c r="D3232" s="1342"/>
      <c r="E3232" s="1342"/>
      <c r="F3232" s="1342"/>
      <c r="G3232" s="1342"/>
      <c r="H3232" s="1342"/>
      <c r="I3232" s="1342"/>
      <c r="J3232" s="1342"/>
      <c r="K3232" s="1342"/>
    </row>
    <row r="3233" spans="2:11" ht="14" hidden="1">
      <c r="B3233" s="1342"/>
      <c r="C3233" s="1342"/>
      <c r="D3233" s="1342"/>
      <c r="E3233" s="1342"/>
      <c r="F3233" s="1342"/>
      <c r="G3233" s="1342"/>
      <c r="H3233" s="1342"/>
      <c r="I3233" s="1342"/>
      <c r="J3233" s="1342"/>
      <c r="K3233" s="1342"/>
    </row>
    <row r="3234" spans="2:11" ht="14" hidden="1">
      <c r="B3234" s="1342"/>
      <c r="C3234" s="1342"/>
      <c r="D3234" s="1342"/>
      <c r="E3234" s="1342"/>
      <c r="F3234" s="1342"/>
      <c r="G3234" s="1342"/>
      <c r="H3234" s="1342"/>
      <c r="I3234" s="1342"/>
      <c r="J3234" s="1342"/>
      <c r="K3234" s="1342"/>
    </row>
    <row r="3235" spans="2:11" ht="14" hidden="1">
      <c r="B3235" s="1342"/>
      <c r="C3235" s="1342"/>
      <c r="D3235" s="1342"/>
      <c r="E3235" s="1342"/>
      <c r="F3235" s="1342"/>
      <c r="G3235" s="1342"/>
      <c r="H3235" s="1342"/>
      <c r="I3235" s="1342"/>
      <c r="J3235" s="1342"/>
      <c r="K3235" s="1342"/>
    </row>
    <row r="3236" spans="2:11" ht="14" hidden="1">
      <c r="B3236" s="1342"/>
      <c r="C3236" s="1342"/>
      <c r="D3236" s="1342"/>
      <c r="E3236" s="1342"/>
      <c r="F3236" s="1342"/>
      <c r="G3236" s="1342"/>
      <c r="H3236" s="1342"/>
      <c r="I3236" s="1342"/>
      <c r="J3236" s="1342"/>
      <c r="K3236" s="1342"/>
    </row>
    <row r="3237" spans="2:11" ht="14" hidden="1">
      <c r="B3237" s="1342"/>
      <c r="C3237" s="1342"/>
      <c r="D3237" s="1342"/>
      <c r="E3237" s="1342"/>
      <c r="F3237" s="1342"/>
      <c r="G3237" s="1342"/>
      <c r="H3237" s="1342"/>
      <c r="I3237" s="1342"/>
      <c r="J3237" s="1342"/>
      <c r="K3237" s="1342"/>
    </row>
    <row r="3238" spans="2:11" ht="14" hidden="1">
      <c r="B3238" s="1342"/>
      <c r="C3238" s="1342"/>
      <c r="D3238" s="1342"/>
      <c r="E3238" s="1342"/>
      <c r="F3238" s="1342"/>
      <c r="G3238" s="1342"/>
      <c r="H3238" s="1342"/>
      <c r="I3238" s="1342"/>
      <c r="J3238" s="1342"/>
      <c r="K3238" s="1342"/>
    </row>
    <row r="3239" spans="2:11" ht="14" hidden="1">
      <c r="B3239" s="1342"/>
      <c r="C3239" s="1342"/>
      <c r="D3239" s="1342"/>
      <c r="E3239" s="1342"/>
      <c r="F3239" s="1342"/>
      <c r="G3239" s="1342"/>
      <c r="H3239" s="1342"/>
      <c r="I3239" s="1342"/>
      <c r="J3239" s="1342"/>
      <c r="K3239" s="1342"/>
    </row>
    <row r="3240" spans="2:11" ht="14" hidden="1">
      <c r="B3240" s="1342"/>
      <c r="C3240" s="1342"/>
      <c r="D3240" s="1342"/>
      <c r="E3240" s="1342"/>
      <c r="F3240" s="1342"/>
      <c r="G3240" s="1342"/>
      <c r="H3240" s="1342"/>
      <c r="I3240" s="1342"/>
      <c r="J3240" s="1342"/>
      <c r="K3240" s="1342"/>
    </row>
    <row r="3241" spans="2:11" ht="14" hidden="1">
      <c r="B3241" s="1342"/>
      <c r="C3241" s="1342"/>
      <c r="D3241" s="1342"/>
      <c r="E3241" s="1342"/>
      <c r="F3241" s="1342"/>
      <c r="G3241" s="1342"/>
      <c r="H3241" s="1342"/>
      <c r="I3241" s="1342"/>
      <c r="J3241" s="1342"/>
      <c r="K3241" s="1342"/>
    </row>
    <row r="3242" spans="2:11" ht="14" hidden="1">
      <c r="B3242" s="1342"/>
      <c r="C3242" s="1342"/>
      <c r="D3242" s="1342"/>
      <c r="E3242" s="1342"/>
      <c r="F3242" s="1342"/>
      <c r="G3242" s="1342"/>
      <c r="H3242" s="1342"/>
      <c r="I3242" s="1342"/>
      <c r="J3242" s="1342"/>
      <c r="K3242" s="1342"/>
    </row>
    <row r="3243" spans="2:11" ht="14" hidden="1">
      <c r="B3243" s="1342"/>
      <c r="C3243" s="1342"/>
      <c r="D3243" s="1342"/>
      <c r="E3243" s="1342"/>
      <c r="F3243" s="1342"/>
      <c r="G3243" s="1342"/>
      <c r="H3243" s="1342"/>
      <c r="I3243" s="1342"/>
      <c r="J3243" s="1342"/>
      <c r="K3243" s="1342"/>
    </row>
    <row r="3244" spans="2:11" ht="14" hidden="1">
      <c r="B3244" s="1342"/>
      <c r="C3244" s="1342"/>
      <c r="D3244" s="1342"/>
      <c r="E3244" s="1342"/>
      <c r="F3244" s="1342"/>
      <c r="G3244" s="1342"/>
      <c r="H3244" s="1342"/>
      <c r="I3244" s="1342"/>
      <c r="J3244" s="1342"/>
      <c r="K3244" s="1342"/>
    </row>
    <row r="3245" spans="2:11" ht="14" hidden="1">
      <c r="B3245" s="1342"/>
      <c r="C3245" s="1342"/>
      <c r="D3245" s="1342"/>
      <c r="E3245" s="1342"/>
      <c r="F3245" s="1342"/>
      <c r="G3245" s="1342"/>
      <c r="H3245" s="1342"/>
      <c r="I3245" s="1342"/>
      <c r="J3245" s="1342"/>
      <c r="K3245" s="1342"/>
    </row>
    <row r="3246" spans="2:11" ht="14" hidden="1">
      <c r="B3246" s="1342"/>
      <c r="C3246" s="1342"/>
      <c r="D3246" s="1342"/>
      <c r="E3246" s="1342"/>
      <c r="F3246" s="1342"/>
      <c r="G3246" s="1342"/>
      <c r="H3246" s="1342"/>
      <c r="I3246" s="1342"/>
      <c r="J3246" s="1342"/>
      <c r="K3246" s="1342"/>
    </row>
    <row r="3247" spans="2:11" ht="14" hidden="1">
      <c r="B3247" s="1342"/>
      <c r="C3247" s="1342"/>
      <c r="D3247" s="1342"/>
      <c r="E3247" s="1342"/>
      <c r="F3247" s="1342"/>
      <c r="G3247" s="1342"/>
      <c r="H3247" s="1342"/>
      <c r="I3247" s="1342"/>
      <c r="J3247" s="1342"/>
      <c r="K3247" s="1342"/>
    </row>
    <row r="3248" spans="2:11" ht="14" hidden="1">
      <c r="B3248" s="1342"/>
      <c r="C3248" s="1342"/>
      <c r="D3248" s="1342"/>
      <c r="E3248" s="1342"/>
      <c r="F3248" s="1342"/>
      <c r="G3248" s="1342"/>
      <c r="H3248" s="1342"/>
      <c r="I3248" s="1342"/>
      <c r="J3248" s="1342"/>
      <c r="K3248" s="1342"/>
    </row>
    <row r="3249" spans="2:11" ht="14" hidden="1">
      <c r="B3249" s="1342"/>
      <c r="C3249" s="1342"/>
      <c r="D3249" s="1342"/>
      <c r="E3249" s="1342"/>
      <c r="F3249" s="1342"/>
      <c r="G3249" s="1342"/>
      <c r="H3249" s="1342"/>
      <c r="I3249" s="1342"/>
      <c r="J3249" s="1342"/>
      <c r="K3249" s="1342"/>
    </row>
    <row r="3250" spans="2:11" ht="14" hidden="1">
      <c r="B3250" s="1342"/>
      <c r="C3250" s="1342"/>
      <c r="D3250" s="1342"/>
      <c r="E3250" s="1342"/>
      <c r="F3250" s="1342"/>
      <c r="G3250" s="1342"/>
      <c r="H3250" s="1342"/>
      <c r="I3250" s="1342"/>
      <c r="J3250" s="1342"/>
      <c r="K3250" s="1342"/>
    </row>
    <row r="3251" spans="2:11" ht="14" hidden="1">
      <c r="B3251" s="1342"/>
      <c r="C3251" s="1342"/>
      <c r="D3251" s="1342"/>
      <c r="E3251" s="1342"/>
      <c r="F3251" s="1342"/>
      <c r="G3251" s="1342"/>
      <c r="H3251" s="1342"/>
      <c r="I3251" s="1342"/>
      <c r="J3251" s="1342"/>
      <c r="K3251" s="1342"/>
    </row>
    <row r="3252" spans="2:11" ht="14" hidden="1">
      <c r="B3252" s="1342"/>
      <c r="C3252" s="1342"/>
      <c r="D3252" s="1342"/>
      <c r="E3252" s="1342"/>
      <c r="F3252" s="1342"/>
      <c r="G3252" s="1342"/>
      <c r="H3252" s="1342"/>
      <c r="I3252" s="1342"/>
      <c r="J3252" s="1342"/>
      <c r="K3252" s="1342"/>
    </row>
    <row r="3253" spans="2:11" ht="14" hidden="1">
      <c r="B3253" s="1342"/>
      <c r="C3253" s="1342"/>
      <c r="D3253" s="1342"/>
      <c r="E3253" s="1342"/>
      <c r="F3253" s="1342"/>
      <c r="G3253" s="1342"/>
      <c r="H3253" s="1342"/>
      <c r="I3253" s="1342"/>
      <c r="J3253" s="1342"/>
      <c r="K3253" s="1342"/>
    </row>
    <row r="3254" spans="2:11" ht="14" hidden="1">
      <c r="B3254" s="1342"/>
      <c r="C3254" s="1342"/>
      <c r="D3254" s="1342"/>
      <c r="E3254" s="1342"/>
      <c r="F3254" s="1342"/>
      <c r="G3254" s="1342"/>
      <c r="H3254" s="1342"/>
      <c r="I3254" s="1342"/>
      <c r="J3254" s="1342"/>
      <c r="K3254" s="1342"/>
    </row>
    <row r="3255" spans="2:11" ht="14" hidden="1">
      <c r="B3255" s="1342"/>
      <c r="C3255" s="1342"/>
      <c r="D3255" s="1342"/>
      <c r="E3255" s="1342"/>
      <c r="F3255" s="1342"/>
      <c r="G3255" s="1342"/>
      <c r="H3255" s="1342"/>
      <c r="I3255" s="1342"/>
      <c r="J3255" s="1342"/>
      <c r="K3255" s="1342"/>
    </row>
    <row r="3256" spans="2:11" ht="14" hidden="1">
      <c r="B3256" s="1342"/>
      <c r="C3256" s="1342"/>
      <c r="D3256" s="1342"/>
      <c r="E3256" s="1342"/>
      <c r="F3256" s="1342"/>
      <c r="G3256" s="1342"/>
      <c r="H3256" s="1342"/>
      <c r="I3256" s="1342"/>
      <c r="J3256" s="1342"/>
      <c r="K3256" s="1342"/>
    </row>
    <row r="3257" spans="2:11" ht="14" hidden="1">
      <c r="B3257" s="1342"/>
      <c r="C3257" s="1342"/>
      <c r="D3257" s="1342"/>
      <c r="E3257" s="1342"/>
      <c r="F3257" s="1342"/>
      <c r="G3257" s="1342"/>
      <c r="H3257" s="1342"/>
      <c r="I3257" s="1342"/>
      <c r="J3257" s="1342"/>
      <c r="K3257" s="1342"/>
    </row>
    <row r="3258" spans="2:11" ht="14" hidden="1">
      <c r="B3258" s="1342"/>
      <c r="C3258" s="1342"/>
      <c r="D3258" s="1342"/>
      <c r="E3258" s="1342"/>
      <c r="F3258" s="1342"/>
      <c r="G3258" s="1342"/>
      <c r="H3258" s="1342"/>
      <c r="I3258" s="1342"/>
      <c r="J3258" s="1342"/>
      <c r="K3258" s="1342"/>
    </row>
    <row r="3259" spans="2:11" ht="14" hidden="1">
      <c r="B3259" s="1342"/>
      <c r="C3259" s="1342"/>
      <c r="D3259" s="1342"/>
      <c r="E3259" s="1342"/>
      <c r="F3259" s="1342"/>
      <c r="G3259" s="1342"/>
      <c r="H3259" s="1342"/>
      <c r="I3259" s="1342"/>
      <c r="J3259" s="1342"/>
      <c r="K3259" s="1342"/>
    </row>
    <row r="3260" spans="2:11" ht="14" hidden="1">
      <c r="B3260" s="1342"/>
      <c r="C3260" s="1342"/>
      <c r="D3260" s="1342"/>
      <c r="E3260" s="1342"/>
      <c r="F3260" s="1342"/>
      <c r="G3260" s="1342"/>
      <c r="H3260" s="1342"/>
      <c r="I3260" s="1342"/>
      <c r="J3260" s="1342"/>
      <c r="K3260" s="1342"/>
    </row>
    <row r="3261" spans="2:11" ht="14" hidden="1">
      <c r="B3261" s="1342"/>
      <c r="C3261" s="1342"/>
      <c r="D3261" s="1342"/>
      <c r="E3261" s="1342"/>
      <c r="F3261" s="1342"/>
      <c r="G3261" s="1342"/>
      <c r="H3261" s="1342"/>
      <c r="I3261" s="1342"/>
      <c r="J3261" s="1342"/>
      <c r="K3261" s="1342"/>
    </row>
    <row r="3262" spans="2:11" ht="14" hidden="1">
      <c r="B3262" s="1342"/>
      <c r="C3262" s="1342"/>
      <c r="D3262" s="1342"/>
      <c r="E3262" s="1342"/>
      <c r="F3262" s="1342"/>
      <c r="G3262" s="1342"/>
      <c r="H3262" s="1342"/>
      <c r="I3262" s="1342"/>
      <c r="J3262" s="1342"/>
      <c r="K3262" s="1342"/>
    </row>
    <row r="3263" spans="2:11" ht="14" hidden="1">
      <c r="B3263" s="1342"/>
      <c r="C3263" s="1342"/>
      <c r="D3263" s="1342"/>
      <c r="E3263" s="1342"/>
      <c r="F3263" s="1342"/>
      <c r="G3263" s="1342"/>
      <c r="H3263" s="1342"/>
      <c r="I3263" s="1342"/>
      <c r="J3263" s="1342"/>
      <c r="K3263" s="1342"/>
    </row>
    <row r="3264" spans="2:11" ht="14" hidden="1">
      <c r="B3264" s="1342"/>
      <c r="C3264" s="1342"/>
      <c r="D3264" s="1342"/>
      <c r="E3264" s="1342"/>
      <c r="F3264" s="1342"/>
      <c r="G3264" s="1342"/>
      <c r="H3264" s="1342"/>
      <c r="I3264" s="1342"/>
      <c r="J3264" s="1342"/>
      <c r="K3264" s="1342"/>
    </row>
    <row r="3265" spans="2:11" ht="14" hidden="1">
      <c r="B3265" s="1342"/>
      <c r="C3265" s="1342"/>
      <c r="D3265" s="1342"/>
      <c r="E3265" s="1342"/>
      <c r="F3265" s="1342"/>
      <c r="G3265" s="1342"/>
      <c r="H3265" s="1342"/>
      <c r="I3265" s="1342"/>
      <c r="J3265" s="1342"/>
      <c r="K3265" s="1342"/>
    </row>
    <row r="3266" spans="2:11" ht="14" hidden="1">
      <c r="B3266" s="1342"/>
      <c r="C3266" s="1342"/>
      <c r="D3266" s="1342"/>
      <c r="E3266" s="1342"/>
      <c r="F3266" s="1342"/>
      <c r="G3266" s="1342"/>
      <c r="H3266" s="1342"/>
      <c r="I3266" s="1342"/>
      <c r="J3266" s="1342"/>
      <c r="K3266" s="1342"/>
    </row>
    <row r="3267" spans="2:11" ht="14" hidden="1">
      <c r="B3267" s="1342"/>
      <c r="C3267" s="1342"/>
      <c r="D3267" s="1342"/>
      <c r="E3267" s="1342"/>
      <c r="F3267" s="1342"/>
      <c r="G3267" s="1342"/>
      <c r="H3267" s="1342"/>
      <c r="I3267" s="1342"/>
      <c r="J3267" s="1342"/>
      <c r="K3267" s="1342"/>
    </row>
    <row r="3268" spans="2:11" ht="14" hidden="1">
      <c r="B3268" s="1342"/>
      <c r="C3268" s="1342"/>
      <c r="D3268" s="1342"/>
      <c r="E3268" s="1342"/>
      <c r="F3268" s="1342"/>
      <c r="G3268" s="1342"/>
      <c r="H3268" s="1342"/>
      <c r="I3268" s="1342"/>
      <c r="J3268" s="1342"/>
      <c r="K3268" s="1342"/>
    </row>
    <row r="3269" spans="2:11" ht="14" hidden="1">
      <c r="B3269" s="1342"/>
      <c r="C3269" s="1342"/>
      <c r="D3269" s="1342"/>
      <c r="E3269" s="1342"/>
      <c r="F3269" s="1342"/>
      <c r="G3269" s="1342"/>
      <c r="H3269" s="1342"/>
      <c r="I3269" s="1342"/>
      <c r="J3269" s="1342"/>
      <c r="K3269" s="1342"/>
    </row>
    <row r="3270" spans="2:11" ht="14" hidden="1">
      <c r="B3270" s="1342"/>
      <c r="C3270" s="1342"/>
      <c r="D3270" s="1342"/>
      <c r="E3270" s="1342"/>
      <c r="F3270" s="1342"/>
      <c r="G3270" s="1342"/>
      <c r="H3270" s="1342"/>
      <c r="I3270" s="1342"/>
      <c r="J3270" s="1342"/>
      <c r="K3270" s="1342"/>
    </row>
    <row r="3271" spans="2:11" ht="14" hidden="1">
      <c r="B3271" s="1342"/>
      <c r="C3271" s="1342"/>
      <c r="D3271" s="1342"/>
      <c r="E3271" s="1342"/>
      <c r="F3271" s="1342"/>
      <c r="G3271" s="1342"/>
      <c r="H3271" s="1342"/>
      <c r="I3271" s="1342"/>
      <c r="J3271" s="1342"/>
      <c r="K3271" s="1342"/>
    </row>
    <row r="3272" spans="2:11" ht="14" hidden="1">
      <c r="B3272" s="1342"/>
      <c r="C3272" s="1342"/>
      <c r="D3272" s="1342"/>
      <c r="E3272" s="1342"/>
      <c r="F3272" s="1342"/>
      <c r="G3272" s="1342"/>
      <c r="H3272" s="1342"/>
      <c r="I3272" s="1342"/>
      <c r="J3272" s="1342"/>
      <c r="K3272" s="1342"/>
    </row>
    <row r="3273" spans="2:11" ht="14" hidden="1">
      <c r="B3273" s="1342"/>
      <c r="C3273" s="1342"/>
      <c r="D3273" s="1342"/>
      <c r="E3273" s="1342"/>
      <c r="F3273" s="1342"/>
      <c r="G3273" s="1342"/>
      <c r="H3273" s="1342"/>
      <c r="I3273" s="1342"/>
      <c r="J3273" s="1342"/>
      <c r="K3273" s="1342"/>
    </row>
    <row r="3274" spans="2:11" ht="14" hidden="1">
      <c r="B3274" s="1342"/>
      <c r="C3274" s="1342"/>
      <c r="D3274" s="1342"/>
      <c r="E3274" s="1342"/>
      <c r="F3274" s="1342"/>
      <c r="G3274" s="1342"/>
      <c r="H3274" s="1342"/>
      <c r="I3274" s="1342"/>
      <c r="J3274" s="1342"/>
      <c r="K3274" s="1342"/>
    </row>
    <row r="3275" spans="2:11" ht="14" hidden="1">
      <c r="B3275" s="1342"/>
      <c r="C3275" s="1342"/>
      <c r="D3275" s="1342"/>
      <c r="E3275" s="1342"/>
      <c r="F3275" s="1342"/>
      <c r="G3275" s="1342"/>
      <c r="H3275" s="1342"/>
      <c r="I3275" s="1342"/>
      <c r="J3275" s="1342"/>
      <c r="K3275" s="1342"/>
    </row>
    <row r="3276" spans="2:11" ht="14" hidden="1">
      <c r="B3276" s="1342"/>
      <c r="C3276" s="1342"/>
      <c r="D3276" s="1342"/>
      <c r="E3276" s="1342"/>
      <c r="F3276" s="1342"/>
      <c r="G3276" s="1342"/>
      <c r="H3276" s="1342"/>
      <c r="I3276" s="1342"/>
      <c r="J3276" s="1342"/>
      <c r="K3276" s="1342"/>
    </row>
    <row r="3277" spans="2:11" ht="14" hidden="1">
      <c r="B3277" s="1342"/>
      <c r="C3277" s="1342"/>
      <c r="D3277" s="1342"/>
      <c r="E3277" s="1342"/>
      <c r="F3277" s="1342"/>
      <c r="G3277" s="1342"/>
      <c r="H3277" s="1342"/>
      <c r="I3277" s="1342"/>
      <c r="J3277" s="1342"/>
      <c r="K3277" s="1342"/>
    </row>
    <row r="3278" spans="2:11" ht="14" hidden="1">
      <c r="B3278" s="1342"/>
      <c r="C3278" s="1342"/>
      <c r="D3278" s="1342"/>
      <c r="E3278" s="1342"/>
      <c r="F3278" s="1342"/>
      <c r="G3278" s="1342"/>
      <c r="H3278" s="1342"/>
      <c r="I3278" s="1342"/>
      <c r="J3278" s="1342"/>
      <c r="K3278" s="1342"/>
    </row>
    <row r="3279" spans="2:11" ht="14" hidden="1">
      <c r="B3279" s="1342"/>
      <c r="C3279" s="1342"/>
      <c r="D3279" s="1342"/>
      <c r="E3279" s="1342"/>
      <c r="F3279" s="1342"/>
      <c r="G3279" s="1342"/>
      <c r="H3279" s="1342"/>
      <c r="I3279" s="1342"/>
      <c r="J3279" s="1342"/>
      <c r="K3279" s="1342"/>
    </row>
    <row r="3280" spans="2:11" ht="14" hidden="1">
      <c r="B3280" s="1342"/>
      <c r="C3280" s="1342"/>
      <c r="D3280" s="1342"/>
      <c r="E3280" s="1342"/>
      <c r="F3280" s="1342"/>
      <c r="G3280" s="1342"/>
      <c r="H3280" s="1342"/>
      <c r="I3280" s="1342"/>
      <c r="J3280" s="1342"/>
      <c r="K3280" s="1342"/>
    </row>
    <row r="3281" spans="2:11" ht="14" hidden="1">
      <c r="B3281" s="1342"/>
      <c r="C3281" s="1342"/>
      <c r="D3281" s="1342"/>
      <c r="E3281" s="1342"/>
      <c r="F3281" s="1342"/>
      <c r="G3281" s="1342"/>
      <c r="H3281" s="1342"/>
      <c r="I3281" s="1342"/>
      <c r="J3281" s="1342"/>
      <c r="K3281" s="1342"/>
    </row>
    <row r="3282" spans="2:11" ht="14" hidden="1">
      <c r="B3282" s="1342"/>
      <c r="C3282" s="1342"/>
      <c r="D3282" s="1342"/>
      <c r="E3282" s="1342"/>
      <c r="F3282" s="1342"/>
      <c r="G3282" s="1342"/>
      <c r="H3282" s="1342"/>
      <c r="I3282" s="1342"/>
      <c r="J3282" s="1342"/>
      <c r="K3282" s="1342"/>
    </row>
    <row r="3283" spans="2:11" ht="14" hidden="1">
      <c r="B3283" s="1342"/>
      <c r="C3283" s="1342"/>
      <c r="D3283" s="1342"/>
      <c r="E3283" s="1342"/>
      <c r="F3283" s="1342"/>
      <c r="G3283" s="1342"/>
      <c r="H3283" s="1342"/>
      <c r="I3283" s="1342"/>
      <c r="J3283" s="1342"/>
      <c r="K3283" s="1342"/>
    </row>
    <row r="3284" spans="2:11" ht="14" hidden="1">
      <c r="B3284" s="1342"/>
      <c r="C3284" s="1342"/>
      <c r="D3284" s="1342"/>
      <c r="E3284" s="1342"/>
      <c r="F3284" s="1342"/>
      <c r="G3284" s="1342"/>
      <c r="H3284" s="1342"/>
      <c r="I3284" s="1342"/>
      <c r="J3284" s="1342"/>
      <c r="K3284" s="1342"/>
    </row>
    <row r="3285" spans="2:11" ht="14" hidden="1">
      <c r="B3285" s="1342"/>
      <c r="C3285" s="1342"/>
      <c r="D3285" s="1342"/>
      <c r="E3285" s="1342"/>
      <c r="F3285" s="1342"/>
      <c r="G3285" s="1342"/>
      <c r="H3285" s="1342"/>
      <c r="I3285" s="1342"/>
      <c r="J3285" s="1342"/>
      <c r="K3285" s="1342"/>
    </row>
    <row r="3286" spans="2:11" ht="14" hidden="1">
      <c r="B3286" s="1342"/>
      <c r="C3286" s="1342"/>
      <c r="D3286" s="1342"/>
      <c r="E3286" s="1342"/>
      <c r="F3286" s="1342"/>
      <c r="G3286" s="1342"/>
      <c r="H3286" s="1342"/>
      <c r="I3286" s="1342"/>
      <c r="J3286" s="1342"/>
      <c r="K3286" s="1342"/>
    </row>
    <row r="3287" spans="2:11" ht="14" hidden="1">
      <c r="B3287" s="1342"/>
      <c r="C3287" s="1342"/>
      <c r="D3287" s="1342"/>
      <c r="E3287" s="1342"/>
      <c r="F3287" s="1342"/>
      <c r="G3287" s="1342"/>
      <c r="H3287" s="1342"/>
      <c r="I3287" s="1342"/>
      <c r="J3287" s="1342"/>
      <c r="K3287" s="1342"/>
    </row>
    <row r="3288" spans="2:11" ht="14" hidden="1">
      <c r="B3288" s="1342"/>
      <c r="C3288" s="1342"/>
      <c r="D3288" s="1342"/>
      <c r="E3288" s="1342"/>
      <c r="F3288" s="1342"/>
      <c r="G3288" s="1342"/>
      <c r="H3288" s="1342"/>
      <c r="I3288" s="1342"/>
      <c r="J3288" s="1342"/>
      <c r="K3288" s="1342"/>
    </row>
    <row r="3289" spans="2:11" ht="14" hidden="1">
      <c r="B3289" s="1342"/>
      <c r="C3289" s="1342"/>
      <c r="D3289" s="1342"/>
      <c r="E3289" s="1342"/>
      <c r="F3289" s="1342"/>
      <c r="G3289" s="1342"/>
      <c r="H3289" s="1342"/>
      <c r="I3289" s="1342"/>
      <c r="J3289" s="1342"/>
      <c r="K3289" s="1342"/>
    </row>
    <row r="3290" spans="2:11" ht="14" hidden="1">
      <c r="B3290" s="1342"/>
      <c r="C3290" s="1342"/>
      <c r="D3290" s="1342"/>
      <c r="E3290" s="1342"/>
      <c r="F3290" s="1342"/>
      <c r="G3290" s="1342"/>
      <c r="H3290" s="1342"/>
      <c r="I3290" s="1342"/>
      <c r="J3290" s="1342"/>
      <c r="K3290" s="1342"/>
    </row>
    <row r="3291" spans="2:11" ht="14" hidden="1">
      <c r="B3291" s="1342"/>
      <c r="C3291" s="1342"/>
      <c r="D3291" s="1342"/>
      <c r="E3291" s="1342"/>
      <c r="F3291" s="1342"/>
      <c r="G3291" s="1342"/>
      <c r="H3291" s="1342"/>
      <c r="I3291" s="1342"/>
      <c r="J3291" s="1342"/>
      <c r="K3291" s="1342"/>
    </row>
    <row r="3292" spans="2:11" ht="14" hidden="1">
      <c r="B3292" s="1342"/>
      <c r="C3292" s="1342"/>
      <c r="D3292" s="1342"/>
      <c r="E3292" s="1342"/>
      <c r="F3292" s="1342"/>
      <c r="G3292" s="1342"/>
      <c r="H3292" s="1342"/>
      <c r="I3292" s="1342"/>
      <c r="J3292" s="1342"/>
      <c r="K3292" s="1342"/>
    </row>
    <row r="3293" spans="2:11" ht="14" hidden="1">
      <c r="B3293" s="1342"/>
      <c r="C3293" s="1342"/>
      <c r="D3293" s="1342"/>
      <c r="E3293" s="1342"/>
      <c r="F3293" s="1342"/>
      <c r="G3293" s="1342"/>
      <c r="H3293" s="1342"/>
      <c r="I3293" s="1342"/>
      <c r="J3293" s="1342"/>
      <c r="K3293" s="1342"/>
    </row>
    <row r="3294" spans="2:11" ht="14" hidden="1">
      <c r="B3294" s="1342"/>
      <c r="C3294" s="1342"/>
      <c r="D3294" s="1342"/>
      <c r="E3294" s="1342"/>
      <c r="F3294" s="1342"/>
      <c r="G3294" s="1342"/>
      <c r="H3294" s="1342"/>
      <c r="I3294" s="1342"/>
      <c r="J3294" s="1342"/>
      <c r="K3294" s="1342"/>
    </row>
    <row r="3295" spans="2:11" ht="14" hidden="1">
      <c r="B3295" s="1342"/>
      <c r="C3295" s="1342"/>
      <c r="D3295" s="1342"/>
      <c r="E3295" s="1342"/>
      <c r="F3295" s="1342"/>
      <c r="G3295" s="1342"/>
      <c r="H3295" s="1342"/>
      <c r="I3295" s="1342"/>
      <c r="J3295" s="1342"/>
      <c r="K3295" s="1342"/>
    </row>
    <row r="3296" spans="2:11" ht="14" hidden="1">
      <c r="B3296" s="1342"/>
      <c r="C3296" s="1342"/>
      <c r="D3296" s="1342"/>
      <c r="E3296" s="1342"/>
      <c r="F3296" s="1342"/>
      <c r="G3296" s="1342"/>
      <c r="H3296" s="1342"/>
      <c r="I3296" s="1342"/>
      <c r="J3296" s="1342"/>
      <c r="K3296" s="1342"/>
    </row>
    <row r="3297" spans="2:11" ht="14" hidden="1">
      <c r="B3297" s="1342"/>
      <c r="C3297" s="1342"/>
      <c r="D3297" s="1342"/>
      <c r="E3297" s="1342"/>
      <c r="F3297" s="1342"/>
      <c r="G3297" s="1342"/>
      <c r="H3297" s="1342"/>
      <c r="I3297" s="1342"/>
      <c r="J3297" s="1342"/>
      <c r="K3297" s="1342"/>
    </row>
    <row r="3298" spans="2:11" ht="14" hidden="1">
      <c r="B3298" s="1342"/>
      <c r="C3298" s="1342"/>
      <c r="D3298" s="1342"/>
      <c r="E3298" s="1342"/>
      <c r="F3298" s="1342"/>
      <c r="G3298" s="1342"/>
      <c r="H3298" s="1342"/>
      <c r="I3298" s="1342"/>
      <c r="J3298" s="1342"/>
      <c r="K3298" s="1342"/>
    </row>
    <row r="3299" spans="2:11" ht="14" hidden="1">
      <c r="B3299" s="1342"/>
      <c r="C3299" s="1342"/>
      <c r="D3299" s="1342"/>
      <c r="E3299" s="1342"/>
      <c r="F3299" s="1342"/>
      <c r="G3299" s="1342"/>
      <c r="H3299" s="1342"/>
      <c r="I3299" s="1342"/>
      <c r="J3299" s="1342"/>
      <c r="K3299" s="1342"/>
    </row>
    <row r="3300" spans="2:11" ht="14" hidden="1">
      <c r="B3300" s="1342"/>
      <c r="C3300" s="1342"/>
      <c r="D3300" s="1342"/>
      <c r="E3300" s="1342"/>
      <c r="F3300" s="1342"/>
      <c r="G3300" s="1342"/>
      <c r="H3300" s="1342"/>
      <c r="I3300" s="1342"/>
      <c r="J3300" s="1342"/>
      <c r="K3300" s="1342"/>
    </row>
    <row r="3301" spans="2:11" ht="14" hidden="1">
      <c r="B3301" s="1342"/>
      <c r="C3301" s="1342"/>
      <c r="D3301" s="1342"/>
      <c r="E3301" s="1342"/>
      <c r="F3301" s="1342"/>
      <c r="G3301" s="1342"/>
      <c r="H3301" s="1342"/>
      <c r="I3301" s="1342"/>
      <c r="J3301" s="1342"/>
      <c r="K3301" s="1342"/>
    </row>
    <row r="3302" spans="2:11" ht="14" hidden="1">
      <c r="B3302" s="1342"/>
      <c r="C3302" s="1342"/>
      <c r="D3302" s="1342"/>
      <c r="E3302" s="1342"/>
      <c r="F3302" s="1342"/>
      <c r="G3302" s="1342"/>
      <c r="H3302" s="1342"/>
      <c r="I3302" s="1342"/>
      <c r="J3302" s="1342"/>
      <c r="K3302" s="1342"/>
    </row>
    <row r="3303" spans="2:11" ht="14" hidden="1">
      <c r="B3303" s="1342"/>
      <c r="C3303" s="1342"/>
      <c r="D3303" s="1342"/>
      <c r="E3303" s="1342"/>
      <c r="F3303" s="1342"/>
      <c r="G3303" s="1342"/>
      <c r="H3303" s="1342"/>
      <c r="I3303" s="1342"/>
      <c r="J3303" s="1342"/>
      <c r="K3303" s="1342"/>
    </row>
    <row r="3304" spans="2:11" ht="14" hidden="1">
      <c r="B3304" s="1342"/>
      <c r="C3304" s="1342"/>
      <c r="D3304" s="1342"/>
      <c r="E3304" s="1342"/>
      <c r="F3304" s="1342"/>
      <c r="G3304" s="1342"/>
      <c r="H3304" s="1342"/>
      <c r="I3304" s="1342"/>
      <c r="J3304" s="1342"/>
      <c r="K3304" s="1342"/>
    </row>
    <row r="3305" spans="2:11" ht="14" hidden="1">
      <c r="B3305" s="1342"/>
      <c r="C3305" s="1342"/>
      <c r="D3305" s="1342"/>
      <c r="E3305" s="1342"/>
      <c r="F3305" s="1342"/>
      <c r="G3305" s="1342"/>
      <c r="H3305" s="1342"/>
      <c r="I3305" s="1342"/>
      <c r="J3305" s="1342"/>
      <c r="K3305" s="1342"/>
    </row>
    <row r="3306" spans="2:11" ht="14" hidden="1">
      <c r="B3306" s="1342"/>
      <c r="C3306" s="1342"/>
      <c r="D3306" s="1342"/>
      <c r="E3306" s="1342"/>
      <c r="F3306" s="1342"/>
      <c r="G3306" s="1342"/>
      <c r="H3306" s="1342"/>
      <c r="I3306" s="1342"/>
      <c r="J3306" s="1342"/>
      <c r="K3306" s="1342"/>
    </row>
    <row r="3307" spans="2:11" ht="14" hidden="1">
      <c r="B3307" s="1342"/>
      <c r="C3307" s="1342"/>
      <c r="D3307" s="1342"/>
      <c r="E3307" s="1342"/>
      <c r="F3307" s="1342"/>
      <c r="G3307" s="1342"/>
      <c r="H3307" s="1342"/>
      <c r="I3307" s="1342"/>
      <c r="J3307" s="1342"/>
      <c r="K3307" s="1342"/>
    </row>
    <row r="3308" spans="2:11" ht="14" hidden="1">
      <c r="B3308" s="1342"/>
      <c r="C3308" s="1342"/>
      <c r="D3308" s="1342"/>
      <c r="E3308" s="1342"/>
      <c r="F3308" s="1342"/>
      <c r="G3308" s="1342"/>
      <c r="H3308" s="1342"/>
      <c r="I3308" s="1342"/>
      <c r="J3308" s="1342"/>
      <c r="K3308" s="1342"/>
    </row>
    <row r="3309" spans="2:11" ht="14" hidden="1">
      <c r="B3309" s="1342"/>
      <c r="C3309" s="1342"/>
      <c r="D3309" s="1342"/>
      <c r="E3309" s="1342"/>
      <c r="F3309" s="1342"/>
      <c r="G3309" s="1342"/>
      <c r="H3309" s="1342"/>
      <c r="I3309" s="1342"/>
      <c r="J3309" s="1342"/>
      <c r="K3309" s="1342"/>
    </row>
    <row r="3310" spans="2:11" ht="14" hidden="1">
      <c r="B3310" s="1342"/>
      <c r="C3310" s="1342"/>
      <c r="D3310" s="1342"/>
      <c r="E3310" s="1342"/>
      <c r="F3310" s="1342"/>
      <c r="G3310" s="1342"/>
      <c r="H3310" s="1342"/>
      <c r="I3310" s="1342"/>
      <c r="J3310" s="1342"/>
      <c r="K3310" s="1342"/>
    </row>
    <row r="3311" spans="2:11" ht="14" hidden="1">
      <c r="B3311" s="1342"/>
      <c r="C3311" s="1342"/>
      <c r="D3311" s="1342"/>
      <c r="E3311" s="1342"/>
      <c r="F3311" s="1342"/>
      <c r="G3311" s="1342"/>
      <c r="H3311" s="1342"/>
      <c r="I3311" s="1342"/>
      <c r="J3311" s="1342"/>
      <c r="K3311" s="1342"/>
    </row>
    <row r="3312" spans="2:11" ht="14" hidden="1">
      <c r="B3312" s="1342"/>
      <c r="C3312" s="1342"/>
      <c r="D3312" s="1342"/>
      <c r="E3312" s="1342"/>
      <c r="F3312" s="1342"/>
      <c r="G3312" s="1342"/>
      <c r="H3312" s="1342"/>
      <c r="I3312" s="1342"/>
      <c r="J3312" s="1342"/>
      <c r="K3312" s="1342"/>
    </row>
    <row r="3313" spans="2:11" ht="14" hidden="1">
      <c r="B3313" s="1342"/>
      <c r="C3313" s="1342"/>
      <c r="D3313" s="1342"/>
      <c r="E3313" s="1342"/>
      <c r="F3313" s="1342"/>
      <c r="G3313" s="1342"/>
      <c r="H3313" s="1342"/>
      <c r="I3313" s="1342"/>
      <c r="J3313" s="1342"/>
      <c r="K3313" s="1342"/>
    </row>
    <row r="3314" spans="2:11" ht="14" hidden="1">
      <c r="B3314" s="1342"/>
      <c r="C3314" s="1342"/>
      <c r="D3314" s="1342"/>
      <c r="E3314" s="1342"/>
      <c r="F3314" s="1342"/>
      <c r="G3314" s="1342"/>
      <c r="H3314" s="1342"/>
      <c r="I3314" s="1342"/>
      <c r="J3314" s="1342"/>
      <c r="K3314" s="1342"/>
    </row>
    <row r="3315" spans="2:11" ht="14" hidden="1">
      <c r="B3315" s="1342"/>
      <c r="C3315" s="1342"/>
      <c r="D3315" s="1342"/>
      <c r="E3315" s="1342"/>
      <c r="F3315" s="1342"/>
      <c r="G3315" s="1342"/>
      <c r="H3315" s="1342"/>
      <c r="I3315" s="1342"/>
      <c r="J3315" s="1342"/>
      <c r="K3315" s="1342"/>
    </row>
    <row r="3316" spans="2:11" ht="14" hidden="1">
      <c r="B3316" s="1342"/>
      <c r="C3316" s="1342"/>
      <c r="D3316" s="1342"/>
      <c r="E3316" s="1342"/>
      <c r="F3316" s="1342"/>
      <c r="G3316" s="1342"/>
      <c r="H3316" s="1342"/>
      <c r="I3316" s="1342"/>
      <c r="J3316" s="1342"/>
      <c r="K3316" s="1342"/>
    </row>
    <row r="3317" spans="2:11" ht="14" hidden="1">
      <c r="B3317" s="1342"/>
      <c r="C3317" s="1342"/>
      <c r="D3317" s="1342"/>
      <c r="E3317" s="1342"/>
      <c r="F3317" s="1342"/>
      <c r="G3317" s="1342"/>
      <c r="H3317" s="1342"/>
      <c r="I3317" s="1342"/>
      <c r="J3317" s="1342"/>
      <c r="K3317" s="1342"/>
    </row>
    <row r="3318" spans="2:11" ht="14" hidden="1">
      <c r="B3318" s="1342"/>
      <c r="C3318" s="1342"/>
      <c r="D3318" s="1342"/>
      <c r="E3318" s="1342"/>
      <c r="F3318" s="1342"/>
      <c r="G3318" s="1342"/>
      <c r="H3318" s="1342"/>
      <c r="I3318" s="1342"/>
      <c r="J3318" s="1342"/>
      <c r="K3318" s="1342"/>
    </row>
    <row r="3319" spans="2:11" ht="14" hidden="1">
      <c r="B3319" s="1342"/>
      <c r="C3319" s="1342"/>
      <c r="D3319" s="1342"/>
      <c r="E3319" s="1342"/>
      <c r="F3319" s="1342"/>
      <c r="G3319" s="1342"/>
      <c r="H3319" s="1342"/>
      <c r="I3319" s="1342"/>
      <c r="J3319" s="1342"/>
      <c r="K3319" s="1342"/>
    </row>
    <row r="3320" spans="2:11" ht="14" hidden="1">
      <c r="B3320" s="1342"/>
      <c r="C3320" s="1342"/>
      <c r="D3320" s="1342"/>
      <c r="E3320" s="1342"/>
      <c r="F3320" s="1342"/>
      <c r="G3320" s="1342"/>
      <c r="H3320" s="1342"/>
      <c r="I3320" s="1342"/>
      <c r="J3320" s="1342"/>
      <c r="K3320" s="1342"/>
    </row>
    <row r="3321" spans="2:11" ht="14" hidden="1">
      <c r="B3321" s="1342"/>
      <c r="C3321" s="1342"/>
      <c r="D3321" s="1342"/>
      <c r="E3321" s="1342"/>
      <c r="F3321" s="1342"/>
      <c r="G3321" s="1342"/>
      <c r="H3321" s="1342"/>
      <c r="I3321" s="1342"/>
      <c r="J3321" s="1342"/>
      <c r="K3321" s="1342"/>
    </row>
    <row r="3322" spans="2:11" ht="14" hidden="1">
      <c r="B3322" s="1342"/>
      <c r="C3322" s="1342"/>
      <c r="D3322" s="1342"/>
      <c r="E3322" s="1342"/>
      <c r="F3322" s="1342"/>
      <c r="G3322" s="1342"/>
      <c r="H3322" s="1342"/>
      <c r="I3322" s="1342"/>
      <c r="J3322" s="1342"/>
      <c r="K3322" s="1342"/>
    </row>
    <row r="3323" spans="2:11" ht="14" hidden="1">
      <c r="B3323" s="1342"/>
      <c r="C3323" s="1342"/>
      <c r="D3323" s="1342"/>
      <c r="E3323" s="1342"/>
      <c r="F3323" s="1342"/>
      <c r="G3323" s="1342"/>
      <c r="H3323" s="1342"/>
      <c r="I3323" s="1342"/>
      <c r="J3323" s="1342"/>
      <c r="K3323" s="1342"/>
    </row>
    <row r="3324" spans="2:11" ht="14" hidden="1">
      <c r="B3324" s="1342"/>
      <c r="C3324" s="1342"/>
      <c r="D3324" s="1342"/>
      <c r="E3324" s="1342"/>
      <c r="F3324" s="1342"/>
      <c r="G3324" s="1342"/>
      <c r="H3324" s="1342"/>
      <c r="I3324" s="1342"/>
      <c r="J3324" s="1342"/>
      <c r="K3324" s="1342"/>
    </row>
    <row r="3325" spans="2:11" ht="14" hidden="1">
      <c r="B3325" s="1342"/>
      <c r="C3325" s="1342"/>
      <c r="D3325" s="1342"/>
      <c r="E3325" s="1342"/>
      <c r="F3325" s="1342"/>
      <c r="G3325" s="1342"/>
      <c r="H3325" s="1342"/>
      <c r="I3325" s="1342"/>
      <c r="J3325" s="1342"/>
      <c r="K3325" s="1342"/>
    </row>
    <row r="3326" spans="2:11" ht="14" hidden="1">
      <c r="B3326" s="1342"/>
      <c r="C3326" s="1342"/>
      <c r="D3326" s="1342"/>
      <c r="E3326" s="1342"/>
      <c r="F3326" s="1342"/>
      <c r="G3326" s="1342"/>
      <c r="H3326" s="1342"/>
      <c r="I3326" s="1342"/>
      <c r="J3326" s="1342"/>
      <c r="K3326" s="1342"/>
    </row>
    <row r="3327" spans="2:11" ht="14" hidden="1">
      <c r="B3327" s="1342"/>
      <c r="C3327" s="1342"/>
      <c r="D3327" s="1342"/>
      <c r="E3327" s="1342"/>
      <c r="F3327" s="1342"/>
      <c r="G3327" s="1342"/>
      <c r="H3327" s="1342"/>
      <c r="I3327" s="1342"/>
      <c r="J3327" s="1342"/>
      <c r="K3327" s="1342"/>
    </row>
    <row r="3328" spans="2:11" ht="14" hidden="1">
      <c r="B3328" s="1342"/>
      <c r="C3328" s="1342"/>
      <c r="D3328" s="1342"/>
      <c r="E3328" s="1342"/>
      <c r="F3328" s="1342"/>
      <c r="G3328" s="1342"/>
      <c r="H3328" s="1342"/>
      <c r="I3328" s="1342"/>
      <c r="J3328" s="1342"/>
      <c r="K3328" s="1342"/>
    </row>
    <row r="3329" spans="2:11" ht="14" hidden="1">
      <c r="B3329" s="1342"/>
      <c r="C3329" s="1342"/>
      <c r="D3329" s="1342"/>
      <c r="E3329" s="1342"/>
      <c r="F3329" s="1342"/>
      <c r="G3329" s="1342"/>
      <c r="H3329" s="1342"/>
      <c r="I3329" s="1342"/>
      <c r="J3329" s="1342"/>
      <c r="K3329" s="1342"/>
    </row>
    <row r="3330" spans="2:11" ht="14" hidden="1">
      <c r="B3330" s="1342"/>
      <c r="C3330" s="1342"/>
      <c r="D3330" s="1342"/>
      <c r="E3330" s="1342"/>
      <c r="F3330" s="1342"/>
      <c r="G3330" s="1342"/>
      <c r="H3330" s="1342"/>
      <c r="I3330" s="1342"/>
      <c r="J3330" s="1342"/>
      <c r="K3330" s="1342"/>
    </row>
    <row r="3331" spans="2:11" ht="14" hidden="1">
      <c r="B3331" s="1342"/>
      <c r="C3331" s="1342"/>
      <c r="D3331" s="1342"/>
      <c r="E3331" s="1342"/>
      <c r="F3331" s="1342"/>
      <c r="G3331" s="1342"/>
      <c r="H3331" s="1342"/>
      <c r="I3331" s="1342"/>
      <c r="J3331" s="1342"/>
      <c r="K3331" s="1342"/>
    </row>
    <row r="3332" spans="2:11" ht="14" hidden="1">
      <c r="B3332" s="1342"/>
      <c r="C3332" s="1342"/>
      <c r="D3332" s="1342"/>
      <c r="E3332" s="1342"/>
      <c r="F3332" s="1342"/>
      <c r="G3332" s="1342"/>
      <c r="H3332" s="1342"/>
      <c r="I3332" s="1342"/>
      <c r="J3332" s="1342"/>
      <c r="K3332" s="1342"/>
    </row>
    <row r="3333" spans="2:11" ht="14" hidden="1">
      <c r="B3333" s="1342"/>
      <c r="C3333" s="1342"/>
      <c r="D3333" s="1342"/>
      <c r="E3333" s="1342"/>
      <c r="F3333" s="1342"/>
      <c r="G3333" s="1342"/>
      <c r="H3333" s="1342"/>
      <c r="I3333" s="1342"/>
      <c r="J3333" s="1342"/>
      <c r="K3333" s="1342"/>
    </row>
    <row r="3334" spans="2:11" ht="14" hidden="1">
      <c r="B3334" s="1342"/>
      <c r="C3334" s="1342"/>
      <c r="D3334" s="1342"/>
      <c r="E3334" s="1342"/>
      <c r="F3334" s="1342"/>
      <c r="G3334" s="1342"/>
      <c r="H3334" s="1342"/>
      <c r="I3334" s="1342"/>
      <c r="J3334" s="1342"/>
      <c r="K3334" s="1342"/>
    </row>
    <row r="3335" spans="2:11" ht="14" hidden="1">
      <c r="B3335" s="1342"/>
      <c r="C3335" s="1342"/>
      <c r="D3335" s="1342"/>
      <c r="E3335" s="1342"/>
      <c r="F3335" s="1342"/>
      <c r="G3335" s="1342"/>
      <c r="H3335" s="1342"/>
      <c r="I3335" s="1342"/>
      <c r="J3335" s="1342"/>
      <c r="K3335" s="1342"/>
    </row>
    <row r="3336" spans="2:11" ht="14" hidden="1">
      <c r="B3336" s="1342"/>
      <c r="C3336" s="1342"/>
      <c r="D3336" s="1342"/>
      <c r="E3336" s="1342"/>
      <c r="F3336" s="1342"/>
      <c r="G3336" s="1342"/>
      <c r="H3336" s="1342"/>
      <c r="I3336" s="1342"/>
      <c r="J3336" s="1342"/>
      <c r="K3336" s="1342"/>
    </row>
    <row r="3337" spans="2:11" ht="14" hidden="1">
      <c r="B3337" s="1342"/>
      <c r="C3337" s="1342"/>
      <c r="D3337" s="1342"/>
      <c r="E3337" s="1342"/>
      <c r="F3337" s="1342"/>
      <c r="G3337" s="1342"/>
      <c r="H3337" s="1342"/>
      <c r="I3337" s="1342"/>
      <c r="J3337" s="1342"/>
      <c r="K3337" s="1342"/>
    </row>
    <row r="3338" spans="2:11" ht="14" hidden="1">
      <c r="B3338" s="1342"/>
      <c r="C3338" s="1342"/>
      <c r="D3338" s="1342"/>
      <c r="E3338" s="1342"/>
      <c r="F3338" s="1342"/>
      <c r="G3338" s="1342"/>
      <c r="H3338" s="1342"/>
      <c r="I3338" s="1342"/>
      <c r="J3338" s="1342"/>
      <c r="K3338" s="1342"/>
    </row>
    <row r="3339" spans="2:11" ht="14" hidden="1">
      <c r="B3339" s="1342"/>
      <c r="C3339" s="1342"/>
      <c r="D3339" s="1342"/>
      <c r="E3339" s="1342"/>
      <c r="F3339" s="1342"/>
      <c r="G3339" s="1342"/>
      <c r="H3339" s="1342"/>
      <c r="I3339" s="1342"/>
      <c r="J3339" s="1342"/>
      <c r="K3339" s="1342"/>
    </row>
    <row r="3340" spans="2:11" ht="14" hidden="1">
      <c r="B3340" s="1342"/>
      <c r="C3340" s="1342"/>
      <c r="D3340" s="1342"/>
      <c r="E3340" s="1342"/>
      <c r="F3340" s="1342"/>
      <c r="G3340" s="1342"/>
      <c r="H3340" s="1342"/>
      <c r="I3340" s="1342"/>
      <c r="J3340" s="1342"/>
      <c r="K3340" s="1342"/>
    </row>
    <row r="3341" spans="2:11" ht="14" hidden="1">
      <c r="B3341" s="1342"/>
      <c r="C3341" s="1342"/>
      <c r="D3341" s="1342"/>
      <c r="E3341" s="1342"/>
      <c r="F3341" s="1342"/>
      <c r="G3341" s="1342"/>
      <c r="H3341" s="1342"/>
      <c r="I3341" s="1342"/>
      <c r="J3341" s="1342"/>
      <c r="K3341" s="1342"/>
    </row>
    <row r="3342" spans="2:11" ht="14" hidden="1">
      <c r="B3342" s="1342"/>
      <c r="C3342" s="1342"/>
      <c r="D3342" s="1342"/>
      <c r="E3342" s="1342"/>
      <c r="F3342" s="1342"/>
      <c r="G3342" s="1342"/>
      <c r="H3342" s="1342"/>
      <c r="I3342" s="1342"/>
      <c r="J3342" s="1342"/>
      <c r="K3342" s="1342"/>
    </row>
    <row r="3343" spans="2:11" ht="14" hidden="1">
      <c r="B3343" s="1342"/>
      <c r="C3343" s="1342"/>
      <c r="D3343" s="1342"/>
      <c r="E3343" s="1342"/>
      <c r="F3343" s="1342"/>
      <c r="G3343" s="1342"/>
      <c r="H3343" s="1342"/>
      <c r="I3343" s="1342"/>
      <c r="J3343" s="1342"/>
      <c r="K3343" s="1342"/>
    </row>
    <row r="3344" spans="2:11" ht="14" hidden="1">
      <c r="B3344" s="1342"/>
      <c r="C3344" s="1342"/>
      <c r="D3344" s="1342"/>
      <c r="E3344" s="1342"/>
      <c r="F3344" s="1342"/>
      <c r="G3344" s="1342"/>
      <c r="H3344" s="1342"/>
      <c r="I3344" s="1342"/>
      <c r="J3344" s="1342"/>
      <c r="K3344" s="1342"/>
    </row>
    <row r="3345" spans="2:11" ht="14" hidden="1">
      <c r="B3345" s="1342"/>
      <c r="C3345" s="1342"/>
      <c r="D3345" s="1342"/>
      <c r="E3345" s="1342"/>
      <c r="F3345" s="1342"/>
      <c r="G3345" s="1342"/>
      <c r="H3345" s="1342"/>
      <c r="I3345" s="1342"/>
      <c r="J3345" s="1342"/>
      <c r="K3345" s="1342"/>
    </row>
    <row r="3346" spans="2:11" ht="14" hidden="1">
      <c r="B3346" s="1342"/>
      <c r="C3346" s="1342"/>
      <c r="D3346" s="1342"/>
      <c r="E3346" s="1342"/>
      <c r="F3346" s="1342"/>
      <c r="G3346" s="1342"/>
      <c r="H3346" s="1342"/>
      <c r="I3346" s="1342"/>
      <c r="J3346" s="1342"/>
      <c r="K3346" s="1342"/>
    </row>
    <row r="3347" spans="2:11" ht="14" hidden="1">
      <c r="B3347" s="1342"/>
      <c r="C3347" s="1342"/>
      <c r="D3347" s="1342"/>
      <c r="E3347" s="1342"/>
      <c r="F3347" s="1342"/>
      <c r="G3347" s="1342"/>
      <c r="H3347" s="1342"/>
      <c r="I3347" s="1342"/>
      <c r="J3347" s="1342"/>
      <c r="K3347" s="1342"/>
    </row>
    <row r="3348" spans="2:11" ht="14" hidden="1">
      <c r="B3348" s="1342"/>
      <c r="C3348" s="1342"/>
      <c r="D3348" s="1342"/>
      <c r="E3348" s="1342"/>
      <c r="F3348" s="1342"/>
      <c r="G3348" s="1342"/>
      <c r="H3348" s="1342"/>
      <c r="I3348" s="1342"/>
      <c r="J3348" s="1342"/>
      <c r="K3348" s="1342"/>
    </row>
    <row r="3349" spans="2:11" ht="14" hidden="1">
      <c r="B3349" s="1342"/>
      <c r="C3349" s="1342"/>
      <c r="D3349" s="1342"/>
      <c r="E3349" s="1342"/>
      <c r="F3349" s="1342"/>
      <c r="G3349" s="1342"/>
      <c r="H3349" s="1342"/>
      <c r="I3349" s="1342"/>
      <c r="J3349" s="1342"/>
      <c r="K3349" s="1342"/>
    </row>
    <row r="3350" spans="2:11" ht="14" hidden="1">
      <c r="B3350" s="1342"/>
      <c r="C3350" s="1342"/>
      <c r="D3350" s="1342"/>
      <c r="E3350" s="1342"/>
      <c r="F3350" s="1342"/>
      <c r="G3350" s="1342"/>
      <c r="H3350" s="1342"/>
      <c r="I3350" s="1342"/>
      <c r="J3350" s="1342"/>
      <c r="K3350" s="1342"/>
    </row>
    <row r="3351" spans="2:11" ht="14" hidden="1">
      <c r="B3351" s="1342"/>
      <c r="C3351" s="1342"/>
      <c r="D3351" s="1342"/>
      <c r="E3351" s="1342"/>
      <c r="F3351" s="1342"/>
      <c r="G3351" s="1342"/>
      <c r="H3351" s="1342"/>
      <c r="I3351" s="1342"/>
      <c r="J3351" s="1342"/>
      <c r="K3351" s="1342"/>
    </row>
    <row r="3352" spans="2:11" ht="14" hidden="1">
      <c r="B3352" s="1342"/>
      <c r="C3352" s="1342"/>
      <c r="D3352" s="1342"/>
      <c r="E3352" s="1342"/>
      <c r="F3352" s="1342"/>
      <c r="G3352" s="1342"/>
      <c r="H3352" s="1342"/>
      <c r="I3352" s="1342"/>
      <c r="J3352" s="1342"/>
      <c r="K3352" s="1342"/>
    </row>
    <row r="3353" spans="2:11" ht="14" hidden="1">
      <c r="B3353" s="1342"/>
      <c r="C3353" s="1342"/>
      <c r="D3353" s="1342"/>
      <c r="E3353" s="1342"/>
      <c r="F3353" s="1342"/>
      <c r="G3353" s="1342"/>
      <c r="H3353" s="1342"/>
      <c r="I3353" s="1342"/>
      <c r="J3353" s="1342"/>
      <c r="K3353" s="1342"/>
    </row>
    <row r="3354" spans="2:11" ht="14" hidden="1">
      <c r="B3354" s="1342"/>
      <c r="C3354" s="1342"/>
      <c r="D3354" s="1342"/>
      <c r="E3354" s="1342"/>
      <c r="F3354" s="1342"/>
      <c r="G3354" s="1342"/>
      <c r="H3354" s="1342"/>
      <c r="I3354" s="1342"/>
      <c r="J3354" s="1342"/>
      <c r="K3354" s="1342"/>
    </row>
    <row r="3355" spans="2:11" ht="14" hidden="1">
      <c r="B3355" s="1342"/>
      <c r="C3355" s="1342"/>
      <c r="D3355" s="1342"/>
      <c r="E3355" s="1342"/>
      <c r="F3355" s="1342"/>
      <c r="G3355" s="1342"/>
      <c r="H3355" s="1342"/>
      <c r="I3355" s="1342"/>
      <c r="J3355" s="1342"/>
      <c r="K3355" s="1342"/>
    </row>
    <row r="3356" spans="2:11" ht="14" hidden="1">
      <c r="B3356" s="1342"/>
      <c r="C3356" s="1342"/>
      <c r="D3356" s="1342"/>
      <c r="E3356" s="1342"/>
      <c r="F3356" s="1342"/>
      <c r="G3356" s="1342"/>
      <c r="H3356" s="1342"/>
      <c r="I3356" s="1342"/>
      <c r="J3356" s="1342"/>
      <c r="K3356" s="1342"/>
    </row>
    <row r="3357" spans="2:11" ht="14" hidden="1">
      <c r="B3357" s="1342"/>
      <c r="C3357" s="1342"/>
      <c r="D3357" s="1342"/>
      <c r="E3357" s="1342"/>
      <c r="F3357" s="1342"/>
      <c r="G3357" s="1342"/>
      <c r="H3357" s="1342"/>
      <c r="I3357" s="1342"/>
      <c r="J3357" s="1342"/>
      <c r="K3357" s="1342"/>
    </row>
    <row r="3358" spans="2:11" ht="14" hidden="1">
      <c r="B3358" s="1342"/>
      <c r="C3358" s="1342"/>
      <c r="D3358" s="1342"/>
      <c r="E3358" s="1342"/>
      <c r="F3358" s="1342"/>
      <c r="G3358" s="1342"/>
      <c r="H3358" s="1342"/>
      <c r="I3358" s="1342"/>
      <c r="J3358" s="1342"/>
      <c r="K3358" s="1342"/>
    </row>
    <row r="3359" spans="2:11" ht="14" hidden="1">
      <c r="B3359" s="1342"/>
      <c r="C3359" s="1342"/>
      <c r="D3359" s="1342"/>
      <c r="E3359" s="1342"/>
      <c r="F3359" s="1342"/>
      <c r="G3359" s="1342"/>
      <c r="H3359" s="1342"/>
      <c r="I3359" s="1342"/>
      <c r="J3359" s="1342"/>
      <c r="K3359" s="1342"/>
    </row>
    <row r="3360" spans="2:11" ht="14" hidden="1">
      <c r="B3360" s="1342"/>
      <c r="C3360" s="1342"/>
      <c r="D3360" s="1342"/>
      <c r="E3360" s="1342"/>
      <c r="F3360" s="1342"/>
      <c r="G3360" s="1342"/>
      <c r="H3360" s="1342"/>
      <c r="I3360" s="1342"/>
      <c r="J3360" s="1342"/>
      <c r="K3360" s="1342"/>
    </row>
    <row r="3361" spans="2:11" ht="14" hidden="1">
      <c r="B3361" s="1342"/>
      <c r="C3361" s="1342"/>
      <c r="D3361" s="1342"/>
      <c r="E3361" s="1342"/>
      <c r="F3361" s="1342"/>
      <c r="G3361" s="1342"/>
      <c r="H3361" s="1342"/>
      <c r="I3361" s="1342"/>
      <c r="J3361" s="1342"/>
      <c r="K3361" s="1342"/>
    </row>
    <row r="3362" spans="2:11" ht="14" hidden="1">
      <c r="B3362" s="1342"/>
      <c r="C3362" s="1342"/>
      <c r="D3362" s="1342"/>
      <c r="E3362" s="1342"/>
      <c r="F3362" s="1342"/>
      <c r="G3362" s="1342"/>
      <c r="H3362" s="1342"/>
      <c r="I3362" s="1342"/>
      <c r="J3362" s="1342"/>
      <c r="K3362" s="1342"/>
    </row>
    <row r="3363" spans="2:11" ht="14" hidden="1">
      <c r="B3363" s="1342"/>
      <c r="C3363" s="1342"/>
      <c r="D3363" s="1342"/>
      <c r="E3363" s="1342"/>
      <c r="F3363" s="1342"/>
      <c r="G3363" s="1342"/>
      <c r="H3363" s="1342"/>
      <c r="I3363" s="1342"/>
      <c r="J3363" s="1342"/>
      <c r="K3363" s="1342"/>
    </row>
    <row r="3364" spans="2:11" ht="14" hidden="1">
      <c r="B3364" s="1342"/>
      <c r="C3364" s="1342"/>
      <c r="D3364" s="1342"/>
      <c r="E3364" s="1342"/>
      <c r="F3364" s="1342"/>
      <c r="G3364" s="1342"/>
      <c r="H3364" s="1342"/>
      <c r="I3364" s="1342"/>
      <c r="J3364" s="1342"/>
      <c r="K3364" s="1342"/>
    </row>
    <row r="3365" spans="2:11" ht="14" hidden="1">
      <c r="B3365" s="1342"/>
      <c r="C3365" s="1342"/>
      <c r="D3365" s="1342"/>
      <c r="E3365" s="1342"/>
      <c r="F3365" s="1342"/>
      <c r="G3365" s="1342"/>
      <c r="H3365" s="1342"/>
      <c r="I3365" s="1342"/>
      <c r="J3365" s="1342"/>
      <c r="K3365" s="1342"/>
    </row>
    <row r="3366" spans="2:11" ht="14" hidden="1">
      <c r="B3366" s="1342"/>
      <c r="C3366" s="1342"/>
      <c r="D3366" s="1342"/>
      <c r="E3366" s="1342"/>
      <c r="F3366" s="1342"/>
      <c r="G3366" s="1342"/>
      <c r="H3366" s="1342"/>
      <c r="I3366" s="1342"/>
      <c r="J3366" s="1342"/>
      <c r="K3366" s="1342"/>
    </row>
    <row r="3367" spans="2:11" ht="14" hidden="1">
      <c r="B3367" s="1342"/>
      <c r="C3367" s="1342"/>
      <c r="D3367" s="1342"/>
      <c r="E3367" s="1342"/>
      <c r="F3367" s="1342"/>
      <c r="G3367" s="1342"/>
      <c r="H3367" s="1342"/>
      <c r="I3367" s="1342"/>
      <c r="J3367" s="1342"/>
      <c r="K3367" s="1342"/>
    </row>
    <row r="3368" spans="2:11" ht="14" hidden="1">
      <c r="B3368" s="1342"/>
      <c r="C3368" s="1342"/>
      <c r="D3368" s="1342"/>
      <c r="E3368" s="1342"/>
      <c r="F3368" s="1342"/>
      <c r="G3368" s="1342"/>
      <c r="H3368" s="1342"/>
      <c r="I3368" s="1342"/>
      <c r="J3368" s="1342"/>
      <c r="K3368" s="1342"/>
    </row>
    <row r="3369" spans="2:11" ht="14" hidden="1">
      <c r="B3369" s="1342"/>
      <c r="C3369" s="1342"/>
      <c r="D3369" s="1342"/>
      <c r="E3369" s="1342"/>
      <c r="F3369" s="1342"/>
      <c r="G3369" s="1342"/>
      <c r="H3369" s="1342"/>
      <c r="I3369" s="1342"/>
      <c r="J3369" s="1342"/>
      <c r="K3369" s="1342"/>
    </row>
    <row r="3370" spans="2:11" ht="14" hidden="1">
      <c r="B3370" s="1342"/>
      <c r="C3370" s="1342"/>
      <c r="D3370" s="1342"/>
      <c r="E3370" s="1342"/>
      <c r="F3370" s="1342"/>
      <c r="G3370" s="1342"/>
      <c r="H3370" s="1342"/>
      <c r="I3370" s="1342"/>
      <c r="J3370" s="1342"/>
      <c r="K3370" s="1342"/>
    </row>
    <row r="3371" spans="2:11" ht="14" hidden="1">
      <c r="B3371" s="1342"/>
      <c r="C3371" s="1342"/>
      <c r="D3371" s="1342"/>
      <c r="E3371" s="1342"/>
      <c r="F3371" s="1342"/>
      <c r="G3371" s="1342"/>
      <c r="H3371" s="1342"/>
      <c r="I3371" s="1342"/>
      <c r="J3371" s="1342"/>
      <c r="K3371" s="1342"/>
    </row>
    <row r="3372" spans="2:11" ht="14" hidden="1">
      <c r="B3372" s="1342"/>
      <c r="C3372" s="1342"/>
      <c r="D3372" s="1342"/>
      <c r="E3372" s="1342"/>
      <c r="F3372" s="1342"/>
      <c r="G3372" s="1342"/>
      <c r="H3372" s="1342"/>
      <c r="I3372" s="1342"/>
      <c r="J3372" s="1342"/>
      <c r="K3372" s="1342"/>
    </row>
    <row r="3373" spans="2:11" ht="14" hidden="1">
      <c r="B3373" s="1342"/>
      <c r="C3373" s="1342"/>
      <c r="D3373" s="1342"/>
      <c r="E3373" s="1342"/>
      <c r="F3373" s="1342"/>
      <c r="G3373" s="1342"/>
      <c r="H3373" s="1342"/>
      <c r="I3373" s="1342"/>
      <c r="J3373" s="1342"/>
      <c r="K3373" s="1342"/>
    </row>
    <row r="3374" spans="2:11" ht="14" hidden="1">
      <c r="B3374" s="1342"/>
      <c r="C3374" s="1342"/>
      <c r="D3374" s="1342"/>
      <c r="E3374" s="1342"/>
      <c r="F3374" s="1342"/>
      <c r="G3374" s="1342"/>
      <c r="H3374" s="1342"/>
      <c r="I3374" s="1342"/>
      <c r="J3374" s="1342"/>
      <c r="K3374" s="1342"/>
    </row>
    <row r="3375" spans="2:11" ht="14" hidden="1">
      <c r="B3375" s="1342"/>
      <c r="C3375" s="1342"/>
      <c r="D3375" s="1342"/>
      <c r="E3375" s="1342"/>
      <c r="F3375" s="1342"/>
      <c r="G3375" s="1342"/>
      <c r="H3375" s="1342"/>
      <c r="I3375" s="1342"/>
      <c r="J3375" s="1342"/>
      <c r="K3375" s="1342"/>
    </row>
    <row r="3376" spans="2:11" ht="14" hidden="1">
      <c r="B3376" s="1342"/>
      <c r="C3376" s="1342"/>
      <c r="D3376" s="1342"/>
      <c r="E3376" s="1342"/>
      <c r="F3376" s="1342"/>
      <c r="G3376" s="1342"/>
      <c r="H3376" s="1342"/>
      <c r="I3376" s="1342"/>
      <c r="J3376" s="1342"/>
      <c r="K3376" s="1342"/>
    </row>
    <row r="3377" spans="2:11" ht="14" hidden="1">
      <c r="B3377" s="1342"/>
      <c r="C3377" s="1342"/>
      <c r="D3377" s="1342"/>
      <c r="E3377" s="1342"/>
      <c r="F3377" s="1342"/>
      <c r="G3377" s="1342"/>
      <c r="H3377" s="1342"/>
      <c r="I3377" s="1342"/>
      <c r="J3377" s="1342"/>
      <c r="K3377" s="1342"/>
    </row>
    <row r="3378" spans="2:11" ht="14" hidden="1">
      <c r="B3378" s="1342"/>
      <c r="C3378" s="1342"/>
      <c r="D3378" s="1342"/>
      <c r="E3378" s="1342"/>
      <c r="F3378" s="1342"/>
      <c r="G3378" s="1342"/>
      <c r="H3378" s="1342"/>
      <c r="I3378" s="1342"/>
      <c r="J3378" s="1342"/>
      <c r="K3378" s="1342"/>
    </row>
    <row r="3379" spans="2:11" ht="14" hidden="1">
      <c r="B3379" s="1342"/>
      <c r="C3379" s="1342"/>
      <c r="D3379" s="1342"/>
      <c r="E3379" s="1342"/>
      <c r="F3379" s="1342"/>
      <c r="G3379" s="1342"/>
      <c r="H3379" s="1342"/>
      <c r="I3379" s="1342"/>
      <c r="J3379" s="1342"/>
      <c r="K3379" s="1342"/>
    </row>
    <row r="3380" spans="2:11" ht="14" hidden="1">
      <c r="B3380" s="1342"/>
      <c r="C3380" s="1342"/>
      <c r="D3380" s="1342"/>
      <c r="E3380" s="1342"/>
      <c r="F3380" s="1342"/>
      <c r="G3380" s="1342"/>
      <c r="H3380" s="1342"/>
      <c r="I3380" s="1342"/>
      <c r="J3380" s="1342"/>
      <c r="K3380" s="1342"/>
    </row>
    <row r="3381" spans="2:11" ht="14" hidden="1">
      <c r="B3381" s="1342"/>
      <c r="C3381" s="1342"/>
      <c r="D3381" s="1342"/>
      <c r="E3381" s="1342"/>
      <c r="F3381" s="1342"/>
      <c r="G3381" s="1342"/>
      <c r="H3381" s="1342"/>
      <c r="I3381" s="1342"/>
      <c r="J3381" s="1342"/>
      <c r="K3381" s="1342"/>
    </row>
    <row r="3382" spans="2:11" ht="14" hidden="1">
      <c r="B3382" s="1342"/>
      <c r="C3382" s="1342"/>
      <c r="D3382" s="1342"/>
      <c r="E3382" s="1342"/>
      <c r="F3382" s="1342"/>
      <c r="G3382" s="1342"/>
      <c r="H3382" s="1342"/>
      <c r="I3382" s="1342"/>
      <c r="J3382" s="1342"/>
      <c r="K3382" s="1342"/>
    </row>
    <row r="3383" spans="2:11" ht="14" hidden="1">
      <c r="B3383" s="1342"/>
      <c r="C3383" s="1342"/>
      <c r="D3383" s="1342"/>
      <c r="E3383" s="1342"/>
      <c r="F3383" s="1342"/>
      <c r="G3383" s="1342"/>
      <c r="H3383" s="1342"/>
      <c r="I3383" s="1342"/>
      <c r="J3383" s="1342"/>
      <c r="K3383" s="1342"/>
    </row>
    <row r="3384" spans="2:11" ht="14" hidden="1">
      <c r="B3384" s="1342"/>
      <c r="C3384" s="1342"/>
      <c r="D3384" s="1342"/>
      <c r="E3384" s="1342"/>
      <c r="F3384" s="1342"/>
      <c r="G3384" s="1342"/>
      <c r="H3384" s="1342"/>
      <c r="I3384" s="1342"/>
      <c r="J3384" s="1342"/>
      <c r="K3384" s="1342"/>
    </row>
    <row r="3385" spans="2:11" ht="14" hidden="1">
      <c r="B3385" s="1342"/>
      <c r="C3385" s="1342"/>
      <c r="D3385" s="1342"/>
      <c r="E3385" s="1342"/>
      <c r="F3385" s="1342"/>
      <c r="G3385" s="1342"/>
      <c r="H3385" s="1342"/>
      <c r="I3385" s="1342"/>
      <c r="J3385" s="1342"/>
      <c r="K3385" s="1342"/>
    </row>
    <row r="3386" spans="2:11" ht="14" hidden="1">
      <c r="B3386" s="1342"/>
      <c r="C3386" s="1342"/>
      <c r="D3386" s="1342"/>
      <c r="E3386" s="1342"/>
      <c r="F3386" s="1342"/>
      <c r="G3386" s="1342"/>
      <c r="H3386" s="1342"/>
      <c r="I3386" s="1342"/>
      <c r="J3386" s="1342"/>
      <c r="K3386" s="1342"/>
    </row>
    <row r="3387" spans="2:11" ht="14" hidden="1">
      <c r="B3387" s="1342"/>
      <c r="C3387" s="1342"/>
      <c r="D3387" s="1342"/>
      <c r="E3387" s="1342"/>
      <c r="F3387" s="1342"/>
      <c r="G3387" s="1342"/>
      <c r="H3387" s="1342"/>
      <c r="I3387" s="1342"/>
      <c r="J3387" s="1342"/>
      <c r="K3387" s="1342"/>
    </row>
    <row r="3388" spans="2:11" ht="14" hidden="1">
      <c r="B3388" s="1342"/>
      <c r="C3388" s="1342"/>
      <c r="D3388" s="1342"/>
      <c r="E3388" s="1342"/>
      <c r="F3388" s="1342"/>
      <c r="G3388" s="1342"/>
      <c r="H3388" s="1342"/>
      <c r="I3388" s="1342"/>
      <c r="J3388" s="1342"/>
      <c r="K3388" s="1342"/>
    </row>
    <row r="3389" spans="2:11" ht="14" hidden="1">
      <c r="B3389" s="1342"/>
      <c r="C3389" s="1342"/>
      <c r="D3389" s="1342"/>
      <c r="E3389" s="1342"/>
      <c r="F3389" s="1342"/>
      <c r="G3389" s="1342"/>
      <c r="H3389" s="1342"/>
      <c r="I3389" s="1342"/>
      <c r="J3389" s="1342"/>
      <c r="K3389" s="1342"/>
    </row>
    <row r="3390" spans="2:11" ht="14" hidden="1">
      <c r="B3390" s="1342"/>
      <c r="C3390" s="1342"/>
      <c r="D3390" s="1342"/>
      <c r="E3390" s="1342"/>
      <c r="F3390" s="1342"/>
      <c r="G3390" s="1342"/>
      <c r="H3390" s="1342"/>
      <c r="I3390" s="1342"/>
      <c r="J3390" s="1342"/>
      <c r="K3390" s="1342"/>
    </row>
    <row r="3391" spans="2:11" ht="14" hidden="1">
      <c r="B3391" s="1342"/>
      <c r="C3391" s="1342"/>
      <c r="D3391" s="1342"/>
      <c r="E3391" s="1342"/>
      <c r="F3391" s="1342"/>
      <c r="G3391" s="1342"/>
      <c r="H3391" s="1342"/>
      <c r="I3391" s="1342"/>
      <c r="J3391" s="1342"/>
      <c r="K3391" s="1342"/>
    </row>
    <row r="3392" spans="2:11" ht="14" hidden="1">
      <c r="B3392" s="1342"/>
      <c r="C3392" s="1342"/>
      <c r="D3392" s="1342"/>
      <c r="E3392" s="1342"/>
      <c r="F3392" s="1342"/>
      <c r="G3392" s="1342"/>
      <c r="H3392" s="1342"/>
      <c r="I3392" s="1342"/>
      <c r="J3392" s="1342"/>
      <c r="K3392" s="1342"/>
    </row>
    <row r="3393" spans="2:11" ht="14" hidden="1">
      <c r="B3393" s="1342"/>
      <c r="C3393" s="1342"/>
      <c r="D3393" s="1342"/>
      <c r="E3393" s="1342"/>
      <c r="F3393" s="1342"/>
      <c r="G3393" s="1342"/>
      <c r="H3393" s="1342"/>
      <c r="I3393" s="1342"/>
      <c r="J3393" s="1342"/>
      <c r="K3393" s="1342"/>
    </row>
    <row r="3394" spans="2:11" ht="14" hidden="1">
      <c r="B3394" s="1342"/>
      <c r="C3394" s="1342"/>
      <c r="D3394" s="1342"/>
      <c r="E3394" s="1342"/>
      <c r="F3394" s="1342"/>
      <c r="G3394" s="1342"/>
      <c r="H3394" s="1342"/>
      <c r="I3394" s="1342"/>
      <c r="J3394" s="1342"/>
      <c r="K3394" s="1342"/>
    </row>
    <row r="3395" spans="2:11" ht="14" hidden="1">
      <c r="B3395" s="1342"/>
      <c r="C3395" s="1342"/>
      <c r="D3395" s="1342"/>
      <c r="E3395" s="1342"/>
      <c r="F3395" s="1342"/>
      <c r="G3395" s="1342"/>
      <c r="H3395" s="1342"/>
      <c r="I3395" s="1342"/>
      <c r="J3395" s="1342"/>
      <c r="K3395" s="1342"/>
    </row>
    <row r="3396" spans="2:11" ht="14" hidden="1">
      <c r="B3396" s="1342"/>
      <c r="C3396" s="1342"/>
      <c r="D3396" s="1342"/>
      <c r="E3396" s="1342"/>
      <c r="F3396" s="1342"/>
      <c r="G3396" s="1342"/>
      <c r="H3396" s="1342"/>
      <c r="I3396" s="1342"/>
      <c r="J3396" s="1342"/>
      <c r="K3396" s="1342"/>
    </row>
    <row r="3397" spans="2:11" ht="14" hidden="1">
      <c r="B3397" s="1342"/>
      <c r="C3397" s="1342"/>
      <c r="D3397" s="1342"/>
      <c r="E3397" s="1342"/>
      <c r="F3397" s="1342"/>
      <c r="G3397" s="1342"/>
      <c r="H3397" s="1342"/>
      <c r="I3397" s="1342"/>
      <c r="J3397" s="1342"/>
      <c r="K3397" s="1342"/>
    </row>
    <row r="3398" spans="2:11" ht="14" hidden="1">
      <c r="B3398" s="1342"/>
      <c r="C3398" s="1342"/>
      <c r="D3398" s="1342"/>
      <c r="E3398" s="1342"/>
      <c r="F3398" s="1342"/>
      <c r="G3398" s="1342"/>
      <c r="H3398" s="1342"/>
      <c r="I3398" s="1342"/>
      <c r="J3398" s="1342"/>
      <c r="K3398" s="1342"/>
    </row>
    <row r="3399" spans="2:11" ht="14" hidden="1">
      <c r="B3399" s="1342"/>
      <c r="C3399" s="1342"/>
      <c r="D3399" s="1342"/>
      <c r="E3399" s="1342"/>
      <c r="F3399" s="1342"/>
      <c r="G3399" s="1342"/>
      <c r="H3399" s="1342"/>
      <c r="I3399" s="1342"/>
      <c r="J3399" s="1342"/>
      <c r="K3399" s="1342"/>
    </row>
    <row r="3400" spans="2:11" ht="14" hidden="1">
      <c r="B3400" s="1342"/>
      <c r="C3400" s="1342"/>
      <c r="D3400" s="1342"/>
      <c r="E3400" s="1342"/>
      <c r="F3400" s="1342"/>
      <c r="G3400" s="1342"/>
      <c r="H3400" s="1342"/>
      <c r="I3400" s="1342"/>
      <c r="J3400" s="1342"/>
      <c r="K3400" s="1342"/>
    </row>
    <row r="3401" spans="2:11" ht="14" hidden="1">
      <c r="B3401" s="1342"/>
      <c r="C3401" s="1342"/>
      <c r="D3401" s="1342"/>
      <c r="E3401" s="1342"/>
      <c r="F3401" s="1342"/>
      <c r="G3401" s="1342"/>
      <c r="H3401" s="1342"/>
      <c r="I3401" s="1342"/>
      <c r="J3401" s="1342"/>
      <c r="K3401" s="1342"/>
    </row>
    <row r="3402" spans="2:11" ht="14" hidden="1">
      <c r="B3402" s="1342"/>
      <c r="C3402" s="1342"/>
      <c r="D3402" s="1342"/>
      <c r="E3402" s="1342"/>
      <c r="F3402" s="1342"/>
      <c r="G3402" s="1342"/>
      <c r="H3402" s="1342"/>
      <c r="I3402" s="1342"/>
      <c r="J3402" s="1342"/>
      <c r="K3402" s="1342"/>
    </row>
    <row r="3403" spans="2:11" ht="14" hidden="1">
      <c r="B3403" s="1342"/>
      <c r="C3403" s="1342"/>
      <c r="D3403" s="1342"/>
      <c r="E3403" s="1342"/>
      <c r="F3403" s="1342"/>
      <c r="G3403" s="1342"/>
      <c r="H3403" s="1342"/>
      <c r="I3403" s="1342"/>
      <c r="J3403" s="1342"/>
      <c r="K3403" s="1342"/>
    </row>
    <row r="3404" spans="2:11" ht="14" hidden="1">
      <c r="B3404" s="1342"/>
      <c r="C3404" s="1342"/>
      <c r="D3404" s="1342"/>
      <c r="E3404" s="1342"/>
      <c r="F3404" s="1342"/>
      <c r="G3404" s="1342"/>
      <c r="H3404" s="1342"/>
      <c r="I3404" s="1342"/>
      <c r="J3404" s="1342"/>
      <c r="K3404" s="1342"/>
    </row>
    <row r="3405" spans="2:11" ht="14" hidden="1">
      <c r="B3405" s="1342"/>
      <c r="C3405" s="1342"/>
      <c r="D3405" s="1342"/>
      <c r="E3405" s="1342"/>
      <c r="F3405" s="1342"/>
      <c r="G3405" s="1342"/>
      <c r="H3405" s="1342"/>
      <c r="I3405" s="1342"/>
      <c r="J3405" s="1342"/>
      <c r="K3405" s="1342"/>
    </row>
    <row r="3406" spans="2:11" ht="14" hidden="1">
      <c r="B3406" s="1342"/>
      <c r="C3406" s="1342"/>
      <c r="D3406" s="1342"/>
      <c r="E3406" s="1342"/>
      <c r="F3406" s="1342"/>
      <c r="G3406" s="1342"/>
      <c r="H3406" s="1342"/>
      <c r="I3406" s="1342"/>
      <c r="J3406" s="1342"/>
      <c r="K3406" s="1342"/>
    </row>
    <row r="3407" spans="2:11" ht="14" hidden="1">
      <c r="B3407" s="1342"/>
      <c r="C3407" s="1342"/>
      <c r="D3407" s="1342"/>
      <c r="E3407" s="1342"/>
      <c r="F3407" s="1342"/>
      <c r="G3407" s="1342"/>
      <c r="H3407" s="1342"/>
      <c r="I3407" s="1342"/>
      <c r="J3407" s="1342"/>
      <c r="K3407" s="1342"/>
    </row>
    <row r="3408" spans="2:11" ht="14" hidden="1">
      <c r="B3408" s="1342"/>
      <c r="C3408" s="1342"/>
      <c r="D3408" s="1342"/>
      <c r="E3408" s="1342"/>
      <c r="F3408" s="1342"/>
      <c r="G3408" s="1342"/>
      <c r="H3408" s="1342"/>
      <c r="I3408" s="1342"/>
      <c r="J3408" s="1342"/>
      <c r="K3408" s="1342"/>
    </row>
    <row r="3409" spans="2:11" ht="14" hidden="1">
      <c r="B3409" s="1342"/>
      <c r="C3409" s="1342"/>
      <c r="D3409" s="1342"/>
      <c r="E3409" s="1342"/>
      <c r="F3409" s="1342"/>
      <c r="G3409" s="1342"/>
      <c r="H3409" s="1342"/>
      <c r="I3409" s="1342"/>
      <c r="J3409" s="1342"/>
      <c r="K3409" s="1342"/>
    </row>
    <row r="3410" spans="2:11" ht="14" hidden="1">
      <c r="B3410" s="1342"/>
      <c r="C3410" s="1342"/>
      <c r="D3410" s="1342"/>
      <c r="E3410" s="1342"/>
      <c r="F3410" s="1342"/>
      <c r="G3410" s="1342"/>
      <c r="H3410" s="1342"/>
      <c r="I3410" s="1342"/>
      <c r="J3410" s="1342"/>
      <c r="K3410" s="1342"/>
    </row>
    <row r="3411" spans="2:11" ht="14" hidden="1">
      <c r="B3411" s="1342"/>
      <c r="C3411" s="1342"/>
      <c r="D3411" s="1342"/>
      <c r="E3411" s="1342"/>
      <c r="F3411" s="1342"/>
      <c r="G3411" s="1342"/>
      <c r="H3411" s="1342"/>
      <c r="I3411" s="1342"/>
      <c r="J3411" s="1342"/>
      <c r="K3411" s="1342"/>
    </row>
    <row r="3412" spans="2:11" ht="14" hidden="1">
      <c r="B3412" s="1342"/>
      <c r="C3412" s="1342"/>
      <c r="D3412" s="1342"/>
      <c r="E3412" s="1342"/>
      <c r="F3412" s="1342"/>
      <c r="G3412" s="1342"/>
      <c r="H3412" s="1342"/>
      <c r="I3412" s="1342"/>
      <c r="J3412" s="1342"/>
      <c r="K3412" s="1342"/>
    </row>
    <row r="3413" spans="2:11" ht="14" hidden="1">
      <c r="B3413" s="1342"/>
      <c r="C3413" s="1342"/>
      <c r="D3413" s="1342"/>
      <c r="E3413" s="1342"/>
      <c r="F3413" s="1342"/>
      <c r="G3413" s="1342"/>
      <c r="H3413" s="1342"/>
      <c r="I3413" s="1342"/>
      <c r="J3413" s="1342"/>
      <c r="K3413" s="1342"/>
    </row>
    <row r="3414" spans="2:11" ht="14" hidden="1">
      <c r="B3414" s="1342"/>
      <c r="C3414" s="1342"/>
      <c r="D3414" s="1342"/>
      <c r="E3414" s="1342"/>
      <c r="F3414" s="1342"/>
      <c r="G3414" s="1342"/>
      <c r="H3414" s="1342"/>
      <c r="I3414" s="1342"/>
      <c r="J3414" s="1342"/>
      <c r="K3414" s="1342"/>
    </row>
    <row r="3415" spans="2:11" ht="14" hidden="1">
      <c r="B3415" s="1342"/>
      <c r="C3415" s="1342"/>
      <c r="D3415" s="1342"/>
      <c r="E3415" s="1342"/>
      <c r="F3415" s="1342"/>
      <c r="G3415" s="1342"/>
      <c r="H3415" s="1342"/>
      <c r="I3415" s="1342"/>
      <c r="J3415" s="1342"/>
      <c r="K3415" s="1342"/>
    </row>
    <row r="3416" spans="2:11" ht="14" hidden="1">
      <c r="B3416" s="1342"/>
      <c r="C3416" s="1342"/>
      <c r="D3416" s="1342"/>
      <c r="E3416" s="1342"/>
      <c r="F3416" s="1342"/>
      <c r="G3416" s="1342"/>
      <c r="H3416" s="1342"/>
      <c r="I3416" s="1342"/>
      <c r="J3416" s="1342"/>
      <c r="K3416" s="1342"/>
    </row>
    <row r="3417" spans="2:11" ht="14" hidden="1">
      <c r="B3417" s="1342"/>
      <c r="C3417" s="1342"/>
      <c r="D3417" s="1342"/>
      <c r="E3417" s="1342"/>
      <c r="F3417" s="1342"/>
      <c r="G3417" s="1342"/>
      <c r="H3417" s="1342"/>
      <c r="I3417" s="1342"/>
      <c r="J3417" s="1342"/>
      <c r="K3417" s="1342"/>
    </row>
    <row r="3418" spans="2:11" ht="14" hidden="1">
      <c r="B3418" s="1342"/>
      <c r="C3418" s="1342"/>
      <c r="D3418" s="1342"/>
      <c r="E3418" s="1342"/>
      <c r="F3418" s="1342"/>
      <c r="G3418" s="1342"/>
      <c r="H3418" s="1342"/>
      <c r="I3418" s="1342"/>
      <c r="J3418" s="1342"/>
      <c r="K3418" s="1342"/>
    </row>
    <row r="3419" spans="2:11" ht="14" hidden="1">
      <c r="B3419" s="1342"/>
      <c r="C3419" s="1342"/>
      <c r="D3419" s="1342"/>
      <c r="E3419" s="1342"/>
      <c r="F3419" s="1342"/>
      <c r="G3419" s="1342"/>
      <c r="H3419" s="1342"/>
      <c r="I3419" s="1342"/>
      <c r="J3419" s="1342"/>
      <c r="K3419" s="1342"/>
    </row>
    <row r="3420" spans="2:11" ht="14" hidden="1">
      <c r="B3420" s="1342"/>
      <c r="C3420" s="1342"/>
      <c r="D3420" s="1342"/>
      <c r="E3420" s="1342"/>
      <c r="F3420" s="1342"/>
      <c r="G3420" s="1342"/>
      <c r="H3420" s="1342"/>
      <c r="I3420" s="1342"/>
      <c r="J3420" s="1342"/>
      <c r="K3420" s="1342"/>
    </row>
    <row r="3421" spans="2:11" ht="14" hidden="1">
      <c r="B3421" s="1342"/>
      <c r="C3421" s="1342"/>
      <c r="D3421" s="1342"/>
      <c r="E3421" s="1342"/>
      <c r="F3421" s="1342"/>
      <c r="G3421" s="1342"/>
      <c r="H3421" s="1342"/>
      <c r="I3421" s="1342"/>
      <c r="J3421" s="1342"/>
      <c r="K3421" s="1342"/>
    </row>
    <row r="3422" spans="2:11" ht="14" hidden="1">
      <c r="B3422" s="1342"/>
      <c r="C3422" s="1342"/>
      <c r="D3422" s="1342"/>
      <c r="E3422" s="1342"/>
      <c r="F3422" s="1342"/>
      <c r="G3422" s="1342"/>
      <c r="H3422" s="1342"/>
      <c r="I3422" s="1342"/>
      <c r="J3422" s="1342"/>
      <c r="K3422" s="1342"/>
    </row>
    <row r="3423" spans="2:11" ht="14" hidden="1">
      <c r="B3423" s="1342"/>
      <c r="C3423" s="1342"/>
      <c r="D3423" s="1342"/>
      <c r="E3423" s="1342"/>
      <c r="F3423" s="1342"/>
      <c r="G3423" s="1342"/>
      <c r="H3423" s="1342"/>
      <c r="I3423" s="1342"/>
      <c r="J3423" s="1342"/>
      <c r="K3423" s="1342"/>
    </row>
    <row r="3424" spans="2:11" ht="14" hidden="1">
      <c r="B3424" s="1342"/>
      <c r="C3424" s="1342"/>
      <c r="D3424" s="1342"/>
      <c r="E3424" s="1342"/>
      <c r="F3424" s="1342"/>
      <c r="G3424" s="1342"/>
      <c r="H3424" s="1342"/>
      <c r="I3424" s="1342"/>
      <c r="J3424" s="1342"/>
      <c r="K3424" s="1342"/>
    </row>
    <row r="3425" spans="2:11" ht="14" hidden="1">
      <c r="B3425" s="1342"/>
      <c r="C3425" s="1342"/>
      <c r="D3425" s="1342"/>
      <c r="E3425" s="1342"/>
      <c r="F3425" s="1342"/>
      <c r="G3425" s="1342"/>
      <c r="H3425" s="1342"/>
      <c r="I3425" s="1342"/>
      <c r="J3425" s="1342"/>
      <c r="K3425" s="1342"/>
    </row>
    <row r="3426" spans="2:11" ht="14" hidden="1">
      <c r="B3426" s="1342"/>
      <c r="C3426" s="1342"/>
      <c r="D3426" s="1342"/>
      <c r="E3426" s="1342"/>
      <c r="F3426" s="1342"/>
      <c r="G3426" s="1342"/>
      <c r="H3426" s="1342"/>
      <c r="I3426" s="1342"/>
      <c r="J3426" s="1342"/>
      <c r="K3426" s="1342"/>
    </row>
    <row r="3427" spans="2:11" ht="14" hidden="1">
      <c r="B3427" s="1342"/>
      <c r="C3427" s="1342"/>
      <c r="D3427" s="1342"/>
      <c r="E3427" s="1342"/>
      <c r="F3427" s="1342"/>
      <c r="G3427" s="1342"/>
      <c r="H3427" s="1342"/>
      <c r="I3427" s="1342"/>
      <c r="J3427" s="1342"/>
      <c r="K3427" s="1342"/>
    </row>
    <row r="3428" spans="2:11" ht="14" hidden="1">
      <c r="B3428" s="1342"/>
      <c r="C3428" s="1342"/>
      <c r="D3428" s="1342"/>
      <c r="E3428" s="1342"/>
      <c r="F3428" s="1342"/>
      <c r="G3428" s="1342"/>
      <c r="H3428" s="1342"/>
      <c r="I3428" s="1342"/>
      <c r="J3428" s="1342"/>
      <c r="K3428" s="1342"/>
    </row>
    <row r="3429" spans="2:11" ht="14" hidden="1">
      <c r="B3429" s="1342"/>
      <c r="C3429" s="1342"/>
      <c r="D3429" s="1342"/>
      <c r="E3429" s="1342"/>
      <c r="F3429" s="1342"/>
      <c r="G3429" s="1342"/>
      <c r="H3429" s="1342"/>
      <c r="I3429" s="1342"/>
      <c r="J3429" s="1342"/>
      <c r="K3429" s="1342"/>
    </row>
    <row r="3430" spans="2:11" ht="14" hidden="1">
      <c r="B3430" s="1342"/>
      <c r="C3430" s="1342"/>
      <c r="D3430" s="1342"/>
      <c r="E3430" s="1342"/>
      <c r="F3430" s="1342"/>
      <c r="G3430" s="1342"/>
      <c r="H3430" s="1342"/>
      <c r="I3430" s="1342"/>
      <c r="J3430" s="1342"/>
      <c r="K3430" s="1342"/>
    </row>
    <row r="3431" spans="2:11" ht="14" hidden="1">
      <c r="B3431" s="1342"/>
      <c r="C3431" s="1342"/>
      <c r="D3431" s="1342"/>
      <c r="E3431" s="1342"/>
      <c r="F3431" s="1342"/>
      <c r="G3431" s="1342"/>
      <c r="H3431" s="1342"/>
      <c r="I3431" s="1342"/>
      <c r="J3431" s="1342"/>
      <c r="K3431" s="1342"/>
    </row>
    <row r="3432" spans="2:11" ht="14" hidden="1">
      <c r="B3432" s="1342"/>
      <c r="C3432" s="1342"/>
      <c r="D3432" s="1342"/>
      <c r="E3432" s="1342"/>
      <c r="F3432" s="1342"/>
      <c r="G3432" s="1342"/>
      <c r="H3432" s="1342"/>
      <c r="I3432" s="1342"/>
      <c r="J3432" s="1342"/>
      <c r="K3432" s="1342"/>
    </row>
    <row r="3433" spans="2:11" ht="14" hidden="1">
      <c r="B3433" s="1342"/>
      <c r="C3433" s="1342"/>
      <c r="D3433" s="1342"/>
      <c r="E3433" s="1342"/>
      <c r="F3433" s="1342"/>
      <c r="G3433" s="1342"/>
      <c r="H3433" s="1342"/>
      <c r="I3433" s="1342"/>
      <c r="J3433" s="1342"/>
      <c r="K3433" s="1342"/>
    </row>
    <row r="3434" spans="2:11" ht="14" hidden="1">
      <c r="B3434" s="1342"/>
      <c r="C3434" s="1342"/>
      <c r="D3434" s="1342"/>
      <c r="E3434" s="1342"/>
      <c r="F3434" s="1342"/>
      <c r="G3434" s="1342"/>
      <c r="H3434" s="1342"/>
      <c r="I3434" s="1342"/>
      <c r="J3434" s="1342"/>
      <c r="K3434" s="1342"/>
    </row>
    <row r="3435" spans="2:11" ht="14" hidden="1">
      <c r="B3435" s="1342"/>
      <c r="C3435" s="1342"/>
      <c r="D3435" s="1342"/>
      <c r="E3435" s="1342"/>
      <c r="F3435" s="1342"/>
      <c r="G3435" s="1342"/>
      <c r="H3435" s="1342"/>
      <c r="I3435" s="1342"/>
      <c r="J3435" s="1342"/>
      <c r="K3435" s="1342"/>
    </row>
    <row r="3436" spans="2:11" ht="14" hidden="1">
      <c r="B3436" s="1342"/>
      <c r="C3436" s="1342"/>
      <c r="D3436" s="1342"/>
      <c r="E3436" s="1342"/>
      <c r="F3436" s="1342"/>
      <c r="G3436" s="1342"/>
      <c r="H3436" s="1342"/>
      <c r="I3436" s="1342"/>
      <c r="J3436" s="1342"/>
      <c r="K3436" s="1342"/>
    </row>
    <row r="3437" spans="2:11" ht="14" hidden="1">
      <c r="B3437" s="1342"/>
      <c r="C3437" s="1342"/>
      <c r="D3437" s="1342"/>
      <c r="E3437" s="1342"/>
      <c r="F3437" s="1342"/>
      <c r="G3437" s="1342"/>
      <c r="H3437" s="1342"/>
      <c r="I3437" s="1342"/>
      <c r="J3437" s="1342"/>
      <c r="K3437" s="1342"/>
    </row>
    <row r="3438" spans="2:11" ht="14" hidden="1">
      <c r="B3438" s="1342"/>
      <c r="C3438" s="1342"/>
      <c r="D3438" s="1342"/>
      <c r="E3438" s="1342"/>
      <c r="F3438" s="1342"/>
      <c r="G3438" s="1342"/>
      <c r="H3438" s="1342"/>
      <c r="I3438" s="1342"/>
      <c r="J3438" s="1342"/>
      <c r="K3438" s="1342"/>
    </row>
    <row r="3439" spans="2:11" ht="14" hidden="1">
      <c r="B3439" s="1342"/>
      <c r="C3439" s="1342"/>
      <c r="D3439" s="1342"/>
      <c r="E3439" s="1342"/>
      <c r="F3439" s="1342"/>
      <c r="G3439" s="1342"/>
      <c r="H3439" s="1342"/>
      <c r="I3439" s="1342"/>
      <c r="J3439" s="1342"/>
      <c r="K3439" s="1342"/>
    </row>
    <row r="3440" spans="2:11" ht="14" hidden="1">
      <c r="B3440" s="1342"/>
      <c r="C3440" s="1342"/>
      <c r="D3440" s="1342"/>
      <c r="E3440" s="1342"/>
      <c r="F3440" s="1342"/>
      <c r="G3440" s="1342"/>
      <c r="H3440" s="1342"/>
      <c r="I3440" s="1342"/>
      <c r="J3440" s="1342"/>
      <c r="K3440" s="1342"/>
    </row>
    <row r="3441" spans="2:11" ht="14" hidden="1">
      <c r="B3441" s="1342"/>
      <c r="C3441" s="1342"/>
      <c r="D3441" s="1342"/>
      <c r="E3441" s="1342"/>
      <c r="F3441" s="1342"/>
      <c r="G3441" s="1342"/>
      <c r="H3441" s="1342"/>
      <c r="I3441" s="1342"/>
      <c r="J3441" s="1342"/>
      <c r="K3441" s="1342"/>
    </row>
    <row r="3442" spans="2:11" ht="14" hidden="1">
      <c r="B3442" s="1342"/>
      <c r="C3442" s="1342"/>
      <c r="D3442" s="1342"/>
      <c r="E3442" s="1342"/>
      <c r="F3442" s="1342"/>
      <c r="G3442" s="1342"/>
      <c r="H3442" s="1342"/>
      <c r="I3442" s="1342"/>
      <c r="J3442" s="1342"/>
      <c r="K3442" s="1342"/>
    </row>
    <row r="3443" spans="2:11" ht="14" hidden="1">
      <c r="B3443" s="1342"/>
      <c r="C3443" s="1342"/>
      <c r="D3443" s="1342"/>
      <c r="E3443" s="1342"/>
      <c r="F3443" s="1342"/>
      <c r="G3443" s="1342"/>
      <c r="H3443" s="1342"/>
      <c r="I3443" s="1342"/>
      <c r="J3443" s="1342"/>
      <c r="K3443" s="1342"/>
    </row>
    <row r="3444" spans="2:11" ht="14" hidden="1">
      <c r="B3444" s="1342"/>
      <c r="C3444" s="1342"/>
      <c r="D3444" s="1342"/>
      <c r="E3444" s="1342"/>
      <c r="F3444" s="1342"/>
      <c r="G3444" s="1342"/>
      <c r="H3444" s="1342"/>
      <c r="I3444" s="1342"/>
      <c r="J3444" s="1342"/>
      <c r="K3444" s="1342"/>
    </row>
    <row r="3445" spans="2:11" ht="14" hidden="1">
      <c r="B3445" s="1342"/>
      <c r="C3445" s="1342"/>
      <c r="D3445" s="1342"/>
      <c r="E3445" s="1342"/>
      <c r="F3445" s="1342"/>
      <c r="G3445" s="1342"/>
      <c r="H3445" s="1342"/>
      <c r="I3445" s="1342"/>
      <c r="J3445" s="1342"/>
      <c r="K3445" s="1342"/>
    </row>
    <row r="3446" spans="2:11" ht="14" hidden="1">
      <c r="B3446" s="1342"/>
      <c r="C3446" s="1342"/>
      <c r="D3446" s="1342"/>
      <c r="E3446" s="1342"/>
      <c r="F3446" s="1342"/>
      <c r="G3446" s="1342"/>
      <c r="H3446" s="1342"/>
      <c r="I3446" s="1342"/>
      <c r="J3446" s="1342"/>
      <c r="K3446" s="1342"/>
    </row>
    <row r="3447" spans="2:11" ht="14" hidden="1">
      <c r="B3447" s="1342"/>
      <c r="C3447" s="1342"/>
      <c r="D3447" s="1342"/>
      <c r="E3447" s="1342"/>
      <c r="F3447" s="1342"/>
      <c r="G3447" s="1342"/>
      <c r="H3447" s="1342"/>
      <c r="I3447" s="1342"/>
      <c r="J3447" s="1342"/>
      <c r="K3447" s="1342"/>
    </row>
    <row r="3448" spans="2:11" ht="14" hidden="1">
      <c r="B3448" s="1342"/>
      <c r="C3448" s="1342"/>
      <c r="D3448" s="1342"/>
      <c r="E3448" s="1342"/>
      <c r="F3448" s="1342"/>
      <c r="G3448" s="1342"/>
      <c r="H3448" s="1342"/>
      <c r="I3448" s="1342"/>
      <c r="J3448" s="1342"/>
      <c r="K3448" s="1342"/>
    </row>
    <row r="3449" spans="2:11" ht="14" hidden="1">
      <c r="B3449" s="1342"/>
      <c r="C3449" s="1342"/>
      <c r="D3449" s="1342"/>
      <c r="E3449" s="1342"/>
      <c r="F3449" s="1342"/>
      <c r="G3449" s="1342"/>
      <c r="H3449" s="1342"/>
      <c r="I3449" s="1342"/>
      <c r="J3449" s="1342"/>
      <c r="K3449" s="1342"/>
    </row>
    <row r="3450" spans="2:11" ht="14" hidden="1">
      <c r="B3450" s="1342"/>
      <c r="C3450" s="1342"/>
      <c r="D3450" s="1342"/>
      <c r="E3450" s="1342"/>
      <c r="F3450" s="1342"/>
      <c r="G3450" s="1342"/>
      <c r="H3450" s="1342"/>
      <c r="I3450" s="1342"/>
      <c r="J3450" s="1342"/>
      <c r="K3450" s="1342"/>
    </row>
    <row r="3451" spans="2:11" ht="14" hidden="1">
      <c r="B3451" s="1342"/>
      <c r="C3451" s="1342"/>
      <c r="D3451" s="1342"/>
      <c r="E3451" s="1342"/>
      <c r="F3451" s="1342"/>
      <c r="G3451" s="1342"/>
      <c r="H3451" s="1342"/>
      <c r="I3451" s="1342"/>
      <c r="J3451" s="1342"/>
      <c r="K3451" s="1342"/>
    </row>
    <row r="3452" spans="2:11" ht="14" hidden="1">
      <c r="B3452" s="1342"/>
      <c r="C3452" s="1342"/>
      <c r="D3452" s="1342"/>
      <c r="E3452" s="1342"/>
      <c r="F3452" s="1342"/>
      <c r="G3452" s="1342"/>
      <c r="H3452" s="1342"/>
      <c r="I3452" s="1342"/>
      <c r="J3452" s="1342"/>
      <c r="K3452" s="1342"/>
    </row>
    <row r="3453" spans="2:11" ht="14" hidden="1">
      <c r="B3453" s="1342"/>
      <c r="C3453" s="1342"/>
      <c r="D3453" s="1342"/>
      <c r="E3453" s="1342"/>
      <c r="F3453" s="1342"/>
      <c r="G3453" s="1342"/>
      <c r="H3453" s="1342"/>
      <c r="I3453" s="1342"/>
      <c r="J3453" s="1342"/>
      <c r="K3453" s="1342"/>
    </row>
    <row r="3454" spans="2:11" ht="14" hidden="1">
      <c r="B3454" s="1342"/>
      <c r="C3454" s="1342"/>
      <c r="D3454" s="1342"/>
      <c r="E3454" s="1342"/>
      <c r="F3454" s="1342"/>
      <c r="G3454" s="1342"/>
      <c r="H3454" s="1342"/>
      <c r="I3454" s="1342"/>
      <c r="J3454" s="1342"/>
      <c r="K3454" s="1342"/>
    </row>
    <row r="3455" spans="2:11" ht="14" hidden="1">
      <c r="B3455" s="1342"/>
      <c r="C3455" s="1342"/>
      <c r="D3455" s="1342"/>
      <c r="E3455" s="1342"/>
      <c r="F3455" s="1342"/>
      <c r="G3455" s="1342"/>
      <c r="H3455" s="1342"/>
      <c r="I3455" s="1342"/>
      <c r="J3455" s="1342"/>
      <c r="K3455" s="1342"/>
    </row>
    <row r="3456" spans="2:11" ht="14" hidden="1">
      <c r="B3456" s="1342"/>
      <c r="C3456" s="1342"/>
      <c r="D3456" s="1342"/>
      <c r="E3456" s="1342"/>
      <c r="F3456" s="1342"/>
      <c r="G3456" s="1342"/>
      <c r="H3456" s="1342"/>
      <c r="I3456" s="1342"/>
      <c r="J3456" s="1342"/>
      <c r="K3456" s="1342"/>
    </row>
    <row r="3457" spans="2:11" ht="14" hidden="1">
      <c r="B3457" s="1342"/>
      <c r="C3457" s="1342"/>
      <c r="D3457" s="1342"/>
      <c r="E3457" s="1342"/>
      <c r="F3457" s="1342"/>
      <c r="G3457" s="1342"/>
      <c r="H3457" s="1342"/>
      <c r="I3457" s="1342"/>
      <c r="J3457" s="1342"/>
      <c r="K3457" s="1342"/>
    </row>
    <row r="3458" spans="2:11" ht="14" hidden="1">
      <c r="B3458" s="1342"/>
      <c r="C3458" s="1342"/>
      <c r="D3458" s="1342"/>
      <c r="E3458" s="1342"/>
      <c r="F3458" s="1342"/>
      <c r="G3458" s="1342"/>
      <c r="H3458" s="1342"/>
      <c r="I3458" s="1342"/>
      <c r="J3458" s="1342"/>
      <c r="K3458" s="1342"/>
    </row>
    <row r="3459" spans="2:11" ht="14" hidden="1">
      <c r="B3459" s="1342"/>
      <c r="C3459" s="1342"/>
      <c r="D3459" s="1342"/>
      <c r="E3459" s="1342"/>
      <c r="F3459" s="1342"/>
      <c r="G3459" s="1342"/>
      <c r="H3459" s="1342"/>
      <c r="I3459" s="1342"/>
      <c r="J3459" s="1342"/>
      <c r="K3459" s="1342"/>
    </row>
    <row r="3460" spans="2:11" ht="14" hidden="1">
      <c r="B3460" s="1342"/>
      <c r="C3460" s="1342"/>
      <c r="D3460" s="1342"/>
      <c r="E3460" s="1342"/>
      <c r="F3460" s="1342"/>
      <c r="G3460" s="1342"/>
      <c r="H3460" s="1342"/>
      <c r="I3460" s="1342"/>
      <c r="J3460" s="1342"/>
      <c r="K3460" s="1342"/>
    </row>
    <row r="3461" spans="2:11" ht="14" hidden="1">
      <c r="B3461" s="1342"/>
      <c r="C3461" s="1342"/>
      <c r="D3461" s="1342"/>
      <c r="E3461" s="1342"/>
      <c r="F3461" s="1342"/>
      <c r="G3461" s="1342"/>
      <c r="H3461" s="1342"/>
      <c r="I3461" s="1342"/>
      <c r="J3461" s="1342"/>
      <c r="K3461" s="1342"/>
    </row>
    <row r="3462" spans="2:11" ht="14" hidden="1">
      <c r="B3462" s="1342"/>
      <c r="C3462" s="1342"/>
      <c r="D3462" s="1342"/>
      <c r="E3462" s="1342"/>
      <c r="F3462" s="1342"/>
      <c r="G3462" s="1342"/>
      <c r="H3462" s="1342"/>
      <c r="I3462" s="1342"/>
      <c r="J3462" s="1342"/>
      <c r="K3462" s="1342"/>
    </row>
    <row r="3463" spans="2:11" ht="14" hidden="1">
      <c r="B3463" s="1342"/>
      <c r="C3463" s="1342"/>
      <c r="D3463" s="1342"/>
      <c r="E3463" s="1342"/>
      <c r="F3463" s="1342"/>
      <c r="G3463" s="1342"/>
      <c r="H3463" s="1342"/>
      <c r="I3463" s="1342"/>
      <c r="J3463" s="1342"/>
      <c r="K3463" s="1342"/>
    </row>
    <row r="3464" spans="2:11" ht="14" hidden="1">
      <c r="B3464" s="1342"/>
      <c r="C3464" s="1342"/>
      <c r="D3464" s="1342"/>
      <c r="E3464" s="1342"/>
      <c r="F3464" s="1342"/>
      <c r="G3464" s="1342"/>
      <c r="H3464" s="1342"/>
      <c r="I3464" s="1342"/>
      <c r="J3464" s="1342"/>
      <c r="K3464" s="1342"/>
    </row>
    <row r="3465" spans="2:11" ht="14" hidden="1">
      <c r="B3465" s="1342"/>
      <c r="C3465" s="1342"/>
      <c r="D3465" s="1342"/>
      <c r="E3465" s="1342"/>
      <c r="F3465" s="1342"/>
      <c r="G3465" s="1342"/>
      <c r="H3465" s="1342"/>
      <c r="I3465" s="1342"/>
      <c r="J3465" s="1342"/>
      <c r="K3465" s="1342"/>
    </row>
    <row r="3466" spans="2:11" ht="14" hidden="1">
      <c r="B3466" s="1342"/>
      <c r="C3466" s="1342"/>
      <c r="D3466" s="1342"/>
      <c r="E3466" s="1342"/>
      <c r="F3466" s="1342"/>
      <c r="G3466" s="1342"/>
      <c r="H3466" s="1342"/>
      <c r="I3466" s="1342"/>
      <c r="J3466" s="1342"/>
      <c r="K3466" s="1342"/>
    </row>
    <row r="3467" spans="2:11" ht="14" hidden="1">
      <c r="B3467" s="1342"/>
      <c r="C3467" s="1342"/>
      <c r="D3467" s="1342"/>
      <c r="E3467" s="1342"/>
      <c r="F3467" s="1342"/>
      <c r="G3467" s="1342"/>
      <c r="H3467" s="1342"/>
      <c r="I3467" s="1342"/>
      <c r="J3467" s="1342"/>
      <c r="K3467" s="1342"/>
    </row>
    <row r="3468" spans="2:11" ht="14" hidden="1">
      <c r="B3468" s="1342"/>
      <c r="C3468" s="1342"/>
      <c r="D3468" s="1342"/>
      <c r="E3468" s="1342"/>
      <c r="F3468" s="1342"/>
      <c r="G3468" s="1342"/>
      <c r="H3468" s="1342"/>
      <c r="I3468" s="1342"/>
      <c r="J3468" s="1342"/>
      <c r="K3468" s="1342"/>
    </row>
    <row r="3469" spans="2:11" ht="14" hidden="1">
      <c r="B3469" s="1342"/>
      <c r="C3469" s="1342"/>
      <c r="D3469" s="1342"/>
      <c r="E3469" s="1342"/>
      <c r="F3469" s="1342"/>
      <c r="G3469" s="1342"/>
      <c r="H3469" s="1342"/>
      <c r="I3469" s="1342"/>
      <c r="J3469" s="1342"/>
      <c r="K3469" s="1342"/>
    </row>
    <row r="3470" spans="2:11" ht="14" hidden="1">
      <c r="B3470" s="1342"/>
      <c r="C3470" s="1342"/>
      <c r="D3470" s="1342"/>
      <c r="E3470" s="1342"/>
      <c r="F3470" s="1342"/>
      <c r="G3470" s="1342"/>
      <c r="H3470" s="1342"/>
      <c r="I3470" s="1342"/>
      <c r="J3470" s="1342"/>
      <c r="K3470" s="1342"/>
    </row>
    <row r="3471" spans="2:11" ht="14" hidden="1">
      <c r="B3471" s="1342"/>
      <c r="C3471" s="1342"/>
      <c r="D3471" s="1342"/>
      <c r="E3471" s="1342"/>
      <c r="F3471" s="1342"/>
      <c r="G3471" s="1342"/>
      <c r="H3471" s="1342"/>
      <c r="I3471" s="1342"/>
      <c r="J3471" s="1342"/>
      <c r="K3471" s="1342"/>
    </row>
    <row r="3472" spans="2:11" ht="14" hidden="1">
      <c r="B3472" s="1342"/>
      <c r="C3472" s="1342"/>
      <c r="D3472" s="1342"/>
      <c r="E3472" s="1342"/>
      <c r="F3472" s="1342"/>
      <c r="G3472" s="1342"/>
      <c r="H3472" s="1342"/>
      <c r="I3472" s="1342"/>
      <c r="J3472" s="1342"/>
      <c r="K3472" s="1342"/>
    </row>
    <row r="3473" spans="2:11" ht="14" hidden="1">
      <c r="B3473" s="1342"/>
      <c r="C3473" s="1342"/>
      <c r="D3473" s="1342"/>
      <c r="E3473" s="1342"/>
      <c r="F3473" s="1342"/>
      <c r="G3473" s="1342"/>
      <c r="H3473" s="1342"/>
      <c r="I3473" s="1342"/>
      <c r="J3473" s="1342"/>
      <c r="K3473" s="1342"/>
    </row>
    <row r="3474" spans="2:11" ht="14" hidden="1">
      <c r="B3474" s="1342"/>
      <c r="C3474" s="1342"/>
      <c r="D3474" s="1342"/>
      <c r="E3474" s="1342"/>
      <c r="F3474" s="1342"/>
      <c r="G3474" s="1342"/>
      <c r="H3474" s="1342"/>
      <c r="I3474" s="1342"/>
      <c r="J3474" s="1342"/>
      <c r="K3474" s="1342"/>
    </row>
    <row r="3475" spans="2:11" ht="14" hidden="1">
      <c r="B3475" s="1342"/>
      <c r="C3475" s="1342"/>
      <c r="D3475" s="1342"/>
      <c r="E3475" s="1342"/>
      <c r="F3475" s="1342"/>
      <c r="G3475" s="1342"/>
      <c r="H3475" s="1342"/>
      <c r="I3475" s="1342"/>
      <c r="J3475" s="1342"/>
      <c r="K3475" s="1342"/>
    </row>
    <row r="3476" spans="2:11" ht="14" hidden="1">
      <c r="B3476" s="1342"/>
      <c r="C3476" s="1342"/>
      <c r="D3476" s="1342"/>
      <c r="E3476" s="1342"/>
      <c r="F3476" s="1342"/>
      <c r="G3476" s="1342"/>
      <c r="H3476" s="1342"/>
      <c r="I3476" s="1342"/>
      <c r="J3476" s="1342"/>
      <c r="K3476" s="1342"/>
    </row>
    <row r="3477" spans="2:11" ht="14" hidden="1">
      <c r="B3477" s="1342"/>
      <c r="C3477" s="1342"/>
      <c r="D3477" s="1342"/>
      <c r="E3477" s="1342"/>
      <c r="F3477" s="1342"/>
      <c r="G3477" s="1342"/>
      <c r="H3477" s="1342"/>
      <c r="I3477" s="1342"/>
      <c r="J3477" s="1342"/>
      <c r="K3477" s="1342"/>
    </row>
    <row r="3478" spans="2:11" ht="14" hidden="1">
      <c r="B3478" s="1342"/>
      <c r="C3478" s="1342"/>
      <c r="D3478" s="1342"/>
      <c r="E3478" s="1342"/>
      <c r="F3478" s="1342"/>
      <c r="G3478" s="1342"/>
      <c r="H3478" s="1342"/>
      <c r="I3478" s="1342"/>
      <c r="J3478" s="1342"/>
      <c r="K3478" s="1342"/>
    </row>
    <row r="3479" spans="2:11" ht="14" hidden="1">
      <c r="B3479" s="1342"/>
      <c r="C3479" s="1342"/>
      <c r="D3479" s="1342"/>
      <c r="E3479" s="1342"/>
      <c r="F3479" s="1342"/>
      <c r="G3479" s="1342"/>
      <c r="H3479" s="1342"/>
      <c r="I3479" s="1342"/>
      <c r="J3479" s="1342"/>
      <c r="K3479" s="1342"/>
    </row>
    <row r="3480" spans="2:11" ht="14" hidden="1">
      <c r="B3480" s="1342"/>
      <c r="C3480" s="1342"/>
      <c r="D3480" s="1342"/>
      <c r="E3480" s="1342"/>
      <c r="F3480" s="1342"/>
      <c r="G3480" s="1342"/>
      <c r="H3480" s="1342"/>
      <c r="I3480" s="1342"/>
      <c r="J3480" s="1342"/>
      <c r="K3480" s="1342"/>
    </row>
    <row r="3481" spans="2:11" ht="14" hidden="1">
      <c r="B3481" s="1342"/>
      <c r="C3481" s="1342"/>
      <c r="D3481" s="1342"/>
      <c r="E3481" s="1342"/>
      <c r="F3481" s="1342"/>
      <c r="G3481" s="1342"/>
      <c r="H3481" s="1342"/>
      <c r="I3481" s="1342"/>
      <c r="J3481" s="1342"/>
      <c r="K3481" s="1342"/>
    </row>
    <row r="3482" spans="2:11" ht="14" hidden="1">
      <c r="B3482" s="1342"/>
      <c r="C3482" s="1342"/>
      <c r="D3482" s="1342"/>
      <c r="E3482" s="1342"/>
      <c r="F3482" s="1342"/>
      <c r="G3482" s="1342"/>
      <c r="H3482" s="1342"/>
      <c r="I3482" s="1342"/>
      <c r="J3482" s="1342"/>
      <c r="K3482" s="1342"/>
    </row>
    <row r="3483" spans="2:11" ht="14" hidden="1">
      <c r="B3483" s="1342"/>
      <c r="C3483" s="1342"/>
      <c r="D3483" s="1342"/>
      <c r="E3483" s="1342"/>
      <c r="F3483" s="1342"/>
      <c r="G3483" s="1342"/>
      <c r="H3483" s="1342"/>
      <c r="I3483" s="1342"/>
      <c r="J3483" s="1342"/>
      <c r="K3483" s="1342"/>
    </row>
    <row r="3484" spans="2:11" ht="14" hidden="1">
      <c r="B3484" s="1342"/>
      <c r="C3484" s="1342"/>
      <c r="D3484" s="1342"/>
      <c r="E3484" s="1342"/>
      <c r="F3484" s="1342"/>
      <c r="G3484" s="1342"/>
      <c r="H3484" s="1342"/>
      <c r="I3484" s="1342"/>
      <c r="J3484" s="1342"/>
      <c r="K3484" s="1342"/>
    </row>
    <row r="3485" spans="2:11" ht="14" hidden="1">
      <c r="B3485" s="1342"/>
      <c r="C3485" s="1342"/>
      <c r="D3485" s="1342"/>
      <c r="E3485" s="1342"/>
      <c r="F3485" s="1342"/>
      <c r="G3485" s="1342"/>
      <c r="H3485" s="1342"/>
      <c r="I3485" s="1342"/>
      <c r="J3485" s="1342"/>
      <c r="K3485" s="1342"/>
    </row>
    <row r="3486" spans="2:11" ht="14" hidden="1">
      <c r="B3486" s="1342"/>
      <c r="C3486" s="1342"/>
      <c r="D3486" s="1342"/>
      <c r="E3486" s="1342"/>
      <c r="F3486" s="1342"/>
      <c r="G3486" s="1342"/>
      <c r="H3486" s="1342"/>
      <c r="I3486" s="1342"/>
      <c r="J3486" s="1342"/>
      <c r="K3486" s="1342"/>
    </row>
    <row r="3487" spans="2:11" ht="14" hidden="1">
      <c r="B3487" s="1342"/>
      <c r="C3487" s="1342"/>
      <c r="D3487" s="1342"/>
      <c r="E3487" s="1342"/>
      <c r="F3487" s="1342"/>
      <c r="G3487" s="1342"/>
      <c r="H3487" s="1342"/>
      <c r="I3487" s="1342"/>
      <c r="J3487" s="1342"/>
      <c r="K3487" s="1342"/>
    </row>
    <row r="3488" spans="2:11" ht="14" hidden="1">
      <c r="B3488" s="1342"/>
      <c r="C3488" s="1342"/>
      <c r="D3488" s="1342"/>
      <c r="E3488" s="1342"/>
      <c r="F3488" s="1342"/>
      <c r="G3488" s="1342"/>
      <c r="H3488" s="1342"/>
      <c r="I3488" s="1342"/>
      <c r="J3488" s="1342"/>
      <c r="K3488" s="1342"/>
    </row>
    <row r="3489" spans="2:11" ht="14" hidden="1">
      <c r="B3489" s="1342"/>
      <c r="C3489" s="1342"/>
      <c r="D3489" s="1342"/>
      <c r="E3489" s="1342"/>
      <c r="F3489" s="1342"/>
      <c r="G3489" s="1342"/>
      <c r="H3489" s="1342"/>
      <c r="I3489" s="1342"/>
      <c r="J3489" s="1342"/>
      <c r="K3489" s="1342"/>
    </row>
    <row r="3490" spans="2:11" ht="14" hidden="1">
      <c r="B3490" s="1342"/>
      <c r="C3490" s="1342"/>
      <c r="D3490" s="1342"/>
      <c r="E3490" s="1342"/>
      <c r="F3490" s="1342"/>
      <c r="G3490" s="1342"/>
      <c r="H3490" s="1342"/>
      <c r="I3490" s="1342"/>
      <c r="J3490" s="1342"/>
      <c r="K3490" s="1342"/>
    </row>
    <row r="3491" spans="2:11" ht="14" hidden="1">
      <c r="B3491" s="1342"/>
      <c r="C3491" s="1342"/>
      <c r="D3491" s="1342"/>
      <c r="E3491" s="1342"/>
      <c r="F3491" s="1342"/>
      <c r="G3491" s="1342"/>
      <c r="H3491" s="1342"/>
      <c r="I3491" s="1342"/>
      <c r="J3491" s="1342"/>
      <c r="K3491" s="1342"/>
    </row>
    <row r="3492" spans="2:11" ht="14" hidden="1">
      <c r="B3492" s="1342"/>
      <c r="C3492" s="1342"/>
      <c r="D3492" s="1342"/>
      <c r="E3492" s="1342"/>
      <c r="F3492" s="1342"/>
      <c r="G3492" s="1342"/>
      <c r="H3492" s="1342"/>
      <c r="I3492" s="1342"/>
      <c r="J3492" s="1342"/>
      <c r="K3492" s="1342"/>
    </row>
    <row r="3493" spans="2:11" ht="14" hidden="1">
      <c r="B3493" s="1342"/>
      <c r="C3493" s="1342"/>
      <c r="D3493" s="1342"/>
      <c r="E3493" s="1342"/>
      <c r="F3493" s="1342"/>
      <c r="G3493" s="1342"/>
      <c r="H3493" s="1342"/>
      <c r="I3493" s="1342"/>
      <c r="J3493" s="1342"/>
      <c r="K3493" s="1342"/>
    </row>
    <row r="3494" spans="2:11" ht="14" hidden="1">
      <c r="B3494" s="1342"/>
      <c r="C3494" s="1342"/>
      <c r="D3494" s="1342"/>
      <c r="E3494" s="1342"/>
      <c r="F3494" s="1342"/>
      <c r="G3494" s="1342"/>
      <c r="H3494" s="1342"/>
      <c r="I3494" s="1342"/>
      <c r="J3494" s="1342"/>
      <c r="K3494" s="1342"/>
    </row>
    <row r="3495" spans="2:11" ht="14" hidden="1">
      <c r="B3495" s="1342"/>
      <c r="C3495" s="1342"/>
      <c r="D3495" s="1342"/>
      <c r="E3495" s="1342"/>
      <c r="F3495" s="1342"/>
      <c r="G3495" s="1342"/>
      <c r="H3495" s="1342"/>
      <c r="I3495" s="1342"/>
      <c r="J3495" s="1342"/>
      <c r="K3495" s="1342"/>
    </row>
    <row r="3496" spans="2:11" ht="14" hidden="1">
      <c r="B3496" s="1342"/>
      <c r="C3496" s="1342"/>
      <c r="D3496" s="1342"/>
      <c r="E3496" s="1342"/>
      <c r="F3496" s="1342"/>
      <c r="G3496" s="1342"/>
      <c r="H3496" s="1342"/>
      <c r="I3496" s="1342"/>
      <c r="J3496" s="1342"/>
      <c r="K3496" s="1342"/>
    </row>
    <row r="3497" spans="2:11" ht="14" hidden="1">
      <c r="B3497" s="1342"/>
      <c r="C3497" s="1342"/>
      <c r="D3497" s="1342"/>
      <c r="E3497" s="1342"/>
      <c r="F3497" s="1342"/>
      <c r="G3497" s="1342"/>
      <c r="H3497" s="1342"/>
      <c r="I3497" s="1342"/>
      <c r="J3497" s="1342"/>
      <c r="K3497" s="1342"/>
    </row>
    <row r="3498" spans="2:11" ht="14" hidden="1">
      <c r="B3498" s="1342"/>
      <c r="C3498" s="1342"/>
      <c r="D3498" s="1342"/>
      <c r="E3498" s="1342"/>
      <c r="F3498" s="1342"/>
      <c r="G3498" s="1342"/>
      <c r="H3498" s="1342"/>
      <c r="I3498" s="1342"/>
      <c r="J3498" s="1342"/>
      <c r="K3498" s="1342"/>
    </row>
    <row r="3499" spans="2:11" ht="14" hidden="1">
      <c r="B3499" s="1342"/>
      <c r="C3499" s="1342"/>
      <c r="D3499" s="1342"/>
      <c r="E3499" s="1342"/>
      <c r="F3499" s="1342"/>
      <c r="G3499" s="1342"/>
      <c r="H3499" s="1342"/>
      <c r="I3499" s="1342"/>
      <c r="J3499" s="1342"/>
      <c r="K3499" s="1342"/>
    </row>
    <row r="3500" spans="2:11" ht="14" hidden="1">
      <c r="B3500" s="1342"/>
      <c r="C3500" s="1342"/>
      <c r="D3500" s="1342"/>
      <c r="E3500" s="1342"/>
      <c r="F3500" s="1342"/>
      <c r="G3500" s="1342"/>
      <c r="H3500" s="1342"/>
      <c r="I3500" s="1342"/>
      <c r="J3500" s="1342"/>
      <c r="K3500" s="1342"/>
    </row>
    <row r="3501" spans="2:11" ht="14" hidden="1">
      <c r="B3501" s="1342"/>
      <c r="C3501" s="1342"/>
      <c r="D3501" s="1342"/>
      <c r="E3501" s="1342"/>
      <c r="F3501" s="1342"/>
      <c r="G3501" s="1342"/>
      <c r="H3501" s="1342"/>
      <c r="I3501" s="1342"/>
      <c r="J3501" s="1342"/>
      <c r="K3501" s="1342"/>
    </row>
    <row r="3502" spans="2:11" ht="14" hidden="1">
      <c r="B3502" s="1342"/>
      <c r="C3502" s="1342"/>
      <c r="D3502" s="1342"/>
      <c r="E3502" s="1342"/>
      <c r="F3502" s="1342"/>
      <c r="G3502" s="1342"/>
      <c r="H3502" s="1342"/>
      <c r="I3502" s="1342"/>
      <c r="J3502" s="1342"/>
      <c r="K3502" s="1342"/>
    </row>
    <row r="3503" spans="2:11" ht="14" hidden="1">
      <c r="B3503" s="1342"/>
      <c r="C3503" s="1342"/>
      <c r="D3503" s="1342"/>
      <c r="E3503" s="1342"/>
      <c r="F3503" s="1342"/>
      <c r="G3503" s="1342"/>
      <c r="H3503" s="1342"/>
      <c r="I3503" s="1342"/>
      <c r="J3503" s="1342"/>
      <c r="K3503" s="1342"/>
    </row>
    <row r="3504" spans="2:11" ht="14" hidden="1">
      <c r="B3504" s="1342"/>
      <c r="C3504" s="1342"/>
      <c r="D3504" s="1342"/>
      <c r="E3504" s="1342"/>
      <c r="F3504" s="1342"/>
      <c r="G3504" s="1342"/>
      <c r="H3504" s="1342"/>
      <c r="I3504" s="1342"/>
      <c r="J3504" s="1342"/>
      <c r="K3504" s="1342"/>
    </row>
    <row r="3505" spans="2:11" ht="14" hidden="1">
      <c r="B3505" s="1342"/>
      <c r="C3505" s="1342"/>
      <c r="D3505" s="1342"/>
      <c r="E3505" s="1342"/>
      <c r="F3505" s="1342"/>
      <c r="G3505" s="1342"/>
      <c r="H3505" s="1342"/>
      <c r="I3505" s="1342"/>
      <c r="J3505" s="1342"/>
      <c r="K3505" s="1342"/>
    </row>
    <row r="3506" spans="2:11" ht="14" hidden="1">
      <c r="B3506" s="1342"/>
      <c r="C3506" s="1342"/>
      <c r="D3506" s="1342"/>
      <c r="E3506" s="1342"/>
      <c r="F3506" s="1342"/>
      <c r="G3506" s="1342"/>
      <c r="H3506" s="1342"/>
      <c r="I3506" s="1342"/>
      <c r="J3506" s="1342"/>
      <c r="K3506" s="1342"/>
    </row>
    <row r="3507" spans="2:11" ht="14" hidden="1">
      <c r="B3507" s="1342"/>
      <c r="C3507" s="1342"/>
      <c r="D3507" s="1342"/>
      <c r="E3507" s="1342"/>
      <c r="F3507" s="1342"/>
      <c r="G3507" s="1342"/>
      <c r="H3507" s="1342"/>
      <c r="I3507" s="1342"/>
      <c r="J3507" s="1342"/>
      <c r="K3507" s="1342"/>
    </row>
    <row r="3508" spans="2:11" ht="14" hidden="1">
      <c r="B3508" s="1342"/>
      <c r="C3508" s="1342"/>
      <c r="D3508" s="1342"/>
      <c r="E3508" s="1342"/>
      <c r="F3508" s="1342"/>
      <c r="G3508" s="1342"/>
      <c r="H3508" s="1342"/>
      <c r="I3508" s="1342"/>
      <c r="J3508" s="1342"/>
      <c r="K3508" s="1342"/>
    </row>
    <row r="3509" spans="2:11" ht="14" hidden="1">
      <c r="B3509" s="1342"/>
      <c r="C3509" s="1342"/>
      <c r="D3509" s="1342"/>
      <c r="E3509" s="1342"/>
      <c r="F3509" s="1342"/>
      <c r="G3509" s="1342"/>
      <c r="H3509" s="1342"/>
      <c r="I3509" s="1342"/>
      <c r="J3509" s="1342"/>
      <c r="K3509" s="1342"/>
    </row>
    <row r="3510" spans="2:11" ht="14" hidden="1">
      <c r="B3510" s="1342"/>
      <c r="C3510" s="1342"/>
      <c r="D3510" s="1342"/>
      <c r="E3510" s="1342"/>
      <c r="F3510" s="1342"/>
      <c r="G3510" s="1342"/>
      <c r="H3510" s="1342"/>
      <c r="I3510" s="1342"/>
      <c r="J3510" s="1342"/>
      <c r="K3510" s="1342"/>
    </row>
    <row r="3511" spans="2:11" ht="14" hidden="1">
      <c r="B3511" s="1342"/>
      <c r="C3511" s="1342"/>
      <c r="D3511" s="1342"/>
      <c r="E3511" s="1342"/>
      <c r="F3511" s="1342"/>
      <c r="G3511" s="1342"/>
      <c r="H3511" s="1342"/>
      <c r="I3511" s="1342"/>
      <c r="J3511" s="1342"/>
      <c r="K3511" s="1342"/>
    </row>
    <row r="3512" spans="2:11" ht="14" hidden="1">
      <c r="B3512" s="1342"/>
      <c r="C3512" s="1342"/>
      <c r="D3512" s="1342"/>
      <c r="E3512" s="1342"/>
      <c r="F3512" s="1342"/>
      <c r="G3512" s="1342"/>
      <c r="H3512" s="1342"/>
      <c r="I3512" s="1342"/>
      <c r="J3512" s="1342"/>
      <c r="K3512" s="1342"/>
    </row>
    <row r="3513" spans="2:11" ht="14" hidden="1">
      <c r="B3513" s="1342"/>
      <c r="C3513" s="1342"/>
      <c r="D3513" s="1342"/>
      <c r="E3513" s="1342"/>
      <c r="F3513" s="1342"/>
      <c r="G3513" s="1342"/>
      <c r="H3513" s="1342"/>
      <c r="I3513" s="1342"/>
      <c r="J3513" s="1342"/>
      <c r="K3513" s="1342"/>
    </row>
    <row r="3514" spans="2:11" ht="14" hidden="1">
      <c r="B3514" s="1342"/>
      <c r="C3514" s="1342"/>
      <c r="D3514" s="1342"/>
      <c r="E3514" s="1342"/>
      <c r="F3514" s="1342"/>
      <c r="G3514" s="1342"/>
      <c r="H3514" s="1342"/>
      <c r="I3514" s="1342"/>
      <c r="J3514" s="1342"/>
      <c r="K3514" s="1342"/>
    </row>
    <row r="3515" spans="2:11" ht="14" hidden="1">
      <c r="B3515" s="1342"/>
      <c r="C3515" s="1342"/>
      <c r="D3515" s="1342"/>
      <c r="E3515" s="1342"/>
      <c r="F3515" s="1342"/>
      <c r="G3515" s="1342"/>
      <c r="H3515" s="1342"/>
      <c r="I3515" s="1342"/>
      <c r="J3515" s="1342"/>
      <c r="K3515" s="1342"/>
    </row>
    <row r="3516" spans="2:11" ht="14" hidden="1">
      <c r="B3516" s="1342"/>
      <c r="C3516" s="1342"/>
      <c r="D3516" s="1342"/>
      <c r="E3516" s="1342"/>
      <c r="F3516" s="1342"/>
      <c r="G3516" s="1342"/>
      <c r="H3516" s="1342"/>
      <c r="I3516" s="1342"/>
      <c r="J3516" s="1342"/>
      <c r="K3516" s="1342"/>
    </row>
    <row r="3517" spans="2:11" ht="14" hidden="1">
      <c r="B3517" s="1342"/>
      <c r="C3517" s="1342"/>
      <c r="D3517" s="1342"/>
      <c r="E3517" s="1342"/>
      <c r="F3517" s="1342"/>
      <c r="G3517" s="1342"/>
      <c r="H3517" s="1342"/>
      <c r="I3517" s="1342"/>
      <c r="J3517" s="1342"/>
      <c r="K3517" s="1342"/>
    </row>
    <row r="3518" spans="2:11" ht="14" hidden="1">
      <c r="B3518" s="1342"/>
      <c r="C3518" s="1342"/>
      <c r="D3518" s="1342"/>
      <c r="E3518" s="1342"/>
      <c r="F3518" s="1342"/>
      <c r="G3518" s="1342"/>
      <c r="H3518" s="1342"/>
      <c r="I3518" s="1342"/>
      <c r="J3518" s="1342"/>
      <c r="K3518" s="1342"/>
    </row>
    <row r="3519" spans="2:11" ht="14" hidden="1">
      <c r="B3519" s="1342"/>
      <c r="C3519" s="1342"/>
      <c r="D3519" s="1342"/>
      <c r="E3519" s="1342"/>
      <c r="F3519" s="1342"/>
      <c r="G3519" s="1342"/>
      <c r="H3519" s="1342"/>
      <c r="I3519" s="1342"/>
      <c r="J3519" s="1342"/>
      <c r="K3519" s="1342"/>
    </row>
    <row r="3520" spans="2:11" ht="14" hidden="1">
      <c r="B3520" s="1342"/>
      <c r="C3520" s="1342"/>
      <c r="D3520" s="1342"/>
      <c r="E3520" s="1342"/>
      <c r="F3520" s="1342"/>
      <c r="G3520" s="1342"/>
      <c r="H3520" s="1342"/>
      <c r="I3520" s="1342"/>
      <c r="J3520" s="1342"/>
      <c r="K3520" s="1342"/>
    </row>
    <row r="3521" spans="2:11" ht="14" hidden="1">
      <c r="B3521" s="1342"/>
      <c r="C3521" s="1342"/>
      <c r="D3521" s="1342"/>
      <c r="E3521" s="1342"/>
      <c r="F3521" s="1342"/>
      <c r="G3521" s="1342"/>
      <c r="H3521" s="1342"/>
      <c r="I3521" s="1342"/>
      <c r="J3521" s="1342"/>
      <c r="K3521" s="1342"/>
    </row>
    <row r="3522" spans="2:11" ht="14" hidden="1">
      <c r="B3522" s="1342"/>
      <c r="C3522" s="1342"/>
      <c r="D3522" s="1342"/>
      <c r="E3522" s="1342"/>
      <c r="F3522" s="1342"/>
      <c r="G3522" s="1342"/>
      <c r="H3522" s="1342"/>
      <c r="I3522" s="1342"/>
      <c r="J3522" s="1342"/>
      <c r="K3522" s="1342"/>
    </row>
    <row r="3523" spans="2:11" ht="14" hidden="1">
      <c r="B3523" s="1342"/>
      <c r="C3523" s="1342"/>
      <c r="D3523" s="1342"/>
      <c r="E3523" s="1342"/>
      <c r="F3523" s="1342"/>
      <c r="G3523" s="1342"/>
      <c r="H3523" s="1342"/>
      <c r="I3523" s="1342"/>
      <c r="J3523" s="1342"/>
      <c r="K3523" s="1342"/>
    </row>
    <row r="3524" spans="2:11" ht="14" hidden="1">
      <c r="B3524" s="1342"/>
      <c r="C3524" s="1342"/>
      <c r="D3524" s="1342"/>
      <c r="E3524" s="1342"/>
      <c r="F3524" s="1342"/>
      <c r="G3524" s="1342"/>
      <c r="H3524" s="1342"/>
      <c r="I3524" s="1342"/>
      <c r="J3524" s="1342"/>
      <c r="K3524" s="1342"/>
    </row>
    <row r="3525" spans="2:11" ht="14" hidden="1">
      <c r="B3525" s="1342"/>
      <c r="C3525" s="1342"/>
      <c r="D3525" s="1342"/>
      <c r="E3525" s="1342"/>
      <c r="F3525" s="1342"/>
      <c r="G3525" s="1342"/>
      <c r="H3525" s="1342"/>
      <c r="I3525" s="1342"/>
      <c r="J3525" s="1342"/>
      <c r="K3525" s="1342"/>
    </row>
    <row r="3526" spans="2:11" ht="14" hidden="1">
      <c r="B3526" s="1342"/>
      <c r="C3526" s="1342"/>
      <c r="D3526" s="1342"/>
      <c r="E3526" s="1342"/>
      <c r="F3526" s="1342"/>
      <c r="G3526" s="1342"/>
      <c r="H3526" s="1342"/>
      <c r="I3526" s="1342"/>
      <c r="J3526" s="1342"/>
      <c r="K3526" s="1342"/>
    </row>
    <row r="3527" spans="2:11" ht="14" hidden="1">
      <c r="B3527" s="1342"/>
      <c r="C3527" s="1342"/>
      <c r="D3527" s="1342"/>
      <c r="E3527" s="1342"/>
      <c r="F3527" s="1342"/>
      <c r="G3527" s="1342"/>
      <c r="H3527" s="1342"/>
      <c r="I3527" s="1342"/>
      <c r="J3527" s="1342"/>
      <c r="K3527" s="1342"/>
    </row>
    <row r="3528" spans="2:11" ht="14" hidden="1">
      <c r="B3528" s="1342"/>
      <c r="C3528" s="1342"/>
      <c r="D3528" s="1342"/>
      <c r="E3528" s="1342"/>
      <c r="F3528" s="1342"/>
      <c r="G3528" s="1342"/>
      <c r="H3528" s="1342"/>
      <c r="I3528" s="1342"/>
      <c r="J3528" s="1342"/>
      <c r="K3528" s="1342"/>
    </row>
    <row r="3529" spans="2:11" ht="14" hidden="1">
      <c r="B3529" s="1342"/>
      <c r="C3529" s="1342"/>
      <c r="D3529" s="1342"/>
      <c r="E3529" s="1342"/>
      <c r="F3529" s="1342"/>
      <c r="G3529" s="1342"/>
      <c r="H3529" s="1342"/>
      <c r="I3529" s="1342"/>
      <c r="J3529" s="1342"/>
      <c r="K3529" s="1342"/>
    </row>
    <row r="3530" spans="2:11" ht="14" hidden="1">
      <c r="B3530" s="1342"/>
      <c r="C3530" s="1342"/>
      <c r="D3530" s="1342"/>
      <c r="E3530" s="1342"/>
      <c r="F3530" s="1342"/>
      <c r="G3530" s="1342"/>
      <c r="H3530" s="1342"/>
      <c r="I3530" s="1342"/>
      <c r="J3530" s="1342"/>
      <c r="K3530" s="1342"/>
    </row>
    <row r="3531" spans="2:11" ht="14" hidden="1">
      <c r="B3531" s="1342"/>
      <c r="C3531" s="1342"/>
      <c r="D3531" s="1342"/>
      <c r="E3531" s="1342"/>
      <c r="F3531" s="1342"/>
      <c r="G3531" s="1342"/>
      <c r="H3531" s="1342"/>
      <c r="I3531" s="1342"/>
      <c r="J3531" s="1342"/>
      <c r="K3531" s="1342"/>
    </row>
    <row r="3532" spans="2:11" ht="14" hidden="1">
      <c r="B3532" s="1342"/>
      <c r="C3532" s="1342"/>
      <c r="D3532" s="1342"/>
      <c r="E3532" s="1342"/>
      <c r="F3532" s="1342"/>
      <c r="G3532" s="1342"/>
      <c r="H3532" s="1342"/>
      <c r="I3532" s="1342"/>
      <c r="J3532" s="1342"/>
      <c r="K3532" s="1342"/>
    </row>
    <row r="3533" spans="2:11" ht="14" hidden="1">
      <c r="B3533" s="1342"/>
      <c r="C3533" s="1342"/>
      <c r="D3533" s="1342"/>
      <c r="E3533" s="1342"/>
      <c r="F3533" s="1342"/>
      <c r="G3533" s="1342"/>
      <c r="H3533" s="1342"/>
      <c r="I3533" s="1342"/>
      <c r="J3533" s="1342"/>
      <c r="K3533" s="1342"/>
    </row>
    <row r="3534" spans="2:11" ht="14" hidden="1">
      <c r="B3534" s="1342"/>
      <c r="C3534" s="1342"/>
      <c r="D3534" s="1342"/>
      <c r="E3534" s="1342"/>
      <c r="F3534" s="1342"/>
      <c r="G3534" s="1342"/>
      <c r="H3534" s="1342"/>
      <c r="I3534" s="1342"/>
      <c r="J3534" s="1342"/>
      <c r="K3534" s="1342"/>
    </row>
    <row r="3535" spans="2:11" ht="14" hidden="1">
      <c r="B3535" s="1342"/>
      <c r="C3535" s="1342"/>
      <c r="D3535" s="1342"/>
      <c r="E3535" s="1342"/>
      <c r="F3535" s="1342"/>
      <c r="G3535" s="1342"/>
      <c r="H3535" s="1342"/>
      <c r="I3535" s="1342"/>
      <c r="J3535" s="1342"/>
      <c r="K3535" s="1342"/>
    </row>
    <row r="3536" spans="2:11" ht="14" hidden="1">
      <c r="B3536" s="1342"/>
      <c r="C3536" s="1342"/>
      <c r="D3536" s="1342"/>
      <c r="E3536" s="1342"/>
      <c r="F3536" s="1342"/>
      <c r="G3536" s="1342"/>
      <c r="H3536" s="1342"/>
      <c r="I3536" s="1342"/>
      <c r="J3536" s="1342"/>
      <c r="K3536" s="1342"/>
    </row>
    <row r="3537" spans="2:11" ht="14" hidden="1">
      <c r="B3537" s="1342"/>
      <c r="C3537" s="1342"/>
      <c r="D3537" s="1342"/>
      <c r="E3537" s="1342"/>
      <c r="F3537" s="1342"/>
      <c r="G3537" s="1342"/>
      <c r="H3537" s="1342"/>
      <c r="I3537" s="1342"/>
      <c r="J3537" s="1342"/>
      <c r="K3537" s="1342"/>
    </row>
    <row r="3538" spans="2:11" ht="14" hidden="1">
      <c r="B3538" s="1342"/>
      <c r="C3538" s="1342"/>
      <c r="D3538" s="1342"/>
      <c r="E3538" s="1342"/>
      <c r="F3538" s="1342"/>
      <c r="G3538" s="1342"/>
      <c r="H3538" s="1342"/>
      <c r="I3538" s="1342"/>
      <c r="J3538" s="1342"/>
      <c r="K3538" s="1342"/>
    </row>
    <row r="3539" spans="2:11" ht="14" hidden="1">
      <c r="B3539" s="1342"/>
      <c r="C3539" s="1342"/>
      <c r="D3539" s="1342"/>
      <c r="E3539" s="1342"/>
      <c r="F3539" s="1342"/>
      <c r="G3539" s="1342"/>
      <c r="H3539" s="1342"/>
      <c r="I3539" s="1342"/>
      <c r="J3539" s="1342"/>
      <c r="K3539" s="1342"/>
    </row>
    <row r="3540" spans="2:11" ht="14" hidden="1">
      <c r="B3540" s="1342"/>
      <c r="C3540" s="1342"/>
      <c r="D3540" s="1342"/>
      <c r="E3540" s="1342"/>
      <c r="F3540" s="1342"/>
      <c r="G3540" s="1342"/>
      <c r="H3540" s="1342"/>
      <c r="I3540" s="1342"/>
      <c r="J3540" s="1342"/>
      <c r="K3540" s="1342"/>
    </row>
    <row r="3541" spans="2:11" ht="14" hidden="1">
      <c r="B3541" s="1342"/>
      <c r="C3541" s="1342"/>
      <c r="D3541" s="1342"/>
      <c r="E3541" s="1342"/>
      <c r="F3541" s="1342"/>
      <c r="G3541" s="1342"/>
      <c r="H3541" s="1342"/>
      <c r="I3541" s="1342"/>
      <c r="J3541" s="1342"/>
      <c r="K3541" s="1342"/>
    </row>
    <row r="3542" spans="2:11" ht="14" hidden="1">
      <c r="B3542" s="1342"/>
      <c r="C3542" s="1342"/>
      <c r="D3542" s="1342"/>
      <c r="E3542" s="1342"/>
      <c r="F3542" s="1342"/>
      <c r="G3542" s="1342"/>
      <c r="H3542" s="1342"/>
      <c r="I3542" s="1342"/>
      <c r="J3542" s="1342"/>
      <c r="K3542" s="1342"/>
    </row>
    <row r="3543" spans="2:11" ht="14" hidden="1">
      <c r="B3543" s="1342"/>
      <c r="C3543" s="1342"/>
      <c r="D3543" s="1342"/>
      <c r="E3543" s="1342"/>
      <c r="F3543" s="1342"/>
      <c r="G3543" s="1342"/>
      <c r="H3543" s="1342"/>
      <c r="I3543" s="1342"/>
      <c r="J3543" s="1342"/>
      <c r="K3543" s="1342"/>
    </row>
    <row r="3544" spans="2:11" ht="14" hidden="1">
      <c r="B3544" s="1342"/>
      <c r="C3544" s="1342"/>
      <c r="D3544" s="1342"/>
      <c r="E3544" s="1342"/>
      <c r="F3544" s="1342"/>
      <c r="G3544" s="1342"/>
      <c r="H3544" s="1342"/>
      <c r="I3544" s="1342"/>
      <c r="J3544" s="1342"/>
      <c r="K3544" s="1342"/>
    </row>
    <row r="3545" spans="2:11" ht="14" hidden="1">
      <c r="B3545" s="1342"/>
      <c r="C3545" s="1342"/>
      <c r="D3545" s="1342"/>
      <c r="E3545" s="1342"/>
      <c r="F3545" s="1342"/>
      <c r="G3545" s="1342"/>
      <c r="H3545" s="1342"/>
      <c r="I3545" s="1342"/>
      <c r="J3545" s="1342"/>
      <c r="K3545" s="1342"/>
    </row>
    <row r="3546" spans="2:11" ht="14" hidden="1">
      <c r="B3546" s="1342"/>
      <c r="C3546" s="1342"/>
      <c r="D3546" s="1342"/>
      <c r="E3546" s="1342"/>
      <c r="F3546" s="1342"/>
      <c r="G3546" s="1342"/>
      <c r="H3546" s="1342"/>
      <c r="I3546" s="1342"/>
      <c r="J3546" s="1342"/>
      <c r="K3546" s="1342"/>
    </row>
    <row r="3547" spans="2:11" ht="14" hidden="1">
      <c r="B3547" s="1342"/>
      <c r="C3547" s="1342"/>
      <c r="D3547" s="1342"/>
      <c r="E3547" s="1342"/>
      <c r="F3547" s="1342"/>
      <c r="G3547" s="1342"/>
      <c r="H3547" s="1342"/>
      <c r="I3547" s="1342"/>
      <c r="J3547" s="1342"/>
      <c r="K3547" s="1342"/>
    </row>
    <row r="3548" spans="2:11" ht="14" hidden="1">
      <c r="B3548" s="1342"/>
      <c r="C3548" s="1342"/>
      <c r="D3548" s="1342"/>
      <c r="E3548" s="1342"/>
      <c r="F3548" s="1342"/>
      <c r="G3548" s="1342"/>
      <c r="H3548" s="1342"/>
      <c r="I3548" s="1342"/>
      <c r="J3548" s="1342"/>
      <c r="K3548" s="1342"/>
    </row>
    <row r="3549" spans="2:11" ht="14" hidden="1">
      <c r="B3549" s="1342"/>
      <c r="C3549" s="1342"/>
      <c r="D3549" s="1342"/>
      <c r="E3549" s="1342"/>
      <c r="F3549" s="1342"/>
      <c r="G3549" s="1342"/>
      <c r="H3549" s="1342"/>
      <c r="I3549" s="1342"/>
      <c r="J3549" s="1342"/>
      <c r="K3549" s="1342"/>
    </row>
    <row r="3550" spans="2:11" ht="14" hidden="1">
      <c r="B3550" s="1342"/>
      <c r="C3550" s="1342"/>
      <c r="D3550" s="1342"/>
      <c r="E3550" s="1342"/>
      <c r="F3550" s="1342"/>
      <c r="G3550" s="1342"/>
      <c r="H3550" s="1342"/>
      <c r="I3550" s="1342"/>
      <c r="J3550" s="1342"/>
      <c r="K3550" s="1342"/>
    </row>
    <row r="3551" spans="2:11" ht="14" hidden="1">
      <c r="B3551" s="1342"/>
      <c r="C3551" s="1342"/>
      <c r="D3551" s="1342"/>
      <c r="E3551" s="1342"/>
      <c r="F3551" s="1342"/>
      <c r="G3551" s="1342"/>
      <c r="H3551" s="1342"/>
      <c r="I3551" s="1342"/>
      <c r="J3551" s="1342"/>
      <c r="K3551" s="1342"/>
    </row>
    <row r="3552" spans="2:11" ht="14" hidden="1">
      <c r="B3552" s="1342"/>
      <c r="C3552" s="1342"/>
      <c r="D3552" s="1342"/>
      <c r="E3552" s="1342"/>
      <c r="F3552" s="1342"/>
      <c r="G3552" s="1342"/>
      <c r="H3552" s="1342"/>
      <c r="I3552" s="1342"/>
      <c r="J3552" s="1342"/>
      <c r="K3552" s="1342"/>
    </row>
    <row r="3553" spans="2:11" ht="14" hidden="1">
      <c r="B3553" s="1342"/>
      <c r="C3553" s="1342"/>
      <c r="D3553" s="1342"/>
      <c r="E3553" s="1342"/>
      <c r="F3553" s="1342"/>
      <c r="G3553" s="1342"/>
      <c r="H3553" s="1342"/>
      <c r="I3553" s="1342"/>
      <c r="J3553" s="1342"/>
      <c r="K3553" s="1342"/>
    </row>
    <row r="3554" spans="2:11" ht="14" hidden="1">
      <c r="B3554" s="1342"/>
      <c r="C3554" s="1342"/>
      <c r="D3554" s="1342"/>
      <c r="E3554" s="1342"/>
      <c r="F3554" s="1342"/>
      <c r="G3554" s="1342"/>
      <c r="H3554" s="1342"/>
      <c r="I3554" s="1342"/>
      <c r="J3554" s="1342"/>
      <c r="K3554" s="1342"/>
    </row>
    <row r="3555" spans="2:11" ht="14" hidden="1">
      <c r="B3555" s="1342"/>
      <c r="C3555" s="1342"/>
      <c r="D3555" s="1342"/>
      <c r="E3555" s="1342"/>
      <c r="F3555" s="1342"/>
      <c r="G3555" s="1342"/>
      <c r="H3555" s="1342"/>
      <c r="I3555" s="1342"/>
      <c r="J3555" s="1342"/>
      <c r="K3555" s="1342"/>
    </row>
    <row r="3556" spans="2:11" ht="14" hidden="1">
      <c r="B3556" s="1342"/>
      <c r="C3556" s="1342"/>
      <c r="D3556" s="1342"/>
      <c r="E3556" s="1342"/>
      <c r="F3556" s="1342"/>
      <c r="G3556" s="1342"/>
      <c r="H3556" s="1342"/>
      <c r="I3556" s="1342"/>
      <c r="J3556" s="1342"/>
      <c r="K3556" s="1342"/>
    </row>
    <row r="3557" spans="2:11" ht="14" hidden="1">
      <c r="B3557" s="1342"/>
      <c r="C3557" s="1342"/>
      <c r="D3557" s="1342"/>
      <c r="E3557" s="1342"/>
      <c r="F3557" s="1342"/>
      <c r="G3557" s="1342"/>
      <c r="H3557" s="1342"/>
      <c r="I3557" s="1342"/>
      <c r="J3557" s="1342"/>
      <c r="K3557" s="1342"/>
    </row>
    <row r="3558" spans="2:11" ht="14" hidden="1">
      <c r="B3558" s="1342"/>
      <c r="C3558" s="1342"/>
      <c r="D3558" s="1342"/>
      <c r="E3558" s="1342"/>
      <c r="F3558" s="1342"/>
      <c r="G3558" s="1342"/>
      <c r="H3558" s="1342"/>
      <c r="I3558" s="1342"/>
      <c r="J3558" s="1342"/>
      <c r="K3558" s="1342"/>
    </row>
    <row r="3559" spans="2:11" ht="14" hidden="1">
      <c r="B3559" s="1342"/>
      <c r="C3559" s="1342"/>
      <c r="D3559" s="1342"/>
      <c r="E3559" s="1342"/>
      <c r="F3559" s="1342"/>
      <c r="G3559" s="1342"/>
      <c r="H3559" s="1342"/>
      <c r="I3559" s="1342"/>
      <c r="J3559" s="1342"/>
      <c r="K3559" s="1342"/>
    </row>
    <row r="3560" spans="2:11" ht="14" hidden="1">
      <c r="B3560" s="1342"/>
      <c r="C3560" s="1342"/>
      <c r="D3560" s="1342"/>
      <c r="E3560" s="1342"/>
      <c r="F3560" s="1342"/>
      <c r="G3560" s="1342"/>
      <c r="H3560" s="1342"/>
      <c r="I3560" s="1342"/>
      <c r="J3560" s="1342"/>
      <c r="K3560" s="1342"/>
    </row>
    <row r="3561" spans="2:11" ht="14" hidden="1">
      <c r="B3561" s="1342"/>
      <c r="C3561" s="1342"/>
      <c r="D3561" s="1342"/>
      <c r="E3561" s="1342"/>
      <c r="F3561" s="1342"/>
      <c r="G3561" s="1342"/>
      <c r="H3561" s="1342"/>
      <c r="I3561" s="1342"/>
      <c r="J3561" s="1342"/>
      <c r="K3561" s="1342"/>
    </row>
    <row r="3562" spans="2:11" ht="14" hidden="1">
      <c r="B3562" s="1342"/>
      <c r="C3562" s="1342"/>
      <c r="D3562" s="1342"/>
      <c r="E3562" s="1342"/>
      <c r="F3562" s="1342"/>
      <c r="G3562" s="1342"/>
      <c r="H3562" s="1342"/>
      <c r="I3562" s="1342"/>
      <c r="J3562" s="1342"/>
      <c r="K3562" s="1342"/>
    </row>
    <row r="3563" spans="2:11" ht="14" hidden="1">
      <c r="B3563" s="1342"/>
      <c r="C3563" s="1342"/>
      <c r="D3563" s="1342"/>
      <c r="E3563" s="1342"/>
      <c r="F3563" s="1342"/>
      <c r="G3563" s="1342"/>
      <c r="H3563" s="1342"/>
      <c r="I3563" s="1342"/>
      <c r="J3563" s="1342"/>
      <c r="K3563" s="1342"/>
    </row>
    <row r="3564" spans="2:11" ht="14" hidden="1">
      <c r="B3564" s="1342"/>
      <c r="C3564" s="1342"/>
      <c r="D3564" s="1342"/>
      <c r="E3564" s="1342"/>
      <c r="F3564" s="1342"/>
      <c r="G3564" s="1342"/>
      <c r="H3564" s="1342"/>
      <c r="I3564" s="1342"/>
      <c r="J3564" s="1342"/>
      <c r="K3564" s="1342"/>
    </row>
    <row r="3565" spans="2:11" ht="14" hidden="1">
      <c r="B3565" s="1342"/>
      <c r="C3565" s="1342"/>
      <c r="D3565" s="1342"/>
      <c r="E3565" s="1342"/>
      <c r="F3565" s="1342"/>
      <c r="G3565" s="1342"/>
      <c r="H3565" s="1342"/>
      <c r="I3565" s="1342"/>
      <c r="J3565" s="1342"/>
      <c r="K3565" s="1342"/>
    </row>
    <row r="3566" spans="2:11" ht="14" hidden="1">
      <c r="B3566" s="1342"/>
      <c r="C3566" s="1342"/>
      <c r="D3566" s="1342"/>
      <c r="E3566" s="1342"/>
      <c r="F3566" s="1342"/>
      <c r="G3566" s="1342"/>
      <c r="H3566" s="1342"/>
      <c r="I3566" s="1342"/>
      <c r="J3566" s="1342"/>
      <c r="K3566" s="1342"/>
    </row>
    <row r="3567" spans="2:11" ht="14" hidden="1">
      <c r="B3567" s="1342"/>
      <c r="C3567" s="1342"/>
      <c r="D3567" s="1342"/>
      <c r="E3567" s="1342"/>
      <c r="F3567" s="1342"/>
      <c r="G3567" s="1342"/>
      <c r="H3567" s="1342"/>
      <c r="I3567" s="1342"/>
      <c r="J3567" s="1342"/>
      <c r="K3567" s="1342"/>
    </row>
    <row r="3568" spans="2:11" ht="14" hidden="1">
      <c r="B3568" s="1342"/>
      <c r="C3568" s="1342"/>
      <c r="D3568" s="1342"/>
      <c r="E3568" s="1342"/>
      <c r="F3568" s="1342"/>
      <c r="G3568" s="1342"/>
      <c r="H3568" s="1342"/>
      <c r="I3568" s="1342"/>
      <c r="J3568" s="1342"/>
      <c r="K3568" s="1342"/>
    </row>
    <row r="3569" spans="2:11" ht="14" hidden="1">
      <c r="B3569" s="1342"/>
      <c r="C3569" s="1342"/>
      <c r="D3569" s="1342"/>
      <c r="E3569" s="1342"/>
      <c r="F3569" s="1342"/>
      <c r="G3569" s="1342"/>
      <c r="H3569" s="1342"/>
      <c r="I3569" s="1342"/>
      <c r="J3569" s="1342"/>
      <c r="K3569" s="1342"/>
    </row>
    <row r="3570" spans="2:11" ht="14" hidden="1">
      <c r="B3570" s="1342"/>
      <c r="C3570" s="1342"/>
      <c r="D3570" s="1342"/>
      <c r="E3570" s="1342"/>
      <c r="F3570" s="1342"/>
      <c r="G3570" s="1342"/>
      <c r="H3570" s="1342"/>
      <c r="I3570" s="1342"/>
      <c r="J3570" s="1342"/>
      <c r="K3570" s="1342"/>
    </row>
    <row r="3571" spans="2:11" ht="14" hidden="1">
      <c r="B3571" s="1342"/>
      <c r="C3571" s="1342"/>
      <c r="D3571" s="1342"/>
      <c r="E3571" s="1342"/>
      <c r="F3571" s="1342"/>
      <c r="G3571" s="1342"/>
      <c r="H3571" s="1342"/>
      <c r="I3571" s="1342"/>
      <c r="J3571" s="1342"/>
      <c r="K3571" s="1342"/>
    </row>
    <row r="3572" spans="2:11" ht="14" hidden="1">
      <c r="B3572" s="1342"/>
      <c r="C3572" s="1342"/>
      <c r="D3572" s="1342"/>
      <c r="E3572" s="1342"/>
      <c r="F3572" s="1342"/>
      <c r="G3572" s="1342"/>
      <c r="H3572" s="1342"/>
      <c r="I3572" s="1342"/>
      <c r="J3572" s="1342"/>
      <c r="K3572" s="1342"/>
    </row>
    <row r="3573" spans="2:11" ht="14" hidden="1">
      <c r="B3573" s="1342"/>
      <c r="C3573" s="1342"/>
      <c r="D3573" s="1342"/>
      <c r="E3573" s="1342"/>
      <c r="F3573" s="1342"/>
      <c r="G3573" s="1342"/>
      <c r="H3573" s="1342"/>
      <c r="I3573" s="1342"/>
      <c r="J3573" s="1342"/>
      <c r="K3573" s="1342"/>
    </row>
    <row r="3574" spans="2:11" ht="14" hidden="1">
      <c r="B3574" s="1342"/>
      <c r="C3574" s="1342"/>
      <c r="D3574" s="1342"/>
      <c r="E3574" s="1342"/>
      <c r="F3574" s="1342"/>
      <c r="G3574" s="1342"/>
      <c r="H3574" s="1342"/>
      <c r="I3574" s="1342"/>
      <c r="J3574" s="1342"/>
      <c r="K3574" s="1342"/>
    </row>
    <row r="3575" spans="2:11" ht="14" hidden="1">
      <c r="B3575" s="1342"/>
      <c r="C3575" s="1342"/>
      <c r="D3575" s="1342"/>
      <c r="E3575" s="1342"/>
      <c r="F3575" s="1342"/>
      <c r="G3575" s="1342"/>
      <c r="H3575" s="1342"/>
      <c r="I3575" s="1342"/>
      <c r="J3575" s="1342"/>
      <c r="K3575" s="1342"/>
    </row>
    <row r="3576" spans="2:11" ht="14" hidden="1">
      <c r="B3576" s="1342"/>
      <c r="C3576" s="1342"/>
      <c r="D3576" s="1342"/>
      <c r="E3576" s="1342"/>
      <c r="F3576" s="1342"/>
      <c r="G3576" s="1342"/>
      <c r="H3576" s="1342"/>
      <c r="I3576" s="1342"/>
      <c r="J3576" s="1342"/>
      <c r="K3576" s="1342"/>
    </row>
    <row r="3577" spans="2:11" ht="14" hidden="1">
      <c r="B3577" s="1342"/>
      <c r="C3577" s="1342"/>
      <c r="D3577" s="1342"/>
      <c r="E3577" s="1342"/>
      <c r="F3577" s="1342"/>
      <c r="G3577" s="1342"/>
      <c r="H3577" s="1342"/>
      <c r="I3577" s="1342"/>
      <c r="J3577" s="1342"/>
      <c r="K3577" s="1342"/>
    </row>
    <row r="3578" spans="2:11" ht="14" hidden="1">
      <c r="B3578" s="1342"/>
      <c r="C3578" s="1342"/>
      <c r="D3578" s="1342"/>
      <c r="E3578" s="1342"/>
      <c r="F3578" s="1342"/>
      <c r="G3578" s="1342"/>
      <c r="H3578" s="1342"/>
      <c r="I3578" s="1342"/>
      <c r="J3578" s="1342"/>
      <c r="K3578" s="1342"/>
    </row>
    <row r="3579" spans="2:11" ht="14" hidden="1">
      <c r="B3579" s="1342"/>
      <c r="C3579" s="1342"/>
      <c r="D3579" s="1342"/>
      <c r="E3579" s="1342"/>
      <c r="F3579" s="1342"/>
      <c r="G3579" s="1342"/>
      <c r="H3579" s="1342"/>
      <c r="I3579" s="1342"/>
      <c r="J3579" s="1342"/>
      <c r="K3579" s="1342"/>
    </row>
    <row r="3580" spans="2:11" ht="14" hidden="1">
      <c r="B3580" s="1342"/>
      <c r="C3580" s="1342"/>
      <c r="D3580" s="1342"/>
      <c r="E3580" s="1342"/>
      <c r="F3580" s="1342"/>
      <c r="G3580" s="1342"/>
      <c r="H3580" s="1342"/>
      <c r="I3580" s="1342"/>
      <c r="J3580" s="1342"/>
      <c r="K3580" s="1342"/>
    </row>
    <row r="3581" spans="2:11" ht="14" hidden="1">
      <c r="B3581" s="1342"/>
      <c r="C3581" s="1342"/>
      <c r="D3581" s="1342"/>
      <c r="E3581" s="1342"/>
      <c r="F3581" s="1342"/>
      <c r="G3581" s="1342"/>
      <c r="H3581" s="1342"/>
      <c r="I3581" s="1342"/>
      <c r="J3581" s="1342"/>
      <c r="K3581" s="1342"/>
    </row>
    <row r="3582" spans="2:11" ht="14" hidden="1">
      <c r="B3582" s="1342"/>
      <c r="C3582" s="1342"/>
      <c r="D3582" s="1342"/>
      <c r="E3582" s="1342"/>
      <c r="F3582" s="1342"/>
      <c r="G3582" s="1342"/>
      <c r="H3582" s="1342"/>
      <c r="I3582" s="1342"/>
      <c r="J3582" s="1342"/>
      <c r="K3582" s="1342"/>
    </row>
    <row r="3583" spans="2:11" ht="14" hidden="1">
      <c r="B3583" s="1342"/>
      <c r="C3583" s="1342"/>
      <c r="D3583" s="1342"/>
      <c r="E3583" s="1342"/>
      <c r="F3583" s="1342"/>
      <c r="G3583" s="1342"/>
      <c r="H3583" s="1342"/>
      <c r="I3583" s="1342"/>
      <c r="J3583" s="1342"/>
      <c r="K3583" s="1342"/>
    </row>
    <row r="3584" spans="2:11" ht="14" hidden="1">
      <c r="B3584" s="1342"/>
      <c r="C3584" s="1342"/>
      <c r="D3584" s="1342"/>
      <c r="E3584" s="1342"/>
      <c r="F3584" s="1342"/>
      <c r="G3584" s="1342"/>
      <c r="H3584" s="1342"/>
      <c r="I3584" s="1342"/>
      <c r="J3584" s="1342"/>
      <c r="K3584" s="1342"/>
    </row>
    <row r="3585" spans="2:11" ht="14" hidden="1">
      <c r="B3585" s="1342"/>
      <c r="C3585" s="1342"/>
      <c r="D3585" s="1342"/>
      <c r="E3585" s="1342"/>
      <c r="F3585" s="1342"/>
      <c r="G3585" s="1342"/>
      <c r="H3585" s="1342"/>
      <c r="I3585" s="1342"/>
      <c r="J3585" s="1342"/>
      <c r="K3585" s="1342"/>
    </row>
    <row r="3586" spans="2:11" ht="14" hidden="1">
      <c r="B3586" s="1342"/>
      <c r="C3586" s="1342"/>
      <c r="D3586" s="1342"/>
      <c r="E3586" s="1342"/>
      <c r="F3586" s="1342"/>
      <c r="G3586" s="1342"/>
      <c r="H3586" s="1342"/>
      <c r="I3586" s="1342"/>
      <c r="J3586" s="1342"/>
      <c r="K3586" s="1342"/>
    </row>
    <row r="3587" spans="2:11" ht="14" hidden="1">
      <c r="B3587" s="1342"/>
      <c r="C3587" s="1342"/>
      <c r="D3587" s="1342"/>
      <c r="E3587" s="1342"/>
      <c r="F3587" s="1342"/>
      <c r="G3587" s="1342"/>
      <c r="H3587" s="1342"/>
      <c r="I3587" s="1342"/>
      <c r="J3587" s="1342"/>
      <c r="K3587" s="1342"/>
    </row>
    <row r="3588" spans="2:11" ht="14" hidden="1">
      <c r="B3588" s="1342"/>
      <c r="C3588" s="1342"/>
      <c r="D3588" s="1342"/>
      <c r="E3588" s="1342"/>
      <c r="F3588" s="1342"/>
      <c r="G3588" s="1342"/>
      <c r="H3588" s="1342"/>
      <c r="I3588" s="1342"/>
      <c r="J3588" s="1342"/>
      <c r="K3588" s="1342"/>
    </row>
    <row r="3589" spans="2:11" ht="14" hidden="1">
      <c r="B3589" s="1342"/>
      <c r="C3589" s="1342"/>
      <c r="D3589" s="1342"/>
      <c r="E3589" s="1342"/>
      <c r="F3589" s="1342"/>
      <c r="G3589" s="1342"/>
      <c r="H3589" s="1342"/>
      <c r="I3589" s="1342"/>
      <c r="J3589" s="1342"/>
      <c r="K3589" s="1342"/>
    </row>
    <row r="3590" spans="2:11" ht="14" hidden="1">
      <c r="B3590" s="1342"/>
      <c r="C3590" s="1342"/>
      <c r="D3590" s="1342"/>
      <c r="E3590" s="1342"/>
      <c r="F3590" s="1342"/>
      <c r="G3590" s="1342"/>
      <c r="H3590" s="1342"/>
      <c r="I3590" s="1342"/>
      <c r="J3590" s="1342"/>
      <c r="K3590" s="1342"/>
    </row>
    <row r="3591" spans="2:11" ht="14" hidden="1">
      <c r="B3591" s="1342"/>
      <c r="C3591" s="1342"/>
      <c r="D3591" s="1342"/>
      <c r="E3591" s="1342"/>
      <c r="F3591" s="1342"/>
      <c r="G3591" s="1342"/>
      <c r="H3591" s="1342"/>
      <c r="I3591" s="1342"/>
      <c r="J3591" s="1342"/>
      <c r="K3591" s="1342"/>
    </row>
    <row r="3592" spans="2:11" ht="14" hidden="1">
      <c r="B3592" s="1342"/>
      <c r="C3592" s="1342"/>
      <c r="D3592" s="1342"/>
      <c r="E3592" s="1342"/>
      <c r="F3592" s="1342"/>
      <c r="G3592" s="1342"/>
      <c r="H3592" s="1342"/>
      <c r="I3592" s="1342"/>
      <c r="J3592" s="1342"/>
      <c r="K3592" s="1342"/>
    </row>
    <row r="3593" spans="2:11" ht="14" hidden="1">
      <c r="B3593" s="1342"/>
      <c r="C3593" s="1342"/>
      <c r="D3593" s="1342"/>
      <c r="E3593" s="1342"/>
      <c r="F3593" s="1342"/>
      <c r="G3593" s="1342"/>
      <c r="H3593" s="1342"/>
      <c r="I3593" s="1342"/>
      <c r="J3593" s="1342"/>
      <c r="K3593" s="1342"/>
    </row>
    <row r="3594" spans="2:11" ht="14" hidden="1">
      <c r="B3594" s="1342"/>
      <c r="C3594" s="1342"/>
      <c r="D3594" s="1342"/>
      <c r="E3594" s="1342"/>
      <c r="F3594" s="1342"/>
      <c r="G3594" s="1342"/>
      <c r="H3594" s="1342"/>
      <c r="I3594" s="1342"/>
      <c r="J3594" s="1342"/>
      <c r="K3594" s="1342"/>
    </row>
    <row r="3595" spans="2:11" ht="14" hidden="1">
      <c r="B3595" s="1342"/>
      <c r="C3595" s="1342"/>
      <c r="D3595" s="1342"/>
      <c r="E3595" s="1342"/>
      <c r="F3595" s="1342"/>
      <c r="G3595" s="1342"/>
      <c r="H3595" s="1342"/>
      <c r="I3595" s="1342"/>
      <c r="J3595" s="1342"/>
      <c r="K3595" s="1342"/>
    </row>
    <row r="3596" spans="2:11" ht="14" hidden="1">
      <c r="B3596" s="1342"/>
      <c r="C3596" s="1342"/>
      <c r="D3596" s="1342"/>
      <c r="E3596" s="1342"/>
      <c r="F3596" s="1342"/>
      <c r="G3596" s="1342"/>
      <c r="H3596" s="1342"/>
      <c r="I3596" s="1342"/>
      <c r="J3596" s="1342"/>
      <c r="K3596" s="1342"/>
    </row>
    <row r="3597" spans="2:11" ht="14" hidden="1">
      <c r="B3597" s="1342"/>
      <c r="C3597" s="1342"/>
      <c r="D3597" s="1342"/>
      <c r="E3597" s="1342"/>
      <c r="F3597" s="1342"/>
      <c r="G3597" s="1342"/>
      <c r="H3597" s="1342"/>
      <c r="I3597" s="1342"/>
      <c r="J3597" s="1342"/>
      <c r="K3597" s="1342"/>
    </row>
    <row r="3598" spans="2:11" ht="14" hidden="1">
      <c r="B3598" s="1342"/>
      <c r="C3598" s="1342"/>
      <c r="D3598" s="1342"/>
      <c r="E3598" s="1342"/>
      <c r="F3598" s="1342"/>
      <c r="G3598" s="1342"/>
      <c r="H3598" s="1342"/>
      <c r="I3598" s="1342"/>
      <c r="J3598" s="1342"/>
      <c r="K3598" s="1342"/>
    </row>
    <row r="3599" spans="2:11" ht="14" hidden="1">
      <c r="B3599" s="1342"/>
      <c r="C3599" s="1342"/>
      <c r="D3599" s="1342"/>
      <c r="E3599" s="1342"/>
      <c r="F3599" s="1342"/>
      <c r="G3599" s="1342"/>
      <c r="H3599" s="1342"/>
      <c r="I3599" s="1342"/>
      <c r="J3599" s="1342"/>
      <c r="K3599" s="1342"/>
    </row>
    <row r="3600" spans="2:11" ht="14" hidden="1">
      <c r="B3600" s="1342"/>
      <c r="C3600" s="1342"/>
      <c r="D3600" s="1342"/>
      <c r="E3600" s="1342"/>
      <c r="F3600" s="1342"/>
      <c r="G3600" s="1342"/>
      <c r="H3600" s="1342"/>
      <c r="I3600" s="1342"/>
      <c r="J3600" s="1342"/>
      <c r="K3600" s="1342"/>
    </row>
    <row r="3601" spans="2:11" ht="14" hidden="1">
      <c r="B3601" s="1342"/>
      <c r="C3601" s="1342"/>
      <c r="D3601" s="1342"/>
      <c r="E3601" s="1342"/>
      <c r="F3601" s="1342"/>
      <c r="G3601" s="1342"/>
      <c r="H3601" s="1342"/>
      <c r="I3601" s="1342"/>
      <c r="J3601" s="1342"/>
      <c r="K3601" s="1342"/>
    </row>
    <row r="3602" spans="2:11" ht="14" hidden="1">
      <c r="B3602" s="1342"/>
      <c r="C3602" s="1342"/>
      <c r="D3602" s="1342"/>
      <c r="E3602" s="1342"/>
      <c r="F3602" s="1342"/>
      <c r="G3602" s="1342"/>
      <c r="H3602" s="1342"/>
      <c r="I3602" s="1342"/>
      <c r="J3602" s="1342"/>
      <c r="K3602" s="1342"/>
    </row>
    <row r="3603" spans="2:11" ht="14" hidden="1">
      <c r="B3603" s="1342"/>
      <c r="C3603" s="1342"/>
      <c r="D3603" s="1342"/>
      <c r="E3603" s="1342"/>
      <c r="F3603" s="1342"/>
      <c r="G3603" s="1342"/>
      <c r="H3603" s="1342"/>
      <c r="I3603" s="1342"/>
      <c r="J3603" s="1342"/>
      <c r="K3603" s="1342"/>
    </row>
    <row r="3604" spans="2:11" ht="14" hidden="1">
      <c r="B3604" s="1342"/>
      <c r="C3604" s="1342"/>
      <c r="D3604" s="1342"/>
      <c r="E3604" s="1342"/>
      <c r="F3604" s="1342"/>
      <c r="G3604" s="1342"/>
      <c r="H3604" s="1342"/>
      <c r="I3604" s="1342"/>
      <c r="J3604" s="1342"/>
      <c r="K3604" s="1342"/>
    </row>
    <row r="3605" spans="2:11" ht="14" hidden="1">
      <c r="B3605" s="1342"/>
      <c r="C3605" s="1342"/>
      <c r="D3605" s="1342"/>
      <c r="E3605" s="1342"/>
      <c r="F3605" s="1342"/>
      <c r="G3605" s="1342"/>
      <c r="H3605" s="1342"/>
      <c r="I3605" s="1342"/>
      <c r="J3605" s="1342"/>
      <c r="K3605" s="1342"/>
    </row>
    <row r="3606" spans="2:11" ht="14" hidden="1">
      <c r="B3606" s="1342"/>
      <c r="C3606" s="1342"/>
      <c r="D3606" s="1342"/>
      <c r="E3606" s="1342"/>
      <c r="F3606" s="1342"/>
      <c r="G3606" s="1342"/>
      <c r="H3606" s="1342"/>
      <c r="I3606" s="1342"/>
      <c r="J3606" s="1342"/>
      <c r="K3606" s="1342"/>
    </row>
    <row r="3607" spans="2:11" ht="14" hidden="1">
      <c r="B3607" s="1342"/>
      <c r="C3607" s="1342"/>
      <c r="D3607" s="1342"/>
      <c r="E3607" s="1342"/>
      <c r="F3607" s="1342"/>
      <c r="G3607" s="1342"/>
      <c r="H3607" s="1342"/>
      <c r="I3607" s="1342"/>
      <c r="J3607" s="1342"/>
      <c r="K3607" s="1342"/>
    </row>
    <row r="3608" spans="2:11" ht="14" hidden="1">
      <c r="B3608" s="1342"/>
      <c r="C3608" s="1342"/>
      <c r="D3608" s="1342"/>
      <c r="E3608" s="1342"/>
      <c r="F3608" s="1342"/>
      <c r="G3608" s="1342"/>
      <c r="H3608" s="1342"/>
      <c r="I3608" s="1342"/>
      <c r="J3608" s="1342"/>
      <c r="K3608" s="1342"/>
    </row>
    <row r="3609" spans="2:11" ht="14" hidden="1">
      <c r="B3609" s="1342"/>
      <c r="C3609" s="1342"/>
      <c r="D3609" s="1342"/>
      <c r="E3609" s="1342"/>
      <c r="F3609" s="1342"/>
      <c r="G3609" s="1342"/>
      <c r="H3609" s="1342"/>
      <c r="I3609" s="1342"/>
      <c r="J3609" s="1342"/>
      <c r="K3609" s="1342"/>
    </row>
    <row r="3610" spans="2:11" ht="14" hidden="1">
      <c r="B3610" s="1342"/>
      <c r="C3610" s="1342"/>
      <c r="D3610" s="1342"/>
      <c r="E3610" s="1342"/>
      <c r="F3610" s="1342"/>
      <c r="G3610" s="1342"/>
      <c r="H3610" s="1342"/>
      <c r="I3610" s="1342"/>
      <c r="J3610" s="1342"/>
      <c r="K3610" s="1342"/>
    </row>
    <row r="3611" spans="2:11" ht="14" hidden="1">
      <c r="B3611" s="1342"/>
      <c r="C3611" s="1342"/>
      <c r="D3611" s="1342"/>
      <c r="E3611" s="1342"/>
      <c r="F3611" s="1342"/>
      <c r="G3611" s="1342"/>
      <c r="H3611" s="1342"/>
      <c r="I3611" s="1342"/>
      <c r="J3611" s="1342"/>
      <c r="K3611" s="1342"/>
    </row>
    <row r="3612" spans="2:11" ht="14" hidden="1">
      <c r="B3612" s="1342"/>
      <c r="C3612" s="1342"/>
      <c r="D3612" s="1342"/>
      <c r="E3612" s="1342"/>
      <c r="F3612" s="1342"/>
      <c r="G3612" s="1342"/>
      <c r="H3612" s="1342"/>
      <c r="I3612" s="1342"/>
      <c r="J3612" s="1342"/>
      <c r="K3612" s="1342"/>
    </row>
    <row r="3613" spans="2:11" ht="14" hidden="1">
      <c r="B3613" s="1342"/>
      <c r="C3613" s="1342"/>
      <c r="D3613" s="1342"/>
      <c r="E3613" s="1342"/>
      <c r="F3613" s="1342"/>
      <c r="G3613" s="1342"/>
      <c r="H3613" s="1342"/>
      <c r="I3613" s="1342"/>
      <c r="J3613" s="1342"/>
      <c r="K3613" s="1342"/>
    </row>
    <row r="3614" spans="2:11" ht="14" hidden="1">
      <c r="B3614" s="1342"/>
      <c r="C3614" s="1342"/>
      <c r="D3614" s="1342"/>
      <c r="E3614" s="1342"/>
      <c r="F3614" s="1342"/>
      <c r="G3614" s="1342"/>
      <c r="H3614" s="1342"/>
      <c r="I3614" s="1342"/>
      <c r="J3614" s="1342"/>
      <c r="K3614" s="1342"/>
    </row>
    <row r="3615" spans="2:11" ht="14" hidden="1">
      <c r="B3615" s="1342"/>
      <c r="C3615" s="1342"/>
      <c r="D3615" s="1342"/>
      <c r="E3615" s="1342"/>
      <c r="F3615" s="1342"/>
      <c r="G3615" s="1342"/>
      <c r="H3615" s="1342"/>
      <c r="I3615" s="1342"/>
      <c r="J3615" s="1342"/>
      <c r="K3615" s="1342"/>
    </row>
    <row r="3616" spans="2:11" ht="14" hidden="1">
      <c r="B3616" s="1342"/>
      <c r="C3616" s="1342"/>
      <c r="D3616" s="1342"/>
      <c r="E3616" s="1342"/>
      <c r="F3616" s="1342"/>
      <c r="G3616" s="1342"/>
      <c r="H3616" s="1342"/>
      <c r="I3616" s="1342"/>
      <c r="J3616" s="1342"/>
      <c r="K3616" s="1342"/>
    </row>
    <row r="3617" spans="2:11" ht="14" hidden="1">
      <c r="B3617" s="1342"/>
      <c r="C3617" s="1342"/>
      <c r="D3617" s="1342"/>
      <c r="E3617" s="1342"/>
      <c r="F3617" s="1342"/>
      <c r="G3617" s="1342"/>
      <c r="H3617" s="1342"/>
      <c r="I3617" s="1342"/>
      <c r="J3617" s="1342"/>
      <c r="K3617" s="1342"/>
    </row>
    <row r="3618" spans="2:11" ht="14" hidden="1">
      <c r="B3618" s="1342"/>
      <c r="C3618" s="1342"/>
      <c r="D3618" s="1342"/>
      <c r="E3618" s="1342"/>
      <c r="F3618" s="1342"/>
      <c r="G3618" s="1342"/>
      <c r="H3618" s="1342"/>
      <c r="I3618" s="1342"/>
      <c r="J3618" s="1342"/>
      <c r="K3618" s="1342"/>
    </row>
    <row r="3619" spans="2:11" ht="14" hidden="1">
      <c r="B3619" s="1342"/>
      <c r="C3619" s="1342"/>
      <c r="D3619" s="1342"/>
      <c r="E3619" s="1342"/>
      <c r="F3619" s="1342"/>
      <c r="G3619" s="1342"/>
      <c r="H3619" s="1342"/>
      <c r="I3619" s="1342"/>
      <c r="J3619" s="1342"/>
      <c r="K3619" s="1342"/>
    </row>
    <row r="3620" spans="2:11" ht="14" hidden="1">
      <c r="B3620" s="1342"/>
      <c r="C3620" s="1342"/>
      <c r="D3620" s="1342"/>
      <c r="E3620" s="1342"/>
      <c r="F3620" s="1342"/>
      <c r="G3620" s="1342"/>
      <c r="H3620" s="1342"/>
      <c r="I3620" s="1342"/>
      <c r="J3620" s="1342"/>
      <c r="K3620" s="1342"/>
    </row>
    <row r="3621" spans="2:11" ht="14" hidden="1">
      <c r="B3621" s="1342"/>
      <c r="C3621" s="1342"/>
      <c r="D3621" s="1342"/>
      <c r="E3621" s="1342"/>
      <c r="F3621" s="1342"/>
      <c r="G3621" s="1342"/>
      <c r="H3621" s="1342"/>
      <c r="I3621" s="1342"/>
      <c r="J3621" s="1342"/>
      <c r="K3621" s="1342"/>
    </row>
    <row r="3622" spans="2:11" ht="14" hidden="1">
      <c r="B3622" s="1342"/>
      <c r="C3622" s="1342"/>
      <c r="D3622" s="1342"/>
      <c r="E3622" s="1342"/>
      <c r="F3622" s="1342"/>
      <c r="G3622" s="1342"/>
      <c r="H3622" s="1342"/>
      <c r="I3622" s="1342"/>
      <c r="J3622" s="1342"/>
      <c r="K3622" s="1342"/>
    </row>
    <row r="3623" spans="2:11" ht="14" hidden="1">
      <c r="B3623" s="1342"/>
      <c r="C3623" s="1342"/>
      <c r="D3623" s="1342"/>
      <c r="E3623" s="1342"/>
      <c r="F3623" s="1342"/>
      <c r="G3623" s="1342"/>
      <c r="H3623" s="1342"/>
      <c r="I3623" s="1342"/>
      <c r="J3623" s="1342"/>
      <c r="K3623" s="1342"/>
    </row>
    <row r="3624" spans="2:11" ht="14" hidden="1">
      <c r="B3624" s="1342"/>
      <c r="C3624" s="1342"/>
      <c r="D3624" s="1342"/>
      <c r="E3624" s="1342"/>
      <c r="F3624" s="1342"/>
      <c r="G3624" s="1342"/>
      <c r="H3624" s="1342"/>
      <c r="I3624" s="1342"/>
      <c r="J3624" s="1342"/>
      <c r="K3624" s="1342"/>
    </row>
    <row r="3625" spans="2:11" ht="14" hidden="1">
      <c r="B3625" s="1342"/>
      <c r="C3625" s="1342"/>
      <c r="D3625" s="1342"/>
      <c r="E3625" s="1342"/>
      <c r="F3625" s="1342"/>
      <c r="G3625" s="1342"/>
      <c r="H3625" s="1342"/>
      <c r="I3625" s="1342"/>
      <c r="J3625" s="1342"/>
      <c r="K3625" s="1342"/>
    </row>
    <row r="3626" spans="2:11" ht="14" hidden="1">
      <c r="B3626" s="1342"/>
      <c r="C3626" s="1342"/>
      <c r="D3626" s="1342"/>
      <c r="E3626" s="1342"/>
      <c r="F3626" s="1342"/>
      <c r="G3626" s="1342"/>
      <c r="H3626" s="1342"/>
      <c r="I3626" s="1342"/>
      <c r="J3626" s="1342"/>
      <c r="K3626" s="1342"/>
    </row>
    <row r="3627" spans="2:11" ht="14" hidden="1">
      <c r="B3627" s="1342"/>
      <c r="C3627" s="1342"/>
      <c r="D3627" s="1342"/>
      <c r="E3627" s="1342"/>
      <c r="F3627" s="1342"/>
      <c r="G3627" s="1342"/>
      <c r="H3627" s="1342"/>
      <c r="I3627" s="1342"/>
      <c r="J3627" s="1342"/>
      <c r="K3627" s="1342"/>
    </row>
    <row r="3628" spans="2:11" ht="14" hidden="1">
      <c r="B3628" s="1342"/>
      <c r="C3628" s="1342"/>
      <c r="D3628" s="1342"/>
      <c r="E3628" s="1342"/>
      <c r="F3628" s="1342"/>
      <c r="G3628" s="1342"/>
      <c r="H3628" s="1342"/>
      <c r="I3628" s="1342"/>
      <c r="J3628" s="1342"/>
      <c r="K3628" s="1342"/>
    </row>
    <row r="3629" spans="2:11" ht="14" hidden="1">
      <c r="B3629" s="1342"/>
      <c r="C3629" s="1342"/>
      <c r="D3629" s="1342"/>
      <c r="E3629" s="1342"/>
      <c r="F3629" s="1342"/>
      <c r="G3629" s="1342"/>
      <c r="H3629" s="1342"/>
      <c r="I3629" s="1342"/>
      <c r="J3629" s="1342"/>
      <c r="K3629" s="1342"/>
    </row>
    <row r="3630" spans="2:11" ht="14" hidden="1">
      <c r="B3630" s="1342"/>
      <c r="C3630" s="1342"/>
      <c r="D3630" s="1342"/>
      <c r="E3630" s="1342"/>
      <c r="F3630" s="1342"/>
      <c r="G3630" s="1342"/>
      <c r="H3630" s="1342"/>
      <c r="I3630" s="1342"/>
      <c r="J3630" s="1342"/>
      <c r="K3630" s="1342"/>
    </row>
    <row r="3631" spans="2:11" ht="14" hidden="1">
      <c r="B3631" s="1342"/>
      <c r="C3631" s="1342"/>
      <c r="D3631" s="1342"/>
      <c r="E3631" s="1342"/>
      <c r="F3631" s="1342"/>
      <c r="G3631" s="1342"/>
      <c r="H3631" s="1342"/>
      <c r="I3631" s="1342"/>
      <c r="J3631" s="1342"/>
      <c r="K3631" s="1342"/>
    </row>
    <row r="3632" spans="2:11" ht="14" hidden="1">
      <c r="B3632" s="1342"/>
      <c r="C3632" s="1342"/>
      <c r="D3632" s="1342"/>
      <c r="E3632" s="1342"/>
      <c r="F3632" s="1342"/>
      <c r="G3632" s="1342"/>
      <c r="H3632" s="1342"/>
      <c r="I3632" s="1342"/>
      <c r="J3632" s="1342"/>
      <c r="K3632" s="1342"/>
    </row>
    <row r="3633" spans="2:11" ht="14" hidden="1">
      <c r="B3633" s="1342"/>
      <c r="C3633" s="1342"/>
      <c r="D3633" s="1342"/>
      <c r="E3633" s="1342"/>
      <c r="F3633" s="1342"/>
      <c r="G3633" s="1342"/>
      <c r="H3633" s="1342"/>
      <c r="I3633" s="1342"/>
      <c r="J3633" s="1342"/>
      <c r="K3633" s="1342"/>
    </row>
    <row r="3634" spans="2:11" ht="14" hidden="1">
      <c r="B3634" s="1342"/>
      <c r="C3634" s="1342"/>
      <c r="D3634" s="1342"/>
      <c r="E3634" s="1342"/>
      <c r="F3634" s="1342"/>
      <c r="G3634" s="1342"/>
      <c r="H3634" s="1342"/>
      <c r="I3634" s="1342"/>
      <c r="J3634" s="1342"/>
      <c r="K3634" s="1342"/>
    </row>
    <row r="3635" spans="2:11" ht="14" hidden="1">
      <c r="B3635" s="1342"/>
      <c r="C3635" s="1342"/>
      <c r="D3635" s="1342"/>
      <c r="E3635" s="1342"/>
      <c r="F3635" s="1342"/>
      <c r="G3635" s="1342"/>
      <c r="H3635" s="1342"/>
      <c r="I3635" s="1342"/>
      <c r="J3635" s="1342"/>
      <c r="K3635" s="1342"/>
    </row>
    <row r="3636" spans="2:11" ht="14" hidden="1">
      <c r="B3636" s="1342"/>
      <c r="C3636" s="1342"/>
      <c r="D3636" s="1342"/>
      <c r="E3636" s="1342"/>
      <c r="F3636" s="1342"/>
      <c r="G3636" s="1342"/>
      <c r="H3636" s="1342"/>
      <c r="I3636" s="1342"/>
      <c r="J3636" s="1342"/>
      <c r="K3636" s="1342"/>
    </row>
    <row r="3637" spans="2:11" ht="14" hidden="1">
      <c r="B3637" s="1342"/>
      <c r="C3637" s="1342"/>
      <c r="D3637" s="1342"/>
      <c r="E3637" s="1342"/>
      <c r="F3637" s="1342"/>
      <c r="G3637" s="1342"/>
      <c r="H3637" s="1342"/>
      <c r="I3637" s="1342"/>
      <c r="J3637" s="1342"/>
      <c r="K3637" s="1342"/>
    </row>
    <row r="3638" spans="2:11" ht="14" hidden="1">
      <c r="B3638" s="1342"/>
      <c r="C3638" s="1342"/>
      <c r="D3638" s="1342"/>
      <c r="E3638" s="1342"/>
      <c r="F3638" s="1342"/>
      <c r="G3638" s="1342"/>
      <c r="H3638" s="1342"/>
      <c r="I3638" s="1342"/>
      <c r="J3638" s="1342"/>
      <c r="K3638" s="1342"/>
    </row>
    <row r="3639" spans="2:11" ht="14" hidden="1">
      <c r="B3639" s="1342"/>
      <c r="C3639" s="1342"/>
      <c r="D3639" s="1342"/>
      <c r="E3639" s="1342"/>
      <c r="F3639" s="1342"/>
      <c r="G3639" s="1342"/>
      <c r="H3639" s="1342"/>
      <c r="I3639" s="1342"/>
      <c r="J3639" s="1342"/>
      <c r="K3639" s="1342"/>
    </row>
    <row r="3640" spans="2:11" ht="14" hidden="1">
      <c r="B3640" s="1342"/>
      <c r="C3640" s="1342"/>
      <c r="D3640" s="1342"/>
      <c r="E3640" s="1342"/>
      <c r="F3640" s="1342"/>
      <c r="G3640" s="1342"/>
      <c r="H3640" s="1342"/>
      <c r="I3640" s="1342"/>
      <c r="J3640" s="1342"/>
      <c r="K3640" s="1342"/>
    </row>
    <row r="3641" spans="2:11" ht="14" hidden="1">
      <c r="B3641" s="1342"/>
      <c r="C3641" s="1342"/>
      <c r="D3641" s="1342"/>
      <c r="E3641" s="1342"/>
      <c r="F3641" s="1342"/>
      <c r="G3641" s="1342"/>
      <c r="H3641" s="1342"/>
      <c r="I3641" s="1342"/>
      <c r="J3641" s="1342"/>
      <c r="K3641" s="1342"/>
    </row>
    <row r="3642" spans="2:11" ht="14" hidden="1">
      <c r="B3642" s="1342"/>
      <c r="C3642" s="1342"/>
      <c r="D3642" s="1342"/>
      <c r="E3642" s="1342"/>
      <c r="F3642" s="1342"/>
      <c r="G3642" s="1342"/>
      <c r="H3642" s="1342"/>
      <c r="I3642" s="1342"/>
      <c r="J3642" s="1342"/>
      <c r="K3642" s="1342"/>
    </row>
    <row r="3643" spans="2:11" ht="14" hidden="1">
      <c r="B3643" s="1342"/>
      <c r="C3643" s="1342"/>
      <c r="D3643" s="1342"/>
      <c r="E3643" s="1342"/>
      <c r="F3643" s="1342"/>
      <c r="G3643" s="1342"/>
      <c r="H3643" s="1342"/>
      <c r="I3643" s="1342"/>
      <c r="J3643" s="1342"/>
      <c r="K3643" s="1342"/>
    </row>
    <row r="3644" spans="2:11" ht="14" hidden="1">
      <c r="B3644" s="1342"/>
      <c r="C3644" s="1342"/>
      <c r="D3644" s="1342"/>
      <c r="E3644" s="1342"/>
      <c r="F3644" s="1342"/>
      <c r="G3644" s="1342"/>
      <c r="H3644" s="1342"/>
      <c r="I3644" s="1342"/>
      <c r="J3644" s="1342"/>
      <c r="K3644" s="1342"/>
    </row>
    <row r="3645" spans="2:11" ht="14" hidden="1">
      <c r="B3645" s="1342"/>
      <c r="C3645" s="1342"/>
      <c r="D3645" s="1342"/>
      <c r="E3645" s="1342"/>
      <c r="F3645" s="1342"/>
      <c r="G3645" s="1342"/>
      <c r="H3645" s="1342"/>
      <c r="I3645" s="1342"/>
      <c r="J3645" s="1342"/>
      <c r="K3645" s="1342"/>
    </row>
    <row r="3646" spans="2:11" ht="14" hidden="1">
      <c r="B3646" s="1342"/>
      <c r="C3646" s="1342"/>
      <c r="D3646" s="1342"/>
      <c r="E3646" s="1342"/>
      <c r="F3646" s="1342"/>
      <c r="G3646" s="1342"/>
      <c r="H3646" s="1342"/>
      <c r="I3646" s="1342"/>
      <c r="J3646" s="1342"/>
      <c r="K3646" s="1342"/>
    </row>
    <row r="3647" spans="2:11" ht="14" hidden="1">
      <c r="B3647" s="1342"/>
      <c r="C3647" s="1342"/>
      <c r="D3647" s="1342"/>
      <c r="E3647" s="1342"/>
      <c r="F3647" s="1342"/>
      <c r="G3647" s="1342"/>
      <c r="H3647" s="1342"/>
      <c r="I3647" s="1342"/>
      <c r="J3647" s="1342"/>
      <c r="K3647" s="1342"/>
    </row>
    <row r="3648" spans="2:11" ht="14" hidden="1">
      <c r="B3648" s="1342"/>
      <c r="C3648" s="1342"/>
      <c r="D3648" s="1342"/>
      <c r="E3648" s="1342"/>
      <c r="F3648" s="1342"/>
      <c r="G3648" s="1342"/>
      <c r="H3648" s="1342"/>
      <c r="I3648" s="1342"/>
      <c r="J3648" s="1342"/>
      <c r="K3648" s="1342"/>
    </row>
    <row r="3649" spans="2:11" ht="14" hidden="1">
      <c r="B3649" s="1342"/>
      <c r="C3649" s="1342"/>
      <c r="D3649" s="1342"/>
      <c r="E3649" s="1342"/>
      <c r="F3649" s="1342"/>
      <c r="G3649" s="1342"/>
      <c r="H3649" s="1342"/>
      <c r="I3649" s="1342"/>
      <c r="J3649" s="1342"/>
      <c r="K3649" s="1342"/>
    </row>
    <row r="3650" spans="2:11" ht="14" hidden="1">
      <c r="B3650" s="1342"/>
      <c r="C3650" s="1342"/>
      <c r="D3650" s="1342"/>
      <c r="E3650" s="1342"/>
      <c r="F3650" s="1342"/>
      <c r="G3650" s="1342"/>
      <c r="H3650" s="1342"/>
      <c r="I3650" s="1342"/>
      <c r="J3650" s="1342"/>
      <c r="K3650" s="1342"/>
    </row>
    <row r="3651" spans="2:11" ht="14" hidden="1">
      <c r="B3651" s="1342"/>
      <c r="C3651" s="1342"/>
      <c r="D3651" s="1342"/>
      <c r="E3651" s="1342"/>
      <c r="F3651" s="1342"/>
      <c r="G3651" s="1342"/>
      <c r="H3651" s="1342"/>
      <c r="I3651" s="1342"/>
      <c r="J3651" s="1342"/>
      <c r="K3651" s="1342"/>
    </row>
    <row r="3652" spans="2:11" ht="14" hidden="1">
      <c r="B3652" s="1342"/>
      <c r="C3652" s="1342"/>
      <c r="D3652" s="1342"/>
      <c r="E3652" s="1342"/>
      <c r="F3652" s="1342"/>
      <c r="G3652" s="1342"/>
      <c r="H3652" s="1342"/>
      <c r="I3652" s="1342"/>
      <c r="J3652" s="1342"/>
      <c r="K3652" s="1342"/>
    </row>
    <row r="3653" spans="2:11" ht="14" hidden="1">
      <c r="B3653" s="1342"/>
      <c r="C3653" s="1342"/>
      <c r="D3653" s="1342"/>
      <c r="E3653" s="1342"/>
      <c r="F3653" s="1342"/>
      <c r="G3653" s="1342"/>
      <c r="H3653" s="1342"/>
      <c r="I3653" s="1342"/>
      <c r="J3653" s="1342"/>
      <c r="K3653" s="1342"/>
    </row>
    <row r="3654" spans="2:11" ht="14" hidden="1">
      <c r="B3654" s="1342"/>
      <c r="C3654" s="1342"/>
      <c r="D3654" s="1342"/>
      <c r="E3654" s="1342"/>
      <c r="F3654" s="1342"/>
      <c r="G3654" s="1342"/>
      <c r="H3654" s="1342"/>
      <c r="I3654" s="1342"/>
      <c r="J3654" s="1342"/>
      <c r="K3654" s="1342"/>
    </row>
    <row r="3655" spans="2:11" ht="14" hidden="1">
      <c r="B3655" s="1342"/>
      <c r="C3655" s="1342"/>
      <c r="D3655" s="1342"/>
      <c r="E3655" s="1342"/>
      <c r="F3655" s="1342"/>
      <c r="G3655" s="1342"/>
      <c r="H3655" s="1342"/>
      <c r="I3655" s="1342"/>
      <c r="J3655" s="1342"/>
      <c r="K3655" s="1342"/>
    </row>
    <row r="3656" spans="2:11" ht="14" hidden="1">
      <c r="B3656" s="1342"/>
      <c r="C3656" s="1342"/>
      <c r="D3656" s="1342"/>
      <c r="E3656" s="1342"/>
      <c r="F3656" s="1342"/>
      <c r="G3656" s="1342"/>
      <c r="H3656" s="1342"/>
      <c r="I3656" s="1342"/>
      <c r="J3656" s="1342"/>
      <c r="K3656" s="1342"/>
    </row>
    <row r="3657" spans="2:11" ht="14" hidden="1">
      <c r="B3657" s="1342"/>
      <c r="C3657" s="1342"/>
      <c r="D3657" s="1342"/>
      <c r="E3657" s="1342"/>
      <c r="F3657" s="1342"/>
      <c r="G3657" s="1342"/>
      <c r="H3657" s="1342"/>
      <c r="I3657" s="1342"/>
      <c r="J3657" s="1342"/>
      <c r="K3657" s="1342"/>
    </row>
    <row r="3658" spans="2:11" ht="14" hidden="1">
      <c r="B3658" s="1342"/>
      <c r="C3658" s="1342"/>
      <c r="D3658" s="1342"/>
      <c r="E3658" s="1342"/>
      <c r="F3658" s="1342"/>
      <c r="G3658" s="1342"/>
      <c r="H3658" s="1342"/>
      <c r="I3658" s="1342"/>
      <c r="J3658" s="1342"/>
      <c r="K3658" s="1342"/>
    </row>
    <row r="3659" spans="2:11" ht="14" hidden="1">
      <c r="B3659" s="1342"/>
      <c r="C3659" s="1342"/>
      <c r="D3659" s="1342"/>
      <c r="E3659" s="1342"/>
      <c r="F3659" s="1342"/>
      <c r="G3659" s="1342"/>
      <c r="H3659" s="1342"/>
      <c r="I3659" s="1342"/>
      <c r="J3659" s="1342"/>
      <c r="K3659" s="1342"/>
    </row>
    <row r="3660" spans="2:11" ht="14" hidden="1">
      <c r="B3660" s="1342"/>
      <c r="C3660" s="1342"/>
      <c r="D3660" s="1342"/>
      <c r="E3660" s="1342"/>
      <c r="F3660" s="1342"/>
      <c r="G3660" s="1342"/>
      <c r="H3660" s="1342"/>
      <c r="I3660" s="1342"/>
      <c r="J3660" s="1342"/>
      <c r="K3660" s="1342"/>
    </row>
    <row r="3661" spans="2:11" ht="14" hidden="1">
      <c r="B3661" s="1342"/>
      <c r="C3661" s="1342"/>
      <c r="D3661" s="1342"/>
      <c r="E3661" s="1342"/>
      <c r="F3661" s="1342"/>
      <c r="G3661" s="1342"/>
      <c r="H3661" s="1342"/>
      <c r="I3661" s="1342"/>
      <c r="J3661" s="1342"/>
      <c r="K3661" s="1342"/>
    </row>
    <row r="3662" spans="2:11" ht="14" hidden="1">
      <c r="B3662" s="1342"/>
      <c r="C3662" s="1342"/>
      <c r="D3662" s="1342"/>
      <c r="E3662" s="1342"/>
      <c r="F3662" s="1342"/>
      <c r="G3662" s="1342"/>
      <c r="H3662" s="1342"/>
      <c r="I3662" s="1342"/>
      <c r="J3662" s="1342"/>
      <c r="K3662" s="1342"/>
    </row>
    <row r="3663" spans="2:11" ht="14" hidden="1">
      <c r="B3663" s="1342"/>
      <c r="C3663" s="1342"/>
      <c r="D3663" s="1342"/>
      <c r="E3663" s="1342"/>
      <c r="F3663" s="1342"/>
      <c r="G3663" s="1342"/>
      <c r="H3663" s="1342"/>
      <c r="I3663" s="1342"/>
      <c r="J3663" s="1342"/>
      <c r="K3663" s="1342"/>
    </row>
    <row r="3664" spans="2:11" ht="14" hidden="1">
      <c r="B3664" s="1342"/>
      <c r="C3664" s="1342"/>
      <c r="D3664" s="1342"/>
      <c r="E3664" s="1342"/>
      <c r="F3664" s="1342"/>
      <c r="G3664" s="1342"/>
      <c r="H3664" s="1342"/>
      <c r="I3664" s="1342"/>
      <c r="J3664" s="1342"/>
      <c r="K3664" s="1342"/>
    </row>
    <row r="3665" spans="2:11" ht="14" hidden="1">
      <c r="B3665" s="1342"/>
      <c r="C3665" s="1342"/>
      <c r="D3665" s="1342"/>
      <c r="E3665" s="1342"/>
      <c r="F3665" s="1342"/>
      <c r="G3665" s="1342"/>
      <c r="H3665" s="1342"/>
      <c r="I3665" s="1342"/>
      <c r="J3665" s="1342"/>
      <c r="K3665" s="1342"/>
    </row>
    <row r="3666" spans="2:11" ht="14" hidden="1">
      <c r="B3666" s="1342"/>
      <c r="C3666" s="1342"/>
      <c r="D3666" s="1342"/>
      <c r="E3666" s="1342"/>
      <c r="F3666" s="1342"/>
      <c r="G3666" s="1342"/>
      <c r="H3666" s="1342"/>
      <c r="I3666" s="1342"/>
      <c r="J3666" s="1342"/>
      <c r="K3666" s="1342"/>
    </row>
    <row r="3667" spans="2:11" ht="14" hidden="1">
      <c r="B3667" s="1342"/>
      <c r="C3667" s="1342"/>
      <c r="D3667" s="1342"/>
      <c r="E3667" s="1342"/>
      <c r="F3667" s="1342"/>
      <c r="G3667" s="1342"/>
      <c r="H3667" s="1342"/>
      <c r="I3667" s="1342"/>
      <c r="J3667" s="1342"/>
      <c r="K3667" s="1342"/>
    </row>
    <row r="3668" spans="2:11" ht="14" hidden="1">
      <c r="B3668" s="1342"/>
      <c r="C3668" s="1342"/>
      <c r="D3668" s="1342"/>
      <c r="E3668" s="1342"/>
      <c r="F3668" s="1342"/>
      <c r="G3668" s="1342"/>
      <c r="H3668" s="1342"/>
      <c r="I3668" s="1342"/>
      <c r="J3668" s="1342"/>
      <c r="K3668" s="1342"/>
    </row>
    <row r="3669" spans="2:11" ht="14" hidden="1">
      <c r="B3669" s="1342"/>
      <c r="C3669" s="1342"/>
      <c r="D3669" s="1342"/>
      <c r="E3669" s="1342"/>
      <c r="F3669" s="1342"/>
      <c r="G3669" s="1342"/>
      <c r="H3669" s="1342"/>
      <c r="I3669" s="1342"/>
      <c r="J3669" s="1342"/>
      <c r="K3669" s="1342"/>
    </row>
    <row r="3670" spans="2:11" ht="14" hidden="1">
      <c r="B3670" s="1342"/>
      <c r="C3670" s="1342"/>
      <c r="D3670" s="1342"/>
      <c r="E3670" s="1342"/>
      <c r="F3670" s="1342"/>
      <c r="G3670" s="1342"/>
      <c r="H3670" s="1342"/>
      <c r="I3670" s="1342"/>
      <c r="J3670" s="1342"/>
      <c r="K3670" s="1342"/>
    </row>
    <row r="3671" spans="2:11" ht="14" hidden="1">
      <c r="B3671" s="1342"/>
      <c r="C3671" s="1342"/>
      <c r="D3671" s="1342"/>
      <c r="E3671" s="1342"/>
      <c r="F3671" s="1342"/>
      <c r="G3671" s="1342"/>
      <c r="H3671" s="1342"/>
      <c r="I3671" s="1342"/>
      <c r="J3671" s="1342"/>
      <c r="K3671" s="1342"/>
    </row>
    <row r="3672" spans="2:11" ht="14" hidden="1">
      <c r="B3672" s="1342"/>
      <c r="C3672" s="1342"/>
      <c r="D3672" s="1342"/>
      <c r="E3672" s="1342"/>
      <c r="F3672" s="1342"/>
      <c r="G3672" s="1342"/>
      <c r="H3672" s="1342"/>
      <c r="I3672" s="1342"/>
      <c r="J3672" s="1342"/>
      <c r="K3672" s="1342"/>
    </row>
    <row r="3673" spans="2:11" ht="14" hidden="1">
      <c r="B3673" s="1342"/>
      <c r="C3673" s="1342"/>
      <c r="D3673" s="1342"/>
      <c r="E3673" s="1342"/>
      <c r="F3673" s="1342"/>
      <c r="G3673" s="1342"/>
      <c r="H3673" s="1342"/>
      <c r="I3673" s="1342"/>
      <c r="J3673" s="1342"/>
      <c r="K3673" s="1342"/>
    </row>
    <row r="3674" spans="2:11" ht="14" hidden="1">
      <c r="B3674" s="1342"/>
      <c r="C3674" s="1342"/>
      <c r="D3674" s="1342"/>
      <c r="E3674" s="1342"/>
      <c r="F3674" s="1342"/>
      <c r="G3674" s="1342"/>
      <c r="H3674" s="1342"/>
      <c r="I3674" s="1342"/>
      <c r="J3674" s="1342"/>
      <c r="K3674" s="1342"/>
    </row>
    <row r="3675" spans="2:11" ht="14" hidden="1">
      <c r="B3675" s="1342"/>
      <c r="C3675" s="1342"/>
      <c r="D3675" s="1342"/>
      <c r="E3675" s="1342"/>
      <c r="F3675" s="1342"/>
      <c r="G3675" s="1342"/>
      <c r="H3675" s="1342"/>
      <c r="I3675" s="1342"/>
      <c r="J3675" s="1342"/>
      <c r="K3675" s="1342"/>
    </row>
    <row r="3676" spans="2:11" ht="14" hidden="1">
      <c r="B3676" s="1342"/>
      <c r="C3676" s="1342"/>
      <c r="D3676" s="1342"/>
      <c r="E3676" s="1342"/>
      <c r="F3676" s="1342"/>
      <c r="G3676" s="1342"/>
      <c r="H3676" s="1342"/>
      <c r="I3676" s="1342"/>
      <c r="J3676" s="1342"/>
      <c r="K3676" s="1342"/>
    </row>
    <row r="3677" spans="2:11" ht="14" hidden="1">
      <c r="B3677" s="1342"/>
      <c r="C3677" s="1342"/>
      <c r="D3677" s="1342"/>
      <c r="E3677" s="1342"/>
      <c r="F3677" s="1342"/>
      <c r="G3677" s="1342"/>
      <c r="H3677" s="1342"/>
      <c r="I3677" s="1342"/>
      <c r="J3677" s="1342"/>
      <c r="K3677" s="1342"/>
    </row>
    <row r="3678" spans="2:11" ht="14" hidden="1">
      <c r="B3678" s="1342"/>
      <c r="C3678" s="1342"/>
      <c r="D3678" s="1342"/>
      <c r="E3678" s="1342"/>
      <c r="F3678" s="1342"/>
      <c r="G3678" s="1342"/>
      <c r="H3678" s="1342"/>
      <c r="I3678" s="1342"/>
      <c r="J3678" s="1342"/>
      <c r="K3678" s="1342"/>
    </row>
    <row r="3679" spans="2:11" ht="14" hidden="1">
      <c r="B3679" s="1342"/>
      <c r="C3679" s="1342"/>
      <c r="D3679" s="1342"/>
      <c r="E3679" s="1342"/>
      <c r="F3679" s="1342"/>
      <c r="G3679" s="1342"/>
      <c r="H3679" s="1342"/>
      <c r="I3679" s="1342"/>
      <c r="J3679" s="1342"/>
      <c r="K3679" s="1342"/>
    </row>
    <row r="3680" spans="2:11" ht="14" hidden="1">
      <c r="B3680" s="1342"/>
      <c r="C3680" s="1342"/>
      <c r="D3680" s="1342"/>
      <c r="E3680" s="1342"/>
      <c r="F3680" s="1342"/>
      <c r="G3680" s="1342"/>
      <c r="H3680" s="1342"/>
      <c r="I3680" s="1342"/>
      <c r="J3680" s="1342"/>
      <c r="K3680" s="1342"/>
    </row>
    <row r="3681" spans="2:11" ht="14" hidden="1">
      <c r="B3681" s="1342"/>
      <c r="C3681" s="1342"/>
      <c r="D3681" s="1342"/>
      <c r="E3681" s="1342"/>
      <c r="F3681" s="1342"/>
      <c r="G3681" s="1342"/>
      <c r="H3681" s="1342"/>
      <c r="I3681" s="1342"/>
      <c r="J3681" s="1342"/>
      <c r="K3681" s="1342"/>
    </row>
    <row r="3682" spans="2:11" ht="14" hidden="1">
      <c r="B3682" s="1342"/>
      <c r="C3682" s="1342"/>
      <c r="D3682" s="1342"/>
      <c r="E3682" s="1342"/>
      <c r="F3682" s="1342"/>
      <c r="G3682" s="1342"/>
      <c r="H3682" s="1342"/>
      <c r="I3682" s="1342"/>
      <c r="J3682" s="1342"/>
      <c r="K3682" s="1342"/>
    </row>
    <row r="3683" spans="2:11" ht="14" hidden="1">
      <c r="B3683" s="1342"/>
      <c r="C3683" s="1342"/>
      <c r="D3683" s="1342"/>
      <c r="E3683" s="1342"/>
      <c r="F3683" s="1342"/>
      <c r="G3683" s="1342"/>
      <c r="H3683" s="1342"/>
      <c r="I3683" s="1342"/>
      <c r="J3683" s="1342"/>
      <c r="K3683" s="1342"/>
    </row>
    <row r="3684" spans="2:11" ht="14" hidden="1">
      <c r="B3684" s="1342"/>
      <c r="C3684" s="1342"/>
      <c r="D3684" s="1342"/>
      <c r="E3684" s="1342"/>
      <c r="F3684" s="1342"/>
      <c r="G3684" s="1342"/>
      <c r="H3684" s="1342"/>
      <c r="I3684" s="1342"/>
      <c r="J3684" s="1342"/>
      <c r="K3684" s="1342"/>
    </row>
    <row r="3685" spans="2:11" ht="14" hidden="1">
      <c r="B3685" s="1342"/>
      <c r="C3685" s="1342"/>
      <c r="D3685" s="1342"/>
      <c r="E3685" s="1342"/>
      <c r="F3685" s="1342"/>
      <c r="G3685" s="1342"/>
      <c r="H3685" s="1342"/>
      <c r="I3685" s="1342"/>
      <c r="J3685" s="1342"/>
      <c r="K3685" s="1342"/>
    </row>
    <row r="3686" spans="2:11" ht="14" hidden="1">
      <c r="B3686" s="1342"/>
      <c r="C3686" s="1342"/>
      <c r="D3686" s="1342"/>
      <c r="E3686" s="1342"/>
      <c r="F3686" s="1342"/>
      <c r="G3686" s="1342"/>
      <c r="H3686" s="1342"/>
      <c r="I3686" s="1342"/>
      <c r="J3686" s="1342"/>
      <c r="K3686" s="1342"/>
    </row>
    <row r="3687" spans="2:11" ht="14" hidden="1">
      <c r="B3687" s="1342"/>
      <c r="C3687" s="1342"/>
      <c r="D3687" s="1342"/>
      <c r="E3687" s="1342"/>
      <c r="F3687" s="1342"/>
      <c r="G3687" s="1342"/>
      <c r="H3687" s="1342"/>
      <c r="I3687" s="1342"/>
      <c r="J3687" s="1342"/>
      <c r="K3687" s="1342"/>
    </row>
    <row r="3688" spans="2:11" ht="14" hidden="1">
      <c r="B3688" s="1342"/>
      <c r="C3688" s="1342"/>
      <c r="D3688" s="1342"/>
      <c r="E3688" s="1342"/>
      <c r="F3688" s="1342"/>
      <c r="G3688" s="1342"/>
      <c r="H3688" s="1342"/>
      <c r="I3688" s="1342"/>
      <c r="J3688" s="1342"/>
      <c r="K3688" s="1342"/>
    </row>
    <row r="3689" spans="2:11" ht="14" hidden="1">
      <c r="B3689" s="1342"/>
      <c r="C3689" s="1342"/>
      <c r="D3689" s="1342"/>
      <c r="E3689" s="1342"/>
      <c r="F3689" s="1342"/>
      <c r="G3689" s="1342"/>
      <c r="H3689" s="1342"/>
      <c r="I3689" s="1342"/>
      <c r="J3689" s="1342"/>
      <c r="K3689" s="1342"/>
    </row>
    <row r="3690" spans="2:11" ht="14" hidden="1">
      <c r="B3690" s="1342"/>
      <c r="C3690" s="1342"/>
      <c r="D3690" s="1342"/>
      <c r="E3690" s="1342"/>
      <c r="F3690" s="1342"/>
      <c r="G3690" s="1342"/>
      <c r="H3690" s="1342"/>
      <c r="I3690" s="1342"/>
      <c r="J3690" s="1342"/>
      <c r="K3690" s="1342"/>
    </row>
    <row r="3691" spans="2:11" ht="14" hidden="1">
      <c r="B3691" s="1342"/>
      <c r="C3691" s="1342"/>
      <c r="D3691" s="1342"/>
      <c r="E3691" s="1342"/>
      <c r="F3691" s="1342"/>
      <c r="G3691" s="1342"/>
      <c r="H3691" s="1342"/>
      <c r="I3691" s="1342"/>
      <c r="J3691" s="1342"/>
      <c r="K3691" s="1342"/>
    </row>
    <row r="3692" spans="2:11" ht="14" hidden="1">
      <c r="B3692" s="1342"/>
      <c r="C3692" s="1342"/>
      <c r="D3692" s="1342"/>
      <c r="E3692" s="1342"/>
      <c r="F3692" s="1342"/>
      <c r="G3692" s="1342"/>
      <c r="H3692" s="1342"/>
      <c r="I3692" s="1342"/>
      <c r="J3692" s="1342"/>
      <c r="K3692" s="1342"/>
    </row>
    <row r="3693" spans="2:11" ht="14" hidden="1">
      <c r="B3693" s="1342"/>
      <c r="C3693" s="1342"/>
      <c r="D3693" s="1342"/>
      <c r="E3693" s="1342"/>
      <c r="F3693" s="1342"/>
      <c r="G3693" s="1342"/>
      <c r="H3693" s="1342"/>
      <c r="I3693" s="1342"/>
      <c r="J3693" s="1342"/>
      <c r="K3693" s="1342"/>
    </row>
    <row r="3694" spans="2:11" ht="14" hidden="1">
      <c r="B3694" s="1342"/>
      <c r="C3694" s="1342"/>
      <c r="D3694" s="1342"/>
      <c r="E3694" s="1342"/>
      <c r="F3694" s="1342"/>
      <c r="G3694" s="1342"/>
      <c r="H3694" s="1342"/>
      <c r="I3694" s="1342"/>
      <c r="J3694" s="1342"/>
      <c r="K3694" s="1342"/>
    </row>
    <row r="3695" spans="2:11" ht="14" hidden="1">
      <c r="B3695" s="1342"/>
      <c r="C3695" s="1342"/>
      <c r="D3695" s="1342"/>
      <c r="E3695" s="1342"/>
      <c r="F3695" s="1342"/>
      <c r="G3695" s="1342"/>
      <c r="H3695" s="1342"/>
      <c r="I3695" s="1342"/>
      <c r="J3695" s="1342"/>
      <c r="K3695" s="1342"/>
    </row>
    <row r="3696" spans="2:11" ht="14" hidden="1">
      <c r="B3696" s="1342"/>
      <c r="C3696" s="1342"/>
      <c r="D3696" s="1342"/>
      <c r="E3696" s="1342"/>
      <c r="F3696" s="1342"/>
      <c r="G3696" s="1342"/>
      <c r="H3696" s="1342"/>
      <c r="I3696" s="1342"/>
      <c r="J3696" s="1342"/>
      <c r="K3696" s="1342"/>
    </row>
    <row r="3697" spans="2:11" ht="14" hidden="1">
      <c r="B3697" s="1342"/>
      <c r="C3697" s="1342"/>
      <c r="D3697" s="1342"/>
      <c r="E3697" s="1342"/>
      <c r="F3697" s="1342"/>
      <c r="G3697" s="1342"/>
      <c r="H3697" s="1342"/>
      <c r="I3697" s="1342"/>
      <c r="J3697" s="1342"/>
      <c r="K3697" s="1342"/>
    </row>
    <row r="3698" spans="2:11" ht="14" hidden="1">
      <c r="B3698" s="1342"/>
      <c r="C3698" s="1342"/>
      <c r="D3698" s="1342"/>
      <c r="E3698" s="1342"/>
      <c r="F3698" s="1342"/>
      <c r="G3698" s="1342"/>
      <c r="H3698" s="1342"/>
      <c r="I3698" s="1342"/>
      <c r="J3698" s="1342"/>
      <c r="K3698" s="1342"/>
    </row>
    <row r="3699" spans="2:11" ht="14" hidden="1">
      <c r="B3699" s="1342"/>
      <c r="C3699" s="1342"/>
      <c r="D3699" s="1342"/>
      <c r="E3699" s="1342"/>
      <c r="F3699" s="1342"/>
      <c r="G3699" s="1342"/>
      <c r="H3699" s="1342"/>
      <c r="I3699" s="1342"/>
      <c r="J3699" s="1342"/>
      <c r="K3699" s="1342"/>
    </row>
    <row r="3700" spans="2:11" ht="14" hidden="1">
      <c r="B3700" s="1342"/>
      <c r="C3700" s="1342"/>
      <c r="D3700" s="1342"/>
      <c r="E3700" s="1342"/>
      <c r="F3700" s="1342"/>
      <c r="G3700" s="1342"/>
      <c r="H3700" s="1342"/>
      <c r="I3700" s="1342"/>
      <c r="J3700" s="1342"/>
      <c r="K3700" s="1342"/>
    </row>
    <row r="3701" spans="2:11" ht="14" hidden="1">
      <c r="B3701" s="1342"/>
      <c r="C3701" s="1342"/>
      <c r="D3701" s="1342"/>
      <c r="E3701" s="1342"/>
      <c r="F3701" s="1342"/>
      <c r="G3701" s="1342"/>
      <c r="H3701" s="1342"/>
      <c r="I3701" s="1342"/>
      <c r="J3701" s="1342"/>
      <c r="K3701" s="1342"/>
    </row>
    <row r="3702" spans="2:11" ht="14" hidden="1">
      <c r="B3702" s="1342"/>
      <c r="C3702" s="1342"/>
      <c r="D3702" s="1342"/>
      <c r="E3702" s="1342"/>
      <c r="F3702" s="1342"/>
      <c r="G3702" s="1342"/>
      <c r="H3702" s="1342"/>
      <c r="I3702" s="1342"/>
      <c r="J3702" s="1342"/>
      <c r="K3702" s="1342"/>
    </row>
    <row r="3703" spans="2:11" ht="14" hidden="1">
      <c r="B3703" s="1342"/>
      <c r="C3703" s="1342"/>
      <c r="D3703" s="1342"/>
      <c r="E3703" s="1342"/>
      <c r="F3703" s="1342"/>
      <c r="G3703" s="1342"/>
      <c r="H3703" s="1342"/>
      <c r="I3703" s="1342"/>
      <c r="J3703" s="1342"/>
      <c r="K3703" s="1342"/>
    </row>
    <row r="3704" spans="2:11" ht="14" hidden="1">
      <c r="B3704" s="1342"/>
      <c r="C3704" s="1342"/>
      <c r="D3704" s="1342"/>
      <c r="E3704" s="1342"/>
      <c r="F3704" s="1342"/>
      <c r="G3704" s="1342"/>
      <c r="H3704" s="1342"/>
      <c r="I3704" s="1342"/>
      <c r="J3704" s="1342"/>
      <c r="K3704" s="1342"/>
    </row>
    <row r="3705" spans="2:11" ht="14" hidden="1">
      <c r="B3705" s="1342"/>
      <c r="C3705" s="1342"/>
      <c r="D3705" s="1342"/>
      <c r="E3705" s="1342"/>
      <c r="F3705" s="1342"/>
      <c r="G3705" s="1342"/>
      <c r="H3705" s="1342"/>
      <c r="I3705" s="1342"/>
      <c r="J3705" s="1342"/>
      <c r="K3705" s="1342"/>
    </row>
    <row r="3706" spans="2:11" ht="14" hidden="1">
      <c r="B3706" s="1342"/>
      <c r="C3706" s="1342"/>
      <c r="D3706" s="1342"/>
      <c r="E3706" s="1342"/>
      <c r="F3706" s="1342"/>
      <c r="G3706" s="1342"/>
      <c r="H3706" s="1342"/>
      <c r="I3706" s="1342"/>
      <c r="J3706" s="1342"/>
      <c r="K3706" s="1342"/>
    </row>
    <row r="3707" spans="2:11" ht="14" hidden="1">
      <c r="B3707" s="1342"/>
      <c r="C3707" s="1342"/>
      <c r="D3707" s="1342"/>
      <c r="E3707" s="1342"/>
      <c r="F3707" s="1342"/>
      <c r="G3707" s="1342"/>
      <c r="H3707" s="1342"/>
      <c r="I3707" s="1342"/>
      <c r="J3707" s="1342"/>
      <c r="K3707" s="1342"/>
    </row>
    <row r="3708" spans="2:11" ht="14" hidden="1">
      <c r="B3708" s="1342"/>
      <c r="C3708" s="1342"/>
      <c r="D3708" s="1342"/>
      <c r="E3708" s="1342"/>
      <c r="F3708" s="1342"/>
      <c r="G3708" s="1342"/>
      <c r="H3708" s="1342"/>
      <c r="I3708" s="1342"/>
      <c r="J3708" s="1342"/>
      <c r="K3708" s="1342"/>
    </row>
    <row r="3709" spans="2:11" ht="14" hidden="1">
      <c r="B3709" s="1342"/>
      <c r="C3709" s="1342"/>
      <c r="D3709" s="1342"/>
      <c r="E3709" s="1342"/>
      <c r="F3709" s="1342"/>
      <c r="G3709" s="1342"/>
      <c r="H3709" s="1342"/>
      <c r="I3709" s="1342"/>
      <c r="J3709" s="1342"/>
      <c r="K3709" s="1342"/>
    </row>
    <row r="3710" spans="2:11" ht="14" hidden="1">
      <c r="B3710" s="1342"/>
      <c r="C3710" s="1342"/>
      <c r="D3710" s="1342"/>
      <c r="E3710" s="1342"/>
      <c r="F3710" s="1342"/>
      <c r="G3710" s="1342"/>
      <c r="H3710" s="1342"/>
      <c r="I3710" s="1342"/>
      <c r="J3710" s="1342"/>
      <c r="K3710" s="1342"/>
    </row>
    <row r="3711" spans="2:11" ht="14" hidden="1">
      <c r="B3711" s="1342"/>
      <c r="C3711" s="1342"/>
      <c r="D3711" s="1342"/>
      <c r="E3711" s="1342"/>
      <c r="F3711" s="1342"/>
      <c r="G3711" s="1342"/>
      <c r="H3711" s="1342"/>
      <c r="I3711" s="1342"/>
      <c r="J3711" s="1342"/>
      <c r="K3711" s="1342"/>
    </row>
    <row r="3712" spans="2:11" ht="14" hidden="1">
      <c r="B3712" s="1342"/>
      <c r="C3712" s="1342"/>
      <c r="D3712" s="1342"/>
      <c r="E3712" s="1342"/>
      <c r="F3712" s="1342"/>
      <c r="G3712" s="1342"/>
      <c r="H3712" s="1342"/>
      <c r="I3712" s="1342"/>
      <c r="J3712" s="1342"/>
      <c r="K3712" s="1342"/>
    </row>
    <row r="3713" spans="2:11" ht="14" hidden="1">
      <c r="B3713" s="1342"/>
      <c r="C3713" s="1342"/>
      <c r="D3713" s="1342"/>
      <c r="E3713" s="1342"/>
      <c r="F3713" s="1342"/>
      <c r="G3713" s="1342"/>
      <c r="H3713" s="1342"/>
      <c r="I3713" s="1342"/>
      <c r="J3713" s="1342"/>
      <c r="K3713" s="1342"/>
    </row>
    <row r="3714" spans="2:11" ht="14" hidden="1">
      <c r="B3714" s="1342"/>
      <c r="C3714" s="1342"/>
      <c r="D3714" s="1342"/>
      <c r="E3714" s="1342"/>
      <c r="F3714" s="1342"/>
      <c r="G3714" s="1342"/>
      <c r="H3714" s="1342"/>
      <c r="I3714" s="1342"/>
      <c r="J3714" s="1342"/>
      <c r="K3714" s="1342"/>
    </row>
    <row r="3715" spans="2:11" ht="14" hidden="1">
      <c r="B3715" s="1342"/>
      <c r="C3715" s="1342"/>
      <c r="D3715" s="1342"/>
      <c r="E3715" s="1342"/>
      <c r="F3715" s="1342"/>
      <c r="G3715" s="1342"/>
      <c r="H3715" s="1342"/>
      <c r="I3715" s="1342"/>
      <c r="J3715" s="1342"/>
      <c r="K3715" s="1342"/>
    </row>
    <row r="3716" spans="2:11" ht="14" hidden="1">
      <c r="B3716" s="1342"/>
      <c r="C3716" s="1342"/>
      <c r="D3716" s="1342"/>
      <c r="E3716" s="1342"/>
      <c r="F3716" s="1342"/>
      <c r="G3716" s="1342"/>
      <c r="H3716" s="1342"/>
      <c r="I3716" s="1342"/>
      <c r="J3716" s="1342"/>
      <c r="K3716" s="1342"/>
    </row>
    <row r="3717" spans="2:11" ht="14" hidden="1">
      <c r="B3717" s="1342"/>
      <c r="C3717" s="1342"/>
      <c r="D3717" s="1342"/>
      <c r="E3717" s="1342"/>
      <c r="F3717" s="1342"/>
      <c r="G3717" s="1342"/>
      <c r="H3717" s="1342"/>
      <c r="I3717" s="1342"/>
      <c r="J3717" s="1342"/>
      <c r="K3717" s="1342"/>
    </row>
    <row r="3718" spans="2:11" ht="14" hidden="1">
      <c r="B3718" s="1342"/>
      <c r="C3718" s="1342"/>
      <c r="D3718" s="1342"/>
      <c r="E3718" s="1342"/>
      <c r="F3718" s="1342"/>
      <c r="G3718" s="1342"/>
      <c r="H3718" s="1342"/>
      <c r="I3718" s="1342"/>
      <c r="J3718" s="1342"/>
      <c r="K3718" s="1342"/>
    </row>
    <row r="3719" spans="2:11" ht="14" hidden="1">
      <c r="B3719" s="1342"/>
      <c r="C3719" s="1342"/>
      <c r="D3719" s="1342"/>
      <c r="E3719" s="1342"/>
      <c r="F3719" s="1342"/>
      <c r="G3719" s="1342"/>
      <c r="H3719" s="1342"/>
      <c r="I3719" s="1342"/>
      <c r="J3719" s="1342"/>
      <c r="K3719" s="1342"/>
    </row>
    <row r="3720" spans="2:11" ht="14" hidden="1">
      <c r="B3720" s="1342"/>
      <c r="C3720" s="1342"/>
      <c r="D3720" s="1342"/>
      <c r="E3720" s="1342"/>
      <c r="F3720" s="1342"/>
      <c r="G3720" s="1342"/>
      <c r="H3720" s="1342"/>
      <c r="I3720" s="1342"/>
      <c r="J3720" s="1342"/>
      <c r="K3720" s="1342"/>
    </row>
    <row r="3721" spans="2:11" ht="14" hidden="1">
      <c r="B3721" s="1342"/>
      <c r="C3721" s="1342"/>
      <c r="D3721" s="1342"/>
      <c r="E3721" s="1342"/>
      <c r="F3721" s="1342"/>
      <c r="G3721" s="1342"/>
      <c r="H3721" s="1342"/>
      <c r="I3721" s="1342"/>
      <c r="J3721" s="1342"/>
      <c r="K3721" s="1342"/>
    </row>
    <row r="3722" spans="2:11" ht="14" hidden="1">
      <c r="B3722" s="1342"/>
      <c r="C3722" s="1342"/>
      <c r="D3722" s="1342"/>
      <c r="E3722" s="1342"/>
      <c r="F3722" s="1342"/>
      <c r="G3722" s="1342"/>
      <c r="H3722" s="1342"/>
      <c r="I3722" s="1342"/>
      <c r="J3722" s="1342"/>
      <c r="K3722" s="1342"/>
    </row>
    <row r="3723" spans="2:11" ht="14" hidden="1">
      <c r="B3723" s="1342"/>
      <c r="C3723" s="1342"/>
      <c r="D3723" s="1342"/>
      <c r="E3723" s="1342"/>
      <c r="F3723" s="1342"/>
      <c r="G3723" s="1342"/>
      <c r="H3723" s="1342"/>
      <c r="I3723" s="1342"/>
      <c r="J3723" s="1342"/>
      <c r="K3723" s="1342"/>
    </row>
    <row r="3724" spans="2:11" ht="14" hidden="1">
      <c r="B3724" s="1342"/>
      <c r="C3724" s="1342"/>
      <c r="D3724" s="1342"/>
      <c r="E3724" s="1342"/>
      <c r="F3724" s="1342"/>
      <c r="G3724" s="1342"/>
      <c r="H3724" s="1342"/>
      <c r="I3724" s="1342"/>
      <c r="J3724" s="1342"/>
      <c r="K3724" s="1342"/>
    </row>
    <row r="3725" spans="2:11" ht="14" hidden="1">
      <c r="B3725" s="1342"/>
      <c r="C3725" s="1342"/>
      <c r="D3725" s="1342"/>
      <c r="E3725" s="1342"/>
      <c r="F3725" s="1342"/>
      <c r="G3725" s="1342"/>
      <c r="H3725" s="1342"/>
      <c r="I3725" s="1342"/>
      <c r="J3725" s="1342"/>
      <c r="K3725" s="1342"/>
    </row>
    <row r="3726" spans="2:11" ht="14" hidden="1">
      <c r="B3726" s="1342"/>
      <c r="C3726" s="1342"/>
      <c r="D3726" s="1342"/>
      <c r="E3726" s="1342"/>
      <c r="F3726" s="1342"/>
      <c r="G3726" s="1342"/>
      <c r="H3726" s="1342"/>
      <c r="I3726" s="1342"/>
      <c r="J3726" s="1342"/>
      <c r="K3726" s="1342"/>
    </row>
    <row r="3727" spans="2:11" ht="14" hidden="1">
      <c r="B3727" s="1342"/>
      <c r="C3727" s="1342"/>
      <c r="D3727" s="1342"/>
      <c r="E3727" s="1342"/>
      <c r="F3727" s="1342"/>
      <c r="G3727" s="1342"/>
      <c r="H3727" s="1342"/>
      <c r="I3727" s="1342"/>
      <c r="J3727" s="1342"/>
      <c r="K3727" s="1342"/>
    </row>
    <row r="3728" spans="2:11" ht="14" hidden="1">
      <c r="B3728" s="1342"/>
      <c r="C3728" s="1342"/>
      <c r="D3728" s="1342"/>
      <c r="E3728" s="1342"/>
      <c r="F3728" s="1342"/>
      <c r="G3728" s="1342"/>
      <c r="H3728" s="1342"/>
      <c r="I3728" s="1342"/>
      <c r="J3728" s="1342"/>
      <c r="K3728" s="1342"/>
    </row>
    <row r="3729" spans="2:11" ht="14" hidden="1">
      <c r="B3729" s="1342"/>
      <c r="C3729" s="1342"/>
      <c r="D3729" s="1342"/>
      <c r="E3729" s="1342"/>
      <c r="F3729" s="1342"/>
      <c r="G3729" s="1342"/>
      <c r="H3729" s="1342"/>
      <c r="I3729" s="1342"/>
      <c r="J3729" s="1342"/>
      <c r="K3729" s="1342"/>
    </row>
    <row r="3730" spans="2:11" ht="14" hidden="1">
      <c r="B3730" s="1342"/>
      <c r="C3730" s="1342"/>
      <c r="D3730" s="1342"/>
      <c r="E3730" s="1342"/>
      <c r="F3730" s="1342"/>
      <c r="G3730" s="1342"/>
      <c r="H3730" s="1342"/>
      <c r="I3730" s="1342"/>
      <c r="J3730" s="1342"/>
      <c r="K3730" s="1342"/>
    </row>
    <row r="3731" spans="2:11" ht="14" hidden="1">
      <c r="B3731" s="1342"/>
      <c r="C3731" s="1342"/>
      <c r="D3731" s="1342"/>
      <c r="E3731" s="1342"/>
      <c r="F3731" s="1342"/>
      <c r="G3731" s="1342"/>
      <c r="H3731" s="1342"/>
      <c r="I3731" s="1342"/>
      <c r="J3731" s="1342"/>
      <c r="K3731" s="1342"/>
    </row>
    <row r="3732" spans="2:11" ht="14" hidden="1">
      <c r="B3732" s="1342"/>
      <c r="C3732" s="1342"/>
      <c r="D3732" s="1342"/>
      <c r="E3732" s="1342"/>
      <c r="F3732" s="1342"/>
      <c r="G3732" s="1342"/>
      <c r="H3732" s="1342"/>
      <c r="I3732" s="1342"/>
      <c r="J3732" s="1342"/>
      <c r="K3732" s="1342"/>
    </row>
    <row r="3733" spans="2:11" ht="14" hidden="1">
      <c r="B3733" s="1342"/>
      <c r="C3733" s="1342"/>
      <c r="D3733" s="1342"/>
      <c r="E3733" s="1342"/>
      <c r="F3733" s="1342"/>
      <c r="G3733" s="1342"/>
      <c r="H3733" s="1342"/>
      <c r="I3733" s="1342"/>
      <c r="J3733" s="1342"/>
      <c r="K3733" s="1342"/>
    </row>
    <row r="3734" spans="2:11" ht="14" hidden="1">
      <c r="B3734" s="1342"/>
      <c r="C3734" s="1342"/>
      <c r="D3734" s="1342"/>
      <c r="E3734" s="1342"/>
      <c r="F3734" s="1342"/>
      <c r="G3734" s="1342"/>
      <c r="H3734" s="1342"/>
      <c r="I3734" s="1342"/>
      <c r="J3734" s="1342"/>
      <c r="K3734" s="1342"/>
    </row>
    <row r="3735" spans="2:11" ht="14" hidden="1">
      <c r="B3735" s="1342"/>
      <c r="C3735" s="1342"/>
      <c r="D3735" s="1342"/>
      <c r="E3735" s="1342"/>
      <c r="F3735" s="1342"/>
      <c r="G3735" s="1342"/>
      <c r="H3735" s="1342"/>
      <c r="I3735" s="1342"/>
      <c r="J3735" s="1342"/>
      <c r="K3735" s="1342"/>
    </row>
    <row r="3736" spans="2:11" ht="14" hidden="1">
      <c r="B3736" s="1342"/>
      <c r="C3736" s="1342"/>
      <c r="D3736" s="1342"/>
      <c r="E3736" s="1342"/>
      <c r="F3736" s="1342"/>
      <c r="G3736" s="1342"/>
      <c r="H3736" s="1342"/>
      <c r="I3736" s="1342"/>
      <c r="J3736" s="1342"/>
      <c r="K3736" s="1342"/>
    </row>
    <row r="3737" spans="2:11" ht="14" hidden="1">
      <c r="B3737" s="1342"/>
      <c r="C3737" s="1342"/>
      <c r="D3737" s="1342"/>
      <c r="E3737" s="1342"/>
      <c r="F3737" s="1342"/>
      <c r="G3737" s="1342"/>
      <c r="H3737" s="1342"/>
      <c r="I3737" s="1342"/>
      <c r="J3737" s="1342"/>
      <c r="K3737" s="1342"/>
    </row>
    <row r="3738" spans="2:11" ht="14" hidden="1">
      <c r="B3738" s="1342"/>
      <c r="C3738" s="1342"/>
      <c r="D3738" s="1342"/>
      <c r="E3738" s="1342"/>
      <c r="F3738" s="1342"/>
      <c r="G3738" s="1342"/>
      <c r="H3738" s="1342"/>
      <c r="I3738" s="1342"/>
      <c r="J3738" s="1342"/>
      <c r="K3738" s="1342"/>
    </row>
    <row r="3739" spans="2:11" ht="14" hidden="1">
      <c r="B3739" s="1342"/>
      <c r="C3739" s="1342"/>
      <c r="D3739" s="1342"/>
      <c r="E3739" s="1342"/>
      <c r="F3739" s="1342"/>
      <c r="G3739" s="1342"/>
      <c r="H3739" s="1342"/>
      <c r="I3739" s="1342"/>
      <c r="J3739" s="1342"/>
      <c r="K3739" s="1342"/>
    </row>
    <row r="3740" spans="2:11" ht="14" hidden="1">
      <c r="B3740" s="1342"/>
      <c r="C3740" s="1342"/>
      <c r="D3740" s="1342"/>
      <c r="E3740" s="1342"/>
      <c r="F3740" s="1342"/>
      <c r="G3740" s="1342"/>
      <c r="H3740" s="1342"/>
      <c r="I3740" s="1342"/>
      <c r="J3740" s="1342"/>
      <c r="K3740" s="1342"/>
    </row>
    <row r="3741" spans="2:11" ht="14" hidden="1">
      <c r="B3741" s="1342"/>
      <c r="C3741" s="1342"/>
      <c r="D3741" s="1342"/>
      <c r="E3741" s="1342"/>
      <c r="F3741" s="1342"/>
      <c r="G3741" s="1342"/>
      <c r="H3741" s="1342"/>
      <c r="I3741" s="1342"/>
      <c r="J3741" s="1342"/>
      <c r="K3741" s="1342"/>
    </row>
    <row r="3742" spans="2:11" ht="14" hidden="1">
      <c r="B3742" s="1342"/>
      <c r="C3742" s="1342"/>
      <c r="D3742" s="1342"/>
      <c r="E3742" s="1342"/>
      <c r="F3742" s="1342"/>
      <c r="G3742" s="1342"/>
      <c r="H3742" s="1342"/>
      <c r="I3742" s="1342"/>
      <c r="J3742" s="1342"/>
      <c r="K3742" s="1342"/>
    </row>
    <row r="3743" spans="2:11" ht="14" hidden="1">
      <c r="B3743" s="1342"/>
      <c r="C3743" s="1342"/>
      <c r="D3743" s="1342"/>
      <c r="E3743" s="1342"/>
      <c r="F3743" s="1342"/>
      <c r="G3743" s="1342"/>
      <c r="H3743" s="1342"/>
      <c r="I3743" s="1342"/>
      <c r="J3743" s="1342"/>
      <c r="K3743" s="1342"/>
    </row>
    <row r="3744" spans="2:11" ht="14" hidden="1">
      <c r="B3744" s="1342"/>
      <c r="C3744" s="1342"/>
      <c r="D3744" s="1342"/>
      <c r="E3744" s="1342"/>
      <c r="F3744" s="1342"/>
      <c r="G3744" s="1342"/>
      <c r="H3744" s="1342"/>
      <c r="I3744" s="1342"/>
      <c r="J3744" s="1342"/>
      <c r="K3744" s="1342"/>
    </row>
    <row r="3745" spans="2:11" ht="14" hidden="1">
      <c r="B3745" s="1342"/>
      <c r="C3745" s="1342"/>
      <c r="D3745" s="1342"/>
      <c r="E3745" s="1342"/>
      <c r="F3745" s="1342"/>
      <c r="G3745" s="1342"/>
      <c r="H3745" s="1342"/>
      <c r="I3745" s="1342"/>
      <c r="J3745" s="1342"/>
      <c r="K3745" s="1342"/>
    </row>
    <row r="3746" spans="2:11" ht="14" hidden="1">
      <c r="B3746" s="1342"/>
      <c r="C3746" s="1342"/>
      <c r="D3746" s="1342"/>
      <c r="E3746" s="1342"/>
      <c r="F3746" s="1342"/>
      <c r="G3746" s="1342"/>
      <c r="H3746" s="1342"/>
      <c r="I3746" s="1342"/>
      <c r="J3746" s="1342"/>
      <c r="K3746" s="1342"/>
    </row>
    <row r="3747" spans="2:11" ht="14" hidden="1">
      <c r="B3747" s="1342"/>
      <c r="C3747" s="1342"/>
      <c r="D3747" s="1342"/>
      <c r="E3747" s="1342"/>
      <c r="F3747" s="1342"/>
      <c r="G3747" s="1342"/>
      <c r="H3747" s="1342"/>
      <c r="I3747" s="1342"/>
      <c r="J3747" s="1342"/>
      <c r="K3747" s="1342"/>
    </row>
    <row r="3748" spans="2:11" ht="14" hidden="1">
      <c r="B3748" s="1342"/>
      <c r="C3748" s="1342"/>
      <c r="D3748" s="1342"/>
      <c r="E3748" s="1342"/>
      <c r="F3748" s="1342"/>
      <c r="G3748" s="1342"/>
      <c r="H3748" s="1342"/>
      <c r="I3748" s="1342"/>
      <c r="J3748" s="1342"/>
      <c r="K3748" s="1342"/>
    </row>
    <row r="3749" spans="2:11" ht="14" hidden="1">
      <c r="B3749" s="1342"/>
      <c r="C3749" s="1342"/>
      <c r="D3749" s="1342"/>
      <c r="E3749" s="1342"/>
      <c r="F3749" s="1342"/>
      <c r="G3749" s="1342"/>
      <c r="H3749" s="1342"/>
      <c r="I3749" s="1342"/>
      <c r="J3749" s="1342"/>
      <c r="K3749" s="1342"/>
    </row>
    <row r="3750" spans="2:11" ht="14" hidden="1">
      <c r="B3750" s="1342"/>
      <c r="C3750" s="1342"/>
      <c r="D3750" s="1342"/>
      <c r="E3750" s="1342"/>
      <c r="F3750" s="1342"/>
      <c r="G3750" s="1342"/>
      <c r="H3750" s="1342"/>
      <c r="I3750" s="1342"/>
      <c r="J3750" s="1342"/>
      <c r="K3750" s="1342"/>
    </row>
    <row r="3751" spans="2:11" ht="14" hidden="1">
      <c r="B3751" s="1342"/>
      <c r="C3751" s="1342"/>
      <c r="D3751" s="1342"/>
      <c r="E3751" s="1342"/>
      <c r="F3751" s="1342"/>
      <c r="G3751" s="1342"/>
      <c r="H3751" s="1342"/>
      <c r="I3751" s="1342"/>
      <c r="J3751" s="1342"/>
      <c r="K3751" s="1342"/>
    </row>
    <row r="3752" spans="2:11" ht="14" hidden="1">
      <c r="B3752" s="1342"/>
      <c r="C3752" s="1342"/>
      <c r="D3752" s="1342"/>
      <c r="E3752" s="1342"/>
      <c r="F3752" s="1342"/>
      <c r="G3752" s="1342"/>
      <c r="H3752" s="1342"/>
      <c r="I3752" s="1342"/>
      <c r="J3752" s="1342"/>
      <c r="K3752" s="1342"/>
    </row>
    <row r="3753" spans="2:11" ht="14" hidden="1">
      <c r="B3753" s="1342"/>
      <c r="C3753" s="1342"/>
      <c r="D3753" s="1342"/>
      <c r="E3753" s="1342"/>
      <c r="F3753" s="1342"/>
      <c r="G3753" s="1342"/>
      <c r="H3753" s="1342"/>
      <c r="I3753" s="1342"/>
      <c r="J3753" s="1342"/>
      <c r="K3753" s="1342"/>
    </row>
    <row r="3754" spans="2:11" ht="14" hidden="1">
      <c r="B3754" s="1342"/>
      <c r="C3754" s="1342"/>
      <c r="D3754" s="1342"/>
      <c r="E3754" s="1342"/>
      <c r="F3754" s="1342"/>
      <c r="G3754" s="1342"/>
      <c r="H3754" s="1342"/>
      <c r="I3754" s="1342"/>
      <c r="J3754" s="1342"/>
      <c r="K3754" s="1342"/>
    </row>
    <row r="3755" spans="2:11" ht="14" hidden="1">
      <c r="B3755" s="1342"/>
      <c r="C3755" s="1342"/>
      <c r="D3755" s="1342"/>
      <c r="E3755" s="1342"/>
      <c r="F3755" s="1342"/>
      <c r="G3755" s="1342"/>
      <c r="H3755" s="1342"/>
      <c r="I3755" s="1342"/>
      <c r="J3755" s="1342"/>
      <c r="K3755" s="1342"/>
    </row>
    <row r="3756" spans="2:11" ht="14" hidden="1">
      <c r="B3756" s="1342"/>
      <c r="C3756" s="1342"/>
      <c r="D3756" s="1342"/>
      <c r="E3756" s="1342"/>
      <c r="F3756" s="1342"/>
      <c r="G3756" s="1342"/>
      <c r="H3756" s="1342"/>
      <c r="I3756" s="1342"/>
      <c r="J3756" s="1342"/>
      <c r="K3756" s="1342"/>
    </row>
    <row r="3757" spans="2:11" ht="14" hidden="1">
      <c r="B3757" s="1342"/>
      <c r="C3757" s="1342"/>
      <c r="D3757" s="1342"/>
      <c r="E3757" s="1342"/>
      <c r="F3757" s="1342"/>
      <c r="G3757" s="1342"/>
      <c r="H3757" s="1342"/>
      <c r="I3757" s="1342"/>
      <c r="J3757" s="1342"/>
      <c r="K3757" s="1342"/>
    </row>
    <row r="3758" spans="2:11" ht="14" hidden="1">
      <c r="B3758" s="1342"/>
      <c r="C3758" s="1342"/>
      <c r="D3758" s="1342"/>
      <c r="E3758" s="1342"/>
      <c r="F3758" s="1342"/>
      <c r="G3758" s="1342"/>
      <c r="H3758" s="1342"/>
      <c r="I3758" s="1342"/>
      <c r="J3758" s="1342"/>
      <c r="K3758" s="1342"/>
    </row>
    <row r="3759" spans="2:11" ht="14" hidden="1">
      <c r="B3759" s="1342"/>
      <c r="C3759" s="1342"/>
      <c r="D3759" s="1342"/>
      <c r="E3759" s="1342"/>
      <c r="F3759" s="1342"/>
      <c r="G3759" s="1342"/>
      <c r="H3759" s="1342"/>
      <c r="I3759" s="1342"/>
      <c r="J3759" s="1342"/>
      <c r="K3759" s="1342"/>
    </row>
    <row r="3760" spans="2:11" ht="14" hidden="1">
      <c r="B3760" s="1342"/>
      <c r="C3760" s="1342"/>
      <c r="D3760" s="1342"/>
      <c r="E3760" s="1342"/>
      <c r="F3760" s="1342"/>
      <c r="G3760" s="1342"/>
      <c r="H3760" s="1342"/>
      <c r="I3760" s="1342"/>
      <c r="J3760" s="1342"/>
      <c r="K3760" s="1342"/>
    </row>
    <row r="3761" spans="2:11" ht="14" hidden="1">
      <c r="B3761" s="1342"/>
      <c r="C3761" s="1342"/>
      <c r="D3761" s="1342"/>
      <c r="E3761" s="1342"/>
      <c r="F3761" s="1342"/>
      <c r="G3761" s="1342"/>
      <c r="H3761" s="1342"/>
      <c r="I3761" s="1342"/>
      <c r="J3761" s="1342"/>
      <c r="K3761" s="1342"/>
    </row>
    <row r="3762" spans="2:11" ht="14" hidden="1">
      <c r="B3762" s="1342"/>
      <c r="C3762" s="1342"/>
      <c r="D3762" s="1342"/>
      <c r="E3762" s="1342"/>
      <c r="F3762" s="1342"/>
      <c r="G3762" s="1342"/>
      <c r="H3762" s="1342"/>
      <c r="I3762" s="1342"/>
      <c r="J3762" s="1342"/>
      <c r="K3762" s="1342"/>
    </row>
    <row r="3763" spans="2:11" ht="14" hidden="1">
      <c r="B3763" s="1342"/>
      <c r="C3763" s="1342"/>
      <c r="D3763" s="1342"/>
      <c r="E3763" s="1342"/>
      <c r="F3763" s="1342"/>
      <c r="G3763" s="1342"/>
      <c r="H3763" s="1342"/>
      <c r="I3763" s="1342"/>
      <c r="J3763" s="1342"/>
      <c r="K3763" s="1342"/>
    </row>
    <row r="3764" spans="2:11" ht="14" hidden="1">
      <c r="B3764" s="1342"/>
      <c r="C3764" s="1342"/>
      <c r="D3764" s="1342"/>
      <c r="E3764" s="1342"/>
      <c r="F3764" s="1342"/>
      <c r="G3764" s="1342"/>
      <c r="H3764" s="1342"/>
      <c r="I3764" s="1342"/>
      <c r="J3764" s="1342"/>
      <c r="K3764" s="1342"/>
    </row>
    <row r="3765" spans="2:11" ht="14" hidden="1">
      <c r="B3765" s="1342"/>
      <c r="C3765" s="1342"/>
      <c r="D3765" s="1342"/>
      <c r="E3765" s="1342"/>
      <c r="F3765" s="1342"/>
      <c r="G3765" s="1342"/>
      <c r="H3765" s="1342"/>
      <c r="I3765" s="1342"/>
      <c r="J3765" s="1342"/>
      <c r="K3765" s="1342"/>
    </row>
    <row r="3766" spans="2:11" ht="14" hidden="1">
      <c r="B3766" s="1342"/>
      <c r="C3766" s="1342"/>
      <c r="D3766" s="1342"/>
      <c r="E3766" s="1342"/>
      <c r="F3766" s="1342"/>
      <c r="G3766" s="1342"/>
      <c r="H3766" s="1342"/>
      <c r="I3766" s="1342"/>
      <c r="J3766" s="1342"/>
      <c r="K3766" s="1342"/>
    </row>
    <row r="3767" spans="2:11" ht="14" hidden="1">
      <c r="B3767" s="1342"/>
      <c r="C3767" s="1342"/>
      <c r="D3767" s="1342"/>
      <c r="E3767" s="1342"/>
      <c r="F3767" s="1342"/>
      <c r="G3767" s="1342"/>
      <c r="H3767" s="1342"/>
      <c r="I3767" s="1342"/>
      <c r="J3767" s="1342"/>
      <c r="K3767" s="1342"/>
    </row>
    <row r="3768" spans="2:11" ht="14" hidden="1">
      <c r="B3768" s="1342"/>
      <c r="C3768" s="1342"/>
      <c r="D3768" s="1342"/>
      <c r="E3768" s="1342"/>
      <c r="F3768" s="1342"/>
      <c r="G3768" s="1342"/>
      <c r="H3768" s="1342"/>
      <c r="I3768" s="1342"/>
      <c r="J3768" s="1342"/>
      <c r="K3768" s="1342"/>
    </row>
    <row r="3769" spans="2:11" ht="14" hidden="1">
      <c r="B3769" s="1342"/>
      <c r="C3769" s="1342"/>
      <c r="D3769" s="1342"/>
      <c r="E3769" s="1342"/>
      <c r="F3769" s="1342"/>
      <c r="G3769" s="1342"/>
      <c r="H3769" s="1342"/>
      <c r="I3769" s="1342"/>
      <c r="J3769" s="1342"/>
      <c r="K3769" s="1342"/>
    </row>
    <row r="3770" spans="2:11" ht="14" hidden="1">
      <c r="B3770" s="1342"/>
      <c r="C3770" s="1342"/>
      <c r="D3770" s="1342"/>
      <c r="E3770" s="1342"/>
      <c r="F3770" s="1342"/>
      <c r="G3770" s="1342"/>
      <c r="H3770" s="1342"/>
      <c r="I3770" s="1342"/>
      <c r="J3770" s="1342"/>
      <c r="K3770" s="1342"/>
    </row>
    <row r="3771" spans="2:11" ht="14" hidden="1">
      <c r="B3771" s="1342"/>
      <c r="C3771" s="1342"/>
      <c r="D3771" s="1342"/>
      <c r="E3771" s="1342"/>
      <c r="F3771" s="1342"/>
      <c r="G3771" s="1342"/>
      <c r="H3771" s="1342"/>
      <c r="I3771" s="1342"/>
      <c r="J3771" s="1342"/>
      <c r="K3771" s="1342"/>
    </row>
    <row r="3772" spans="2:11" ht="14" hidden="1">
      <c r="B3772" s="1342"/>
      <c r="C3772" s="1342"/>
      <c r="D3772" s="1342"/>
      <c r="E3772" s="1342"/>
      <c r="F3772" s="1342"/>
      <c r="G3772" s="1342"/>
      <c r="H3772" s="1342"/>
      <c r="I3772" s="1342"/>
      <c r="J3772" s="1342"/>
      <c r="K3772" s="1342"/>
    </row>
    <row r="3773" spans="2:11" ht="14" hidden="1">
      <c r="B3773" s="1342"/>
      <c r="C3773" s="1342"/>
      <c r="D3773" s="1342"/>
      <c r="E3773" s="1342"/>
      <c r="F3773" s="1342"/>
      <c r="G3773" s="1342"/>
      <c r="H3773" s="1342"/>
      <c r="I3773" s="1342"/>
      <c r="J3773" s="1342"/>
      <c r="K3773" s="1342"/>
    </row>
    <row r="3774" spans="2:11" ht="14" hidden="1">
      <c r="B3774" s="1342"/>
      <c r="C3774" s="1342"/>
      <c r="D3774" s="1342"/>
      <c r="E3774" s="1342"/>
      <c r="F3774" s="1342"/>
      <c r="G3774" s="1342"/>
      <c r="H3774" s="1342"/>
      <c r="I3774" s="1342"/>
      <c r="J3774" s="1342"/>
      <c r="K3774" s="1342"/>
    </row>
    <row r="3775" spans="2:11" ht="14" hidden="1">
      <c r="B3775" s="1342"/>
      <c r="C3775" s="1342"/>
      <c r="D3775" s="1342"/>
      <c r="E3775" s="1342"/>
      <c r="F3775" s="1342"/>
      <c r="G3775" s="1342"/>
      <c r="H3775" s="1342"/>
      <c r="I3775" s="1342"/>
      <c r="J3775" s="1342"/>
      <c r="K3775" s="1342"/>
    </row>
    <row r="3776" spans="2:11" ht="14" hidden="1">
      <c r="B3776" s="1342"/>
      <c r="C3776" s="1342"/>
      <c r="D3776" s="1342"/>
      <c r="E3776" s="1342"/>
      <c r="F3776" s="1342"/>
      <c r="G3776" s="1342"/>
      <c r="H3776" s="1342"/>
      <c r="I3776" s="1342"/>
      <c r="J3776" s="1342"/>
      <c r="K3776" s="1342"/>
    </row>
    <row r="3777" spans="2:11" ht="14" hidden="1">
      <c r="B3777" s="1342"/>
      <c r="C3777" s="1342"/>
      <c r="D3777" s="1342"/>
      <c r="E3777" s="1342"/>
      <c r="F3777" s="1342"/>
      <c r="G3777" s="1342"/>
      <c r="H3777" s="1342"/>
      <c r="I3777" s="1342"/>
      <c r="J3777" s="1342"/>
      <c r="K3777" s="1342"/>
    </row>
    <row r="3778" spans="2:11" ht="14" hidden="1">
      <c r="B3778" s="1342"/>
      <c r="C3778" s="1342"/>
      <c r="D3778" s="1342"/>
      <c r="E3778" s="1342"/>
      <c r="F3778" s="1342"/>
      <c r="G3778" s="1342"/>
      <c r="H3778" s="1342"/>
      <c r="I3778" s="1342"/>
      <c r="J3778" s="1342"/>
      <c r="K3778" s="1342"/>
    </row>
    <row r="3779" spans="2:11" ht="14" hidden="1">
      <c r="B3779" s="1342"/>
      <c r="C3779" s="1342"/>
      <c r="D3779" s="1342"/>
      <c r="E3779" s="1342"/>
      <c r="F3779" s="1342"/>
      <c r="G3779" s="1342"/>
      <c r="H3779" s="1342"/>
      <c r="I3779" s="1342"/>
      <c r="J3779" s="1342"/>
      <c r="K3779" s="1342"/>
    </row>
    <row r="3780" spans="2:11" ht="14" hidden="1">
      <c r="B3780" s="1342"/>
      <c r="C3780" s="1342"/>
      <c r="D3780" s="1342"/>
      <c r="E3780" s="1342"/>
      <c r="F3780" s="1342"/>
      <c r="G3780" s="1342"/>
      <c r="H3780" s="1342"/>
      <c r="I3780" s="1342"/>
      <c r="J3780" s="1342"/>
      <c r="K3780" s="1342"/>
    </row>
    <row r="3781" spans="2:11" ht="14" hidden="1">
      <c r="B3781" s="1342"/>
      <c r="C3781" s="1342"/>
      <c r="D3781" s="1342"/>
      <c r="E3781" s="1342"/>
      <c r="F3781" s="1342"/>
      <c r="G3781" s="1342"/>
      <c r="H3781" s="1342"/>
      <c r="I3781" s="1342"/>
      <c r="J3781" s="1342"/>
      <c r="K3781" s="1342"/>
    </row>
    <row r="3782" spans="2:11" ht="14" hidden="1">
      <c r="B3782" s="1342"/>
      <c r="C3782" s="1342"/>
      <c r="D3782" s="1342"/>
      <c r="E3782" s="1342"/>
      <c r="F3782" s="1342"/>
      <c r="G3782" s="1342"/>
      <c r="H3782" s="1342"/>
      <c r="I3782" s="1342"/>
      <c r="J3782" s="1342"/>
      <c r="K3782" s="1342"/>
    </row>
    <row r="3783" spans="2:11" ht="14" hidden="1">
      <c r="B3783" s="1342"/>
      <c r="C3783" s="1342"/>
      <c r="D3783" s="1342"/>
      <c r="E3783" s="1342"/>
      <c r="F3783" s="1342"/>
      <c r="G3783" s="1342"/>
      <c r="H3783" s="1342"/>
      <c r="I3783" s="1342"/>
      <c r="J3783" s="1342"/>
      <c r="K3783" s="1342"/>
    </row>
    <row r="3784" spans="2:11" ht="14" hidden="1">
      <c r="B3784" s="1342"/>
      <c r="C3784" s="1342"/>
      <c r="D3784" s="1342"/>
      <c r="E3784" s="1342"/>
      <c r="F3784" s="1342"/>
      <c r="G3784" s="1342"/>
      <c r="H3784" s="1342"/>
      <c r="I3784" s="1342"/>
      <c r="J3784" s="1342"/>
      <c r="K3784" s="1342"/>
    </row>
    <row r="3785" spans="2:11" ht="14" hidden="1">
      <c r="B3785" s="1342"/>
      <c r="C3785" s="1342"/>
      <c r="D3785" s="1342"/>
      <c r="E3785" s="1342"/>
      <c r="F3785" s="1342"/>
      <c r="G3785" s="1342"/>
      <c r="H3785" s="1342"/>
      <c r="I3785" s="1342"/>
      <c r="J3785" s="1342"/>
      <c r="K3785" s="1342"/>
    </row>
    <row r="3786" spans="2:11" ht="14" hidden="1">
      <c r="B3786" s="1342"/>
      <c r="C3786" s="1342"/>
      <c r="D3786" s="1342"/>
      <c r="E3786" s="1342"/>
      <c r="F3786" s="1342"/>
      <c r="G3786" s="1342"/>
      <c r="H3786" s="1342"/>
      <c r="I3786" s="1342"/>
      <c r="J3786" s="1342"/>
      <c r="K3786" s="1342"/>
    </row>
    <row r="3787" spans="2:11" ht="14" hidden="1">
      <c r="B3787" s="1342"/>
      <c r="C3787" s="1342"/>
      <c r="D3787" s="1342"/>
      <c r="E3787" s="1342"/>
      <c r="F3787" s="1342"/>
      <c r="G3787" s="1342"/>
      <c r="H3787" s="1342"/>
      <c r="I3787" s="1342"/>
      <c r="J3787" s="1342"/>
      <c r="K3787" s="1342"/>
    </row>
    <row r="3788" spans="2:11" ht="14" hidden="1">
      <c r="B3788" s="1342"/>
      <c r="C3788" s="1342"/>
      <c r="D3788" s="1342"/>
      <c r="E3788" s="1342"/>
      <c r="F3788" s="1342"/>
      <c r="G3788" s="1342"/>
      <c r="H3788" s="1342"/>
      <c r="I3788" s="1342"/>
      <c r="J3788" s="1342"/>
      <c r="K3788" s="1342"/>
    </row>
    <row r="3789" spans="2:11" ht="14" hidden="1">
      <c r="B3789" s="1342"/>
      <c r="C3789" s="1342"/>
      <c r="D3789" s="1342"/>
      <c r="E3789" s="1342"/>
      <c r="F3789" s="1342"/>
      <c r="G3789" s="1342"/>
      <c r="H3789" s="1342"/>
      <c r="I3789" s="1342"/>
      <c r="J3789" s="1342"/>
      <c r="K3789" s="1342"/>
    </row>
    <row r="3790" spans="2:11" ht="14" hidden="1">
      <c r="B3790" s="1342"/>
      <c r="C3790" s="1342"/>
      <c r="D3790" s="1342"/>
      <c r="E3790" s="1342"/>
      <c r="F3790" s="1342"/>
      <c r="G3790" s="1342"/>
      <c r="H3790" s="1342"/>
      <c r="I3790" s="1342"/>
      <c r="J3790" s="1342"/>
      <c r="K3790" s="1342"/>
    </row>
    <row r="3791" spans="2:11" ht="14" hidden="1">
      <c r="B3791" s="1342"/>
      <c r="C3791" s="1342"/>
      <c r="D3791" s="1342"/>
      <c r="E3791" s="1342"/>
      <c r="F3791" s="1342"/>
      <c r="G3791" s="1342"/>
      <c r="H3791" s="1342"/>
      <c r="I3791" s="1342"/>
      <c r="J3791" s="1342"/>
      <c r="K3791" s="1342"/>
    </row>
    <row r="3792" spans="2:11" ht="14" hidden="1">
      <c r="B3792" s="1342"/>
      <c r="C3792" s="1342"/>
      <c r="D3792" s="1342"/>
      <c r="E3792" s="1342"/>
      <c r="F3792" s="1342"/>
      <c r="G3792" s="1342"/>
      <c r="H3792" s="1342"/>
      <c r="I3792" s="1342"/>
      <c r="J3792" s="1342"/>
      <c r="K3792" s="1342"/>
    </row>
    <row r="3793" spans="2:11" ht="14" hidden="1">
      <c r="B3793" s="1342"/>
      <c r="C3793" s="1342"/>
      <c r="D3793" s="1342"/>
      <c r="E3793" s="1342"/>
      <c r="F3793" s="1342"/>
      <c r="G3793" s="1342"/>
      <c r="H3793" s="1342"/>
      <c r="I3793" s="1342"/>
      <c r="J3793" s="1342"/>
      <c r="K3793" s="1342"/>
    </row>
    <row r="3794" spans="2:11" ht="14" hidden="1">
      <c r="B3794" s="1342"/>
      <c r="C3794" s="1342"/>
      <c r="D3794" s="1342"/>
      <c r="E3794" s="1342"/>
      <c r="F3794" s="1342"/>
      <c r="G3794" s="1342"/>
      <c r="H3794" s="1342"/>
      <c r="I3794" s="1342"/>
      <c r="J3794" s="1342"/>
      <c r="K3794" s="1342"/>
    </row>
    <row r="3795" spans="2:11" ht="14" hidden="1">
      <c r="B3795" s="1342"/>
      <c r="C3795" s="1342"/>
      <c r="D3795" s="1342"/>
      <c r="E3795" s="1342"/>
      <c r="F3795" s="1342"/>
      <c r="G3795" s="1342"/>
      <c r="H3795" s="1342"/>
      <c r="I3795" s="1342"/>
      <c r="J3795" s="1342"/>
      <c r="K3795" s="1342"/>
    </row>
    <row r="3796" spans="2:11" ht="14" hidden="1">
      <c r="B3796" s="1342"/>
      <c r="C3796" s="1342"/>
      <c r="D3796" s="1342"/>
      <c r="E3796" s="1342"/>
      <c r="F3796" s="1342"/>
      <c r="G3796" s="1342"/>
      <c r="H3796" s="1342"/>
      <c r="I3796" s="1342"/>
      <c r="J3796" s="1342"/>
      <c r="K3796" s="1342"/>
    </row>
    <row r="3797" spans="2:11" ht="14" hidden="1">
      <c r="B3797" s="1342"/>
      <c r="C3797" s="1342"/>
      <c r="D3797" s="1342"/>
      <c r="E3797" s="1342"/>
      <c r="F3797" s="1342"/>
      <c r="G3797" s="1342"/>
      <c r="H3797" s="1342"/>
      <c r="I3797" s="1342"/>
      <c r="J3797" s="1342"/>
      <c r="K3797" s="1342"/>
    </row>
    <row r="3798" spans="2:11" ht="14" hidden="1">
      <c r="B3798" s="1342"/>
      <c r="C3798" s="1342"/>
      <c r="D3798" s="1342"/>
      <c r="E3798" s="1342"/>
      <c r="F3798" s="1342"/>
      <c r="G3798" s="1342"/>
      <c r="H3798" s="1342"/>
      <c r="I3798" s="1342"/>
      <c r="J3798" s="1342"/>
      <c r="K3798" s="1342"/>
    </row>
    <row r="3799" spans="2:11" ht="14" hidden="1">
      <c r="B3799" s="1342"/>
      <c r="C3799" s="1342"/>
      <c r="D3799" s="1342"/>
      <c r="E3799" s="1342"/>
      <c r="F3799" s="1342"/>
      <c r="G3799" s="1342"/>
      <c r="H3799" s="1342"/>
      <c r="I3799" s="1342"/>
      <c r="J3799" s="1342"/>
      <c r="K3799" s="1342"/>
    </row>
    <row r="3800" spans="2:11" ht="14" hidden="1">
      <c r="B3800" s="1342"/>
      <c r="C3800" s="1342"/>
      <c r="D3800" s="1342"/>
      <c r="E3800" s="1342"/>
      <c r="F3800" s="1342"/>
      <c r="G3800" s="1342"/>
      <c r="H3800" s="1342"/>
      <c r="I3800" s="1342"/>
      <c r="J3800" s="1342"/>
      <c r="K3800" s="1342"/>
    </row>
    <row r="3801" spans="2:11" ht="14" hidden="1">
      <c r="B3801" s="1342"/>
      <c r="C3801" s="1342"/>
      <c r="D3801" s="1342"/>
      <c r="E3801" s="1342"/>
      <c r="F3801" s="1342"/>
      <c r="G3801" s="1342"/>
      <c r="H3801" s="1342"/>
      <c r="I3801" s="1342"/>
      <c r="J3801" s="1342"/>
      <c r="K3801" s="1342"/>
    </row>
    <row r="3802" spans="2:11" ht="14" hidden="1">
      <c r="B3802" s="1342"/>
      <c r="C3802" s="1342"/>
      <c r="D3802" s="1342"/>
      <c r="E3802" s="1342"/>
      <c r="F3802" s="1342"/>
      <c r="G3802" s="1342"/>
      <c r="H3802" s="1342"/>
      <c r="I3802" s="1342"/>
      <c r="J3802" s="1342"/>
      <c r="K3802" s="1342"/>
    </row>
    <row r="3803" spans="2:11" ht="14" hidden="1">
      <c r="B3803" s="1342"/>
      <c r="C3803" s="1342"/>
      <c r="D3803" s="1342"/>
      <c r="E3803" s="1342"/>
      <c r="F3803" s="1342"/>
      <c r="G3803" s="1342"/>
      <c r="H3803" s="1342"/>
      <c r="I3803" s="1342"/>
      <c r="J3803" s="1342"/>
      <c r="K3803" s="1342"/>
    </row>
    <row r="3804" spans="2:11" ht="14" hidden="1">
      <c r="B3804" s="1342"/>
      <c r="C3804" s="1342"/>
      <c r="D3804" s="1342"/>
      <c r="E3804" s="1342"/>
      <c r="F3804" s="1342"/>
      <c r="G3804" s="1342"/>
      <c r="H3804" s="1342"/>
      <c r="I3804" s="1342"/>
      <c r="J3804" s="1342"/>
      <c r="K3804" s="1342"/>
    </row>
    <row r="3805" spans="2:11" ht="14" hidden="1">
      <c r="B3805" s="1342"/>
      <c r="C3805" s="1342"/>
      <c r="D3805" s="1342"/>
      <c r="E3805" s="1342"/>
      <c r="F3805" s="1342"/>
      <c r="G3805" s="1342"/>
      <c r="H3805" s="1342"/>
      <c r="I3805" s="1342"/>
      <c r="J3805" s="1342"/>
      <c r="K3805" s="1342"/>
    </row>
    <row r="3806" spans="2:11" ht="14" hidden="1">
      <c r="B3806" s="1342"/>
      <c r="C3806" s="1342"/>
      <c r="D3806" s="1342"/>
      <c r="E3806" s="1342"/>
      <c r="F3806" s="1342"/>
      <c r="G3806" s="1342"/>
      <c r="H3806" s="1342"/>
      <c r="I3806" s="1342"/>
      <c r="J3806" s="1342"/>
      <c r="K3806" s="1342"/>
    </row>
    <row r="3807" spans="2:11" ht="14" hidden="1">
      <c r="B3807" s="1342"/>
      <c r="C3807" s="1342"/>
      <c r="D3807" s="1342"/>
      <c r="E3807" s="1342"/>
      <c r="F3807" s="1342"/>
      <c r="G3807" s="1342"/>
      <c r="H3807" s="1342"/>
      <c r="I3807" s="1342"/>
      <c r="J3807" s="1342"/>
      <c r="K3807" s="1342"/>
    </row>
    <row r="3808" spans="2:11" ht="14" hidden="1">
      <c r="B3808" s="1342"/>
      <c r="C3808" s="1342"/>
      <c r="D3808" s="1342"/>
      <c r="E3808" s="1342"/>
      <c r="F3808" s="1342"/>
      <c r="G3808" s="1342"/>
      <c r="H3808" s="1342"/>
      <c r="I3808" s="1342"/>
      <c r="J3808" s="1342"/>
      <c r="K3808" s="1342"/>
    </row>
    <row r="3809" spans="2:11" ht="14" hidden="1">
      <c r="B3809" s="1342"/>
      <c r="C3809" s="1342"/>
      <c r="D3809" s="1342"/>
      <c r="E3809" s="1342"/>
      <c r="F3809" s="1342"/>
      <c r="G3809" s="1342"/>
      <c r="H3809" s="1342"/>
      <c r="I3809" s="1342"/>
      <c r="J3809" s="1342"/>
      <c r="K3809" s="1342"/>
    </row>
    <row r="3810" spans="2:11" ht="14" hidden="1">
      <c r="B3810" s="1342"/>
      <c r="C3810" s="1342"/>
      <c r="D3810" s="1342"/>
      <c r="E3810" s="1342"/>
      <c r="F3810" s="1342"/>
      <c r="G3810" s="1342"/>
      <c r="H3810" s="1342"/>
      <c r="I3810" s="1342"/>
      <c r="J3810" s="1342"/>
      <c r="K3810" s="1342"/>
    </row>
    <row r="3811" spans="2:11" ht="14" hidden="1">
      <c r="B3811" s="1342"/>
      <c r="C3811" s="1342"/>
      <c r="D3811" s="1342"/>
      <c r="E3811" s="1342"/>
      <c r="F3811" s="1342"/>
      <c r="G3811" s="1342"/>
      <c r="H3811" s="1342"/>
      <c r="I3811" s="1342"/>
      <c r="J3811" s="1342"/>
      <c r="K3811" s="1342"/>
    </row>
    <row r="3812" spans="2:11" ht="14" hidden="1">
      <c r="B3812" s="1342"/>
      <c r="C3812" s="1342"/>
      <c r="D3812" s="1342"/>
      <c r="E3812" s="1342"/>
      <c r="F3812" s="1342"/>
      <c r="G3812" s="1342"/>
      <c r="H3812" s="1342"/>
      <c r="I3812" s="1342"/>
      <c r="J3812" s="1342"/>
      <c r="K3812" s="1342"/>
    </row>
    <row r="3813" spans="2:11" ht="14" hidden="1">
      <c r="B3813" s="1342"/>
      <c r="C3813" s="1342"/>
      <c r="D3813" s="1342"/>
      <c r="E3813" s="1342"/>
      <c r="F3813" s="1342"/>
      <c r="G3813" s="1342"/>
      <c r="H3813" s="1342"/>
      <c r="I3813" s="1342"/>
      <c r="J3813" s="1342"/>
      <c r="K3813" s="1342"/>
    </row>
    <row r="3814" spans="2:11" ht="14" hidden="1">
      <c r="B3814" s="1342"/>
      <c r="C3814" s="1342"/>
      <c r="D3814" s="1342"/>
      <c r="E3814" s="1342"/>
      <c r="F3814" s="1342"/>
      <c r="G3814" s="1342"/>
      <c r="H3814" s="1342"/>
      <c r="I3814" s="1342"/>
      <c r="J3814" s="1342"/>
      <c r="K3814" s="1342"/>
    </row>
    <row r="3815" spans="2:11" ht="14" hidden="1">
      <c r="B3815" s="1342"/>
      <c r="C3815" s="1342"/>
      <c r="D3815" s="1342"/>
      <c r="E3815" s="1342"/>
      <c r="F3815" s="1342"/>
      <c r="G3815" s="1342"/>
      <c r="H3815" s="1342"/>
      <c r="I3815" s="1342"/>
      <c r="J3815" s="1342"/>
      <c r="K3815" s="1342"/>
    </row>
    <row r="3816" spans="2:11" ht="14" hidden="1">
      <c r="B3816" s="1342"/>
      <c r="C3816" s="1342"/>
      <c r="D3816" s="1342"/>
      <c r="E3816" s="1342"/>
      <c r="F3816" s="1342"/>
      <c r="G3816" s="1342"/>
      <c r="H3816" s="1342"/>
      <c r="I3816" s="1342"/>
      <c r="J3816" s="1342"/>
      <c r="K3816" s="1342"/>
    </row>
    <row r="3817" spans="2:11" ht="14" hidden="1">
      <c r="B3817" s="1342"/>
      <c r="C3817" s="1342"/>
      <c r="D3817" s="1342"/>
      <c r="E3817" s="1342"/>
      <c r="F3817" s="1342"/>
      <c r="G3817" s="1342"/>
      <c r="H3817" s="1342"/>
      <c r="I3817" s="1342"/>
      <c r="J3817" s="1342"/>
      <c r="K3817" s="1342"/>
    </row>
    <row r="3818" spans="2:11" ht="14" hidden="1">
      <c r="B3818" s="1342"/>
      <c r="C3818" s="1342"/>
      <c r="D3818" s="1342"/>
      <c r="E3818" s="1342"/>
      <c r="F3818" s="1342"/>
      <c r="G3818" s="1342"/>
      <c r="H3818" s="1342"/>
      <c r="I3818" s="1342"/>
      <c r="J3818" s="1342"/>
      <c r="K3818" s="1342"/>
    </row>
    <row r="3819" spans="2:11" ht="14" hidden="1">
      <c r="B3819" s="1342"/>
      <c r="C3819" s="1342"/>
      <c r="D3819" s="1342"/>
      <c r="E3819" s="1342"/>
      <c r="F3819" s="1342"/>
      <c r="G3819" s="1342"/>
      <c r="H3819" s="1342"/>
      <c r="I3819" s="1342"/>
      <c r="J3819" s="1342"/>
      <c r="K3819" s="1342"/>
    </row>
    <row r="3820" spans="2:11" ht="14" hidden="1">
      <c r="B3820" s="1342"/>
      <c r="C3820" s="1342"/>
      <c r="D3820" s="1342"/>
      <c r="E3820" s="1342"/>
      <c r="F3820" s="1342"/>
      <c r="G3820" s="1342"/>
      <c r="H3820" s="1342"/>
      <c r="I3820" s="1342"/>
      <c r="J3820" s="1342"/>
      <c r="K3820" s="1342"/>
    </row>
    <row r="3821" spans="2:11" ht="14" hidden="1">
      <c r="B3821" s="1342"/>
      <c r="C3821" s="1342"/>
      <c r="D3821" s="1342"/>
      <c r="E3821" s="1342"/>
      <c r="F3821" s="1342"/>
      <c r="G3821" s="1342"/>
      <c r="H3821" s="1342"/>
      <c r="I3821" s="1342"/>
      <c r="J3821" s="1342"/>
      <c r="K3821" s="1342"/>
    </row>
    <row r="3822" spans="2:11" ht="14" hidden="1">
      <c r="B3822" s="1342"/>
      <c r="C3822" s="1342"/>
      <c r="D3822" s="1342"/>
      <c r="E3822" s="1342"/>
      <c r="F3822" s="1342"/>
      <c r="G3822" s="1342"/>
      <c r="H3822" s="1342"/>
      <c r="I3822" s="1342"/>
      <c r="J3822" s="1342"/>
      <c r="K3822" s="1342"/>
    </row>
    <row r="3823" spans="2:11" ht="14" hidden="1">
      <c r="B3823" s="1342"/>
      <c r="C3823" s="1342"/>
      <c r="D3823" s="1342"/>
      <c r="E3823" s="1342"/>
      <c r="F3823" s="1342"/>
      <c r="G3823" s="1342"/>
      <c r="H3823" s="1342"/>
      <c r="I3823" s="1342"/>
      <c r="J3823" s="1342"/>
      <c r="K3823" s="1342"/>
    </row>
    <row r="3824" spans="2:11" ht="14" hidden="1">
      <c r="B3824" s="1342"/>
      <c r="C3824" s="1342"/>
      <c r="D3824" s="1342"/>
      <c r="E3824" s="1342"/>
      <c r="F3824" s="1342"/>
      <c r="G3824" s="1342"/>
      <c r="H3824" s="1342"/>
      <c r="I3824" s="1342"/>
      <c r="J3824" s="1342"/>
      <c r="K3824" s="1342"/>
    </row>
    <row r="3825" spans="2:11" ht="14" hidden="1">
      <c r="B3825" s="1342"/>
      <c r="C3825" s="1342"/>
      <c r="D3825" s="1342"/>
      <c r="E3825" s="1342"/>
      <c r="F3825" s="1342"/>
      <c r="G3825" s="1342"/>
      <c r="H3825" s="1342"/>
      <c r="I3825" s="1342"/>
      <c r="J3825" s="1342"/>
      <c r="K3825" s="1342"/>
    </row>
    <row r="3826" spans="2:11" ht="14" hidden="1">
      <c r="B3826" s="1342"/>
      <c r="C3826" s="1342"/>
      <c r="D3826" s="1342"/>
      <c r="E3826" s="1342"/>
      <c r="F3826" s="1342"/>
      <c r="G3826" s="1342"/>
      <c r="H3826" s="1342"/>
      <c r="I3826" s="1342"/>
      <c r="J3826" s="1342"/>
      <c r="K3826" s="1342"/>
    </row>
    <row r="3827" spans="2:11" ht="14" hidden="1">
      <c r="B3827" s="1342"/>
      <c r="C3827" s="1342"/>
      <c r="D3827" s="1342"/>
      <c r="E3827" s="1342"/>
      <c r="F3827" s="1342"/>
      <c r="G3827" s="1342"/>
      <c r="H3827" s="1342"/>
      <c r="I3827" s="1342"/>
      <c r="J3827" s="1342"/>
      <c r="K3827" s="1342"/>
    </row>
    <row r="3828" spans="2:11" ht="14" hidden="1">
      <c r="B3828" s="1342"/>
      <c r="C3828" s="1342"/>
      <c r="D3828" s="1342"/>
      <c r="E3828" s="1342"/>
      <c r="F3828" s="1342"/>
      <c r="G3828" s="1342"/>
      <c r="H3828" s="1342"/>
      <c r="I3828" s="1342"/>
      <c r="J3828" s="1342"/>
      <c r="K3828" s="1342"/>
    </row>
    <row r="3829" spans="2:11" ht="14" hidden="1">
      <c r="B3829" s="1342"/>
      <c r="C3829" s="1342"/>
      <c r="D3829" s="1342"/>
      <c r="E3829" s="1342"/>
      <c r="F3829" s="1342"/>
      <c r="G3829" s="1342"/>
      <c r="H3829" s="1342"/>
      <c r="I3829" s="1342"/>
      <c r="J3829" s="1342"/>
      <c r="K3829" s="1342"/>
    </row>
    <row r="3830" spans="2:11" ht="14" hidden="1">
      <c r="B3830" s="1342"/>
      <c r="C3830" s="1342"/>
      <c r="D3830" s="1342"/>
      <c r="E3830" s="1342"/>
      <c r="F3830" s="1342"/>
      <c r="G3830" s="1342"/>
      <c r="H3830" s="1342"/>
      <c r="I3830" s="1342"/>
      <c r="J3830" s="1342"/>
      <c r="K3830" s="1342"/>
    </row>
    <row r="3831" spans="2:11" ht="14" hidden="1">
      <c r="B3831" s="1342"/>
      <c r="C3831" s="1342"/>
      <c r="D3831" s="1342"/>
      <c r="E3831" s="1342"/>
      <c r="F3831" s="1342"/>
      <c r="G3831" s="1342"/>
      <c r="H3831" s="1342"/>
      <c r="I3831" s="1342"/>
      <c r="J3831" s="1342"/>
      <c r="K3831" s="1342"/>
    </row>
    <row r="3832" spans="2:11" ht="14" hidden="1">
      <c r="B3832" s="1342"/>
      <c r="C3832" s="1342"/>
      <c r="D3832" s="1342"/>
      <c r="E3832" s="1342"/>
      <c r="F3832" s="1342"/>
      <c r="G3832" s="1342"/>
      <c r="H3832" s="1342"/>
      <c r="I3832" s="1342"/>
      <c r="J3832" s="1342"/>
      <c r="K3832" s="1342"/>
    </row>
    <row r="3833" spans="2:11" ht="14" hidden="1">
      <c r="B3833" s="1342"/>
      <c r="C3833" s="1342"/>
      <c r="D3833" s="1342"/>
      <c r="E3833" s="1342"/>
      <c r="F3833" s="1342"/>
      <c r="G3833" s="1342"/>
      <c r="H3833" s="1342"/>
      <c r="I3833" s="1342"/>
      <c r="J3833" s="1342"/>
      <c r="K3833" s="1342"/>
    </row>
    <row r="3834" spans="2:11" ht="14" hidden="1">
      <c r="B3834" s="1342"/>
      <c r="C3834" s="1342"/>
      <c r="D3834" s="1342"/>
      <c r="E3834" s="1342"/>
      <c r="F3834" s="1342"/>
      <c r="G3834" s="1342"/>
      <c r="H3834" s="1342"/>
      <c r="I3834" s="1342"/>
      <c r="J3834" s="1342"/>
      <c r="K3834" s="1342"/>
    </row>
    <row r="3835" spans="2:11" ht="14" hidden="1">
      <c r="B3835" s="1342"/>
      <c r="C3835" s="1342"/>
      <c r="D3835" s="1342"/>
      <c r="E3835" s="1342"/>
      <c r="F3835" s="1342"/>
      <c r="G3835" s="1342"/>
      <c r="H3835" s="1342"/>
      <c r="I3835" s="1342"/>
      <c r="J3835" s="1342"/>
      <c r="K3835" s="1342"/>
    </row>
    <row r="3836" spans="2:11" ht="14" hidden="1">
      <c r="B3836" s="1342"/>
      <c r="C3836" s="1342"/>
      <c r="D3836" s="1342"/>
      <c r="E3836" s="1342"/>
      <c r="F3836" s="1342"/>
      <c r="G3836" s="1342"/>
      <c r="H3836" s="1342"/>
      <c r="I3836" s="1342"/>
      <c r="J3836" s="1342"/>
      <c r="K3836" s="1342"/>
    </row>
    <row r="3837" spans="2:11" ht="14" hidden="1">
      <c r="B3837" s="1342"/>
      <c r="C3837" s="1342"/>
      <c r="D3837" s="1342"/>
      <c r="E3837" s="1342"/>
      <c r="F3837" s="1342"/>
      <c r="G3837" s="1342"/>
      <c r="H3837" s="1342"/>
      <c r="I3837" s="1342"/>
      <c r="J3837" s="1342"/>
      <c r="K3837" s="1342"/>
    </row>
    <row r="3838" spans="2:11" ht="14" hidden="1">
      <c r="B3838" s="1342"/>
      <c r="C3838" s="1342"/>
      <c r="D3838" s="1342"/>
      <c r="E3838" s="1342"/>
      <c r="F3838" s="1342"/>
      <c r="G3838" s="1342"/>
      <c r="H3838" s="1342"/>
      <c r="I3838" s="1342"/>
      <c r="J3838" s="1342"/>
      <c r="K3838" s="1342"/>
    </row>
    <row r="3839" spans="2:11" ht="14" hidden="1">
      <c r="B3839" s="1342"/>
      <c r="C3839" s="1342"/>
      <c r="D3839" s="1342"/>
      <c r="E3839" s="1342"/>
      <c r="F3839" s="1342"/>
      <c r="G3839" s="1342"/>
      <c r="H3839" s="1342"/>
      <c r="I3839" s="1342"/>
      <c r="J3839" s="1342"/>
      <c r="K3839" s="1342"/>
    </row>
    <row r="3840" spans="2:11" ht="14" hidden="1">
      <c r="B3840" s="1342"/>
      <c r="C3840" s="1342"/>
      <c r="D3840" s="1342"/>
      <c r="E3840" s="1342"/>
      <c r="F3840" s="1342"/>
      <c r="G3840" s="1342"/>
      <c r="H3840" s="1342"/>
      <c r="I3840" s="1342"/>
      <c r="J3840" s="1342"/>
      <c r="K3840" s="1342"/>
    </row>
    <row r="3841" spans="2:11" ht="14" hidden="1">
      <c r="B3841" s="1342"/>
      <c r="C3841" s="1342"/>
      <c r="D3841" s="1342"/>
      <c r="E3841" s="1342"/>
      <c r="F3841" s="1342"/>
      <c r="G3841" s="1342"/>
      <c r="H3841" s="1342"/>
      <c r="I3841" s="1342"/>
      <c r="J3841" s="1342"/>
      <c r="K3841" s="1342"/>
    </row>
    <row r="3842" spans="2:11" ht="14" hidden="1">
      <c r="B3842" s="1342"/>
      <c r="C3842" s="1342"/>
      <c r="D3842" s="1342"/>
      <c r="E3842" s="1342"/>
      <c r="F3842" s="1342"/>
      <c r="G3842" s="1342"/>
      <c r="H3842" s="1342"/>
      <c r="I3842" s="1342"/>
      <c r="J3842" s="1342"/>
      <c r="K3842" s="1342"/>
    </row>
    <row r="3843" spans="2:11" ht="14" hidden="1">
      <c r="B3843" s="1342"/>
      <c r="C3843" s="1342"/>
      <c r="D3843" s="1342"/>
      <c r="E3843" s="1342"/>
      <c r="F3843" s="1342"/>
      <c r="G3843" s="1342"/>
      <c r="H3843" s="1342"/>
      <c r="I3843" s="1342"/>
      <c r="J3843" s="1342"/>
      <c r="K3843" s="1342"/>
    </row>
    <row r="3844" spans="2:11" ht="14" hidden="1">
      <c r="B3844" s="1342"/>
      <c r="C3844" s="1342"/>
      <c r="D3844" s="1342"/>
      <c r="E3844" s="1342"/>
      <c r="F3844" s="1342"/>
      <c r="G3844" s="1342"/>
      <c r="H3844" s="1342"/>
      <c r="I3844" s="1342"/>
      <c r="J3844" s="1342"/>
      <c r="K3844" s="1342"/>
    </row>
    <row r="3845" spans="2:11" ht="14" hidden="1">
      <c r="B3845" s="1342"/>
      <c r="C3845" s="1342"/>
      <c r="D3845" s="1342"/>
      <c r="E3845" s="1342"/>
      <c r="F3845" s="1342"/>
      <c r="G3845" s="1342"/>
      <c r="H3845" s="1342"/>
      <c r="I3845" s="1342"/>
      <c r="J3845" s="1342"/>
      <c r="K3845" s="1342"/>
    </row>
    <row r="3846" spans="2:11" ht="14" hidden="1">
      <c r="B3846" s="1342"/>
      <c r="C3846" s="1342"/>
      <c r="D3846" s="1342"/>
      <c r="E3846" s="1342"/>
      <c r="F3846" s="1342"/>
      <c r="G3846" s="1342"/>
      <c r="H3846" s="1342"/>
      <c r="I3846" s="1342"/>
      <c r="J3846" s="1342"/>
      <c r="K3846" s="1342"/>
    </row>
    <row r="3847" spans="2:11" ht="14" hidden="1">
      <c r="B3847" s="1342"/>
      <c r="C3847" s="1342"/>
      <c r="D3847" s="1342"/>
      <c r="E3847" s="1342"/>
      <c r="F3847" s="1342"/>
      <c r="G3847" s="1342"/>
      <c r="H3847" s="1342"/>
      <c r="I3847" s="1342"/>
      <c r="J3847" s="1342"/>
      <c r="K3847" s="1342"/>
    </row>
    <row r="3848" spans="2:11" ht="14" hidden="1">
      <c r="B3848" s="1342"/>
      <c r="C3848" s="1342"/>
      <c r="D3848" s="1342"/>
      <c r="E3848" s="1342"/>
      <c r="F3848" s="1342"/>
      <c r="G3848" s="1342"/>
      <c r="H3848" s="1342"/>
      <c r="I3848" s="1342"/>
      <c r="J3848" s="1342"/>
      <c r="K3848" s="1342"/>
    </row>
    <row r="3849" spans="2:11" ht="14" hidden="1">
      <c r="B3849" s="1342"/>
      <c r="C3849" s="1342"/>
      <c r="D3849" s="1342"/>
      <c r="E3849" s="1342"/>
      <c r="F3849" s="1342"/>
      <c r="G3849" s="1342"/>
      <c r="H3849" s="1342"/>
      <c r="I3849" s="1342"/>
      <c r="J3849" s="1342"/>
      <c r="K3849" s="1342"/>
    </row>
    <row r="3850" spans="2:11" ht="14" hidden="1">
      <c r="B3850" s="1342"/>
      <c r="C3850" s="1342"/>
      <c r="D3850" s="1342"/>
      <c r="E3850" s="1342"/>
      <c r="F3850" s="1342"/>
      <c r="G3850" s="1342"/>
      <c r="H3850" s="1342"/>
      <c r="I3850" s="1342"/>
      <c r="J3850" s="1342"/>
      <c r="K3850" s="1342"/>
    </row>
    <row r="3851" spans="2:11" ht="14" hidden="1">
      <c r="B3851" s="1342"/>
      <c r="C3851" s="1342"/>
      <c r="D3851" s="1342"/>
      <c r="E3851" s="1342"/>
      <c r="F3851" s="1342"/>
      <c r="G3851" s="1342"/>
      <c r="H3851" s="1342"/>
      <c r="I3851" s="1342"/>
      <c r="J3851" s="1342"/>
      <c r="K3851" s="1342"/>
    </row>
    <row r="3852" spans="2:11" ht="14" hidden="1">
      <c r="B3852" s="1342"/>
      <c r="C3852" s="1342"/>
      <c r="D3852" s="1342"/>
      <c r="E3852" s="1342"/>
      <c r="F3852" s="1342"/>
      <c r="G3852" s="1342"/>
      <c r="H3852" s="1342"/>
      <c r="I3852" s="1342"/>
      <c r="J3852" s="1342"/>
      <c r="K3852" s="1342"/>
    </row>
    <row r="3853" spans="2:11" ht="14" hidden="1">
      <c r="B3853" s="1342"/>
      <c r="C3853" s="1342"/>
      <c r="D3853" s="1342"/>
      <c r="E3853" s="1342"/>
      <c r="F3853" s="1342"/>
      <c r="G3853" s="1342"/>
      <c r="H3853" s="1342"/>
      <c r="I3853" s="1342"/>
      <c r="J3853" s="1342"/>
      <c r="K3853" s="1342"/>
    </row>
    <row r="3854" spans="2:11" ht="14" hidden="1">
      <c r="B3854" s="1342"/>
      <c r="C3854" s="1342"/>
      <c r="D3854" s="1342"/>
      <c r="E3854" s="1342"/>
      <c r="F3854" s="1342"/>
      <c r="G3854" s="1342"/>
      <c r="H3854" s="1342"/>
      <c r="I3854" s="1342"/>
      <c r="J3854" s="1342"/>
      <c r="K3854" s="1342"/>
    </row>
    <row r="3855" spans="2:11" ht="14" hidden="1">
      <c r="B3855" s="1342"/>
      <c r="C3855" s="1342"/>
      <c r="D3855" s="1342"/>
      <c r="E3855" s="1342"/>
      <c r="F3855" s="1342"/>
      <c r="G3855" s="1342"/>
      <c r="H3855" s="1342"/>
      <c r="I3855" s="1342"/>
      <c r="J3855" s="1342"/>
      <c r="K3855" s="1342"/>
    </row>
    <row r="3856" spans="2:11" ht="14" hidden="1">
      <c r="B3856" s="1342"/>
      <c r="C3856" s="1342"/>
      <c r="D3856" s="1342"/>
      <c r="E3856" s="1342"/>
      <c r="F3856" s="1342"/>
      <c r="G3856" s="1342"/>
      <c r="H3856" s="1342"/>
      <c r="I3856" s="1342"/>
      <c r="J3856" s="1342"/>
      <c r="K3856" s="1342"/>
    </row>
    <row r="3857" spans="2:11" ht="14" hidden="1">
      <c r="B3857" s="1342"/>
      <c r="C3857" s="1342"/>
      <c r="D3857" s="1342"/>
      <c r="E3857" s="1342"/>
      <c r="F3857" s="1342"/>
      <c r="G3857" s="1342"/>
      <c r="H3857" s="1342"/>
      <c r="I3857" s="1342"/>
      <c r="J3857" s="1342"/>
      <c r="K3857" s="1342"/>
    </row>
    <row r="3858" spans="2:11" ht="14" hidden="1">
      <c r="B3858" s="1342"/>
      <c r="C3858" s="1342"/>
      <c r="D3858" s="1342"/>
      <c r="E3858" s="1342"/>
      <c r="F3858" s="1342"/>
      <c r="G3858" s="1342"/>
      <c r="H3858" s="1342"/>
      <c r="I3858" s="1342"/>
      <c r="J3858" s="1342"/>
      <c r="K3858" s="1342"/>
    </row>
    <row r="3859" spans="2:11" ht="14" hidden="1">
      <c r="B3859" s="1342"/>
      <c r="C3859" s="1342"/>
      <c r="D3859" s="1342"/>
      <c r="E3859" s="1342"/>
      <c r="F3859" s="1342"/>
      <c r="G3859" s="1342"/>
      <c r="H3859" s="1342"/>
      <c r="I3859" s="1342"/>
      <c r="J3859" s="1342"/>
      <c r="K3859" s="1342"/>
    </row>
    <row r="3860" spans="2:11" ht="14" hidden="1">
      <c r="B3860" s="1342"/>
      <c r="C3860" s="1342"/>
      <c r="D3860" s="1342"/>
      <c r="E3860" s="1342"/>
      <c r="F3860" s="1342"/>
      <c r="G3860" s="1342"/>
      <c r="H3860" s="1342"/>
      <c r="I3860" s="1342"/>
      <c r="J3860" s="1342"/>
      <c r="K3860" s="1342"/>
    </row>
    <row r="3861" spans="2:11" ht="14" hidden="1">
      <c r="B3861" s="1342"/>
      <c r="C3861" s="1342"/>
      <c r="D3861" s="1342"/>
      <c r="E3861" s="1342"/>
      <c r="F3861" s="1342"/>
      <c r="G3861" s="1342"/>
      <c r="H3861" s="1342"/>
      <c r="I3861" s="1342"/>
      <c r="J3861" s="1342"/>
      <c r="K3861" s="1342"/>
    </row>
    <row r="3862" spans="2:11" ht="14" hidden="1">
      <c r="B3862" s="1342"/>
      <c r="C3862" s="1342"/>
      <c r="D3862" s="1342"/>
      <c r="E3862" s="1342"/>
      <c r="F3862" s="1342"/>
      <c r="G3862" s="1342"/>
      <c r="H3862" s="1342"/>
      <c r="I3862" s="1342"/>
      <c r="J3862" s="1342"/>
      <c r="K3862" s="1342"/>
    </row>
    <row r="3863" spans="2:11" ht="14" hidden="1">
      <c r="B3863" s="1342"/>
      <c r="C3863" s="1342"/>
      <c r="D3863" s="1342"/>
      <c r="E3863" s="1342"/>
      <c r="F3863" s="1342"/>
      <c r="G3863" s="1342"/>
      <c r="H3863" s="1342"/>
      <c r="I3863" s="1342"/>
      <c r="J3863" s="1342"/>
      <c r="K3863" s="1342"/>
    </row>
    <row r="3864" spans="2:11" ht="14" hidden="1">
      <c r="B3864" s="1342"/>
      <c r="C3864" s="1342"/>
      <c r="D3864" s="1342"/>
      <c r="E3864" s="1342"/>
      <c r="F3864" s="1342"/>
      <c r="G3864" s="1342"/>
      <c r="H3864" s="1342"/>
      <c r="I3864" s="1342"/>
      <c r="J3864" s="1342"/>
      <c r="K3864" s="1342"/>
    </row>
    <row r="3865" spans="2:11" ht="14" hidden="1">
      <c r="B3865" s="1342"/>
      <c r="C3865" s="1342"/>
      <c r="D3865" s="1342"/>
      <c r="E3865" s="1342"/>
      <c r="F3865" s="1342"/>
      <c r="G3865" s="1342"/>
      <c r="H3865" s="1342"/>
      <c r="I3865" s="1342"/>
      <c r="J3865" s="1342"/>
      <c r="K3865" s="1342"/>
    </row>
    <row r="3866" spans="2:11" ht="14" hidden="1">
      <c r="B3866" s="1342"/>
      <c r="C3866" s="1342"/>
      <c r="D3866" s="1342"/>
      <c r="E3866" s="1342"/>
      <c r="F3866" s="1342"/>
      <c r="G3866" s="1342"/>
      <c r="H3866" s="1342"/>
      <c r="I3866" s="1342"/>
      <c r="J3866" s="1342"/>
      <c r="K3866" s="1342"/>
    </row>
    <row r="3867" spans="2:11" ht="14" hidden="1">
      <c r="B3867" s="1342"/>
      <c r="C3867" s="1342"/>
      <c r="D3867" s="1342"/>
      <c r="E3867" s="1342"/>
      <c r="F3867" s="1342"/>
      <c r="G3867" s="1342"/>
      <c r="H3867" s="1342"/>
      <c r="I3867" s="1342"/>
      <c r="J3867" s="1342"/>
      <c r="K3867" s="1342"/>
    </row>
    <row r="3868" spans="2:11" ht="14" hidden="1">
      <c r="B3868" s="1342"/>
      <c r="C3868" s="1342"/>
      <c r="D3868" s="1342"/>
      <c r="E3868" s="1342"/>
      <c r="F3868" s="1342"/>
      <c r="G3868" s="1342"/>
      <c r="H3868" s="1342"/>
      <c r="I3868" s="1342"/>
      <c r="J3868" s="1342"/>
      <c r="K3868" s="1342"/>
    </row>
    <row r="3869" spans="2:11" ht="14" hidden="1">
      <c r="B3869" s="1342"/>
      <c r="C3869" s="1342"/>
      <c r="D3869" s="1342"/>
      <c r="E3869" s="1342"/>
      <c r="F3869" s="1342"/>
      <c r="G3869" s="1342"/>
      <c r="H3869" s="1342"/>
      <c r="I3869" s="1342"/>
      <c r="J3869" s="1342"/>
      <c r="K3869" s="1342"/>
    </row>
    <row r="3870" spans="2:11" ht="14" hidden="1">
      <c r="B3870" s="1342"/>
      <c r="C3870" s="1342"/>
      <c r="D3870" s="1342"/>
      <c r="E3870" s="1342"/>
      <c r="F3870" s="1342"/>
      <c r="G3870" s="1342"/>
      <c r="H3870" s="1342"/>
      <c r="I3870" s="1342"/>
      <c r="J3870" s="1342"/>
      <c r="K3870" s="1342"/>
    </row>
    <row r="3871" spans="2:11" ht="14" hidden="1">
      <c r="B3871" s="1342"/>
      <c r="C3871" s="1342"/>
      <c r="D3871" s="1342"/>
      <c r="E3871" s="1342"/>
      <c r="F3871" s="1342"/>
      <c r="G3871" s="1342"/>
      <c r="H3871" s="1342"/>
      <c r="I3871" s="1342"/>
      <c r="J3871" s="1342"/>
      <c r="K3871" s="1342"/>
    </row>
    <row r="3872" spans="2:11" ht="14" hidden="1">
      <c r="B3872" s="1342"/>
      <c r="C3872" s="1342"/>
      <c r="D3872" s="1342"/>
      <c r="E3872" s="1342"/>
      <c r="F3872" s="1342"/>
      <c r="G3872" s="1342"/>
      <c r="H3872" s="1342"/>
      <c r="I3872" s="1342"/>
      <c r="J3872" s="1342"/>
      <c r="K3872" s="1342"/>
    </row>
    <row r="3873" spans="2:11" ht="14" hidden="1">
      <c r="B3873" s="1342"/>
      <c r="C3873" s="1342"/>
      <c r="D3873" s="1342"/>
      <c r="E3873" s="1342"/>
      <c r="F3873" s="1342"/>
      <c r="G3873" s="1342"/>
      <c r="H3873" s="1342"/>
      <c r="I3873" s="1342"/>
      <c r="J3873" s="1342"/>
      <c r="K3873" s="1342"/>
    </row>
    <row r="3874" spans="2:11" ht="14" hidden="1">
      <c r="B3874" s="1342"/>
      <c r="C3874" s="1342"/>
      <c r="D3874" s="1342"/>
      <c r="E3874" s="1342"/>
      <c r="F3874" s="1342"/>
      <c r="G3874" s="1342"/>
      <c r="H3874" s="1342"/>
      <c r="I3874" s="1342"/>
      <c r="J3874" s="1342"/>
      <c r="K3874" s="1342"/>
    </row>
    <row r="3875" spans="2:11" ht="14" hidden="1">
      <c r="B3875" s="1342"/>
      <c r="C3875" s="1342"/>
      <c r="D3875" s="1342"/>
      <c r="E3875" s="1342"/>
      <c r="F3875" s="1342"/>
      <c r="G3875" s="1342"/>
      <c r="H3875" s="1342"/>
      <c r="I3875" s="1342"/>
      <c r="J3875" s="1342"/>
      <c r="K3875" s="1342"/>
    </row>
    <row r="3876" spans="2:11" ht="14" hidden="1">
      <c r="B3876" s="1342"/>
      <c r="C3876" s="1342"/>
      <c r="D3876" s="1342"/>
      <c r="E3876" s="1342"/>
      <c r="F3876" s="1342"/>
      <c r="G3876" s="1342"/>
      <c r="H3876" s="1342"/>
      <c r="I3876" s="1342"/>
      <c r="J3876" s="1342"/>
      <c r="K3876" s="1342"/>
    </row>
    <row r="3877" spans="2:11" ht="14" hidden="1">
      <c r="B3877" s="1342"/>
      <c r="C3877" s="1342"/>
      <c r="D3877" s="1342"/>
      <c r="E3877" s="1342"/>
      <c r="F3877" s="1342"/>
      <c r="G3877" s="1342"/>
      <c r="H3877" s="1342"/>
      <c r="I3877" s="1342"/>
      <c r="J3877" s="1342"/>
      <c r="K3877" s="1342"/>
    </row>
    <row r="3878" spans="2:11" ht="14" hidden="1">
      <c r="B3878" s="1342"/>
      <c r="C3878" s="1342"/>
      <c r="D3878" s="1342"/>
      <c r="E3878" s="1342"/>
      <c r="F3878" s="1342"/>
      <c r="G3878" s="1342"/>
      <c r="H3878" s="1342"/>
      <c r="I3878" s="1342"/>
      <c r="J3878" s="1342"/>
      <c r="K3878" s="1342"/>
    </row>
    <row r="3879" spans="2:11" ht="14" hidden="1">
      <c r="B3879" s="1342"/>
      <c r="C3879" s="1342"/>
      <c r="D3879" s="1342"/>
      <c r="E3879" s="1342"/>
      <c r="F3879" s="1342"/>
      <c r="G3879" s="1342"/>
      <c r="H3879" s="1342"/>
      <c r="I3879" s="1342"/>
      <c r="J3879" s="1342"/>
      <c r="K3879" s="1342"/>
    </row>
    <row r="3880" spans="2:11" ht="14" hidden="1">
      <c r="B3880" s="1342"/>
      <c r="C3880" s="1342"/>
      <c r="D3880" s="1342"/>
      <c r="E3880" s="1342"/>
      <c r="F3880" s="1342"/>
      <c r="G3880" s="1342"/>
      <c r="H3880" s="1342"/>
      <c r="I3880" s="1342"/>
      <c r="J3880" s="1342"/>
      <c r="K3880" s="1342"/>
    </row>
    <row r="3881" spans="2:11" ht="14" hidden="1">
      <c r="B3881" s="1342"/>
      <c r="C3881" s="1342"/>
      <c r="D3881" s="1342"/>
      <c r="E3881" s="1342"/>
      <c r="F3881" s="1342"/>
      <c r="G3881" s="1342"/>
      <c r="H3881" s="1342"/>
      <c r="I3881" s="1342"/>
      <c r="J3881" s="1342"/>
      <c r="K3881" s="1342"/>
    </row>
    <row r="3882" spans="2:11" ht="14" hidden="1">
      <c r="B3882" s="1342"/>
      <c r="C3882" s="1342"/>
      <c r="D3882" s="1342"/>
      <c r="E3882" s="1342"/>
      <c r="F3882" s="1342"/>
      <c r="G3882" s="1342"/>
      <c r="H3882" s="1342"/>
      <c r="I3882" s="1342"/>
      <c r="J3882" s="1342"/>
      <c r="K3882" s="1342"/>
    </row>
    <row r="3883" spans="2:11" ht="14" hidden="1">
      <c r="B3883" s="1342"/>
      <c r="C3883" s="1342"/>
      <c r="D3883" s="1342"/>
      <c r="E3883" s="1342"/>
      <c r="F3883" s="1342"/>
      <c r="G3883" s="1342"/>
      <c r="H3883" s="1342"/>
      <c r="I3883" s="1342"/>
      <c r="J3883" s="1342"/>
      <c r="K3883" s="1342"/>
    </row>
    <row r="3884" spans="2:11" ht="14" hidden="1">
      <c r="B3884" s="1342"/>
      <c r="C3884" s="1342"/>
      <c r="D3884" s="1342"/>
      <c r="E3884" s="1342"/>
      <c r="F3884" s="1342"/>
      <c r="G3884" s="1342"/>
      <c r="H3884" s="1342"/>
      <c r="I3884" s="1342"/>
      <c r="J3884" s="1342"/>
      <c r="K3884" s="1342"/>
    </row>
    <row r="3885" spans="2:11" ht="14" hidden="1">
      <c r="B3885" s="1342"/>
      <c r="C3885" s="1342"/>
      <c r="D3885" s="1342"/>
      <c r="E3885" s="1342"/>
      <c r="F3885" s="1342"/>
      <c r="G3885" s="1342"/>
      <c r="H3885" s="1342"/>
      <c r="I3885" s="1342"/>
      <c r="J3885" s="1342"/>
      <c r="K3885" s="1342"/>
    </row>
    <row r="3886" spans="2:11" ht="14" hidden="1">
      <c r="B3886" s="1342"/>
      <c r="C3886" s="1342"/>
      <c r="D3886" s="1342"/>
      <c r="E3886" s="1342"/>
      <c r="F3886" s="1342"/>
      <c r="G3886" s="1342"/>
      <c r="H3886" s="1342"/>
      <c r="I3886" s="1342"/>
      <c r="J3886" s="1342"/>
      <c r="K3886" s="1342"/>
    </row>
    <row r="3887" spans="2:11" ht="14" hidden="1">
      <c r="B3887" s="1342"/>
      <c r="C3887" s="1342"/>
      <c r="D3887" s="1342"/>
      <c r="E3887" s="1342"/>
      <c r="F3887" s="1342"/>
      <c r="G3887" s="1342"/>
      <c r="H3887" s="1342"/>
      <c r="I3887" s="1342"/>
      <c r="J3887" s="1342"/>
      <c r="K3887" s="1342"/>
    </row>
    <row r="3888" spans="2:11" ht="14" hidden="1">
      <c r="B3888" s="1342"/>
      <c r="C3888" s="1342"/>
      <c r="D3888" s="1342"/>
      <c r="E3888" s="1342"/>
      <c r="F3888" s="1342"/>
      <c r="G3888" s="1342"/>
      <c r="H3888" s="1342"/>
      <c r="I3888" s="1342"/>
      <c r="J3888" s="1342"/>
      <c r="K3888" s="1342"/>
    </row>
    <row r="3889" spans="2:11" ht="14" hidden="1">
      <c r="B3889" s="1342"/>
      <c r="C3889" s="1342"/>
      <c r="D3889" s="1342"/>
      <c r="E3889" s="1342"/>
      <c r="F3889" s="1342"/>
      <c r="G3889" s="1342"/>
      <c r="H3889" s="1342"/>
      <c r="I3889" s="1342"/>
      <c r="J3889" s="1342"/>
      <c r="K3889" s="1342"/>
    </row>
    <row r="3890" spans="2:11" ht="14" hidden="1">
      <c r="B3890" s="1342"/>
      <c r="C3890" s="1342"/>
      <c r="D3890" s="1342"/>
      <c r="E3890" s="1342"/>
      <c r="F3890" s="1342"/>
      <c r="G3890" s="1342"/>
      <c r="H3890" s="1342"/>
      <c r="I3890" s="1342"/>
      <c r="J3890" s="1342"/>
      <c r="K3890" s="1342"/>
    </row>
    <row r="3891" spans="2:11" ht="14" hidden="1">
      <c r="B3891" s="1342"/>
      <c r="C3891" s="1342"/>
      <c r="D3891" s="1342"/>
      <c r="E3891" s="1342"/>
      <c r="F3891" s="1342"/>
      <c r="G3891" s="1342"/>
      <c r="H3891" s="1342"/>
      <c r="I3891" s="1342"/>
      <c r="J3891" s="1342"/>
      <c r="K3891" s="1342"/>
    </row>
    <row r="3892" spans="2:11" ht="14" hidden="1">
      <c r="B3892" s="1342"/>
      <c r="C3892" s="1342"/>
      <c r="D3892" s="1342"/>
      <c r="E3892" s="1342"/>
      <c r="F3892" s="1342"/>
      <c r="G3892" s="1342"/>
      <c r="H3892" s="1342"/>
      <c r="I3892" s="1342"/>
      <c r="J3892" s="1342"/>
      <c r="K3892" s="1342"/>
    </row>
    <row r="3893" spans="2:11" ht="14" hidden="1">
      <c r="B3893" s="1342"/>
      <c r="C3893" s="1342"/>
      <c r="D3893" s="1342"/>
      <c r="E3893" s="1342"/>
      <c r="F3893" s="1342"/>
      <c r="G3893" s="1342"/>
      <c r="H3893" s="1342"/>
      <c r="I3893" s="1342"/>
      <c r="J3893" s="1342"/>
      <c r="K3893" s="1342"/>
    </row>
    <row r="3894" spans="2:11" ht="14" hidden="1">
      <c r="B3894" s="1342"/>
      <c r="C3894" s="1342"/>
      <c r="D3894" s="1342"/>
      <c r="E3894" s="1342"/>
      <c r="F3894" s="1342"/>
      <c r="G3894" s="1342"/>
      <c r="H3894" s="1342"/>
      <c r="I3894" s="1342"/>
      <c r="J3894" s="1342"/>
      <c r="K3894" s="1342"/>
    </row>
    <row r="3895" spans="2:11" ht="14" hidden="1">
      <c r="B3895" s="1342"/>
      <c r="C3895" s="1342"/>
      <c r="D3895" s="1342"/>
      <c r="E3895" s="1342"/>
      <c r="F3895" s="1342"/>
      <c r="G3895" s="1342"/>
      <c r="H3895" s="1342"/>
      <c r="I3895" s="1342"/>
      <c r="J3895" s="1342"/>
      <c r="K3895" s="1342"/>
    </row>
    <row r="3896" spans="2:11" ht="14" hidden="1">
      <c r="B3896" s="1342"/>
      <c r="C3896" s="1342"/>
      <c r="D3896" s="1342"/>
      <c r="E3896" s="1342"/>
      <c r="F3896" s="1342"/>
      <c r="G3896" s="1342"/>
      <c r="H3896" s="1342"/>
      <c r="I3896" s="1342"/>
      <c r="J3896" s="1342"/>
      <c r="K3896" s="1342"/>
    </row>
    <row r="3897" spans="2:11" ht="14" hidden="1">
      <c r="B3897" s="1342"/>
      <c r="C3897" s="1342"/>
      <c r="D3897" s="1342"/>
      <c r="E3897" s="1342"/>
      <c r="F3897" s="1342"/>
      <c r="G3897" s="1342"/>
      <c r="H3897" s="1342"/>
      <c r="I3897" s="1342"/>
      <c r="J3897" s="1342"/>
      <c r="K3897" s="1342"/>
    </row>
    <row r="3898" spans="2:11" ht="14" hidden="1">
      <c r="B3898" s="1342"/>
      <c r="C3898" s="1342"/>
      <c r="D3898" s="1342"/>
      <c r="E3898" s="1342"/>
      <c r="F3898" s="1342"/>
      <c r="G3898" s="1342"/>
      <c r="H3898" s="1342"/>
      <c r="I3898" s="1342"/>
      <c r="J3898" s="1342"/>
      <c r="K3898" s="1342"/>
    </row>
    <row r="3899" spans="2:11" ht="14" hidden="1">
      <c r="B3899" s="1342"/>
      <c r="C3899" s="1342"/>
      <c r="D3899" s="1342"/>
      <c r="E3899" s="1342"/>
      <c r="F3899" s="1342"/>
      <c r="G3899" s="1342"/>
      <c r="H3899" s="1342"/>
      <c r="I3899" s="1342"/>
      <c r="J3899" s="1342"/>
      <c r="K3899" s="1342"/>
    </row>
    <row r="3900" spans="2:11" ht="14" hidden="1">
      <c r="B3900" s="1342"/>
      <c r="C3900" s="1342"/>
      <c r="D3900" s="1342"/>
      <c r="E3900" s="1342"/>
      <c r="F3900" s="1342"/>
      <c r="G3900" s="1342"/>
      <c r="H3900" s="1342"/>
      <c r="I3900" s="1342"/>
      <c r="J3900" s="1342"/>
      <c r="K3900" s="1342"/>
    </row>
    <row r="3901" spans="2:11" ht="14" hidden="1">
      <c r="B3901" s="1342"/>
      <c r="C3901" s="1342"/>
      <c r="D3901" s="1342"/>
      <c r="E3901" s="1342"/>
      <c r="F3901" s="1342"/>
      <c r="G3901" s="1342"/>
      <c r="H3901" s="1342"/>
      <c r="I3901" s="1342"/>
      <c r="J3901" s="1342"/>
      <c r="K3901" s="1342"/>
    </row>
    <row r="3902" spans="2:11" ht="14" hidden="1">
      <c r="B3902" s="1342"/>
      <c r="C3902" s="1342"/>
      <c r="D3902" s="1342"/>
      <c r="E3902" s="1342"/>
      <c r="F3902" s="1342"/>
      <c r="G3902" s="1342"/>
      <c r="H3902" s="1342"/>
      <c r="I3902" s="1342"/>
      <c r="J3902" s="1342"/>
      <c r="K3902" s="1342"/>
    </row>
    <row r="3903" spans="2:11" ht="14" hidden="1">
      <c r="B3903" s="1342"/>
      <c r="C3903" s="1342"/>
      <c r="D3903" s="1342"/>
      <c r="E3903" s="1342"/>
      <c r="F3903" s="1342"/>
      <c r="G3903" s="1342"/>
      <c r="H3903" s="1342"/>
      <c r="I3903" s="1342"/>
      <c r="J3903" s="1342"/>
      <c r="K3903" s="1342"/>
    </row>
    <row r="3904" spans="2:11" ht="14" hidden="1">
      <c r="B3904" s="1342"/>
      <c r="C3904" s="1342"/>
      <c r="D3904" s="1342"/>
      <c r="E3904" s="1342"/>
      <c r="F3904" s="1342"/>
      <c r="G3904" s="1342"/>
      <c r="H3904" s="1342"/>
      <c r="I3904" s="1342"/>
      <c r="J3904" s="1342"/>
      <c r="K3904" s="1342"/>
    </row>
    <row r="3905" spans="2:11" ht="14" hidden="1">
      <c r="B3905" s="1342"/>
      <c r="C3905" s="1342"/>
      <c r="D3905" s="1342"/>
      <c r="E3905" s="1342"/>
      <c r="F3905" s="1342"/>
      <c r="G3905" s="1342"/>
      <c r="H3905" s="1342"/>
      <c r="I3905" s="1342"/>
      <c r="J3905" s="1342"/>
      <c r="K3905" s="1342"/>
    </row>
    <row r="3906" spans="2:11" ht="14" hidden="1">
      <c r="B3906" s="1342"/>
      <c r="C3906" s="1342"/>
      <c r="D3906" s="1342"/>
      <c r="E3906" s="1342"/>
      <c r="F3906" s="1342"/>
      <c r="G3906" s="1342"/>
      <c r="H3906" s="1342"/>
      <c r="I3906" s="1342"/>
      <c r="J3906" s="1342"/>
      <c r="K3906" s="1342"/>
    </row>
    <row r="3907" spans="2:11" ht="14" hidden="1">
      <c r="B3907" s="1342"/>
      <c r="C3907" s="1342"/>
      <c r="D3907" s="1342"/>
      <c r="E3907" s="1342"/>
      <c r="F3907" s="1342"/>
      <c r="G3907" s="1342"/>
      <c r="H3907" s="1342"/>
      <c r="I3907" s="1342"/>
      <c r="J3907" s="1342"/>
      <c r="K3907" s="1342"/>
    </row>
    <row r="3908" spans="2:11" ht="14" hidden="1">
      <c r="B3908" s="1342"/>
      <c r="C3908" s="1342"/>
      <c r="D3908" s="1342"/>
      <c r="E3908" s="1342"/>
      <c r="F3908" s="1342"/>
      <c r="G3908" s="1342"/>
      <c r="H3908" s="1342"/>
      <c r="I3908" s="1342"/>
      <c r="J3908" s="1342"/>
      <c r="K3908" s="1342"/>
    </row>
    <row r="3909" spans="2:11" ht="14" hidden="1">
      <c r="B3909" s="1342"/>
      <c r="C3909" s="1342"/>
      <c r="D3909" s="1342"/>
      <c r="E3909" s="1342"/>
      <c r="F3909" s="1342"/>
      <c r="G3909" s="1342"/>
      <c r="H3909" s="1342"/>
      <c r="I3909" s="1342"/>
      <c r="J3909" s="1342"/>
      <c r="K3909" s="1342"/>
    </row>
    <row r="3910" spans="2:11" ht="14" hidden="1">
      <c r="B3910" s="1342"/>
      <c r="C3910" s="1342"/>
      <c r="D3910" s="1342"/>
      <c r="E3910" s="1342"/>
      <c r="F3910" s="1342"/>
      <c r="G3910" s="1342"/>
      <c r="H3910" s="1342"/>
      <c r="I3910" s="1342"/>
      <c r="J3910" s="1342"/>
      <c r="K3910" s="1342"/>
    </row>
    <row r="3911" spans="2:11" ht="14" hidden="1">
      <c r="B3911" s="1342"/>
      <c r="C3911" s="1342"/>
      <c r="D3911" s="1342"/>
      <c r="E3911" s="1342"/>
      <c r="F3911" s="1342"/>
      <c r="G3911" s="1342"/>
      <c r="H3911" s="1342"/>
      <c r="I3911" s="1342"/>
      <c r="J3911" s="1342"/>
      <c r="K3911" s="1342"/>
    </row>
    <row r="3912" spans="2:11" ht="14" hidden="1">
      <c r="B3912" s="1342"/>
      <c r="C3912" s="1342"/>
      <c r="D3912" s="1342"/>
      <c r="E3912" s="1342"/>
      <c r="F3912" s="1342"/>
      <c r="G3912" s="1342"/>
      <c r="H3912" s="1342"/>
      <c r="I3912" s="1342"/>
      <c r="J3912" s="1342"/>
      <c r="K3912" s="1342"/>
    </row>
    <row r="3913" spans="2:11" ht="14" hidden="1">
      <c r="B3913" s="1342"/>
      <c r="C3913" s="1342"/>
      <c r="D3913" s="1342"/>
      <c r="E3913" s="1342"/>
      <c r="F3913" s="1342"/>
      <c r="G3913" s="1342"/>
      <c r="H3913" s="1342"/>
      <c r="I3913" s="1342"/>
      <c r="J3913" s="1342"/>
      <c r="K3913" s="1342"/>
    </row>
    <row r="3914" spans="2:11" ht="14" hidden="1">
      <c r="B3914" s="1342"/>
      <c r="C3914" s="1342"/>
      <c r="D3914" s="1342"/>
      <c r="E3914" s="1342"/>
      <c r="F3914" s="1342"/>
      <c r="G3914" s="1342"/>
      <c r="H3914" s="1342"/>
      <c r="I3914" s="1342"/>
      <c r="J3914" s="1342"/>
      <c r="K3914" s="1342"/>
    </row>
    <row r="3915" spans="2:11" ht="14" hidden="1">
      <c r="B3915" s="1342"/>
      <c r="C3915" s="1342"/>
      <c r="D3915" s="1342"/>
      <c r="E3915" s="1342"/>
      <c r="F3915" s="1342"/>
      <c r="G3915" s="1342"/>
      <c r="H3915" s="1342"/>
      <c r="I3915" s="1342"/>
      <c r="J3915" s="1342"/>
      <c r="K3915" s="1342"/>
    </row>
    <row r="3916" spans="2:11" ht="14" hidden="1">
      <c r="B3916" s="1342"/>
      <c r="C3916" s="1342"/>
      <c r="D3916" s="1342"/>
      <c r="E3916" s="1342"/>
      <c r="F3916" s="1342"/>
      <c r="G3916" s="1342"/>
      <c r="H3916" s="1342"/>
      <c r="I3916" s="1342"/>
      <c r="J3916" s="1342"/>
      <c r="K3916" s="1342"/>
    </row>
    <row r="3917" spans="2:11" ht="14" hidden="1">
      <c r="B3917" s="1342"/>
      <c r="C3917" s="1342"/>
      <c r="D3917" s="1342"/>
      <c r="E3917" s="1342"/>
      <c r="F3917" s="1342"/>
      <c r="G3917" s="1342"/>
      <c r="H3917" s="1342"/>
      <c r="I3917" s="1342"/>
      <c r="J3917" s="1342"/>
      <c r="K3917" s="1342"/>
    </row>
    <row r="3918" spans="2:11" ht="14" hidden="1">
      <c r="B3918" s="1342"/>
      <c r="C3918" s="1342"/>
      <c r="D3918" s="1342"/>
      <c r="E3918" s="1342"/>
      <c r="F3918" s="1342"/>
      <c r="G3918" s="1342"/>
      <c r="H3918" s="1342"/>
      <c r="I3918" s="1342"/>
      <c r="J3918" s="1342"/>
      <c r="K3918" s="1342"/>
    </row>
    <row r="3919" spans="2:11" ht="14" hidden="1">
      <c r="B3919" s="1342"/>
      <c r="C3919" s="1342"/>
      <c r="D3919" s="1342"/>
      <c r="E3919" s="1342"/>
      <c r="F3919" s="1342"/>
      <c r="G3919" s="1342"/>
      <c r="H3919" s="1342"/>
      <c r="I3919" s="1342"/>
      <c r="J3919" s="1342"/>
      <c r="K3919" s="1342"/>
    </row>
    <row r="3920" spans="2:11" ht="14" hidden="1">
      <c r="B3920" s="1342"/>
      <c r="C3920" s="1342"/>
      <c r="D3920" s="1342"/>
      <c r="E3920" s="1342"/>
      <c r="F3920" s="1342"/>
      <c r="G3920" s="1342"/>
      <c r="H3920" s="1342"/>
      <c r="I3920" s="1342"/>
      <c r="J3920" s="1342"/>
      <c r="K3920" s="1342"/>
    </row>
    <row r="3921" spans="2:11" ht="14" hidden="1">
      <c r="B3921" s="1342"/>
      <c r="C3921" s="1342"/>
      <c r="D3921" s="1342"/>
      <c r="E3921" s="1342"/>
      <c r="F3921" s="1342"/>
      <c r="G3921" s="1342"/>
      <c r="H3921" s="1342"/>
      <c r="I3921" s="1342"/>
      <c r="J3921" s="1342"/>
      <c r="K3921" s="1342"/>
    </row>
    <row r="3922" spans="2:11" ht="14" hidden="1">
      <c r="B3922" s="1342"/>
      <c r="C3922" s="1342"/>
      <c r="D3922" s="1342"/>
      <c r="E3922" s="1342"/>
      <c r="F3922" s="1342"/>
      <c r="G3922" s="1342"/>
      <c r="H3922" s="1342"/>
      <c r="I3922" s="1342"/>
      <c r="J3922" s="1342"/>
      <c r="K3922" s="1342"/>
    </row>
    <row r="3923" spans="2:11" ht="14" hidden="1">
      <c r="B3923" s="1342"/>
      <c r="C3923" s="1342"/>
      <c r="D3923" s="1342"/>
      <c r="E3923" s="1342"/>
      <c r="F3923" s="1342"/>
      <c r="G3923" s="1342"/>
      <c r="H3923" s="1342"/>
      <c r="I3923" s="1342"/>
      <c r="J3923" s="1342"/>
      <c r="K3923" s="1342"/>
    </row>
    <row r="3924" spans="2:11" ht="14" hidden="1">
      <c r="B3924" s="1342"/>
      <c r="C3924" s="1342"/>
      <c r="D3924" s="1342"/>
      <c r="E3924" s="1342"/>
      <c r="F3924" s="1342"/>
      <c r="G3924" s="1342"/>
      <c r="H3924" s="1342"/>
      <c r="I3924" s="1342"/>
      <c r="J3924" s="1342"/>
      <c r="K3924" s="1342"/>
    </row>
    <row r="3925" spans="2:11" ht="14" hidden="1">
      <c r="B3925" s="1342"/>
      <c r="C3925" s="1342"/>
      <c r="D3925" s="1342"/>
      <c r="E3925" s="1342"/>
      <c r="F3925" s="1342"/>
      <c r="G3925" s="1342"/>
      <c r="H3925" s="1342"/>
      <c r="I3925" s="1342"/>
      <c r="J3925" s="1342"/>
      <c r="K3925" s="1342"/>
    </row>
    <row r="3926" spans="2:11" ht="14" hidden="1">
      <c r="B3926" s="1342"/>
      <c r="C3926" s="1342"/>
      <c r="D3926" s="1342"/>
      <c r="E3926" s="1342"/>
      <c r="F3926" s="1342"/>
      <c r="G3926" s="1342"/>
      <c r="H3926" s="1342"/>
      <c r="I3926" s="1342"/>
      <c r="J3926" s="1342"/>
      <c r="K3926" s="1342"/>
    </row>
    <row r="3927" spans="2:11" ht="14" hidden="1">
      <c r="B3927" s="1342"/>
      <c r="C3927" s="1342"/>
      <c r="D3927" s="1342"/>
      <c r="E3927" s="1342"/>
      <c r="F3927" s="1342"/>
      <c r="G3927" s="1342"/>
      <c r="H3927" s="1342"/>
      <c r="I3927" s="1342"/>
      <c r="J3927" s="1342"/>
      <c r="K3927" s="1342"/>
    </row>
    <row r="3928" spans="2:11" ht="14" hidden="1">
      <c r="B3928" s="1342"/>
      <c r="C3928" s="1342"/>
      <c r="D3928" s="1342"/>
      <c r="E3928" s="1342"/>
      <c r="F3928" s="1342"/>
      <c r="G3928" s="1342"/>
      <c r="H3928" s="1342"/>
      <c r="I3928" s="1342"/>
      <c r="J3928" s="1342"/>
      <c r="K3928" s="1342"/>
    </row>
    <row r="3929" spans="2:11" ht="14" hidden="1">
      <c r="B3929" s="1342"/>
      <c r="C3929" s="1342"/>
      <c r="D3929" s="1342"/>
      <c r="E3929" s="1342"/>
      <c r="F3929" s="1342"/>
      <c r="G3929" s="1342"/>
      <c r="H3929" s="1342"/>
      <c r="I3929" s="1342"/>
      <c r="J3929" s="1342"/>
      <c r="K3929" s="1342"/>
    </row>
    <row r="3930" spans="2:11" ht="14" hidden="1">
      <c r="B3930" s="1342"/>
      <c r="C3930" s="1342"/>
      <c r="D3930" s="1342"/>
      <c r="E3930" s="1342"/>
      <c r="F3930" s="1342"/>
      <c r="G3930" s="1342"/>
      <c r="H3930" s="1342"/>
      <c r="I3930" s="1342"/>
      <c r="J3930" s="1342"/>
      <c r="K3930" s="1342"/>
    </row>
    <row r="3931" spans="2:11" ht="14" hidden="1">
      <c r="B3931" s="1342"/>
      <c r="C3931" s="1342"/>
      <c r="D3931" s="1342"/>
      <c r="E3931" s="1342"/>
      <c r="F3931" s="1342"/>
      <c r="G3931" s="1342"/>
      <c r="H3931" s="1342"/>
      <c r="I3931" s="1342"/>
      <c r="J3931" s="1342"/>
      <c r="K3931" s="1342"/>
    </row>
    <row r="3932" spans="2:11" ht="14" hidden="1">
      <c r="B3932" s="1342"/>
      <c r="C3932" s="1342"/>
      <c r="D3932" s="1342"/>
      <c r="E3932" s="1342"/>
      <c r="F3932" s="1342"/>
      <c r="G3932" s="1342"/>
      <c r="H3932" s="1342"/>
      <c r="I3932" s="1342"/>
      <c r="J3932" s="1342"/>
      <c r="K3932" s="1342"/>
    </row>
    <row r="3933" spans="2:11" ht="14" hidden="1">
      <c r="B3933" s="1342"/>
      <c r="C3933" s="1342"/>
      <c r="D3933" s="1342"/>
      <c r="E3933" s="1342"/>
      <c r="F3933" s="1342"/>
      <c r="G3933" s="1342"/>
      <c r="H3933" s="1342"/>
      <c r="I3933" s="1342"/>
      <c r="J3933" s="1342"/>
      <c r="K3933" s="1342"/>
    </row>
    <row r="3934" spans="2:11" ht="14" hidden="1">
      <c r="B3934" s="1342"/>
      <c r="C3934" s="1342"/>
      <c r="D3934" s="1342"/>
      <c r="E3934" s="1342"/>
      <c r="F3934" s="1342"/>
      <c r="G3934" s="1342"/>
      <c r="H3934" s="1342"/>
      <c r="I3934" s="1342"/>
      <c r="J3934" s="1342"/>
      <c r="K3934" s="1342"/>
    </row>
    <row r="3935" spans="2:11" ht="14" hidden="1">
      <c r="B3935" s="1342"/>
      <c r="C3935" s="1342"/>
      <c r="D3935" s="1342"/>
      <c r="E3935" s="1342"/>
      <c r="F3935" s="1342"/>
      <c r="G3935" s="1342"/>
      <c r="H3935" s="1342"/>
      <c r="I3935" s="1342"/>
      <c r="J3935" s="1342"/>
      <c r="K3935" s="1342"/>
    </row>
    <row r="3936" spans="2:11" ht="14" hidden="1">
      <c r="B3936" s="1342"/>
      <c r="C3936" s="1342"/>
      <c r="D3936" s="1342"/>
      <c r="E3936" s="1342"/>
      <c r="F3936" s="1342"/>
      <c r="G3936" s="1342"/>
      <c r="H3936" s="1342"/>
      <c r="I3936" s="1342"/>
      <c r="J3936" s="1342"/>
      <c r="K3936" s="1342"/>
    </row>
    <row r="3937" spans="2:11" ht="14" hidden="1">
      <c r="B3937" s="1342"/>
      <c r="C3937" s="1342"/>
      <c r="D3937" s="1342"/>
      <c r="E3937" s="1342"/>
      <c r="F3937" s="1342"/>
      <c r="G3937" s="1342"/>
      <c r="H3937" s="1342"/>
      <c r="I3937" s="1342"/>
      <c r="J3937" s="1342"/>
      <c r="K3937" s="1342"/>
    </row>
    <row r="3938" spans="2:11" ht="14" hidden="1">
      <c r="B3938" s="1342"/>
      <c r="C3938" s="1342"/>
      <c r="D3938" s="1342"/>
      <c r="E3938" s="1342"/>
      <c r="F3938" s="1342"/>
      <c r="G3938" s="1342"/>
      <c r="H3938" s="1342"/>
      <c r="I3938" s="1342"/>
      <c r="J3938" s="1342"/>
      <c r="K3938" s="1342"/>
    </row>
    <row r="3939" spans="2:11" ht="14" hidden="1">
      <c r="B3939" s="1342"/>
      <c r="C3939" s="1342"/>
      <c r="D3939" s="1342"/>
      <c r="E3939" s="1342"/>
      <c r="F3939" s="1342"/>
      <c r="G3939" s="1342"/>
      <c r="H3939" s="1342"/>
      <c r="I3939" s="1342"/>
      <c r="J3939" s="1342"/>
      <c r="K3939" s="1342"/>
    </row>
    <row r="3940" spans="2:11" ht="14" hidden="1">
      <c r="B3940" s="1342"/>
      <c r="C3940" s="1342"/>
      <c r="D3940" s="1342"/>
      <c r="E3940" s="1342"/>
      <c r="F3940" s="1342"/>
      <c r="G3940" s="1342"/>
      <c r="H3940" s="1342"/>
      <c r="I3940" s="1342"/>
      <c r="J3940" s="1342"/>
      <c r="K3940" s="1342"/>
    </row>
    <row r="3941" spans="2:11" ht="14" hidden="1">
      <c r="B3941" s="1342"/>
      <c r="C3941" s="1342"/>
      <c r="D3941" s="1342"/>
      <c r="E3941" s="1342"/>
      <c r="F3941" s="1342"/>
      <c r="G3941" s="1342"/>
      <c r="H3941" s="1342"/>
      <c r="I3941" s="1342"/>
      <c r="J3941" s="1342"/>
      <c r="K3941" s="1342"/>
    </row>
    <row r="3942" spans="2:11" ht="14" hidden="1">
      <c r="B3942" s="1342"/>
      <c r="C3942" s="1342"/>
      <c r="D3942" s="1342"/>
      <c r="E3942" s="1342"/>
      <c r="F3942" s="1342"/>
      <c r="G3942" s="1342"/>
      <c r="H3942" s="1342"/>
      <c r="I3942" s="1342"/>
      <c r="J3942" s="1342"/>
      <c r="K3942" s="1342"/>
    </row>
    <row r="3943" spans="2:11" ht="14" hidden="1">
      <c r="B3943" s="1342"/>
      <c r="C3943" s="1342"/>
      <c r="D3943" s="1342"/>
      <c r="E3943" s="1342"/>
      <c r="F3943" s="1342"/>
      <c r="G3943" s="1342"/>
      <c r="H3943" s="1342"/>
      <c r="I3943" s="1342"/>
      <c r="J3943" s="1342"/>
      <c r="K3943" s="1342"/>
    </row>
    <row r="3944" spans="2:11" ht="14" hidden="1">
      <c r="B3944" s="1342"/>
      <c r="C3944" s="1342"/>
      <c r="D3944" s="1342"/>
      <c r="E3944" s="1342"/>
      <c r="F3944" s="1342"/>
      <c r="G3944" s="1342"/>
      <c r="H3944" s="1342"/>
      <c r="I3944" s="1342"/>
      <c r="J3944" s="1342"/>
      <c r="K3944" s="1342"/>
    </row>
    <row r="3945" spans="2:11" ht="14" hidden="1">
      <c r="B3945" s="1342"/>
      <c r="C3945" s="1342"/>
      <c r="D3945" s="1342"/>
      <c r="E3945" s="1342"/>
      <c r="F3945" s="1342"/>
      <c r="G3945" s="1342"/>
      <c r="H3945" s="1342"/>
      <c r="I3945" s="1342"/>
      <c r="J3945" s="1342"/>
      <c r="K3945" s="1342"/>
    </row>
    <row r="3946" spans="2:11" ht="14" hidden="1">
      <c r="B3946" s="1342"/>
      <c r="C3946" s="1342"/>
      <c r="D3946" s="1342"/>
      <c r="E3946" s="1342"/>
      <c r="F3946" s="1342"/>
      <c r="G3946" s="1342"/>
      <c r="H3946" s="1342"/>
      <c r="I3946" s="1342"/>
      <c r="J3946" s="1342"/>
      <c r="K3946" s="1342"/>
    </row>
    <row r="3947" spans="2:11" ht="14" hidden="1">
      <c r="B3947" s="1342"/>
      <c r="C3947" s="1342"/>
      <c r="D3947" s="1342"/>
      <c r="E3947" s="1342"/>
      <c r="F3947" s="1342"/>
      <c r="G3947" s="1342"/>
      <c r="H3947" s="1342"/>
      <c r="I3947" s="1342"/>
      <c r="J3947" s="1342"/>
      <c r="K3947" s="1342"/>
    </row>
    <row r="3948" spans="2:11" ht="14" hidden="1">
      <c r="B3948" s="1342"/>
      <c r="C3948" s="1342"/>
      <c r="D3948" s="1342"/>
      <c r="E3948" s="1342"/>
      <c r="F3948" s="1342"/>
      <c r="G3948" s="1342"/>
      <c r="H3948" s="1342"/>
      <c r="I3948" s="1342"/>
      <c r="J3948" s="1342"/>
      <c r="K3948" s="1342"/>
    </row>
    <row r="3949" spans="2:11" ht="14" hidden="1">
      <c r="B3949" s="1342"/>
      <c r="C3949" s="1342"/>
      <c r="D3949" s="1342"/>
      <c r="E3949" s="1342"/>
      <c r="F3949" s="1342"/>
      <c r="G3949" s="1342"/>
      <c r="H3949" s="1342"/>
      <c r="I3949" s="1342"/>
      <c r="J3949" s="1342"/>
      <c r="K3949" s="1342"/>
    </row>
    <row r="3950" spans="2:11" ht="14" hidden="1">
      <c r="B3950" s="1342"/>
      <c r="C3950" s="1342"/>
      <c r="D3950" s="1342"/>
      <c r="E3950" s="1342"/>
      <c r="F3950" s="1342"/>
      <c r="G3950" s="1342"/>
      <c r="H3950" s="1342"/>
      <c r="I3950" s="1342"/>
      <c r="J3950" s="1342"/>
      <c r="K3950" s="1342"/>
    </row>
    <row r="3951" spans="2:11" ht="14" hidden="1">
      <c r="B3951" s="1342"/>
      <c r="C3951" s="1342"/>
      <c r="D3951" s="1342"/>
      <c r="E3951" s="1342"/>
      <c r="F3951" s="1342"/>
      <c r="G3951" s="1342"/>
      <c r="H3951" s="1342"/>
      <c r="I3951" s="1342"/>
      <c r="J3951" s="1342"/>
      <c r="K3951" s="1342"/>
    </row>
    <row r="3952" spans="2:11" ht="14" hidden="1">
      <c r="B3952" s="1342"/>
      <c r="C3952" s="1342"/>
      <c r="D3952" s="1342"/>
      <c r="E3952" s="1342"/>
      <c r="F3952" s="1342"/>
      <c r="G3952" s="1342"/>
      <c r="H3952" s="1342"/>
      <c r="I3952" s="1342"/>
      <c r="J3952" s="1342"/>
      <c r="K3952" s="1342"/>
    </row>
    <row r="3953" spans="2:11" ht="14" hidden="1">
      <c r="B3953" s="1342"/>
      <c r="C3953" s="1342"/>
      <c r="D3953" s="1342"/>
      <c r="E3953" s="1342"/>
      <c r="F3953" s="1342"/>
      <c r="G3953" s="1342"/>
      <c r="H3953" s="1342"/>
      <c r="I3953" s="1342"/>
      <c r="J3953" s="1342"/>
      <c r="K3953" s="1342"/>
    </row>
    <row r="3954" spans="2:11" ht="14" hidden="1">
      <c r="B3954" s="1342"/>
      <c r="C3954" s="1342"/>
      <c r="D3954" s="1342"/>
      <c r="E3954" s="1342"/>
      <c r="F3954" s="1342"/>
      <c r="G3954" s="1342"/>
      <c r="H3954" s="1342"/>
      <c r="I3954" s="1342"/>
      <c r="J3954" s="1342"/>
      <c r="K3954" s="1342"/>
    </row>
    <row r="3955" spans="2:11" ht="14" hidden="1">
      <c r="B3955" s="1342"/>
      <c r="C3955" s="1342"/>
      <c r="D3955" s="1342"/>
      <c r="E3955" s="1342"/>
      <c r="F3955" s="1342"/>
      <c r="G3955" s="1342"/>
      <c r="H3955" s="1342"/>
      <c r="I3955" s="1342"/>
      <c r="J3955" s="1342"/>
      <c r="K3955" s="1342"/>
    </row>
    <row r="3956" spans="2:11" ht="14" hidden="1">
      <c r="B3956" s="1342"/>
      <c r="C3956" s="1342"/>
      <c r="D3956" s="1342"/>
      <c r="E3956" s="1342"/>
      <c r="F3956" s="1342"/>
      <c r="G3956" s="1342"/>
      <c r="H3956" s="1342"/>
      <c r="I3956" s="1342"/>
      <c r="J3956" s="1342"/>
      <c r="K3956" s="1342"/>
    </row>
    <row r="3957" spans="2:11" ht="14" hidden="1">
      <c r="B3957" s="1342"/>
      <c r="C3957" s="1342"/>
      <c r="D3957" s="1342"/>
      <c r="E3957" s="1342"/>
      <c r="F3957" s="1342"/>
      <c r="G3957" s="1342"/>
      <c r="H3957" s="1342"/>
      <c r="I3957" s="1342"/>
      <c r="J3957" s="1342"/>
      <c r="K3957" s="1342"/>
    </row>
    <row r="3958" spans="2:11" ht="14" hidden="1">
      <c r="B3958" s="1342"/>
      <c r="C3958" s="1342"/>
      <c r="D3958" s="1342"/>
      <c r="E3958" s="1342"/>
      <c r="F3958" s="1342"/>
      <c r="G3958" s="1342"/>
      <c r="H3958" s="1342"/>
      <c r="I3958" s="1342"/>
      <c r="J3958" s="1342"/>
      <c r="K3958" s="1342"/>
    </row>
    <row r="3959" spans="2:11" ht="14" hidden="1">
      <c r="B3959" s="1342"/>
      <c r="C3959" s="1342"/>
      <c r="D3959" s="1342"/>
      <c r="E3959" s="1342"/>
      <c r="F3959" s="1342"/>
      <c r="G3959" s="1342"/>
      <c r="H3959" s="1342"/>
      <c r="I3959" s="1342"/>
      <c r="J3959" s="1342"/>
      <c r="K3959" s="1342"/>
    </row>
    <row r="3960" spans="2:11" ht="14" hidden="1">
      <c r="B3960" s="1342"/>
      <c r="C3960" s="1342"/>
      <c r="D3960" s="1342"/>
      <c r="E3960" s="1342"/>
      <c r="F3960" s="1342"/>
      <c r="G3960" s="1342"/>
      <c r="H3960" s="1342"/>
      <c r="I3960" s="1342"/>
      <c r="J3960" s="1342"/>
      <c r="K3960" s="1342"/>
    </row>
    <row r="3961" spans="2:11" ht="14" hidden="1">
      <c r="B3961" s="1342"/>
      <c r="C3961" s="1342"/>
      <c r="D3961" s="1342"/>
      <c r="E3961" s="1342"/>
      <c r="F3961" s="1342"/>
      <c r="G3961" s="1342"/>
      <c r="H3961" s="1342"/>
      <c r="I3961" s="1342"/>
      <c r="J3961" s="1342"/>
      <c r="K3961" s="1342"/>
    </row>
    <row r="3962" spans="2:11" ht="14" hidden="1">
      <c r="B3962" s="1342"/>
      <c r="C3962" s="1342"/>
      <c r="D3962" s="1342"/>
      <c r="E3962" s="1342"/>
      <c r="F3962" s="1342"/>
      <c r="G3962" s="1342"/>
      <c r="H3962" s="1342"/>
      <c r="I3962" s="1342"/>
      <c r="J3962" s="1342"/>
      <c r="K3962" s="1342"/>
    </row>
    <row r="3963" spans="2:11" ht="14" hidden="1">
      <c r="B3963" s="1342"/>
      <c r="C3963" s="1342"/>
      <c r="D3963" s="1342"/>
      <c r="E3963" s="1342"/>
      <c r="F3963" s="1342"/>
      <c r="G3963" s="1342"/>
      <c r="H3963" s="1342"/>
      <c r="I3963" s="1342"/>
      <c r="J3963" s="1342"/>
      <c r="K3963" s="1342"/>
    </row>
    <row r="3964" spans="2:11" ht="14" hidden="1">
      <c r="B3964" s="1342"/>
      <c r="C3964" s="1342"/>
      <c r="D3964" s="1342"/>
      <c r="E3964" s="1342"/>
      <c r="F3964" s="1342"/>
      <c r="G3964" s="1342"/>
      <c r="H3964" s="1342"/>
      <c r="I3964" s="1342"/>
      <c r="J3964" s="1342"/>
      <c r="K3964" s="1342"/>
    </row>
    <row r="3965" spans="2:11" ht="14" hidden="1">
      <c r="B3965" s="1342"/>
      <c r="C3965" s="1342"/>
      <c r="D3965" s="1342"/>
      <c r="E3965" s="1342"/>
      <c r="F3965" s="1342"/>
      <c r="G3965" s="1342"/>
      <c r="H3965" s="1342"/>
      <c r="I3965" s="1342"/>
      <c r="J3965" s="1342"/>
      <c r="K3965" s="1342"/>
    </row>
    <row r="3966" spans="2:11" ht="14" hidden="1">
      <c r="B3966" s="1342"/>
      <c r="C3966" s="1342"/>
      <c r="D3966" s="1342"/>
      <c r="E3966" s="1342"/>
      <c r="F3966" s="1342"/>
      <c r="G3966" s="1342"/>
      <c r="H3966" s="1342"/>
      <c r="I3966" s="1342"/>
      <c r="J3966" s="1342"/>
      <c r="K3966" s="1342"/>
    </row>
    <row r="3967" spans="2:11" ht="14" hidden="1">
      <c r="B3967" s="1342"/>
      <c r="C3967" s="1342"/>
      <c r="D3967" s="1342"/>
      <c r="E3967" s="1342"/>
      <c r="F3967" s="1342"/>
      <c r="G3967" s="1342"/>
      <c r="H3967" s="1342"/>
      <c r="I3967" s="1342"/>
      <c r="J3967" s="1342"/>
      <c r="K3967" s="1342"/>
    </row>
    <row r="3968" spans="2:11" ht="14" hidden="1">
      <c r="B3968" s="1342"/>
      <c r="C3968" s="1342"/>
      <c r="D3968" s="1342"/>
      <c r="E3968" s="1342"/>
      <c r="F3968" s="1342"/>
      <c r="G3968" s="1342"/>
      <c r="H3968" s="1342"/>
      <c r="I3968" s="1342"/>
      <c r="J3968" s="1342"/>
      <c r="K3968" s="1342"/>
    </row>
    <row r="3969" spans="2:11" ht="14" hidden="1">
      <c r="B3969" s="1342"/>
      <c r="C3969" s="1342"/>
      <c r="D3969" s="1342"/>
      <c r="E3969" s="1342"/>
      <c r="F3969" s="1342"/>
      <c r="G3969" s="1342"/>
      <c r="H3969" s="1342"/>
      <c r="I3969" s="1342"/>
      <c r="J3969" s="1342"/>
      <c r="K3969" s="1342"/>
    </row>
    <row r="3970" spans="2:11" ht="14" hidden="1">
      <c r="B3970" s="1342"/>
      <c r="C3970" s="1342"/>
      <c r="D3970" s="1342"/>
      <c r="E3970" s="1342"/>
      <c r="F3970" s="1342"/>
      <c r="G3970" s="1342"/>
      <c r="H3970" s="1342"/>
      <c r="I3970" s="1342"/>
      <c r="J3970" s="1342"/>
      <c r="K3970" s="1342"/>
    </row>
    <row r="3971" spans="2:11" ht="14" hidden="1">
      <c r="B3971" s="1342"/>
      <c r="C3971" s="1342"/>
      <c r="D3971" s="1342"/>
      <c r="E3971" s="1342"/>
      <c r="F3971" s="1342"/>
      <c r="G3971" s="1342"/>
      <c r="H3971" s="1342"/>
      <c r="I3971" s="1342"/>
      <c r="J3971" s="1342"/>
      <c r="K3971" s="1342"/>
    </row>
    <row r="3972" spans="2:11" ht="14" hidden="1">
      <c r="B3972" s="1342"/>
      <c r="C3972" s="1342"/>
      <c r="D3972" s="1342"/>
      <c r="E3972" s="1342"/>
      <c r="F3972" s="1342"/>
      <c r="G3972" s="1342"/>
      <c r="H3972" s="1342"/>
      <c r="I3972" s="1342"/>
      <c r="J3972" s="1342"/>
      <c r="K3972" s="1342"/>
    </row>
    <row r="3973" spans="2:11" ht="14" hidden="1">
      <c r="B3973" s="1342"/>
      <c r="C3973" s="1342"/>
      <c r="D3973" s="1342"/>
      <c r="E3973" s="1342"/>
      <c r="F3973" s="1342"/>
      <c r="G3973" s="1342"/>
      <c r="H3973" s="1342"/>
      <c r="I3973" s="1342"/>
      <c r="J3973" s="1342"/>
      <c r="K3973" s="1342"/>
    </row>
    <row r="3974" spans="2:11" ht="14" hidden="1">
      <c r="B3974" s="1342"/>
      <c r="C3974" s="1342"/>
      <c r="D3974" s="1342"/>
      <c r="E3974" s="1342"/>
      <c r="F3974" s="1342"/>
      <c r="G3974" s="1342"/>
      <c r="H3974" s="1342"/>
      <c r="I3974" s="1342"/>
      <c r="J3974" s="1342"/>
      <c r="K3974" s="1342"/>
    </row>
    <row r="3975" spans="2:11" ht="14" hidden="1">
      <c r="B3975" s="1342"/>
      <c r="C3975" s="1342"/>
      <c r="D3975" s="1342"/>
      <c r="E3975" s="1342"/>
      <c r="F3975" s="1342"/>
      <c r="G3975" s="1342"/>
      <c r="H3975" s="1342"/>
      <c r="I3975" s="1342"/>
      <c r="J3975" s="1342"/>
      <c r="K3975" s="1342"/>
    </row>
    <row r="3976" spans="2:11" ht="14" hidden="1">
      <c r="B3976" s="1342"/>
      <c r="C3976" s="1342"/>
      <c r="D3976" s="1342"/>
      <c r="E3976" s="1342"/>
      <c r="F3976" s="1342"/>
      <c r="G3976" s="1342"/>
      <c r="H3976" s="1342"/>
      <c r="I3976" s="1342"/>
      <c r="J3976" s="1342"/>
      <c r="K3976" s="1342"/>
    </row>
    <row r="3977" spans="2:11" ht="14" hidden="1">
      <c r="B3977" s="1342"/>
      <c r="C3977" s="1342"/>
      <c r="D3977" s="1342"/>
      <c r="E3977" s="1342"/>
      <c r="F3977" s="1342"/>
      <c r="G3977" s="1342"/>
      <c r="H3977" s="1342"/>
      <c r="I3977" s="1342"/>
      <c r="J3977" s="1342"/>
      <c r="K3977" s="1342"/>
    </row>
    <row r="3978" spans="2:11" ht="14" hidden="1">
      <c r="B3978" s="1342"/>
      <c r="C3978" s="1342"/>
      <c r="D3978" s="1342"/>
      <c r="E3978" s="1342"/>
      <c r="F3978" s="1342"/>
      <c r="G3978" s="1342"/>
      <c r="H3978" s="1342"/>
      <c r="I3978" s="1342"/>
      <c r="J3978" s="1342"/>
      <c r="K3978" s="1342"/>
    </row>
    <row r="3979" spans="2:11" ht="14" hidden="1">
      <c r="B3979" s="1342"/>
      <c r="C3979" s="1342"/>
      <c r="D3979" s="1342"/>
      <c r="E3979" s="1342"/>
      <c r="F3979" s="1342"/>
      <c r="G3979" s="1342"/>
      <c r="H3979" s="1342"/>
      <c r="I3979" s="1342"/>
      <c r="J3979" s="1342"/>
      <c r="K3979" s="1342"/>
    </row>
    <row r="3980" spans="2:11" ht="14" hidden="1">
      <c r="B3980" s="1342"/>
      <c r="C3980" s="1342"/>
      <c r="D3980" s="1342"/>
      <c r="E3980" s="1342"/>
      <c r="F3980" s="1342"/>
      <c r="G3980" s="1342"/>
      <c r="H3980" s="1342"/>
      <c r="I3980" s="1342"/>
      <c r="J3980" s="1342"/>
      <c r="K3980" s="1342"/>
    </row>
    <row r="3981" spans="2:11" ht="14" hidden="1">
      <c r="B3981" s="1342"/>
      <c r="C3981" s="1342"/>
      <c r="D3981" s="1342"/>
      <c r="E3981" s="1342"/>
      <c r="F3981" s="1342"/>
      <c r="G3981" s="1342"/>
      <c r="H3981" s="1342"/>
      <c r="I3981" s="1342"/>
      <c r="J3981" s="1342"/>
      <c r="K3981" s="1342"/>
    </row>
    <row r="3982" spans="2:11" ht="14" hidden="1">
      <c r="B3982" s="1342"/>
      <c r="C3982" s="1342"/>
      <c r="D3982" s="1342"/>
      <c r="E3982" s="1342"/>
      <c r="F3982" s="1342"/>
      <c r="G3982" s="1342"/>
      <c r="H3982" s="1342"/>
      <c r="I3982" s="1342"/>
      <c r="J3982" s="1342"/>
      <c r="K3982" s="1342"/>
    </row>
    <row r="3983" spans="2:11" ht="14" hidden="1">
      <c r="B3983" s="1342"/>
      <c r="C3983" s="1342"/>
      <c r="D3983" s="1342"/>
      <c r="E3983" s="1342"/>
      <c r="F3983" s="1342"/>
      <c r="G3983" s="1342"/>
      <c r="H3983" s="1342"/>
      <c r="I3983" s="1342"/>
      <c r="J3983" s="1342"/>
      <c r="K3983" s="1342"/>
    </row>
    <row r="3984" spans="2:11" ht="14" hidden="1">
      <c r="B3984" s="1342"/>
      <c r="C3984" s="1342"/>
      <c r="D3984" s="1342"/>
      <c r="E3984" s="1342"/>
      <c r="F3984" s="1342"/>
      <c r="G3984" s="1342"/>
      <c r="H3984" s="1342"/>
      <c r="I3984" s="1342"/>
      <c r="J3984" s="1342"/>
      <c r="K3984" s="1342"/>
    </row>
    <row r="3985" spans="2:11" ht="14" hidden="1">
      <c r="B3985" s="1342"/>
      <c r="C3985" s="1342"/>
      <c r="D3985" s="1342"/>
      <c r="E3985" s="1342"/>
      <c r="F3985" s="1342"/>
      <c r="G3985" s="1342"/>
      <c r="H3985" s="1342"/>
      <c r="I3985" s="1342"/>
      <c r="J3985" s="1342"/>
      <c r="K3985" s="1342"/>
    </row>
    <row r="3986" spans="2:11" ht="14" hidden="1">
      <c r="B3986" s="1342"/>
      <c r="C3986" s="1342"/>
      <c r="D3986" s="1342"/>
      <c r="E3986" s="1342"/>
      <c r="F3986" s="1342"/>
      <c r="G3986" s="1342"/>
      <c r="H3986" s="1342"/>
      <c r="I3986" s="1342"/>
      <c r="J3986" s="1342"/>
      <c r="K3986" s="1342"/>
    </row>
    <row r="3987" spans="2:11" ht="14" hidden="1">
      <c r="B3987" s="1342"/>
      <c r="C3987" s="1342"/>
      <c r="D3987" s="1342"/>
      <c r="E3987" s="1342"/>
      <c r="F3987" s="1342"/>
      <c r="G3987" s="1342"/>
      <c r="H3987" s="1342"/>
      <c r="I3987" s="1342"/>
      <c r="J3987" s="1342"/>
      <c r="K3987" s="1342"/>
    </row>
    <row r="3988" spans="2:11" ht="14" hidden="1">
      <c r="B3988" s="1342"/>
      <c r="C3988" s="1342"/>
      <c r="D3988" s="1342"/>
      <c r="E3988" s="1342"/>
      <c r="F3988" s="1342"/>
      <c r="G3988" s="1342"/>
      <c r="H3988" s="1342"/>
      <c r="I3988" s="1342"/>
      <c r="J3988" s="1342"/>
      <c r="K3988" s="1342"/>
    </row>
    <row r="3989" spans="2:11" ht="14" hidden="1">
      <c r="B3989" s="1342"/>
      <c r="C3989" s="1342"/>
      <c r="D3989" s="1342"/>
      <c r="E3989" s="1342"/>
      <c r="F3989" s="1342"/>
      <c r="G3989" s="1342"/>
      <c r="H3989" s="1342"/>
      <c r="I3989" s="1342"/>
      <c r="J3989" s="1342"/>
      <c r="K3989" s="1342"/>
    </row>
    <row r="3990" spans="2:11" ht="14" hidden="1">
      <c r="B3990" s="1342"/>
      <c r="C3990" s="1342"/>
      <c r="D3990" s="1342"/>
      <c r="E3990" s="1342"/>
      <c r="F3990" s="1342"/>
      <c r="G3990" s="1342"/>
      <c r="H3990" s="1342"/>
      <c r="I3990" s="1342"/>
      <c r="J3990" s="1342"/>
      <c r="K3990" s="1342"/>
    </row>
    <row r="3991" spans="2:11" ht="14" hidden="1">
      <c r="B3991" s="1342"/>
      <c r="C3991" s="1342"/>
      <c r="D3991" s="1342"/>
      <c r="E3991" s="1342"/>
      <c r="F3991" s="1342"/>
      <c r="G3991" s="1342"/>
      <c r="H3991" s="1342"/>
      <c r="I3991" s="1342"/>
      <c r="J3991" s="1342"/>
      <c r="K3991" s="1342"/>
    </row>
    <row r="3992" spans="2:11" ht="14" hidden="1">
      <c r="B3992" s="1342"/>
      <c r="C3992" s="1342"/>
      <c r="D3992" s="1342"/>
      <c r="E3992" s="1342"/>
      <c r="F3992" s="1342"/>
      <c r="G3992" s="1342"/>
      <c r="H3992" s="1342"/>
      <c r="I3992" s="1342"/>
      <c r="J3992" s="1342"/>
      <c r="K3992" s="1342"/>
    </row>
    <row r="3993" spans="2:11" ht="14" hidden="1">
      <c r="B3993" s="1342"/>
      <c r="C3993" s="1342"/>
      <c r="D3993" s="1342"/>
      <c r="E3993" s="1342"/>
      <c r="F3993" s="1342"/>
      <c r="G3993" s="1342"/>
      <c r="H3993" s="1342"/>
      <c r="I3993" s="1342"/>
      <c r="J3993" s="1342"/>
      <c r="K3993" s="1342"/>
    </row>
    <row r="3994" spans="2:11" ht="14" hidden="1">
      <c r="B3994" s="1342"/>
      <c r="C3994" s="1342"/>
      <c r="D3994" s="1342"/>
      <c r="E3994" s="1342"/>
      <c r="F3994" s="1342"/>
      <c r="G3994" s="1342"/>
      <c r="H3994" s="1342"/>
      <c r="I3994" s="1342"/>
      <c r="J3994" s="1342"/>
      <c r="K3994" s="1342"/>
    </row>
    <row r="3995" spans="2:11" ht="14" hidden="1">
      <c r="B3995" s="1342"/>
      <c r="C3995" s="1342"/>
      <c r="D3995" s="1342"/>
      <c r="E3995" s="1342"/>
      <c r="F3995" s="1342"/>
      <c r="G3995" s="1342"/>
      <c r="H3995" s="1342"/>
      <c r="I3995" s="1342"/>
      <c r="J3995" s="1342"/>
      <c r="K3995" s="1342"/>
    </row>
    <row r="3996" spans="2:11" ht="14" hidden="1">
      <c r="B3996" s="1342"/>
      <c r="C3996" s="1342"/>
      <c r="D3996" s="1342"/>
      <c r="E3996" s="1342"/>
      <c r="F3996" s="1342"/>
      <c r="G3996" s="1342"/>
      <c r="H3996" s="1342"/>
      <c r="I3996" s="1342"/>
      <c r="J3996" s="1342"/>
      <c r="K3996" s="1342"/>
    </row>
    <row r="3997" spans="2:11" ht="14" hidden="1">
      <c r="B3997" s="1342"/>
      <c r="C3997" s="1342"/>
      <c r="D3997" s="1342"/>
      <c r="E3997" s="1342"/>
      <c r="F3997" s="1342"/>
      <c r="G3997" s="1342"/>
      <c r="H3997" s="1342"/>
      <c r="I3997" s="1342"/>
      <c r="J3997" s="1342"/>
      <c r="K3997" s="1342"/>
    </row>
    <row r="3998" spans="2:11" ht="14" hidden="1">
      <c r="B3998" s="1342"/>
      <c r="C3998" s="1342"/>
      <c r="D3998" s="1342"/>
      <c r="E3998" s="1342"/>
      <c r="F3998" s="1342"/>
      <c r="G3998" s="1342"/>
      <c r="H3998" s="1342"/>
      <c r="I3998" s="1342"/>
      <c r="J3998" s="1342"/>
      <c r="K3998" s="1342"/>
    </row>
    <row r="3999" spans="2:11" ht="14" hidden="1">
      <c r="B3999" s="1342"/>
      <c r="C3999" s="1342"/>
      <c r="D3999" s="1342"/>
      <c r="E3999" s="1342"/>
      <c r="F3999" s="1342"/>
      <c r="G3999" s="1342"/>
      <c r="H3999" s="1342"/>
      <c r="I3999" s="1342"/>
      <c r="J3999" s="1342"/>
      <c r="K3999" s="1342"/>
    </row>
    <row r="4000" spans="2:11" ht="14" hidden="1">
      <c r="B4000" s="1342"/>
      <c r="C4000" s="1342"/>
      <c r="D4000" s="1342"/>
      <c r="E4000" s="1342"/>
      <c r="F4000" s="1342"/>
      <c r="G4000" s="1342"/>
      <c r="H4000" s="1342"/>
      <c r="I4000" s="1342"/>
      <c r="J4000" s="1342"/>
      <c r="K4000" s="1342"/>
    </row>
    <row r="4001" spans="2:11" ht="14" hidden="1">
      <c r="B4001" s="1342"/>
      <c r="C4001" s="1342"/>
      <c r="D4001" s="1342"/>
      <c r="E4001" s="1342"/>
      <c r="F4001" s="1342"/>
      <c r="G4001" s="1342"/>
      <c r="H4001" s="1342"/>
      <c r="I4001" s="1342"/>
      <c r="J4001" s="1342"/>
      <c r="K4001" s="1342"/>
    </row>
    <row r="4002" spans="2:11" ht="14" hidden="1">
      <c r="B4002" s="1342"/>
      <c r="C4002" s="1342"/>
      <c r="D4002" s="1342"/>
      <c r="E4002" s="1342"/>
      <c r="F4002" s="1342"/>
      <c r="G4002" s="1342"/>
      <c r="H4002" s="1342"/>
      <c r="I4002" s="1342"/>
      <c r="J4002" s="1342"/>
      <c r="K4002" s="1342"/>
    </row>
    <row r="4003" spans="2:11" ht="14" hidden="1">
      <c r="B4003" s="1342"/>
      <c r="C4003" s="1342"/>
      <c r="D4003" s="1342"/>
      <c r="E4003" s="1342"/>
      <c r="F4003" s="1342"/>
      <c r="G4003" s="1342"/>
      <c r="H4003" s="1342"/>
      <c r="I4003" s="1342"/>
      <c r="J4003" s="1342"/>
      <c r="K4003" s="1342"/>
    </row>
    <row r="4004" spans="2:11" ht="14" hidden="1">
      <c r="B4004" s="1342"/>
      <c r="C4004" s="1342"/>
      <c r="D4004" s="1342"/>
      <c r="E4004" s="1342"/>
      <c r="F4004" s="1342"/>
      <c r="G4004" s="1342"/>
      <c r="H4004" s="1342"/>
      <c r="I4004" s="1342"/>
      <c r="J4004" s="1342"/>
      <c r="K4004" s="1342"/>
    </row>
    <row r="4005" spans="2:11" ht="14" hidden="1">
      <c r="B4005" s="1342"/>
      <c r="C4005" s="1342"/>
      <c r="D4005" s="1342"/>
      <c r="E4005" s="1342"/>
      <c r="F4005" s="1342"/>
      <c r="G4005" s="1342"/>
      <c r="H4005" s="1342"/>
      <c r="I4005" s="1342"/>
      <c r="J4005" s="1342"/>
      <c r="K4005" s="1342"/>
    </row>
    <row r="4006" spans="2:11" ht="14" hidden="1">
      <c r="B4006" s="1342"/>
      <c r="C4006" s="1342"/>
      <c r="D4006" s="1342"/>
      <c r="E4006" s="1342"/>
      <c r="F4006" s="1342"/>
      <c r="G4006" s="1342"/>
      <c r="H4006" s="1342"/>
      <c r="I4006" s="1342"/>
      <c r="J4006" s="1342"/>
      <c r="K4006" s="1342"/>
    </row>
    <row r="4007" spans="2:11" ht="14" hidden="1">
      <c r="B4007" s="1342"/>
      <c r="C4007" s="1342"/>
      <c r="D4007" s="1342"/>
      <c r="E4007" s="1342"/>
      <c r="F4007" s="1342"/>
      <c r="G4007" s="1342"/>
      <c r="H4007" s="1342"/>
      <c r="I4007" s="1342"/>
      <c r="J4007" s="1342"/>
      <c r="K4007" s="1342"/>
    </row>
    <row r="4008" spans="2:11" ht="14" hidden="1">
      <c r="B4008" s="1342"/>
      <c r="C4008" s="1342"/>
      <c r="D4008" s="1342"/>
      <c r="E4008" s="1342"/>
      <c r="F4008" s="1342"/>
      <c r="G4008" s="1342"/>
      <c r="H4008" s="1342"/>
      <c r="I4008" s="1342"/>
      <c r="J4008" s="1342"/>
      <c r="K4008" s="1342"/>
    </row>
    <row r="4009" spans="2:11" ht="14" hidden="1">
      <c r="B4009" s="1342"/>
      <c r="C4009" s="1342"/>
      <c r="D4009" s="1342"/>
      <c r="E4009" s="1342"/>
      <c r="F4009" s="1342"/>
      <c r="G4009" s="1342"/>
      <c r="H4009" s="1342"/>
      <c r="I4009" s="1342"/>
      <c r="J4009" s="1342"/>
      <c r="K4009" s="1342"/>
    </row>
    <row r="4010" spans="2:11" ht="14" hidden="1">
      <c r="B4010" s="1342"/>
      <c r="C4010" s="1342"/>
      <c r="D4010" s="1342"/>
      <c r="E4010" s="1342"/>
      <c r="F4010" s="1342"/>
      <c r="G4010" s="1342"/>
      <c r="H4010" s="1342"/>
      <c r="I4010" s="1342"/>
      <c r="J4010" s="1342"/>
      <c r="K4010" s="1342"/>
    </row>
    <row r="4011" spans="2:11" ht="14" hidden="1">
      <c r="B4011" s="1342"/>
      <c r="C4011" s="1342"/>
      <c r="D4011" s="1342"/>
      <c r="E4011" s="1342"/>
      <c r="F4011" s="1342"/>
      <c r="G4011" s="1342"/>
      <c r="H4011" s="1342"/>
      <c r="I4011" s="1342"/>
      <c r="J4011" s="1342"/>
      <c r="K4011" s="1342"/>
    </row>
    <row r="4012" spans="2:11" ht="14" hidden="1">
      <c r="B4012" s="1342"/>
      <c r="C4012" s="1342"/>
      <c r="D4012" s="1342"/>
      <c r="E4012" s="1342"/>
      <c r="F4012" s="1342"/>
      <c r="G4012" s="1342"/>
      <c r="H4012" s="1342"/>
      <c r="I4012" s="1342"/>
      <c r="J4012" s="1342"/>
      <c r="K4012" s="1342"/>
    </row>
    <row r="4013" spans="2:11" ht="14" hidden="1">
      <c r="B4013" s="1342"/>
      <c r="C4013" s="1342"/>
      <c r="D4013" s="1342"/>
      <c r="E4013" s="1342"/>
      <c r="F4013" s="1342"/>
      <c r="G4013" s="1342"/>
      <c r="H4013" s="1342"/>
      <c r="I4013" s="1342"/>
      <c r="J4013" s="1342"/>
      <c r="K4013" s="1342"/>
    </row>
    <row r="4014" spans="2:11" ht="14" hidden="1">
      <c r="B4014" s="1342"/>
      <c r="C4014" s="1342"/>
      <c r="D4014" s="1342"/>
      <c r="E4014" s="1342"/>
      <c r="F4014" s="1342"/>
      <c r="G4014" s="1342"/>
      <c r="H4014" s="1342"/>
      <c r="I4014" s="1342"/>
      <c r="J4014" s="1342"/>
      <c r="K4014" s="1342"/>
    </row>
    <row r="4015" spans="2:11" ht="14" hidden="1">
      <c r="B4015" s="1342"/>
      <c r="C4015" s="1342"/>
      <c r="D4015" s="1342"/>
      <c r="E4015" s="1342"/>
      <c r="F4015" s="1342"/>
      <c r="G4015" s="1342"/>
      <c r="H4015" s="1342"/>
      <c r="I4015" s="1342"/>
      <c r="J4015" s="1342"/>
      <c r="K4015" s="1342"/>
    </row>
    <row r="4016" spans="2:11" ht="14" hidden="1">
      <c r="B4016" s="1342"/>
      <c r="C4016" s="1342"/>
      <c r="D4016" s="1342"/>
      <c r="E4016" s="1342"/>
      <c r="F4016" s="1342"/>
      <c r="G4016" s="1342"/>
      <c r="H4016" s="1342"/>
      <c r="I4016" s="1342"/>
      <c r="J4016" s="1342"/>
      <c r="K4016" s="1342"/>
    </row>
    <row r="4017" spans="2:11" ht="14" hidden="1">
      <c r="B4017" s="1342"/>
      <c r="C4017" s="1342"/>
      <c r="D4017" s="1342"/>
      <c r="E4017" s="1342"/>
      <c r="F4017" s="1342"/>
      <c r="G4017" s="1342"/>
      <c r="H4017" s="1342"/>
      <c r="I4017" s="1342"/>
      <c r="J4017" s="1342"/>
      <c r="K4017" s="1342"/>
    </row>
    <row r="4018" spans="2:11" ht="14" hidden="1">
      <c r="B4018" s="1342"/>
      <c r="C4018" s="1342"/>
      <c r="D4018" s="1342"/>
      <c r="E4018" s="1342"/>
      <c r="F4018" s="1342"/>
      <c r="G4018" s="1342"/>
      <c r="H4018" s="1342"/>
      <c r="I4018" s="1342"/>
      <c r="J4018" s="1342"/>
      <c r="K4018" s="1342"/>
    </row>
    <row r="4019" spans="2:11" ht="14" hidden="1">
      <c r="B4019" s="1342"/>
      <c r="C4019" s="1342"/>
      <c r="D4019" s="1342"/>
      <c r="E4019" s="1342"/>
      <c r="F4019" s="1342"/>
      <c r="G4019" s="1342"/>
      <c r="H4019" s="1342"/>
      <c r="I4019" s="1342"/>
      <c r="J4019" s="1342"/>
      <c r="K4019" s="1342"/>
    </row>
    <row r="4020" spans="2:11" ht="14" hidden="1">
      <c r="B4020" s="1342"/>
      <c r="C4020" s="1342"/>
      <c r="D4020" s="1342"/>
      <c r="E4020" s="1342"/>
      <c r="F4020" s="1342"/>
      <c r="G4020" s="1342"/>
      <c r="H4020" s="1342"/>
      <c r="I4020" s="1342"/>
      <c r="J4020" s="1342"/>
      <c r="K4020" s="1342"/>
    </row>
    <row r="4021" spans="2:11" ht="14" hidden="1">
      <c r="B4021" s="1342"/>
      <c r="C4021" s="1342"/>
      <c r="D4021" s="1342"/>
      <c r="E4021" s="1342"/>
      <c r="F4021" s="1342"/>
      <c r="G4021" s="1342"/>
      <c r="H4021" s="1342"/>
      <c r="I4021" s="1342"/>
      <c r="J4021" s="1342"/>
      <c r="K4021" s="1342"/>
    </row>
    <row r="4022" spans="2:11" ht="14" hidden="1">
      <c r="B4022" s="1342"/>
      <c r="C4022" s="1342"/>
      <c r="D4022" s="1342"/>
      <c r="E4022" s="1342"/>
      <c r="F4022" s="1342"/>
      <c r="G4022" s="1342"/>
      <c r="H4022" s="1342"/>
      <c r="I4022" s="1342"/>
      <c r="J4022" s="1342"/>
      <c r="K4022" s="1342"/>
    </row>
    <row r="4023" spans="2:11" ht="14" hidden="1">
      <c r="B4023" s="1342"/>
      <c r="C4023" s="1342"/>
      <c r="D4023" s="1342"/>
      <c r="E4023" s="1342"/>
      <c r="F4023" s="1342"/>
      <c r="G4023" s="1342"/>
      <c r="H4023" s="1342"/>
      <c r="I4023" s="1342"/>
      <c r="J4023" s="1342"/>
      <c r="K4023" s="1342"/>
    </row>
    <row r="4024" spans="2:11" ht="14" hidden="1">
      <c r="B4024" s="1342"/>
      <c r="C4024" s="1342"/>
      <c r="D4024" s="1342"/>
      <c r="E4024" s="1342"/>
      <c r="F4024" s="1342"/>
      <c r="G4024" s="1342"/>
      <c r="H4024" s="1342"/>
      <c r="I4024" s="1342"/>
      <c r="J4024" s="1342"/>
      <c r="K4024" s="1342"/>
    </row>
    <row r="4025" spans="2:11" ht="14" hidden="1">
      <c r="B4025" s="1342"/>
      <c r="C4025" s="1342"/>
      <c r="D4025" s="1342"/>
      <c r="E4025" s="1342"/>
      <c r="F4025" s="1342"/>
      <c r="G4025" s="1342"/>
      <c r="H4025" s="1342"/>
      <c r="I4025" s="1342"/>
      <c r="J4025" s="1342"/>
      <c r="K4025" s="1342"/>
    </row>
    <row r="4026" spans="2:11" ht="14" hidden="1">
      <c r="B4026" s="1342"/>
      <c r="C4026" s="1342"/>
      <c r="D4026" s="1342"/>
      <c r="E4026" s="1342"/>
      <c r="F4026" s="1342"/>
      <c r="G4026" s="1342"/>
      <c r="H4026" s="1342"/>
      <c r="I4026" s="1342"/>
      <c r="J4026" s="1342"/>
      <c r="K4026" s="1342"/>
    </row>
    <row r="4027" spans="2:11" ht="14" hidden="1">
      <c r="B4027" s="1342"/>
      <c r="C4027" s="1342"/>
      <c r="D4027" s="1342"/>
      <c r="E4027" s="1342"/>
      <c r="F4027" s="1342"/>
      <c r="G4027" s="1342"/>
      <c r="H4027" s="1342"/>
      <c r="I4027" s="1342"/>
      <c r="J4027" s="1342"/>
      <c r="K4027" s="1342"/>
    </row>
    <row r="4028" spans="2:11" ht="14" hidden="1">
      <c r="B4028" s="1342"/>
      <c r="C4028" s="1342"/>
      <c r="D4028" s="1342"/>
      <c r="E4028" s="1342"/>
      <c r="F4028" s="1342"/>
      <c r="G4028" s="1342"/>
      <c r="H4028" s="1342"/>
      <c r="I4028" s="1342"/>
      <c r="J4028" s="1342"/>
      <c r="K4028" s="1342"/>
    </row>
    <row r="4029" spans="2:11" ht="14" hidden="1">
      <c r="B4029" s="1342"/>
      <c r="C4029" s="1342"/>
      <c r="D4029" s="1342"/>
      <c r="E4029" s="1342"/>
      <c r="F4029" s="1342"/>
      <c r="G4029" s="1342"/>
      <c r="H4029" s="1342"/>
      <c r="I4029" s="1342"/>
      <c r="J4029" s="1342"/>
      <c r="K4029" s="1342"/>
    </row>
    <row r="4030" spans="2:11" ht="14" hidden="1">
      <c r="B4030" s="1342"/>
      <c r="C4030" s="1342"/>
      <c r="D4030" s="1342"/>
      <c r="E4030" s="1342"/>
      <c r="F4030" s="1342"/>
      <c r="G4030" s="1342"/>
      <c r="H4030" s="1342"/>
      <c r="I4030" s="1342"/>
      <c r="J4030" s="1342"/>
      <c r="K4030" s="1342"/>
    </row>
    <row r="4031" spans="2:11" ht="14" hidden="1">
      <c r="B4031" s="1342"/>
      <c r="C4031" s="1342"/>
      <c r="D4031" s="1342"/>
      <c r="E4031" s="1342"/>
      <c r="F4031" s="1342"/>
      <c r="G4031" s="1342"/>
      <c r="H4031" s="1342"/>
      <c r="I4031" s="1342"/>
      <c r="J4031" s="1342"/>
      <c r="K4031" s="1342"/>
    </row>
    <row r="4032" spans="2:11" ht="14" hidden="1">
      <c r="B4032" s="1342"/>
      <c r="C4032" s="1342"/>
      <c r="D4032" s="1342"/>
      <c r="E4032" s="1342"/>
      <c r="F4032" s="1342"/>
      <c r="G4032" s="1342"/>
      <c r="H4032" s="1342"/>
      <c r="I4032" s="1342"/>
      <c r="J4032" s="1342"/>
      <c r="K4032" s="1342"/>
    </row>
    <row r="4033" spans="2:11" ht="14" hidden="1">
      <c r="B4033" s="1342"/>
      <c r="C4033" s="1342"/>
      <c r="D4033" s="1342"/>
      <c r="E4033" s="1342"/>
      <c r="F4033" s="1342"/>
      <c r="G4033" s="1342"/>
      <c r="H4033" s="1342"/>
      <c r="I4033" s="1342"/>
      <c r="J4033" s="1342"/>
      <c r="K4033" s="1342"/>
    </row>
    <row r="4034" spans="2:11" ht="14" hidden="1">
      <c r="B4034" s="1342"/>
      <c r="C4034" s="1342"/>
      <c r="D4034" s="1342"/>
      <c r="E4034" s="1342"/>
      <c r="F4034" s="1342"/>
      <c r="G4034" s="1342"/>
      <c r="H4034" s="1342"/>
      <c r="I4034" s="1342"/>
      <c r="J4034" s="1342"/>
      <c r="K4034" s="1342"/>
    </row>
    <row r="4035" spans="2:11" ht="14" hidden="1">
      <c r="B4035" s="1342"/>
      <c r="C4035" s="1342"/>
      <c r="D4035" s="1342"/>
      <c r="E4035" s="1342"/>
      <c r="F4035" s="1342"/>
      <c r="G4035" s="1342"/>
      <c r="H4035" s="1342"/>
      <c r="I4035" s="1342"/>
      <c r="J4035" s="1342"/>
      <c r="K4035" s="1342"/>
    </row>
    <row r="4036" spans="2:11" ht="14" hidden="1">
      <c r="B4036" s="1342"/>
      <c r="C4036" s="1342"/>
      <c r="D4036" s="1342"/>
      <c r="E4036" s="1342"/>
      <c r="F4036" s="1342"/>
      <c r="G4036" s="1342"/>
      <c r="H4036" s="1342"/>
      <c r="I4036" s="1342"/>
      <c r="J4036" s="1342"/>
      <c r="K4036" s="1342"/>
    </row>
    <row r="4037" spans="2:11" ht="14" hidden="1">
      <c r="B4037" s="1342"/>
      <c r="C4037" s="1342"/>
      <c r="D4037" s="1342"/>
      <c r="E4037" s="1342"/>
      <c r="F4037" s="1342"/>
      <c r="G4037" s="1342"/>
      <c r="H4037" s="1342"/>
      <c r="I4037" s="1342"/>
      <c r="J4037" s="1342"/>
      <c r="K4037" s="1342"/>
    </row>
    <row r="4038" spans="2:11" ht="14" hidden="1">
      <c r="B4038" s="1342"/>
      <c r="C4038" s="1342"/>
      <c r="D4038" s="1342"/>
      <c r="E4038" s="1342"/>
      <c r="F4038" s="1342"/>
      <c r="G4038" s="1342"/>
      <c r="H4038" s="1342"/>
      <c r="I4038" s="1342"/>
      <c r="J4038" s="1342"/>
      <c r="K4038" s="1342"/>
    </row>
    <row r="4039" spans="2:11" ht="14" hidden="1">
      <c r="B4039" s="1342"/>
      <c r="C4039" s="1342"/>
      <c r="D4039" s="1342"/>
      <c r="E4039" s="1342"/>
      <c r="F4039" s="1342"/>
      <c r="G4039" s="1342"/>
      <c r="H4039" s="1342"/>
      <c r="I4039" s="1342"/>
      <c r="J4039" s="1342"/>
      <c r="K4039" s="1342"/>
    </row>
    <row r="4040" spans="2:11" ht="14" hidden="1">
      <c r="B4040" s="1342"/>
      <c r="C4040" s="1342"/>
      <c r="D4040" s="1342"/>
      <c r="E4040" s="1342"/>
      <c r="F4040" s="1342"/>
      <c r="G4040" s="1342"/>
      <c r="H4040" s="1342"/>
      <c r="I4040" s="1342"/>
      <c r="J4040" s="1342"/>
      <c r="K4040" s="1342"/>
    </row>
    <row r="4041" spans="2:11" ht="14" hidden="1">
      <c r="B4041" s="1342"/>
      <c r="C4041" s="1342"/>
      <c r="D4041" s="1342"/>
      <c r="E4041" s="1342"/>
      <c r="F4041" s="1342"/>
      <c r="G4041" s="1342"/>
      <c r="H4041" s="1342"/>
      <c r="I4041" s="1342"/>
      <c r="J4041" s="1342"/>
      <c r="K4041" s="1342"/>
    </row>
    <row r="4042" spans="2:11" ht="14" hidden="1">
      <c r="B4042" s="1342"/>
      <c r="C4042" s="1342"/>
      <c r="D4042" s="1342"/>
      <c r="E4042" s="1342"/>
      <c r="F4042" s="1342"/>
      <c r="G4042" s="1342"/>
      <c r="H4042" s="1342"/>
      <c r="I4042" s="1342"/>
      <c r="J4042" s="1342"/>
      <c r="K4042" s="1342"/>
    </row>
    <row r="4043" spans="2:11" ht="14" hidden="1">
      <c r="B4043" s="1342"/>
      <c r="C4043" s="1342"/>
      <c r="D4043" s="1342"/>
      <c r="E4043" s="1342"/>
      <c r="F4043" s="1342"/>
      <c r="G4043" s="1342"/>
      <c r="H4043" s="1342"/>
      <c r="I4043" s="1342"/>
      <c r="J4043" s="1342"/>
      <c r="K4043" s="1342"/>
    </row>
    <row r="4044" spans="2:11" ht="14" hidden="1">
      <c r="B4044" s="1342"/>
      <c r="C4044" s="1342"/>
      <c r="D4044" s="1342"/>
      <c r="E4044" s="1342"/>
      <c r="F4044" s="1342"/>
      <c r="G4044" s="1342"/>
      <c r="H4044" s="1342"/>
      <c r="I4044" s="1342"/>
      <c r="J4044" s="1342"/>
      <c r="K4044" s="1342"/>
    </row>
    <row r="4045" spans="2:11" ht="14" hidden="1">
      <c r="B4045" s="1342"/>
      <c r="C4045" s="1342"/>
      <c r="D4045" s="1342"/>
      <c r="E4045" s="1342"/>
      <c r="F4045" s="1342"/>
      <c r="G4045" s="1342"/>
      <c r="H4045" s="1342"/>
      <c r="I4045" s="1342"/>
      <c r="J4045" s="1342"/>
      <c r="K4045" s="1342"/>
    </row>
    <row r="4046" spans="2:11" ht="14" hidden="1">
      <c r="B4046" s="1342"/>
      <c r="C4046" s="1342"/>
      <c r="D4046" s="1342"/>
      <c r="E4046" s="1342"/>
      <c r="F4046" s="1342"/>
      <c r="G4046" s="1342"/>
      <c r="H4046" s="1342"/>
      <c r="I4046" s="1342"/>
      <c r="J4046" s="1342"/>
      <c r="K4046" s="1342"/>
    </row>
    <row r="4047" spans="2:11" ht="14" hidden="1">
      <c r="B4047" s="1342"/>
      <c r="C4047" s="1342"/>
      <c r="D4047" s="1342"/>
      <c r="E4047" s="1342"/>
      <c r="F4047" s="1342"/>
      <c r="G4047" s="1342"/>
      <c r="H4047" s="1342"/>
      <c r="I4047" s="1342"/>
      <c r="J4047" s="1342"/>
      <c r="K4047" s="1342"/>
    </row>
    <row r="4048" spans="2:11" ht="14" hidden="1">
      <c r="B4048" s="1342"/>
      <c r="C4048" s="1342"/>
      <c r="D4048" s="1342"/>
      <c r="E4048" s="1342"/>
      <c r="F4048" s="1342"/>
      <c r="G4048" s="1342"/>
      <c r="H4048" s="1342"/>
      <c r="I4048" s="1342"/>
      <c r="J4048" s="1342"/>
      <c r="K4048" s="1342"/>
    </row>
    <row r="4049" spans="2:11" ht="14" hidden="1">
      <c r="B4049" s="1342"/>
      <c r="C4049" s="1342"/>
      <c r="D4049" s="1342"/>
      <c r="E4049" s="1342"/>
      <c r="F4049" s="1342"/>
      <c r="G4049" s="1342"/>
      <c r="H4049" s="1342"/>
      <c r="I4049" s="1342"/>
      <c r="J4049" s="1342"/>
      <c r="K4049" s="1342"/>
    </row>
    <row r="4050" spans="2:11" ht="14" hidden="1">
      <c r="B4050" s="1342"/>
      <c r="C4050" s="1342"/>
      <c r="D4050" s="1342"/>
      <c r="E4050" s="1342"/>
      <c r="F4050" s="1342"/>
      <c r="G4050" s="1342"/>
      <c r="H4050" s="1342"/>
      <c r="I4050" s="1342"/>
      <c r="J4050" s="1342"/>
      <c r="K4050" s="1342"/>
    </row>
    <row r="4051" spans="2:11" ht="14" hidden="1">
      <c r="B4051" s="1342"/>
      <c r="C4051" s="1342"/>
      <c r="D4051" s="1342"/>
      <c r="E4051" s="1342"/>
      <c r="F4051" s="1342"/>
      <c r="G4051" s="1342"/>
      <c r="H4051" s="1342"/>
      <c r="I4051" s="1342"/>
      <c r="J4051" s="1342"/>
      <c r="K4051" s="1342"/>
    </row>
    <row r="4052" spans="2:11" ht="14" hidden="1">
      <c r="B4052" s="1342"/>
      <c r="C4052" s="1342"/>
      <c r="D4052" s="1342"/>
      <c r="E4052" s="1342"/>
      <c r="F4052" s="1342"/>
      <c r="G4052" s="1342"/>
      <c r="H4052" s="1342"/>
      <c r="I4052" s="1342"/>
      <c r="J4052" s="1342"/>
      <c r="K4052" s="1342"/>
    </row>
    <row r="4053" spans="2:11" ht="14" hidden="1">
      <c r="B4053" s="1342"/>
      <c r="C4053" s="1342"/>
      <c r="D4053" s="1342"/>
      <c r="E4053" s="1342"/>
      <c r="F4053" s="1342"/>
      <c r="G4053" s="1342"/>
      <c r="H4053" s="1342"/>
      <c r="I4053" s="1342"/>
      <c r="J4053" s="1342"/>
      <c r="K4053" s="1342"/>
    </row>
    <row r="4054" spans="2:11" ht="14" hidden="1">
      <c r="B4054" s="1342"/>
      <c r="C4054" s="1342"/>
      <c r="D4054" s="1342"/>
      <c r="E4054" s="1342"/>
      <c r="F4054" s="1342"/>
      <c r="G4054" s="1342"/>
      <c r="H4054" s="1342"/>
      <c r="I4054" s="1342"/>
      <c r="J4054" s="1342"/>
      <c r="K4054" s="1342"/>
    </row>
    <row r="4055" spans="2:11" ht="14" hidden="1">
      <c r="B4055" s="1342"/>
      <c r="C4055" s="1342"/>
      <c r="D4055" s="1342"/>
      <c r="E4055" s="1342"/>
      <c r="F4055" s="1342"/>
      <c r="G4055" s="1342"/>
      <c r="H4055" s="1342"/>
      <c r="I4055" s="1342"/>
      <c r="J4055" s="1342"/>
      <c r="K4055" s="1342"/>
    </row>
    <row r="4056" spans="2:11" ht="14" hidden="1">
      <c r="B4056" s="1342"/>
      <c r="C4056" s="1342"/>
      <c r="D4056" s="1342"/>
      <c r="E4056" s="1342"/>
      <c r="F4056" s="1342"/>
      <c r="G4056" s="1342"/>
      <c r="H4056" s="1342"/>
      <c r="I4056" s="1342"/>
      <c r="J4056" s="1342"/>
      <c r="K4056" s="1342"/>
    </row>
    <row r="4057" spans="2:11" ht="14" hidden="1">
      <c r="B4057" s="1342"/>
      <c r="C4057" s="1342"/>
      <c r="D4057" s="1342"/>
      <c r="E4057" s="1342"/>
      <c r="F4057" s="1342"/>
      <c r="G4057" s="1342"/>
      <c r="H4057" s="1342"/>
      <c r="I4057" s="1342"/>
      <c r="J4057" s="1342"/>
      <c r="K4057" s="1342"/>
    </row>
    <row r="4058" spans="2:11" ht="14" hidden="1">
      <c r="B4058" s="1342"/>
      <c r="C4058" s="1342"/>
      <c r="D4058" s="1342"/>
      <c r="E4058" s="1342"/>
      <c r="F4058" s="1342"/>
      <c r="G4058" s="1342"/>
      <c r="H4058" s="1342"/>
      <c r="I4058" s="1342"/>
      <c r="J4058" s="1342"/>
      <c r="K4058" s="1342"/>
    </row>
    <row r="4059" spans="2:11" ht="14" hidden="1">
      <c r="B4059" s="1342"/>
      <c r="C4059" s="1342"/>
      <c r="D4059" s="1342"/>
      <c r="E4059" s="1342"/>
      <c r="F4059" s="1342"/>
      <c r="G4059" s="1342"/>
      <c r="H4059" s="1342"/>
      <c r="I4059" s="1342"/>
      <c r="J4059" s="1342"/>
      <c r="K4059" s="1342"/>
    </row>
    <row r="4060" spans="2:11" ht="14" hidden="1">
      <c r="B4060" s="1342"/>
      <c r="C4060" s="1342"/>
      <c r="D4060" s="1342"/>
      <c r="E4060" s="1342"/>
      <c r="F4060" s="1342"/>
      <c r="G4060" s="1342"/>
      <c r="H4060" s="1342"/>
      <c r="I4060" s="1342"/>
      <c r="J4060" s="1342"/>
      <c r="K4060" s="1342"/>
    </row>
    <row r="4061" spans="2:11" ht="14" hidden="1">
      <c r="B4061" s="1342"/>
      <c r="C4061" s="1342"/>
      <c r="D4061" s="1342"/>
      <c r="E4061" s="1342"/>
      <c r="F4061" s="1342"/>
      <c r="G4061" s="1342"/>
      <c r="H4061" s="1342"/>
      <c r="I4061" s="1342"/>
      <c r="J4061" s="1342"/>
      <c r="K4061" s="1342"/>
    </row>
    <row r="4062" spans="2:11" ht="14" hidden="1">
      <c r="B4062" s="1342"/>
      <c r="C4062" s="1342"/>
      <c r="D4062" s="1342"/>
      <c r="E4062" s="1342"/>
      <c r="F4062" s="1342"/>
      <c r="G4062" s="1342"/>
      <c r="H4062" s="1342"/>
      <c r="I4062" s="1342"/>
      <c r="J4062" s="1342"/>
      <c r="K4062" s="1342"/>
    </row>
    <row r="4063" spans="2:11" ht="14" hidden="1">
      <c r="B4063" s="1342"/>
      <c r="C4063" s="1342"/>
      <c r="D4063" s="1342"/>
      <c r="E4063" s="1342"/>
      <c r="F4063" s="1342"/>
      <c r="G4063" s="1342"/>
      <c r="H4063" s="1342"/>
      <c r="I4063" s="1342"/>
      <c r="J4063" s="1342"/>
      <c r="K4063" s="1342"/>
    </row>
    <row r="4064" spans="2:11" ht="14" hidden="1">
      <c r="B4064" s="1342"/>
      <c r="C4064" s="1342"/>
      <c r="D4064" s="1342"/>
      <c r="E4064" s="1342"/>
      <c r="F4064" s="1342"/>
      <c r="G4064" s="1342"/>
      <c r="H4064" s="1342"/>
      <c r="I4064" s="1342"/>
      <c r="J4064" s="1342"/>
      <c r="K4064" s="1342"/>
    </row>
    <row r="4065" spans="2:11" ht="14" hidden="1">
      <c r="B4065" s="1342"/>
      <c r="C4065" s="1342"/>
      <c r="D4065" s="1342"/>
      <c r="E4065" s="1342"/>
      <c r="F4065" s="1342"/>
      <c r="G4065" s="1342"/>
      <c r="H4065" s="1342"/>
      <c r="I4065" s="1342"/>
      <c r="J4065" s="1342"/>
      <c r="K4065" s="1342"/>
    </row>
    <row r="4066" spans="2:11" ht="14" hidden="1">
      <c r="B4066" s="1342"/>
      <c r="C4066" s="1342"/>
      <c r="D4066" s="1342"/>
      <c r="E4066" s="1342"/>
      <c r="F4066" s="1342"/>
      <c r="G4066" s="1342"/>
      <c r="H4066" s="1342"/>
      <c r="I4066" s="1342"/>
      <c r="J4066" s="1342"/>
      <c r="K4066" s="1342"/>
    </row>
    <row r="4067" spans="2:11" ht="14" hidden="1">
      <c r="B4067" s="1342"/>
      <c r="C4067" s="1342"/>
      <c r="D4067" s="1342"/>
      <c r="E4067" s="1342"/>
      <c r="F4067" s="1342"/>
      <c r="G4067" s="1342"/>
      <c r="H4067" s="1342"/>
      <c r="I4067" s="1342"/>
      <c r="J4067" s="1342"/>
      <c r="K4067" s="1342"/>
    </row>
    <row r="4068" spans="2:11" ht="14" hidden="1">
      <c r="B4068" s="1342"/>
      <c r="C4068" s="1342"/>
      <c r="D4068" s="1342"/>
      <c r="E4068" s="1342"/>
      <c r="F4068" s="1342"/>
      <c r="G4068" s="1342"/>
      <c r="H4068" s="1342"/>
      <c r="I4068" s="1342"/>
      <c r="J4068" s="1342"/>
      <c r="K4068" s="1342"/>
    </row>
    <row r="4069" spans="2:11" ht="14" hidden="1">
      <c r="B4069" s="1342"/>
      <c r="C4069" s="1342"/>
      <c r="D4069" s="1342"/>
      <c r="E4069" s="1342"/>
      <c r="F4069" s="1342"/>
      <c r="G4069" s="1342"/>
      <c r="H4069" s="1342"/>
      <c r="I4069" s="1342"/>
      <c r="J4069" s="1342"/>
      <c r="K4069" s="1342"/>
    </row>
    <row r="4070" spans="2:11" ht="14" hidden="1">
      <c r="B4070" s="1342"/>
      <c r="C4070" s="1342"/>
      <c r="D4070" s="1342"/>
      <c r="E4070" s="1342"/>
      <c r="F4070" s="1342"/>
      <c r="G4070" s="1342"/>
      <c r="H4070" s="1342"/>
      <c r="I4070" s="1342"/>
      <c r="J4070" s="1342"/>
      <c r="K4070" s="1342"/>
    </row>
    <row r="4071" spans="2:11" ht="14" hidden="1">
      <c r="B4071" s="1342"/>
      <c r="C4071" s="1342"/>
      <c r="D4071" s="1342"/>
      <c r="E4071" s="1342"/>
      <c r="F4071" s="1342"/>
      <c r="G4071" s="1342"/>
      <c r="H4071" s="1342"/>
      <c r="I4071" s="1342"/>
      <c r="J4071" s="1342"/>
      <c r="K4071" s="1342"/>
    </row>
    <row r="4072" spans="2:11" ht="14" hidden="1">
      <c r="B4072" s="1342"/>
      <c r="C4072" s="1342"/>
      <c r="D4072" s="1342"/>
      <c r="E4072" s="1342"/>
      <c r="F4072" s="1342"/>
      <c r="G4072" s="1342"/>
      <c r="H4072" s="1342"/>
      <c r="I4072" s="1342"/>
      <c r="J4072" s="1342"/>
      <c r="K4072" s="1342"/>
    </row>
    <row r="4073" spans="2:11" ht="14" hidden="1">
      <c r="B4073" s="1342"/>
      <c r="C4073" s="1342"/>
      <c r="D4073" s="1342"/>
      <c r="E4073" s="1342"/>
      <c r="F4073" s="1342"/>
      <c r="G4073" s="1342"/>
      <c r="H4073" s="1342"/>
      <c r="I4073" s="1342"/>
      <c r="J4073" s="1342"/>
      <c r="K4073" s="1342"/>
    </row>
    <row r="4074" spans="2:11" ht="14" hidden="1">
      <c r="B4074" s="1342"/>
      <c r="C4074" s="1342"/>
      <c r="D4074" s="1342"/>
      <c r="E4074" s="1342"/>
      <c r="F4074" s="1342"/>
      <c r="G4074" s="1342"/>
      <c r="H4074" s="1342"/>
      <c r="I4074" s="1342"/>
      <c r="J4074" s="1342"/>
      <c r="K4074" s="1342"/>
    </row>
    <row r="4075" spans="2:11" ht="14" hidden="1">
      <c r="B4075" s="1342"/>
      <c r="C4075" s="1342"/>
      <c r="D4075" s="1342"/>
      <c r="E4075" s="1342"/>
      <c r="F4075" s="1342"/>
      <c r="G4075" s="1342"/>
      <c r="H4075" s="1342"/>
      <c r="I4075" s="1342"/>
      <c r="J4075" s="1342"/>
      <c r="K4075" s="1342"/>
    </row>
    <row r="4076" spans="2:11" ht="14" hidden="1">
      <c r="B4076" s="1342"/>
      <c r="C4076" s="1342"/>
      <c r="D4076" s="1342"/>
      <c r="E4076" s="1342"/>
      <c r="F4076" s="1342"/>
      <c r="G4076" s="1342"/>
      <c r="H4076" s="1342"/>
      <c r="I4076" s="1342"/>
      <c r="J4076" s="1342"/>
      <c r="K4076" s="1342"/>
    </row>
    <row r="4077" spans="2:11" ht="14" hidden="1">
      <c r="B4077" s="1342"/>
      <c r="C4077" s="1342"/>
      <c r="D4077" s="1342"/>
      <c r="E4077" s="1342"/>
      <c r="F4077" s="1342"/>
      <c r="G4077" s="1342"/>
      <c r="H4077" s="1342"/>
      <c r="I4077" s="1342"/>
      <c r="J4077" s="1342"/>
      <c r="K4077" s="1342"/>
    </row>
    <row r="4078" spans="2:11" ht="14" hidden="1">
      <c r="B4078" s="1342"/>
      <c r="C4078" s="1342"/>
      <c r="D4078" s="1342"/>
      <c r="E4078" s="1342"/>
      <c r="F4078" s="1342"/>
      <c r="G4078" s="1342"/>
      <c r="H4078" s="1342"/>
      <c r="I4078" s="1342"/>
      <c r="J4078" s="1342"/>
      <c r="K4078" s="1342"/>
    </row>
    <row r="4079" spans="2:11" ht="14" hidden="1">
      <c r="B4079" s="1342"/>
      <c r="C4079" s="1342"/>
      <c r="D4079" s="1342"/>
      <c r="E4079" s="1342"/>
      <c r="F4079" s="1342"/>
      <c r="G4079" s="1342"/>
      <c r="H4079" s="1342"/>
      <c r="I4079" s="1342"/>
      <c r="J4079" s="1342"/>
      <c r="K4079" s="1342"/>
    </row>
    <row r="4080" spans="2:11" ht="14" hidden="1">
      <c r="B4080" s="1342"/>
      <c r="C4080" s="1342"/>
      <c r="D4080" s="1342"/>
      <c r="E4080" s="1342"/>
      <c r="F4080" s="1342"/>
      <c r="G4080" s="1342"/>
      <c r="H4080" s="1342"/>
      <c r="I4080" s="1342"/>
      <c r="J4080" s="1342"/>
      <c r="K4080" s="1342"/>
    </row>
    <row r="4081" spans="2:11" ht="14" hidden="1">
      <c r="B4081" s="1342"/>
      <c r="C4081" s="1342"/>
      <c r="D4081" s="1342"/>
      <c r="E4081" s="1342"/>
      <c r="F4081" s="1342"/>
      <c r="G4081" s="1342"/>
      <c r="H4081" s="1342"/>
      <c r="I4081" s="1342"/>
      <c r="J4081" s="1342"/>
      <c r="K4081" s="1342"/>
    </row>
    <row r="4082" spans="2:11" ht="14" hidden="1">
      <c r="B4082" s="1342"/>
      <c r="C4082" s="1342"/>
      <c r="D4082" s="1342"/>
      <c r="E4082" s="1342"/>
      <c r="F4082" s="1342"/>
      <c r="G4082" s="1342"/>
      <c r="H4082" s="1342"/>
      <c r="I4082" s="1342"/>
      <c r="J4082" s="1342"/>
      <c r="K4082" s="1342"/>
    </row>
    <row r="4083" spans="2:11" ht="14" hidden="1">
      <c r="B4083" s="1342"/>
      <c r="C4083" s="1342"/>
      <c r="D4083" s="1342"/>
      <c r="E4083" s="1342"/>
      <c r="F4083" s="1342"/>
      <c r="G4083" s="1342"/>
      <c r="H4083" s="1342"/>
      <c r="I4083" s="1342"/>
      <c r="J4083" s="1342"/>
      <c r="K4083" s="1342"/>
    </row>
    <row r="4084" spans="2:11" ht="14" hidden="1">
      <c r="B4084" s="1342"/>
      <c r="C4084" s="1342"/>
      <c r="D4084" s="1342"/>
      <c r="E4084" s="1342"/>
      <c r="F4084" s="1342"/>
      <c r="G4084" s="1342"/>
      <c r="H4084" s="1342"/>
      <c r="I4084" s="1342"/>
      <c r="J4084" s="1342"/>
      <c r="K4084" s="1342"/>
    </row>
    <row r="4085" spans="2:11" ht="14" hidden="1">
      <c r="B4085" s="1342"/>
      <c r="C4085" s="1342"/>
      <c r="D4085" s="1342"/>
      <c r="E4085" s="1342"/>
      <c r="F4085" s="1342"/>
      <c r="G4085" s="1342"/>
      <c r="H4085" s="1342"/>
      <c r="I4085" s="1342"/>
      <c r="J4085" s="1342"/>
      <c r="K4085" s="1342"/>
    </row>
    <row r="4086" spans="2:11" ht="14" hidden="1">
      <c r="B4086" s="1342"/>
      <c r="C4086" s="1342"/>
      <c r="D4086" s="1342"/>
      <c r="E4086" s="1342"/>
      <c r="F4086" s="1342"/>
      <c r="G4086" s="1342"/>
      <c r="H4086" s="1342"/>
      <c r="I4086" s="1342"/>
      <c r="J4086" s="1342"/>
      <c r="K4086" s="1342"/>
    </row>
    <row r="4087" spans="2:11" ht="14" hidden="1">
      <c r="B4087" s="1342"/>
      <c r="C4087" s="1342"/>
      <c r="D4087" s="1342"/>
      <c r="E4087" s="1342"/>
      <c r="F4087" s="1342"/>
      <c r="G4087" s="1342"/>
      <c r="H4087" s="1342"/>
      <c r="I4087" s="1342"/>
      <c r="J4087" s="1342"/>
      <c r="K4087" s="1342"/>
    </row>
    <row r="4088" spans="2:11" ht="14" hidden="1">
      <c r="B4088" s="1342"/>
      <c r="C4088" s="1342"/>
      <c r="D4088" s="1342"/>
      <c r="E4088" s="1342"/>
      <c r="F4088" s="1342"/>
      <c r="G4088" s="1342"/>
      <c r="H4088" s="1342"/>
      <c r="I4088" s="1342"/>
      <c r="J4088" s="1342"/>
      <c r="K4088" s="1342"/>
    </row>
    <row r="4089" spans="2:11" ht="14" hidden="1">
      <c r="B4089" s="1342"/>
      <c r="C4089" s="1342"/>
      <c r="D4089" s="1342"/>
      <c r="E4089" s="1342"/>
      <c r="F4089" s="1342"/>
      <c r="G4089" s="1342"/>
      <c r="H4089" s="1342"/>
      <c r="I4089" s="1342"/>
      <c r="J4089" s="1342"/>
      <c r="K4089" s="1342"/>
    </row>
    <row r="4090" spans="2:11" ht="14" hidden="1">
      <c r="B4090" s="1342"/>
      <c r="C4090" s="1342"/>
      <c r="D4090" s="1342"/>
      <c r="E4090" s="1342"/>
      <c r="F4090" s="1342"/>
      <c r="G4090" s="1342"/>
      <c r="H4090" s="1342"/>
      <c r="I4090" s="1342"/>
      <c r="J4090" s="1342"/>
      <c r="K4090" s="1342"/>
    </row>
    <row r="4091" spans="2:11" ht="14" hidden="1">
      <c r="B4091" s="1342"/>
      <c r="C4091" s="1342"/>
      <c r="D4091" s="1342"/>
      <c r="E4091" s="1342"/>
      <c r="F4091" s="1342"/>
      <c r="G4091" s="1342"/>
      <c r="H4091" s="1342"/>
      <c r="I4091" s="1342"/>
      <c r="J4091" s="1342"/>
      <c r="K4091" s="1342"/>
    </row>
    <row r="4092" spans="2:11" ht="14" hidden="1">
      <c r="B4092" s="1342"/>
      <c r="C4092" s="1342"/>
      <c r="D4092" s="1342"/>
      <c r="E4092" s="1342"/>
      <c r="F4092" s="1342"/>
      <c r="G4092" s="1342"/>
      <c r="H4092" s="1342"/>
      <c r="I4092" s="1342"/>
      <c r="J4092" s="1342"/>
      <c r="K4092" s="1342"/>
    </row>
    <row r="4093" spans="2:11" ht="14" hidden="1">
      <c r="B4093" s="1342"/>
      <c r="C4093" s="1342"/>
      <c r="D4093" s="1342"/>
      <c r="E4093" s="1342"/>
      <c r="F4093" s="1342"/>
      <c r="G4093" s="1342"/>
      <c r="H4093" s="1342"/>
      <c r="I4093" s="1342"/>
      <c r="J4093" s="1342"/>
      <c r="K4093" s="1342"/>
    </row>
    <row r="4094" spans="2:11" ht="14" hidden="1">
      <c r="B4094" s="1342"/>
      <c r="C4094" s="1342"/>
      <c r="D4094" s="1342"/>
      <c r="E4094" s="1342"/>
      <c r="F4094" s="1342"/>
      <c r="G4094" s="1342"/>
      <c r="H4094" s="1342"/>
      <c r="I4094" s="1342"/>
      <c r="J4094" s="1342"/>
      <c r="K4094" s="1342"/>
    </row>
    <row r="4095" spans="2:11" ht="14" hidden="1">
      <c r="B4095" s="1342"/>
      <c r="C4095" s="1342"/>
      <c r="D4095" s="1342"/>
      <c r="E4095" s="1342"/>
      <c r="F4095" s="1342"/>
      <c r="G4095" s="1342"/>
      <c r="H4095" s="1342"/>
      <c r="I4095" s="1342"/>
      <c r="J4095" s="1342"/>
      <c r="K4095" s="1342"/>
    </row>
    <row r="4096" spans="2:11" ht="14" hidden="1">
      <c r="B4096" s="1342"/>
      <c r="C4096" s="1342"/>
      <c r="D4096" s="1342"/>
      <c r="E4096" s="1342"/>
      <c r="F4096" s="1342"/>
      <c r="G4096" s="1342"/>
      <c r="H4096" s="1342"/>
      <c r="I4096" s="1342"/>
      <c r="J4096" s="1342"/>
      <c r="K4096" s="1342"/>
    </row>
    <row r="4097" spans="2:11" ht="14" hidden="1">
      <c r="B4097" s="1342"/>
      <c r="C4097" s="1342"/>
      <c r="D4097" s="1342"/>
      <c r="E4097" s="1342"/>
      <c r="F4097" s="1342"/>
      <c r="G4097" s="1342"/>
      <c r="H4097" s="1342"/>
      <c r="I4097" s="1342"/>
      <c r="J4097" s="1342"/>
      <c r="K4097" s="1342"/>
    </row>
    <row r="4098" spans="2:11" ht="14" hidden="1">
      <c r="B4098" s="1342"/>
      <c r="C4098" s="1342"/>
      <c r="D4098" s="1342"/>
      <c r="E4098" s="1342"/>
      <c r="F4098" s="1342"/>
      <c r="G4098" s="1342"/>
      <c r="H4098" s="1342"/>
      <c r="I4098" s="1342"/>
      <c r="J4098" s="1342"/>
      <c r="K4098" s="1342"/>
    </row>
    <row r="4099" spans="2:11" ht="14" hidden="1">
      <c r="B4099" s="1342"/>
      <c r="C4099" s="1342"/>
      <c r="D4099" s="1342"/>
      <c r="E4099" s="1342"/>
      <c r="F4099" s="1342"/>
      <c r="G4099" s="1342"/>
      <c r="H4099" s="1342"/>
      <c r="I4099" s="1342"/>
      <c r="J4099" s="1342"/>
      <c r="K4099" s="1342"/>
    </row>
    <row r="4100" spans="2:11" ht="14" hidden="1">
      <c r="B4100" s="1342"/>
      <c r="C4100" s="1342"/>
      <c r="D4100" s="1342"/>
      <c r="E4100" s="1342"/>
      <c r="F4100" s="1342"/>
      <c r="G4100" s="1342"/>
      <c r="H4100" s="1342"/>
      <c r="I4100" s="1342"/>
      <c r="J4100" s="1342"/>
      <c r="K4100" s="1342"/>
    </row>
    <row r="4101" spans="2:11" ht="14" hidden="1">
      <c r="B4101" s="1342"/>
      <c r="C4101" s="1342"/>
      <c r="D4101" s="1342"/>
      <c r="E4101" s="1342"/>
      <c r="F4101" s="1342"/>
      <c r="G4101" s="1342"/>
      <c r="H4101" s="1342"/>
      <c r="I4101" s="1342"/>
      <c r="J4101" s="1342"/>
      <c r="K4101" s="1342"/>
    </row>
    <row r="4102" spans="2:11" ht="14" hidden="1">
      <c r="B4102" s="1342"/>
      <c r="C4102" s="1342"/>
      <c r="D4102" s="1342"/>
      <c r="E4102" s="1342"/>
      <c r="F4102" s="1342"/>
      <c r="G4102" s="1342"/>
      <c r="H4102" s="1342"/>
      <c r="I4102" s="1342"/>
      <c r="J4102" s="1342"/>
      <c r="K4102" s="1342"/>
    </row>
    <row r="4103" spans="2:11" ht="14" hidden="1">
      <c r="B4103" s="1342"/>
      <c r="C4103" s="1342"/>
      <c r="D4103" s="1342"/>
      <c r="E4103" s="1342"/>
      <c r="F4103" s="1342"/>
      <c r="G4103" s="1342"/>
      <c r="H4103" s="1342"/>
      <c r="I4103" s="1342"/>
      <c r="J4103" s="1342"/>
      <c r="K4103" s="1342"/>
    </row>
    <row r="4104" spans="2:11" ht="14" hidden="1">
      <c r="B4104" s="1342"/>
      <c r="C4104" s="1342"/>
      <c r="D4104" s="1342"/>
      <c r="E4104" s="1342"/>
      <c r="F4104" s="1342"/>
      <c r="G4104" s="1342"/>
      <c r="H4104" s="1342"/>
      <c r="I4104" s="1342"/>
      <c r="J4104" s="1342"/>
      <c r="K4104" s="1342"/>
    </row>
    <row r="4105" spans="2:11" ht="14" hidden="1">
      <c r="B4105" s="1342"/>
      <c r="C4105" s="1342"/>
      <c r="D4105" s="1342"/>
      <c r="E4105" s="1342"/>
      <c r="F4105" s="1342"/>
      <c r="G4105" s="1342"/>
      <c r="H4105" s="1342"/>
      <c r="I4105" s="1342"/>
      <c r="J4105" s="1342"/>
      <c r="K4105" s="1342"/>
    </row>
    <row r="4106" spans="2:11" ht="14" hidden="1">
      <c r="B4106" s="1342"/>
      <c r="C4106" s="1342"/>
      <c r="D4106" s="1342"/>
      <c r="E4106" s="1342"/>
      <c r="F4106" s="1342"/>
      <c r="G4106" s="1342"/>
      <c r="H4106" s="1342"/>
      <c r="I4106" s="1342"/>
      <c r="J4106" s="1342"/>
      <c r="K4106" s="1342"/>
    </row>
    <row r="4107" spans="2:11" ht="14" hidden="1">
      <c r="B4107" s="1342"/>
      <c r="C4107" s="1342"/>
      <c r="D4107" s="1342"/>
      <c r="E4107" s="1342"/>
      <c r="F4107" s="1342"/>
      <c r="G4107" s="1342"/>
      <c r="H4107" s="1342"/>
      <c r="I4107" s="1342"/>
      <c r="J4107" s="1342"/>
      <c r="K4107" s="1342"/>
    </row>
    <row r="4108" spans="2:11" ht="14" hidden="1">
      <c r="B4108" s="1342"/>
      <c r="C4108" s="1342"/>
      <c r="D4108" s="1342"/>
      <c r="E4108" s="1342"/>
      <c r="F4108" s="1342"/>
      <c r="G4108" s="1342"/>
      <c r="H4108" s="1342"/>
      <c r="I4108" s="1342"/>
      <c r="J4108" s="1342"/>
      <c r="K4108" s="1342"/>
    </row>
    <row r="4109" spans="2:11" ht="14" hidden="1">
      <c r="B4109" s="1342"/>
      <c r="C4109" s="1342"/>
      <c r="D4109" s="1342"/>
      <c r="E4109" s="1342"/>
      <c r="F4109" s="1342"/>
      <c r="G4109" s="1342"/>
      <c r="H4109" s="1342"/>
      <c r="I4109" s="1342"/>
      <c r="J4109" s="1342"/>
      <c r="K4109" s="1342"/>
    </row>
    <row r="4110" spans="2:11" ht="14" hidden="1">
      <c r="B4110" s="1342"/>
      <c r="C4110" s="1342"/>
      <c r="D4110" s="1342"/>
      <c r="E4110" s="1342"/>
      <c r="F4110" s="1342"/>
      <c r="G4110" s="1342"/>
      <c r="H4110" s="1342"/>
      <c r="I4110" s="1342"/>
      <c r="J4110" s="1342"/>
      <c r="K4110" s="1342"/>
    </row>
    <row r="4111" spans="2:11" ht="14" hidden="1">
      <c r="B4111" s="1342"/>
      <c r="C4111" s="1342"/>
      <c r="D4111" s="1342"/>
      <c r="E4111" s="1342"/>
      <c r="F4111" s="1342"/>
      <c r="G4111" s="1342"/>
      <c r="H4111" s="1342"/>
      <c r="I4111" s="1342"/>
      <c r="J4111" s="1342"/>
      <c r="K4111" s="1342"/>
    </row>
    <row r="4112" spans="2:11" ht="14" hidden="1">
      <c r="B4112" s="1342"/>
      <c r="C4112" s="1342"/>
      <c r="D4112" s="1342"/>
      <c r="E4112" s="1342"/>
      <c r="F4112" s="1342"/>
      <c r="G4112" s="1342"/>
      <c r="H4112" s="1342"/>
      <c r="I4112" s="1342"/>
      <c r="J4112" s="1342"/>
      <c r="K4112" s="1342"/>
    </row>
    <row r="4113" spans="2:11" ht="14" hidden="1">
      <c r="B4113" s="1342"/>
      <c r="C4113" s="1342"/>
      <c r="D4113" s="1342"/>
      <c r="E4113" s="1342"/>
      <c r="F4113" s="1342"/>
      <c r="G4113" s="1342"/>
      <c r="H4113" s="1342"/>
      <c r="I4113" s="1342"/>
      <c r="J4113" s="1342"/>
      <c r="K4113" s="1342"/>
    </row>
    <row r="4114" spans="2:11" ht="14" hidden="1">
      <c r="B4114" s="1342"/>
      <c r="C4114" s="1342"/>
      <c r="D4114" s="1342"/>
      <c r="E4114" s="1342"/>
      <c r="F4114" s="1342"/>
      <c r="G4114" s="1342"/>
      <c r="H4114" s="1342"/>
      <c r="I4114" s="1342"/>
      <c r="J4114" s="1342"/>
      <c r="K4114" s="1342"/>
    </row>
    <row r="4115" spans="2:11" ht="14" hidden="1">
      <c r="B4115" s="1342"/>
      <c r="C4115" s="1342"/>
      <c r="D4115" s="1342"/>
      <c r="E4115" s="1342"/>
      <c r="F4115" s="1342"/>
      <c r="G4115" s="1342"/>
      <c r="H4115" s="1342"/>
      <c r="I4115" s="1342"/>
      <c r="J4115" s="1342"/>
      <c r="K4115" s="1342"/>
    </row>
    <row r="4116" spans="2:11" ht="14" hidden="1">
      <c r="B4116" s="1342"/>
      <c r="C4116" s="1342"/>
      <c r="D4116" s="1342"/>
      <c r="E4116" s="1342"/>
      <c r="F4116" s="1342"/>
      <c r="G4116" s="1342"/>
      <c r="H4116" s="1342"/>
      <c r="I4116" s="1342"/>
      <c r="J4116" s="1342"/>
      <c r="K4116" s="1342"/>
    </row>
    <row r="4117" spans="2:11" ht="14" hidden="1">
      <c r="B4117" s="1342"/>
      <c r="C4117" s="1342"/>
      <c r="D4117" s="1342"/>
      <c r="E4117" s="1342"/>
      <c r="F4117" s="1342"/>
      <c r="G4117" s="1342"/>
      <c r="H4117" s="1342"/>
      <c r="I4117" s="1342"/>
      <c r="J4117" s="1342"/>
      <c r="K4117" s="1342"/>
    </row>
    <row r="4118" spans="2:11" ht="14" hidden="1">
      <c r="B4118" s="1342"/>
      <c r="C4118" s="1342"/>
      <c r="D4118" s="1342"/>
      <c r="E4118" s="1342"/>
      <c r="F4118" s="1342"/>
      <c r="G4118" s="1342"/>
      <c r="H4118" s="1342"/>
      <c r="I4118" s="1342"/>
      <c r="J4118" s="1342"/>
      <c r="K4118" s="1342"/>
    </row>
    <row r="4119" spans="2:11" ht="14" hidden="1">
      <c r="B4119" s="1342"/>
      <c r="C4119" s="1342"/>
      <c r="D4119" s="1342"/>
      <c r="E4119" s="1342"/>
      <c r="F4119" s="1342"/>
      <c r="G4119" s="1342"/>
      <c r="H4119" s="1342"/>
      <c r="I4119" s="1342"/>
      <c r="J4119" s="1342"/>
      <c r="K4119" s="1342"/>
    </row>
    <row r="4120" spans="2:11" ht="14" hidden="1">
      <c r="B4120" s="1342"/>
      <c r="C4120" s="1342"/>
      <c r="D4120" s="1342"/>
      <c r="E4120" s="1342"/>
      <c r="F4120" s="1342"/>
      <c r="G4120" s="1342"/>
      <c r="H4120" s="1342"/>
      <c r="I4120" s="1342"/>
      <c r="J4120" s="1342"/>
      <c r="K4120" s="1342"/>
    </row>
    <row r="4121" spans="2:11" ht="14" hidden="1">
      <c r="B4121" s="1342"/>
      <c r="C4121" s="1342"/>
      <c r="D4121" s="1342"/>
      <c r="E4121" s="1342"/>
      <c r="F4121" s="1342"/>
      <c r="G4121" s="1342"/>
      <c r="H4121" s="1342"/>
      <c r="I4121" s="1342"/>
      <c r="J4121" s="1342"/>
      <c r="K4121" s="1342"/>
    </row>
    <row r="4122" spans="2:11" ht="14" hidden="1">
      <c r="B4122" s="1342"/>
      <c r="C4122" s="1342"/>
      <c r="D4122" s="1342"/>
      <c r="E4122" s="1342"/>
      <c r="F4122" s="1342"/>
      <c r="G4122" s="1342"/>
      <c r="H4122" s="1342"/>
      <c r="I4122" s="1342"/>
      <c r="J4122" s="1342"/>
      <c r="K4122" s="1342"/>
    </row>
    <row r="4123" spans="2:11" ht="14" hidden="1">
      <c r="B4123" s="1342"/>
      <c r="C4123" s="1342"/>
      <c r="D4123" s="1342"/>
      <c r="E4123" s="1342"/>
      <c r="F4123" s="1342"/>
      <c r="G4123" s="1342"/>
      <c r="H4123" s="1342"/>
      <c r="I4123" s="1342"/>
      <c r="J4123" s="1342"/>
      <c r="K4123" s="1342"/>
    </row>
    <row r="4124" spans="2:11" ht="14" hidden="1">
      <c r="B4124" s="1342"/>
      <c r="C4124" s="1342"/>
      <c r="D4124" s="1342"/>
      <c r="E4124" s="1342"/>
      <c r="F4124" s="1342"/>
      <c r="G4124" s="1342"/>
      <c r="H4124" s="1342"/>
      <c r="I4124" s="1342"/>
      <c r="J4124" s="1342"/>
      <c r="K4124" s="1342"/>
    </row>
    <row r="4125" spans="2:11" ht="14" hidden="1">
      <c r="B4125" s="1342"/>
      <c r="C4125" s="1342"/>
      <c r="D4125" s="1342"/>
      <c r="E4125" s="1342"/>
      <c r="F4125" s="1342"/>
      <c r="G4125" s="1342"/>
      <c r="H4125" s="1342"/>
      <c r="I4125" s="1342"/>
      <c r="J4125" s="1342"/>
      <c r="K4125" s="1342"/>
    </row>
    <row r="4126" spans="2:11" ht="14" hidden="1">
      <c r="B4126" s="1342"/>
      <c r="C4126" s="1342"/>
      <c r="D4126" s="1342"/>
      <c r="E4126" s="1342"/>
      <c r="F4126" s="1342"/>
      <c r="G4126" s="1342"/>
      <c r="H4126" s="1342"/>
      <c r="I4126" s="1342"/>
      <c r="J4126" s="1342"/>
      <c r="K4126" s="1342"/>
    </row>
    <row r="4127" spans="2:11" ht="14" hidden="1">
      <c r="B4127" s="1342"/>
      <c r="C4127" s="1342"/>
      <c r="D4127" s="1342"/>
      <c r="E4127" s="1342"/>
      <c r="F4127" s="1342"/>
      <c r="G4127" s="1342"/>
      <c r="H4127" s="1342"/>
      <c r="I4127" s="1342"/>
      <c r="J4127" s="1342"/>
      <c r="K4127" s="1342"/>
    </row>
    <row r="4128" spans="2:11" ht="14" hidden="1">
      <c r="B4128" s="1342"/>
      <c r="C4128" s="1342"/>
      <c r="D4128" s="1342"/>
      <c r="E4128" s="1342"/>
      <c r="F4128" s="1342"/>
      <c r="G4128" s="1342"/>
      <c r="H4128" s="1342"/>
      <c r="I4128" s="1342"/>
      <c r="J4128" s="1342"/>
      <c r="K4128" s="1342"/>
    </row>
    <row r="4129" spans="2:11" ht="14" hidden="1">
      <c r="B4129" s="1342"/>
      <c r="C4129" s="1342"/>
      <c r="D4129" s="1342"/>
      <c r="E4129" s="1342"/>
      <c r="F4129" s="1342"/>
      <c r="G4129" s="1342"/>
      <c r="H4129" s="1342"/>
      <c r="I4129" s="1342"/>
      <c r="J4129" s="1342"/>
      <c r="K4129" s="1342"/>
    </row>
    <row r="4130" spans="2:11" ht="14" hidden="1">
      <c r="B4130" s="1342"/>
      <c r="C4130" s="1342"/>
      <c r="D4130" s="1342"/>
      <c r="E4130" s="1342"/>
      <c r="F4130" s="1342"/>
      <c r="G4130" s="1342"/>
      <c r="H4130" s="1342"/>
      <c r="I4130" s="1342"/>
      <c r="J4130" s="1342"/>
      <c r="K4130" s="1342"/>
    </row>
    <row r="4131" spans="2:11" ht="14" hidden="1">
      <c r="B4131" s="1342"/>
      <c r="C4131" s="1342"/>
      <c r="D4131" s="1342"/>
      <c r="E4131" s="1342"/>
      <c r="F4131" s="1342"/>
      <c r="G4131" s="1342"/>
      <c r="H4131" s="1342"/>
      <c r="I4131" s="1342"/>
      <c r="J4131" s="1342"/>
      <c r="K4131" s="1342"/>
    </row>
    <row r="4132" spans="2:11" ht="14" hidden="1">
      <c r="B4132" s="1342"/>
      <c r="C4132" s="1342"/>
      <c r="D4132" s="1342"/>
      <c r="E4132" s="1342"/>
      <c r="F4132" s="1342"/>
      <c r="G4132" s="1342"/>
      <c r="H4132" s="1342"/>
      <c r="I4132" s="1342"/>
      <c r="J4132" s="1342"/>
      <c r="K4132" s="1342"/>
    </row>
    <row r="4133" spans="2:11" ht="14" hidden="1">
      <c r="B4133" s="1342"/>
      <c r="C4133" s="1342"/>
      <c r="D4133" s="1342"/>
      <c r="E4133" s="1342"/>
      <c r="F4133" s="1342"/>
      <c r="G4133" s="1342"/>
      <c r="H4133" s="1342"/>
      <c r="I4133" s="1342"/>
      <c r="J4133" s="1342"/>
      <c r="K4133" s="1342"/>
    </row>
    <row r="4134" spans="2:11" ht="14" hidden="1">
      <c r="B4134" s="1342"/>
      <c r="C4134" s="1342"/>
      <c r="D4134" s="1342"/>
      <c r="E4134" s="1342"/>
      <c r="F4134" s="1342"/>
      <c r="G4134" s="1342"/>
      <c r="H4134" s="1342"/>
      <c r="I4134" s="1342"/>
      <c r="J4134" s="1342"/>
      <c r="K4134" s="1342"/>
    </row>
    <row r="4135" spans="2:11" ht="14" hidden="1">
      <c r="B4135" s="1342"/>
      <c r="C4135" s="1342"/>
      <c r="D4135" s="1342"/>
      <c r="E4135" s="1342"/>
      <c r="F4135" s="1342"/>
      <c r="G4135" s="1342"/>
      <c r="H4135" s="1342"/>
      <c r="I4135" s="1342"/>
      <c r="J4135" s="1342"/>
      <c r="K4135" s="1342"/>
    </row>
    <row r="4136" spans="2:11" ht="14" hidden="1">
      <c r="B4136" s="1342"/>
      <c r="C4136" s="1342"/>
      <c r="D4136" s="1342"/>
      <c r="E4136" s="1342"/>
      <c r="F4136" s="1342"/>
      <c r="G4136" s="1342"/>
      <c r="H4136" s="1342"/>
      <c r="I4136" s="1342"/>
      <c r="J4136" s="1342"/>
      <c r="K4136" s="1342"/>
    </row>
    <row r="4137" spans="2:11" ht="14" hidden="1">
      <c r="B4137" s="1342"/>
      <c r="C4137" s="1342"/>
      <c r="D4137" s="1342"/>
      <c r="E4137" s="1342"/>
      <c r="F4137" s="1342"/>
      <c r="G4137" s="1342"/>
      <c r="H4137" s="1342"/>
      <c r="I4137" s="1342"/>
      <c r="J4137" s="1342"/>
      <c r="K4137" s="1342"/>
    </row>
    <row r="4138" spans="2:11" ht="14" hidden="1">
      <c r="B4138" s="1342"/>
      <c r="C4138" s="1342"/>
      <c r="D4138" s="1342"/>
      <c r="E4138" s="1342"/>
      <c r="F4138" s="1342"/>
      <c r="G4138" s="1342"/>
      <c r="H4138" s="1342"/>
      <c r="I4138" s="1342"/>
      <c r="J4138" s="1342"/>
      <c r="K4138" s="1342"/>
    </row>
    <row r="4139" spans="2:11" ht="14" hidden="1">
      <c r="B4139" s="1342"/>
      <c r="C4139" s="1342"/>
      <c r="D4139" s="1342"/>
      <c r="E4139" s="1342"/>
      <c r="F4139" s="1342"/>
      <c r="G4139" s="1342"/>
      <c r="H4139" s="1342"/>
      <c r="I4139" s="1342"/>
      <c r="J4139" s="1342"/>
      <c r="K4139" s="1342"/>
    </row>
    <row r="4140" spans="2:11" ht="14" hidden="1">
      <c r="B4140" s="1342"/>
      <c r="C4140" s="1342"/>
      <c r="D4140" s="1342"/>
      <c r="E4140" s="1342"/>
      <c r="F4140" s="1342"/>
      <c r="G4140" s="1342"/>
      <c r="H4140" s="1342"/>
      <c r="I4140" s="1342"/>
      <c r="J4140" s="1342"/>
      <c r="K4140" s="1342"/>
    </row>
    <row r="4141" spans="2:11" ht="14" hidden="1">
      <c r="B4141" s="1342"/>
      <c r="C4141" s="1342"/>
      <c r="D4141" s="1342"/>
      <c r="E4141" s="1342"/>
      <c r="F4141" s="1342"/>
      <c r="G4141" s="1342"/>
      <c r="H4141" s="1342"/>
      <c r="I4141" s="1342"/>
      <c r="J4141" s="1342"/>
      <c r="K4141" s="1342"/>
    </row>
    <row r="4142" spans="2:11" ht="14" hidden="1">
      <c r="B4142" s="1342"/>
      <c r="C4142" s="1342"/>
      <c r="D4142" s="1342"/>
      <c r="E4142" s="1342"/>
      <c r="F4142" s="1342"/>
      <c r="G4142" s="1342"/>
      <c r="H4142" s="1342"/>
      <c r="I4142" s="1342"/>
      <c r="J4142" s="1342"/>
      <c r="K4142" s="1342"/>
    </row>
    <row r="4143" spans="2:11" ht="14" hidden="1">
      <c r="B4143" s="1342"/>
      <c r="C4143" s="1342"/>
      <c r="D4143" s="1342"/>
      <c r="E4143" s="1342"/>
      <c r="F4143" s="1342"/>
      <c r="G4143" s="1342"/>
      <c r="H4143" s="1342"/>
      <c r="I4143" s="1342"/>
      <c r="J4143" s="1342"/>
      <c r="K4143" s="1342"/>
    </row>
    <row r="4144" spans="2:11" ht="14" hidden="1">
      <c r="B4144" s="1342"/>
      <c r="C4144" s="1342"/>
      <c r="D4144" s="1342"/>
      <c r="E4144" s="1342"/>
      <c r="F4144" s="1342"/>
      <c r="G4144" s="1342"/>
      <c r="H4144" s="1342"/>
      <c r="I4144" s="1342"/>
      <c r="J4144" s="1342"/>
      <c r="K4144" s="1342"/>
    </row>
    <row r="4145" spans="2:11" ht="14" hidden="1">
      <c r="B4145" s="1342"/>
      <c r="C4145" s="1342"/>
      <c r="D4145" s="1342"/>
      <c r="E4145" s="1342"/>
      <c r="F4145" s="1342"/>
      <c r="G4145" s="1342"/>
      <c r="H4145" s="1342"/>
      <c r="I4145" s="1342"/>
      <c r="J4145" s="1342"/>
      <c r="K4145" s="1342"/>
    </row>
    <row r="4146" spans="2:11" ht="14" hidden="1">
      <c r="B4146" s="1342"/>
      <c r="C4146" s="1342"/>
      <c r="D4146" s="1342"/>
      <c r="E4146" s="1342"/>
      <c r="F4146" s="1342"/>
      <c r="G4146" s="1342"/>
      <c r="H4146" s="1342"/>
      <c r="I4146" s="1342"/>
      <c r="J4146" s="1342"/>
      <c r="K4146" s="1342"/>
    </row>
    <row r="4147" spans="2:11" ht="14" hidden="1">
      <c r="B4147" s="1342"/>
      <c r="C4147" s="1342"/>
      <c r="D4147" s="1342"/>
      <c r="E4147" s="1342"/>
      <c r="F4147" s="1342"/>
      <c r="G4147" s="1342"/>
      <c r="H4147" s="1342"/>
      <c r="I4147" s="1342"/>
      <c r="J4147" s="1342"/>
      <c r="K4147" s="1342"/>
    </row>
    <row r="4148" spans="2:11" ht="14" hidden="1">
      <c r="B4148" s="1342"/>
      <c r="C4148" s="1342"/>
      <c r="D4148" s="1342"/>
      <c r="E4148" s="1342"/>
      <c r="F4148" s="1342"/>
      <c r="G4148" s="1342"/>
      <c r="H4148" s="1342"/>
      <c r="I4148" s="1342"/>
      <c r="J4148" s="1342"/>
      <c r="K4148" s="1342"/>
    </row>
    <row r="4149" spans="2:11" ht="14" hidden="1">
      <c r="B4149" s="1342"/>
      <c r="C4149" s="1342"/>
      <c r="D4149" s="1342"/>
      <c r="E4149" s="1342"/>
      <c r="F4149" s="1342"/>
      <c r="G4149" s="1342"/>
      <c r="H4149" s="1342"/>
      <c r="I4149" s="1342"/>
      <c r="J4149" s="1342"/>
      <c r="K4149" s="1342"/>
    </row>
    <row r="4150" spans="2:11" ht="14" hidden="1">
      <c r="B4150" s="1342"/>
      <c r="C4150" s="1342"/>
      <c r="D4150" s="1342"/>
      <c r="E4150" s="1342"/>
      <c r="F4150" s="1342"/>
      <c r="G4150" s="1342"/>
      <c r="H4150" s="1342"/>
      <c r="I4150" s="1342"/>
      <c r="J4150" s="1342"/>
      <c r="K4150" s="1342"/>
    </row>
    <row r="4151" spans="2:11" ht="14" hidden="1">
      <c r="B4151" s="1342"/>
      <c r="C4151" s="1342"/>
      <c r="D4151" s="1342"/>
      <c r="E4151" s="1342"/>
      <c r="F4151" s="1342"/>
      <c r="G4151" s="1342"/>
      <c r="H4151" s="1342"/>
      <c r="I4151" s="1342"/>
      <c r="J4151" s="1342"/>
      <c r="K4151" s="1342"/>
    </row>
    <row r="4152" spans="2:11" ht="14" hidden="1">
      <c r="B4152" s="1342"/>
      <c r="C4152" s="1342"/>
      <c r="D4152" s="1342"/>
      <c r="E4152" s="1342"/>
      <c r="F4152" s="1342"/>
      <c r="G4152" s="1342"/>
      <c r="H4152" s="1342"/>
      <c r="I4152" s="1342"/>
      <c r="J4152" s="1342"/>
      <c r="K4152" s="1342"/>
    </row>
    <row r="4153" spans="2:11" ht="14" hidden="1">
      <c r="B4153" s="1342"/>
      <c r="C4153" s="1342"/>
      <c r="D4153" s="1342"/>
      <c r="E4153" s="1342"/>
      <c r="F4153" s="1342"/>
      <c r="G4153" s="1342"/>
      <c r="H4153" s="1342"/>
      <c r="I4153" s="1342"/>
      <c r="J4153" s="1342"/>
      <c r="K4153" s="1342"/>
    </row>
    <row r="4154" spans="2:11" ht="14" hidden="1">
      <c r="B4154" s="1342"/>
      <c r="C4154" s="1342"/>
      <c r="D4154" s="1342"/>
      <c r="E4154" s="1342"/>
      <c r="F4154" s="1342"/>
      <c r="G4154" s="1342"/>
      <c r="H4154" s="1342"/>
      <c r="I4154" s="1342"/>
      <c r="J4154" s="1342"/>
      <c r="K4154" s="1342"/>
    </row>
    <row r="4155" spans="2:11" ht="14" hidden="1">
      <c r="B4155" s="1342"/>
      <c r="C4155" s="1342"/>
      <c r="D4155" s="1342"/>
      <c r="E4155" s="1342"/>
      <c r="F4155" s="1342"/>
      <c r="G4155" s="1342"/>
      <c r="H4155" s="1342"/>
      <c r="I4155" s="1342"/>
      <c r="J4155" s="1342"/>
      <c r="K4155" s="1342"/>
    </row>
    <row r="4156" spans="2:11" ht="14" hidden="1">
      <c r="B4156" s="1342"/>
      <c r="C4156" s="1342"/>
      <c r="D4156" s="1342"/>
      <c r="E4156" s="1342"/>
      <c r="F4156" s="1342"/>
      <c r="G4156" s="1342"/>
      <c r="H4156" s="1342"/>
      <c r="I4156" s="1342"/>
      <c r="J4156" s="1342"/>
      <c r="K4156" s="1342"/>
    </row>
    <row r="4157" spans="2:11" ht="14" hidden="1">
      <c r="B4157" s="1342"/>
      <c r="C4157" s="1342"/>
      <c r="D4157" s="1342"/>
      <c r="E4157" s="1342"/>
      <c r="F4157" s="1342"/>
      <c r="G4157" s="1342"/>
      <c r="H4157" s="1342"/>
      <c r="I4157" s="1342"/>
      <c r="J4157" s="1342"/>
      <c r="K4157" s="1342"/>
    </row>
    <row r="4158" spans="2:11" ht="14" hidden="1">
      <c r="B4158" s="1342"/>
      <c r="C4158" s="1342"/>
      <c r="D4158" s="1342"/>
      <c r="E4158" s="1342"/>
      <c r="F4158" s="1342"/>
      <c r="G4158" s="1342"/>
      <c r="H4158" s="1342"/>
      <c r="I4158" s="1342"/>
      <c r="J4158" s="1342"/>
      <c r="K4158" s="1342"/>
    </row>
    <row r="4159" spans="2:11" ht="14" hidden="1">
      <c r="B4159" s="1342"/>
      <c r="C4159" s="1342"/>
      <c r="D4159" s="1342"/>
      <c r="E4159" s="1342"/>
      <c r="F4159" s="1342"/>
      <c r="G4159" s="1342"/>
      <c r="H4159" s="1342"/>
      <c r="I4159" s="1342"/>
      <c r="J4159" s="1342"/>
      <c r="K4159" s="1342"/>
    </row>
    <row r="4160" spans="2:11" ht="14" hidden="1">
      <c r="B4160" s="1342"/>
      <c r="C4160" s="1342"/>
      <c r="D4160" s="1342"/>
      <c r="E4160" s="1342"/>
      <c r="F4160" s="1342"/>
      <c r="G4160" s="1342"/>
      <c r="H4160" s="1342"/>
      <c r="I4160" s="1342"/>
      <c r="J4160" s="1342"/>
      <c r="K4160" s="1342"/>
    </row>
    <row r="4161" spans="2:11" ht="14" hidden="1">
      <c r="B4161" s="1342"/>
      <c r="C4161" s="1342"/>
      <c r="D4161" s="1342"/>
      <c r="E4161" s="1342"/>
      <c r="F4161" s="1342"/>
      <c r="G4161" s="1342"/>
      <c r="H4161" s="1342"/>
      <c r="I4161" s="1342"/>
      <c r="J4161" s="1342"/>
      <c r="K4161" s="1342"/>
    </row>
    <row r="4162" spans="2:11" ht="14" hidden="1">
      <c r="B4162" s="1342"/>
      <c r="C4162" s="1342"/>
      <c r="D4162" s="1342"/>
      <c r="E4162" s="1342"/>
      <c r="F4162" s="1342"/>
      <c r="G4162" s="1342"/>
      <c r="H4162" s="1342"/>
      <c r="I4162" s="1342"/>
      <c r="J4162" s="1342"/>
      <c r="K4162" s="1342"/>
    </row>
    <row r="4163" spans="2:11" ht="14" hidden="1">
      <c r="B4163" s="1342"/>
      <c r="C4163" s="1342"/>
      <c r="D4163" s="1342"/>
      <c r="E4163" s="1342"/>
      <c r="F4163" s="1342"/>
      <c r="G4163" s="1342"/>
      <c r="H4163" s="1342"/>
      <c r="I4163" s="1342"/>
      <c r="J4163" s="1342"/>
      <c r="K4163" s="1342"/>
    </row>
    <row r="4164" spans="2:11" ht="14" hidden="1">
      <c r="B4164" s="1342"/>
      <c r="C4164" s="1342"/>
      <c r="D4164" s="1342"/>
      <c r="E4164" s="1342"/>
      <c r="F4164" s="1342"/>
      <c r="G4164" s="1342"/>
      <c r="H4164" s="1342"/>
      <c r="I4164" s="1342"/>
      <c r="J4164" s="1342"/>
      <c r="K4164" s="1342"/>
    </row>
    <row r="4165" spans="2:11" ht="14" hidden="1">
      <c r="B4165" s="1342"/>
      <c r="C4165" s="1342"/>
      <c r="D4165" s="1342"/>
      <c r="E4165" s="1342"/>
      <c r="F4165" s="1342"/>
      <c r="G4165" s="1342"/>
      <c r="H4165" s="1342"/>
      <c r="I4165" s="1342"/>
      <c r="J4165" s="1342"/>
      <c r="K4165" s="1342"/>
    </row>
    <row r="4166" spans="2:11" ht="14" hidden="1">
      <c r="B4166" s="1342"/>
      <c r="C4166" s="1342"/>
      <c r="D4166" s="1342"/>
      <c r="E4166" s="1342"/>
      <c r="F4166" s="1342"/>
      <c r="G4166" s="1342"/>
      <c r="H4166" s="1342"/>
      <c r="I4166" s="1342"/>
      <c r="J4166" s="1342"/>
      <c r="K4166" s="1342"/>
    </row>
    <row r="4167" spans="2:11" ht="14" hidden="1">
      <c r="B4167" s="1342"/>
      <c r="C4167" s="1342"/>
      <c r="D4167" s="1342"/>
      <c r="E4167" s="1342"/>
      <c r="F4167" s="1342"/>
      <c r="G4167" s="1342"/>
      <c r="H4167" s="1342"/>
      <c r="I4167" s="1342"/>
      <c r="J4167" s="1342"/>
      <c r="K4167" s="1342"/>
    </row>
    <row r="4168" spans="2:11" ht="14" hidden="1">
      <c r="B4168" s="1342"/>
      <c r="C4168" s="1342"/>
      <c r="D4168" s="1342"/>
      <c r="E4168" s="1342"/>
      <c r="F4168" s="1342"/>
      <c r="G4168" s="1342"/>
      <c r="H4168" s="1342"/>
      <c r="I4168" s="1342"/>
      <c r="J4168" s="1342"/>
      <c r="K4168" s="1342"/>
    </row>
    <row r="4169" spans="2:11" ht="14" hidden="1">
      <c r="B4169" s="1342"/>
      <c r="C4169" s="1342"/>
      <c r="D4169" s="1342"/>
      <c r="E4169" s="1342"/>
      <c r="F4169" s="1342"/>
      <c r="G4169" s="1342"/>
      <c r="H4169" s="1342"/>
      <c r="I4169" s="1342"/>
      <c r="J4169" s="1342"/>
      <c r="K4169" s="1342"/>
    </row>
    <row r="4170" spans="2:11" ht="14" hidden="1">
      <c r="B4170" s="1342"/>
      <c r="C4170" s="1342"/>
      <c r="D4170" s="1342"/>
      <c r="E4170" s="1342"/>
      <c r="F4170" s="1342"/>
      <c r="G4170" s="1342"/>
      <c r="H4170" s="1342"/>
      <c r="I4170" s="1342"/>
      <c r="J4170" s="1342"/>
      <c r="K4170" s="1342"/>
    </row>
    <row r="4171" spans="2:11" ht="14" hidden="1">
      <c r="B4171" s="1342"/>
      <c r="C4171" s="1342"/>
      <c r="D4171" s="1342"/>
      <c r="E4171" s="1342"/>
      <c r="F4171" s="1342"/>
      <c r="G4171" s="1342"/>
      <c r="H4171" s="1342"/>
      <c r="I4171" s="1342"/>
      <c r="J4171" s="1342"/>
      <c r="K4171" s="1342"/>
    </row>
    <row r="4172" spans="2:11" ht="14" hidden="1">
      <c r="B4172" s="1342"/>
      <c r="C4172" s="1342"/>
      <c r="D4172" s="1342"/>
      <c r="E4172" s="1342"/>
      <c r="F4172" s="1342"/>
      <c r="G4172" s="1342"/>
      <c r="H4172" s="1342"/>
      <c r="I4172" s="1342"/>
      <c r="J4172" s="1342"/>
      <c r="K4172" s="1342"/>
    </row>
    <row r="4173" spans="2:11" ht="14" hidden="1">
      <c r="B4173" s="1342"/>
      <c r="C4173" s="1342"/>
      <c r="D4173" s="1342"/>
      <c r="E4173" s="1342"/>
      <c r="F4173" s="1342"/>
      <c r="G4173" s="1342"/>
      <c r="H4173" s="1342"/>
      <c r="I4173" s="1342"/>
      <c r="J4173" s="1342"/>
      <c r="K4173" s="1342"/>
    </row>
    <row r="4174" spans="2:11" ht="14" hidden="1">
      <c r="B4174" s="1342"/>
      <c r="C4174" s="1342"/>
      <c r="D4174" s="1342"/>
      <c r="E4174" s="1342"/>
      <c r="F4174" s="1342"/>
      <c r="G4174" s="1342"/>
      <c r="H4174" s="1342"/>
      <c r="I4174" s="1342"/>
      <c r="J4174" s="1342"/>
      <c r="K4174" s="1342"/>
    </row>
    <row r="4175" spans="2:11" ht="14" hidden="1">
      <c r="B4175" s="1342"/>
      <c r="C4175" s="1342"/>
      <c r="D4175" s="1342"/>
      <c r="E4175" s="1342"/>
      <c r="F4175" s="1342"/>
      <c r="G4175" s="1342"/>
      <c r="H4175" s="1342"/>
      <c r="I4175" s="1342"/>
      <c r="J4175" s="1342"/>
      <c r="K4175" s="1342"/>
    </row>
    <row r="4176" spans="2:11" ht="14" hidden="1">
      <c r="B4176" s="1342"/>
      <c r="C4176" s="1342"/>
      <c r="D4176" s="1342"/>
      <c r="E4176" s="1342"/>
      <c r="F4176" s="1342"/>
      <c r="G4176" s="1342"/>
      <c r="H4176" s="1342"/>
      <c r="I4176" s="1342"/>
      <c r="J4176" s="1342"/>
      <c r="K4176" s="1342"/>
    </row>
    <row r="4177" spans="2:11" ht="14" hidden="1">
      <c r="B4177" s="1342"/>
      <c r="C4177" s="1342"/>
      <c r="D4177" s="1342"/>
      <c r="E4177" s="1342"/>
      <c r="F4177" s="1342"/>
      <c r="G4177" s="1342"/>
      <c r="H4177" s="1342"/>
      <c r="I4177" s="1342"/>
      <c r="J4177" s="1342"/>
      <c r="K4177" s="1342"/>
    </row>
    <row r="4178" spans="2:11" ht="14" hidden="1">
      <c r="B4178" s="1342"/>
      <c r="C4178" s="1342"/>
      <c r="D4178" s="1342"/>
      <c r="E4178" s="1342"/>
      <c r="F4178" s="1342"/>
      <c r="G4178" s="1342"/>
      <c r="H4178" s="1342"/>
      <c r="I4178" s="1342"/>
      <c r="J4178" s="1342"/>
      <c r="K4178" s="1342"/>
    </row>
    <row r="4179" spans="2:11" ht="14" hidden="1">
      <c r="B4179" s="1342"/>
      <c r="C4179" s="1342"/>
      <c r="D4179" s="1342"/>
      <c r="E4179" s="1342"/>
      <c r="F4179" s="1342"/>
      <c r="G4179" s="1342"/>
      <c r="H4179" s="1342"/>
      <c r="I4179" s="1342"/>
      <c r="J4179" s="1342"/>
      <c r="K4179" s="1342"/>
    </row>
    <row r="4180" spans="2:11" ht="14" hidden="1">
      <c r="B4180" s="1342"/>
      <c r="C4180" s="1342"/>
      <c r="D4180" s="1342"/>
      <c r="E4180" s="1342"/>
      <c r="F4180" s="1342"/>
      <c r="G4180" s="1342"/>
      <c r="H4180" s="1342"/>
      <c r="I4180" s="1342"/>
      <c r="J4180" s="1342"/>
      <c r="K4180" s="1342"/>
    </row>
    <row r="4181" spans="2:11" ht="14" hidden="1">
      <c r="B4181" s="1342"/>
      <c r="C4181" s="1342"/>
      <c r="D4181" s="1342"/>
      <c r="E4181" s="1342"/>
      <c r="F4181" s="1342"/>
      <c r="G4181" s="1342"/>
      <c r="H4181" s="1342"/>
      <c r="I4181" s="1342"/>
      <c r="J4181" s="1342"/>
      <c r="K4181" s="1342"/>
    </row>
    <row r="4182" spans="2:11" ht="14" hidden="1">
      <c r="B4182" s="1342"/>
      <c r="C4182" s="1342"/>
      <c r="D4182" s="1342"/>
      <c r="E4182" s="1342"/>
      <c r="F4182" s="1342"/>
      <c r="G4182" s="1342"/>
      <c r="H4182" s="1342"/>
      <c r="I4182" s="1342"/>
      <c r="J4182" s="1342"/>
      <c r="K4182" s="1342"/>
    </row>
    <row r="4183" spans="2:11" ht="14" hidden="1">
      <c r="B4183" s="1342"/>
      <c r="C4183" s="1342"/>
      <c r="D4183" s="1342"/>
      <c r="E4183" s="1342"/>
      <c r="F4183" s="1342"/>
      <c r="G4183" s="1342"/>
      <c r="H4183" s="1342"/>
      <c r="I4183" s="1342"/>
      <c r="J4183" s="1342"/>
      <c r="K4183" s="1342"/>
    </row>
    <row r="4184" spans="2:11" ht="14" hidden="1">
      <c r="B4184" s="1342"/>
      <c r="C4184" s="1342"/>
      <c r="D4184" s="1342"/>
      <c r="E4184" s="1342"/>
      <c r="F4184" s="1342"/>
      <c r="G4184" s="1342"/>
      <c r="H4184" s="1342"/>
      <c r="I4184" s="1342"/>
      <c r="J4184" s="1342"/>
      <c r="K4184" s="1342"/>
    </row>
    <row r="4185" spans="2:11" ht="14" hidden="1">
      <c r="B4185" s="1342"/>
      <c r="C4185" s="1342"/>
      <c r="D4185" s="1342"/>
      <c r="E4185" s="1342"/>
      <c r="F4185" s="1342"/>
      <c r="G4185" s="1342"/>
      <c r="H4185" s="1342"/>
      <c r="I4185" s="1342"/>
      <c r="J4185" s="1342"/>
      <c r="K4185" s="1342"/>
    </row>
    <row r="4186" spans="2:11" ht="14" hidden="1">
      <c r="B4186" s="1342"/>
      <c r="C4186" s="1342"/>
      <c r="D4186" s="1342"/>
      <c r="E4186" s="1342"/>
      <c r="F4186" s="1342"/>
      <c r="G4186" s="1342"/>
      <c r="H4186" s="1342"/>
      <c r="I4186" s="1342"/>
      <c r="J4186" s="1342"/>
      <c r="K4186" s="1342"/>
    </row>
    <row r="4187" spans="2:11" ht="14" hidden="1">
      <c r="B4187" s="1342"/>
      <c r="C4187" s="1342"/>
      <c r="D4187" s="1342"/>
      <c r="E4187" s="1342"/>
      <c r="F4187" s="1342"/>
      <c r="G4187" s="1342"/>
      <c r="H4187" s="1342"/>
      <c r="I4187" s="1342"/>
      <c r="J4187" s="1342"/>
      <c r="K4187" s="1342"/>
    </row>
    <row r="4188" spans="2:11" ht="14" hidden="1">
      <c r="B4188" s="1342"/>
      <c r="C4188" s="1342"/>
      <c r="D4188" s="1342"/>
      <c r="E4188" s="1342"/>
      <c r="F4188" s="1342"/>
      <c r="G4188" s="1342"/>
      <c r="H4188" s="1342"/>
      <c r="I4188" s="1342"/>
      <c r="J4188" s="1342"/>
      <c r="K4188" s="1342"/>
    </row>
    <row r="4189" spans="2:11" ht="14" hidden="1">
      <c r="B4189" s="1342"/>
      <c r="C4189" s="1342"/>
      <c r="D4189" s="1342"/>
      <c r="E4189" s="1342"/>
      <c r="F4189" s="1342"/>
      <c r="G4189" s="1342"/>
      <c r="H4189" s="1342"/>
      <c r="I4189" s="1342"/>
      <c r="J4189" s="1342"/>
      <c r="K4189" s="1342"/>
    </row>
    <row r="4190" spans="2:11" ht="14" hidden="1">
      <c r="B4190" s="1342"/>
      <c r="C4190" s="1342"/>
      <c r="D4190" s="1342"/>
      <c r="E4190" s="1342"/>
      <c r="F4190" s="1342"/>
      <c r="G4190" s="1342"/>
      <c r="H4190" s="1342"/>
      <c r="I4190" s="1342"/>
      <c r="J4190" s="1342"/>
      <c r="K4190" s="1342"/>
    </row>
    <row r="4191" spans="2:11" ht="14" hidden="1">
      <c r="B4191" s="1342"/>
      <c r="C4191" s="1342"/>
      <c r="D4191" s="1342"/>
      <c r="E4191" s="1342"/>
      <c r="F4191" s="1342"/>
      <c r="G4191" s="1342"/>
      <c r="H4191" s="1342"/>
      <c r="I4191" s="1342"/>
      <c r="J4191" s="1342"/>
      <c r="K4191" s="1342"/>
    </row>
    <row r="4192" spans="2:11" ht="14" hidden="1">
      <c r="B4192" s="1342"/>
      <c r="C4192" s="1342"/>
      <c r="D4192" s="1342"/>
      <c r="E4192" s="1342"/>
      <c r="F4192" s="1342"/>
      <c r="G4192" s="1342"/>
      <c r="H4192" s="1342"/>
      <c r="I4192" s="1342"/>
      <c r="J4192" s="1342"/>
      <c r="K4192" s="1342"/>
    </row>
    <row r="4193" spans="2:11" ht="14" hidden="1">
      <c r="B4193" s="1342"/>
      <c r="C4193" s="1342"/>
      <c r="D4193" s="1342"/>
      <c r="E4193" s="1342"/>
      <c r="F4193" s="1342"/>
      <c r="G4193" s="1342"/>
      <c r="H4193" s="1342"/>
      <c r="I4193" s="1342"/>
      <c r="J4193" s="1342"/>
      <c r="K4193" s="1342"/>
    </row>
    <row r="4194" spans="2:11" ht="14" hidden="1">
      <c r="B4194" s="1342"/>
      <c r="C4194" s="1342"/>
      <c r="D4194" s="1342"/>
      <c r="E4194" s="1342"/>
      <c r="F4194" s="1342"/>
      <c r="G4194" s="1342"/>
      <c r="H4194" s="1342"/>
      <c r="I4194" s="1342"/>
      <c r="J4194" s="1342"/>
      <c r="K4194" s="1342"/>
    </row>
    <row r="4195" spans="2:11" ht="14" hidden="1">
      <c r="B4195" s="1342"/>
      <c r="C4195" s="1342"/>
      <c r="D4195" s="1342"/>
      <c r="E4195" s="1342"/>
      <c r="F4195" s="1342"/>
      <c r="G4195" s="1342"/>
      <c r="H4195" s="1342"/>
      <c r="I4195" s="1342"/>
      <c r="J4195" s="1342"/>
      <c r="K4195" s="1342"/>
    </row>
    <row r="4196" spans="2:11" ht="14" hidden="1">
      <c r="B4196" s="1342"/>
      <c r="C4196" s="1342"/>
      <c r="D4196" s="1342"/>
      <c r="E4196" s="1342"/>
      <c r="F4196" s="1342"/>
      <c r="G4196" s="1342"/>
      <c r="H4196" s="1342"/>
      <c r="I4196" s="1342"/>
      <c r="J4196" s="1342"/>
      <c r="K4196" s="1342"/>
    </row>
    <row r="4197" spans="2:11" ht="14" hidden="1">
      <c r="B4197" s="1342"/>
      <c r="C4197" s="1342"/>
      <c r="D4197" s="1342"/>
      <c r="E4197" s="1342"/>
      <c r="F4197" s="1342"/>
      <c r="G4197" s="1342"/>
      <c r="H4197" s="1342"/>
      <c r="I4197" s="1342"/>
      <c r="J4197" s="1342"/>
      <c r="K4197" s="1342"/>
    </row>
    <row r="4198" spans="2:11" ht="14" hidden="1">
      <c r="B4198" s="1342"/>
      <c r="C4198" s="1342"/>
      <c r="D4198" s="1342"/>
      <c r="E4198" s="1342"/>
      <c r="F4198" s="1342"/>
      <c r="G4198" s="1342"/>
      <c r="H4198" s="1342"/>
      <c r="I4198" s="1342"/>
      <c r="J4198" s="1342"/>
      <c r="K4198" s="1342"/>
    </row>
    <row r="4199" spans="2:11" ht="14" hidden="1">
      <c r="B4199" s="1342"/>
      <c r="C4199" s="1342"/>
      <c r="D4199" s="1342"/>
      <c r="E4199" s="1342"/>
      <c r="F4199" s="1342"/>
      <c r="G4199" s="1342"/>
      <c r="H4199" s="1342"/>
      <c r="I4199" s="1342"/>
      <c r="J4199" s="1342"/>
      <c r="K4199" s="1342"/>
    </row>
    <row r="4200" spans="2:11" ht="14" hidden="1">
      <c r="B4200" s="1342"/>
      <c r="C4200" s="1342"/>
      <c r="D4200" s="1342"/>
      <c r="E4200" s="1342"/>
      <c r="F4200" s="1342"/>
      <c r="G4200" s="1342"/>
      <c r="H4200" s="1342"/>
      <c r="I4200" s="1342"/>
      <c r="J4200" s="1342"/>
      <c r="K4200" s="1342"/>
    </row>
    <row r="4201" spans="2:11" ht="14" hidden="1">
      <c r="B4201" s="1342"/>
      <c r="C4201" s="1342"/>
      <c r="D4201" s="1342"/>
      <c r="E4201" s="1342"/>
      <c r="F4201" s="1342"/>
      <c r="G4201" s="1342"/>
      <c r="H4201" s="1342"/>
      <c r="I4201" s="1342"/>
      <c r="J4201" s="1342"/>
      <c r="K4201" s="1342"/>
    </row>
    <row r="4202" spans="2:11" ht="14" hidden="1">
      <c r="B4202" s="1342"/>
      <c r="C4202" s="1342"/>
      <c r="D4202" s="1342"/>
      <c r="E4202" s="1342"/>
      <c r="F4202" s="1342"/>
      <c r="G4202" s="1342"/>
      <c r="H4202" s="1342"/>
      <c r="I4202" s="1342"/>
      <c r="J4202" s="1342"/>
      <c r="K4202" s="1342"/>
    </row>
    <row r="4203" spans="2:11" ht="14" hidden="1">
      <c r="B4203" s="1342"/>
      <c r="C4203" s="1342"/>
      <c r="D4203" s="1342"/>
      <c r="E4203" s="1342"/>
      <c r="F4203" s="1342"/>
      <c r="G4203" s="1342"/>
      <c r="H4203" s="1342"/>
      <c r="I4203" s="1342"/>
      <c r="J4203" s="1342"/>
      <c r="K4203" s="1342"/>
    </row>
    <row r="4204" spans="2:11" ht="14" hidden="1">
      <c r="B4204" s="1342"/>
      <c r="C4204" s="1342"/>
      <c r="D4204" s="1342"/>
      <c r="E4204" s="1342"/>
      <c r="F4204" s="1342"/>
      <c r="G4204" s="1342"/>
      <c r="H4204" s="1342"/>
      <c r="I4204" s="1342"/>
      <c r="J4204" s="1342"/>
      <c r="K4204" s="1342"/>
    </row>
    <row r="4205" spans="2:11" ht="14" hidden="1">
      <c r="B4205" s="1342"/>
      <c r="C4205" s="1342"/>
      <c r="D4205" s="1342"/>
      <c r="E4205" s="1342"/>
      <c r="F4205" s="1342"/>
      <c r="G4205" s="1342"/>
      <c r="H4205" s="1342"/>
      <c r="I4205" s="1342"/>
      <c r="J4205" s="1342"/>
      <c r="K4205" s="1342"/>
    </row>
    <row r="4206" spans="2:11" ht="14" hidden="1">
      <c r="B4206" s="1342"/>
      <c r="C4206" s="1342"/>
      <c r="D4206" s="1342"/>
      <c r="E4206" s="1342"/>
      <c r="F4206" s="1342"/>
      <c r="G4206" s="1342"/>
      <c r="H4206" s="1342"/>
      <c r="I4206" s="1342"/>
      <c r="J4206" s="1342"/>
      <c r="K4206" s="1342"/>
    </row>
    <row r="4207" spans="2:11" ht="14" hidden="1">
      <c r="B4207" s="1342"/>
      <c r="C4207" s="1342"/>
      <c r="D4207" s="1342"/>
      <c r="E4207" s="1342"/>
      <c r="F4207" s="1342"/>
      <c r="G4207" s="1342"/>
      <c r="H4207" s="1342"/>
      <c r="I4207" s="1342"/>
      <c r="J4207" s="1342"/>
      <c r="K4207" s="1342"/>
    </row>
    <row r="4208" spans="2:11" ht="14" hidden="1">
      <c r="B4208" s="1342"/>
      <c r="C4208" s="1342"/>
      <c r="D4208" s="1342"/>
      <c r="E4208" s="1342"/>
      <c r="F4208" s="1342"/>
      <c r="G4208" s="1342"/>
      <c r="H4208" s="1342"/>
      <c r="I4208" s="1342"/>
      <c r="J4208" s="1342"/>
      <c r="K4208" s="1342"/>
    </row>
    <row r="4209" spans="2:11" ht="14" hidden="1">
      <c r="B4209" s="1342"/>
      <c r="C4209" s="1342"/>
      <c r="D4209" s="1342"/>
      <c r="E4209" s="1342"/>
      <c r="F4209" s="1342"/>
      <c r="G4209" s="1342"/>
      <c r="H4209" s="1342"/>
      <c r="I4209" s="1342"/>
      <c r="J4209" s="1342"/>
      <c r="K4209" s="1342"/>
    </row>
    <row r="4210" spans="2:11" ht="14" hidden="1">
      <c r="B4210" s="1342"/>
      <c r="C4210" s="1342"/>
      <c r="D4210" s="1342"/>
      <c r="E4210" s="1342"/>
      <c r="F4210" s="1342"/>
      <c r="G4210" s="1342"/>
      <c r="H4210" s="1342"/>
      <c r="I4210" s="1342"/>
      <c r="J4210" s="1342"/>
      <c r="K4210" s="1342"/>
    </row>
    <row r="4211" spans="2:11" ht="14" hidden="1">
      <c r="B4211" s="1342"/>
      <c r="C4211" s="1342"/>
      <c r="D4211" s="1342"/>
      <c r="E4211" s="1342"/>
      <c r="F4211" s="1342"/>
      <c r="G4211" s="1342"/>
      <c r="H4211" s="1342"/>
      <c r="I4211" s="1342"/>
      <c r="J4211" s="1342"/>
      <c r="K4211" s="1342"/>
    </row>
    <row r="4212" spans="2:11" ht="14" hidden="1">
      <c r="B4212" s="1342"/>
      <c r="C4212" s="1342"/>
      <c r="D4212" s="1342"/>
      <c r="E4212" s="1342"/>
      <c r="F4212" s="1342"/>
      <c r="G4212" s="1342"/>
      <c r="H4212" s="1342"/>
      <c r="I4212" s="1342"/>
      <c r="J4212" s="1342"/>
      <c r="K4212" s="1342"/>
    </row>
    <row r="4213" spans="2:11" ht="14" hidden="1">
      <c r="B4213" s="1342"/>
      <c r="C4213" s="1342"/>
      <c r="D4213" s="1342"/>
      <c r="E4213" s="1342"/>
      <c r="F4213" s="1342"/>
      <c r="G4213" s="1342"/>
      <c r="H4213" s="1342"/>
      <c r="I4213" s="1342"/>
      <c r="J4213" s="1342"/>
      <c r="K4213" s="1342"/>
    </row>
    <row r="4214" spans="2:11" ht="14" hidden="1">
      <c r="B4214" s="1342"/>
      <c r="C4214" s="1342"/>
      <c r="D4214" s="1342"/>
      <c r="E4214" s="1342"/>
      <c r="F4214" s="1342"/>
      <c r="G4214" s="1342"/>
      <c r="H4214" s="1342"/>
      <c r="I4214" s="1342"/>
      <c r="J4214" s="1342"/>
      <c r="K4214" s="1342"/>
    </row>
    <row r="4215" spans="2:11" ht="14" hidden="1">
      <c r="B4215" s="1342"/>
      <c r="C4215" s="1342"/>
      <c r="D4215" s="1342"/>
      <c r="E4215" s="1342"/>
      <c r="F4215" s="1342"/>
      <c r="G4215" s="1342"/>
      <c r="H4215" s="1342"/>
      <c r="I4215" s="1342"/>
      <c r="J4215" s="1342"/>
      <c r="K4215" s="1342"/>
    </row>
    <row r="4216" spans="2:11" ht="14" hidden="1">
      <c r="B4216" s="1342"/>
      <c r="C4216" s="1342"/>
      <c r="D4216" s="1342"/>
      <c r="E4216" s="1342"/>
      <c r="F4216" s="1342"/>
      <c r="G4216" s="1342"/>
      <c r="H4216" s="1342"/>
      <c r="I4216" s="1342"/>
      <c r="J4216" s="1342"/>
      <c r="K4216" s="1342"/>
    </row>
    <row r="4217" spans="2:11" ht="14" hidden="1">
      <c r="B4217" s="1342"/>
      <c r="C4217" s="1342"/>
      <c r="D4217" s="1342"/>
      <c r="E4217" s="1342"/>
      <c r="F4217" s="1342"/>
      <c r="G4217" s="1342"/>
      <c r="H4217" s="1342"/>
      <c r="I4217" s="1342"/>
      <c r="J4217" s="1342"/>
      <c r="K4217" s="1342"/>
    </row>
    <row r="4218" spans="2:11" ht="14" hidden="1">
      <c r="B4218" s="1342"/>
      <c r="C4218" s="1342"/>
      <c r="D4218" s="1342"/>
      <c r="E4218" s="1342"/>
      <c r="F4218" s="1342"/>
      <c r="G4218" s="1342"/>
      <c r="H4218" s="1342"/>
      <c r="I4218" s="1342"/>
      <c r="J4218" s="1342"/>
      <c r="K4218" s="1342"/>
    </row>
    <row r="4219" spans="2:11" ht="14" hidden="1">
      <c r="B4219" s="1342"/>
      <c r="C4219" s="1342"/>
      <c r="D4219" s="1342"/>
      <c r="E4219" s="1342"/>
      <c r="F4219" s="1342"/>
      <c r="G4219" s="1342"/>
      <c r="H4219" s="1342"/>
      <c r="I4219" s="1342"/>
      <c r="J4219" s="1342"/>
      <c r="K4219" s="1342"/>
    </row>
    <row r="4220" spans="2:11" ht="14" hidden="1">
      <c r="B4220" s="1342"/>
      <c r="C4220" s="1342"/>
      <c r="D4220" s="1342"/>
      <c r="E4220" s="1342"/>
      <c r="F4220" s="1342"/>
      <c r="G4220" s="1342"/>
      <c r="H4220" s="1342"/>
      <c r="I4220" s="1342"/>
      <c r="J4220" s="1342"/>
      <c r="K4220" s="1342"/>
    </row>
    <row r="4221" spans="2:11" ht="14" hidden="1">
      <c r="B4221" s="1342"/>
      <c r="C4221" s="1342"/>
      <c r="D4221" s="1342"/>
      <c r="E4221" s="1342"/>
      <c r="F4221" s="1342"/>
      <c r="G4221" s="1342"/>
      <c r="H4221" s="1342"/>
      <c r="I4221" s="1342"/>
      <c r="J4221" s="1342"/>
      <c r="K4221" s="1342"/>
    </row>
    <row r="4222" spans="2:11" ht="14" hidden="1">
      <c r="B4222" s="1342"/>
      <c r="C4222" s="1342"/>
      <c r="D4222" s="1342"/>
      <c r="E4222" s="1342"/>
      <c r="F4222" s="1342"/>
      <c r="G4222" s="1342"/>
      <c r="H4222" s="1342"/>
      <c r="I4222" s="1342"/>
      <c r="J4222" s="1342"/>
      <c r="K4222" s="1342"/>
    </row>
    <row r="4223" spans="2:11" ht="14" hidden="1">
      <c r="B4223" s="1342"/>
      <c r="C4223" s="1342"/>
      <c r="D4223" s="1342"/>
      <c r="E4223" s="1342"/>
      <c r="F4223" s="1342"/>
      <c r="G4223" s="1342"/>
      <c r="H4223" s="1342"/>
      <c r="I4223" s="1342"/>
      <c r="J4223" s="1342"/>
      <c r="K4223" s="1342"/>
    </row>
    <row r="4224" spans="2:11" ht="14" hidden="1">
      <c r="B4224" s="1342"/>
      <c r="C4224" s="1342"/>
      <c r="D4224" s="1342"/>
      <c r="E4224" s="1342"/>
      <c r="F4224" s="1342"/>
      <c r="G4224" s="1342"/>
      <c r="H4224" s="1342"/>
      <c r="I4224" s="1342"/>
      <c r="J4224" s="1342"/>
      <c r="K4224" s="1342"/>
    </row>
    <row r="4225" spans="2:11" ht="14" hidden="1">
      <c r="B4225" s="1342"/>
      <c r="C4225" s="1342"/>
      <c r="D4225" s="1342"/>
      <c r="E4225" s="1342"/>
      <c r="F4225" s="1342"/>
      <c r="G4225" s="1342"/>
      <c r="H4225" s="1342"/>
      <c r="I4225" s="1342"/>
      <c r="J4225" s="1342"/>
      <c r="K4225" s="1342"/>
    </row>
    <row r="4226" spans="2:11" ht="14" hidden="1">
      <c r="B4226" s="1342"/>
      <c r="C4226" s="1342"/>
      <c r="D4226" s="1342"/>
      <c r="E4226" s="1342"/>
      <c r="F4226" s="1342"/>
      <c r="G4226" s="1342"/>
      <c r="H4226" s="1342"/>
      <c r="I4226" s="1342"/>
      <c r="J4226" s="1342"/>
      <c r="K4226" s="1342"/>
    </row>
    <row r="4227" spans="2:11" ht="14" hidden="1">
      <c r="B4227" s="1342"/>
      <c r="C4227" s="1342"/>
      <c r="D4227" s="1342"/>
      <c r="E4227" s="1342"/>
      <c r="F4227" s="1342"/>
      <c r="G4227" s="1342"/>
      <c r="H4227" s="1342"/>
      <c r="I4227" s="1342"/>
      <c r="J4227" s="1342"/>
      <c r="K4227" s="1342"/>
    </row>
    <row r="4228" spans="2:11" ht="14" hidden="1">
      <c r="B4228" s="1342"/>
      <c r="C4228" s="1342"/>
      <c r="D4228" s="1342"/>
      <c r="E4228" s="1342"/>
      <c r="F4228" s="1342"/>
      <c r="G4228" s="1342"/>
      <c r="H4228" s="1342"/>
      <c r="I4228" s="1342"/>
      <c r="J4228" s="1342"/>
      <c r="K4228" s="1342"/>
    </row>
    <row r="4229" spans="2:11" ht="14" hidden="1">
      <c r="B4229" s="1342"/>
      <c r="C4229" s="1342"/>
      <c r="D4229" s="1342"/>
      <c r="E4229" s="1342"/>
      <c r="F4229" s="1342"/>
      <c r="G4229" s="1342"/>
      <c r="H4229" s="1342"/>
      <c r="I4229" s="1342"/>
      <c r="J4229" s="1342"/>
      <c r="K4229" s="1342"/>
    </row>
    <row r="4230" spans="2:11" ht="14" hidden="1">
      <c r="B4230" s="1342"/>
      <c r="C4230" s="1342"/>
      <c r="D4230" s="1342"/>
      <c r="E4230" s="1342"/>
      <c r="F4230" s="1342"/>
      <c r="G4230" s="1342"/>
      <c r="H4230" s="1342"/>
      <c r="I4230" s="1342"/>
      <c r="J4230" s="1342"/>
      <c r="K4230" s="1342"/>
    </row>
    <row r="4231" spans="2:11" ht="14" hidden="1">
      <c r="B4231" s="1342"/>
      <c r="C4231" s="1342"/>
      <c r="D4231" s="1342"/>
      <c r="E4231" s="1342"/>
      <c r="F4231" s="1342"/>
      <c r="G4231" s="1342"/>
      <c r="H4231" s="1342"/>
      <c r="I4231" s="1342"/>
      <c r="J4231" s="1342"/>
      <c r="K4231" s="1342"/>
    </row>
    <row r="4232" spans="2:11" ht="14" hidden="1">
      <c r="B4232" s="1342"/>
      <c r="C4232" s="1342"/>
      <c r="D4232" s="1342"/>
      <c r="E4232" s="1342"/>
      <c r="F4232" s="1342"/>
      <c r="G4232" s="1342"/>
      <c r="H4232" s="1342"/>
      <c r="I4232" s="1342"/>
      <c r="J4232" s="1342"/>
      <c r="K4232" s="1342"/>
    </row>
    <row r="4233" spans="2:11" ht="14" hidden="1">
      <c r="B4233" s="1342"/>
      <c r="C4233" s="1342"/>
      <c r="D4233" s="1342"/>
      <c r="E4233" s="1342"/>
      <c r="F4233" s="1342"/>
      <c r="G4233" s="1342"/>
      <c r="H4233" s="1342"/>
      <c r="I4233" s="1342"/>
      <c r="J4233" s="1342"/>
      <c r="K4233" s="1342"/>
    </row>
    <row r="4234" spans="2:11" ht="14" hidden="1">
      <c r="B4234" s="1342"/>
      <c r="C4234" s="1342"/>
      <c r="D4234" s="1342"/>
      <c r="E4234" s="1342"/>
      <c r="F4234" s="1342"/>
      <c r="G4234" s="1342"/>
      <c r="H4234" s="1342"/>
      <c r="I4234" s="1342"/>
      <c r="J4234" s="1342"/>
      <c r="K4234" s="1342"/>
    </row>
    <row r="4235" spans="2:11" ht="14" hidden="1">
      <c r="B4235" s="1342"/>
      <c r="C4235" s="1342"/>
      <c r="D4235" s="1342"/>
      <c r="E4235" s="1342"/>
      <c r="F4235" s="1342"/>
      <c r="G4235" s="1342"/>
      <c r="H4235" s="1342"/>
      <c r="I4235" s="1342"/>
      <c r="J4235" s="1342"/>
      <c r="K4235" s="1342"/>
    </row>
    <row r="4236" spans="2:11" ht="14" hidden="1">
      <c r="B4236" s="1342"/>
      <c r="C4236" s="1342"/>
      <c r="D4236" s="1342"/>
      <c r="E4236" s="1342"/>
      <c r="F4236" s="1342"/>
      <c r="G4236" s="1342"/>
      <c r="H4236" s="1342"/>
      <c r="I4236" s="1342"/>
      <c r="J4236" s="1342"/>
      <c r="K4236" s="1342"/>
    </row>
    <row r="4237" spans="2:11" ht="14" hidden="1">
      <c r="B4237" s="1342"/>
      <c r="C4237" s="1342"/>
      <c r="D4237" s="1342"/>
      <c r="E4237" s="1342"/>
      <c r="F4237" s="1342"/>
      <c r="G4237" s="1342"/>
      <c r="H4237" s="1342"/>
      <c r="I4237" s="1342"/>
      <c r="J4237" s="1342"/>
      <c r="K4237" s="1342"/>
    </row>
    <row r="4238" spans="2:11" ht="14" hidden="1">
      <c r="B4238" s="1342"/>
      <c r="C4238" s="1342"/>
      <c r="D4238" s="1342"/>
      <c r="E4238" s="1342"/>
      <c r="F4238" s="1342"/>
      <c r="G4238" s="1342"/>
      <c r="H4238" s="1342"/>
      <c r="I4238" s="1342"/>
      <c r="J4238" s="1342"/>
      <c r="K4238" s="1342"/>
    </row>
    <row r="4239" spans="2:11" ht="14" hidden="1">
      <c r="B4239" s="1342"/>
      <c r="C4239" s="1342"/>
      <c r="D4239" s="1342"/>
      <c r="E4239" s="1342"/>
      <c r="F4239" s="1342"/>
      <c r="G4239" s="1342"/>
      <c r="H4239" s="1342"/>
      <c r="I4239" s="1342"/>
      <c r="J4239" s="1342"/>
      <c r="K4239" s="1342"/>
    </row>
    <row r="4240" spans="2:11" ht="14" hidden="1">
      <c r="B4240" s="1342"/>
      <c r="C4240" s="1342"/>
      <c r="D4240" s="1342"/>
      <c r="E4240" s="1342"/>
      <c r="F4240" s="1342"/>
      <c r="G4240" s="1342"/>
      <c r="H4240" s="1342"/>
      <c r="I4240" s="1342"/>
      <c r="J4240" s="1342"/>
      <c r="K4240" s="1342"/>
    </row>
    <row r="4241" spans="2:11" ht="14" hidden="1">
      <c r="B4241" s="1342"/>
      <c r="C4241" s="1342"/>
      <c r="D4241" s="1342"/>
      <c r="E4241" s="1342"/>
      <c r="F4241" s="1342"/>
      <c r="G4241" s="1342"/>
      <c r="H4241" s="1342"/>
      <c r="I4241" s="1342"/>
      <c r="J4241" s="1342"/>
      <c r="K4241" s="1342"/>
    </row>
    <row r="4242" spans="2:11" ht="14" hidden="1">
      <c r="B4242" s="1342"/>
      <c r="C4242" s="1342"/>
      <c r="D4242" s="1342"/>
      <c r="E4242" s="1342"/>
      <c r="F4242" s="1342"/>
      <c r="G4242" s="1342"/>
      <c r="H4242" s="1342"/>
      <c r="I4242" s="1342"/>
      <c r="J4242" s="1342"/>
      <c r="K4242" s="1342"/>
    </row>
    <row r="4243" spans="2:11" ht="14" hidden="1">
      <c r="B4243" s="1342"/>
      <c r="C4243" s="1342"/>
      <c r="D4243" s="1342"/>
      <c r="E4243" s="1342"/>
      <c r="F4243" s="1342"/>
      <c r="G4243" s="1342"/>
      <c r="H4243" s="1342"/>
      <c r="I4243" s="1342"/>
      <c r="J4243" s="1342"/>
      <c r="K4243" s="1342"/>
    </row>
    <row r="4244" spans="2:11" ht="14" hidden="1">
      <c r="B4244" s="1342"/>
      <c r="C4244" s="1342"/>
      <c r="D4244" s="1342"/>
      <c r="E4244" s="1342"/>
      <c r="F4244" s="1342"/>
      <c r="G4244" s="1342"/>
      <c r="H4244" s="1342"/>
      <c r="I4244" s="1342"/>
      <c r="J4244" s="1342"/>
      <c r="K4244" s="1342"/>
    </row>
    <row r="4245" spans="2:11" ht="14" hidden="1">
      <c r="B4245" s="1342"/>
      <c r="C4245" s="1342"/>
      <c r="D4245" s="1342"/>
      <c r="E4245" s="1342"/>
      <c r="F4245" s="1342"/>
      <c r="G4245" s="1342"/>
      <c r="H4245" s="1342"/>
      <c r="I4245" s="1342"/>
      <c r="J4245" s="1342"/>
      <c r="K4245" s="1342"/>
    </row>
    <row r="4246" spans="2:11" ht="14" hidden="1">
      <c r="B4246" s="1342"/>
      <c r="C4246" s="1342"/>
      <c r="D4246" s="1342"/>
      <c r="E4246" s="1342"/>
      <c r="F4246" s="1342"/>
      <c r="G4246" s="1342"/>
      <c r="H4246" s="1342"/>
      <c r="I4246" s="1342"/>
      <c r="J4246" s="1342"/>
      <c r="K4246" s="1342"/>
    </row>
    <row r="4247" spans="2:11" ht="14" hidden="1">
      <c r="B4247" s="1342"/>
      <c r="C4247" s="1342"/>
      <c r="D4247" s="1342"/>
      <c r="E4247" s="1342"/>
      <c r="F4247" s="1342"/>
      <c r="G4247" s="1342"/>
      <c r="H4247" s="1342"/>
      <c r="I4247" s="1342"/>
      <c r="J4247" s="1342"/>
      <c r="K4247" s="1342"/>
    </row>
    <row r="4248" spans="2:11" ht="14" hidden="1">
      <c r="B4248" s="1342"/>
      <c r="C4248" s="1342"/>
      <c r="D4248" s="1342"/>
      <c r="E4248" s="1342"/>
      <c r="F4248" s="1342"/>
      <c r="G4248" s="1342"/>
      <c r="H4248" s="1342"/>
      <c r="I4248" s="1342"/>
      <c r="J4248" s="1342"/>
      <c r="K4248" s="1342"/>
    </row>
    <row r="4249" spans="2:11" ht="14" hidden="1">
      <c r="B4249" s="1342"/>
      <c r="C4249" s="1342"/>
      <c r="D4249" s="1342"/>
      <c r="E4249" s="1342"/>
      <c r="F4249" s="1342"/>
      <c r="G4249" s="1342"/>
      <c r="H4249" s="1342"/>
      <c r="I4249" s="1342"/>
      <c r="J4249" s="1342"/>
      <c r="K4249" s="1342"/>
    </row>
    <row r="4250" spans="2:11" ht="14" hidden="1">
      <c r="B4250" s="1342"/>
      <c r="C4250" s="1342"/>
      <c r="D4250" s="1342"/>
      <c r="E4250" s="1342"/>
      <c r="F4250" s="1342"/>
      <c r="G4250" s="1342"/>
      <c r="H4250" s="1342"/>
      <c r="I4250" s="1342"/>
      <c r="J4250" s="1342"/>
      <c r="K4250" s="1342"/>
    </row>
    <row r="4251" spans="2:11" ht="14" hidden="1">
      <c r="B4251" s="1342"/>
      <c r="C4251" s="1342"/>
      <c r="D4251" s="1342"/>
      <c r="E4251" s="1342"/>
      <c r="F4251" s="1342"/>
      <c r="G4251" s="1342"/>
      <c r="H4251" s="1342"/>
      <c r="I4251" s="1342"/>
      <c r="J4251" s="1342"/>
      <c r="K4251" s="1342"/>
    </row>
    <row r="4252" spans="2:11" ht="14" hidden="1">
      <c r="B4252" s="1342"/>
      <c r="C4252" s="1342"/>
      <c r="D4252" s="1342"/>
      <c r="E4252" s="1342"/>
      <c r="F4252" s="1342"/>
      <c r="G4252" s="1342"/>
      <c r="H4252" s="1342"/>
      <c r="I4252" s="1342"/>
      <c r="J4252" s="1342"/>
      <c r="K4252" s="1342"/>
    </row>
    <row r="4253" spans="2:11" ht="14" hidden="1">
      <c r="B4253" s="1342"/>
      <c r="C4253" s="1342"/>
      <c r="D4253" s="1342"/>
      <c r="E4253" s="1342"/>
      <c r="F4253" s="1342"/>
      <c r="G4253" s="1342"/>
      <c r="H4253" s="1342"/>
      <c r="I4253" s="1342"/>
      <c r="J4253" s="1342"/>
      <c r="K4253" s="1342"/>
    </row>
    <row r="4254" spans="2:11" ht="14" hidden="1">
      <c r="B4254" s="1342"/>
      <c r="C4254" s="1342"/>
      <c r="D4254" s="1342"/>
      <c r="E4254" s="1342"/>
      <c r="F4254" s="1342"/>
      <c r="G4254" s="1342"/>
      <c r="H4254" s="1342"/>
      <c r="I4254" s="1342"/>
      <c r="J4254" s="1342"/>
      <c r="K4254" s="1342"/>
    </row>
    <row r="4255" spans="2:11" ht="14" hidden="1">
      <c r="B4255" s="1342"/>
      <c r="C4255" s="1342"/>
      <c r="D4255" s="1342"/>
      <c r="E4255" s="1342"/>
      <c r="F4255" s="1342"/>
      <c r="G4255" s="1342"/>
      <c r="H4255" s="1342"/>
      <c r="I4255" s="1342"/>
      <c r="J4255" s="1342"/>
      <c r="K4255" s="1342"/>
    </row>
    <row r="4256" spans="2:11" ht="14" hidden="1">
      <c r="B4256" s="1342"/>
      <c r="C4256" s="1342"/>
      <c r="D4256" s="1342"/>
      <c r="E4256" s="1342"/>
      <c r="F4256" s="1342"/>
      <c r="G4256" s="1342"/>
      <c r="H4256" s="1342"/>
      <c r="I4256" s="1342"/>
      <c r="J4256" s="1342"/>
      <c r="K4256" s="1342"/>
    </row>
    <row r="4257" spans="2:11" ht="14" hidden="1">
      <c r="B4257" s="1342"/>
      <c r="C4257" s="1342"/>
      <c r="D4257" s="1342"/>
      <c r="E4257" s="1342"/>
      <c r="F4257" s="1342"/>
      <c r="G4257" s="1342"/>
      <c r="H4257" s="1342"/>
      <c r="I4257" s="1342"/>
      <c r="J4257" s="1342"/>
      <c r="K4257" s="1342"/>
    </row>
    <row r="4258" spans="2:11" ht="14" hidden="1">
      <c r="B4258" s="1342"/>
      <c r="C4258" s="1342"/>
      <c r="D4258" s="1342"/>
      <c r="E4258" s="1342"/>
      <c r="F4258" s="1342"/>
      <c r="G4258" s="1342"/>
      <c r="H4258" s="1342"/>
      <c r="I4258" s="1342"/>
      <c r="J4258" s="1342"/>
      <c r="K4258" s="1342"/>
    </row>
    <row r="4259" spans="2:11" ht="14" hidden="1">
      <c r="B4259" s="1342"/>
      <c r="C4259" s="1342"/>
      <c r="D4259" s="1342"/>
      <c r="E4259" s="1342"/>
      <c r="F4259" s="1342"/>
      <c r="G4259" s="1342"/>
      <c r="H4259" s="1342"/>
      <c r="I4259" s="1342"/>
      <c r="J4259" s="1342"/>
      <c r="K4259" s="1342"/>
    </row>
    <row r="4260" spans="2:11" ht="14" hidden="1">
      <c r="B4260" s="1342"/>
      <c r="C4260" s="1342"/>
      <c r="D4260" s="1342"/>
      <c r="E4260" s="1342"/>
      <c r="F4260" s="1342"/>
      <c r="G4260" s="1342"/>
      <c r="H4260" s="1342"/>
      <c r="I4260" s="1342"/>
      <c r="J4260" s="1342"/>
      <c r="K4260" s="1342"/>
    </row>
    <row r="4261" spans="2:11" ht="14" hidden="1">
      <c r="B4261" s="1342"/>
      <c r="C4261" s="1342"/>
      <c r="D4261" s="1342"/>
      <c r="E4261" s="1342"/>
      <c r="F4261" s="1342"/>
      <c r="G4261" s="1342"/>
      <c r="H4261" s="1342"/>
      <c r="I4261" s="1342"/>
      <c r="J4261" s="1342"/>
      <c r="K4261" s="1342"/>
    </row>
    <row r="4262" spans="2:11" ht="14" hidden="1">
      <c r="B4262" s="1342"/>
      <c r="C4262" s="1342"/>
      <c r="D4262" s="1342"/>
      <c r="E4262" s="1342"/>
      <c r="F4262" s="1342"/>
      <c r="G4262" s="1342"/>
      <c r="H4262" s="1342"/>
      <c r="I4262" s="1342"/>
      <c r="J4262" s="1342"/>
      <c r="K4262" s="1342"/>
    </row>
    <row r="4263" spans="2:11" ht="14" hidden="1">
      <c r="B4263" s="1342"/>
      <c r="C4263" s="1342"/>
      <c r="D4263" s="1342"/>
      <c r="E4263" s="1342"/>
      <c r="F4263" s="1342"/>
      <c r="G4263" s="1342"/>
      <c r="H4263" s="1342"/>
      <c r="I4263" s="1342"/>
      <c r="J4263" s="1342"/>
      <c r="K4263" s="1342"/>
    </row>
    <row r="4264" spans="2:11" ht="14" hidden="1">
      <c r="B4264" s="1342"/>
      <c r="C4264" s="1342"/>
      <c r="D4264" s="1342"/>
      <c r="E4264" s="1342"/>
      <c r="F4264" s="1342"/>
      <c r="G4264" s="1342"/>
      <c r="H4264" s="1342"/>
      <c r="I4264" s="1342"/>
      <c r="J4264" s="1342"/>
      <c r="K4264" s="1342"/>
    </row>
    <row r="4265" spans="2:11" ht="14" hidden="1">
      <c r="B4265" s="1342"/>
      <c r="C4265" s="1342"/>
      <c r="D4265" s="1342"/>
      <c r="E4265" s="1342"/>
      <c r="F4265" s="1342"/>
      <c r="G4265" s="1342"/>
      <c r="H4265" s="1342"/>
      <c r="I4265" s="1342"/>
      <c r="J4265" s="1342"/>
      <c r="K4265" s="1342"/>
    </row>
    <row r="4266" spans="2:11" ht="14" hidden="1">
      <c r="B4266" s="1342"/>
      <c r="C4266" s="1342"/>
      <c r="D4266" s="1342"/>
      <c r="E4266" s="1342"/>
      <c r="F4266" s="1342"/>
      <c r="G4266" s="1342"/>
      <c r="H4266" s="1342"/>
      <c r="I4266" s="1342"/>
      <c r="J4266" s="1342"/>
      <c r="K4266" s="1342"/>
    </row>
    <row r="4267" spans="2:11" ht="14" hidden="1">
      <c r="B4267" s="1342"/>
      <c r="C4267" s="1342"/>
      <c r="D4267" s="1342"/>
      <c r="E4267" s="1342"/>
      <c r="F4267" s="1342"/>
      <c r="G4267" s="1342"/>
      <c r="H4267" s="1342"/>
      <c r="I4267" s="1342"/>
      <c r="J4267" s="1342"/>
      <c r="K4267" s="1342"/>
    </row>
    <row r="4268" spans="2:11" ht="14" hidden="1">
      <c r="B4268" s="1342"/>
      <c r="C4268" s="1342"/>
      <c r="D4268" s="1342"/>
      <c r="E4268" s="1342"/>
      <c r="F4268" s="1342"/>
      <c r="G4268" s="1342"/>
      <c r="H4268" s="1342"/>
      <c r="I4268" s="1342"/>
      <c r="J4268" s="1342"/>
      <c r="K4268" s="1342"/>
    </row>
    <row r="4269" spans="2:11" ht="14" hidden="1">
      <c r="B4269" s="1342"/>
      <c r="C4269" s="1342"/>
      <c r="D4269" s="1342"/>
      <c r="E4269" s="1342"/>
      <c r="F4269" s="1342"/>
      <c r="G4269" s="1342"/>
      <c r="H4269" s="1342"/>
      <c r="I4269" s="1342"/>
      <c r="J4269" s="1342"/>
      <c r="K4269" s="1342"/>
    </row>
    <row r="4270" spans="2:11" ht="14" hidden="1">
      <c r="B4270" s="1342"/>
      <c r="C4270" s="1342"/>
      <c r="D4270" s="1342"/>
      <c r="E4270" s="1342"/>
      <c r="F4270" s="1342"/>
      <c r="G4270" s="1342"/>
      <c r="H4270" s="1342"/>
      <c r="I4270" s="1342"/>
      <c r="J4270" s="1342"/>
      <c r="K4270" s="1342"/>
    </row>
    <row r="4271" spans="2:11" ht="14" hidden="1">
      <c r="B4271" s="1342"/>
      <c r="C4271" s="1342"/>
      <c r="D4271" s="1342"/>
      <c r="E4271" s="1342"/>
      <c r="F4271" s="1342"/>
      <c r="G4271" s="1342"/>
      <c r="H4271" s="1342"/>
      <c r="I4271" s="1342"/>
      <c r="J4271" s="1342"/>
      <c r="K4271" s="1342"/>
    </row>
    <row r="4272" spans="2:11" ht="14" hidden="1">
      <c r="B4272" s="1342"/>
      <c r="C4272" s="1342"/>
      <c r="D4272" s="1342"/>
      <c r="E4272" s="1342"/>
      <c r="F4272" s="1342"/>
      <c r="G4272" s="1342"/>
      <c r="H4272" s="1342"/>
      <c r="I4272" s="1342"/>
      <c r="J4272" s="1342"/>
      <c r="K4272" s="1342"/>
    </row>
    <row r="4273" spans="2:11" ht="14" hidden="1">
      <c r="B4273" s="1342"/>
      <c r="C4273" s="1342"/>
      <c r="D4273" s="1342"/>
      <c r="E4273" s="1342"/>
      <c r="F4273" s="1342"/>
      <c r="G4273" s="1342"/>
      <c r="H4273" s="1342"/>
      <c r="I4273" s="1342"/>
      <c r="J4273" s="1342"/>
      <c r="K4273" s="1342"/>
    </row>
    <row r="4274" spans="2:11" ht="14" hidden="1">
      <c r="B4274" s="1342"/>
      <c r="C4274" s="1342"/>
      <c r="D4274" s="1342"/>
      <c r="E4274" s="1342"/>
      <c r="F4274" s="1342"/>
      <c r="G4274" s="1342"/>
      <c r="H4274" s="1342"/>
      <c r="I4274" s="1342"/>
      <c r="J4274" s="1342"/>
      <c r="K4274" s="1342"/>
    </row>
    <row r="4275" spans="2:11" ht="14" hidden="1">
      <c r="B4275" s="1342"/>
      <c r="C4275" s="1342"/>
      <c r="D4275" s="1342"/>
      <c r="E4275" s="1342"/>
      <c r="F4275" s="1342"/>
      <c r="G4275" s="1342"/>
      <c r="H4275" s="1342"/>
      <c r="I4275" s="1342"/>
      <c r="J4275" s="1342"/>
      <c r="K4275" s="1342"/>
    </row>
    <row r="4276" spans="2:11" ht="14" hidden="1">
      <c r="B4276" s="1342"/>
      <c r="C4276" s="1342"/>
      <c r="D4276" s="1342"/>
      <c r="E4276" s="1342"/>
      <c r="F4276" s="1342"/>
      <c r="G4276" s="1342"/>
      <c r="H4276" s="1342"/>
      <c r="I4276" s="1342"/>
      <c r="J4276" s="1342"/>
      <c r="K4276" s="1342"/>
    </row>
    <row r="4277" spans="2:11" ht="14" hidden="1">
      <c r="B4277" s="1342"/>
      <c r="C4277" s="1342"/>
      <c r="D4277" s="1342"/>
      <c r="E4277" s="1342"/>
      <c r="F4277" s="1342"/>
      <c r="G4277" s="1342"/>
      <c r="H4277" s="1342"/>
      <c r="I4277" s="1342"/>
      <c r="J4277" s="1342"/>
      <c r="K4277" s="1342"/>
    </row>
    <row r="4278" spans="2:11" ht="14" hidden="1">
      <c r="B4278" s="1342"/>
      <c r="C4278" s="1342"/>
      <c r="D4278" s="1342"/>
      <c r="E4278" s="1342"/>
      <c r="F4278" s="1342"/>
      <c r="G4278" s="1342"/>
      <c r="H4278" s="1342"/>
      <c r="I4278" s="1342"/>
      <c r="J4278" s="1342"/>
      <c r="K4278" s="1342"/>
    </row>
    <row r="4279" spans="2:11" ht="14" hidden="1">
      <c r="B4279" s="1342"/>
      <c r="C4279" s="1342"/>
      <c r="D4279" s="1342"/>
      <c r="E4279" s="1342"/>
      <c r="F4279" s="1342"/>
      <c r="G4279" s="1342"/>
      <c r="H4279" s="1342"/>
      <c r="I4279" s="1342"/>
      <c r="J4279" s="1342"/>
      <c r="K4279" s="1342"/>
    </row>
    <row r="4280" spans="2:11" ht="14" hidden="1">
      <c r="B4280" s="1342"/>
      <c r="C4280" s="1342"/>
      <c r="D4280" s="1342"/>
      <c r="E4280" s="1342"/>
      <c r="F4280" s="1342"/>
      <c r="G4280" s="1342"/>
      <c r="H4280" s="1342"/>
      <c r="I4280" s="1342"/>
      <c r="J4280" s="1342"/>
      <c r="K4280" s="1342"/>
    </row>
    <row r="4281" spans="2:11" ht="14" hidden="1">
      <c r="B4281" s="1342"/>
      <c r="C4281" s="1342"/>
      <c r="D4281" s="1342"/>
      <c r="E4281" s="1342"/>
      <c r="F4281" s="1342"/>
      <c r="G4281" s="1342"/>
      <c r="H4281" s="1342"/>
      <c r="I4281" s="1342"/>
      <c r="J4281" s="1342"/>
      <c r="K4281" s="1342"/>
    </row>
    <row r="4282" spans="2:11" ht="14" hidden="1">
      <c r="B4282" s="1342"/>
      <c r="C4282" s="1342"/>
      <c r="D4282" s="1342"/>
      <c r="E4282" s="1342"/>
      <c r="F4282" s="1342"/>
      <c r="G4282" s="1342"/>
      <c r="H4282" s="1342"/>
      <c r="I4282" s="1342"/>
      <c r="J4282" s="1342"/>
      <c r="K4282" s="1342"/>
    </row>
    <row r="4283" spans="2:11" ht="14" hidden="1">
      <c r="B4283" s="1342"/>
      <c r="C4283" s="1342"/>
      <c r="D4283" s="1342"/>
      <c r="E4283" s="1342"/>
      <c r="F4283" s="1342"/>
      <c r="G4283" s="1342"/>
      <c r="H4283" s="1342"/>
      <c r="I4283" s="1342"/>
      <c r="J4283" s="1342"/>
      <c r="K4283" s="1342"/>
    </row>
    <row r="4284" spans="2:11" ht="14" hidden="1">
      <c r="B4284" s="1342"/>
      <c r="C4284" s="1342"/>
      <c r="D4284" s="1342"/>
      <c r="E4284" s="1342"/>
      <c r="F4284" s="1342"/>
      <c r="G4284" s="1342"/>
      <c r="H4284" s="1342"/>
      <c r="I4284" s="1342"/>
      <c r="J4284" s="1342"/>
      <c r="K4284" s="1342"/>
    </row>
    <row r="4285" spans="2:11" ht="14" hidden="1">
      <c r="B4285" s="1342"/>
      <c r="C4285" s="1342"/>
      <c r="D4285" s="1342"/>
      <c r="E4285" s="1342"/>
      <c r="F4285" s="1342"/>
      <c r="G4285" s="1342"/>
      <c r="H4285" s="1342"/>
      <c r="I4285" s="1342"/>
      <c r="J4285" s="1342"/>
      <c r="K4285" s="1342"/>
    </row>
    <row r="4286" spans="2:11" ht="14" hidden="1">
      <c r="B4286" s="1342"/>
      <c r="C4286" s="1342"/>
      <c r="D4286" s="1342"/>
      <c r="E4286" s="1342"/>
      <c r="F4286" s="1342"/>
      <c r="G4286" s="1342"/>
      <c r="H4286" s="1342"/>
      <c r="I4286" s="1342"/>
      <c r="J4286" s="1342"/>
      <c r="K4286" s="1342"/>
    </row>
    <row r="4287" spans="2:11" ht="14" hidden="1">
      <c r="B4287" s="1342"/>
      <c r="C4287" s="1342"/>
      <c r="D4287" s="1342"/>
      <c r="E4287" s="1342"/>
      <c r="F4287" s="1342"/>
      <c r="G4287" s="1342"/>
      <c r="H4287" s="1342"/>
      <c r="I4287" s="1342"/>
      <c r="J4287" s="1342"/>
      <c r="K4287" s="1342"/>
    </row>
    <row r="4288" spans="2:11" ht="14" hidden="1">
      <c r="B4288" s="1342"/>
      <c r="C4288" s="1342"/>
      <c r="D4288" s="1342"/>
      <c r="E4288" s="1342"/>
      <c r="F4288" s="1342"/>
      <c r="G4288" s="1342"/>
      <c r="H4288" s="1342"/>
      <c r="I4288" s="1342"/>
      <c r="J4288" s="1342"/>
      <c r="K4288" s="1342"/>
    </row>
    <row r="4289" spans="2:11" ht="14" hidden="1">
      <c r="B4289" s="1342"/>
      <c r="C4289" s="1342"/>
      <c r="D4289" s="1342"/>
      <c r="E4289" s="1342"/>
      <c r="F4289" s="1342"/>
      <c r="G4289" s="1342"/>
      <c r="H4289" s="1342"/>
      <c r="I4289" s="1342"/>
      <c r="J4289" s="1342"/>
      <c r="K4289" s="1342"/>
    </row>
    <row r="4290" spans="2:11" ht="14" hidden="1">
      <c r="B4290" s="1342"/>
      <c r="C4290" s="1342"/>
      <c r="D4290" s="1342"/>
      <c r="E4290" s="1342"/>
      <c r="F4290" s="1342"/>
      <c r="G4290" s="1342"/>
      <c r="H4290" s="1342"/>
      <c r="I4290" s="1342"/>
      <c r="J4290" s="1342"/>
      <c r="K4290" s="1342"/>
    </row>
    <row r="4291" spans="2:11" ht="14" hidden="1">
      <c r="B4291" s="1342"/>
      <c r="C4291" s="1342"/>
      <c r="D4291" s="1342"/>
      <c r="E4291" s="1342"/>
      <c r="F4291" s="1342"/>
      <c r="G4291" s="1342"/>
      <c r="H4291" s="1342"/>
      <c r="I4291" s="1342"/>
      <c r="J4291" s="1342"/>
      <c r="K4291" s="1342"/>
    </row>
    <row r="4292" spans="2:11" ht="14" hidden="1">
      <c r="B4292" s="1342"/>
      <c r="C4292" s="1342"/>
      <c r="D4292" s="1342"/>
      <c r="E4292" s="1342"/>
      <c r="F4292" s="1342"/>
      <c r="G4292" s="1342"/>
      <c r="H4292" s="1342"/>
      <c r="I4292" s="1342"/>
      <c r="J4292" s="1342"/>
      <c r="K4292" s="1342"/>
    </row>
    <row r="4293" spans="2:11" ht="14" hidden="1">
      <c r="B4293" s="1342"/>
      <c r="C4293" s="1342"/>
      <c r="D4293" s="1342"/>
      <c r="E4293" s="1342"/>
      <c r="F4293" s="1342"/>
      <c r="G4293" s="1342"/>
      <c r="H4293" s="1342"/>
      <c r="I4293" s="1342"/>
      <c r="J4293" s="1342"/>
      <c r="K4293" s="1342"/>
    </row>
    <row r="4294" spans="2:11" ht="14" hidden="1">
      <c r="B4294" s="1342"/>
      <c r="C4294" s="1342"/>
      <c r="D4294" s="1342"/>
      <c r="E4294" s="1342"/>
      <c r="F4294" s="1342"/>
      <c r="G4294" s="1342"/>
      <c r="H4294" s="1342"/>
      <c r="I4294" s="1342"/>
      <c r="J4294" s="1342"/>
      <c r="K4294" s="1342"/>
    </row>
    <row r="4295" spans="2:11" ht="14" hidden="1">
      <c r="B4295" s="1342"/>
      <c r="C4295" s="1342"/>
      <c r="D4295" s="1342"/>
      <c r="E4295" s="1342"/>
      <c r="F4295" s="1342"/>
      <c r="G4295" s="1342"/>
      <c r="H4295" s="1342"/>
      <c r="I4295" s="1342"/>
      <c r="J4295" s="1342"/>
      <c r="K4295" s="1342"/>
    </row>
    <row r="4296" spans="2:11" ht="14" hidden="1">
      <c r="B4296" s="1342"/>
      <c r="C4296" s="1342"/>
      <c r="D4296" s="1342"/>
      <c r="E4296" s="1342"/>
      <c r="F4296" s="1342"/>
      <c r="G4296" s="1342"/>
      <c r="H4296" s="1342"/>
      <c r="I4296" s="1342"/>
      <c r="J4296" s="1342"/>
      <c r="K4296" s="1342"/>
    </row>
    <row r="4297" spans="2:11" ht="14" hidden="1">
      <c r="B4297" s="1342"/>
      <c r="C4297" s="1342"/>
      <c r="D4297" s="1342"/>
      <c r="E4297" s="1342"/>
      <c r="F4297" s="1342"/>
      <c r="G4297" s="1342"/>
      <c r="H4297" s="1342"/>
      <c r="I4297" s="1342"/>
      <c r="J4297" s="1342"/>
      <c r="K4297" s="1342"/>
    </row>
    <row r="4298" spans="2:11" ht="14" hidden="1">
      <c r="B4298" s="1342"/>
      <c r="C4298" s="1342"/>
      <c r="D4298" s="1342"/>
      <c r="E4298" s="1342"/>
      <c r="F4298" s="1342"/>
      <c r="G4298" s="1342"/>
      <c r="H4298" s="1342"/>
      <c r="I4298" s="1342"/>
      <c r="J4298" s="1342"/>
      <c r="K4298" s="1342"/>
    </row>
    <row r="4299" spans="2:11" ht="14" hidden="1">
      <c r="B4299" s="1342"/>
      <c r="C4299" s="1342"/>
      <c r="D4299" s="1342"/>
      <c r="E4299" s="1342"/>
      <c r="F4299" s="1342"/>
      <c r="G4299" s="1342"/>
      <c r="H4299" s="1342"/>
      <c r="I4299" s="1342"/>
      <c r="J4299" s="1342"/>
      <c r="K4299" s="1342"/>
    </row>
    <row r="4300" spans="2:11" ht="14" hidden="1">
      <c r="B4300" s="1342"/>
      <c r="C4300" s="1342"/>
      <c r="D4300" s="1342"/>
      <c r="E4300" s="1342"/>
      <c r="F4300" s="1342"/>
      <c r="G4300" s="1342"/>
      <c r="H4300" s="1342"/>
      <c r="I4300" s="1342"/>
      <c r="J4300" s="1342"/>
      <c r="K4300" s="1342"/>
    </row>
    <row r="4301" spans="2:11" ht="14" hidden="1">
      <c r="B4301" s="1342"/>
      <c r="C4301" s="1342"/>
      <c r="D4301" s="1342"/>
      <c r="E4301" s="1342"/>
      <c r="F4301" s="1342"/>
      <c r="G4301" s="1342"/>
      <c r="H4301" s="1342"/>
      <c r="I4301" s="1342"/>
      <c r="J4301" s="1342"/>
      <c r="K4301" s="1342"/>
    </row>
    <row r="4302" spans="2:11" ht="14" hidden="1">
      <c r="B4302" s="1342"/>
      <c r="C4302" s="1342"/>
      <c r="D4302" s="1342"/>
      <c r="E4302" s="1342"/>
      <c r="F4302" s="1342"/>
      <c r="G4302" s="1342"/>
      <c r="H4302" s="1342"/>
      <c r="I4302" s="1342"/>
      <c r="J4302" s="1342"/>
      <c r="K4302" s="1342"/>
    </row>
    <row r="4303" spans="2:11" ht="14" hidden="1">
      <c r="B4303" s="1342"/>
      <c r="C4303" s="1342"/>
      <c r="D4303" s="1342"/>
      <c r="E4303" s="1342"/>
      <c r="F4303" s="1342"/>
      <c r="G4303" s="1342"/>
      <c r="H4303" s="1342"/>
      <c r="I4303" s="1342"/>
      <c r="J4303" s="1342"/>
      <c r="K4303" s="1342"/>
    </row>
    <row r="4304" spans="2:11" ht="14" hidden="1">
      <c r="B4304" s="1342"/>
      <c r="C4304" s="1342"/>
      <c r="D4304" s="1342"/>
      <c r="E4304" s="1342"/>
      <c r="F4304" s="1342"/>
      <c r="G4304" s="1342"/>
      <c r="H4304" s="1342"/>
      <c r="I4304" s="1342"/>
      <c r="J4304" s="1342"/>
      <c r="K4304" s="1342"/>
    </row>
    <row r="4305" spans="2:11" ht="14" hidden="1">
      <c r="B4305" s="1342"/>
      <c r="C4305" s="1342"/>
      <c r="D4305" s="1342"/>
      <c r="E4305" s="1342"/>
      <c r="F4305" s="1342"/>
      <c r="G4305" s="1342"/>
      <c r="H4305" s="1342"/>
      <c r="I4305" s="1342"/>
      <c r="J4305" s="1342"/>
      <c r="K4305" s="1342"/>
    </row>
    <row r="4306" spans="2:11" ht="14" hidden="1">
      <c r="B4306" s="1342"/>
      <c r="C4306" s="1342"/>
      <c r="D4306" s="1342"/>
      <c r="E4306" s="1342"/>
      <c r="F4306" s="1342"/>
      <c r="G4306" s="1342"/>
      <c r="H4306" s="1342"/>
      <c r="I4306" s="1342"/>
      <c r="J4306" s="1342"/>
      <c r="K4306" s="1342"/>
    </row>
    <row r="4307" spans="2:11" ht="14" hidden="1">
      <c r="B4307" s="1342"/>
      <c r="C4307" s="1342"/>
      <c r="D4307" s="1342"/>
      <c r="E4307" s="1342"/>
      <c r="F4307" s="1342"/>
      <c r="G4307" s="1342"/>
      <c r="H4307" s="1342"/>
      <c r="I4307" s="1342"/>
      <c r="J4307" s="1342"/>
      <c r="K4307" s="1342"/>
    </row>
    <row r="4308" spans="2:11" ht="14" hidden="1">
      <c r="B4308" s="1342"/>
      <c r="C4308" s="1342"/>
      <c r="D4308" s="1342"/>
      <c r="E4308" s="1342"/>
      <c r="F4308" s="1342"/>
      <c r="G4308" s="1342"/>
      <c r="H4308" s="1342"/>
      <c r="I4308" s="1342"/>
      <c r="J4308" s="1342"/>
      <c r="K4308" s="1342"/>
    </row>
    <row r="4309" spans="2:11" ht="14" hidden="1">
      <c r="B4309" s="1342"/>
      <c r="C4309" s="1342"/>
      <c r="D4309" s="1342"/>
      <c r="E4309" s="1342"/>
      <c r="F4309" s="1342"/>
      <c r="G4309" s="1342"/>
      <c r="H4309" s="1342"/>
      <c r="I4309" s="1342"/>
      <c r="J4309" s="1342"/>
      <c r="K4309" s="1342"/>
    </row>
    <row r="4310" spans="2:11" ht="14" hidden="1">
      <c r="B4310" s="1342"/>
      <c r="C4310" s="1342"/>
      <c r="D4310" s="1342"/>
      <c r="E4310" s="1342"/>
      <c r="F4310" s="1342"/>
      <c r="G4310" s="1342"/>
      <c r="H4310" s="1342"/>
      <c r="I4310" s="1342"/>
      <c r="J4310" s="1342"/>
      <c r="K4310" s="1342"/>
    </row>
    <row r="4311" spans="2:11" ht="14" hidden="1">
      <c r="B4311" s="1342"/>
      <c r="C4311" s="1342"/>
      <c r="D4311" s="1342"/>
      <c r="E4311" s="1342"/>
      <c r="F4311" s="1342"/>
      <c r="G4311" s="1342"/>
      <c r="H4311" s="1342"/>
      <c r="I4311" s="1342"/>
      <c r="J4311" s="1342"/>
      <c r="K4311" s="1342"/>
    </row>
    <row r="4312" spans="2:11" ht="14" hidden="1">
      <c r="B4312" s="1342"/>
      <c r="C4312" s="1342"/>
      <c r="D4312" s="1342"/>
      <c r="E4312" s="1342"/>
      <c r="F4312" s="1342"/>
      <c r="G4312" s="1342"/>
      <c r="H4312" s="1342"/>
      <c r="I4312" s="1342"/>
      <c r="J4312" s="1342"/>
      <c r="K4312" s="1342"/>
    </row>
    <row r="4313" spans="2:11" ht="14" hidden="1">
      <c r="B4313" s="1342"/>
      <c r="C4313" s="1342"/>
      <c r="D4313" s="1342"/>
      <c r="E4313" s="1342"/>
      <c r="F4313" s="1342"/>
      <c r="G4313" s="1342"/>
      <c r="H4313" s="1342"/>
      <c r="I4313" s="1342"/>
      <c r="J4313" s="1342"/>
      <c r="K4313" s="1342"/>
    </row>
    <row r="4314" spans="2:11" ht="14" hidden="1">
      <c r="B4314" s="1342"/>
      <c r="C4314" s="1342"/>
      <c r="D4314" s="1342"/>
      <c r="E4314" s="1342"/>
      <c r="F4314" s="1342"/>
      <c r="G4314" s="1342"/>
      <c r="H4314" s="1342"/>
      <c r="I4314" s="1342"/>
      <c r="J4314" s="1342"/>
      <c r="K4314" s="1342"/>
    </row>
    <row r="4315" spans="2:11" ht="14" hidden="1">
      <c r="B4315" s="1342"/>
      <c r="C4315" s="1342"/>
      <c r="D4315" s="1342"/>
      <c r="E4315" s="1342"/>
      <c r="F4315" s="1342"/>
      <c r="G4315" s="1342"/>
      <c r="H4315" s="1342"/>
      <c r="I4315" s="1342"/>
      <c r="J4315" s="1342"/>
      <c r="K4315" s="1342"/>
    </row>
    <row r="4316" spans="2:11" ht="14" hidden="1">
      <c r="B4316" s="1342"/>
      <c r="C4316" s="1342"/>
      <c r="D4316" s="1342"/>
      <c r="E4316" s="1342"/>
      <c r="F4316" s="1342"/>
      <c r="G4316" s="1342"/>
      <c r="H4316" s="1342"/>
      <c r="I4316" s="1342"/>
      <c r="J4316" s="1342"/>
      <c r="K4316" s="1342"/>
    </row>
    <row r="4317" spans="2:11" ht="14" hidden="1">
      <c r="B4317" s="1342"/>
      <c r="C4317" s="1342"/>
      <c r="D4317" s="1342"/>
      <c r="E4317" s="1342"/>
      <c r="F4317" s="1342"/>
      <c r="G4317" s="1342"/>
      <c r="H4317" s="1342"/>
      <c r="I4317" s="1342"/>
      <c r="J4317" s="1342"/>
      <c r="K4317" s="1342"/>
    </row>
    <row r="4318" spans="2:11" ht="14" hidden="1">
      <c r="B4318" s="1342"/>
      <c r="C4318" s="1342"/>
      <c r="D4318" s="1342"/>
      <c r="E4318" s="1342"/>
      <c r="F4318" s="1342"/>
      <c r="G4318" s="1342"/>
      <c r="H4318" s="1342"/>
      <c r="I4318" s="1342"/>
      <c r="J4318" s="1342"/>
      <c r="K4318" s="1342"/>
    </row>
    <row r="4319" spans="2:11" ht="14" hidden="1">
      <c r="B4319" s="1342"/>
      <c r="C4319" s="1342"/>
      <c r="D4319" s="1342"/>
      <c r="E4319" s="1342"/>
      <c r="F4319" s="1342"/>
      <c r="G4319" s="1342"/>
      <c r="H4319" s="1342"/>
      <c r="I4319" s="1342"/>
      <c r="J4319" s="1342"/>
      <c r="K4319" s="1342"/>
    </row>
    <row r="4320" spans="2:11" ht="14" hidden="1">
      <c r="B4320" s="1342"/>
      <c r="C4320" s="1342"/>
      <c r="D4320" s="1342"/>
      <c r="E4320" s="1342"/>
      <c r="F4320" s="1342"/>
      <c r="G4320" s="1342"/>
      <c r="H4320" s="1342"/>
      <c r="I4320" s="1342"/>
      <c r="J4320" s="1342"/>
      <c r="K4320" s="1342"/>
    </row>
    <row r="4321" spans="2:11" ht="14" hidden="1">
      <c r="B4321" s="1342"/>
      <c r="C4321" s="1342"/>
      <c r="D4321" s="1342"/>
      <c r="E4321" s="1342"/>
      <c r="F4321" s="1342"/>
      <c r="G4321" s="1342"/>
      <c r="H4321" s="1342"/>
      <c r="I4321" s="1342"/>
      <c r="J4321" s="1342"/>
      <c r="K4321" s="1342"/>
    </row>
    <row r="4322" spans="2:11" ht="14" hidden="1">
      <c r="B4322" s="1342"/>
      <c r="C4322" s="1342"/>
      <c r="D4322" s="1342"/>
      <c r="E4322" s="1342"/>
      <c r="F4322" s="1342"/>
      <c r="G4322" s="1342"/>
      <c r="H4322" s="1342"/>
      <c r="I4322" s="1342"/>
      <c r="J4322" s="1342"/>
      <c r="K4322" s="1342"/>
    </row>
    <row r="4323" spans="2:11" ht="14" hidden="1">
      <c r="B4323" s="1342"/>
      <c r="C4323" s="1342"/>
      <c r="D4323" s="1342"/>
      <c r="E4323" s="1342"/>
      <c r="F4323" s="1342"/>
      <c r="G4323" s="1342"/>
      <c r="H4323" s="1342"/>
      <c r="I4323" s="1342"/>
      <c r="J4323" s="1342"/>
      <c r="K4323" s="1342"/>
    </row>
    <row r="4324" spans="2:11" ht="14" hidden="1">
      <c r="B4324" s="1342"/>
      <c r="C4324" s="1342"/>
      <c r="D4324" s="1342"/>
      <c r="E4324" s="1342"/>
      <c r="F4324" s="1342"/>
      <c r="G4324" s="1342"/>
      <c r="H4324" s="1342"/>
      <c r="I4324" s="1342"/>
      <c r="J4324" s="1342"/>
      <c r="K4324" s="1342"/>
    </row>
    <row r="4325" spans="2:11" ht="14" hidden="1">
      <c r="B4325" s="1342"/>
      <c r="C4325" s="1342"/>
      <c r="D4325" s="1342"/>
      <c r="E4325" s="1342"/>
      <c r="F4325" s="1342"/>
      <c r="G4325" s="1342"/>
      <c r="H4325" s="1342"/>
      <c r="I4325" s="1342"/>
      <c r="J4325" s="1342"/>
      <c r="K4325" s="1342"/>
    </row>
    <row r="4326" spans="2:11" ht="14" hidden="1">
      <c r="B4326" s="1342"/>
      <c r="C4326" s="1342"/>
      <c r="D4326" s="1342"/>
      <c r="E4326" s="1342"/>
      <c r="F4326" s="1342"/>
      <c r="G4326" s="1342"/>
      <c r="H4326" s="1342"/>
      <c r="I4326" s="1342"/>
      <c r="J4326" s="1342"/>
      <c r="K4326" s="1342"/>
    </row>
    <row r="4327" spans="2:11" ht="14" hidden="1">
      <c r="B4327" s="1342"/>
      <c r="C4327" s="1342"/>
      <c r="D4327" s="1342"/>
      <c r="E4327" s="1342"/>
      <c r="F4327" s="1342"/>
      <c r="G4327" s="1342"/>
      <c r="H4327" s="1342"/>
      <c r="I4327" s="1342"/>
      <c r="J4327" s="1342"/>
      <c r="K4327" s="1342"/>
    </row>
    <row r="4328" spans="2:11" ht="14" hidden="1">
      <c r="B4328" s="1342"/>
      <c r="C4328" s="1342"/>
      <c r="D4328" s="1342"/>
      <c r="E4328" s="1342"/>
      <c r="F4328" s="1342"/>
      <c r="G4328" s="1342"/>
      <c r="H4328" s="1342"/>
      <c r="I4328" s="1342"/>
      <c r="J4328" s="1342"/>
      <c r="K4328" s="1342"/>
    </row>
    <row r="4329" spans="2:11" ht="14" hidden="1">
      <c r="B4329" s="1342"/>
      <c r="C4329" s="1342"/>
      <c r="D4329" s="1342"/>
      <c r="E4329" s="1342"/>
      <c r="F4329" s="1342"/>
      <c r="G4329" s="1342"/>
      <c r="H4329" s="1342"/>
      <c r="I4329" s="1342"/>
      <c r="J4329" s="1342"/>
      <c r="K4329" s="1342"/>
    </row>
    <row r="4330" spans="2:11" ht="14" hidden="1">
      <c r="B4330" s="1342"/>
      <c r="C4330" s="1342"/>
      <c r="D4330" s="1342"/>
      <c r="E4330" s="1342"/>
      <c r="F4330" s="1342"/>
      <c r="G4330" s="1342"/>
      <c r="H4330" s="1342"/>
      <c r="I4330" s="1342"/>
      <c r="J4330" s="1342"/>
      <c r="K4330" s="1342"/>
    </row>
    <row r="4331" spans="2:11" ht="14" hidden="1">
      <c r="B4331" s="1342"/>
      <c r="C4331" s="1342"/>
      <c r="D4331" s="1342"/>
      <c r="E4331" s="1342"/>
      <c r="F4331" s="1342"/>
      <c r="G4331" s="1342"/>
      <c r="H4331" s="1342"/>
      <c r="I4331" s="1342"/>
      <c r="J4331" s="1342"/>
      <c r="K4331" s="1342"/>
    </row>
    <row r="4332" spans="2:11" ht="14" hidden="1">
      <c r="B4332" s="1342"/>
      <c r="C4332" s="1342"/>
      <c r="D4332" s="1342"/>
      <c r="E4332" s="1342"/>
      <c r="F4332" s="1342"/>
      <c r="G4332" s="1342"/>
      <c r="H4332" s="1342"/>
      <c r="I4332" s="1342"/>
      <c r="J4332" s="1342"/>
      <c r="K4332" s="1342"/>
    </row>
    <row r="4333" spans="2:11" ht="14" hidden="1">
      <c r="B4333" s="1342"/>
      <c r="C4333" s="1342"/>
      <c r="D4333" s="1342"/>
      <c r="E4333" s="1342"/>
      <c r="F4333" s="1342"/>
      <c r="G4333" s="1342"/>
      <c r="H4333" s="1342"/>
      <c r="I4333" s="1342"/>
      <c r="J4333" s="1342"/>
      <c r="K4333" s="1342"/>
    </row>
    <row r="4334" spans="2:11" ht="14" hidden="1">
      <c r="B4334" s="1342"/>
      <c r="C4334" s="1342"/>
      <c r="D4334" s="1342"/>
      <c r="E4334" s="1342"/>
      <c r="F4334" s="1342"/>
      <c r="G4334" s="1342"/>
      <c r="H4334" s="1342"/>
      <c r="I4334" s="1342"/>
      <c r="J4334" s="1342"/>
      <c r="K4334" s="1342"/>
    </row>
    <row r="4335" spans="2:11" ht="14" hidden="1">
      <c r="B4335" s="1342"/>
      <c r="C4335" s="1342"/>
      <c r="D4335" s="1342"/>
      <c r="E4335" s="1342"/>
      <c r="F4335" s="1342"/>
      <c r="G4335" s="1342"/>
      <c r="H4335" s="1342"/>
      <c r="I4335" s="1342"/>
      <c r="J4335" s="1342"/>
      <c r="K4335" s="1342"/>
    </row>
    <row r="4336" spans="2:11" ht="14" hidden="1">
      <c r="B4336" s="1342"/>
      <c r="C4336" s="1342"/>
      <c r="D4336" s="1342"/>
      <c r="E4336" s="1342"/>
      <c r="F4336" s="1342"/>
      <c r="G4336" s="1342"/>
      <c r="H4336" s="1342"/>
      <c r="I4336" s="1342"/>
      <c r="J4336" s="1342"/>
      <c r="K4336" s="1342"/>
    </row>
    <row r="4337" spans="2:11" ht="14" hidden="1">
      <c r="B4337" s="1342"/>
      <c r="C4337" s="1342"/>
      <c r="D4337" s="1342"/>
      <c r="E4337" s="1342"/>
      <c r="F4337" s="1342"/>
      <c r="G4337" s="1342"/>
      <c r="H4337" s="1342"/>
      <c r="I4337" s="1342"/>
      <c r="J4337" s="1342"/>
      <c r="K4337" s="1342"/>
    </row>
    <row r="4338" spans="2:11" ht="14" hidden="1">
      <c r="B4338" s="1342"/>
      <c r="C4338" s="1342"/>
      <c r="D4338" s="1342"/>
      <c r="E4338" s="1342"/>
      <c r="F4338" s="1342"/>
      <c r="G4338" s="1342"/>
      <c r="H4338" s="1342"/>
      <c r="I4338" s="1342"/>
      <c r="J4338" s="1342"/>
      <c r="K4338" s="1342"/>
    </row>
    <row r="4339" spans="2:11" ht="14" hidden="1">
      <c r="B4339" s="1342"/>
      <c r="C4339" s="1342"/>
      <c r="D4339" s="1342"/>
      <c r="E4339" s="1342"/>
      <c r="F4339" s="1342"/>
      <c r="G4339" s="1342"/>
      <c r="H4339" s="1342"/>
      <c r="I4339" s="1342"/>
      <c r="J4339" s="1342"/>
      <c r="K4339" s="1342"/>
    </row>
    <row r="4340" spans="2:11" ht="14" hidden="1">
      <c r="B4340" s="1342"/>
      <c r="C4340" s="1342"/>
      <c r="D4340" s="1342"/>
      <c r="E4340" s="1342"/>
      <c r="F4340" s="1342"/>
      <c r="G4340" s="1342"/>
      <c r="H4340" s="1342"/>
      <c r="I4340" s="1342"/>
      <c r="J4340" s="1342"/>
      <c r="K4340" s="1342"/>
    </row>
    <row r="4341" spans="2:11" ht="14" hidden="1">
      <c r="B4341" s="1342"/>
      <c r="C4341" s="1342"/>
      <c r="D4341" s="1342"/>
      <c r="E4341" s="1342"/>
      <c r="F4341" s="1342"/>
      <c r="G4341" s="1342"/>
      <c r="H4341" s="1342"/>
      <c r="I4341" s="1342"/>
      <c r="J4341" s="1342"/>
      <c r="K4341" s="1342"/>
    </row>
    <row r="4342" spans="2:11" ht="14" hidden="1">
      <c r="B4342" s="1342"/>
      <c r="C4342" s="1342"/>
      <c r="D4342" s="1342"/>
      <c r="E4342" s="1342"/>
      <c r="F4342" s="1342"/>
      <c r="G4342" s="1342"/>
      <c r="H4342" s="1342"/>
      <c r="I4342" s="1342"/>
      <c r="J4342" s="1342"/>
      <c r="K4342" s="1342"/>
    </row>
    <row r="4343" spans="2:11" ht="14" hidden="1">
      <c r="B4343" s="1342"/>
      <c r="C4343" s="1342"/>
      <c r="D4343" s="1342"/>
      <c r="E4343" s="1342"/>
      <c r="F4343" s="1342"/>
      <c r="G4343" s="1342"/>
      <c r="H4343" s="1342"/>
      <c r="I4343" s="1342"/>
      <c r="J4343" s="1342"/>
      <c r="K4343" s="1342"/>
    </row>
    <row r="4344" spans="2:11" ht="14" hidden="1">
      <c r="B4344" s="1342"/>
      <c r="C4344" s="1342"/>
      <c r="D4344" s="1342"/>
      <c r="E4344" s="1342"/>
      <c r="F4344" s="1342"/>
      <c r="G4344" s="1342"/>
      <c r="H4344" s="1342"/>
      <c r="I4344" s="1342"/>
      <c r="J4344" s="1342"/>
      <c r="K4344" s="1342"/>
    </row>
    <row r="4345" spans="2:11" ht="14" hidden="1">
      <c r="B4345" s="1342"/>
      <c r="C4345" s="1342"/>
      <c r="D4345" s="1342"/>
      <c r="E4345" s="1342"/>
      <c r="F4345" s="1342"/>
      <c r="G4345" s="1342"/>
      <c r="H4345" s="1342"/>
      <c r="I4345" s="1342"/>
      <c r="J4345" s="1342"/>
      <c r="K4345" s="1342"/>
    </row>
    <row r="4346" spans="2:11" ht="14" hidden="1">
      <c r="B4346" s="1342"/>
      <c r="C4346" s="1342"/>
      <c r="D4346" s="1342"/>
      <c r="E4346" s="1342"/>
      <c r="F4346" s="1342"/>
      <c r="G4346" s="1342"/>
      <c r="H4346" s="1342"/>
      <c r="I4346" s="1342"/>
      <c r="J4346" s="1342"/>
      <c r="K4346" s="1342"/>
    </row>
    <row r="4347" spans="2:11" ht="14" hidden="1">
      <c r="B4347" s="1342"/>
      <c r="C4347" s="1342"/>
      <c r="D4347" s="1342"/>
      <c r="E4347" s="1342"/>
      <c r="F4347" s="1342"/>
      <c r="G4347" s="1342"/>
      <c r="H4347" s="1342"/>
      <c r="I4347" s="1342"/>
      <c r="J4347" s="1342"/>
      <c r="K4347" s="1342"/>
    </row>
    <row r="4348" spans="2:11" ht="14" hidden="1">
      <c r="B4348" s="1342"/>
      <c r="C4348" s="1342"/>
      <c r="D4348" s="1342"/>
      <c r="E4348" s="1342"/>
      <c r="F4348" s="1342"/>
      <c r="G4348" s="1342"/>
      <c r="H4348" s="1342"/>
      <c r="I4348" s="1342"/>
      <c r="J4348" s="1342"/>
      <c r="K4348" s="1342"/>
    </row>
    <row r="4349" spans="2:11" ht="14" hidden="1">
      <c r="B4349" s="1342"/>
      <c r="C4349" s="1342"/>
      <c r="D4349" s="1342"/>
      <c r="E4349" s="1342"/>
      <c r="F4349" s="1342"/>
      <c r="G4349" s="1342"/>
      <c r="H4349" s="1342"/>
      <c r="I4349" s="1342"/>
      <c r="J4349" s="1342"/>
      <c r="K4349" s="1342"/>
    </row>
    <row r="4350" spans="2:11" ht="14" hidden="1">
      <c r="B4350" s="1342"/>
      <c r="C4350" s="1342"/>
      <c r="D4350" s="1342"/>
      <c r="E4350" s="1342"/>
      <c r="F4350" s="1342"/>
      <c r="G4350" s="1342"/>
      <c r="H4350" s="1342"/>
      <c r="I4350" s="1342"/>
      <c r="J4350" s="1342"/>
      <c r="K4350" s="1342"/>
    </row>
    <row r="4351" spans="2:11" ht="14" hidden="1">
      <c r="B4351" s="1342"/>
      <c r="C4351" s="1342"/>
      <c r="D4351" s="1342"/>
      <c r="E4351" s="1342"/>
      <c r="F4351" s="1342"/>
      <c r="G4351" s="1342"/>
      <c r="H4351" s="1342"/>
      <c r="I4351" s="1342"/>
      <c r="J4351" s="1342"/>
      <c r="K4351" s="1342"/>
    </row>
    <row r="4352" spans="2:11" ht="14" hidden="1">
      <c r="B4352" s="1342"/>
      <c r="C4352" s="1342"/>
      <c r="D4352" s="1342"/>
      <c r="E4352" s="1342"/>
      <c r="F4352" s="1342"/>
      <c r="G4352" s="1342"/>
      <c r="H4352" s="1342"/>
      <c r="I4352" s="1342"/>
      <c r="J4352" s="1342"/>
      <c r="K4352" s="1342"/>
    </row>
    <row r="4353" spans="2:11" ht="14" hidden="1">
      <c r="B4353" s="1342"/>
      <c r="C4353" s="1342"/>
      <c r="D4353" s="1342"/>
      <c r="E4353" s="1342"/>
      <c r="F4353" s="1342"/>
      <c r="G4353" s="1342"/>
      <c r="H4353" s="1342"/>
      <c r="I4353" s="1342"/>
      <c r="J4353" s="1342"/>
      <c r="K4353" s="1342"/>
    </row>
    <row r="4354" spans="2:11" ht="14" hidden="1">
      <c r="B4354" s="1342"/>
      <c r="C4354" s="1342"/>
      <c r="D4354" s="1342"/>
      <c r="E4354" s="1342"/>
      <c r="F4354" s="1342"/>
      <c r="G4354" s="1342"/>
      <c r="H4354" s="1342"/>
      <c r="I4354" s="1342"/>
      <c r="J4354" s="1342"/>
      <c r="K4354" s="1342"/>
    </row>
    <row r="4355" spans="2:11" ht="14" hidden="1">
      <c r="B4355" s="1342"/>
      <c r="C4355" s="1342"/>
      <c r="D4355" s="1342"/>
      <c r="E4355" s="1342"/>
      <c r="F4355" s="1342"/>
      <c r="G4355" s="1342"/>
      <c r="H4355" s="1342"/>
      <c r="I4355" s="1342"/>
      <c r="J4355" s="1342"/>
      <c r="K4355" s="1342"/>
    </row>
    <row r="4356" spans="2:11" ht="14" hidden="1">
      <c r="B4356" s="1342"/>
      <c r="C4356" s="1342"/>
      <c r="D4356" s="1342"/>
      <c r="E4356" s="1342"/>
      <c r="F4356" s="1342"/>
      <c r="G4356" s="1342"/>
      <c r="H4356" s="1342"/>
      <c r="I4356" s="1342"/>
      <c r="J4356" s="1342"/>
      <c r="K4356" s="1342"/>
    </row>
    <row r="4357" spans="2:11" ht="14" hidden="1">
      <c r="B4357" s="1342"/>
      <c r="C4357" s="1342"/>
      <c r="D4357" s="1342"/>
      <c r="E4357" s="1342"/>
      <c r="F4357" s="1342"/>
      <c r="G4357" s="1342"/>
      <c r="H4357" s="1342"/>
      <c r="I4357" s="1342"/>
      <c r="J4357" s="1342"/>
      <c r="K4357" s="1342"/>
    </row>
    <row r="4358" spans="2:11" ht="14" hidden="1">
      <c r="B4358" s="1342"/>
      <c r="C4358" s="1342"/>
      <c r="D4358" s="1342"/>
      <c r="E4358" s="1342"/>
      <c r="F4358" s="1342"/>
      <c r="G4358" s="1342"/>
      <c r="H4358" s="1342"/>
      <c r="I4358" s="1342"/>
      <c r="J4358" s="1342"/>
      <c r="K4358" s="1342"/>
    </row>
    <row r="4359" spans="2:11" ht="14" hidden="1">
      <c r="B4359" s="1342"/>
      <c r="C4359" s="1342"/>
      <c r="D4359" s="1342"/>
      <c r="E4359" s="1342"/>
      <c r="F4359" s="1342"/>
      <c r="G4359" s="1342"/>
      <c r="H4359" s="1342"/>
      <c r="I4359" s="1342"/>
      <c r="J4359" s="1342"/>
      <c r="K4359" s="1342"/>
    </row>
    <row r="4360" spans="2:11" ht="14" hidden="1">
      <c r="B4360" s="1342"/>
      <c r="C4360" s="1342"/>
      <c r="D4360" s="1342"/>
      <c r="E4360" s="1342"/>
      <c r="F4360" s="1342"/>
      <c r="G4360" s="1342"/>
      <c r="H4360" s="1342"/>
      <c r="I4360" s="1342"/>
      <c r="J4360" s="1342"/>
      <c r="K4360" s="1342"/>
    </row>
    <row r="4361" spans="2:11" ht="14" hidden="1">
      <c r="B4361" s="1342"/>
      <c r="C4361" s="1342"/>
      <c r="D4361" s="1342"/>
      <c r="E4361" s="1342"/>
      <c r="F4361" s="1342"/>
      <c r="G4361" s="1342"/>
      <c r="H4361" s="1342"/>
      <c r="I4361" s="1342"/>
      <c r="J4361" s="1342"/>
      <c r="K4361" s="1342"/>
    </row>
    <row r="4362" spans="2:11" ht="14" hidden="1">
      <c r="B4362" s="1342"/>
      <c r="C4362" s="1342"/>
      <c r="D4362" s="1342"/>
      <c r="E4362" s="1342"/>
      <c r="F4362" s="1342"/>
      <c r="G4362" s="1342"/>
      <c r="H4362" s="1342"/>
      <c r="I4362" s="1342"/>
      <c r="J4362" s="1342"/>
      <c r="K4362" s="1342"/>
    </row>
    <row r="4363" spans="2:11" ht="14" hidden="1">
      <c r="B4363" s="1342"/>
      <c r="C4363" s="1342"/>
      <c r="D4363" s="1342"/>
      <c r="E4363" s="1342"/>
      <c r="F4363" s="1342"/>
      <c r="G4363" s="1342"/>
      <c r="H4363" s="1342"/>
      <c r="I4363" s="1342"/>
      <c r="J4363" s="1342"/>
      <c r="K4363" s="1342"/>
    </row>
    <row r="4364" spans="2:11" ht="14" hidden="1">
      <c r="B4364" s="1342"/>
      <c r="C4364" s="1342"/>
      <c r="D4364" s="1342"/>
      <c r="E4364" s="1342"/>
      <c r="F4364" s="1342"/>
      <c r="G4364" s="1342"/>
      <c r="H4364" s="1342"/>
      <c r="I4364" s="1342"/>
      <c r="J4364" s="1342"/>
      <c r="K4364" s="1342"/>
    </row>
    <row r="4365" spans="2:11" ht="14" hidden="1">
      <c r="B4365" s="1342"/>
      <c r="C4365" s="1342"/>
      <c r="D4365" s="1342"/>
      <c r="E4365" s="1342"/>
      <c r="F4365" s="1342"/>
      <c r="G4365" s="1342"/>
      <c r="H4365" s="1342"/>
      <c r="I4365" s="1342"/>
      <c r="J4365" s="1342"/>
      <c r="K4365" s="1342"/>
    </row>
    <row r="4366" spans="2:11" ht="14" hidden="1">
      <c r="B4366" s="1342"/>
      <c r="C4366" s="1342"/>
      <c r="D4366" s="1342"/>
      <c r="E4366" s="1342"/>
      <c r="F4366" s="1342"/>
      <c r="G4366" s="1342"/>
      <c r="H4366" s="1342"/>
      <c r="I4366" s="1342"/>
      <c r="J4366" s="1342"/>
      <c r="K4366" s="1342"/>
    </row>
    <row r="4367" spans="2:11" ht="14" hidden="1">
      <c r="B4367" s="1342"/>
      <c r="C4367" s="1342"/>
      <c r="D4367" s="1342"/>
      <c r="E4367" s="1342"/>
      <c r="F4367" s="1342"/>
      <c r="G4367" s="1342"/>
      <c r="H4367" s="1342"/>
      <c r="I4367" s="1342"/>
      <c r="J4367" s="1342"/>
      <c r="K4367" s="1342"/>
    </row>
    <row r="4368" spans="2:11" ht="14" hidden="1">
      <c r="B4368" s="1342"/>
      <c r="C4368" s="1342"/>
      <c r="D4368" s="1342"/>
      <c r="E4368" s="1342"/>
      <c r="F4368" s="1342"/>
      <c r="G4368" s="1342"/>
      <c r="H4368" s="1342"/>
      <c r="I4368" s="1342"/>
      <c r="J4368" s="1342"/>
      <c r="K4368" s="1342"/>
    </row>
    <row r="4369" spans="2:11" ht="14" hidden="1">
      <c r="B4369" s="1342"/>
      <c r="C4369" s="1342"/>
      <c r="D4369" s="1342"/>
      <c r="E4369" s="1342"/>
      <c r="F4369" s="1342"/>
      <c r="G4369" s="1342"/>
      <c r="H4369" s="1342"/>
      <c r="I4369" s="1342"/>
      <c r="J4369" s="1342"/>
      <c r="K4369" s="1342"/>
    </row>
    <row r="4370" spans="2:11" ht="14" hidden="1">
      <c r="B4370" s="1342"/>
      <c r="C4370" s="1342"/>
      <c r="D4370" s="1342"/>
      <c r="E4370" s="1342"/>
      <c r="F4370" s="1342"/>
      <c r="G4370" s="1342"/>
      <c r="H4370" s="1342"/>
      <c r="I4370" s="1342"/>
      <c r="J4370" s="1342"/>
      <c r="K4370" s="1342"/>
    </row>
    <row r="4371" spans="2:11" ht="14" hidden="1">
      <c r="B4371" s="1342"/>
      <c r="C4371" s="1342"/>
      <c r="D4371" s="1342"/>
      <c r="E4371" s="1342"/>
      <c r="F4371" s="1342"/>
      <c r="G4371" s="1342"/>
      <c r="H4371" s="1342"/>
      <c r="I4371" s="1342"/>
      <c r="J4371" s="1342"/>
      <c r="K4371" s="1342"/>
    </row>
    <row r="4372" spans="2:11" ht="14" hidden="1">
      <c r="B4372" s="1342"/>
      <c r="C4372" s="1342"/>
      <c r="D4372" s="1342"/>
      <c r="E4372" s="1342"/>
      <c r="F4372" s="1342"/>
      <c r="G4372" s="1342"/>
      <c r="H4372" s="1342"/>
      <c r="I4372" s="1342"/>
      <c r="J4372" s="1342"/>
      <c r="K4372" s="1342"/>
    </row>
    <row r="4373" spans="2:11" ht="14" hidden="1">
      <c r="B4373" s="1342"/>
      <c r="C4373" s="1342"/>
      <c r="D4373" s="1342"/>
      <c r="E4373" s="1342"/>
      <c r="F4373" s="1342"/>
      <c r="G4373" s="1342"/>
      <c r="H4373" s="1342"/>
      <c r="I4373" s="1342"/>
      <c r="J4373" s="1342"/>
      <c r="K4373" s="1342"/>
    </row>
    <row r="4374" spans="2:11" ht="14" hidden="1">
      <c r="B4374" s="1342"/>
      <c r="C4374" s="1342"/>
      <c r="D4374" s="1342"/>
      <c r="E4374" s="1342"/>
      <c r="F4374" s="1342"/>
      <c r="G4374" s="1342"/>
      <c r="H4374" s="1342"/>
      <c r="I4374" s="1342"/>
      <c r="J4374" s="1342"/>
      <c r="K4374" s="1342"/>
    </row>
    <row r="4375" spans="2:11" ht="14" hidden="1">
      <c r="B4375" s="1342"/>
      <c r="C4375" s="1342"/>
      <c r="D4375" s="1342"/>
      <c r="E4375" s="1342"/>
      <c r="F4375" s="1342"/>
      <c r="G4375" s="1342"/>
      <c r="H4375" s="1342"/>
      <c r="I4375" s="1342"/>
      <c r="J4375" s="1342"/>
      <c r="K4375" s="1342"/>
    </row>
    <row r="4376" spans="2:11" ht="14" hidden="1">
      <c r="B4376" s="1342"/>
      <c r="C4376" s="1342"/>
      <c r="D4376" s="1342"/>
      <c r="E4376" s="1342"/>
      <c r="F4376" s="1342"/>
      <c r="G4376" s="1342"/>
      <c r="H4376" s="1342"/>
      <c r="I4376" s="1342"/>
      <c r="J4376" s="1342"/>
      <c r="K4376" s="1342"/>
    </row>
    <row r="4377" spans="2:11" ht="14" hidden="1">
      <c r="B4377" s="1342"/>
      <c r="C4377" s="1342"/>
      <c r="D4377" s="1342"/>
      <c r="E4377" s="1342"/>
      <c r="F4377" s="1342"/>
      <c r="G4377" s="1342"/>
      <c r="H4377" s="1342"/>
      <c r="I4377" s="1342"/>
      <c r="J4377" s="1342"/>
      <c r="K4377" s="1342"/>
    </row>
    <row r="4378" spans="2:11" ht="14" hidden="1">
      <c r="B4378" s="1342"/>
      <c r="C4378" s="1342"/>
      <c r="D4378" s="1342"/>
      <c r="E4378" s="1342"/>
      <c r="F4378" s="1342"/>
      <c r="G4378" s="1342"/>
      <c r="H4378" s="1342"/>
      <c r="I4378" s="1342"/>
      <c r="J4378" s="1342"/>
      <c r="K4378" s="1342"/>
    </row>
    <row r="4379" spans="2:11" ht="14" hidden="1">
      <c r="B4379" s="1342"/>
      <c r="C4379" s="1342"/>
      <c r="D4379" s="1342"/>
      <c r="E4379" s="1342"/>
      <c r="F4379" s="1342"/>
      <c r="G4379" s="1342"/>
      <c r="H4379" s="1342"/>
      <c r="I4379" s="1342"/>
      <c r="J4379" s="1342"/>
      <c r="K4379" s="1342"/>
    </row>
    <row r="4380" spans="2:11" ht="14" hidden="1">
      <c r="B4380" s="1342"/>
      <c r="C4380" s="1342"/>
      <c r="D4380" s="1342"/>
      <c r="E4380" s="1342"/>
      <c r="F4380" s="1342"/>
      <c r="G4380" s="1342"/>
      <c r="H4380" s="1342"/>
      <c r="I4380" s="1342"/>
      <c r="J4380" s="1342"/>
      <c r="K4380" s="1342"/>
    </row>
    <row r="4381" spans="2:11" ht="14" hidden="1">
      <c r="B4381" s="1342"/>
      <c r="C4381" s="1342"/>
      <c r="D4381" s="1342"/>
      <c r="E4381" s="1342"/>
      <c r="F4381" s="1342"/>
      <c r="G4381" s="1342"/>
      <c r="H4381" s="1342"/>
      <c r="I4381" s="1342"/>
      <c r="J4381" s="1342"/>
      <c r="K4381" s="1342"/>
    </row>
    <row r="4382" spans="2:11" ht="14" hidden="1">
      <c r="B4382" s="1342"/>
      <c r="C4382" s="1342"/>
      <c r="D4382" s="1342"/>
      <c r="E4382" s="1342"/>
      <c r="F4382" s="1342"/>
      <c r="G4382" s="1342"/>
      <c r="H4382" s="1342"/>
      <c r="I4382" s="1342"/>
      <c r="J4382" s="1342"/>
      <c r="K4382" s="1342"/>
    </row>
    <row r="4383" spans="2:11" ht="14" hidden="1">
      <c r="B4383" s="1342"/>
      <c r="C4383" s="1342"/>
      <c r="D4383" s="1342"/>
      <c r="E4383" s="1342"/>
      <c r="F4383" s="1342"/>
      <c r="G4383" s="1342"/>
      <c r="H4383" s="1342"/>
      <c r="I4383" s="1342"/>
      <c r="J4383" s="1342"/>
      <c r="K4383" s="1342"/>
    </row>
    <row r="4384" spans="2:11" ht="14" hidden="1">
      <c r="B4384" s="1342"/>
      <c r="C4384" s="1342"/>
      <c r="D4384" s="1342"/>
      <c r="E4384" s="1342"/>
      <c r="F4384" s="1342"/>
      <c r="G4384" s="1342"/>
      <c r="H4384" s="1342"/>
      <c r="I4384" s="1342"/>
      <c r="J4384" s="1342"/>
      <c r="K4384" s="1342"/>
    </row>
    <row r="4385" spans="2:11" ht="14" hidden="1">
      <c r="B4385" s="1342"/>
      <c r="C4385" s="1342"/>
      <c r="D4385" s="1342"/>
      <c r="E4385" s="1342"/>
      <c r="F4385" s="1342"/>
      <c r="G4385" s="1342"/>
      <c r="H4385" s="1342"/>
      <c r="I4385" s="1342"/>
      <c r="J4385" s="1342"/>
      <c r="K4385" s="1342"/>
    </row>
    <row r="4386" spans="2:11" ht="14" hidden="1">
      <c r="B4386" s="1342"/>
      <c r="C4386" s="1342"/>
      <c r="D4386" s="1342"/>
      <c r="E4386" s="1342"/>
      <c r="F4386" s="1342"/>
      <c r="G4386" s="1342"/>
      <c r="H4386" s="1342"/>
      <c r="I4386" s="1342"/>
      <c r="J4386" s="1342"/>
      <c r="K4386" s="1342"/>
    </row>
    <row r="4387" spans="2:11" ht="14" hidden="1">
      <c r="B4387" s="1342"/>
      <c r="C4387" s="1342"/>
      <c r="D4387" s="1342"/>
      <c r="E4387" s="1342"/>
      <c r="F4387" s="1342"/>
      <c r="G4387" s="1342"/>
      <c r="H4387" s="1342"/>
      <c r="I4387" s="1342"/>
      <c r="J4387" s="1342"/>
      <c r="K4387" s="1342"/>
    </row>
    <row r="4388" spans="2:11" ht="14" hidden="1">
      <c r="B4388" s="1342"/>
      <c r="C4388" s="1342"/>
      <c r="D4388" s="1342"/>
      <c r="E4388" s="1342"/>
      <c r="F4388" s="1342"/>
      <c r="G4388" s="1342"/>
      <c r="H4388" s="1342"/>
      <c r="I4388" s="1342"/>
      <c r="J4388" s="1342"/>
      <c r="K4388" s="1342"/>
    </row>
    <row r="4389" spans="2:11" ht="14" hidden="1">
      <c r="B4389" s="1342"/>
      <c r="C4389" s="1342"/>
      <c r="D4389" s="1342"/>
      <c r="E4389" s="1342"/>
      <c r="F4389" s="1342"/>
      <c r="G4389" s="1342"/>
      <c r="H4389" s="1342"/>
      <c r="I4389" s="1342"/>
      <c r="J4389" s="1342"/>
      <c r="K4389" s="1342"/>
    </row>
    <row r="4390" spans="2:11" ht="14" hidden="1">
      <c r="B4390" s="1342"/>
      <c r="C4390" s="1342"/>
      <c r="D4390" s="1342"/>
      <c r="E4390" s="1342"/>
      <c r="F4390" s="1342"/>
      <c r="G4390" s="1342"/>
      <c r="H4390" s="1342"/>
      <c r="I4390" s="1342"/>
      <c r="J4390" s="1342"/>
      <c r="K4390" s="1342"/>
    </row>
    <row r="4391" spans="2:11" ht="14" hidden="1">
      <c r="B4391" s="1342"/>
      <c r="C4391" s="1342"/>
      <c r="D4391" s="1342"/>
      <c r="E4391" s="1342"/>
      <c r="F4391" s="1342"/>
      <c r="G4391" s="1342"/>
      <c r="H4391" s="1342"/>
      <c r="I4391" s="1342"/>
      <c r="J4391" s="1342"/>
      <c r="K4391" s="1342"/>
    </row>
    <row r="4392" spans="2:11" ht="14" hidden="1">
      <c r="B4392" s="1342"/>
      <c r="C4392" s="1342"/>
      <c r="D4392" s="1342"/>
      <c r="E4392" s="1342"/>
      <c r="F4392" s="1342"/>
      <c r="G4392" s="1342"/>
      <c r="H4392" s="1342"/>
      <c r="I4392" s="1342"/>
      <c r="J4392" s="1342"/>
      <c r="K4392" s="1342"/>
    </row>
    <row r="4393" spans="2:11" ht="14" hidden="1">
      <c r="B4393" s="1342"/>
      <c r="C4393" s="1342"/>
      <c r="D4393" s="1342"/>
      <c r="E4393" s="1342"/>
      <c r="F4393" s="1342"/>
      <c r="G4393" s="1342"/>
      <c r="H4393" s="1342"/>
      <c r="I4393" s="1342"/>
      <c r="J4393" s="1342"/>
      <c r="K4393" s="1342"/>
    </row>
    <row r="4394" spans="2:11" ht="14" hidden="1">
      <c r="B4394" s="1342"/>
      <c r="C4394" s="1342"/>
      <c r="D4394" s="1342"/>
      <c r="E4394" s="1342"/>
      <c r="F4394" s="1342"/>
      <c r="G4394" s="1342"/>
      <c r="H4394" s="1342"/>
      <c r="I4394" s="1342"/>
      <c r="J4394" s="1342"/>
      <c r="K4394" s="1342"/>
    </row>
    <row r="4395" spans="2:11" ht="14" hidden="1">
      <c r="B4395" s="1342"/>
      <c r="C4395" s="1342"/>
      <c r="D4395" s="1342"/>
      <c r="E4395" s="1342"/>
      <c r="F4395" s="1342"/>
      <c r="G4395" s="1342"/>
      <c r="H4395" s="1342"/>
      <c r="I4395" s="1342"/>
      <c r="J4395" s="1342"/>
      <c r="K4395" s="1342"/>
    </row>
    <row r="4396" spans="2:11" ht="14" hidden="1">
      <c r="B4396" s="1342"/>
      <c r="C4396" s="1342"/>
      <c r="D4396" s="1342"/>
      <c r="E4396" s="1342"/>
      <c r="F4396" s="1342"/>
      <c r="G4396" s="1342"/>
      <c r="H4396" s="1342"/>
      <c r="I4396" s="1342"/>
      <c r="J4396" s="1342"/>
      <c r="K4396" s="1342"/>
    </row>
    <row r="4397" spans="2:11" ht="14" hidden="1">
      <c r="B4397" s="1342"/>
      <c r="C4397" s="1342"/>
      <c r="D4397" s="1342"/>
      <c r="E4397" s="1342"/>
      <c r="F4397" s="1342"/>
      <c r="G4397" s="1342"/>
      <c r="H4397" s="1342"/>
      <c r="I4397" s="1342"/>
      <c r="J4397" s="1342"/>
      <c r="K4397" s="1342"/>
    </row>
    <row r="4398" spans="2:11" ht="14" hidden="1">
      <c r="B4398" s="1342"/>
      <c r="C4398" s="1342"/>
      <c r="D4398" s="1342"/>
      <c r="E4398" s="1342"/>
      <c r="F4398" s="1342"/>
      <c r="G4398" s="1342"/>
      <c r="H4398" s="1342"/>
      <c r="I4398" s="1342"/>
      <c r="J4398" s="1342"/>
      <c r="K4398" s="1342"/>
    </row>
    <row r="4399" spans="2:11" ht="14" hidden="1">
      <c r="B4399" s="1342"/>
      <c r="C4399" s="1342"/>
      <c r="D4399" s="1342"/>
      <c r="E4399" s="1342"/>
      <c r="F4399" s="1342"/>
      <c r="G4399" s="1342"/>
      <c r="H4399" s="1342"/>
      <c r="I4399" s="1342"/>
      <c r="J4399" s="1342"/>
      <c r="K4399" s="1342"/>
    </row>
    <row r="4400" spans="2:11" ht="14" hidden="1">
      <c r="B4400" s="1342"/>
      <c r="C4400" s="1342"/>
      <c r="D4400" s="1342"/>
      <c r="E4400" s="1342"/>
      <c r="F4400" s="1342"/>
      <c r="G4400" s="1342"/>
      <c r="H4400" s="1342"/>
      <c r="I4400" s="1342"/>
      <c r="J4400" s="1342"/>
      <c r="K4400" s="1342"/>
    </row>
    <row r="4401" spans="2:11" ht="14" hidden="1">
      <c r="B4401" s="1342"/>
      <c r="C4401" s="1342"/>
      <c r="D4401" s="1342"/>
      <c r="E4401" s="1342"/>
      <c r="F4401" s="1342"/>
      <c r="G4401" s="1342"/>
      <c r="H4401" s="1342"/>
      <c r="I4401" s="1342"/>
      <c r="J4401" s="1342"/>
      <c r="K4401" s="1342"/>
    </row>
    <row r="4402" spans="2:11" ht="14" hidden="1">
      <c r="B4402" s="1342"/>
      <c r="C4402" s="1342"/>
      <c r="D4402" s="1342"/>
      <c r="E4402" s="1342"/>
      <c r="F4402" s="1342"/>
      <c r="G4402" s="1342"/>
      <c r="H4402" s="1342"/>
      <c r="I4402" s="1342"/>
      <c r="J4402" s="1342"/>
      <c r="K4402" s="1342"/>
    </row>
    <row r="4403" spans="2:11" ht="14" hidden="1">
      <c r="B4403" s="1342"/>
      <c r="C4403" s="1342"/>
      <c r="D4403" s="1342"/>
      <c r="E4403" s="1342"/>
      <c r="F4403" s="1342"/>
      <c r="G4403" s="1342"/>
      <c r="H4403" s="1342"/>
      <c r="I4403" s="1342"/>
      <c r="J4403" s="1342"/>
      <c r="K4403" s="1342"/>
    </row>
    <row r="4404" spans="2:11" ht="14" hidden="1">
      <c r="B4404" s="1342"/>
      <c r="C4404" s="1342"/>
      <c r="D4404" s="1342"/>
      <c r="E4404" s="1342"/>
      <c r="F4404" s="1342"/>
      <c r="G4404" s="1342"/>
      <c r="H4404" s="1342"/>
      <c r="I4404" s="1342"/>
      <c r="J4404" s="1342"/>
      <c r="K4404" s="1342"/>
    </row>
    <row r="4405" spans="2:11" ht="14" hidden="1">
      <c r="B4405" s="1342"/>
      <c r="C4405" s="1342"/>
      <c r="D4405" s="1342"/>
      <c r="E4405" s="1342"/>
      <c r="F4405" s="1342"/>
      <c r="G4405" s="1342"/>
      <c r="H4405" s="1342"/>
      <c r="I4405" s="1342"/>
      <c r="J4405" s="1342"/>
      <c r="K4405" s="1342"/>
    </row>
    <row r="4406" spans="2:11" ht="14" hidden="1">
      <c r="B4406" s="1342"/>
      <c r="C4406" s="1342"/>
      <c r="D4406" s="1342"/>
      <c r="E4406" s="1342"/>
      <c r="F4406" s="1342"/>
      <c r="G4406" s="1342"/>
      <c r="H4406" s="1342"/>
      <c r="I4406" s="1342"/>
      <c r="J4406" s="1342"/>
      <c r="K4406" s="1342"/>
    </row>
    <row r="4407" spans="2:11" ht="14" hidden="1">
      <c r="B4407" s="1342"/>
      <c r="C4407" s="1342"/>
      <c r="D4407" s="1342"/>
      <c r="E4407" s="1342"/>
      <c r="F4407" s="1342"/>
      <c r="G4407" s="1342"/>
      <c r="H4407" s="1342"/>
      <c r="I4407" s="1342"/>
      <c r="J4407" s="1342"/>
      <c r="K4407" s="1342"/>
    </row>
    <row r="4408" spans="2:11" ht="14" hidden="1">
      <c r="B4408" s="1342"/>
      <c r="C4408" s="1342"/>
      <c r="D4408" s="1342"/>
      <c r="E4408" s="1342"/>
      <c r="F4408" s="1342"/>
      <c r="G4408" s="1342"/>
      <c r="H4408" s="1342"/>
      <c r="I4408" s="1342"/>
      <c r="J4408" s="1342"/>
      <c r="K4408" s="1342"/>
    </row>
    <row r="4409" spans="2:11" ht="14" hidden="1">
      <c r="B4409" s="1342"/>
      <c r="C4409" s="1342"/>
      <c r="D4409" s="1342"/>
      <c r="E4409" s="1342"/>
      <c r="F4409" s="1342"/>
      <c r="G4409" s="1342"/>
      <c r="H4409" s="1342"/>
      <c r="I4409" s="1342"/>
      <c r="J4409" s="1342"/>
      <c r="K4409" s="1342"/>
    </row>
    <row r="4410" spans="2:11" ht="14" hidden="1">
      <c r="B4410" s="1342"/>
      <c r="C4410" s="1342"/>
      <c r="D4410" s="1342"/>
      <c r="E4410" s="1342"/>
      <c r="F4410" s="1342"/>
      <c r="G4410" s="1342"/>
      <c r="H4410" s="1342"/>
      <c r="I4410" s="1342"/>
      <c r="J4410" s="1342"/>
      <c r="K4410" s="1342"/>
    </row>
    <row r="4411" spans="2:11" ht="14" hidden="1">
      <c r="B4411" s="1342"/>
      <c r="C4411" s="1342"/>
      <c r="D4411" s="1342"/>
      <c r="E4411" s="1342"/>
      <c r="F4411" s="1342"/>
      <c r="G4411" s="1342"/>
      <c r="H4411" s="1342"/>
      <c r="I4411" s="1342"/>
      <c r="J4411" s="1342"/>
      <c r="K4411" s="1342"/>
    </row>
    <row r="4412" spans="2:11" ht="14" hidden="1">
      <c r="B4412" s="1342"/>
      <c r="C4412" s="1342"/>
      <c r="D4412" s="1342"/>
      <c r="E4412" s="1342"/>
      <c r="F4412" s="1342"/>
      <c r="G4412" s="1342"/>
      <c r="H4412" s="1342"/>
      <c r="I4412" s="1342"/>
      <c r="J4412" s="1342"/>
      <c r="K4412" s="1342"/>
    </row>
    <row r="4413" spans="2:11" ht="14" hidden="1">
      <c r="B4413" s="1342"/>
      <c r="C4413" s="1342"/>
      <c r="D4413" s="1342"/>
      <c r="E4413" s="1342"/>
      <c r="F4413" s="1342"/>
      <c r="G4413" s="1342"/>
      <c r="H4413" s="1342"/>
      <c r="I4413" s="1342"/>
      <c r="J4413" s="1342"/>
      <c r="K4413" s="1342"/>
    </row>
    <row r="4414" spans="2:11" ht="14" hidden="1">
      <c r="B4414" s="1342"/>
      <c r="C4414" s="1342"/>
      <c r="D4414" s="1342"/>
      <c r="E4414" s="1342"/>
      <c r="F4414" s="1342"/>
      <c r="G4414" s="1342"/>
      <c r="H4414" s="1342"/>
      <c r="I4414" s="1342"/>
      <c r="J4414" s="1342"/>
      <c r="K4414" s="1342"/>
    </row>
    <row r="4415" spans="2:11" ht="14" hidden="1">
      <c r="B4415" s="1342"/>
      <c r="C4415" s="1342"/>
      <c r="D4415" s="1342"/>
      <c r="E4415" s="1342"/>
      <c r="F4415" s="1342"/>
      <c r="G4415" s="1342"/>
      <c r="H4415" s="1342"/>
      <c r="I4415" s="1342"/>
      <c r="J4415" s="1342"/>
      <c r="K4415" s="1342"/>
    </row>
    <row r="4416" spans="2:11" ht="14" hidden="1">
      <c r="B4416" s="1342"/>
      <c r="C4416" s="1342"/>
      <c r="D4416" s="1342"/>
      <c r="E4416" s="1342"/>
      <c r="F4416" s="1342"/>
      <c r="G4416" s="1342"/>
      <c r="H4416" s="1342"/>
      <c r="I4416" s="1342"/>
      <c r="J4416" s="1342"/>
      <c r="K4416" s="1342"/>
    </row>
    <row r="4417" spans="2:11" ht="14" hidden="1">
      <c r="B4417" s="1342"/>
      <c r="C4417" s="1342"/>
      <c r="D4417" s="1342"/>
      <c r="E4417" s="1342"/>
      <c r="F4417" s="1342"/>
      <c r="G4417" s="1342"/>
      <c r="H4417" s="1342"/>
      <c r="I4417" s="1342"/>
      <c r="J4417" s="1342"/>
      <c r="K4417" s="1342"/>
    </row>
    <row r="4418" spans="2:11" ht="14" hidden="1">
      <c r="B4418" s="1342"/>
      <c r="C4418" s="1342"/>
      <c r="D4418" s="1342"/>
      <c r="E4418" s="1342"/>
      <c r="F4418" s="1342"/>
      <c r="G4418" s="1342"/>
      <c r="H4418" s="1342"/>
      <c r="I4418" s="1342"/>
      <c r="J4418" s="1342"/>
      <c r="K4418" s="1342"/>
    </row>
    <row r="4419" spans="2:11" ht="14" hidden="1">
      <c r="B4419" s="1342"/>
      <c r="C4419" s="1342"/>
      <c r="D4419" s="1342"/>
      <c r="E4419" s="1342"/>
      <c r="F4419" s="1342"/>
      <c r="G4419" s="1342"/>
      <c r="H4419" s="1342"/>
      <c r="I4419" s="1342"/>
      <c r="J4419" s="1342"/>
      <c r="K4419" s="1342"/>
    </row>
    <row r="4420" spans="2:11" ht="14" hidden="1">
      <c r="B4420" s="1342"/>
      <c r="C4420" s="1342"/>
      <c r="D4420" s="1342"/>
      <c r="E4420" s="1342"/>
      <c r="F4420" s="1342"/>
      <c r="G4420" s="1342"/>
      <c r="H4420" s="1342"/>
      <c r="I4420" s="1342"/>
      <c r="J4420" s="1342"/>
      <c r="K4420" s="1342"/>
    </row>
    <row r="4421" spans="2:11" ht="14" hidden="1">
      <c r="B4421" s="1342"/>
      <c r="C4421" s="1342"/>
      <c r="D4421" s="1342"/>
      <c r="E4421" s="1342"/>
      <c r="F4421" s="1342"/>
      <c r="G4421" s="1342"/>
      <c r="H4421" s="1342"/>
      <c r="I4421" s="1342"/>
      <c r="J4421" s="1342"/>
      <c r="K4421" s="1342"/>
    </row>
    <row r="4422" spans="2:11" ht="14" hidden="1">
      <c r="B4422" s="1342"/>
      <c r="C4422" s="1342"/>
      <c r="D4422" s="1342"/>
      <c r="E4422" s="1342"/>
      <c r="F4422" s="1342"/>
      <c r="G4422" s="1342"/>
      <c r="H4422" s="1342"/>
      <c r="I4422" s="1342"/>
      <c r="J4422" s="1342"/>
      <c r="K4422" s="1342"/>
    </row>
    <row r="4423" spans="2:11" ht="14" hidden="1">
      <c r="B4423" s="1342"/>
      <c r="C4423" s="1342"/>
      <c r="D4423" s="1342"/>
      <c r="E4423" s="1342"/>
      <c r="F4423" s="1342"/>
      <c r="G4423" s="1342"/>
      <c r="H4423" s="1342"/>
      <c r="I4423" s="1342"/>
      <c r="J4423" s="1342"/>
      <c r="K4423" s="1342"/>
    </row>
    <row r="4424" spans="2:11" ht="14" hidden="1">
      <c r="B4424" s="1342"/>
      <c r="C4424" s="1342"/>
      <c r="D4424" s="1342"/>
      <c r="E4424" s="1342"/>
      <c r="F4424" s="1342"/>
      <c r="G4424" s="1342"/>
      <c r="H4424" s="1342"/>
      <c r="I4424" s="1342"/>
      <c r="J4424" s="1342"/>
      <c r="K4424" s="1342"/>
    </row>
    <row r="4425" spans="2:11" ht="14" hidden="1">
      <c r="B4425" s="1342"/>
      <c r="C4425" s="1342"/>
      <c r="D4425" s="1342"/>
      <c r="E4425" s="1342"/>
      <c r="F4425" s="1342"/>
      <c r="G4425" s="1342"/>
      <c r="H4425" s="1342"/>
      <c r="I4425" s="1342"/>
      <c r="J4425" s="1342"/>
      <c r="K4425" s="1342"/>
    </row>
    <row r="4426" spans="2:11" ht="14" hidden="1">
      <c r="B4426" s="1342"/>
      <c r="C4426" s="1342"/>
      <c r="D4426" s="1342"/>
      <c r="E4426" s="1342"/>
      <c r="F4426" s="1342"/>
      <c r="G4426" s="1342"/>
      <c r="H4426" s="1342"/>
      <c r="I4426" s="1342"/>
      <c r="J4426" s="1342"/>
      <c r="K4426" s="1342"/>
    </row>
    <row r="4427" spans="2:11" ht="14" hidden="1">
      <c r="B4427" s="1342"/>
      <c r="C4427" s="1342"/>
      <c r="D4427" s="1342"/>
      <c r="E4427" s="1342"/>
      <c r="F4427" s="1342"/>
      <c r="G4427" s="1342"/>
      <c r="H4427" s="1342"/>
      <c r="I4427" s="1342"/>
      <c r="J4427" s="1342"/>
      <c r="K4427" s="1342"/>
    </row>
    <row r="4428" spans="2:11" ht="14" hidden="1">
      <c r="B4428" s="1342"/>
      <c r="C4428" s="1342"/>
      <c r="D4428" s="1342"/>
      <c r="E4428" s="1342"/>
      <c r="F4428" s="1342"/>
      <c r="G4428" s="1342"/>
      <c r="H4428" s="1342"/>
      <c r="I4428" s="1342"/>
      <c r="J4428" s="1342"/>
      <c r="K4428" s="1342"/>
    </row>
    <row r="4429" spans="2:11" ht="14" hidden="1">
      <c r="B4429" s="1342"/>
      <c r="C4429" s="1342"/>
      <c r="D4429" s="1342"/>
      <c r="E4429" s="1342"/>
      <c r="F4429" s="1342"/>
      <c r="G4429" s="1342"/>
      <c r="H4429" s="1342"/>
      <c r="I4429" s="1342"/>
      <c r="J4429" s="1342"/>
      <c r="K4429" s="1342"/>
    </row>
    <row r="4430" spans="2:11" ht="14" hidden="1">
      <c r="B4430" s="1342"/>
      <c r="C4430" s="1342"/>
      <c r="D4430" s="1342"/>
      <c r="E4430" s="1342"/>
      <c r="F4430" s="1342"/>
      <c r="G4430" s="1342"/>
      <c r="H4430" s="1342"/>
      <c r="I4430" s="1342"/>
      <c r="J4430" s="1342"/>
      <c r="K4430" s="1342"/>
    </row>
    <row r="4431" spans="2:11" ht="14" hidden="1">
      <c r="B4431" s="1342"/>
      <c r="C4431" s="1342"/>
      <c r="D4431" s="1342"/>
      <c r="E4431" s="1342"/>
      <c r="F4431" s="1342"/>
      <c r="G4431" s="1342"/>
      <c r="H4431" s="1342"/>
      <c r="I4431" s="1342"/>
      <c r="J4431" s="1342"/>
      <c r="K4431" s="1342"/>
    </row>
    <row r="4432" spans="2:11" ht="14" hidden="1">
      <c r="B4432" s="1342"/>
      <c r="C4432" s="1342"/>
      <c r="D4432" s="1342"/>
      <c r="E4432" s="1342"/>
      <c r="F4432" s="1342"/>
      <c r="G4432" s="1342"/>
      <c r="H4432" s="1342"/>
      <c r="I4432" s="1342"/>
      <c r="J4432" s="1342"/>
      <c r="K4432" s="1342"/>
    </row>
    <row r="4433" spans="2:11" ht="14" hidden="1">
      <c r="B4433" s="1342"/>
      <c r="C4433" s="1342"/>
      <c r="D4433" s="1342"/>
      <c r="E4433" s="1342"/>
      <c r="F4433" s="1342"/>
      <c r="G4433" s="1342"/>
      <c r="H4433" s="1342"/>
      <c r="I4433" s="1342"/>
      <c r="J4433" s="1342"/>
      <c r="K4433" s="1342"/>
    </row>
    <row r="4434" spans="2:11" ht="14" hidden="1">
      <c r="B4434" s="1342"/>
      <c r="C4434" s="1342"/>
      <c r="D4434" s="1342"/>
      <c r="E4434" s="1342"/>
      <c r="F4434" s="1342"/>
      <c r="G4434" s="1342"/>
      <c r="H4434" s="1342"/>
      <c r="I4434" s="1342"/>
      <c r="J4434" s="1342"/>
      <c r="K4434" s="1342"/>
    </row>
    <row r="4435" spans="2:11" ht="14" hidden="1">
      <c r="B4435" s="1342"/>
      <c r="C4435" s="1342"/>
      <c r="D4435" s="1342"/>
      <c r="E4435" s="1342"/>
      <c r="F4435" s="1342"/>
      <c r="G4435" s="1342"/>
      <c r="H4435" s="1342"/>
      <c r="I4435" s="1342"/>
      <c r="J4435" s="1342"/>
      <c r="K4435" s="1342"/>
    </row>
    <row r="4436" spans="2:11" ht="14" hidden="1">
      <c r="B4436" s="1342"/>
      <c r="C4436" s="1342"/>
      <c r="D4436" s="1342"/>
      <c r="E4436" s="1342"/>
      <c r="F4436" s="1342"/>
      <c r="G4436" s="1342"/>
      <c r="H4436" s="1342"/>
      <c r="I4436" s="1342"/>
      <c r="J4436" s="1342"/>
      <c r="K4436" s="1342"/>
    </row>
    <row r="4437" spans="2:11" ht="14" hidden="1">
      <c r="B4437" s="1342"/>
      <c r="C4437" s="1342"/>
      <c r="D4437" s="1342"/>
      <c r="E4437" s="1342"/>
      <c r="F4437" s="1342"/>
      <c r="G4437" s="1342"/>
      <c r="H4437" s="1342"/>
      <c r="I4437" s="1342"/>
      <c r="J4437" s="1342"/>
      <c r="K4437" s="1342"/>
    </row>
    <row r="4438" spans="2:11" ht="14" hidden="1">
      <c r="B4438" s="1342"/>
      <c r="C4438" s="1342"/>
      <c r="D4438" s="1342"/>
      <c r="E4438" s="1342"/>
      <c r="F4438" s="1342"/>
      <c r="G4438" s="1342"/>
      <c r="H4438" s="1342"/>
      <c r="I4438" s="1342"/>
      <c r="J4438" s="1342"/>
      <c r="K4438" s="1342"/>
    </row>
    <row r="4439" spans="2:11" ht="14" hidden="1">
      <c r="B4439" s="1342"/>
      <c r="C4439" s="1342"/>
      <c r="D4439" s="1342"/>
      <c r="E4439" s="1342"/>
      <c r="F4439" s="1342"/>
      <c r="G4439" s="1342"/>
      <c r="H4439" s="1342"/>
      <c r="I4439" s="1342"/>
      <c r="J4439" s="1342"/>
      <c r="K4439" s="1342"/>
    </row>
    <row r="4440" spans="2:11" ht="14" hidden="1">
      <c r="B4440" s="1342"/>
      <c r="C4440" s="1342"/>
      <c r="D4440" s="1342"/>
      <c r="E4440" s="1342"/>
      <c r="F4440" s="1342"/>
      <c r="G4440" s="1342"/>
      <c r="H4440" s="1342"/>
      <c r="I4440" s="1342"/>
      <c r="J4440" s="1342"/>
      <c r="K4440" s="1342"/>
    </row>
    <row r="4441" spans="2:11" ht="14" hidden="1">
      <c r="B4441" s="1342"/>
      <c r="C4441" s="1342"/>
      <c r="D4441" s="1342"/>
      <c r="E4441" s="1342"/>
      <c r="F4441" s="1342"/>
      <c r="G4441" s="1342"/>
      <c r="H4441" s="1342"/>
      <c r="I4441" s="1342"/>
      <c r="J4441" s="1342"/>
      <c r="K4441" s="1342"/>
    </row>
    <row r="4442" spans="2:11" ht="14" hidden="1">
      <c r="B4442" s="1342"/>
      <c r="C4442" s="1342"/>
      <c r="D4442" s="1342"/>
      <c r="E4442" s="1342"/>
      <c r="F4442" s="1342"/>
      <c r="G4442" s="1342"/>
      <c r="H4442" s="1342"/>
      <c r="I4442" s="1342"/>
      <c r="J4442" s="1342"/>
      <c r="K4442" s="1342"/>
    </row>
    <row r="4443" spans="2:11" ht="14" hidden="1">
      <c r="B4443" s="1342"/>
      <c r="C4443" s="1342"/>
      <c r="D4443" s="1342"/>
      <c r="E4443" s="1342"/>
      <c r="F4443" s="1342"/>
      <c r="G4443" s="1342"/>
      <c r="H4443" s="1342"/>
      <c r="I4443" s="1342"/>
      <c r="J4443" s="1342"/>
      <c r="K4443" s="1342"/>
    </row>
    <row r="4444" spans="2:11" ht="14" hidden="1">
      <c r="B4444" s="1342"/>
      <c r="C4444" s="1342"/>
      <c r="D4444" s="1342"/>
      <c r="E4444" s="1342"/>
      <c r="F4444" s="1342"/>
      <c r="G4444" s="1342"/>
      <c r="H4444" s="1342"/>
      <c r="I4444" s="1342"/>
      <c r="J4444" s="1342"/>
      <c r="K4444" s="1342"/>
    </row>
    <row r="4445" spans="2:11" ht="14" hidden="1">
      <c r="B4445" s="1342"/>
      <c r="C4445" s="1342"/>
      <c r="D4445" s="1342"/>
      <c r="E4445" s="1342"/>
      <c r="F4445" s="1342"/>
      <c r="G4445" s="1342"/>
      <c r="H4445" s="1342"/>
      <c r="I4445" s="1342"/>
      <c r="J4445" s="1342"/>
      <c r="K4445" s="1342"/>
    </row>
    <row r="4446" spans="2:11" ht="14" hidden="1">
      <c r="B4446" s="1342"/>
      <c r="C4446" s="1342"/>
      <c r="D4446" s="1342"/>
      <c r="E4446" s="1342"/>
      <c r="F4446" s="1342"/>
      <c r="G4446" s="1342"/>
      <c r="H4446" s="1342"/>
      <c r="I4446" s="1342"/>
      <c r="J4446" s="1342"/>
      <c r="K4446" s="1342"/>
    </row>
    <row r="4447" spans="2:11" ht="14" hidden="1">
      <c r="B4447" s="1342"/>
      <c r="C4447" s="1342"/>
      <c r="D4447" s="1342"/>
      <c r="E4447" s="1342"/>
      <c r="F4447" s="1342"/>
      <c r="G4447" s="1342"/>
      <c r="H4447" s="1342"/>
      <c r="I4447" s="1342"/>
      <c r="J4447" s="1342"/>
      <c r="K4447" s="1342"/>
    </row>
    <row r="4448" spans="2:11" ht="14" hidden="1">
      <c r="B4448" s="1342"/>
      <c r="C4448" s="1342"/>
      <c r="D4448" s="1342"/>
      <c r="E4448" s="1342"/>
      <c r="F4448" s="1342"/>
      <c r="G4448" s="1342"/>
      <c r="H4448" s="1342"/>
      <c r="I4448" s="1342"/>
      <c r="J4448" s="1342"/>
      <c r="K4448" s="1342"/>
    </row>
    <row r="4449" spans="2:11" ht="14" hidden="1">
      <c r="B4449" s="1342"/>
      <c r="C4449" s="1342"/>
      <c r="D4449" s="1342"/>
      <c r="E4449" s="1342"/>
      <c r="F4449" s="1342"/>
      <c r="G4449" s="1342"/>
      <c r="H4449" s="1342"/>
      <c r="I4449" s="1342"/>
      <c r="J4449" s="1342"/>
      <c r="K4449" s="1342"/>
    </row>
    <row r="4450" spans="2:11" ht="14" hidden="1">
      <c r="B4450" s="1342"/>
      <c r="C4450" s="1342"/>
      <c r="D4450" s="1342"/>
      <c r="E4450" s="1342"/>
      <c r="F4450" s="1342"/>
      <c r="G4450" s="1342"/>
      <c r="H4450" s="1342"/>
      <c r="I4450" s="1342"/>
      <c r="J4450" s="1342"/>
      <c r="K4450" s="1342"/>
    </row>
    <row r="4451" spans="2:11" ht="14" hidden="1">
      <c r="B4451" s="1342"/>
      <c r="C4451" s="1342"/>
      <c r="D4451" s="1342"/>
      <c r="E4451" s="1342"/>
      <c r="F4451" s="1342"/>
      <c r="G4451" s="1342"/>
      <c r="H4451" s="1342"/>
      <c r="I4451" s="1342"/>
      <c r="J4451" s="1342"/>
      <c r="K4451" s="1342"/>
    </row>
    <row r="4452" spans="2:11" ht="14" hidden="1">
      <c r="B4452" s="1342"/>
      <c r="C4452" s="1342"/>
      <c r="D4452" s="1342"/>
      <c r="E4452" s="1342"/>
      <c r="F4452" s="1342"/>
      <c r="G4452" s="1342"/>
      <c r="H4452" s="1342"/>
      <c r="I4452" s="1342"/>
      <c r="J4452" s="1342"/>
      <c r="K4452" s="1342"/>
    </row>
    <row r="4453" spans="2:11" ht="14" hidden="1">
      <c r="B4453" s="1342"/>
      <c r="C4453" s="1342"/>
      <c r="D4453" s="1342"/>
      <c r="E4453" s="1342"/>
      <c r="F4453" s="1342"/>
      <c r="G4453" s="1342"/>
      <c r="H4453" s="1342"/>
      <c r="I4453" s="1342"/>
      <c r="J4453" s="1342"/>
      <c r="K4453" s="1342"/>
    </row>
    <row r="4454" spans="2:11" ht="14" hidden="1">
      <c r="B4454" s="1342"/>
      <c r="C4454" s="1342"/>
      <c r="D4454" s="1342"/>
      <c r="E4454" s="1342"/>
      <c r="F4454" s="1342"/>
      <c r="G4454" s="1342"/>
      <c r="H4454" s="1342"/>
      <c r="I4454" s="1342"/>
      <c r="J4454" s="1342"/>
      <c r="K4454" s="1342"/>
    </row>
    <row r="4455" spans="2:11" ht="14" hidden="1">
      <c r="B4455" s="1342"/>
      <c r="C4455" s="1342"/>
      <c r="D4455" s="1342"/>
      <c r="E4455" s="1342"/>
      <c r="F4455" s="1342"/>
      <c r="G4455" s="1342"/>
      <c r="H4455" s="1342"/>
      <c r="I4455" s="1342"/>
      <c r="J4455" s="1342"/>
      <c r="K4455" s="1342"/>
    </row>
    <row r="4456" spans="2:11" ht="14" hidden="1">
      <c r="B4456" s="1342"/>
      <c r="C4456" s="1342"/>
      <c r="D4456" s="1342"/>
      <c r="E4456" s="1342"/>
      <c r="F4456" s="1342"/>
      <c r="G4456" s="1342"/>
      <c r="H4456" s="1342"/>
      <c r="I4456" s="1342"/>
      <c r="J4456" s="1342"/>
      <c r="K4456" s="1342"/>
    </row>
    <row r="4457" spans="2:11" ht="14" hidden="1">
      <c r="B4457" s="1342"/>
      <c r="C4457" s="1342"/>
      <c r="D4457" s="1342"/>
      <c r="E4457" s="1342"/>
      <c r="F4457" s="1342"/>
      <c r="G4457" s="1342"/>
      <c r="H4457" s="1342"/>
      <c r="I4457" s="1342"/>
      <c r="J4457" s="1342"/>
      <c r="K4457" s="1342"/>
    </row>
    <row r="4458" spans="2:11" ht="14" hidden="1">
      <c r="B4458" s="1342"/>
      <c r="C4458" s="1342"/>
      <c r="D4458" s="1342"/>
      <c r="E4458" s="1342"/>
      <c r="F4458" s="1342"/>
      <c r="G4458" s="1342"/>
      <c r="H4458" s="1342"/>
      <c r="I4458" s="1342"/>
      <c r="J4458" s="1342"/>
      <c r="K4458" s="1342"/>
    </row>
    <row r="4459" spans="2:11" ht="14" hidden="1">
      <c r="B4459" s="1342"/>
      <c r="C4459" s="1342"/>
      <c r="D4459" s="1342"/>
      <c r="E4459" s="1342"/>
      <c r="F4459" s="1342"/>
      <c r="G4459" s="1342"/>
      <c r="H4459" s="1342"/>
      <c r="I4459" s="1342"/>
      <c r="J4459" s="1342"/>
      <c r="K4459" s="1342"/>
    </row>
    <row r="4460" spans="2:11" ht="14" hidden="1">
      <c r="B4460" s="1342"/>
      <c r="C4460" s="1342"/>
      <c r="D4460" s="1342"/>
      <c r="E4460" s="1342"/>
      <c r="F4460" s="1342"/>
      <c r="G4460" s="1342"/>
      <c r="H4460" s="1342"/>
      <c r="I4460" s="1342"/>
      <c r="J4460" s="1342"/>
      <c r="K4460" s="1342"/>
    </row>
    <row r="4461" spans="2:11" ht="14" hidden="1">
      <c r="B4461" s="1342"/>
      <c r="C4461" s="1342"/>
      <c r="D4461" s="1342"/>
      <c r="E4461" s="1342"/>
      <c r="F4461" s="1342"/>
      <c r="G4461" s="1342"/>
      <c r="H4461" s="1342"/>
      <c r="I4461" s="1342"/>
      <c r="J4461" s="1342"/>
      <c r="K4461" s="1342"/>
    </row>
    <row r="4462" spans="2:11" ht="14" hidden="1">
      <c r="B4462" s="1342"/>
      <c r="C4462" s="1342"/>
      <c r="D4462" s="1342"/>
      <c r="E4462" s="1342"/>
      <c r="F4462" s="1342"/>
      <c r="G4462" s="1342"/>
      <c r="H4462" s="1342"/>
      <c r="I4462" s="1342"/>
      <c r="J4462" s="1342"/>
      <c r="K4462" s="1342"/>
    </row>
    <row r="4463" spans="2:11" ht="14" hidden="1">
      <c r="B4463" s="1342"/>
      <c r="C4463" s="1342"/>
      <c r="D4463" s="1342"/>
      <c r="E4463" s="1342"/>
      <c r="F4463" s="1342"/>
      <c r="G4463" s="1342"/>
      <c r="H4463" s="1342"/>
      <c r="I4463" s="1342"/>
      <c r="J4463" s="1342"/>
      <c r="K4463" s="1342"/>
    </row>
    <row r="4464" spans="2:11" ht="14" hidden="1">
      <c r="B4464" s="1342"/>
      <c r="C4464" s="1342"/>
      <c r="D4464" s="1342"/>
      <c r="E4464" s="1342"/>
      <c r="F4464" s="1342"/>
      <c r="G4464" s="1342"/>
      <c r="H4464" s="1342"/>
      <c r="I4464" s="1342"/>
      <c r="J4464" s="1342"/>
      <c r="K4464" s="1342"/>
    </row>
    <row r="4465" spans="2:11" ht="14" hidden="1">
      <c r="B4465" s="1342"/>
      <c r="C4465" s="1342"/>
      <c r="D4465" s="1342"/>
      <c r="E4465" s="1342"/>
      <c r="F4465" s="1342"/>
      <c r="G4465" s="1342"/>
      <c r="H4465" s="1342"/>
      <c r="I4465" s="1342"/>
      <c r="J4465" s="1342"/>
      <c r="K4465" s="1342"/>
    </row>
    <row r="4466" spans="2:11" ht="14" hidden="1">
      <c r="B4466" s="1342"/>
      <c r="C4466" s="1342"/>
      <c r="D4466" s="1342"/>
      <c r="E4466" s="1342"/>
      <c r="F4466" s="1342"/>
      <c r="G4466" s="1342"/>
      <c r="H4466" s="1342"/>
      <c r="I4466" s="1342"/>
      <c r="J4466" s="1342"/>
      <c r="K4466" s="1342"/>
    </row>
    <row r="4467" spans="2:11" ht="14" hidden="1">
      <c r="B4467" s="1342"/>
      <c r="C4467" s="1342"/>
      <c r="D4467" s="1342"/>
      <c r="E4467" s="1342"/>
      <c r="F4467" s="1342"/>
      <c r="G4467" s="1342"/>
      <c r="H4467" s="1342"/>
      <c r="I4467" s="1342"/>
      <c r="J4467" s="1342"/>
      <c r="K4467" s="1342"/>
    </row>
    <row r="4468" spans="2:11" ht="14" hidden="1">
      <c r="B4468" s="1342"/>
      <c r="C4468" s="1342"/>
      <c r="D4468" s="1342"/>
      <c r="E4468" s="1342"/>
      <c r="F4468" s="1342"/>
      <c r="G4468" s="1342"/>
      <c r="H4468" s="1342"/>
      <c r="I4468" s="1342"/>
      <c r="J4468" s="1342"/>
      <c r="K4468" s="1342"/>
    </row>
    <row r="4469" spans="2:11" ht="14" hidden="1">
      <c r="B4469" s="1342"/>
      <c r="C4469" s="1342"/>
      <c r="D4469" s="1342"/>
      <c r="E4469" s="1342"/>
      <c r="F4469" s="1342"/>
      <c r="G4469" s="1342"/>
      <c r="H4469" s="1342"/>
      <c r="I4469" s="1342"/>
      <c r="J4469" s="1342"/>
      <c r="K4469" s="1342"/>
    </row>
    <row r="4470" spans="2:11" ht="14" hidden="1">
      <c r="B4470" s="1342"/>
      <c r="C4470" s="1342"/>
      <c r="D4470" s="1342"/>
      <c r="E4470" s="1342"/>
      <c r="F4470" s="1342"/>
      <c r="G4470" s="1342"/>
      <c r="H4470" s="1342"/>
      <c r="I4470" s="1342"/>
      <c r="J4470" s="1342"/>
      <c r="K4470" s="1342"/>
    </row>
    <row r="4471" spans="2:11" ht="14" hidden="1">
      <c r="B4471" s="1342"/>
      <c r="C4471" s="1342"/>
      <c r="D4471" s="1342"/>
      <c r="E4471" s="1342"/>
      <c r="F4471" s="1342"/>
      <c r="G4471" s="1342"/>
      <c r="H4471" s="1342"/>
      <c r="I4471" s="1342"/>
      <c r="J4471" s="1342"/>
      <c r="K4471" s="1342"/>
    </row>
    <row r="4472" spans="2:11" ht="14" hidden="1">
      <c r="B4472" s="1342"/>
      <c r="C4472" s="1342"/>
      <c r="D4472" s="1342"/>
      <c r="E4472" s="1342"/>
      <c r="F4472" s="1342"/>
      <c r="G4472" s="1342"/>
      <c r="H4472" s="1342"/>
      <c r="I4472" s="1342"/>
      <c r="J4472" s="1342"/>
      <c r="K4472" s="1342"/>
    </row>
    <row r="4473" spans="2:11" ht="14" hidden="1">
      <c r="B4473" s="1342"/>
      <c r="C4473" s="1342"/>
      <c r="D4473" s="1342"/>
      <c r="E4473" s="1342"/>
      <c r="F4473" s="1342"/>
      <c r="G4473" s="1342"/>
      <c r="H4473" s="1342"/>
      <c r="I4473" s="1342"/>
      <c r="J4473" s="1342"/>
      <c r="K4473" s="1342"/>
    </row>
    <row r="4474" spans="2:11" ht="14" hidden="1">
      <c r="B4474" s="1342"/>
      <c r="C4474" s="1342"/>
      <c r="D4474" s="1342"/>
      <c r="E4474" s="1342"/>
      <c r="F4474" s="1342"/>
      <c r="G4474" s="1342"/>
      <c r="H4474" s="1342"/>
      <c r="I4474" s="1342"/>
      <c r="J4474" s="1342"/>
      <c r="K4474" s="1342"/>
    </row>
    <row r="4475" spans="2:11" ht="14" hidden="1">
      <c r="B4475" s="1342"/>
      <c r="C4475" s="1342"/>
      <c r="D4475" s="1342"/>
      <c r="E4475" s="1342"/>
      <c r="F4475" s="1342"/>
      <c r="G4475" s="1342"/>
      <c r="H4475" s="1342"/>
      <c r="I4475" s="1342"/>
      <c r="J4475" s="1342"/>
      <c r="K4475" s="1342"/>
    </row>
    <row r="4476" spans="2:11" ht="14" hidden="1">
      <c r="B4476" s="1342"/>
      <c r="C4476" s="1342"/>
      <c r="D4476" s="1342"/>
      <c r="E4476" s="1342"/>
      <c r="F4476" s="1342"/>
      <c r="G4476" s="1342"/>
      <c r="H4476" s="1342"/>
      <c r="I4476" s="1342"/>
      <c r="J4476" s="1342"/>
      <c r="K4476" s="1342"/>
    </row>
    <row r="4477" spans="2:11" ht="14" hidden="1">
      <c r="B4477" s="1342"/>
      <c r="C4477" s="1342"/>
      <c r="D4477" s="1342"/>
      <c r="E4477" s="1342"/>
      <c r="F4477" s="1342"/>
      <c r="G4477" s="1342"/>
      <c r="H4477" s="1342"/>
      <c r="I4477" s="1342"/>
      <c r="J4477" s="1342"/>
      <c r="K4477" s="1342"/>
    </row>
    <row r="4478" spans="2:11" ht="14" hidden="1">
      <c r="B4478" s="1342"/>
      <c r="C4478" s="1342"/>
      <c r="D4478" s="1342"/>
      <c r="E4478" s="1342"/>
      <c r="F4478" s="1342"/>
      <c r="G4478" s="1342"/>
      <c r="H4478" s="1342"/>
      <c r="I4478" s="1342"/>
      <c r="J4478" s="1342"/>
      <c r="K4478" s="1342"/>
    </row>
    <row r="4479" spans="2:11" ht="14" hidden="1">
      <c r="B4479" s="1342"/>
      <c r="C4479" s="1342"/>
      <c r="D4479" s="1342"/>
      <c r="E4479" s="1342"/>
      <c r="F4479" s="1342"/>
      <c r="G4479" s="1342"/>
      <c r="H4479" s="1342"/>
      <c r="I4479" s="1342"/>
      <c r="J4479" s="1342"/>
      <c r="K4479" s="1342"/>
    </row>
    <row r="4480" spans="2:11" ht="14" hidden="1">
      <c r="B4480" s="1342"/>
      <c r="C4480" s="1342"/>
      <c r="D4480" s="1342"/>
      <c r="E4480" s="1342"/>
      <c r="F4480" s="1342"/>
      <c r="G4480" s="1342"/>
      <c r="H4480" s="1342"/>
      <c r="I4480" s="1342"/>
      <c r="J4480" s="1342"/>
      <c r="K4480" s="1342"/>
    </row>
    <row r="4481" spans="2:11" ht="14" hidden="1">
      <c r="B4481" s="1342"/>
      <c r="C4481" s="1342"/>
      <c r="D4481" s="1342"/>
      <c r="E4481" s="1342"/>
      <c r="F4481" s="1342"/>
      <c r="G4481" s="1342"/>
      <c r="H4481" s="1342"/>
      <c r="I4481" s="1342"/>
      <c r="J4481" s="1342"/>
      <c r="K4481" s="1342"/>
    </row>
    <row r="4482" spans="2:11" ht="14" hidden="1">
      <c r="B4482" s="1342"/>
      <c r="C4482" s="1342"/>
      <c r="D4482" s="1342"/>
      <c r="E4482" s="1342"/>
      <c r="F4482" s="1342"/>
      <c r="G4482" s="1342"/>
      <c r="H4482" s="1342"/>
      <c r="I4482" s="1342"/>
      <c r="J4482" s="1342"/>
      <c r="K4482" s="1342"/>
    </row>
    <row r="4483" spans="2:11" ht="14" hidden="1">
      <c r="B4483" s="1342"/>
      <c r="C4483" s="1342"/>
      <c r="D4483" s="1342"/>
      <c r="E4483" s="1342"/>
      <c r="F4483" s="1342"/>
      <c r="G4483" s="1342"/>
      <c r="H4483" s="1342"/>
      <c r="I4483" s="1342"/>
      <c r="J4483" s="1342"/>
      <c r="K4483" s="1342"/>
    </row>
    <row r="4484" spans="2:11" ht="14" hidden="1">
      <c r="B4484" s="1342"/>
      <c r="C4484" s="1342"/>
      <c r="D4484" s="1342"/>
      <c r="E4484" s="1342"/>
      <c r="F4484" s="1342"/>
      <c r="G4484" s="1342"/>
      <c r="H4484" s="1342"/>
      <c r="I4484" s="1342"/>
      <c r="J4484" s="1342"/>
      <c r="K4484" s="1342"/>
    </row>
    <row r="4485" spans="2:11" ht="14" hidden="1">
      <c r="B4485" s="1342"/>
      <c r="C4485" s="1342"/>
      <c r="D4485" s="1342"/>
      <c r="E4485" s="1342"/>
      <c r="F4485" s="1342"/>
      <c r="G4485" s="1342"/>
      <c r="H4485" s="1342"/>
      <c r="I4485" s="1342"/>
      <c r="J4485" s="1342"/>
      <c r="K4485" s="1342"/>
    </row>
    <row r="4486" spans="2:11" ht="14" hidden="1">
      <c r="B4486" s="1342"/>
      <c r="C4486" s="1342"/>
      <c r="D4486" s="1342"/>
      <c r="E4486" s="1342"/>
      <c r="F4486" s="1342"/>
      <c r="G4486" s="1342"/>
      <c r="H4486" s="1342"/>
      <c r="I4486" s="1342"/>
      <c r="J4486" s="1342"/>
      <c r="K4486" s="1342"/>
    </row>
    <row r="4487" spans="2:11" ht="14" hidden="1">
      <c r="B4487" s="1342"/>
      <c r="C4487" s="1342"/>
      <c r="D4487" s="1342"/>
      <c r="E4487" s="1342"/>
      <c r="F4487" s="1342"/>
      <c r="G4487" s="1342"/>
      <c r="H4487" s="1342"/>
      <c r="I4487" s="1342"/>
      <c r="J4487" s="1342"/>
      <c r="K4487" s="1342"/>
    </row>
    <row r="4488" spans="2:11" ht="14" hidden="1">
      <c r="B4488" s="1342"/>
      <c r="C4488" s="1342"/>
      <c r="D4488" s="1342"/>
      <c r="E4488" s="1342"/>
      <c r="F4488" s="1342"/>
      <c r="G4488" s="1342"/>
      <c r="H4488" s="1342"/>
      <c r="I4488" s="1342"/>
      <c r="J4488" s="1342"/>
      <c r="K4488" s="1342"/>
    </row>
    <row r="4489" spans="2:11" ht="14" hidden="1">
      <c r="B4489" s="1342"/>
      <c r="C4489" s="1342"/>
      <c r="D4489" s="1342"/>
      <c r="E4489" s="1342"/>
      <c r="F4489" s="1342"/>
      <c r="G4489" s="1342"/>
      <c r="H4489" s="1342"/>
      <c r="I4489" s="1342"/>
      <c r="J4489" s="1342"/>
      <c r="K4489" s="1342"/>
    </row>
    <row r="4490" spans="2:11" ht="14" hidden="1">
      <c r="B4490" s="1342"/>
      <c r="C4490" s="1342"/>
      <c r="D4490" s="1342"/>
      <c r="E4490" s="1342"/>
      <c r="F4490" s="1342"/>
      <c r="G4490" s="1342"/>
      <c r="H4490" s="1342"/>
      <c r="I4490" s="1342"/>
      <c r="J4490" s="1342"/>
      <c r="K4490" s="1342"/>
    </row>
    <row r="4491" spans="2:11" ht="14" hidden="1">
      <c r="B4491" s="1342"/>
      <c r="C4491" s="1342"/>
      <c r="D4491" s="1342"/>
      <c r="E4491" s="1342"/>
      <c r="F4491" s="1342"/>
      <c r="G4491" s="1342"/>
      <c r="H4491" s="1342"/>
      <c r="I4491" s="1342"/>
      <c r="J4491" s="1342"/>
      <c r="K4491" s="1342"/>
    </row>
    <row r="4492" spans="2:11" ht="14" hidden="1">
      <c r="B4492" s="1342"/>
      <c r="C4492" s="1342"/>
      <c r="D4492" s="1342"/>
      <c r="E4492" s="1342"/>
      <c r="F4492" s="1342"/>
      <c r="G4492" s="1342"/>
      <c r="H4492" s="1342"/>
      <c r="I4492" s="1342"/>
      <c r="J4492" s="1342"/>
      <c r="K4492" s="1342"/>
    </row>
    <row r="4493" spans="2:11" ht="14" hidden="1">
      <c r="B4493" s="1342"/>
      <c r="C4493" s="1342"/>
      <c r="D4493" s="1342"/>
      <c r="E4493" s="1342"/>
      <c r="F4493" s="1342"/>
      <c r="G4493" s="1342"/>
      <c r="H4493" s="1342"/>
      <c r="I4493" s="1342"/>
      <c r="J4493" s="1342"/>
      <c r="K4493" s="1342"/>
    </row>
    <row r="4494" spans="2:11" ht="14" hidden="1">
      <c r="B4494" s="1342"/>
      <c r="C4494" s="1342"/>
      <c r="D4494" s="1342"/>
      <c r="E4494" s="1342"/>
      <c r="F4494" s="1342"/>
      <c r="G4494" s="1342"/>
      <c r="H4494" s="1342"/>
      <c r="I4494" s="1342"/>
      <c r="J4494" s="1342"/>
      <c r="K4494" s="1342"/>
    </row>
    <row r="4495" spans="2:11" ht="14" hidden="1">
      <c r="B4495" s="1342"/>
      <c r="C4495" s="1342"/>
      <c r="D4495" s="1342"/>
      <c r="E4495" s="1342"/>
      <c r="F4495" s="1342"/>
      <c r="G4495" s="1342"/>
      <c r="H4495" s="1342"/>
      <c r="I4495" s="1342"/>
      <c r="J4495" s="1342"/>
      <c r="K4495" s="1342"/>
    </row>
    <row r="4496" spans="2:11" ht="14" hidden="1">
      <c r="B4496" s="1342"/>
      <c r="C4496" s="1342"/>
      <c r="D4496" s="1342"/>
      <c r="E4496" s="1342"/>
      <c r="F4496" s="1342"/>
      <c r="G4496" s="1342"/>
      <c r="H4496" s="1342"/>
      <c r="I4496" s="1342"/>
      <c r="J4496" s="1342"/>
      <c r="K4496" s="1342"/>
    </row>
    <row r="4497" spans="2:11" ht="14" hidden="1">
      <c r="B4497" s="1342"/>
      <c r="C4497" s="1342"/>
      <c r="D4497" s="1342"/>
      <c r="E4497" s="1342"/>
      <c r="F4497" s="1342"/>
      <c r="G4497" s="1342"/>
      <c r="H4497" s="1342"/>
      <c r="I4497" s="1342"/>
      <c r="J4497" s="1342"/>
      <c r="K4497" s="1342"/>
    </row>
    <row r="4498" spans="2:11" ht="14" hidden="1">
      <c r="B4498" s="1342"/>
      <c r="C4498" s="1342"/>
      <c r="D4498" s="1342"/>
      <c r="E4498" s="1342"/>
      <c r="F4498" s="1342"/>
      <c r="G4498" s="1342"/>
      <c r="H4498" s="1342"/>
      <c r="I4498" s="1342"/>
      <c r="J4498" s="1342"/>
      <c r="K4498" s="1342"/>
    </row>
    <row r="4499" spans="2:11" ht="14" hidden="1">
      <c r="B4499" s="1342"/>
      <c r="C4499" s="1342"/>
      <c r="D4499" s="1342"/>
      <c r="E4499" s="1342"/>
      <c r="F4499" s="1342"/>
      <c r="G4499" s="1342"/>
      <c r="H4499" s="1342"/>
      <c r="I4499" s="1342"/>
      <c r="J4499" s="1342"/>
      <c r="K4499" s="1342"/>
    </row>
    <row r="4500" spans="2:11" ht="14" hidden="1">
      <c r="B4500" s="1342"/>
      <c r="C4500" s="1342"/>
      <c r="D4500" s="1342"/>
      <c r="E4500" s="1342"/>
      <c r="F4500" s="1342"/>
      <c r="G4500" s="1342"/>
      <c r="H4500" s="1342"/>
      <c r="I4500" s="1342"/>
      <c r="J4500" s="1342"/>
      <c r="K4500" s="1342"/>
    </row>
    <row r="4501" spans="2:11" ht="14" hidden="1">
      <c r="B4501" s="1342"/>
      <c r="C4501" s="1342"/>
      <c r="D4501" s="1342"/>
      <c r="E4501" s="1342"/>
      <c r="F4501" s="1342"/>
      <c r="G4501" s="1342"/>
      <c r="H4501" s="1342"/>
      <c r="I4501" s="1342"/>
      <c r="J4501" s="1342"/>
      <c r="K4501" s="1342"/>
    </row>
    <row r="4502" spans="2:11" ht="14" hidden="1">
      <c r="B4502" s="1342"/>
      <c r="C4502" s="1342"/>
      <c r="D4502" s="1342"/>
      <c r="E4502" s="1342"/>
      <c r="F4502" s="1342"/>
      <c r="G4502" s="1342"/>
      <c r="H4502" s="1342"/>
      <c r="I4502" s="1342"/>
      <c r="J4502" s="1342"/>
      <c r="K4502" s="1342"/>
    </row>
    <row r="4503" spans="2:11" ht="14" hidden="1">
      <c r="B4503" s="1342"/>
      <c r="C4503" s="1342"/>
      <c r="D4503" s="1342"/>
      <c r="E4503" s="1342"/>
      <c r="F4503" s="1342"/>
      <c r="G4503" s="1342"/>
      <c r="H4503" s="1342"/>
      <c r="I4503" s="1342"/>
      <c r="J4503" s="1342"/>
      <c r="K4503" s="1342"/>
    </row>
    <row r="4504" spans="2:11" ht="14" hidden="1">
      <c r="B4504" s="1342"/>
      <c r="C4504" s="1342"/>
      <c r="D4504" s="1342"/>
      <c r="E4504" s="1342"/>
      <c r="F4504" s="1342"/>
      <c r="G4504" s="1342"/>
      <c r="H4504" s="1342"/>
      <c r="I4504" s="1342"/>
      <c r="J4504" s="1342"/>
      <c r="K4504" s="1342"/>
    </row>
    <row r="4505" spans="2:11" ht="14" hidden="1">
      <c r="B4505" s="1342"/>
      <c r="C4505" s="1342"/>
      <c r="D4505" s="1342"/>
      <c r="E4505" s="1342"/>
      <c r="F4505" s="1342"/>
      <c r="G4505" s="1342"/>
      <c r="H4505" s="1342"/>
      <c r="I4505" s="1342"/>
      <c r="J4505" s="1342"/>
      <c r="K4505" s="1342"/>
    </row>
    <row r="4506" spans="2:11" ht="14" hidden="1">
      <c r="B4506" s="1342"/>
      <c r="C4506" s="1342"/>
      <c r="D4506" s="1342"/>
      <c r="E4506" s="1342"/>
      <c r="F4506" s="1342"/>
      <c r="G4506" s="1342"/>
      <c r="H4506" s="1342"/>
      <c r="I4506" s="1342"/>
      <c r="J4506" s="1342"/>
      <c r="K4506" s="1342"/>
    </row>
    <row r="4507" spans="2:11" ht="14" hidden="1">
      <c r="B4507" s="1342"/>
      <c r="C4507" s="1342"/>
      <c r="D4507" s="1342"/>
      <c r="E4507" s="1342"/>
      <c r="F4507" s="1342"/>
      <c r="G4507" s="1342"/>
      <c r="H4507" s="1342"/>
      <c r="I4507" s="1342"/>
      <c r="J4507" s="1342"/>
      <c r="K4507" s="1342"/>
    </row>
    <row r="4508" spans="2:11" ht="14" hidden="1">
      <c r="B4508" s="1342"/>
      <c r="C4508" s="1342"/>
      <c r="D4508" s="1342"/>
      <c r="E4508" s="1342"/>
      <c r="F4508" s="1342"/>
      <c r="G4508" s="1342"/>
      <c r="H4508" s="1342"/>
      <c r="I4508" s="1342"/>
      <c r="J4508" s="1342"/>
      <c r="K4508" s="1342"/>
    </row>
    <row r="4509" spans="2:11" ht="14" hidden="1">
      <c r="B4509" s="1342"/>
      <c r="C4509" s="1342"/>
      <c r="D4509" s="1342"/>
      <c r="E4509" s="1342"/>
      <c r="F4509" s="1342"/>
      <c r="G4509" s="1342"/>
      <c r="H4509" s="1342"/>
      <c r="I4509" s="1342"/>
      <c r="J4509" s="1342"/>
      <c r="K4509" s="1342"/>
    </row>
    <row r="4510" spans="2:11" ht="14" hidden="1">
      <c r="B4510" s="1342"/>
      <c r="C4510" s="1342"/>
      <c r="D4510" s="1342"/>
      <c r="E4510" s="1342"/>
      <c r="F4510" s="1342"/>
      <c r="G4510" s="1342"/>
      <c r="H4510" s="1342"/>
      <c r="I4510" s="1342"/>
      <c r="J4510" s="1342"/>
      <c r="K4510" s="1342"/>
    </row>
    <row r="4511" spans="2:11" ht="14" hidden="1">
      <c r="B4511" s="1342"/>
      <c r="C4511" s="1342"/>
      <c r="D4511" s="1342"/>
      <c r="E4511" s="1342"/>
      <c r="F4511" s="1342"/>
      <c r="G4511" s="1342"/>
      <c r="H4511" s="1342"/>
      <c r="I4511" s="1342"/>
      <c r="J4511" s="1342"/>
      <c r="K4511" s="1342"/>
    </row>
    <row r="4512" spans="2:11" ht="14" hidden="1">
      <c r="B4512" s="1342"/>
      <c r="C4512" s="1342"/>
      <c r="D4512" s="1342"/>
      <c r="E4512" s="1342"/>
      <c r="F4512" s="1342"/>
      <c r="G4512" s="1342"/>
      <c r="H4512" s="1342"/>
      <c r="I4512" s="1342"/>
      <c r="J4512" s="1342"/>
      <c r="K4512" s="1342"/>
    </row>
    <row r="4513" spans="2:11" ht="14" hidden="1">
      <c r="B4513" s="1342"/>
      <c r="C4513" s="1342"/>
      <c r="D4513" s="1342"/>
      <c r="E4513" s="1342"/>
      <c r="F4513" s="1342"/>
      <c r="G4513" s="1342"/>
      <c r="H4513" s="1342"/>
      <c r="I4513" s="1342"/>
      <c r="J4513" s="1342"/>
      <c r="K4513" s="1342"/>
    </row>
    <row r="4514" spans="2:11" ht="14" hidden="1">
      <c r="B4514" s="1342"/>
      <c r="C4514" s="1342"/>
      <c r="D4514" s="1342"/>
      <c r="E4514" s="1342"/>
      <c r="F4514" s="1342"/>
      <c r="G4514" s="1342"/>
      <c r="H4514" s="1342"/>
      <c r="I4514" s="1342"/>
      <c r="J4514" s="1342"/>
      <c r="K4514" s="1342"/>
    </row>
    <row r="4515" spans="2:11" ht="14" hidden="1">
      <c r="B4515" s="1342"/>
      <c r="C4515" s="1342"/>
      <c r="D4515" s="1342"/>
      <c r="E4515" s="1342"/>
      <c r="F4515" s="1342"/>
      <c r="G4515" s="1342"/>
      <c r="H4515" s="1342"/>
      <c r="I4515" s="1342"/>
      <c r="J4515" s="1342"/>
      <c r="K4515" s="1342"/>
    </row>
    <row r="4516" spans="2:11" ht="14" hidden="1">
      <c r="B4516" s="1342"/>
      <c r="C4516" s="1342"/>
      <c r="D4516" s="1342"/>
      <c r="E4516" s="1342"/>
      <c r="F4516" s="1342"/>
      <c r="G4516" s="1342"/>
      <c r="H4516" s="1342"/>
      <c r="I4516" s="1342"/>
      <c r="J4516" s="1342"/>
      <c r="K4516" s="1342"/>
    </row>
    <row r="4517" spans="2:11" ht="14" hidden="1">
      <c r="B4517" s="1342"/>
      <c r="C4517" s="1342"/>
      <c r="D4517" s="1342"/>
      <c r="E4517" s="1342"/>
      <c r="F4517" s="1342"/>
      <c r="G4517" s="1342"/>
      <c r="H4517" s="1342"/>
      <c r="I4517" s="1342"/>
      <c r="J4517" s="1342"/>
      <c r="K4517" s="1342"/>
    </row>
    <row r="4518" spans="2:11" ht="14" hidden="1">
      <c r="B4518" s="1342"/>
      <c r="C4518" s="1342"/>
      <c r="D4518" s="1342"/>
      <c r="E4518" s="1342"/>
      <c r="F4518" s="1342"/>
      <c r="G4518" s="1342"/>
      <c r="H4518" s="1342"/>
      <c r="I4518" s="1342"/>
      <c r="J4518" s="1342"/>
      <c r="K4518" s="1342"/>
    </row>
    <row r="4519" spans="2:11" ht="14" hidden="1">
      <c r="B4519" s="1342"/>
      <c r="C4519" s="1342"/>
      <c r="D4519" s="1342"/>
      <c r="E4519" s="1342"/>
      <c r="F4519" s="1342"/>
      <c r="G4519" s="1342"/>
      <c r="H4519" s="1342"/>
      <c r="I4519" s="1342"/>
      <c r="J4519" s="1342"/>
      <c r="K4519" s="1342"/>
    </row>
    <row r="4520" spans="2:11" ht="14" hidden="1">
      <c r="B4520" s="1342"/>
      <c r="C4520" s="1342"/>
      <c r="D4520" s="1342"/>
      <c r="E4520" s="1342"/>
      <c r="F4520" s="1342"/>
      <c r="G4520" s="1342"/>
      <c r="H4520" s="1342"/>
      <c r="I4520" s="1342"/>
      <c r="J4520" s="1342"/>
      <c r="K4520" s="1342"/>
    </row>
    <row r="4521" spans="2:11" ht="14" hidden="1">
      <c r="B4521" s="1342"/>
      <c r="C4521" s="1342"/>
      <c r="D4521" s="1342"/>
      <c r="E4521" s="1342"/>
      <c r="F4521" s="1342"/>
      <c r="G4521" s="1342"/>
      <c r="H4521" s="1342"/>
      <c r="I4521" s="1342"/>
      <c r="J4521" s="1342"/>
      <c r="K4521" s="1342"/>
    </row>
    <row r="4522" spans="2:11" ht="14" hidden="1">
      <c r="B4522" s="1342"/>
      <c r="C4522" s="1342"/>
      <c r="D4522" s="1342"/>
      <c r="E4522" s="1342"/>
      <c r="F4522" s="1342"/>
      <c r="G4522" s="1342"/>
      <c r="H4522" s="1342"/>
      <c r="I4522" s="1342"/>
      <c r="J4522" s="1342"/>
      <c r="K4522" s="1342"/>
    </row>
    <row r="4523" spans="2:11" ht="14" hidden="1">
      <c r="B4523" s="1342"/>
      <c r="C4523" s="1342"/>
      <c r="D4523" s="1342"/>
      <c r="E4523" s="1342"/>
      <c r="F4523" s="1342"/>
      <c r="G4523" s="1342"/>
      <c r="H4523" s="1342"/>
      <c r="I4523" s="1342"/>
      <c r="J4523" s="1342"/>
      <c r="K4523" s="1342"/>
    </row>
    <row r="4524" spans="2:11" ht="14" hidden="1">
      <c r="B4524" s="1342"/>
      <c r="C4524" s="1342"/>
      <c r="D4524" s="1342"/>
      <c r="E4524" s="1342"/>
      <c r="F4524" s="1342"/>
      <c r="G4524" s="1342"/>
      <c r="H4524" s="1342"/>
      <c r="I4524" s="1342"/>
      <c r="J4524" s="1342"/>
      <c r="K4524" s="1342"/>
    </row>
    <row r="4525" spans="2:11" ht="14" hidden="1">
      <c r="B4525" s="1342"/>
      <c r="C4525" s="1342"/>
      <c r="D4525" s="1342"/>
      <c r="E4525" s="1342"/>
      <c r="F4525" s="1342"/>
      <c r="G4525" s="1342"/>
      <c r="H4525" s="1342"/>
      <c r="I4525" s="1342"/>
      <c r="J4525" s="1342"/>
      <c r="K4525" s="1342"/>
    </row>
    <row r="4526" spans="2:11" ht="14" hidden="1">
      <c r="B4526" s="1342"/>
      <c r="C4526" s="1342"/>
      <c r="D4526" s="1342"/>
      <c r="E4526" s="1342"/>
      <c r="F4526" s="1342"/>
      <c r="G4526" s="1342"/>
      <c r="H4526" s="1342"/>
      <c r="I4526" s="1342"/>
      <c r="J4526" s="1342"/>
      <c r="K4526" s="1342"/>
    </row>
    <row r="4527" spans="2:11" ht="14" hidden="1">
      <c r="B4527" s="1342"/>
      <c r="C4527" s="1342"/>
      <c r="D4527" s="1342"/>
      <c r="E4527" s="1342"/>
      <c r="F4527" s="1342"/>
      <c r="G4527" s="1342"/>
      <c r="H4527" s="1342"/>
      <c r="I4527" s="1342"/>
      <c r="J4527" s="1342"/>
      <c r="K4527" s="1342"/>
    </row>
    <row r="4528" spans="2:11" ht="14" hidden="1">
      <c r="B4528" s="1342"/>
      <c r="C4528" s="1342"/>
      <c r="D4528" s="1342"/>
      <c r="E4528" s="1342"/>
      <c r="F4528" s="1342"/>
      <c r="G4528" s="1342"/>
      <c r="H4528" s="1342"/>
      <c r="I4528" s="1342"/>
      <c r="J4528" s="1342"/>
      <c r="K4528" s="1342"/>
    </row>
    <row r="4529" spans="2:11" ht="14" hidden="1">
      <c r="B4529" s="1342"/>
      <c r="C4529" s="1342"/>
      <c r="D4529" s="1342"/>
      <c r="E4529" s="1342"/>
      <c r="F4529" s="1342"/>
      <c r="G4529" s="1342"/>
      <c r="H4529" s="1342"/>
      <c r="I4529" s="1342"/>
      <c r="J4529" s="1342"/>
      <c r="K4529" s="1342"/>
    </row>
    <row r="4530" spans="2:11" ht="14" hidden="1">
      <c r="B4530" s="1342"/>
      <c r="C4530" s="1342"/>
      <c r="D4530" s="1342"/>
      <c r="E4530" s="1342"/>
      <c r="F4530" s="1342"/>
      <c r="G4530" s="1342"/>
      <c r="H4530" s="1342"/>
      <c r="I4530" s="1342"/>
      <c r="J4530" s="1342"/>
      <c r="K4530" s="1342"/>
    </row>
    <row r="4531" spans="2:11" ht="14" hidden="1">
      <c r="B4531" s="1342"/>
      <c r="C4531" s="1342"/>
      <c r="D4531" s="1342"/>
      <c r="E4531" s="1342"/>
      <c r="F4531" s="1342"/>
      <c r="G4531" s="1342"/>
      <c r="H4531" s="1342"/>
      <c r="I4531" s="1342"/>
      <c r="J4531" s="1342"/>
      <c r="K4531" s="1342"/>
    </row>
    <row r="4532" spans="2:11" ht="14" hidden="1">
      <c r="B4532" s="1342"/>
      <c r="C4532" s="1342"/>
      <c r="D4532" s="1342"/>
      <c r="E4532" s="1342"/>
      <c r="F4532" s="1342"/>
      <c r="G4532" s="1342"/>
      <c r="H4532" s="1342"/>
      <c r="I4532" s="1342"/>
      <c r="J4532" s="1342"/>
      <c r="K4532" s="1342"/>
    </row>
    <row r="4533" spans="2:11" ht="14" hidden="1">
      <c r="B4533" s="1342"/>
      <c r="C4533" s="1342"/>
      <c r="D4533" s="1342"/>
      <c r="E4533" s="1342"/>
      <c r="F4533" s="1342"/>
      <c r="G4533" s="1342"/>
      <c r="H4533" s="1342"/>
      <c r="I4533" s="1342"/>
      <c r="J4533" s="1342"/>
      <c r="K4533" s="1342"/>
    </row>
    <row r="4534" spans="2:11" ht="14" hidden="1">
      <c r="B4534" s="1342"/>
      <c r="C4534" s="1342"/>
      <c r="D4534" s="1342"/>
      <c r="E4534" s="1342"/>
      <c r="F4534" s="1342"/>
      <c r="G4534" s="1342"/>
      <c r="H4534" s="1342"/>
      <c r="I4534" s="1342"/>
      <c r="J4534" s="1342"/>
      <c r="K4534" s="1342"/>
    </row>
    <row r="4535" spans="2:11" ht="14" hidden="1">
      <c r="B4535" s="1342"/>
      <c r="C4535" s="1342"/>
      <c r="D4535" s="1342"/>
      <c r="E4535" s="1342"/>
      <c r="F4535" s="1342"/>
      <c r="G4535" s="1342"/>
      <c r="H4535" s="1342"/>
      <c r="I4535" s="1342"/>
      <c r="J4535" s="1342"/>
      <c r="K4535" s="1342"/>
    </row>
    <row r="4536" spans="2:11" ht="14" hidden="1">
      <c r="B4536" s="1342"/>
      <c r="C4536" s="1342"/>
      <c r="D4536" s="1342"/>
      <c r="E4536" s="1342"/>
      <c r="F4536" s="1342"/>
      <c r="G4536" s="1342"/>
      <c r="H4536" s="1342"/>
      <c r="I4536" s="1342"/>
      <c r="J4536" s="1342"/>
      <c r="K4536" s="1342"/>
    </row>
    <row r="4537" spans="2:11" ht="14" hidden="1">
      <c r="B4537" s="1342"/>
      <c r="C4537" s="1342"/>
      <c r="D4537" s="1342"/>
      <c r="E4537" s="1342"/>
      <c r="F4537" s="1342"/>
      <c r="G4537" s="1342"/>
      <c r="H4537" s="1342"/>
      <c r="I4537" s="1342"/>
      <c r="J4537" s="1342"/>
      <c r="K4537" s="1342"/>
    </row>
    <row r="4538" spans="2:11" ht="14" hidden="1">
      <c r="B4538" s="1342"/>
      <c r="C4538" s="1342"/>
      <c r="D4538" s="1342"/>
      <c r="E4538" s="1342"/>
      <c r="F4538" s="1342"/>
      <c r="G4538" s="1342"/>
      <c r="H4538" s="1342"/>
      <c r="I4538" s="1342"/>
      <c r="J4538" s="1342"/>
      <c r="K4538" s="1342"/>
    </row>
    <row r="4539" spans="2:11" ht="14" hidden="1">
      <c r="B4539" s="1342"/>
      <c r="C4539" s="1342"/>
      <c r="D4539" s="1342"/>
      <c r="E4539" s="1342"/>
      <c r="F4539" s="1342"/>
      <c r="G4539" s="1342"/>
      <c r="H4539" s="1342"/>
      <c r="I4539" s="1342"/>
      <c r="J4539" s="1342"/>
      <c r="K4539" s="1342"/>
    </row>
    <row r="4540" spans="2:11" ht="14" hidden="1">
      <c r="B4540" s="1342"/>
      <c r="C4540" s="1342"/>
      <c r="D4540" s="1342"/>
      <c r="E4540" s="1342"/>
      <c r="F4540" s="1342"/>
      <c r="G4540" s="1342"/>
      <c r="H4540" s="1342"/>
      <c r="I4540" s="1342"/>
      <c r="J4540" s="1342"/>
      <c r="K4540" s="1342"/>
    </row>
    <row r="4541" spans="2:11" ht="14" hidden="1">
      <c r="B4541" s="1342"/>
      <c r="C4541" s="1342"/>
      <c r="D4541" s="1342"/>
      <c r="E4541" s="1342"/>
      <c r="F4541" s="1342"/>
      <c r="G4541" s="1342"/>
      <c r="H4541" s="1342"/>
      <c r="I4541" s="1342"/>
      <c r="J4541" s="1342"/>
      <c r="K4541" s="1342"/>
    </row>
    <row r="4542" spans="2:11" ht="14" hidden="1">
      <c r="B4542" s="1342"/>
      <c r="C4542" s="1342"/>
      <c r="D4542" s="1342"/>
      <c r="E4542" s="1342"/>
      <c r="F4542" s="1342"/>
      <c r="G4542" s="1342"/>
      <c r="H4542" s="1342"/>
      <c r="I4542" s="1342"/>
      <c r="J4542" s="1342"/>
      <c r="K4542" s="1342"/>
    </row>
    <row r="4543" spans="2:11" ht="14" hidden="1">
      <c r="B4543" s="1342"/>
      <c r="C4543" s="1342"/>
      <c r="D4543" s="1342"/>
      <c r="E4543" s="1342"/>
      <c r="F4543" s="1342"/>
      <c r="G4543" s="1342"/>
      <c r="H4543" s="1342"/>
      <c r="I4543" s="1342"/>
      <c r="J4543" s="1342"/>
      <c r="K4543" s="1342"/>
    </row>
    <row r="4544" spans="2:11" ht="14" hidden="1">
      <c r="B4544" s="1342"/>
      <c r="C4544" s="1342"/>
      <c r="D4544" s="1342"/>
      <c r="E4544" s="1342"/>
      <c r="F4544" s="1342"/>
      <c r="G4544" s="1342"/>
      <c r="H4544" s="1342"/>
      <c r="I4544" s="1342"/>
      <c r="J4544" s="1342"/>
      <c r="K4544" s="1342"/>
    </row>
    <row r="4545" spans="2:11" ht="14" hidden="1">
      <c r="B4545" s="1342"/>
      <c r="C4545" s="1342"/>
      <c r="D4545" s="1342"/>
      <c r="E4545" s="1342"/>
      <c r="F4545" s="1342"/>
      <c r="G4545" s="1342"/>
      <c r="H4545" s="1342"/>
      <c r="I4545" s="1342"/>
      <c r="J4545" s="1342"/>
      <c r="K4545" s="1342"/>
    </row>
    <row r="4546" spans="2:11" ht="14" hidden="1">
      <c r="B4546" s="1342"/>
      <c r="C4546" s="1342"/>
      <c r="D4546" s="1342"/>
      <c r="E4546" s="1342"/>
      <c r="F4546" s="1342"/>
      <c r="G4546" s="1342"/>
      <c r="H4546" s="1342"/>
      <c r="I4546" s="1342"/>
      <c r="J4546" s="1342"/>
      <c r="K4546" s="1342"/>
    </row>
    <row r="4547" spans="2:11" ht="14" hidden="1">
      <c r="B4547" s="1342"/>
      <c r="C4547" s="1342"/>
      <c r="D4547" s="1342"/>
      <c r="E4547" s="1342"/>
      <c r="F4547" s="1342"/>
      <c r="G4547" s="1342"/>
      <c r="H4547" s="1342"/>
      <c r="I4547" s="1342"/>
      <c r="J4547" s="1342"/>
      <c r="K4547" s="1342"/>
    </row>
    <row r="4548" spans="2:11" ht="14" hidden="1">
      <c r="B4548" s="1342"/>
      <c r="C4548" s="1342"/>
      <c r="D4548" s="1342"/>
      <c r="E4548" s="1342"/>
      <c r="F4548" s="1342"/>
      <c r="G4548" s="1342"/>
      <c r="H4548" s="1342"/>
      <c r="I4548" s="1342"/>
      <c r="J4548" s="1342"/>
      <c r="K4548" s="1342"/>
    </row>
    <row r="4549" spans="2:11" ht="14" hidden="1">
      <c r="B4549" s="1342"/>
      <c r="C4549" s="1342"/>
      <c r="D4549" s="1342"/>
      <c r="E4549" s="1342"/>
      <c r="F4549" s="1342"/>
      <c r="G4549" s="1342"/>
      <c r="H4549" s="1342"/>
      <c r="I4549" s="1342"/>
      <c r="J4549" s="1342"/>
      <c r="K4549" s="1342"/>
    </row>
    <row r="4550" spans="2:11" ht="14" hidden="1">
      <c r="B4550" s="1342"/>
      <c r="C4550" s="1342"/>
      <c r="D4550" s="1342"/>
      <c r="E4550" s="1342"/>
      <c r="F4550" s="1342"/>
      <c r="G4550" s="1342"/>
      <c r="H4550" s="1342"/>
      <c r="I4550" s="1342"/>
      <c r="J4550" s="1342"/>
      <c r="K4550" s="1342"/>
    </row>
    <row r="4551" spans="2:11" ht="14" hidden="1">
      <c r="B4551" s="1342"/>
      <c r="C4551" s="1342"/>
      <c r="D4551" s="1342"/>
      <c r="E4551" s="1342"/>
      <c r="F4551" s="1342"/>
      <c r="G4551" s="1342"/>
      <c r="H4551" s="1342"/>
      <c r="I4551" s="1342"/>
      <c r="J4551" s="1342"/>
      <c r="K4551" s="1342"/>
    </row>
    <row r="4552" spans="2:11" ht="14" hidden="1">
      <c r="B4552" s="1342"/>
      <c r="C4552" s="1342"/>
      <c r="D4552" s="1342"/>
      <c r="E4552" s="1342"/>
      <c r="F4552" s="1342"/>
      <c r="G4552" s="1342"/>
      <c r="H4552" s="1342"/>
      <c r="I4552" s="1342"/>
      <c r="J4552" s="1342"/>
      <c r="K4552" s="1342"/>
    </row>
    <row r="4553" spans="2:11" ht="14" hidden="1">
      <c r="B4553" s="1342"/>
      <c r="C4553" s="1342"/>
      <c r="D4553" s="1342"/>
      <c r="E4553" s="1342"/>
      <c r="F4553" s="1342"/>
      <c r="G4553" s="1342"/>
      <c r="H4553" s="1342"/>
      <c r="I4553" s="1342"/>
      <c r="J4553" s="1342"/>
      <c r="K4553" s="1342"/>
    </row>
    <row r="4554" spans="2:11" ht="14" hidden="1">
      <c r="B4554" s="1342"/>
      <c r="C4554" s="1342"/>
      <c r="D4554" s="1342"/>
      <c r="E4554" s="1342"/>
      <c r="F4554" s="1342"/>
      <c r="G4554" s="1342"/>
      <c r="H4554" s="1342"/>
      <c r="I4554" s="1342"/>
      <c r="J4554" s="1342"/>
      <c r="K4554" s="1342"/>
    </row>
    <row r="4555" spans="2:11" ht="14" hidden="1">
      <c r="B4555" s="1342"/>
      <c r="C4555" s="1342"/>
      <c r="D4555" s="1342"/>
      <c r="E4555" s="1342"/>
      <c r="F4555" s="1342"/>
      <c r="G4555" s="1342"/>
      <c r="H4555" s="1342"/>
      <c r="I4555" s="1342"/>
      <c r="J4555" s="1342"/>
      <c r="K4555" s="1342"/>
    </row>
    <row r="4556" spans="2:11" ht="14" hidden="1">
      <c r="B4556" s="1342"/>
      <c r="C4556" s="1342"/>
      <c r="D4556" s="1342"/>
      <c r="E4556" s="1342"/>
      <c r="F4556" s="1342"/>
      <c r="G4556" s="1342"/>
      <c r="H4556" s="1342"/>
      <c r="I4556" s="1342"/>
      <c r="J4556" s="1342"/>
      <c r="K4556" s="1342"/>
    </row>
    <row r="4557" spans="2:11" ht="14" hidden="1">
      <c r="B4557" s="1342"/>
      <c r="C4557" s="1342"/>
      <c r="D4557" s="1342"/>
      <c r="E4557" s="1342"/>
      <c r="F4557" s="1342"/>
      <c r="G4557" s="1342"/>
      <c r="H4557" s="1342"/>
      <c r="I4557" s="1342"/>
      <c r="J4557" s="1342"/>
      <c r="K4557" s="1342"/>
    </row>
    <row r="4558" spans="2:11" ht="14" hidden="1">
      <c r="B4558" s="1342"/>
      <c r="C4558" s="1342"/>
      <c r="D4558" s="1342"/>
      <c r="E4558" s="1342"/>
      <c r="F4558" s="1342"/>
      <c r="G4558" s="1342"/>
      <c r="H4558" s="1342"/>
      <c r="I4558" s="1342"/>
      <c r="J4558" s="1342"/>
      <c r="K4558" s="1342"/>
    </row>
    <row r="4559" spans="2:11" ht="14" hidden="1">
      <c r="B4559" s="1342"/>
      <c r="C4559" s="1342"/>
      <c r="D4559" s="1342"/>
      <c r="E4559" s="1342"/>
      <c r="F4559" s="1342"/>
      <c r="G4559" s="1342"/>
      <c r="H4559" s="1342"/>
      <c r="I4559" s="1342"/>
      <c r="J4559" s="1342"/>
      <c r="K4559" s="1342"/>
    </row>
    <row r="4560" spans="2:11" ht="14" hidden="1">
      <c r="B4560" s="1342"/>
      <c r="C4560" s="1342"/>
      <c r="D4560" s="1342"/>
      <c r="E4560" s="1342"/>
      <c r="F4560" s="1342"/>
      <c r="G4560" s="1342"/>
      <c r="H4560" s="1342"/>
      <c r="I4560" s="1342"/>
      <c r="J4560" s="1342"/>
      <c r="K4560" s="1342"/>
    </row>
    <row r="4561" spans="2:11" ht="14" hidden="1">
      <c r="B4561" s="1342"/>
      <c r="C4561" s="1342"/>
      <c r="D4561" s="1342"/>
      <c r="E4561" s="1342"/>
      <c r="F4561" s="1342"/>
      <c r="G4561" s="1342"/>
      <c r="H4561" s="1342"/>
      <c r="I4561" s="1342"/>
      <c r="J4561" s="1342"/>
      <c r="K4561" s="1342"/>
    </row>
    <row r="4562" spans="2:11" ht="14" hidden="1">
      <c r="B4562" s="1342"/>
      <c r="C4562" s="1342"/>
      <c r="D4562" s="1342"/>
      <c r="E4562" s="1342"/>
      <c r="F4562" s="1342"/>
      <c r="G4562" s="1342"/>
      <c r="H4562" s="1342"/>
      <c r="I4562" s="1342"/>
      <c r="J4562" s="1342"/>
      <c r="K4562" s="1342"/>
    </row>
    <row r="4563" spans="2:11" ht="14" hidden="1">
      <c r="B4563" s="1342"/>
      <c r="C4563" s="1342"/>
      <c r="D4563" s="1342"/>
      <c r="E4563" s="1342"/>
      <c r="F4563" s="1342"/>
      <c r="G4563" s="1342"/>
      <c r="H4563" s="1342"/>
      <c r="I4563" s="1342"/>
      <c r="J4563" s="1342"/>
      <c r="K4563" s="1342"/>
    </row>
    <row r="4564" spans="2:11" ht="14" hidden="1">
      <c r="B4564" s="1342"/>
      <c r="C4564" s="1342"/>
      <c r="D4564" s="1342"/>
      <c r="E4564" s="1342"/>
      <c r="F4564" s="1342"/>
      <c r="G4564" s="1342"/>
      <c r="H4564" s="1342"/>
      <c r="I4564" s="1342"/>
      <c r="J4564" s="1342"/>
      <c r="K4564" s="1342"/>
    </row>
    <row r="4565" spans="2:11" ht="14" hidden="1">
      <c r="B4565" s="1342"/>
      <c r="C4565" s="1342"/>
      <c r="D4565" s="1342"/>
      <c r="E4565" s="1342"/>
      <c r="F4565" s="1342"/>
      <c r="G4565" s="1342"/>
      <c r="H4565" s="1342"/>
      <c r="I4565" s="1342"/>
      <c r="J4565" s="1342"/>
      <c r="K4565" s="1342"/>
    </row>
    <row r="4566" spans="2:11" ht="14" hidden="1">
      <c r="B4566" s="1342"/>
      <c r="C4566" s="1342"/>
      <c r="D4566" s="1342"/>
      <c r="E4566" s="1342"/>
      <c r="F4566" s="1342"/>
      <c r="G4566" s="1342"/>
      <c r="H4566" s="1342"/>
      <c r="I4566" s="1342"/>
      <c r="J4566" s="1342"/>
      <c r="K4566" s="1342"/>
    </row>
    <row r="4567" spans="2:11" ht="14" hidden="1">
      <c r="B4567" s="1342"/>
      <c r="C4567" s="1342"/>
      <c r="D4567" s="1342"/>
      <c r="E4567" s="1342"/>
      <c r="F4567" s="1342"/>
      <c r="G4567" s="1342"/>
      <c r="H4567" s="1342"/>
      <c r="I4567" s="1342"/>
      <c r="J4567" s="1342"/>
      <c r="K4567" s="1342"/>
    </row>
    <row r="4568" spans="2:11" ht="14" hidden="1">
      <c r="B4568" s="1342"/>
      <c r="C4568" s="1342"/>
      <c r="D4568" s="1342"/>
      <c r="E4568" s="1342"/>
      <c r="F4568" s="1342"/>
      <c r="G4568" s="1342"/>
      <c r="H4568" s="1342"/>
      <c r="I4568" s="1342"/>
      <c r="J4568" s="1342"/>
      <c r="K4568" s="1342"/>
    </row>
    <row r="4569" spans="2:11" ht="14" hidden="1">
      <c r="B4569" s="1342"/>
      <c r="C4569" s="1342"/>
      <c r="D4569" s="1342"/>
      <c r="E4569" s="1342"/>
      <c r="F4569" s="1342"/>
      <c r="G4569" s="1342"/>
      <c r="H4569" s="1342"/>
      <c r="I4569" s="1342"/>
      <c r="J4569" s="1342"/>
      <c r="K4569" s="1342"/>
    </row>
    <row r="4570" spans="2:11" ht="14" hidden="1">
      <c r="B4570" s="1342"/>
      <c r="C4570" s="1342"/>
      <c r="D4570" s="1342"/>
      <c r="E4570" s="1342"/>
      <c r="F4570" s="1342"/>
      <c r="G4570" s="1342"/>
      <c r="H4570" s="1342"/>
      <c r="I4570" s="1342"/>
      <c r="J4570" s="1342"/>
      <c r="K4570" s="1342"/>
    </row>
    <row r="4571" spans="2:11" ht="14" hidden="1">
      <c r="B4571" s="1342"/>
      <c r="C4571" s="1342"/>
      <c r="D4571" s="1342"/>
      <c r="E4571" s="1342"/>
      <c r="F4571" s="1342"/>
      <c r="G4571" s="1342"/>
      <c r="H4571" s="1342"/>
      <c r="I4571" s="1342"/>
      <c r="J4571" s="1342"/>
      <c r="K4571" s="1342"/>
    </row>
    <row r="4572" spans="2:11" ht="14" hidden="1">
      <c r="B4572" s="1342"/>
      <c r="C4572" s="1342"/>
      <c r="D4572" s="1342"/>
      <c r="E4572" s="1342"/>
      <c r="F4572" s="1342"/>
      <c r="G4572" s="1342"/>
      <c r="H4572" s="1342"/>
      <c r="I4572" s="1342"/>
      <c r="J4572" s="1342"/>
      <c r="K4572" s="1342"/>
    </row>
    <row r="4573" spans="2:11" ht="14" hidden="1">
      <c r="B4573" s="1342"/>
      <c r="C4573" s="1342"/>
      <c r="D4573" s="1342"/>
      <c r="E4573" s="1342"/>
      <c r="F4573" s="1342"/>
      <c r="G4573" s="1342"/>
      <c r="H4573" s="1342"/>
      <c r="I4573" s="1342"/>
      <c r="J4573" s="1342"/>
      <c r="K4573" s="1342"/>
    </row>
    <row r="4574" spans="2:11" ht="14" hidden="1">
      <c r="B4574" s="1342"/>
      <c r="C4574" s="1342"/>
      <c r="D4574" s="1342"/>
      <c r="E4574" s="1342"/>
      <c r="F4574" s="1342"/>
      <c r="G4574" s="1342"/>
      <c r="H4574" s="1342"/>
      <c r="I4574" s="1342"/>
      <c r="J4574" s="1342"/>
      <c r="K4574" s="1342"/>
    </row>
    <row r="4575" spans="2:11" ht="14" hidden="1">
      <c r="B4575" s="1342"/>
      <c r="C4575" s="1342"/>
      <c r="D4575" s="1342"/>
      <c r="E4575" s="1342"/>
      <c r="F4575" s="1342"/>
      <c r="G4575" s="1342"/>
      <c r="H4575" s="1342"/>
      <c r="I4575" s="1342"/>
      <c r="J4575" s="1342"/>
      <c r="K4575" s="1342"/>
    </row>
    <row r="4576" spans="2:11" ht="14" hidden="1">
      <c r="B4576" s="1342"/>
      <c r="C4576" s="1342"/>
      <c r="D4576" s="1342"/>
      <c r="E4576" s="1342"/>
      <c r="F4576" s="1342"/>
      <c r="G4576" s="1342"/>
      <c r="H4576" s="1342"/>
      <c r="I4576" s="1342"/>
      <c r="J4576" s="1342"/>
      <c r="K4576" s="1342"/>
    </row>
    <row r="4577" spans="2:11" ht="14" hidden="1">
      <c r="B4577" s="1342"/>
      <c r="C4577" s="1342"/>
      <c r="D4577" s="1342"/>
      <c r="E4577" s="1342"/>
      <c r="F4577" s="1342"/>
      <c r="G4577" s="1342"/>
      <c r="H4577" s="1342"/>
      <c r="I4577" s="1342"/>
      <c r="J4577" s="1342"/>
      <c r="K4577" s="1342"/>
    </row>
    <row r="4578" spans="2:11" ht="14" hidden="1">
      <c r="B4578" s="1342"/>
      <c r="C4578" s="1342"/>
      <c r="D4578" s="1342"/>
      <c r="E4578" s="1342"/>
      <c r="F4578" s="1342"/>
      <c r="G4578" s="1342"/>
      <c r="H4578" s="1342"/>
      <c r="I4578" s="1342"/>
      <c r="J4578" s="1342"/>
      <c r="K4578" s="1342"/>
    </row>
    <row r="4579" spans="2:11" ht="14" hidden="1">
      <c r="B4579" s="1342"/>
      <c r="C4579" s="1342"/>
      <c r="D4579" s="1342"/>
      <c r="E4579" s="1342"/>
      <c r="F4579" s="1342"/>
      <c r="G4579" s="1342"/>
      <c r="H4579" s="1342"/>
      <c r="I4579" s="1342"/>
      <c r="J4579" s="1342"/>
      <c r="K4579" s="1342"/>
    </row>
    <row r="4580" spans="2:11" ht="14" hidden="1">
      <c r="B4580" s="1342"/>
      <c r="C4580" s="1342"/>
      <c r="D4580" s="1342"/>
      <c r="E4580" s="1342"/>
      <c r="F4580" s="1342"/>
      <c r="G4580" s="1342"/>
      <c r="H4580" s="1342"/>
      <c r="I4580" s="1342"/>
      <c r="J4580" s="1342"/>
      <c r="K4580" s="1342"/>
    </row>
    <row r="4581" spans="2:11" ht="14" hidden="1">
      <c r="B4581" s="1342"/>
      <c r="C4581" s="1342"/>
      <c r="D4581" s="1342"/>
      <c r="E4581" s="1342"/>
      <c r="F4581" s="1342"/>
      <c r="G4581" s="1342"/>
      <c r="H4581" s="1342"/>
      <c r="I4581" s="1342"/>
      <c r="J4581" s="1342"/>
      <c r="K4581" s="1342"/>
    </row>
    <row r="4582" spans="2:11" ht="14" hidden="1">
      <c r="B4582" s="1342"/>
      <c r="C4582" s="1342"/>
      <c r="D4582" s="1342"/>
      <c r="E4582" s="1342"/>
      <c r="F4582" s="1342"/>
      <c r="G4582" s="1342"/>
      <c r="H4582" s="1342"/>
      <c r="I4582" s="1342"/>
      <c r="J4582" s="1342"/>
      <c r="K4582" s="1342"/>
    </row>
    <row r="4583" spans="2:11" ht="14" hidden="1">
      <c r="B4583" s="1342"/>
      <c r="C4583" s="1342"/>
      <c r="D4583" s="1342"/>
      <c r="E4583" s="1342"/>
      <c r="F4583" s="1342"/>
      <c r="G4583" s="1342"/>
      <c r="H4583" s="1342"/>
      <c r="I4583" s="1342"/>
      <c r="J4583" s="1342"/>
      <c r="K4583" s="1342"/>
    </row>
    <row r="4584" spans="2:11" ht="14" hidden="1">
      <c r="B4584" s="1342"/>
      <c r="C4584" s="1342"/>
      <c r="D4584" s="1342"/>
      <c r="E4584" s="1342"/>
      <c r="F4584" s="1342"/>
      <c r="G4584" s="1342"/>
      <c r="H4584" s="1342"/>
      <c r="I4584" s="1342"/>
      <c r="J4584" s="1342"/>
      <c r="K4584" s="1342"/>
    </row>
    <row r="4585" spans="2:11" ht="14" hidden="1">
      <c r="B4585" s="1342"/>
      <c r="C4585" s="1342"/>
      <c r="D4585" s="1342"/>
      <c r="E4585" s="1342"/>
      <c r="F4585" s="1342"/>
      <c r="G4585" s="1342"/>
      <c r="H4585" s="1342"/>
      <c r="I4585" s="1342"/>
      <c r="J4585" s="1342"/>
      <c r="K4585" s="1342"/>
    </row>
    <row r="4586" spans="2:11" ht="14" hidden="1">
      <c r="B4586" s="1342"/>
      <c r="C4586" s="1342"/>
      <c r="D4586" s="1342"/>
      <c r="E4586" s="1342"/>
      <c r="F4586" s="1342"/>
      <c r="G4586" s="1342"/>
      <c r="H4586" s="1342"/>
      <c r="I4586" s="1342"/>
      <c r="J4586" s="1342"/>
      <c r="K4586" s="1342"/>
    </row>
    <row r="4587" spans="2:11" ht="14" hidden="1">
      <c r="B4587" s="1342"/>
      <c r="C4587" s="1342"/>
      <c r="D4587" s="1342"/>
      <c r="E4587" s="1342"/>
      <c r="F4587" s="1342"/>
      <c r="G4587" s="1342"/>
      <c r="H4587" s="1342"/>
      <c r="I4587" s="1342"/>
      <c r="J4587" s="1342"/>
      <c r="K4587" s="1342"/>
    </row>
    <row r="4588" spans="2:11" ht="14" hidden="1">
      <c r="B4588" s="1342"/>
      <c r="C4588" s="1342"/>
      <c r="D4588" s="1342"/>
      <c r="E4588" s="1342"/>
      <c r="F4588" s="1342"/>
      <c r="G4588" s="1342"/>
      <c r="H4588" s="1342"/>
      <c r="I4588" s="1342"/>
      <c r="J4588" s="1342"/>
      <c r="K4588" s="1342"/>
    </row>
    <row r="4589" spans="2:11" ht="14" hidden="1">
      <c r="B4589" s="1342"/>
      <c r="C4589" s="1342"/>
      <c r="D4589" s="1342"/>
      <c r="E4589" s="1342"/>
      <c r="F4589" s="1342"/>
      <c r="G4589" s="1342"/>
      <c r="H4589" s="1342"/>
      <c r="I4589" s="1342"/>
      <c r="J4589" s="1342"/>
      <c r="K4589" s="1342"/>
    </row>
    <row r="4590" spans="2:11" ht="14" hidden="1">
      <c r="B4590" s="1342"/>
      <c r="C4590" s="1342"/>
      <c r="D4590" s="1342"/>
      <c r="E4590" s="1342"/>
      <c r="F4590" s="1342"/>
      <c r="G4590" s="1342"/>
      <c r="H4590" s="1342"/>
      <c r="I4590" s="1342"/>
      <c r="J4590" s="1342"/>
      <c r="K4590" s="1342"/>
    </row>
    <row r="4591" spans="2:11" ht="14" hidden="1">
      <c r="B4591" s="1342"/>
      <c r="C4591" s="1342"/>
      <c r="D4591" s="1342"/>
      <c r="E4591" s="1342"/>
      <c r="F4591" s="1342"/>
      <c r="G4591" s="1342"/>
      <c r="H4591" s="1342"/>
      <c r="I4591" s="1342"/>
      <c r="J4591" s="1342"/>
      <c r="K4591" s="1342"/>
    </row>
    <row r="4592" spans="2:11" ht="14" hidden="1">
      <c r="B4592" s="1342"/>
      <c r="C4592" s="1342"/>
      <c r="D4592" s="1342"/>
      <c r="E4592" s="1342"/>
      <c r="F4592" s="1342"/>
      <c r="G4592" s="1342"/>
      <c r="H4592" s="1342"/>
      <c r="I4592" s="1342"/>
      <c r="J4592" s="1342"/>
      <c r="K4592" s="1342"/>
    </row>
    <row r="4593" spans="2:11" ht="14" hidden="1">
      <c r="B4593" s="1342"/>
      <c r="C4593" s="1342"/>
      <c r="D4593" s="1342"/>
      <c r="E4593" s="1342"/>
      <c r="F4593" s="1342"/>
      <c r="G4593" s="1342"/>
      <c r="H4593" s="1342"/>
      <c r="I4593" s="1342"/>
      <c r="J4593" s="1342"/>
      <c r="K4593" s="1342"/>
    </row>
    <row r="4594" spans="2:11" ht="14" hidden="1">
      <c r="B4594" s="1342"/>
      <c r="C4594" s="1342"/>
      <c r="D4594" s="1342"/>
      <c r="E4594" s="1342"/>
      <c r="F4594" s="1342"/>
      <c r="G4594" s="1342"/>
      <c r="H4594" s="1342"/>
      <c r="I4594" s="1342"/>
      <c r="J4594" s="1342"/>
      <c r="K4594" s="1342"/>
    </row>
    <row r="4595" spans="2:11" ht="14" hidden="1">
      <c r="B4595" s="1342"/>
      <c r="C4595" s="1342"/>
      <c r="D4595" s="1342"/>
      <c r="E4595" s="1342"/>
      <c r="F4595" s="1342"/>
      <c r="G4595" s="1342"/>
      <c r="H4595" s="1342"/>
      <c r="I4595" s="1342"/>
      <c r="J4595" s="1342"/>
      <c r="K4595" s="1342"/>
    </row>
    <row r="4596" spans="2:11" ht="14" hidden="1">
      <c r="B4596" s="1342"/>
      <c r="C4596" s="1342"/>
      <c r="D4596" s="1342"/>
      <c r="E4596" s="1342"/>
      <c r="F4596" s="1342"/>
      <c r="G4596" s="1342"/>
      <c r="H4596" s="1342"/>
      <c r="I4596" s="1342"/>
      <c r="J4596" s="1342"/>
      <c r="K4596" s="1342"/>
    </row>
    <row r="4597" spans="2:11" ht="14" hidden="1">
      <c r="B4597" s="1342"/>
      <c r="C4597" s="1342"/>
      <c r="D4597" s="1342"/>
      <c r="E4597" s="1342"/>
      <c r="F4597" s="1342"/>
      <c r="G4597" s="1342"/>
      <c r="H4597" s="1342"/>
      <c r="I4597" s="1342"/>
      <c r="J4597" s="1342"/>
      <c r="K4597" s="1342"/>
    </row>
    <row r="4598" spans="2:11" ht="14" hidden="1">
      <c r="B4598" s="1342"/>
      <c r="C4598" s="1342"/>
      <c r="D4598" s="1342"/>
      <c r="E4598" s="1342"/>
      <c r="F4598" s="1342"/>
      <c r="G4598" s="1342"/>
      <c r="H4598" s="1342"/>
      <c r="I4598" s="1342"/>
      <c r="J4598" s="1342"/>
      <c r="K4598" s="1342"/>
    </row>
    <row r="4599" spans="2:11" ht="14" hidden="1">
      <c r="B4599" s="1342"/>
      <c r="C4599" s="1342"/>
      <c r="D4599" s="1342"/>
      <c r="E4599" s="1342"/>
      <c r="F4599" s="1342"/>
      <c r="G4599" s="1342"/>
      <c r="H4599" s="1342"/>
      <c r="I4599" s="1342"/>
      <c r="J4599" s="1342"/>
      <c r="K4599" s="1342"/>
    </row>
    <row r="4600" spans="2:11" ht="14" hidden="1">
      <c r="B4600" s="1342"/>
      <c r="C4600" s="1342"/>
      <c r="D4600" s="1342"/>
      <c r="E4600" s="1342"/>
      <c r="F4600" s="1342"/>
      <c r="G4600" s="1342"/>
      <c r="H4600" s="1342"/>
      <c r="I4600" s="1342"/>
      <c r="J4600" s="1342"/>
      <c r="K4600" s="1342"/>
    </row>
    <row r="4601" spans="2:11" ht="14" hidden="1">
      <c r="B4601" s="1342"/>
      <c r="C4601" s="1342"/>
      <c r="D4601" s="1342"/>
      <c r="E4601" s="1342"/>
      <c r="F4601" s="1342"/>
      <c r="G4601" s="1342"/>
      <c r="H4601" s="1342"/>
      <c r="I4601" s="1342"/>
      <c r="J4601" s="1342"/>
      <c r="K4601" s="1342"/>
    </row>
    <row r="4602" spans="2:11" ht="14" hidden="1">
      <c r="B4602" s="1342"/>
      <c r="C4602" s="1342"/>
      <c r="D4602" s="1342"/>
      <c r="E4602" s="1342"/>
      <c r="F4602" s="1342"/>
      <c r="G4602" s="1342"/>
      <c r="H4602" s="1342"/>
      <c r="I4602" s="1342"/>
      <c r="J4602" s="1342"/>
      <c r="K4602" s="1342"/>
    </row>
    <row r="4603" spans="2:11" ht="14" hidden="1">
      <c r="B4603" s="1342"/>
      <c r="C4603" s="1342"/>
      <c r="D4603" s="1342"/>
      <c r="E4603" s="1342"/>
      <c r="F4603" s="1342"/>
      <c r="G4603" s="1342"/>
      <c r="H4603" s="1342"/>
      <c r="I4603" s="1342"/>
      <c r="J4603" s="1342"/>
      <c r="K4603" s="1342"/>
    </row>
    <row r="4604" spans="2:11" ht="14" hidden="1">
      <c r="B4604" s="1342"/>
      <c r="C4604" s="1342"/>
      <c r="D4604" s="1342"/>
      <c r="E4604" s="1342"/>
      <c r="F4604" s="1342"/>
      <c r="G4604" s="1342"/>
      <c r="H4604" s="1342"/>
      <c r="I4604" s="1342"/>
      <c r="J4604" s="1342"/>
      <c r="K4604" s="1342"/>
    </row>
    <row r="4605" spans="2:11" ht="14" hidden="1">
      <c r="B4605" s="1342"/>
      <c r="C4605" s="1342"/>
      <c r="D4605" s="1342"/>
      <c r="E4605" s="1342"/>
      <c r="F4605" s="1342"/>
      <c r="G4605" s="1342"/>
      <c r="H4605" s="1342"/>
      <c r="I4605" s="1342"/>
      <c r="J4605" s="1342"/>
      <c r="K4605" s="1342"/>
    </row>
    <row r="4606" spans="2:11" ht="14" hidden="1">
      <c r="B4606" s="1342"/>
      <c r="C4606" s="1342"/>
      <c r="D4606" s="1342"/>
      <c r="E4606" s="1342"/>
      <c r="F4606" s="1342"/>
      <c r="G4606" s="1342"/>
      <c r="H4606" s="1342"/>
      <c r="I4606" s="1342"/>
      <c r="J4606" s="1342"/>
      <c r="K4606" s="1342"/>
    </row>
    <row r="4607" spans="2:11" ht="14" hidden="1">
      <c r="B4607" s="1342"/>
      <c r="C4607" s="1342"/>
      <c r="D4607" s="1342"/>
      <c r="E4607" s="1342"/>
      <c r="F4607" s="1342"/>
      <c r="G4607" s="1342"/>
      <c r="H4607" s="1342"/>
      <c r="I4607" s="1342"/>
      <c r="J4607" s="1342"/>
      <c r="K4607" s="1342"/>
    </row>
    <row r="4608" spans="2:11" ht="14" hidden="1">
      <c r="B4608" s="1342"/>
      <c r="C4608" s="1342"/>
      <c r="D4608" s="1342"/>
      <c r="E4608" s="1342"/>
      <c r="F4608" s="1342"/>
      <c r="G4608" s="1342"/>
      <c r="H4608" s="1342"/>
      <c r="I4608" s="1342"/>
      <c r="J4608" s="1342"/>
      <c r="K4608" s="1342"/>
    </row>
    <row r="4609" spans="2:11" ht="14" hidden="1">
      <c r="B4609" s="1342"/>
      <c r="C4609" s="1342"/>
      <c r="D4609" s="1342"/>
      <c r="E4609" s="1342"/>
      <c r="F4609" s="1342"/>
      <c r="G4609" s="1342"/>
      <c r="H4609" s="1342"/>
      <c r="I4609" s="1342"/>
      <c r="J4609" s="1342"/>
      <c r="K4609" s="1342"/>
    </row>
    <row r="4610" spans="2:11" ht="14" hidden="1">
      <c r="B4610" s="1342"/>
      <c r="C4610" s="1342"/>
      <c r="D4610" s="1342"/>
      <c r="E4610" s="1342"/>
      <c r="F4610" s="1342"/>
      <c r="G4610" s="1342"/>
      <c r="H4610" s="1342"/>
      <c r="I4610" s="1342"/>
      <c r="J4610" s="1342"/>
      <c r="K4610" s="1342"/>
    </row>
    <row r="4611" spans="2:11" ht="14" hidden="1">
      <c r="B4611" s="1342"/>
      <c r="C4611" s="1342"/>
      <c r="D4611" s="1342"/>
      <c r="E4611" s="1342"/>
      <c r="F4611" s="1342"/>
      <c r="G4611" s="1342"/>
      <c r="H4611" s="1342"/>
      <c r="I4611" s="1342"/>
      <c r="J4611" s="1342"/>
      <c r="K4611" s="1342"/>
    </row>
    <row r="4612" spans="2:11" ht="14" hidden="1">
      <c r="B4612" s="1342"/>
      <c r="C4612" s="1342"/>
      <c r="D4612" s="1342"/>
      <c r="E4612" s="1342"/>
      <c r="F4612" s="1342"/>
      <c r="G4612" s="1342"/>
      <c r="H4612" s="1342"/>
      <c r="I4612" s="1342"/>
      <c r="J4612" s="1342"/>
      <c r="K4612" s="1342"/>
    </row>
    <row r="4613" spans="2:11" ht="14" hidden="1">
      <c r="B4613" s="1342"/>
      <c r="C4613" s="1342"/>
      <c r="D4613" s="1342"/>
      <c r="E4613" s="1342"/>
      <c r="F4613" s="1342"/>
      <c r="G4613" s="1342"/>
      <c r="H4613" s="1342"/>
      <c r="I4613" s="1342"/>
      <c r="J4613" s="1342"/>
      <c r="K4613" s="1342"/>
    </row>
    <row r="4614" spans="2:11" ht="14" hidden="1">
      <c r="B4614" s="1342"/>
      <c r="C4614" s="1342"/>
      <c r="D4614" s="1342"/>
      <c r="E4614" s="1342"/>
      <c r="F4614" s="1342"/>
      <c r="G4614" s="1342"/>
      <c r="H4614" s="1342"/>
      <c r="I4614" s="1342"/>
      <c r="J4614" s="1342"/>
      <c r="K4614" s="1342"/>
    </row>
    <row r="4615" spans="2:11" ht="14" hidden="1">
      <c r="B4615" s="1342"/>
      <c r="C4615" s="1342"/>
      <c r="D4615" s="1342"/>
      <c r="E4615" s="1342"/>
      <c r="F4615" s="1342"/>
      <c r="G4615" s="1342"/>
      <c r="H4615" s="1342"/>
      <c r="I4615" s="1342"/>
      <c r="J4615" s="1342"/>
      <c r="K4615" s="1342"/>
    </row>
    <row r="4616" spans="2:11" ht="14" hidden="1">
      <c r="B4616" s="1342"/>
      <c r="C4616" s="1342"/>
      <c r="D4616" s="1342"/>
      <c r="E4616" s="1342"/>
      <c r="F4616" s="1342"/>
      <c r="G4616" s="1342"/>
      <c r="H4616" s="1342"/>
      <c r="I4616" s="1342"/>
      <c r="J4616" s="1342"/>
      <c r="K4616" s="1342"/>
    </row>
    <row r="4617" spans="2:11" ht="14" hidden="1">
      <c r="B4617" s="1342"/>
      <c r="C4617" s="1342"/>
      <c r="D4617" s="1342"/>
      <c r="E4617" s="1342"/>
      <c r="F4617" s="1342"/>
      <c r="G4617" s="1342"/>
      <c r="H4617" s="1342"/>
      <c r="I4617" s="1342"/>
      <c r="J4617" s="1342"/>
      <c r="K4617" s="1342"/>
    </row>
    <row r="4618" spans="2:11" ht="14" hidden="1">
      <c r="B4618" s="1342"/>
      <c r="C4618" s="1342"/>
      <c r="D4618" s="1342"/>
      <c r="E4618" s="1342"/>
      <c r="F4618" s="1342"/>
      <c r="G4618" s="1342"/>
      <c r="H4618" s="1342"/>
      <c r="I4618" s="1342"/>
      <c r="J4618" s="1342"/>
      <c r="K4618" s="1342"/>
    </row>
    <row r="4619" spans="2:11" ht="14" hidden="1">
      <c r="B4619" s="1342"/>
      <c r="C4619" s="1342"/>
      <c r="D4619" s="1342"/>
      <c r="E4619" s="1342"/>
      <c r="F4619" s="1342"/>
      <c r="G4619" s="1342"/>
      <c r="H4619" s="1342"/>
      <c r="I4619" s="1342"/>
      <c r="J4619" s="1342"/>
      <c r="K4619" s="1342"/>
    </row>
    <row r="4620" spans="2:11" ht="14" hidden="1">
      <c r="B4620" s="1342"/>
      <c r="C4620" s="1342"/>
      <c r="D4620" s="1342"/>
      <c r="E4620" s="1342"/>
      <c r="F4620" s="1342"/>
      <c r="G4620" s="1342"/>
      <c r="H4620" s="1342"/>
      <c r="I4620" s="1342"/>
      <c r="J4620" s="1342"/>
      <c r="K4620" s="1342"/>
    </row>
    <row r="4621" spans="2:11" ht="14" hidden="1">
      <c r="B4621" s="1342"/>
      <c r="C4621" s="1342"/>
      <c r="D4621" s="1342"/>
      <c r="E4621" s="1342"/>
      <c r="F4621" s="1342"/>
      <c r="G4621" s="1342"/>
      <c r="H4621" s="1342"/>
      <c r="I4621" s="1342"/>
      <c r="J4621" s="1342"/>
      <c r="K4621" s="1342"/>
    </row>
    <row r="4622" spans="2:11" ht="14" hidden="1">
      <c r="B4622" s="1342"/>
      <c r="C4622" s="1342"/>
      <c r="D4622" s="1342"/>
      <c r="E4622" s="1342"/>
      <c r="F4622" s="1342"/>
      <c r="G4622" s="1342"/>
      <c r="H4622" s="1342"/>
      <c r="I4622" s="1342"/>
      <c r="J4622" s="1342"/>
      <c r="K4622" s="1342"/>
    </row>
    <row r="4623" spans="2:11" ht="14" hidden="1">
      <c r="B4623" s="1342"/>
      <c r="C4623" s="1342"/>
      <c r="D4623" s="1342"/>
      <c r="E4623" s="1342"/>
      <c r="F4623" s="1342"/>
      <c r="G4623" s="1342"/>
      <c r="H4623" s="1342"/>
      <c r="I4623" s="1342"/>
      <c r="J4623" s="1342"/>
      <c r="K4623" s="1342"/>
    </row>
    <row r="4624" spans="2:11" ht="14" hidden="1">
      <c r="B4624" s="1342"/>
      <c r="C4624" s="1342"/>
      <c r="D4624" s="1342"/>
      <c r="E4624" s="1342"/>
      <c r="F4624" s="1342"/>
      <c r="G4624" s="1342"/>
      <c r="H4624" s="1342"/>
      <c r="I4624" s="1342"/>
      <c r="J4624" s="1342"/>
      <c r="K4624" s="1342"/>
    </row>
    <row r="4625" spans="2:11" ht="14" hidden="1">
      <c r="B4625" s="1342"/>
      <c r="C4625" s="1342"/>
      <c r="D4625" s="1342"/>
      <c r="E4625" s="1342"/>
      <c r="F4625" s="1342"/>
      <c r="G4625" s="1342"/>
      <c r="H4625" s="1342"/>
      <c r="I4625" s="1342"/>
      <c r="J4625" s="1342"/>
      <c r="K4625" s="1342"/>
    </row>
    <row r="4626" spans="2:11" ht="14" hidden="1">
      <c r="B4626" s="1342"/>
      <c r="C4626" s="1342"/>
      <c r="D4626" s="1342"/>
      <c r="E4626" s="1342"/>
      <c r="F4626" s="1342"/>
      <c r="G4626" s="1342"/>
      <c r="H4626" s="1342"/>
      <c r="I4626" s="1342"/>
      <c r="J4626" s="1342"/>
      <c r="K4626" s="1342"/>
    </row>
    <row r="4627" spans="2:11" ht="14" hidden="1">
      <c r="B4627" s="1342"/>
      <c r="C4627" s="1342"/>
      <c r="D4627" s="1342"/>
      <c r="E4627" s="1342"/>
      <c r="F4627" s="1342"/>
      <c r="G4627" s="1342"/>
      <c r="H4627" s="1342"/>
      <c r="I4627" s="1342"/>
      <c r="J4627" s="1342"/>
      <c r="K4627" s="1342"/>
    </row>
    <row r="4628" spans="2:11" ht="14" hidden="1">
      <c r="B4628" s="1342"/>
      <c r="C4628" s="1342"/>
      <c r="D4628" s="1342"/>
      <c r="E4628" s="1342"/>
      <c r="F4628" s="1342"/>
      <c r="G4628" s="1342"/>
      <c r="H4628" s="1342"/>
      <c r="I4628" s="1342"/>
      <c r="J4628" s="1342"/>
      <c r="K4628" s="1342"/>
    </row>
    <row r="4629" spans="2:11" ht="14" hidden="1">
      <c r="B4629" s="1342"/>
      <c r="C4629" s="1342"/>
      <c r="D4629" s="1342"/>
      <c r="E4629" s="1342"/>
      <c r="F4629" s="1342"/>
      <c r="G4629" s="1342"/>
      <c r="H4629" s="1342"/>
      <c r="I4629" s="1342"/>
      <c r="J4629" s="1342"/>
      <c r="K4629" s="1342"/>
    </row>
    <row r="4630" spans="2:11" ht="14" hidden="1">
      <c r="B4630" s="1342"/>
      <c r="C4630" s="1342"/>
      <c r="D4630" s="1342"/>
      <c r="E4630" s="1342"/>
      <c r="F4630" s="1342"/>
      <c r="G4630" s="1342"/>
      <c r="H4630" s="1342"/>
      <c r="I4630" s="1342"/>
      <c r="J4630" s="1342"/>
      <c r="K4630" s="1342"/>
    </row>
    <row r="4631" spans="2:11" ht="14" hidden="1">
      <c r="B4631" s="1342"/>
      <c r="C4631" s="1342"/>
      <c r="D4631" s="1342"/>
      <c r="E4631" s="1342"/>
      <c r="F4631" s="1342"/>
      <c r="G4631" s="1342"/>
      <c r="H4631" s="1342"/>
      <c r="I4631" s="1342"/>
      <c r="J4631" s="1342"/>
      <c r="K4631" s="1342"/>
    </row>
    <row r="4632" spans="2:11" ht="14" hidden="1">
      <c r="B4632" s="1342"/>
      <c r="C4632" s="1342"/>
      <c r="D4632" s="1342"/>
      <c r="E4632" s="1342"/>
      <c r="F4632" s="1342"/>
      <c r="G4632" s="1342"/>
      <c r="H4632" s="1342"/>
      <c r="I4632" s="1342"/>
      <c r="J4632" s="1342"/>
      <c r="K4632" s="1342"/>
    </row>
    <row r="4633" spans="2:11" ht="14" hidden="1">
      <c r="B4633" s="1342"/>
      <c r="C4633" s="1342"/>
      <c r="D4633" s="1342"/>
      <c r="E4633" s="1342"/>
      <c r="F4633" s="1342"/>
      <c r="G4633" s="1342"/>
      <c r="H4633" s="1342"/>
      <c r="I4633" s="1342"/>
      <c r="J4633" s="1342"/>
      <c r="K4633" s="1342"/>
    </row>
    <row r="4634" spans="2:11" ht="14" hidden="1">
      <c r="B4634" s="1342"/>
      <c r="C4634" s="1342"/>
      <c r="D4634" s="1342"/>
      <c r="E4634" s="1342"/>
      <c r="F4634" s="1342"/>
      <c r="G4634" s="1342"/>
      <c r="H4634" s="1342"/>
      <c r="I4634" s="1342"/>
      <c r="J4634" s="1342"/>
      <c r="K4634" s="1342"/>
    </row>
    <row r="4635" spans="2:11" ht="14" hidden="1">
      <c r="B4635" s="1342"/>
      <c r="C4635" s="1342"/>
      <c r="D4635" s="1342"/>
      <c r="E4635" s="1342"/>
      <c r="F4635" s="1342"/>
      <c r="G4635" s="1342"/>
      <c r="H4635" s="1342"/>
      <c r="I4635" s="1342"/>
      <c r="J4635" s="1342"/>
      <c r="K4635" s="1342"/>
    </row>
    <row r="4636" spans="2:11" ht="14" hidden="1">
      <c r="B4636" s="1342"/>
      <c r="C4636" s="1342"/>
      <c r="D4636" s="1342"/>
      <c r="E4636" s="1342"/>
      <c r="F4636" s="1342"/>
      <c r="G4636" s="1342"/>
      <c r="H4636" s="1342"/>
      <c r="I4636" s="1342"/>
      <c r="J4636" s="1342"/>
      <c r="K4636" s="1342"/>
    </row>
    <row r="4637" spans="2:11" ht="14" hidden="1">
      <c r="B4637" s="1342"/>
      <c r="C4637" s="1342"/>
      <c r="D4637" s="1342"/>
      <c r="E4637" s="1342"/>
      <c r="F4637" s="1342"/>
      <c r="G4637" s="1342"/>
      <c r="H4637" s="1342"/>
      <c r="I4637" s="1342"/>
      <c r="J4637" s="1342"/>
      <c r="K4637" s="1342"/>
    </row>
    <row r="4638" spans="2:11" ht="14" hidden="1">
      <c r="B4638" s="1342"/>
      <c r="C4638" s="1342"/>
      <c r="D4638" s="1342"/>
      <c r="E4638" s="1342"/>
      <c r="F4638" s="1342"/>
      <c r="G4638" s="1342"/>
      <c r="H4638" s="1342"/>
      <c r="I4638" s="1342"/>
      <c r="J4638" s="1342"/>
      <c r="K4638" s="1342"/>
    </row>
    <row r="4639" spans="2:11" ht="14" hidden="1">
      <c r="B4639" s="1342"/>
      <c r="C4639" s="1342"/>
      <c r="D4639" s="1342"/>
      <c r="E4639" s="1342"/>
      <c r="F4639" s="1342"/>
      <c r="G4639" s="1342"/>
      <c r="H4639" s="1342"/>
      <c r="I4639" s="1342"/>
      <c r="J4639" s="1342"/>
      <c r="K4639" s="1342"/>
    </row>
    <row r="4640" spans="2:11" ht="14" hidden="1">
      <c r="B4640" s="1342"/>
      <c r="C4640" s="1342"/>
      <c r="D4640" s="1342"/>
      <c r="E4640" s="1342"/>
      <c r="F4640" s="1342"/>
      <c r="G4640" s="1342"/>
      <c r="H4640" s="1342"/>
      <c r="I4640" s="1342"/>
      <c r="J4640" s="1342"/>
      <c r="K4640" s="1342"/>
    </row>
    <row r="4641" spans="2:11" ht="14" hidden="1">
      <c r="B4641" s="1342"/>
      <c r="C4641" s="1342"/>
      <c r="D4641" s="1342"/>
      <c r="E4641" s="1342"/>
      <c r="F4641" s="1342"/>
      <c r="G4641" s="1342"/>
      <c r="H4641" s="1342"/>
      <c r="I4641" s="1342"/>
      <c r="J4641" s="1342"/>
      <c r="K4641" s="1342"/>
    </row>
    <row r="4642" spans="2:11" ht="14" hidden="1">
      <c r="B4642" s="1342"/>
      <c r="C4642" s="1342"/>
      <c r="D4642" s="1342"/>
      <c r="E4642" s="1342"/>
      <c r="F4642" s="1342"/>
      <c r="G4642" s="1342"/>
      <c r="H4642" s="1342"/>
      <c r="I4642" s="1342"/>
      <c r="J4642" s="1342"/>
      <c r="K4642" s="1342"/>
    </row>
    <row r="4643" spans="2:11" ht="14" hidden="1">
      <c r="B4643" s="1342"/>
      <c r="C4643" s="1342"/>
      <c r="D4643" s="1342"/>
      <c r="E4643" s="1342"/>
      <c r="F4643" s="1342"/>
      <c r="G4643" s="1342"/>
      <c r="H4643" s="1342"/>
      <c r="I4643" s="1342"/>
      <c r="J4643" s="1342"/>
      <c r="K4643" s="1342"/>
    </row>
    <row r="4644" spans="2:11" ht="14" hidden="1">
      <c r="B4644" s="1342"/>
      <c r="C4644" s="1342"/>
      <c r="D4644" s="1342"/>
      <c r="E4644" s="1342"/>
      <c r="F4644" s="1342"/>
      <c r="G4644" s="1342"/>
      <c r="H4644" s="1342"/>
      <c r="I4644" s="1342"/>
      <c r="J4644" s="1342"/>
      <c r="K4644" s="1342"/>
    </row>
    <row r="4645" spans="2:11" ht="14" hidden="1">
      <c r="B4645" s="1342"/>
      <c r="C4645" s="1342"/>
      <c r="D4645" s="1342"/>
      <c r="E4645" s="1342"/>
      <c r="F4645" s="1342"/>
      <c r="G4645" s="1342"/>
      <c r="H4645" s="1342"/>
      <c r="I4645" s="1342"/>
      <c r="J4645" s="1342"/>
      <c r="K4645" s="1342"/>
    </row>
    <row r="4646" spans="2:11" ht="14" hidden="1">
      <c r="B4646" s="1342"/>
      <c r="C4646" s="1342"/>
      <c r="D4646" s="1342"/>
      <c r="E4646" s="1342"/>
      <c r="F4646" s="1342"/>
      <c r="G4646" s="1342"/>
      <c r="H4646" s="1342"/>
      <c r="I4646" s="1342"/>
      <c r="J4646" s="1342"/>
      <c r="K4646" s="1342"/>
    </row>
    <row r="4647" spans="2:11" ht="14" hidden="1">
      <c r="B4647" s="1342"/>
      <c r="C4647" s="1342"/>
      <c r="D4647" s="1342"/>
      <c r="E4647" s="1342"/>
      <c r="F4647" s="1342"/>
      <c r="G4647" s="1342"/>
      <c r="H4647" s="1342"/>
      <c r="I4647" s="1342"/>
      <c r="J4647" s="1342"/>
      <c r="K4647" s="1342"/>
    </row>
    <row r="4648" spans="2:11" ht="14" hidden="1">
      <c r="B4648" s="1342"/>
      <c r="C4648" s="1342"/>
      <c r="D4648" s="1342"/>
      <c r="E4648" s="1342"/>
      <c r="F4648" s="1342"/>
      <c r="G4648" s="1342"/>
      <c r="H4648" s="1342"/>
      <c r="I4648" s="1342"/>
      <c r="J4648" s="1342"/>
      <c r="K4648" s="1342"/>
    </row>
    <row r="4649" spans="2:11" ht="14" hidden="1">
      <c r="B4649" s="1342"/>
      <c r="C4649" s="1342"/>
      <c r="D4649" s="1342"/>
      <c r="E4649" s="1342"/>
      <c r="F4649" s="1342"/>
      <c r="G4649" s="1342"/>
      <c r="H4649" s="1342"/>
      <c r="I4649" s="1342"/>
      <c r="J4649" s="1342"/>
      <c r="K4649" s="1342"/>
    </row>
    <row r="4650" spans="2:11" ht="14" hidden="1">
      <c r="B4650" s="1342"/>
      <c r="C4650" s="1342"/>
      <c r="D4650" s="1342"/>
      <c r="E4650" s="1342"/>
      <c r="F4650" s="1342"/>
      <c r="G4650" s="1342"/>
      <c r="H4650" s="1342"/>
      <c r="I4650" s="1342"/>
      <c r="J4650" s="1342"/>
      <c r="K4650" s="1342"/>
    </row>
    <row r="4651" spans="2:11" ht="14" hidden="1">
      <c r="B4651" s="1342"/>
      <c r="C4651" s="1342"/>
      <c r="D4651" s="1342"/>
      <c r="E4651" s="1342"/>
      <c r="F4651" s="1342"/>
      <c r="G4651" s="1342"/>
      <c r="H4651" s="1342"/>
      <c r="I4651" s="1342"/>
      <c r="J4651" s="1342"/>
      <c r="K4651" s="1342"/>
    </row>
    <row r="4652" spans="2:11" ht="14" hidden="1">
      <c r="B4652" s="1342"/>
      <c r="C4652" s="1342"/>
      <c r="D4652" s="1342"/>
      <c r="E4652" s="1342"/>
      <c r="F4652" s="1342"/>
      <c r="G4652" s="1342"/>
      <c r="H4652" s="1342"/>
      <c r="I4652" s="1342"/>
      <c r="J4652" s="1342"/>
      <c r="K4652" s="1342"/>
    </row>
    <row r="4653" spans="2:11" ht="14" hidden="1">
      <c r="B4653" s="1342"/>
      <c r="C4653" s="1342"/>
      <c r="D4653" s="1342"/>
      <c r="E4653" s="1342"/>
      <c r="F4653" s="1342"/>
      <c r="G4653" s="1342"/>
      <c r="H4653" s="1342"/>
      <c r="I4653" s="1342"/>
      <c r="J4653" s="1342"/>
      <c r="K4653" s="1342"/>
    </row>
    <row r="4654" spans="2:11" ht="14" hidden="1">
      <c r="B4654" s="1342"/>
      <c r="C4654" s="1342"/>
      <c r="D4654" s="1342"/>
      <c r="E4654" s="1342"/>
      <c r="F4654" s="1342"/>
      <c r="G4654" s="1342"/>
      <c r="H4654" s="1342"/>
      <c r="I4654" s="1342"/>
      <c r="J4654" s="1342"/>
      <c r="K4654" s="1342"/>
    </row>
    <row r="4655" spans="2:11" ht="14" hidden="1">
      <c r="B4655" s="1342"/>
      <c r="C4655" s="1342"/>
      <c r="D4655" s="1342"/>
      <c r="E4655" s="1342"/>
      <c r="F4655" s="1342"/>
      <c r="G4655" s="1342"/>
      <c r="H4655" s="1342"/>
      <c r="I4655" s="1342"/>
      <c r="J4655" s="1342"/>
      <c r="K4655" s="1342"/>
    </row>
    <row r="4656" spans="2:11" ht="14" hidden="1">
      <c r="B4656" s="1342"/>
      <c r="C4656" s="1342"/>
      <c r="D4656" s="1342"/>
      <c r="E4656" s="1342"/>
      <c r="F4656" s="1342"/>
      <c r="G4656" s="1342"/>
      <c r="H4656" s="1342"/>
      <c r="I4656" s="1342"/>
      <c r="J4656" s="1342"/>
      <c r="K4656" s="1342"/>
    </row>
    <row r="4657" spans="2:11" ht="14" hidden="1">
      <c r="B4657" s="1342"/>
      <c r="C4657" s="1342"/>
      <c r="D4657" s="1342"/>
      <c r="E4657" s="1342"/>
      <c r="F4657" s="1342"/>
      <c r="G4657" s="1342"/>
      <c r="H4657" s="1342"/>
      <c r="I4657" s="1342"/>
      <c r="J4657" s="1342"/>
      <c r="K4657" s="1342"/>
    </row>
    <row r="4658" spans="2:11" ht="14" hidden="1">
      <c r="B4658" s="1342"/>
      <c r="C4658" s="1342"/>
      <c r="D4658" s="1342"/>
      <c r="E4658" s="1342"/>
      <c r="F4658" s="1342"/>
      <c r="G4658" s="1342"/>
      <c r="H4658" s="1342"/>
      <c r="I4658" s="1342"/>
      <c r="J4658" s="1342"/>
      <c r="K4658" s="1342"/>
    </row>
    <row r="4659" spans="2:11" ht="14" hidden="1">
      <c r="B4659" s="1342"/>
      <c r="C4659" s="1342"/>
      <c r="D4659" s="1342"/>
      <c r="E4659" s="1342"/>
      <c r="F4659" s="1342"/>
      <c r="G4659" s="1342"/>
      <c r="H4659" s="1342"/>
      <c r="I4659" s="1342"/>
      <c r="J4659" s="1342"/>
      <c r="K4659" s="1342"/>
    </row>
    <row r="4660" spans="2:11" ht="14" hidden="1">
      <c r="B4660" s="1342"/>
      <c r="C4660" s="1342"/>
      <c r="D4660" s="1342"/>
      <c r="E4660" s="1342"/>
      <c r="F4660" s="1342"/>
      <c r="G4660" s="1342"/>
      <c r="H4660" s="1342"/>
      <c r="I4660" s="1342"/>
      <c r="J4660" s="1342"/>
      <c r="K4660" s="1342"/>
    </row>
    <row r="4661" spans="2:11" ht="14" hidden="1">
      <c r="B4661" s="1342"/>
      <c r="C4661" s="1342"/>
      <c r="D4661" s="1342"/>
      <c r="E4661" s="1342"/>
      <c r="F4661" s="1342"/>
      <c r="G4661" s="1342"/>
      <c r="H4661" s="1342"/>
      <c r="I4661" s="1342"/>
      <c r="J4661" s="1342"/>
      <c r="K4661" s="1342"/>
    </row>
    <row r="4662" spans="2:11" ht="14" hidden="1">
      <c r="B4662" s="1342"/>
      <c r="C4662" s="1342"/>
      <c r="D4662" s="1342"/>
      <c r="E4662" s="1342"/>
      <c r="F4662" s="1342"/>
      <c r="G4662" s="1342"/>
      <c r="H4662" s="1342"/>
      <c r="I4662" s="1342"/>
      <c r="J4662" s="1342"/>
      <c r="K4662" s="1342"/>
    </row>
    <row r="4663" spans="2:11" ht="14" hidden="1">
      <c r="B4663" s="1342"/>
      <c r="C4663" s="1342"/>
      <c r="D4663" s="1342"/>
      <c r="E4663" s="1342"/>
      <c r="F4663" s="1342"/>
      <c r="G4663" s="1342"/>
      <c r="H4663" s="1342"/>
      <c r="I4663" s="1342"/>
      <c r="J4663" s="1342"/>
      <c r="K4663" s="1342"/>
    </row>
    <row r="4664" spans="2:11" ht="14" hidden="1">
      <c r="B4664" s="1342"/>
      <c r="C4664" s="1342"/>
      <c r="D4664" s="1342"/>
      <c r="E4664" s="1342"/>
      <c r="F4664" s="1342"/>
      <c r="G4664" s="1342"/>
      <c r="H4664" s="1342"/>
      <c r="I4664" s="1342"/>
      <c r="J4664" s="1342"/>
      <c r="K4664" s="1342"/>
    </row>
    <row r="4665" spans="2:11" ht="14" hidden="1">
      <c r="B4665" s="1342"/>
      <c r="C4665" s="1342"/>
      <c r="D4665" s="1342"/>
      <c r="E4665" s="1342"/>
      <c r="F4665" s="1342"/>
      <c r="G4665" s="1342"/>
      <c r="H4665" s="1342"/>
      <c r="I4665" s="1342"/>
      <c r="J4665" s="1342"/>
      <c r="K4665" s="1342"/>
    </row>
    <row r="4666" spans="2:11" ht="14" hidden="1">
      <c r="B4666" s="1342"/>
      <c r="C4666" s="1342"/>
      <c r="D4666" s="1342"/>
      <c r="E4666" s="1342"/>
      <c r="F4666" s="1342"/>
      <c r="G4666" s="1342"/>
      <c r="H4666" s="1342"/>
      <c r="I4666" s="1342"/>
      <c r="J4666" s="1342"/>
      <c r="K4666" s="1342"/>
    </row>
    <row r="4667" spans="2:11" ht="14" hidden="1">
      <c r="B4667" s="1342"/>
      <c r="C4667" s="1342"/>
      <c r="D4667" s="1342"/>
      <c r="E4667" s="1342"/>
      <c r="F4667" s="1342"/>
      <c r="G4667" s="1342"/>
      <c r="H4667" s="1342"/>
      <c r="I4667" s="1342"/>
      <c r="J4667" s="1342"/>
      <c r="K4667" s="1342"/>
    </row>
    <row r="4668" spans="2:11" ht="14" hidden="1">
      <c r="B4668" s="1342"/>
      <c r="C4668" s="1342"/>
      <c r="D4668" s="1342"/>
      <c r="E4668" s="1342"/>
      <c r="F4668" s="1342"/>
      <c r="G4668" s="1342"/>
      <c r="H4668" s="1342"/>
      <c r="I4668" s="1342"/>
      <c r="J4668" s="1342"/>
      <c r="K4668" s="1342"/>
    </row>
    <row r="4669" spans="2:11" ht="14" hidden="1">
      <c r="B4669" s="1342"/>
      <c r="C4669" s="1342"/>
      <c r="D4669" s="1342"/>
      <c r="E4669" s="1342"/>
      <c r="F4669" s="1342"/>
      <c r="G4669" s="1342"/>
      <c r="H4669" s="1342"/>
      <c r="I4669" s="1342"/>
      <c r="J4669" s="1342"/>
      <c r="K4669" s="1342"/>
    </row>
    <row r="4670" spans="2:11" ht="14" hidden="1">
      <c r="B4670" s="1342"/>
      <c r="C4670" s="1342"/>
      <c r="D4670" s="1342"/>
      <c r="E4670" s="1342"/>
      <c r="F4670" s="1342"/>
      <c r="G4670" s="1342"/>
      <c r="H4670" s="1342"/>
      <c r="I4670" s="1342"/>
      <c r="J4670" s="1342"/>
      <c r="K4670" s="1342"/>
    </row>
    <row r="4671" spans="2:11" ht="14" hidden="1">
      <c r="B4671" s="1342"/>
      <c r="C4671" s="1342"/>
      <c r="D4671" s="1342"/>
      <c r="E4671" s="1342"/>
      <c r="F4671" s="1342"/>
      <c r="G4671" s="1342"/>
      <c r="H4671" s="1342"/>
      <c r="I4671" s="1342"/>
      <c r="J4671" s="1342"/>
      <c r="K4671" s="1342"/>
    </row>
    <row r="4672" spans="2:11" ht="14" hidden="1">
      <c r="B4672" s="1342"/>
      <c r="C4672" s="1342"/>
      <c r="D4672" s="1342"/>
      <c r="E4672" s="1342"/>
      <c r="F4672" s="1342"/>
      <c r="G4672" s="1342"/>
      <c r="H4672" s="1342"/>
      <c r="I4672" s="1342"/>
      <c r="J4672" s="1342"/>
      <c r="K4672" s="1342"/>
    </row>
    <row r="4673" spans="2:11" ht="14" hidden="1">
      <c r="B4673" s="1342"/>
      <c r="C4673" s="1342"/>
      <c r="D4673" s="1342"/>
      <c r="E4673" s="1342"/>
      <c r="F4673" s="1342"/>
      <c r="G4673" s="1342"/>
      <c r="H4673" s="1342"/>
      <c r="I4673" s="1342"/>
      <c r="J4673" s="1342"/>
      <c r="K4673" s="1342"/>
    </row>
    <row r="4674" spans="2:11" ht="14" hidden="1">
      <c r="B4674" s="1342"/>
      <c r="C4674" s="1342"/>
      <c r="D4674" s="1342"/>
      <c r="E4674" s="1342"/>
      <c r="F4674" s="1342"/>
      <c r="G4674" s="1342"/>
      <c r="H4674" s="1342"/>
      <c r="I4674" s="1342"/>
      <c r="J4674" s="1342"/>
      <c r="K4674" s="1342"/>
    </row>
    <row r="4675" spans="2:11" ht="14" hidden="1">
      <c r="B4675" s="1342"/>
      <c r="C4675" s="1342"/>
      <c r="D4675" s="1342"/>
      <c r="E4675" s="1342"/>
      <c r="F4675" s="1342"/>
      <c r="G4675" s="1342"/>
      <c r="H4675" s="1342"/>
      <c r="I4675" s="1342"/>
      <c r="J4675" s="1342"/>
      <c r="K4675" s="1342"/>
    </row>
    <row r="4676" spans="2:11" ht="14" hidden="1">
      <c r="B4676" s="1342"/>
      <c r="C4676" s="1342"/>
      <c r="D4676" s="1342"/>
      <c r="E4676" s="1342"/>
      <c r="F4676" s="1342"/>
      <c r="G4676" s="1342"/>
      <c r="H4676" s="1342"/>
      <c r="I4676" s="1342"/>
      <c r="J4676" s="1342"/>
      <c r="K4676" s="1342"/>
    </row>
    <row r="4677" spans="2:11" ht="14" hidden="1">
      <c r="B4677" s="1342"/>
      <c r="C4677" s="1342"/>
      <c r="D4677" s="1342"/>
      <c r="E4677" s="1342"/>
      <c r="F4677" s="1342"/>
      <c r="G4677" s="1342"/>
      <c r="H4677" s="1342"/>
      <c r="I4677" s="1342"/>
      <c r="J4677" s="1342"/>
      <c r="K4677" s="1342"/>
    </row>
    <row r="4678" spans="2:11" ht="14" hidden="1">
      <c r="B4678" s="1342"/>
      <c r="C4678" s="1342"/>
      <c r="D4678" s="1342"/>
      <c r="E4678" s="1342"/>
      <c r="F4678" s="1342"/>
      <c r="G4678" s="1342"/>
      <c r="H4678" s="1342"/>
      <c r="I4678" s="1342"/>
      <c r="J4678" s="1342"/>
      <c r="K4678" s="1342"/>
    </row>
    <row r="4679" spans="2:11" ht="14" hidden="1">
      <c r="B4679" s="1342"/>
      <c r="C4679" s="1342"/>
      <c r="D4679" s="1342"/>
      <c r="E4679" s="1342"/>
      <c r="F4679" s="1342"/>
      <c r="G4679" s="1342"/>
      <c r="H4679" s="1342"/>
      <c r="I4679" s="1342"/>
      <c r="J4679" s="1342"/>
      <c r="K4679" s="1342"/>
    </row>
    <row r="4680" spans="2:11" ht="14" hidden="1">
      <c r="B4680" s="1342"/>
      <c r="C4680" s="1342"/>
      <c r="D4680" s="1342"/>
      <c r="E4680" s="1342"/>
      <c r="F4680" s="1342"/>
      <c r="G4680" s="1342"/>
      <c r="H4680" s="1342"/>
      <c r="I4680" s="1342"/>
      <c r="J4680" s="1342"/>
      <c r="K4680" s="1342"/>
    </row>
    <row r="4681" spans="2:11" ht="14" hidden="1">
      <c r="B4681" s="1342"/>
      <c r="C4681" s="1342"/>
      <c r="D4681" s="1342"/>
      <c r="E4681" s="1342"/>
      <c r="F4681" s="1342"/>
      <c r="G4681" s="1342"/>
      <c r="H4681" s="1342"/>
      <c r="I4681" s="1342"/>
      <c r="J4681" s="1342"/>
      <c r="K4681" s="1342"/>
    </row>
    <row r="4682" spans="2:11" ht="14" hidden="1">
      <c r="B4682" s="1342"/>
      <c r="C4682" s="1342"/>
      <c r="D4682" s="1342"/>
      <c r="E4682" s="1342"/>
      <c r="F4682" s="1342"/>
      <c r="G4682" s="1342"/>
      <c r="H4682" s="1342"/>
      <c r="I4682" s="1342"/>
      <c r="J4682" s="1342"/>
      <c r="K4682" s="1342"/>
    </row>
    <row r="4683" spans="2:11" ht="14" hidden="1">
      <c r="B4683" s="1342"/>
      <c r="C4683" s="1342"/>
      <c r="D4683" s="1342"/>
      <c r="E4683" s="1342"/>
      <c r="F4683" s="1342"/>
      <c r="G4683" s="1342"/>
      <c r="H4683" s="1342"/>
      <c r="I4683" s="1342"/>
      <c r="J4683" s="1342"/>
      <c r="K4683" s="1342"/>
    </row>
    <row r="4684" spans="2:11" ht="14" hidden="1">
      <c r="B4684" s="1342"/>
      <c r="C4684" s="1342"/>
      <c r="D4684" s="1342"/>
      <c r="E4684" s="1342"/>
      <c r="F4684" s="1342"/>
      <c r="G4684" s="1342"/>
      <c r="H4684" s="1342"/>
      <c r="I4684" s="1342"/>
      <c r="J4684" s="1342"/>
      <c r="K4684" s="1342"/>
    </row>
    <row r="4685" spans="2:11" ht="14" hidden="1">
      <c r="B4685" s="1342"/>
      <c r="C4685" s="1342"/>
      <c r="D4685" s="1342"/>
      <c r="E4685" s="1342"/>
      <c r="F4685" s="1342"/>
      <c r="G4685" s="1342"/>
      <c r="H4685" s="1342"/>
      <c r="I4685" s="1342"/>
      <c r="J4685" s="1342"/>
      <c r="K4685" s="1342"/>
    </row>
    <row r="4686" spans="2:11" ht="14" hidden="1">
      <c r="B4686" s="1342"/>
      <c r="C4686" s="1342"/>
      <c r="D4686" s="1342"/>
      <c r="E4686" s="1342"/>
      <c r="F4686" s="1342"/>
      <c r="G4686" s="1342"/>
      <c r="H4686" s="1342"/>
      <c r="I4686" s="1342"/>
      <c r="J4686" s="1342"/>
      <c r="K4686" s="1342"/>
    </row>
    <row r="4687" spans="2:11" ht="14" hidden="1">
      <c r="B4687" s="1342"/>
      <c r="C4687" s="1342"/>
      <c r="D4687" s="1342"/>
      <c r="E4687" s="1342"/>
      <c r="F4687" s="1342"/>
      <c r="G4687" s="1342"/>
      <c r="H4687" s="1342"/>
      <c r="I4687" s="1342"/>
      <c r="J4687" s="1342"/>
      <c r="K4687" s="1342"/>
    </row>
    <row r="4688" spans="2:11" ht="14" hidden="1">
      <c r="B4688" s="1342"/>
      <c r="C4688" s="1342"/>
      <c r="D4688" s="1342"/>
      <c r="E4688" s="1342"/>
      <c r="F4688" s="1342"/>
      <c r="G4688" s="1342"/>
      <c r="H4688" s="1342"/>
      <c r="I4688" s="1342"/>
      <c r="J4688" s="1342"/>
      <c r="K4688" s="1342"/>
    </row>
    <row r="4689" spans="2:11" ht="14" hidden="1">
      <c r="B4689" s="1342"/>
      <c r="C4689" s="1342"/>
      <c r="D4689" s="1342"/>
      <c r="E4689" s="1342"/>
      <c r="F4689" s="1342"/>
      <c r="G4689" s="1342"/>
      <c r="H4689" s="1342"/>
      <c r="I4689" s="1342"/>
      <c r="J4689" s="1342"/>
      <c r="K4689" s="1342"/>
    </row>
    <row r="4690" spans="2:11" ht="14" hidden="1">
      <c r="B4690" s="1342"/>
      <c r="C4690" s="1342"/>
      <c r="D4690" s="1342"/>
      <c r="E4690" s="1342"/>
      <c r="F4690" s="1342"/>
      <c r="G4690" s="1342"/>
      <c r="H4690" s="1342"/>
      <c r="I4690" s="1342"/>
      <c r="J4690" s="1342"/>
      <c r="K4690" s="1342"/>
    </row>
    <row r="4691" spans="2:11" ht="14" hidden="1">
      <c r="B4691" s="1342"/>
      <c r="C4691" s="1342"/>
      <c r="D4691" s="1342"/>
      <c r="E4691" s="1342"/>
      <c r="F4691" s="1342"/>
      <c r="G4691" s="1342"/>
      <c r="H4691" s="1342"/>
      <c r="I4691" s="1342"/>
      <c r="J4691" s="1342"/>
      <c r="K4691" s="1342"/>
    </row>
    <row r="4692" spans="2:11" ht="14" hidden="1">
      <c r="B4692" s="1342"/>
      <c r="C4692" s="1342"/>
      <c r="D4692" s="1342"/>
      <c r="E4692" s="1342"/>
      <c r="F4692" s="1342"/>
      <c r="G4692" s="1342"/>
      <c r="H4692" s="1342"/>
      <c r="I4692" s="1342"/>
      <c r="J4692" s="1342"/>
      <c r="K4692" s="1342"/>
    </row>
    <row r="4693" spans="2:11" ht="14" hidden="1">
      <c r="B4693" s="1342"/>
      <c r="C4693" s="1342"/>
      <c r="D4693" s="1342"/>
      <c r="E4693" s="1342"/>
      <c r="F4693" s="1342"/>
      <c r="G4693" s="1342"/>
      <c r="H4693" s="1342"/>
      <c r="I4693" s="1342"/>
      <c r="J4693" s="1342"/>
      <c r="K4693" s="1342"/>
    </row>
    <row r="4694" spans="2:11" ht="14" hidden="1">
      <c r="B4694" s="1342"/>
      <c r="C4694" s="1342"/>
      <c r="D4694" s="1342"/>
      <c r="E4694" s="1342"/>
      <c r="F4694" s="1342"/>
      <c r="G4694" s="1342"/>
      <c r="H4694" s="1342"/>
      <c r="I4694" s="1342"/>
      <c r="J4694" s="1342"/>
      <c r="K4694" s="1342"/>
    </row>
    <row r="4695" spans="2:11" ht="14" hidden="1">
      <c r="B4695" s="1342"/>
      <c r="C4695" s="1342"/>
      <c r="D4695" s="1342"/>
      <c r="E4695" s="1342"/>
      <c r="F4695" s="1342"/>
      <c r="G4695" s="1342"/>
      <c r="H4695" s="1342"/>
      <c r="I4695" s="1342"/>
      <c r="J4695" s="1342"/>
      <c r="K4695" s="1342"/>
    </row>
    <row r="4696" spans="2:11" ht="14" hidden="1">
      <c r="B4696" s="1342"/>
      <c r="C4696" s="1342"/>
      <c r="D4696" s="1342"/>
      <c r="E4696" s="1342"/>
      <c r="F4696" s="1342"/>
      <c r="G4696" s="1342"/>
      <c r="H4696" s="1342"/>
      <c r="I4696" s="1342"/>
      <c r="J4696" s="1342"/>
      <c r="K4696" s="1342"/>
    </row>
    <row r="4697" spans="2:11" ht="14" hidden="1">
      <c r="B4697" s="1342"/>
      <c r="C4697" s="1342"/>
      <c r="D4697" s="1342"/>
      <c r="E4697" s="1342"/>
      <c r="F4697" s="1342"/>
      <c r="G4697" s="1342"/>
      <c r="H4697" s="1342"/>
      <c r="I4697" s="1342"/>
      <c r="J4697" s="1342"/>
      <c r="K4697" s="1342"/>
    </row>
    <row r="4698" spans="2:11" ht="14" hidden="1">
      <c r="B4698" s="1342"/>
      <c r="C4698" s="1342"/>
      <c r="D4698" s="1342"/>
      <c r="E4698" s="1342"/>
      <c r="F4698" s="1342"/>
      <c r="G4698" s="1342"/>
      <c r="H4698" s="1342"/>
      <c r="I4698" s="1342"/>
      <c r="J4698" s="1342"/>
      <c r="K4698" s="1342"/>
    </row>
    <row r="4699" spans="2:11" ht="14" hidden="1">
      <c r="B4699" s="1342"/>
      <c r="C4699" s="1342"/>
      <c r="D4699" s="1342"/>
      <c r="E4699" s="1342"/>
      <c r="F4699" s="1342"/>
      <c r="G4699" s="1342"/>
      <c r="H4699" s="1342"/>
      <c r="I4699" s="1342"/>
      <c r="J4699" s="1342"/>
      <c r="K4699" s="1342"/>
    </row>
    <row r="4700" spans="2:11" ht="14" hidden="1">
      <c r="B4700" s="1342"/>
      <c r="C4700" s="1342"/>
      <c r="D4700" s="1342"/>
      <c r="E4700" s="1342"/>
      <c r="F4700" s="1342"/>
      <c r="G4700" s="1342"/>
      <c r="H4700" s="1342"/>
      <c r="I4700" s="1342"/>
      <c r="J4700" s="1342"/>
      <c r="K4700" s="1342"/>
    </row>
    <row r="4701" spans="2:11" ht="14" hidden="1">
      <c r="B4701" s="1342"/>
      <c r="C4701" s="1342"/>
      <c r="D4701" s="1342"/>
      <c r="E4701" s="1342"/>
      <c r="F4701" s="1342"/>
      <c r="G4701" s="1342"/>
      <c r="H4701" s="1342"/>
      <c r="I4701" s="1342"/>
      <c r="J4701" s="1342"/>
      <c r="K4701" s="1342"/>
    </row>
    <row r="4702" spans="2:11" ht="14" hidden="1">
      <c r="B4702" s="1342"/>
      <c r="C4702" s="1342"/>
      <c r="D4702" s="1342"/>
      <c r="E4702" s="1342"/>
      <c r="F4702" s="1342"/>
      <c r="G4702" s="1342"/>
      <c r="H4702" s="1342"/>
      <c r="I4702" s="1342"/>
      <c r="J4702" s="1342"/>
      <c r="K4702" s="1342"/>
    </row>
    <row r="4703" spans="2:11" ht="14" hidden="1">
      <c r="B4703" s="1342"/>
      <c r="C4703" s="1342"/>
      <c r="D4703" s="1342"/>
      <c r="E4703" s="1342"/>
      <c r="F4703" s="1342"/>
      <c r="G4703" s="1342"/>
      <c r="H4703" s="1342"/>
      <c r="I4703" s="1342"/>
      <c r="J4703" s="1342"/>
      <c r="K4703" s="1342"/>
    </row>
    <row r="4704" spans="2:11" ht="14" hidden="1">
      <c r="B4704" s="1342"/>
      <c r="C4704" s="1342"/>
      <c r="D4704" s="1342"/>
      <c r="E4704" s="1342"/>
      <c r="F4704" s="1342"/>
      <c r="G4704" s="1342"/>
      <c r="H4704" s="1342"/>
      <c r="I4704" s="1342"/>
      <c r="J4704" s="1342"/>
      <c r="K4704" s="1342"/>
    </row>
    <row r="4705" spans="2:11" ht="14" hidden="1">
      <c r="B4705" s="1342"/>
      <c r="C4705" s="1342"/>
      <c r="D4705" s="1342"/>
      <c r="E4705" s="1342"/>
      <c r="F4705" s="1342"/>
      <c r="G4705" s="1342"/>
      <c r="H4705" s="1342"/>
      <c r="I4705" s="1342"/>
      <c r="J4705" s="1342"/>
      <c r="K4705" s="1342"/>
    </row>
    <row r="4706" spans="2:11" ht="14" hidden="1">
      <c r="B4706" s="1342"/>
      <c r="C4706" s="1342"/>
      <c r="D4706" s="1342"/>
      <c r="E4706" s="1342"/>
      <c r="F4706" s="1342"/>
      <c r="G4706" s="1342"/>
      <c r="H4706" s="1342"/>
      <c r="I4706" s="1342"/>
      <c r="J4706" s="1342"/>
      <c r="K4706" s="1342"/>
    </row>
    <row r="4707" spans="2:11" ht="14" hidden="1">
      <c r="B4707" s="1342"/>
      <c r="C4707" s="1342"/>
      <c r="D4707" s="1342"/>
      <c r="E4707" s="1342"/>
      <c r="F4707" s="1342"/>
      <c r="G4707" s="1342"/>
      <c r="H4707" s="1342"/>
      <c r="I4707" s="1342"/>
      <c r="J4707" s="1342"/>
      <c r="K4707" s="1342"/>
    </row>
    <row r="4708" spans="2:11" ht="14" hidden="1">
      <c r="B4708" s="1342"/>
      <c r="C4708" s="1342"/>
      <c r="D4708" s="1342"/>
      <c r="E4708" s="1342"/>
      <c r="F4708" s="1342"/>
      <c r="G4708" s="1342"/>
      <c r="H4708" s="1342"/>
      <c r="I4708" s="1342"/>
      <c r="J4708" s="1342"/>
      <c r="K4708" s="1342"/>
    </row>
    <row r="4709" spans="2:11" ht="14" hidden="1">
      <c r="B4709" s="1342"/>
      <c r="C4709" s="1342"/>
      <c r="D4709" s="1342"/>
      <c r="E4709" s="1342"/>
      <c r="F4709" s="1342"/>
      <c r="G4709" s="1342"/>
      <c r="H4709" s="1342"/>
      <c r="I4709" s="1342"/>
      <c r="J4709" s="1342"/>
      <c r="K4709" s="1342"/>
    </row>
    <row r="4710" spans="2:11" ht="14" hidden="1">
      <c r="B4710" s="1342"/>
      <c r="C4710" s="1342"/>
      <c r="D4710" s="1342"/>
      <c r="E4710" s="1342"/>
      <c r="F4710" s="1342"/>
      <c r="G4710" s="1342"/>
      <c r="H4710" s="1342"/>
      <c r="I4710" s="1342"/>
      <c r="J4710" s="1342"/>
      <c r="K4710" s="1342"/>
    </row>
    <row r="4711" spans="2:11" ht="14" hidden="1">
      <c r="B4711" s="1342"/>
      <c r="C4711" s="1342"/>
      <c r="D4711" s="1342"/>
      <c r="E4711" s="1342"/>
      <c r="F4711" s="1342"/>
      <c r="G4711" s="1342"/>
      <c r="H4711" s="1342"/>
      <c r="I4711" s="1342"/>
      <c r="J4711" s="1342"/>
      <c r="K4711" s="1342"/>
    </row>
    <row r="4712" spans="2:11" ht="14" hidden="1">
      <c r="B4712" s="1342"/>
      <c r="C4712" s="1342"/>
      <c r="D4712" s="1342"/>
      <c r="E4712" s="1342"/>
      <c r="F4712" s="1342"/>
      <c r="G4712" s="1342"/>
      <c r="H4712" s="1342"/>
      <c r="I4712" s="1342"/>
      <c r="J4712" s="1342"/>
      <c r="K4712" s="1342"/>
    </row>
    <row r="4713" spans="2:11" ht="14" hidden="1">
      <c r="B4713" s="1342"/>
      <c r="C4713" s="1342"/>
      <c r="D4713" s="1342"/>
      <c r="E4713" s="1342"/>
      <c r="F4713" s="1342"/>
      <c r="G4713" s="1342"/>
      <c r="H4713" s="1342"/>
      <c r="I4713" s="1342"/>
      <c r="J4713" s="1342"/>
      <c r="K4713" s="1342"/>
    </row>
    <row r="4714" spans="2:11" ht="14" hidden="1">
      <c r="B4714" s="1342"/>
      <c r="C4714" s="1342"/>
      <c r="D4714" s="1342"/>
      <c r="E4714" s="1342"/>
      <c r="F4714" s="1342"/>
      <c r="G4714" s="1342"/>
      <c r="H4714" s="1342"/>
      <c r="I4714" s="1342"/>
      <c r="J4714" s="1342"/>
      <c r="K4714" s="1342"/>
    </row>
    <row r="4715" spans="2:11" ht="14" hidden="1">
      <c r="B4715" s="1342"/>
      <c r="C4715" s="1342"/>
      <c r="D4715" s="1342"/>
      <c r="E4715" s="1342"/>
      <c r="F4715" s="1342"/>
      <c r="G4715" s="1342"/>
      <c r="H4715" s="1342"/>
      <c r="I4715" s="1342"/>
      <c r="J4715" s="1342"/>
      <c r="K4715" s="1342"/>
    </row>
    <row r="4716" spans="2:11" ht="14" hidden="1">
      <c r="B4716" s="1342"/>
      <c r="C4716" s="1342"/>
      <c r="D4716" s="1342"/>
      <c r="E4716" s="1342"/>
      <c r="F4716" s="1342"/>
      <c r="G4716" s="1342"/>
      <c r="H4716" s="1342"/>
      <c r="I4716" s="1342"/>
      <c r="J4716" s="1342"/>
      <c r="K4716" s="1342"/>
    </row>
    <row r="4717" spans="2:11" ht="14" hidden="1">
      <c r="B4717" s="1342"/>
      <c r="C4717" s="1342"/>
      <c r="D4717" s="1342"/>
      <c r="E4717" s="1342"/>
      <c r="F4717" s="1342"/>
      <c r="G4717" s="1342"/>
      <c r="H4717" s="1342"/>
      <c r="I4717" s="1342"/>
      <c r="J4717" s="1342"/>
      <c r="K4717" s="1342"/>
    </row>
    <row r="4718" spans="2:11" ht="14" hidden="1">
      <c r="B4718" s="1342"/>
      <c r="C4718" s="1342"/>
      <c r="D4718" s="1342"/>
      <c r="E4718" s="1342"/>
      <c r="F4718" s="1342"/>
      <c r="G4718" s="1342"/>
      <c r="H4718" s="1342"/>
      <c r="I4718" s="1342"/>
      <c r="J4718" s="1342"/>
      <c r="K4718" s="1342"/>
    </row>
    <row r="4719" spans="2:11" ht="14" hidden="1">
      <c r="B4719" s="1342"/>
      <c r="C4719" s="1342"/>
      <c r="D4719" s="1342"/>
      <c r="E4719" s="1342"/>
      <c r="F4719" s="1342"/>
      <c r="G4719" s="1342"/>
      <c r="H4719" s="1342"/>
      <c r="I4719" s="1342"/>
      <c r="J4719" s="1342"/>
      <c r="K4719" s="1342"/>
    </row>
    <row r="4720" spans="2:11" ht="14" hidden="1">
      <c r="B4720" s="1342"/>
      <c r="C4720" s="1342"/>
      <c r="D4720" s="1342"/>
      <c r="E4720" s="1342"/>
      <c r="F4720" s="1342"/>
      <c r="G4720" s="1342"/>
      <c r="H4720" s="1342"/>
      <c r="I4720" s="1342"/>
      <c r="J4720" s="1342"/>
      <c r="K4720" s="1342"/>
    </row>
    <row r="4721" spans="2:11" ht="14" hidden="1">
      <c r="B4721" s="1342"/>
      <c r="C4721" s="1342"/>
      <c r="D4721" s="1342"/>
      <c r="E4721" s="1342"/>
      <c r="F4721" s="1342"/>
      <c r="G4721" s="1342"/>
      <c r="H4721" s="1342"/>
      <c r="I4721" s="1342"/>
      <c r="J4721" s="1342"/>
      <c r="K4721" s="1342"/>
    </row>
    <row r="4722" spans="2:11" ht="14" hidden="1">
      <c r="B4722" s="1342"/>
      <c r="C4722" s="1342"/>
      <c r="D4722" s="1342"/>
      <c r="E4722" s="1342"/>
      <c r="F4722" s="1342"/>
      <c r="G4722" s="1342"/>
      <c r="H4722" s="1342"/>
      <c r="I4722" s="1342"/>
      <c r="J4722" s="1342"/>
      <c r="K4722" s="1342"/>
    </row>
    <row r="4723" spans="2:11" ht="14" hidden="1">
      <c r="B4723" s="1342"/>
      <c r="C4723" s="1342"/>
      <c r="D4723" s="1342"/>
      <c r="E4723" s="1342"/>
      <c r="F4723" s="1342"/>
      <c r="G4723" s="1342"/>
      <c r="H4723" s="1342"/>
      <c r="I4723" s="1342"/>
      <c r="J4723" s="1342"/>
      <c r="K4723" s="1342"/>
    </row>
    <row r="4724" spans="2:11" ht="14" hidden="1">
      <c r="B4724" s="1342"/>
      <c r="C4724" s="1342"/>
      <c r="D4724" s="1342"/>
      <c r="E4724" s="1342"/>
      <c r="F4724" s="1342"/>
      <c r="G4724" s="1342"/>
      <c r="H4724" s="1342"/>
      <c r="I4724" s="1342"/>
      <c r="J4724" s="1342"/>
      <c r="K4724" s="1342"/>
    </row>
    <row r="4725" spans="2:11" ht="14" hidden="1">
      <c r="B4725" s="1342"/>
      <c r="C4725" s="1342"/>
      <c r="D4725" s="1342"/>
      <c r="E4725" s="1342"/>
      <c r="F4725" s="1342"/>
      <c r="G4725" s="1342"/>
      <c r="H4725" s="1342"/>
      <c r="I4725" s="1342"/>
      <c r="J4725" s="1342"/>
      <c r="K4725" s="1342"/>
    </row>
    <row r="4726" spans="2:11" ht="14" hidden="1">
      <c r="B4726" s="1342"/>
      <c r="C4726" s="1342"/>
      <c r="D4726" s="1342"/>
      <c r="E4726" s="1342"/>
      <c r="F4726" s="1342"/>
      <c r="G4726" s="1342"/>
      <c r="H4726" s="1342"/>
      <c r="I4726" s="1342"/>
      <c r="J4726" s="1342"/>
      <c r="K4726" s="1342"/>
    </row>
    <row r="4727" spans="2:11" ht="14" hidden="1">
      <c r="B4727" s="1342"/>
      <c r="C4727" s="1342"/>
      <c r="D4727" s="1342"/>
      <c r="E4727" s="1342"/>
      <c r="F4727" s="1342"/>
      <c r="G4727" s="1342"/>
      <c r="H4727" s="1342"/>
      <c r="I4727" s="1342"/>
      <c r="J4727" s="1342"/>
      <c r="K4727" s="1342"/>
    </row>
    <row r="4728" spans="2:11" ht="14" hidden="1">
      <c r="B4728" s="1342"/>
      <c r="C4728" s="1342"/>
      <c r="D4728" s="1342"/>
      <c r="E4728" s="1342"/>
      <c r="F4728" s="1342"/>
      <c r="G4728" s="1342"/>
      <c r="H4728" s="1342"/>
      <c r="I4728" s="1342"/>
      <c r="J4728" s="1342"/>
      <c r="K4728" s="1342"/>
    </row>
    <row r="4729" spans="2:11" ht="14" hidden="1">
      <c r="B4729" s="1342"/>
      <c r="C4729" s="1342"/>
      <c r="D4729" s="1342"/>
      <c r="E4729" s="1342"/>
      <c r="F4729" s="1342"/>
      <c r="G4729" s="1342"/>
      <c r="H4729" s="1342"/>
      <c r="I4729" s="1342"/>
      <c r="J4729" s="1342"/>
      <c r="K4729" s="1342"/>
    </row>
    <row r="4730" spans="2:11" ht="14" hidden="1">
      <c r="B4730" s="1342"/>
      <c r="C4730" s="1342"/>
      <c r="D4730" s="1342"/>
      <c r="E4730" s="1342"/>
      <c r="F4730" s="1342"/>
      <c r="G4730" s="1342"/>
      <c r="H4730" s="1342"/>
      <c r="I4730" s="1342"/>
      <c r="J4730" s="1342"/>
      <c r="K4730" s="1342"/>
    </row>
    <row r="4731" spans="2:11" ht="14" hidden="1">
      <c r="B4731" s="1342"/>
      <c r="C4731" s="1342"/>
      <c r="D4731" s="1342"/>
      <c r="E4731" s="1342"/>
      <c r="F4731" s="1342"/>
      <c r="G4731" s="1342"/>
      <c r="H4731" s="1342"/>
      <c r="I4731" s="1342"/>
      <c r="J4731" s="1342"/>
      <c r="K4731" s="1342"/>
    </row>
    <row r="4732" spans="2:11" ht="14" hidden="1">
      <c r="B4732" s="1342"/>
      <c r="C4732" s="1342"/>
      <c r="D4732" s="1342"/>
      <c r="E4732" s="1342"/>
      <c r="F4732" s="1342"/>
      <c r="G4732" s="1342"/>
      <c r="H4732" s="1342"/>
      <c r="I4732" s="1342"/>
      <c r="J4732" s="1342"/>
      <c r="K4732" s="1342"/>
    </row>
    <row r="4733" spans="2:11" ht="14" hidden="1">
      <c r="B4733" s="1342"/>
      <c r="C4733" s="1342"/>
      <c r="D4733" s="1342"/>
      <c r="E4733" s="1342"/>
      <c r="F4733" s="1342"/>
      <c r="G4733" s="1342"/>
      <c r="H4733" s="1342"/>
      <c r="I4733" s="1342"/>
      <c r="J4733" s="1342"/>
      <c r="K4733" s="1342"/>
    </row>
    <row r="4734" spans="2:11" ht="14" hidden="1">
      <c r="B4734" s="1342"/>
      <c r="C4734" s="1342"/>
      <c r="D4734" s="1342"/>
      <c r="E4734" s="1342"/>
      <c r="F4734" s="1342"/>
      <c r="G4734" s="1342"/>
      <c r="H4734" s="1342"/>
      <c r="I4734" s="1342"/>
      <c r="J4734" s="1342"/>
      <c r="K4734" s="1342"/>
    </row>
    <row r="4735" spans="2:11" ht="14" hidden="1">
      <c r="B4735" s="1342"/>
      <c r="C4735" s="1342"/>
      <c r="D4735" s="1342"/>
      <c r="E4735" s="1342"/>
      <c r="F4735" s="1342"/>
      <c r="G4735" s="1342"/>
      <c r="H4735" s="1342"/>
      <c r="I4735" s="1342"/>
      <c r="J4735" s="1342"/>
      <c r="K4735" s="1342"/>
    </row>
    <row r="4736" spans="2:11" ht="14" hidden="1">
      <c r="B4736" s="1342"/>
      <c r="C4736" s="1342"/>
      <c r="D4736" s="1342"/>
      <c r="E4736" s="1342"/>
      <c r="F4736" s="1342"/>
      <c r="G4736" s="1342"/>
      <c r="H4736" s="1342"/>
      <c r="I4736" s="1342"/>
      <c r="J4736" s="1342"/>
      <c r="K4736" s="1342"/>
    </row>
    <row r="4737" spans="2:11" ht="14" hidden="1">
      <c r="B4737" s="1342"/>
      <c r="C4737" s="1342"/>
      <c r="D4737" s="1342"/>
      <c r="E4737" s="1342"/>
      <c r="F4737" s="1342"/>
      <c r="G4737" s="1342"/>
      <c r="H4737" s="1342"/>
      <c r="I4737" s="1342"/>
      <c r="J4737" s="1342"/>
      <c r="K4737" s="1342"/>
    </row>
    <row r="4738" spans="2:11" ht="14" hidden="1">
      <c r="B4738" s="1342"/>
      <c r="C4738" s="1342"/>
      <c r="D4738" s="1342"/>
      <c r="E4738" s="1342"/>
      <c r="F4738" s="1342"/>
      <c r="G4738" s="1342"/>
      <c r="H4738" s="1342"/>
      <c r="I4738" s="1342"/>
      <c r="J4738" s="1342"/>
      <c r="K4738" s="1342"/>
    </row>
    <row r="4739" spans="2:11" ht="14" hidden="1">
      <c r="B4739" s="1342"/>
      <c r="C4739" s="1342"/>
      <c r="D4739" s="1342"/>
      <c r="E4739" s="1342"/>
      <c r="F4739" s="1342"/>
      <c r="G4739" s="1342"/>
      <c r="H4739" s="1342"/>
      <c r="I4739" s="1342"/>
      <c r="J4739" s="1342"/>
      <c r="K4739" s="1342"/>
    </row>
    <row r="4740" spans="2:11" ht="14" hidden="1">
      <c r="B4740" s="1342"/>
      <c r="C4740" s="1342"/>
      <c r="D4740" s="1342"/>
      <c r="E4740" s="1342"/>
      <c r="F4740" s="1342"/>
      <c r="G4740" s="1342"/>
      <c r="H4740" s="1342"/>
      <c r="I4740" s="1342"/>
      <c r="J4740" s="1342"/>
      <c r="K4740" s="1342"/>
    </row>
    <row r="4741" spans="2:11" ht="14" hidden="1">
      <c r="B4741" s="1342"/>
      <c r="C4741" s="1342"/>
      <c r="D4741" s="1342"/>
      <c r="E4741" s="1342"/>
      <c r="F4741" s="1342"/>
      <c r="G4741" s="1342"/>
      <c r="H4741" s="1342"/>
      <c r="I4741" s="1342"/>
      <c r="J4741" s="1342"/>
      <c r="K4741" s="1342"/>
    </row>
    <row r="4742" spans="2:11" ht="14" hidden="1">
      <c r="B4742" s="1342"/>
      <c r="C4742" s="1342"/>
      <c r="D4742" s="1342"/>
      <c r="E4742" s="1342"/>
      <c r="F4742" s="1342"/>
      <c r="G4742" s="1342"/>
      <c r="H4742" s="1342"/>
      <c r="I4742" s="1342"/>
      <c r="J4742" s="1342"/>
      <c r="K4742" s="1342"/>
    </row>
    <row r="4743" spans="2:11" ht="14" hidden="1">
      <c r="B4743" s="1342"/>
      <c r="C4743" s="1342"/>
      <c r="D4743" s="1342"/>
      <c r="E4743" s="1342"/>
      <c r="F4743" s="1342"/>
      <c r="G4743" s="1342"/>
      <c r="H4743" s="1342"/>
      <c r="I4743" s="1342"/>
      <c r="J4743" s="1342"/>
      <c r="K4743" s="1342"/>
    </row>
    <row r="4744" spans="2:11" ht="14" hidden="1">
      <c r="B4744" s="1342"/>
      <c r="C4744" s="1342"/>
      <c r="D4744" s="1342"/>
      <c r="E4744" s="1342"/>
      <c r="F4744" s="1342"/>
      <c r="G4744" s="1342"/>
      <c r="H4744" s="1342"/>
      <c r="I4744" s="1342"/>
      <c r="J4744" s="1342"/>
      <c r="K4744" s="1342"/>
    </row>
    <row r="4745" spans="2:11" ht="14" hidden="1">
      <c r="B4745" s="1342"/>
      <c r="C4745" s="1342"/>
      <c r="D4745" s="1342"/>
      <c r="E4745" s="1342"/>
      <c r="F4745" s="1342"/>
      <c r="G4745" s="1342"/>
      <c r="H4745" s="1342"/>
      <c r="I4745" s="1342"/>
      <c r="J4745" s="1342"/>
      <c r="K4745" s="1342"/>
    </row>
    <row r="4746" spans="2:11" ht="14" hidden="1">
      <c r="B4746" s="1342"/>
      <c r="C4746" s="1342"/>
      <c r="D4746" s="1342"/>
      <c r="E4746" s="1342"/>
      <c r="F4746" s="1342"/>
      <c r="G4746" s="1342"/>
      <c r="H4746" s="1342"/>
      <c r="I4746" s="1342"/>
      <c r="J4746" s="1342"/>
      <c r="K4746" s="1342"/>
    </row>
    <row r="4747" spans="2:11" ht="14" hidden="1">
      <c r="B4747" s="1342"/>
      <c r="C4747" s="1342"/>
      <c r="D4747" s="1342"/>
      <c r="E4747" s="1342"/>
      <c r="F4747" s="1342"/>
      <c r="G4747" s="1342"/>
      <c r="H4747" s="1342"/>
      <c r="I4747" s="1342"/>
      <c r="J4747" s="1342"/>
      <c r="K4747" s="1342"/>
    </row>
    <row r="4748" spans="2:11" ht="14" hidden="1">
      <c r="B4748" s="1342"/>
      <c r="C4748" s="1342"/>
      <c r="D4748" s="1342"/>
      <c r="E4748" s="1342"/>
      <c r="F4748" s="1342"/>
      <c r="G4748" s="1342"/>
      <c r="H4748" s="1342"/>
      <c r="I4748" s="1342"/>
      <c r="J4748" s="1342"/>
      <c r="K4748" s="1342"/>
    </row>
    <row r="4749" spans="2:11" ht="14" hidden="1">
      <c r="B4749" s="1342"/>
      <c r="C4749" s="1342"/>
      <c r="D4749" s="1342"/>
      <c r="E4749" s="1342"/>
      <c r="F4749" s="1342"/>
      <c r="G4749" s="1342"/>
      <c r="H4749" s="1342"/>
      <c r="I4749" s="1342"/>
      <c r="J4749" s="1342"/>
      <c r="K4749" s="1342"/>
    </row>
    <row r="4750" spans="2:11" ht="14" hidden="1">
      <c r="B4750" s="1342"/>
      <c r="C4750" s="1342"/>
      <c r="D4750" s="1342"/>
      <c r="E4750" s="1342"/>
      <c r="F4750" s="1342"/>
      <c r="G4750" s="1342"/>
      <c r="H4750" s="1342"/>
      <c r="I4750" s="1342"/>
      <c r="J4750" s="1342"/>
      <c r="K4750" s="1342"/>
    </row>
    <row r="4751" spans="2:11" ht="14" hidden="1">
      <c r="B4751" s="1342"/>
      <c r="C4751" s="1342"/>
      <c r="D4751" s="1342"/>
      <c r="E4751" s="1342"/>
      <c r="F4751" s="1342"/>
      <c r="G4751" s="1342"/>
      <c r="H4751" s="1342"/>
      <c r="I4751" s="1342"/>
      <c r="J4751" s="1342"/>
      <c r="K4751" s="1342"/>
    </row>
    <row r="4752" spans="2:11" ht="14" hidden="1">
      <c r="B4752" s="1342"/>
      <c r="C4752" s="1342"/>
      <c r="D4752" s="1342"/>
      <c r="E4752" s="1342"/>
      <c r="F4752" s="1342"/>
      <c r="G4752" s="1342"/>
      <c r="H4752" s="1342"/>
      <c r="I4752" s="1342"/>
      <c r="J4752" s="1342"/>
      <c r="K4752" s="1342"/>
    </row>
    <row r="4753" spans="2:11" ht="14" hidden="1">
      <c r="B4753" s="1342"/>
      <c r="C4753" s="1342"/>
      <c r="D4753" s="1342"/>
      <c r="E4753" s="1342"/>
      <c r="F4753" s="1342"/>
      <c r="G4753" s="1342"/>
      <c r="H4753" s="1342"/>
      <c r="I4753" s="1342"/>
      <c r="J4753" s="1342"/>
      <c r="K4753" s="1342"/>
    </row>
    <row r="4754" spans="2:11" ht="14" hidden="1">
      <c r="B4754" s="1342"/>
      <c r="C4754" s="1342"/>
      <c r="D4754" s="1342"/>
      <c r="E4754" s="1342"/>
      <c r="F4754" s="1342"/>
      <c r="G4754" s="1342"/>
      <c r="H4754" s="1342"/>
      <c r="I4754" s="1342"/>
      <c r="J4754" s="1342"/>
      <c r="K4754" s="1342"/>
    </row>
    <row r="4755" spans="2:11" ht="14" hidden="1">
      <c r="B4755" s="1342"/>
      <c r="C4755" s="1342"/>
      <c r="D4755" s="1342"/>
      <c r="E4755" s="1342"/>
      <c r="F4755" s="1342"/>
      <c r="G4755" s="1342"/>
      <c r="H4755" s="1342"/>
      <c r="I4755" s="1342"/>
      <c r="J4755" s="1342"/>
      <c r="K4755" s="1342"/>
    </row>
    <row r="4756" spans="2:11" ht="14" hidden="1">
      <c r="B4756" s="1342"/>
      <c r="C4756" s="1342"/>
      <c r="D4756" s="1342"/>
      <c r="E4756" s="1342"/>
      <c r="F4756" s="1342"/>
      <c r="G4756" s="1342"/>
      <c r="H4756" s="1342"/>
      <c r="I4756" s="1342"/>
      <c r="J4756" s="1342"/>
      <c r="K4756" s="1342"/>
    </row>
    <row r="4757" spans="2:11" ht="14" hidden="1">
      <c r="B4757" s="1342"/>
      <c r="C4757" s="1342"/>
      <c r="D4757" s="1342"/>
      <c r="E4757" s="1342"/>
      <c r="F4757" s="1342"/>
      <c r="G4757" s="1342"/>
      <c r="H4757" s="1342"/>
      <c r="I4757" s="1342"/>
      <c r="J4757" s="1342"/>
      <c r="K4757" s="1342"/>
    </row>
    <row r="4758" spans="2:11" ht="14" hidden="1">
      <c r="B4758" s="1342"/>
      <c r="C4758" s="1342"/>
      <c r="D4758" s="1342"/>
      <c r="E4758" s="1342"/>
      <c r="F4758" s="1342"/>
      <c r="G4758" s="1342"/>
      <c r="H4758" s="1342"/>
      <c r="I4758" s="1342"/>
      <c r="J4758" s="1342"/>
      <c r="K4758" s="1342"/>
    </row>
    <row r="4759" spans="2:11" ht="14" hidden="1">
      <c r="B4759" s="1342"/>
      <c r="C4759" s="1342"/>
      <c r="D4759" s="1342"/>
      <c r="E4759" s="1342"/>
      <c r="F4759" s="1342"/>
      <c r="G4759" s="1342"/>
      <c r="H4759" s="1342"/>
      <c r="I4759" s="1342"/>
      <c r="J4759" s="1342"/>
      <c r="K4759" s="1342"/>
    </row>
    <row r="4760" spans="2:11" ht="14" hidden="1">
      <c r="B4760" s="1342"/>
      <c r="C4760" s="1342"/>
      <c r="D4760" s="1342"/>
      <c r="E4760" s="1342"/>
      <c r="F4760" s="1342"/>
      <c r="G4760" s="1342"/>
      <c r="H4760" s="1342"/>
      <c r="I4760" s="1342"/>
      <c r="J4760" s="1342"/>
      <c r="K4760" s="1342"/>
    </row>
    <row r="4761" spans="2:11" ht="14" hidden="1">
      <c r="B4761" s="1342"/>
      <c r="C4761" s="1342"/>
      <c r="D4761" s="1342"/>
      <c r="E4761" s="1342"/>
      <c r="F4761" s="1342"/>
      <c r="G4761" s="1342"/>
      <c r="H4761" s="1342"/>
      <c r="I4761" s="1342"/>
      <c r="J4761" s="1342"/>
      <c r="K4761" s="1342"/>
    </row>
    <row r="4762" spans="2:11" ht="14" hidden="1">
      <c r="B4762" s="1342"/>
      <c r="C4762" s="1342"/>
      <c r="D4762" s="1342"/>
      <c r="E4762" s="1342"/>
      <c r="F4762" s="1342"/>
      <c r="G4762" s="1342"/>
      <c r="H4762" s="1342"/>
      <c r="I4762" s="1342"/>
      <c r="J4762" s="1342"/>
      <c r="K4762" s="1342"/>
    </row>
    <row r="4763" spans="2:11" ht="14" hidden="1">
      <c r="B4763" s="1342"/>
      <c r="C4763" s="1342"/>
      <c r="D4763" s="1342"/>
      <c r="E4763" s="1342"/>
      <c r="F4763" s="1342"/>
      <c r="G4763" s="1342"/>
      <c r="H4763" s="1342"/>
      <c r="I4763" s="1342"/>
      <c r="J4763" s="1342"/>
      <c r="K4763" s="1342"/>
    </row>
    <row r="4764" spans="2:11" ht="14" hidden="1">
      <c r="B4764" s="1342"/>
      <c r="C4764" s="1342"/>
      <c r="D4764" s="1342"/>
      <c r="E4764" s="1342"/>
      <c r="F4764" s="1342"/>
      <c r="G4764" s="1342"/>
      <c r="H4764" s="1342"/>
      <c r="I4764" s="1342"/>
      <c r="J4764" s="1342"/>
      <c r="K4764" s="1342"/>
    </row>
    <row r="4765" spans="2:11" ht="14" hidden="1">
      <c r="B4765" s="1342"/>
      <c r="C4765" s="1342"/>
      <c r="D4765" s="1342"/>
      <c r="E4765" s="1342"/>
      <c r="F4765" s="1342"/>
      <c r="G4765" s="1342"/>
      <c r="H4765" s="1342"/>
      <c r="I4765" s="1342"/>
      <c r="J4765" s="1342"/>
      <c r="K4765" s="1342"/>
    </row>
    <row r="4766" spans="2:11" ht="14" hidden="1">
      <c r="B4766" s="1342"/>
      <c r="C4766" s="1342"/>
      <c r="D4766" s="1342"/>
      <c r="E4766" s="1342"/>
      <c r="F4766" s="1342"/>
      <c r="G4766" s="1342"/>
      <c r="H4766" s="1342"/>
      <c r="I4766" s="1342"/>
      <c r="J4766" s="1342"/>
      <c r="K4766" s="1342"/>
    </row>
    <row r="4767" spans="2:11" ht="14" hidden="1">
      <c r="B4767" s="1342"/>
      <c r="C4767" s="1342"/>
      <c r="D4767" s="1342"/>
      <c r="E4767" s="1342"/>
      <c r="F4767" s="1342"/>
      <c r="G4767" s="1342"/>
      <c r="H4767" s="1342"/>
      <c r="I4767" s="1342"/>
      <c r="J4767" s="1342"/>
      <c r="K4767" s="1342"/>
    </row>
    <row r="4768" spans="2:11" ht="14" hidden="1">
      <c r="B4768" s="1342"/>
      <c r="C4768" s="1342"/>
      <c r="D4768" s="1342"/>
      <c r="E4768" s="1342"/>
      <c r="F4768" s="1342"/>
      <c r="G4768" s="1342"/>
      <c r="H4768" s="1342"/>
      <c r="I4768" s="1342"/>
      <c r="J4768" s="1342"/>
      <c r="K4768" s="1342"/>
    </row>
    <row r="4769" spans="2:11" ht="14" hidden="1">
      <c r="B4769" s="1342"/>
      <c r="C4769" s="1342"/>
      <c r="D4769" s="1342"/>
      <c r="E4769" s="1342"/>
      <c r="F4769" s="1342"/>
      <c r="G4769" s="1342"/>
      <c r="H4769" s="1342"/>
      <c r="I4769" s="1342"/>
      <c r="J4769" s="1342"/>
      <c r="K4769" s="1342"/>
    </row>
    <row r="4770" spans="2:11" ht="14" hidden="1">
      <c r="B4770" s="1342"/>
      <c r="C4770" s="1342"/>
      <c r="D4770" s="1342"/>
      <c r="E4770" s="1342"/>
      <c r="F4770" s="1342"/>
      <c r="G4770" s="1342"/>
      <c r="H4770" s="1342"/>
      <c r="I4770" s="1342"/>
      <c r="J4770" s="1342"/>
      <c r="K4770" s="1342"/>
    </row>
    <row r="4771" spans="2:11" ht="14" hidden="1">
      <c r="B4771" s="1342"/>
      <c r="C4771" s="1342"/>
      <c r="D4771" s="1342"/>
      <c r="E4771" s="1342"/>
      <c r="F4771" s="1342"/>
      <c r="G4771" s="1342"/>
      <c r="H4771" s="1342"/>
      <c r="I4771" s="1342"/>
      <c r="J4771" s="1342"/>
      <c r="K4771" s="1342"/>
    </row>
    <row r="4772" spans="2:11" ht="14" hidden="1">
      <c r="B4772" s="1342"/>
      <c r="C4772" s="1342"/>
      <c r="D4772" s="1342"/>
      <c r="E4772" s="1342"/>
      <c r="F4772" s="1342"/>
      <c r="G4772" s="1342"/>
      <c r="H4772" s="1342"/>
      <c r="I4772" s="1342"/>
      <c r="J4772" s="1342"/>
      <c r="K4772" s="1342"/>
    </row>
    <row r="4773" spans="2:11" ht="14" hidden="1">
      <c r="B4773" s="1342"/>
      <c r="C4773" s="1342"/>
      <c r="D4773" s="1342"/>
      <c r="E4773" s="1342"/>
      <c r="F4773" s="1342"/>
      <c r="G4773" s="1342"/>
      <c r="H4773" s="1342"/>
      <c r="I4773" s="1342"/>
      <c r="J4773" s="1342"/>
      <c r="K4773" s="1342"/>
    </row>
    <row r="4774" spans="2:11" ht="14" hidden="1">
      <c r="B4774" s="1342"/>
      <c r="C4774" s="1342"/>
      <c r="D4774" s="1342"/>
      <c r="E4774" s="1342"/>
      <c r="F4774" s="1342"/>
      <c r="G4774" s="1342"/>
      <c r="H4774" s="1342"/>
      <c r="I4774" s="1342"/>
      <c r="J4774" s="1342"/>
      <c r="K4774" s="1342"/>
    </row>
    <row r="4775" spans="2:11" ht="14" hidden="1">
      <c r="B4775" s="1342"/>
      <c r="C4775" s="1342"/>
      <c r="D4775" s="1342"/>
      <c r="E4775" s="1342"/>
      <c r="F4775" s="1342"/>
      <c r="G4775" s="1342"/>
      <c r="H4775" s="1342"/>
      <c r="I4775" s="1342"/>
      <c r="J4775" s="1342"/>
      <c r="K4775" s="1342"/>
    </row>
    <row r="4776" spans="2:11" ht="14" hidden="1">
      <c r="B4776" s="1342"/>
      <c r="C4776" s="1342"/>
      <c r="D4776" s="1342"/>
      <c r="E4776" s="1342"/>
      <c r="F4776" s="1342"/>
      <c r="G4776" s="1342"/>
      <c r="H4776" s="1342"/>
      <c r="I4776" s="1342"/>
      <c r="J4776" s="1342"/>
      <c r="K4776" s="1342"/>
    </row>
    <row r="4777" spans="2:11" ht="14" hidden="1">
      <c r="B4777" s="1342"/>
      <c r="C4777" s="1342"/>
      <c r="D4777" s="1342"/>
      <c r="E4777" s="1342"/>
      <c r="F4777" s="1342"/>
      <c r="G4777" s="1342"/>
      <c r="H4777" s="1342"/>
      <c r="I4777" s="1342"/>
      <c r="J4777" s="1342"/>
      <c r="K4777" s="1342"/>
    </row>
    <row r="4778" spans="2:11" ht="14" hidden="1">
      <c r="B4778" s="1342"/>
      <c r="C4778" s="1342"/>
      <c r="D4778" s="1342"/>
      <c r="E4778" s="1342"/>
      <c r="F4778" s="1342"/>
      <c r="G4778" s="1342"/>
      <c r="H4778" s="1342"/>
      <c r="I4778" s="1342"/>
      <c r="J4778" s="1342"/>
      <c r="K4778" s="1342"/>
    </row>
    <row r="4779" spans="2:11" ht="14" hidden="1">
      <c r="B4779" s="1342"/>
      <c r="C4779" s="1342"/>
      <c r="D4779" s="1342"/>
      <c r="E4779" s="1342"/>
      <c r="F4779" s="1342"/>
      <c r="G4779" s="1342"/>
      <c r="H4779" s="1342"/>
      <c r="I4779" s="1342"/>
      <c r="J4779" s="1342"/>
      <c r="K4779" s="1342"/>
    </row>
    <row r="4780" spans="2:11" ht="14" hidden="1">
      <c r="B4780" s="1342"/>
      <c r="C4780" s="1342"/>
      <c r="D4780" s="1342"/>
      <c r="E4780" s="1342"/>
      <c r="F4780" s="1342"/>
      <c r="G4780" s="1342"/>
      <c r="H4780" s="1342"/>
      <c r="I4780" s="1342"/>
      <c r="J4780" s="1342"/>
      <c r="K4780" s="1342"/>
    </row>
    <row r="4781" spans="2:11" ht="14" hidden="1">
      <c r="B4781" s="1342"/>
      <c r="C4781" s="1342"/>
      <c r="D4781" s="1342"/>
      <c r="E4781" s="1342"/>
      <c r="F4781" s="1342"/>
      <c r="G4781" s="1342"/>
      <c r="H4781" s="1342"/>
      <c r="I4781" s="1342"/>
      <c r="J4781" s="1342"/>
      <c r="K4781" s="1342"/>
    </row>
    <row r="4782" spans="2:11" ht="14" hidden="1">
      <c r="B4782" s="1342"/>
      <c r="C4782" s="1342"/>
      <c r="D4782" s="1342"/>
      <c r="E4782" s="1342"/>
      <c r="F4782" s="1342"/>
      <c r="G4782" s="1342"/>
      <c r="H4782" s="1342"/>
      <c r="I4782" s="1342"/>
      <c r="J4782" s="1342"/>
      <c r="K4782" s="1342"/>
    </row>
    <row r="4783" spans="2:11" ht="14" hidden="1">
      <c r="B4783" s="1342"/>
      <c r="C4783" s="1342"/>
      <c r="D4783" s="1342"/>
      <c r="E4783" s="1342"/>
      <c r="F4783" s="1342"/>
      <c r="G4783" s="1342"/>
      <c r="H4783" s="1342"/>
      <c r="I4783" s="1342"/>
      <c r="J4783" s="1342"/>
      <c r="K4783" s="1342"/>
    </row>
    <row r="4784" spans="2:11" ht="14" hidden="1">
      <c r="B4784" s="1342"/>
      <c r="C4784" s="1342"/>
      <c r="D4784" s="1342"/>
      <c r="E4784" s="1342"/>
      <c r="F4784" s="1342"/>
      <c r="G4784" s="1342"/>
      <c r="H4784" s="1342"/>
      <c r="I4784" s="1342"/>
      <c r="J4784" s="1342"/>
      <c r="K4784" s="1342"/>
    </row>
    <row r="4785" spans="2:11" ht="14" hidden="1">
      <c r="B4785" s="1342"/>
      <c r="C4785" s="1342"/>
      <c r="D4785" s="1342"/>
      <c r="E4785" s="1342"/>
      <c r="F4785" s="1342"/>
      <c r="G4785" s="1342"/>
      <c r="H4785" s="1342"/>
      <c r="I4785" s="1342"/>
      <c r="J4785" s="1342"/>
      <c r="K4785" s="1342"/>
    </row>
    <row r="4786" spans="2:11" ht="14" hidden="1">
      <c r="B4786" s="1342"/>
      <c r="C4786" s="1342"/>
      <c r="D4786" s="1342"/>
      <c r="E4786" s="1342"/>
      <c r="F4786" s="1342"/>
      <c r="G4786" s="1342"/>
      <c r="H4786" s="1342"/>
      <c r="I4786" s="1342"/>
      <c r="J4786" s="1342"/>
      <c r="K4786" s="1342"/>
    </row>
    <row r="4787" spans="2:11" ht="14" hidden="1">
      <c r="B4787" s="1342"/>
      <c r="C4787" s="1342"/>
      <c r="D4787" s="1342"/>
      <c r="E4787" s="1342"/>
      <c r="F4787" s="1342"/>
      <c r="G4787" s="1342"/>
      <c r="H4787" s="1342"/>
      <c r="I4787" s="1342"/>
      <c r="J4787" s="1342"/>
      <c r="K4787" s="1342"/>
    </row>
    <row r="4788" spans="2:11" ht="14" hidden="1">
      <c r="B4788" s="1342"/>
      <c r="C4788" s="1342"/>
      <c r="D4788" s="1342"/>
      <c r="E4788" s="1342"/>
      <c r="F4788" s="1342"/>
      <c r="G4788" s="1342"/>
      <c r="H4788" s="1342"/>
      <c r="I4788" s="1342"/>
      <c r="J4788" s="1342"/>
      <c r="K4788" s="1342"/>
    </row>
    <row r="4789" spans="2:11" ht="14" hidden="1">
      <c r="B4789" s="1342"/>
      <c r="C4789" s="1342"/>
      <c r="D4789" s="1342"/>
      <c r="E4789" s="1342"/>
      <c r="F4789" s="1342"/>
      <c r="G4789" s="1342"/>
      <c r="H4789" s="1342"/>
      <c r="I4789" s="1342"/>
      <c r="J4789" s="1342"/>
      <c r="K4789" s="1342"/>
    </row>
    <row r="4790" spans="2:11" ht="14" hidden="1">
      <c r="B4790" s="1342"/>
      <c r="C4790" s="1342"/>
      <c r="D4790" s="1342"/>
      <c r="E4790" s="1342"/>
      <c r="F4790" s="1342"/>
      <c r="G4790" s="1342"/>
      <c r="H4790" s="1342"/>
      <c r="I4790" s="1342"/>
      <c r="J4790" s="1342"/>
      <c r="K4790" s="1342"/>
    </row>
    <row r="4791" spans="2:11" ht="14" hidden="1">
      <c r="B4791" s="1342"/>
      <c r="C4791" s="1342"/>
      <c r="D4791" s="1342"/>
      <c r="E4791" s="1342"/>
      <c r="F4791" s="1342"/>
      <c r="G4791" s="1342"/>
      <c r="H4791" s="1342"/>
      <c r="I4791" s="1342"/>
      <c r="J4791" s="1342"/>
      <c r="K4791" s="1342"/>
    </row>
    <row r="4792" spans="2:11" ht="14" hidden="1">
      <c r="B4792" s="1342"/>
      <c r="C4792" s="1342"/>
      <c r="D4792" s="1342"/>
      <c r="E4792" s="1342"/>
      <c r="F4792" s="1342"/>
      <c r="G4792" s="1342"/>
      <c r="H4792" s="1342"/>
      <c r="I4792" s="1342"/>
      <c r="J4792" s="1342"/>
      <c r="K4792" s="1342"/>
    </row>
    <row r="4793" spans="2:11" ht="14" hidden="1">
      <c r="B4793" s="1342"/>
      <c r="C4793" s="1342"/>
      <c r="D4793" s="1342"/>
      <c r="E4793" s="1342"/>
      <c r="F4793" s="1342"/>
      <c r="G4793" s="1342"/>
      <c r="H4793" s="1342"/>
      <c r="I4793" s="1342"/>
      <c r="J4793" s="1342"/>
      <c r="K4793" s="1342"/>
    </row>
    <row r="4794" spans="2:11" ht="14" hidden="1">
      <c r="B4794" s="1342"/>
      <c r="C4794" s="1342"/>
      <c r="D4794" s="1342"/>
      <c r="E4794" s="1342"/>
      <c r="F4794" s="1342"/>
      <c r="G4794" s="1342"/>
      <c r="H4794" s="1342"/>
      <c r="I4794" s="1342"/>
      <c r="J4794" s="1342"/>
      <c r="K4794" s="1342"/>
    </row>
    <row r="4795" spans="2:11" ht="14" hidden="1">
      <c r="B4795" s="1342"/>
      <c r="C4795" s="1342"/>
      <c r="D4795" s="1342"/>
      <c r="E4795" s="1342"/>
      <c r="F4795" s="1342"/>
      <c r="G4795" s="1342"/>
      <c r="H4795" s="1342"/>
      <c r="I4795" s="1342"/>
      <c r="J4795" s="1342"/>
      <c r="K4795" s="1342"/>
    </row>
    <row r="4796" spans="2:11" ht="14" hidden="1">
      <c r="B4796" s="1342"/>
      <c r="C4796" s="1342"/>
      <c r="D4796" s="1342"/>
      <c r="E4796" s="1342"/>
      <c r="F4796" s="1342"/>
      <c r="G4796" s="1342"/>
      <c r="H4796" s="1342"/>
      <c r="I4796" s="1342"/>
      <c r="J4796" s="1342"/>
      <c r="K4796" s="1342"/>
    </row>
    <row r="4797" spans="2:11" ht="14" hidden="1">
      <c r="B4797" s="1342"/>
      <c r="C4797" s="1342"/>
      <c r="D4797" s="1342"/>
      <c r="E4797" s="1342"/>
      <c r="F4797" s="1342"/>
      <c r="G4797" s="1342"/>
      <c r="H4797" s="1342"/>
      <c r="I4797" s="1342"/>
      <c r="J4797" s="1342"/>
      <c r="K4797" s="1342"/>
    </row>
    <row r="4798" spans="2:11" ht="14" hidden="1">
      <c r="B4798" s="1342"/>
      <c r="C4798" s="1342"/>
      <c r="D4798" s="1342"/>
      <c r="E4798" s="1342"/>
      <c r="F4798" s="1342"/>
      <c r="G4798" s="1342"/>
      <c r="H4798" s="1342"/>
      <c r="I4798" s="1342"/>
      <c r="J4798" s="1342"/>
      <c r="K4798" s="1342"/>
    </row>
    <row r="4799" spans="2:11" ht="14" hidden="1">
      <c r="B4799" s="1342"/>
      <c r="C4799" s="1342"/>
      <c r="D4799" s="1342"/>
      <c r="E4799" s="1342"/>
      <c r="F4799" s="1342"/>
      <c r="G4799" s="1342"/>
      <c r="H4799" s="1342"/>
      <c r="I4799" s="1342"/>
      <c r="J4799" s="1342"/>
      <c r="K4799" s="1342"/>
    </row>
    <row r="4800" spans="2:11" ht="14" hidden="1">
      <c r="B4800" s="1342"/>
      <c r="C4800" s="1342"/>
      <c r="D4800" s="1342"/>
      <c r="E4800" s="1342"/>
      <c r="F4800" s="1342"/>
      <c r="G4800" s="1342"/>
      <c r="H4800" s="1342"/>
      <c r="I4800" s="1342"/>
      <c r="J4800" s="1342"/>
      <c r="K4800" s="1342"/>
    </row>
    <row r="4801" spans="2:11" ht="14" hidden="1">
      <c r="B4801" s="1342"/>
      <c r="C4801" s="1342"/>
      <c r="D4801" s="1342"/>
      <c r="E4801" s="1342"/>
      <c r="F4801" s="1342"/>
      <c r="G4801" s="1342"/>
      <c r="H4801" s="1342"/>
      <c r="I4801" s="1342"/>
      <c r="J4801" s="1342"/>
      <c r="K4801" s="1342"/>
    </row>
    <row r="4802" spans="2:11" ht="14" hidden="1">
      <c r="B4802" s="1342"/>
      <c r="C4802" s="1342"/>
      <c r="D4802" s="1342"/>
      <c r="E4802" s="1342"/>
      <c r="F4802" s="1342"/>
      <c r="G4802" s="1342"/>
      <c r="H4802" s="1342"/>
      <c r="I4802" s="1342"/>
      <c r="J4802" s="1342"/>
      <c r="K4802" s="1342"/>
    </row>
    <row r="4803" spans="2:11" ht="14" hidden="1">
      <c r="B4803" s="1342"/>
      <c r="C4803" s="1342"/>
      <c r="D4803" s="1342"/>
      <c r="E4803" s="1342"/>
      <c r="F4803" s="1342"/>
      <c r="G4803" s="1342"/>
      <c r="H4803" s="1342"/>
      <c r="I4803" s="1342"/>
      <c r="J4803" s="1342"/>
      <c r="K4803" s="1342"/>
    </row>
    <row r="4804" spans="2:11" ht="14" hidden="1">
      <c r="B4804" s="1342"/>
      <c r="C4804" s="1342"/>
      <c r="D4804" s="1342"/>
      <c r="E4804" s="1342"/>
      <c r="F4804" s="1342"/>
      <c r="G4804" s="1342"/>
      <c r="H4804" s="1342"/>
      <c r="I4804" s="1342"/>
      <c r="J4804" s="1342"/>
      <c r="K4804" s="1342"/>
    </row>
    <row r="4805" spans="2:11" ht="14" hidden="1">
      <c r="B4805" s="1342"/>
      <c r="C4805" s="1342"/>
      <c r="D4805" s="1342"/>
      <c r="E4805" s="1342"/>
      <c r="F4805" s="1342"/>
      <c r="G4805" s="1342"/>
      <c r="H4805" s="1342"/>
      <c r="I4805" s="1342"/>
      <c r="J4805" s="1342"/>
      <c r="K4805" s="1342"/>
    </row>
    <row r="4806" spans="2:11" ht="14" hidden="1">
      <c r="B4806" s="1342"/>
      <c r="C4806" s="1342"/>
      <c r="D4806" s="1342"/>
      <c r="E4806" s="1342"/>
      <c r="F4806" s="1342"/>
      <c r="G4806" s="1342"/>
      <c r="H4806" s="1342"/>
      <c r="I4806" s="1342"/>
      <c r="J4806" s="1342"/>
      <c r="K4806" s="1342"/>
    </row>
    <row r="4807" spans="2:11" ht="14" hidden="1">
      <c r="B4807" s="1342"/>
      <c r="C4807" s="1342"/>
      <c r="D4807" s="1342"/>
      <c r="E4807" s="1342"/>
      <c r="F4807" s="1342"/>
      <c r="G4807" s="1342"/>
      <c r="H4807" s="1342"/>
      <c r="I4807" s="1342"/>
      <c r="J4807" s="1342"/>
      <c r="K4807" s="1342"/>
    </row>
    <row r="4808" spans="2:11" ht="14" hidden="1">
      <c r="B4808" s="1342"/>
      <c r="C4808" s="1342"/>
      <c r="D4808" s="1342"/>
      <c r="E4808" s="1342"/>
      <c r="F4808" s="1342"/>
      <c r="G4808" s="1342"/>
      <c r="H4808" s="1342"/>
      <c r="I4808" s="1342"/>
      <c r="J4808" s="1342"/>
      <c r="K4808" s="1342"/>
    </row>
    <row r="4809" spans="2:11" ht="14" hidden="1">
      <c r="B4809" s="1342"/>
      <c r="C4809" s="1342"/>
      <c r="D4809" s="1342"/>
      <c r="E4809" s="1342"/>
      <c r="F4809" s="1342"/>
      <c r="G4809" s="1342"/>
      <c r="H4809" s="1342"/>
      <c r="I4809" s="1342"/>
      <c r="J4809" s="1342"/>
      <c r="K4809" s="1342"/>
    </row>
    <row r="4810" spans="2:11" ht="14" hidden="1">
      <c r="B4810" s="1342"/>
      <c r="C4810" s="1342"/>
      <c r="D4810" s="1342"/>
      <c r="E4810" s="1342"/>
      <c r="F4810" s="1342"/>
      <c r="G4810" s="1342"/>
      <c r="H4810" s="1342"/>
      <c r="I4810" s="1342"/>
      <c r="J4810" s="1342"/>
      <c r="K4810" s="1342"/>
    </row>
    <row r="4811" spans="2:11" ht="14" hidden="1">
      <c r="B4811" s="1342"/>
      <c r="C4811" s="1342"/>
      <c r="D4811" s="1342"/>
      <c r="E4811" s="1342"/>
      <c r="F4811" s="1342"/>
      <c r="G4811" s="1342"/>
      <c r="H4811" s="1342"/>
      <c r="I4811" s="1342"/>
      <c r="J4811" s="1342"/>
      <c r="K4811" s="1342"/>
    </row>
    <row r="4812" spans="2:11" ht="14" hidden="1">
      <c r="B4812" s="1342"/>
      <c r="C4812" s="1342"/>
      <c r="D4812" s="1342"/>
      <c r="E4812" s="1342"/>
      <c r="F4812" s="1342"/>
      <c r="G4812" s="1342"/>
      <c r="H4812" s="1342"/>
      <c r="I4812" s="1342"/>
      <c r="J4812" s="1342"/>
      <c r="K4812" s="1342"/>
    </row>
    <row r="4813" spans="2:11" ht="14" hidden="1">
      <c r="B4813" s="1342"/>
      <c r="C4813" s="1342"/>
      <c r="D4813" s="1342"/>
      <c r="E4813" s="1342"/>
      <c r="F4813" s="1342"/>
      <c r="G4813" s="1342"/>
      <c r="H4813" s="1342"/>
      <c r="I4813" s="1342"/>
      <c r="J4813" s="1342"/>
      <c r="K4813" s="1342"/>
    </row>
    <row r="4814" spans="2:11" ht="14" hidden="1">
      <c r="B4814" s="1342"/>
      <c r="C4814" s="1342"/>
      <c r="D4814" s="1342"/>
      <c r="E4814" s="1342"/>
      <c r="F4814" s="1342"/>
      <c r="G4814" s="1342"/>
      <c r="H4814" s="1342"/>
      <c r="I4814" s="1342"/>
      <c r="J4814" s="1342"/>
      <c r="K4814" s="1342"/>
    </row>
    <row r="4815" spans="2:11" ht="14" hidden="1">
      <c r="B4815" s="1342"/>
      <c r="C4815" s="1342"/>
      <c r="D4815" s="1342"/>
      <c r="E4815" s="1342"/>
      <c r="F4815" s="1342"/>
      <c r="G4815" s="1342"/>
      <c r="H4815" s="1342"/>
      <c r="I4815" s="1342"/>
      <c r="J4815" s="1342"/>
      <c r="K4815" s="1342"/>
    </row>
    <row r="4816" spans="2:11" ht="14" hidden="1">
      <c r="B4816" s="1342"/>
      <c r="C4816" s="1342"/>
      <c r="D4816" s="1342"/>
      <c r="E4816" s="1342"/>
      <c r="F4816" s="1342"/>
      <c r="G4816" s="1342"/>
      <c r="H4816" s="1342"/>
      <c r="I4816" s="1342"/>
      <c r="J4816" s="1342"/>
      <c r="K4816" s="1342"/>
    </row>
    <row r="4817" spans="2:11" ht="14" hidden="1">
      <c r="B4817" s="1342"/>
      <c r="C4817" s="1342"/>
      <c r="D4817" s="1342"/>
      <c r="E4817" s="1342"/>
      <c r="F4817" s="1342"/>
      <c r="G4817" s="1342"/>
      <c r="H4817" s="1342"/>
      <c r="I4817" s="1342"/>
      <c r="J4817" s="1342"/>
      <c r="K4817" s="1342"/>
    </row>
    <row r="4818" spans="2:11" ht="14" hidden="1">
      <c r="B4818" s="1342"/>
      <c r="C4818" s="1342"/>
      <c r="D4818" s="1342"/>
      <c r="E4818" s="1342"/>
      <c r="F4818" s="1342"/>
      <c r="G4818" s="1342"/>
      <c r="H4818" s="1342"/>
      <c r="I4818" s="1342"/>
      <c r="J4818" s="1342"/>
      <c r="K4818" s="1342"/>
    </row>
    <row r="4819" spans="2:11" ht="14" hidden="1">
      <c r="B4819" s="1342"/>
      <c r="C4819" s="1342"/>
      <c r="D4819" s="1342"/>
      <c r="E4819" s="1342"/>
      <c r="F4819" s="1342"/>
      <c r="G4819" s="1342"/>
      <c r="H4819" s="1342"/>
      <c r="I4819" s="1342"/>
      <c r="J4819" s="1342"/>
      <c r="K4819" s="1342"/>
    </row>
    <row r="4820" spans="2:11" ht="14" hidden="1">
      <c r="B4820" s="1342"/>
      <c r="C4820" s="1342"/>
      <c r="D4820" s="1342"/>
      <c r="E4820" s="1342"/>
      <c r="F4820" s="1342"/>
      <c r="G4820" s="1342"/>
      <c r="H4820" s="1342"/>
      <c r="I4820" s="1342"/>
      <c r="J4820" s="1342"/>
      <c r="K4820" s="1342"/>
    </row>
    <row r="4821" spans="2:11" ht="14" hidden="1">
      <c r="B4821" s="1342"/>
      <c r="C4821" s="1342"/>
      <c r="D4821" s="1342"/>
      <c r="E4821" s="1342"/>
      <c r="F4821" s="1342"/>
      <c r="G4821" s="1342"/>
      <c r="H4821" s="1342"/>
      <c r="I4821" s="1342"/>
      <c r="J4821" s="1342"/>
      <c r="K4821" s="1342"/>
    </row>
    <row r="4822" spans="2:11" ht="14" hidden="1">
      <c r="B4822" s="1342"/>
      <c r="C4822" s="1342"/>
      <c r="D4822" s="1342"/>
      <c r="E4822" s="1342"/>
      <c r="F4822" s="1342"/>
      <c r="G4822" s="1342"/>
      <c r="H4822" s="1342"/>
      <c r="I4822" s="1342"/>
      <c r="J4822" s="1342"/>
      <c r="K4822" s="1342"/>
    </row>
    <row r="4823" spans="2:11" ht="14" hidden="1">
      <c r="B4823" s="1342"/>
      <c r="C4823" s="1342"/>
      <c r="D4823" s="1342"/>
      <c r="E4823" s="1342"/>
      <c r="F4823" s="1342"/>
      <c r="G4823" s="1342"/>
      <c r="H4823" s="1342"/>
      <c r="I4823" s="1342"/>
      <c r="J4823" s="1342"/>
      <c r="K4823" s="1342"/>
    </row>
    <row r="4824" spans="2:11" ht="14" hidden="1">
      <c r="B4824" s="1342"/>
      <c r="C4824" s="1342"/>
      <c r="D4824" s="1342"/>
      <c r="E4824" s="1342"/>
      <c r="F4824" s="1342"/>
      <c r="G4824" s="1342"/>
      <c r="H4824" s="1342"/>
      <c r="I4824" s="1342"/>
      <c r="J4824" s="1342"/>
      <c r="K4824" s="1342"/>
    </row>
    <row r="4825" spans="2:11" ht="14" hidden="1">
      <c r="B4825" s="1342"/>
      <c r="C4825" s="1342"/>
      <c r="D4825" s="1342"/>
      <c r="E4825" s="1342"/>
      <c r="F4825" s="1342"/>
      <c r="G4825" s="1342"/>
      <c r="H4825" s="1342"/>
      <c r="I4825" s="1342"/>
      <c r="J4825" s="1342"/>
      <c r="K4825" s="1342"/>
    </row>
    <row r="4826" spans="2:11" ht="14" hidden="1">
      <c r="B4826" s="1342"/>
      <c r="C4826" s="1342"/>
      <c r="D4826" s="1342"/>
      <c r="E4826" s="1342"/>
      <c r="F4826" s="1342"/>
      <c r="G4826" s="1342"/>
      <c r="H4826" s="1342"/>
      <c r="I4826" s="1342"/>
      <c r="J4826" s="1342"/>
      <c r="K4826" s="1342"/>
    </row>
    <row r="4827" spans="2:11" ht="14" hidden="1">
      <c r="B4827" s="1342"/>
      <c r="C4827" s="1342"/>
      <c r="D4827" s="1342"/>
      <c r="E4827" s="1342"/>
      <c r="F4827" s="1342"/>
      <c r="G4827" s="1342"/>
      <c r="H4827" s="1342"/>
      <c r="I4827" s="1342"/>
      <c r="J4827" s="1342"/>
      <c r="K4827" s="1342"/>
    </row>
    <row r="4828" spans="2:11" ht="14" hidden="1">
      <c r="B4828" s="1342"/>
      <c r="C4828" s="1342"/>
      <c r="D4828" s="1342"/>
      <c r="E4828" s="1342"/>
      <c r="F4828" s="1342"/>
      <c r="G4828" s="1342"/>
      <c r="H4828" s="1342"/>
      <c r="I4828" s="1342"/>
      <c r="J4828" s="1342"/>
      <c r="K4828" s="1342"/>
    </row>
    <row r="4829" spans="2:11" ht="14" hidden="1">
      <c r="B4829" s="1342"/>
      <c r="C4829" s="1342"/>
      <c r="D4829" s="1342"/>
      <c r="E4829" s="1342"/>
      <c r="F4829" s="1342"/>
      <c r="G4829" s="1342"/>
      <c r="H4829" s="1342"/>
      <c r="I4829" s="1342"/>
      <c r="J4829" s="1342"/>
      <c r="K4829" s="1342"/>
    </row>
    <row r="4830" spans="2:11" ht="14" hidden="1">
      <c r="B4830" s="1342"/>
      <c r="C4830" s="1342"/>
      <c r="D4830" s="1342"/>
      <c r="E4830" s="1342"/>
      <c r="F4830" s="1342"/>
      <c r="G4830" s="1342"/>
      <c r="H4830" s="1342"/>
      <c r="I4830" s="1342"/>
      <c r="J4830" s="1342"/>
      <c r="K4830" s="1342"/>
    </row>
    <row r="4831" spans="2:11" ht="14" hidden="1">
      <c r="B4831" s="1342"/>
      <c r="C4831" s="1342"/>
      <c r="D4831" s="1342"/>
      <c r="E4831" s="1342"/>
      <c r="F4831" s="1342"/>
      <c r="G4831" s="1342"/>
      <c r="H4831" s="1342"/>
      <c r="I4831" s="1342"/>
      <c r="J4831" s="1342"/>
      <c r="K4831" s="1342"/>
    </row>
    <row r="4832" spans="2:11" ht="14" hidden="1">
      <c r="B4832" s="1342"/>
      <c r="C4832" s="1342"/>
      <c r="D4832" s="1342"/>
      <c r="E4832" s="1342"/>
      <c r="F4832" s="1342"/>
      <c r="G4832" s="1342"/>
      <c r="H4832" s="1342"/>
      <c r="I4832" s="1342"/>
      <c r="J4832" s="1342"/>
      <c r="K4832" s="1342"/>
    </row>
    <row r="4833" spans="2:11" ht="14" hidden="1">
      <c r="B4833" s="1342"/>
      <c r="C4833" s="1342"/>
      <c r="D4833" s="1342"/>
      <c r="E4833" s="1342"/>
      <c r="F4833" s="1342"/>
      <c r="G4833" s="1342"/>
      <c r="H4833" s="1342"/>
      <c r="I4833" s="1342"/>
      <c r="J4833" s="1342"/>
      <c r="K4833" s="1342"/>
    </row>
    <row r="4834" spans="2:11" ht="14" hidden="1">
      <c r="B4834" s="1342"/>
      <c r="C4834" s="1342"/>
      <c r="D4834" s="1342"/>
      <c r="E4834" s="1342"/>
      <c r="F4834" s="1342"/>
      <c r="G4834" s="1342"/>
      <c r="H4834" s="1342"/>
      <c r="I4834" s="1342"/>
      <c r="J4834" s="1342"/>
      <c r="K4834" s="1342"/>
    </row>
    <row r="4835" spans="2:11" ht="14" hidden="1">
      <c r="B4835" s="1342"/>
      <c r="C4835" s="1342"/>
      <c r="D4835" s="1342"/>
      <c r="E4835" s="1342"/>
      <c r="F4835" s="1342"/>
      <c r="G4835" s="1342"/>
      <c r="H4835" s="1342"/>
      <c r="I4835" s="1342"/>
      <c r="J4835" s="1342"/>
      <c r="K4835" s="1342"/>
    </row>
    <row r="4836" spans="2:11" ht="14" hidden="1">
      <c r="B4836" s="1342"/>
      <c r="C4836" s="1342"/>
      <c r="D4836" s="1342"/>
      <c r="E4836" s="1342"/>
      <c r="F4836" s="1342"/>
      <c r="G4836" s="1342"/>
      <c r="H4836" s="1342"/>
      <c r="I4836" s="1342"/>
      <c r="J4836" s="1342"/>
      <c r="K4836" s="1342"/>
    </row>
    <row r="4837" spans="2:11" ht="14" hidden="1">
      <c r="B4837" s="1342"/>
      <c r="C4837" s="1342"/>
      <c r="D4837" s="1342"/>
      <c r="E4837" s="1342"/>
      <c r="F4837" s="1342"/>
      <c r="G4837" s="1342"/>
      <c r="H4837" s="1342"/>
      <c r="I4837" s="1342"/>
      <c r="J4837" s="1342"/>
      <c r="K4837" s="1342"/>
    </row>
    <row r="4838" spans="2:11" ht="14" hidden="1">
      <c r="B4838" s="1342"/>
      <c r="C4838" s="1342"/>
      <c r="D4838" s="1342"/>
      <c r="E4838" s="1342"/>
      <c r="F4838" s="1342"/>
      <c r="G4838" s="1342"/>
      <c r="H4838" s="1342"/>
      <c r="I4838" s="1342"/>
      <c r="J4838" s="1342"/>
      <c r="K4838" s="1342"/>
    </row>
    <row r="4839" spans="2:11" ht="14" hidden="1">
      <c r="B4839" s="1342"/>
      <c r="C4839" s="1342"/>
      <c r="D4839" s="1342"/>
      <c r="E4839" s="1342"/>
      <c r="F4839" s="1342"/>
      <c r="G4839" s="1342"/>
      <c r="H4839" s="1342"/>
      <c r="I4839" s="1342"/>
      <c r="J4839" s="1342"/>
      <c r="K4839" s="1342"/>
    </row>
    <row r="4840" spans="2:11" ht="14" hidden="1">
      <c r="B4840" s="1342"/>
      <c r="C4840" s="1342"/>
      <c r="D4840" s="1342"/>
      <c r="E4840" s="1342"/>
      <c r="F4840" s="1342"/>
      <c r="G4840" s="1342"/>
      <c r="H4840" s="1342"/>
      <c r="I4840" s="1342"/>
      <c r="J4840" s="1342"/>
      <c r="K4840" s="1342"/>
    </row>
    <row r="4841" spans="2:11" ht="14" hidden="1">
      <c r="B4841" s="1342"/>
      <c r="C4841" s="1342"/>
      <c r="D4841" s="1342"/>
      <c r="E4841" s="1342"/>
      <c r="F4841" s="1342"/>
      <c r="G4841" s="1342"/>
      <c r="H4841" s="1342"/>
      <c r="I4841" s="1342"/>
      <c r="J4841" s="1342"/>
      <c r="K4841" s="1342"/>
    </row>
    <row r="4842" spans="2:11" ht="14" hidden="1">
      <c r="B4842" s="1342"/>
      <c r="C4842" s="1342"/>
      <c r="D4842" s="1342"/>
      <c r="E4842" s="1342"/>
      <c r="F4842" s="1342"/>
      <c r="G4842" s="1342"/>
      <c r="H4842" s="1342"/>
      <c r="I4842" s="1342"/>
      <c r="J4842" s="1342"/>
      <c r="K4842" s="1342"/>
    </row>
    <row r="4843" spans="2:11" ht="14" hidden="1">
      <c r="B4843" s="1342"/>
      <c r="C4843" s="1342"/>
      <c r="D4843" s="1342"/>
      <c r="E4843" s="1342"/>
      <c r="F4843" s="1342"/>
      <c r="G4843" s="1342"/>
      <c r="H4843" s="1342"/>
      <c r="I4843" s="1342"/>
      <c r="J4843" s="1342"/>
      <c r="K4843" s="1342"/>
    </row>
    <row r="4844" spans="2:11" ht="14" hidden="1">
      <c r="B4844" s="1342"/>
      <c r="C4844" s="1342"/>
      <c r="D4844" s="1342"/>
      <c r="E4844" s="1342"/>
      <c r="F4844" s="1342"/>
      <c r="G4844" s="1342"/>
      <c r="H4844" s="1342"/>
      <c r="I4844" s="1342"/>
      <c r="J4844" s="1342"/>
      <c r="K4844" s="1342"/>
    </row>
    <row r="4845" spans="2:11" ht="14" hidden="1">
      <c r="B4845" s="1342"/>
      <c r="C4845" s="1342"/>
      <c r="D4845" s="1342"/>
      <c r="E4845" s="1342"/>
      <c r="F4845" s="1342"/>
      <c r="G4845" s="1342"/>
      <c r="H4845" s="1342"/>
      <c r="I4845" s="1342"/>
      <c r="J4845" s="1342"/>
      <c r="K4845" s="1342"/>
    </row>
    <row r="4846" spans="2:11" ht="14" hidden="1">
      <c r="B4846" s="1342"/>
      <c r="C4846" s="1342"/>
      <c r="D4846" s="1342"/>
      <c r="E4846" s="1342"/>
      <c r="F4846" s="1342"/>
      <c r="G4846" s="1342"/>
      <c r="H4846" s="1342"/>
      <c r="I4846" s="1342"/>
      <c r="J4846" s="1342"/>
      <c r="K4846" s="1342"/>
    </row>
    <row r="4847" spans="2:11" ht="14" hidden="1">
      <c r="B4847" s="1342"/>
      <c r="C4847" s="1342"/>
      <c r="D4847" s="1342"/>
      <c r="E4847" s="1342"/>
      <c r="F4847" s="1342"/>
      <c r="G4847" s="1342"/>
      <c r="H4847" s="1342"/>
      <c r="I4847" s="1342"/>
      <c r="J4847" s="1342"/>
      <c r="K4847" s="1342"/>
    </row>
    <row r="4848" spans="2:11" ht="14" hidden="1">
      <c r="B4848" s="1342"/>
      <c r="C4848" s="1342"/>
      <c r="D4848" s="1342"/>
      <c r="E4848" s="1342"/>
      <c r="F4848" s="1342"/>
      <c r="G4848" s="1342"/>
      <c r="H4848" s="1342"/>
      <c r="I4848" s="1342"/>
      <c r="J4848" s="1342"/>
      <c r="K4848" s="1342"/>
    </row>
    <row r="4849" spans="2:11" ht="14" hidden="1">
      <c r="B4849" s="1342"/>
      <c r="C4849" s="1342"/>
      <c r="D4849" s="1342"/>
      <c r="E4849" s="1342"/>
      <c r="F4849" s="1342"/>
      <c r="G4849" s="1342"/>
      <c r="H4849" s="1342"/>
      <c r="I4849" s="1342"/>
      <c r="J4849" s="1342"/>
      <c r="K4849" s="1342"/>
    </row>
    <row r="4850" spans="2:11" ht="14" hidden="1">
      <c r="B4850" s="1342"/>
      <c r="C4850" s="1342"/>
      <c r="D4850" s="1342"/>
      <c r="E4850" s="1342"/>
      <c r="F4850" s="1342"/>
      <c r="G4850" s="1342"/>
      <c r="H4850" s="1342"/>
      <c r="I4850" s="1342"/>
      <c r="J4850" s="1342"/>
      <c r="K4850" s="1342"/>
    </row>
    <row r="4851" spans="2:11" ht="14" hidden="1">
      <c r="B4851" s="1342"/>
      <c r="C4851" s="1342"/>
      <c r="D4851" s="1342"/>
      <c r="E4851" s="1342"/>
      <c r="F4851" s="1342"/>
      <c r="G4851" s="1342"/>
      <c r="H4851" s="1342"/>
      <c r="I4851" s="1342"/>
      <c r="J4851" s="1342"/>
      <c r="K4851" s="1342"/>
    </row>
    <row r="4852" spans="2:11" ht="14" hidden="1">
      <c r="B4852" s="1342"/>
      <c r="C4852" s="1342"/>
      <c r="D4852" s="1342"/>
      <c r="E4852" s="1342"/>
      <c r="F4852" s="1342"/>
      <c r="G4852" s="1342"/>
      <c r="H4852" s="1342"/>
      <c r="I4852" s="1342"/>
      <c r="J4852" s="1342"/>
      <c r="K4852" s="1342"/>
    </row>
    <row r="4853" spans="2:11" ht="14" hidden="1">
      <c r="B4853" s="1342"/>
      <c r="C4853" s="1342"/>
      <c r="D4853" s="1342"/>
      <c r="E4853" s="1342"/>
      <c r="F4853" s="1342"/>
      <c r="G4853" s="1342"/>
      <c r="H4853" s="1342"/>
      <c r="I4853" s="1342"/>
      <c r="J4853" s="1342"/>
      <c r="K4853" s="1342"/>
    </row>
    <row r="4854" spans="2:11" ht="14" hidden="1">
      <c r="B4854" s="1342"/>
      <c r="C4854" s="1342"/>
      <c r="D4854" s="1342"/>
      <c r="E4854" s="1342"/>
      <c r="F4854" s="1342"/>
      <c r="G4854" s="1342"/>
      <c r="H4854" s="1342"/>
      <c r="I4854" s="1342"/>
      <c r="J4854" s="1342"/>
      <c r="K4854" s="1342"/>
    </row>
    <row r="4855" spans="2:11" ht="14" hidden="1">
      <c r="B4855" s="1342"/>
      <c r="C4855" s="1342"/>
      <c r="D4855" s="1342"/>
      <c r="E4855" s="1342"/>
      <c r="F4855" s="1342"/>
      <c r="G4855" s="1342"/>
      <c r="H4855" s="1342"/>
      <c r="I4855" s="1342"/>
      <c r="J4855" s="1342"/>
      <c r="K4855" s="1342"/>
    </row>
    <row r="4856" spans="2:11" ht="14" hidden="1">
      <c r="B4856" s="1342"/>
      <c r="C4856" s="1342"/>
      <c r="D4856" s="1342"/>
      <c r="E4856" s="1342"/>
      <c r="F4856" s="1342"/>
      <c r="G4856" s="1342"/>
      <c r="H4856" s="1342"/>
      <c r="I4856" s="1342"/>
      <c r="J4856" s="1342"/>
      <c r="K4856" s="1342"/>
    </row>
    <row r="4857" spans="2:11" ht="14" hidden="1">
      <c r="B4857" s="1342"/>
      <c r="C4857" s="1342"/>
      <c r="D4857" s="1342"/>
      <c r="E4857" s="1342"/>
      <c r="F4857" s="1342"/>
      <c r="G4857" s="1342"/>
      <c r="H4857" s="1342"/>
      <c r="I4857" s="1342"/>
      <c r="J4857" s="1342"/>
      <c r="K4857" s="1342"/>
    </row>
    <row r="4858" spans="2:11" ht="14" hidden="1">
      <c r="B4858" s="1342"/>
      <c r="C4858" s="1342"/>
      <c r="D4858" s="1342"/>
      <c r="E4858" s="1342"/>
      <c r="F4858" s="1342"/>
      <c r="G4858" s="1342"/>
      <c r="H4858" s="1342"/>
      <c r="I4858" s="1342"/>
      <c r="J4858" s="1342"/>
      <c r="K4858" s="1342"/>
    </row>
    <row r="4859" spans="2:11" ht="14" hidden="1">
      <c r="B4859" s="1342"/>
      <c r="C4859" s="1342"/>
      <c r="D4859" s="1342"/>
      <c r="E4859" s="1342"/>
      <c r="F4859" s="1342"/>
      <c r="G4859" s="1342"/>
      <c r="H4859" s="1342"/>
      <c r="I4859" s="1342"/>
      <c r="J4859" s="1342"/>
      <c r="K4859" s="1342"/>
    </row>
    <row r="4860" spans="2:11" ht="14" hidden="1">
      <c r="B4860" s="1342"/>
      <c r="C4860" s="1342"/>
      <c r="D4860" s="1342"/>
      <c r="E4860" s="1342"/>
      <c r="F4860" s="1342"/>
      <c r="G4860" s="1342"/>
      <c r="H4860" s="1342"/>
      <c r="I4860" s="1342"/>
      <c r="J4860" s="1342"/>
      <c r="K4860" s="1342"/>
    </row>
    <row r="4861" spans="2:11" ht="14" hidden="1">
      <c r="B4861" s="1342"/>
      <c r="C4861" s="1342"/>
      <c r="D4861" s="1342"/>
      <c r="E4861" s="1342"/>
      <c r="F4861" s="1342"/>
      <c r="G4861" s="1342"/>
      <c r="H4861" s="1342"/>
      <c r="I4861" s="1342"/>
      <c r="J4861" s="1342"/>
      <c r="K4861" s="1342"/>
    </row>
    <row r="4862" spans="2:11" ht="14" hidden="1">
      <c r="B4862" s="1342"/>
      <c r="C4862" s="1342"/>
      <c r="D4862" s="1342"/>
      <c r="E4862" s="1342"/>
      <c r="F4862" s="1342"/>
      <c r="G4862" s="1342"/>
      <c r="H4862" s="1342"/>
      <c r="I4862" s="1342"/>
      <c r="J4862" s="1342"/>
      <c r="K4862" s="1342"/>
    </row>
    <row r="4863" spans="2:11" ht="14" hidden="1">
      <c r="B4863" s="1342"/>
      <c r="C4863" s="1342"/>
      <c r="D4863" s="1342"/>
      <c r="E4863" s="1342"/>
      <c r="F4863" s="1342"/>
      <c r="G4863" s="1342"/>
      <c r="H4863" s="1342"/>
      <c r="I4863" s="1342"/>
      <c r="J4863" s="1342"/>
      <c r="K4863" s="1342"/>
    </row>
    <row r="4864" spans="2:11" ht="14" hidden="1">
      <c r="B4864" s="1342"/>
      <c r="C4864" s="1342"/>
      <c r="D4864" s="1342"/>
      <c r="E4864" s="1342"/>
      <c r="F4864" s="1342"/>
      <c r="G4864" s="1342"/>
      <c r="H4864" s="1342"/>
      <c r="I4864" s="1342"/>
      <c r="J4864" s="1342"/>
      <c r="K4864" s="1342"/>
    </row>
    <row r="4865" spans="2:11" ht="14" hidden="1">
      <c r="B4865" s="1342"/>
      <c r="C4865" s="1342"/>
      <c r="D4865" s="1342"/>
      <c r="E4865" s="1342"/>
      <c r="F4865" s="1342"/>
      <c r="G4865" s="1342"/>
      <c r="H4865" s="1342"/>
      <c r="I4865" s="1342"/>
      <c r="J4865" s="1342"/>
      <c r="K4865" s="1342"/>
    </row>
    <row r="4866" spans="2:11" ht="14" hidden="1">
      <c r="B4866" s="1342"/>
      <c r="C4866" s="1342"/>
      <c r="D4866" s="1342"/>
      <c r="E4866" s="1342"/>
      <c r="F4866" s="1342"/>
      <c r="G4866" s="1342"/>
      <c r="H4866" s="1342"/>
      <c r="I4866" s="1342"/>
      <c r="J4866" s="1342"/>
      <c r="K4866" s="1342"/>
    </row>
    <row r="4867" spans="2:11" ht="14" hidden="1">
      <c r="B4867" s="1342"/>
      <c r="C4867" s="1342"/>
      <c r="D4867" s="1342"/>
      <c r="E4867" s="1342"/>
      <c r="F4867" s="1342"/>
      <c r="G4867" s="1342"/>
      <c r="H4867" s="1342"/>
      <c r="I4867" s="1342"/>
      <c r="J4867" s="1342"/>
      <c r="K4867" s="1342"/>
    </row>
    <row r="4868" spans="2:11" ht="14" hidden="1">
      <c r="B4868" s="1342"/>
      <c r="C4868" s="1342"/>
      <c r="D4868" s="1342"/>
      <c r="E4868" s="1342"/>
      <c r="F4868" s="1342"/>
      <c r="G4868" s="1342"/>
      <c r="H4868" s="1342"/>
      <c r="I4868" s="1342"/>
      <c r="J4868" s="1342"/>
      <c r="K4868" s="1342"/>
    </row>
    <row r="4869" spans="2:11" ht="14" hidden="1">
      <c r="B4869" s="1342"/>
      <c r="C4869" s="1342"/>
      <c r="D4869" s="1342"/>
      <c r="E4869" s="1342"/>
      <c r="F4869" s="1342"/>
      <c r="G4869" s="1342"/>
      <c r="H4869" s="1342"/>
      <c r="I4869" s="1342"/>
      <c r="J4869" s="1342"/>
      <c r="K4869" s="1342"/>
    </row>
    <row r="4870" spans="2:11" ht="14" hidden="1">
      <c r="B4870" s="1342"/>
      <c r="C4870" s="1342"/>
      <c r="D4870" s="1342"/>
      <c r="E4870" s="1342"/>
      <c r="F4870" s="1342"/>
      <c r="G4870" s="1342"/>
      <c r="H4870" s="1342"/>
      <c r="I4870" s="1342"/>
      <c r="J4870" s="1342"/>
      <c r="K4870" s="1342"/>
    </row>
    <row r="4871" spans="2:11" ht="14" hidden="1">
      <c r="B4871" s="1342"/>
      <c r="C4871" s="1342"/>
      <c r="D4871" s="1342"/>
      <c r="E4871" s="1342"/>
      <c r="F4871" s="1342"/>
      <c r="G4871" s="1342"/>
      <c r="H4871" s="1342"/>
      <c r="I4871" s="1342"/>
      <c r="J4871" s="1342"/>
      <c r="K4871" s="1342"/>
    </row>
    <row r="4872" spans="2:11" ht="14" hidden="1">
      <c r="B4872" s="1342"/>
      <c r="C4872" s="1342"/>
      <c r="D4872" s="1342"/>
      <c r="E4872" s="1342"/>
      <c r="F4872" s="1342"/>
      <c r="G4872" s="1342"/>
      <c r="H4872" s="1342"/>
      <c r="I4872" s="1342"/>
      <c r="J4872" s="1342"/>
      <c r="K4872" s="1342"/>
    </row>
    <row r="4873" spans="2:11" ht="14" hidden="1">
      <c r="B4873" s="1342"/>
      <c r="C4873" s="1342"/>
      <c r="D4873" s="1342"/>
      <c r="E4873" s="1342"/>
      <c r="F4873" s="1342"/>
      <c r="G4873" s="1342"/>
      <c r="H4873" s="1342"/>
      <c r="I4873" s="1342"/>
      <c r="J4873" s="1342"/>
      <c r="K4873" s="1342"/>
    </row>
    <row r="4874" spans="2:11" ht="14" hidden="1">
      <c r="B4874" s="1342"/>
      <c r="C4874" s="1342"/>
      <c r="D4874" s="1342"/>
      <c r="E4874" s="1342"/>
      <c r="F4874" s="1342"/>
      <c r="G4874" s="1342"/>
      <c r="H4874" s="1342"/>
      <c r="I4874" s="1342"/>
      <c r="J4874" s="1342"/>
      <c r="K4874" s="1342"/>
    </row>
    <row r="4875" spans="2:11" ht="14" hidden="1">
      <c r="B4875" s="1342"/>
      <c r="C4875" s="1342"/>
      <c r="D4875" s="1342"/>
      <c r="E4875" s="1342"/>
      <c r="F4875" s="1342"/>
      <c r="G4875" s="1342"/>
      <c r="H4875" s="1342"/>
      <c r="I4875" s="1342"/>
      <c r="J4875" s="1342"/>
      <c r="K4875" s="1342"/>
    </row>
    <row r="4876" spans="2:11" ht="14" hidden="1">
      <c r="B4876" s="1342"/>
      <c r="C4876" s="1342"/>
      <c r="D4876" s="1342"/>
      <c r="E4876" s="1342"/>
      <c r="F4876" s="1342"/>
      <c r="G4876" s="1342"/>
      <c r="H4876" s="1342"/>
      <c r="I4876" s="1342"/>
      <c r="J4876" s="1342"/>
      <c r="K4876" s="1342"/>
    </row>
    <row r="4877" spans="2:11" ht="14" hidden="1">
      <c r="B4877" s="1342"/>
      <c r="C4877" s="1342"/>
      <c r="D4877" s="1342"/>
      <c r="E4877" s="1342"/>
      <c r="F4877" s="1342"/>
      <c r="G4877" s="1342"/>
      <c r="H4877" s="1342"/>
      <c r="I4877" s="1342"/>
      <c r="J4877" s="1342"/>
      <c r="K4877" s="1342"/>
    </row>
    <row r="4878" spans="2:11" ht="14" hidden="1">
      <c r="B4878" s="1342"/>
      <c r="C4878" s="1342"/>
      <c r="D4878" s="1342"/>
      <c r="E4878" s="1342"/>
      <c r="F4878" s="1342"/>
      <c r="G4878" s="1342"/>
      <c r="H4878" s="1342"/>
      <c r="I4878" s="1342"/>
      <c r="J4878" s="1342"/>
      <c r="K4878" s="1342"/>
    </row>
    <row r="4879" spans="2:11" ht="14" hidden="1">
      <c r="B4879" s="1342"/>
      <c r="C4879" s="1342"/>
      <c r="D4879" s="1342"/>
      <c r="E4879" s="1342"/>
      <c r="F4879" s="1342"/>
      <c r="G4879" s="1342"/>
      <c r="H4879" s="1342"/>
      <c r="I4879" s="1342"/>
      <c r="J4879" s="1342"/>
      <c r="K4879" s="1342"/>
    </row>
    <row r="4880" spans="2:11" ht="14" hidden="1">
      <c r="B4880" s="1342"/>
      <c r="C4880" s="1342"/>
      <c r="D4880" s="1342"/>
      <c r="E4880" s="1342"/>
      <c r="F4880" s="1342"/>
      <c r="G4880" s="1342"/>
      <c r="H4880" s="1342"/>
      <c r="I4880" s="1342"/>
      <c r="J4880" s="1342"/>
      <c r="K4880" s="1342"/>
    </row>
    <row r="4881" spans="2:11" ht="14" hidden="1">
      <c r="B4881" s="1342"/>
      <c r="C4881" s="1342"/>
      <c r="D4881" s="1342"/>
      <c r="E4881" s="1342"/>
      <c r="F4881" s="1342"/>
      <c r="G4881" s="1342"/>
      <c r="H4881" s="1342"/>
      <c r="I4881" s="1342"/>
      <c r="J4881" s="1342"/>
      <c r="K4881" s="1342"/>
    </row>
    <row r="4882" spans="2:11" ht="14" hidden="1">
      <c r="B4882" s="1342"/>
      <c r="C4882" s="1342"/>
      <c r="D4882" s="1342"/>
      <c r="E4882" s="1342"/>
      <c r="F4882" s="1342"/>
      <c r="G4882" s="1342"/>
      <c r="H4882" s="1342"/>
      <c r="I4882" s="1342"/>
      <c r="J4882" s="1342"/>
      <c r="K4882" s="1342"/>
    </row>
    <row r="4883" spans="2:11" ht="14" hidden="1">
      <c r="B4883" s="1342"/>
      <c r="C4883" s="1342"/>
      <c r="D4883" s="1342"/>
      <c r="E4883" s="1342"/>
      <c r="F4883" s="1342"/>
      <c r="G4883" s="1342"/>
      <c r="H4883" s="1342"/>
      <c r="I4883" s="1342"/>
      <c r="J4883" s="1342"/>
      <c r="K4883" s="1342"/>
    </row>
    <row r="4884" spans="2:11" ht="14" hidden="1">
      <c r="B4884" s="1342"/>
      <c r="C4884" s="1342"/>
      <c r="D4884" s="1342"/>
      <c r="E4884" s="1342"/>
      <c r="F4884" s="1342"/>
      <c r="G4884" s="1342"/>
      <c r="H4884" s="1342"/>
      <c r="I4884" s="1342"/>
      <c r="J4884" s="1342"/>
      <c r="K4884" s="1342"/>
    </row>
    <row r="4885" spans="2:11" ht="14" hidden="1">
      <c r="B4885" s="1342"/>
      <c r="C4885" s="1342"/>
      <c r="D4885" s="1342"/>
      <c r="E4885" s="1342"/>
      <c r="F4885" s="1342"/>
      <c r="G4885" s="1342"/>
      <c r="H4885" s="1342"/>
      <c r="I4885" s="1342"/>
      <c r="J4885" s="1342"/>
      <c r="K4885" s="1342"/>
    </row>
    <row r="4886" spans="2:11" ht="14" hidden="1">
      <c r="B4886" s="1342"/>
      <c r="C4886" s="1342"/>
      <c r="D4886" s="1342"/>
      <c r="E4886" s="1342"/>
      <c r="F4886" s="1342"/>
      <c r="G4886" s="1342"/>
      <c r="H4886" s="1342"/>
      <c r="I4886" s="1342"/>
      <c r="J4886" s="1342"/>
      <c r="K4886" s="1342"/>
    </row>
    <row r="4887" spans="2:11" ht="14" hidden="1">
      <c r="B4887" s="1342"/>
      <c r="C4887" s="1342"/>
      <c r="D4887" s="1342"/>
      <c r="E4887" s="1342"/>
      <c r="F4887" s="1342"/>
      <c r="G4887" s="1342"/>
      <c r="H4887" s="1342"/>
      <c r="I4887" s="1342"/>
      <c r="J4887" s="1342"/>
      <c r="K4887" s="1342"/>
    </row>
    <row r="4888" spans="2:11" ht="14" hidden="1">
      <c r="B4888" s="1342"/>
      <c r="C4888" s="1342"/>
      <c r="D4888" s="1342"/>
      <c r="E4888" s="1342"/>
      <c r="F4888" s="1342"/>
      <c r="G4888" s="1342"/>
      <c r="H4888" s="1342"/>
      <c r="I4888" s="1342"/>
      <c r="J4888" s="1342"/>
      <c r="K4888" s="1342"/>
    </row>
    <row r="4889" spans="2:11" ht="14" hidden="1">
      <c r="B4889" s="1342"/>
      <c r="C4889" s="1342"/>
      <c r="D4889" s="1342"/>
      <c r="E4889" s="1342"/>
      <c r="F4889" s="1342"/>
      <c r="G4889" s="1342"/>
      <c r="H4889" s="1342"/>
      <c r="I4889" s="1342"/>
      <c r="J4889" s="1342"/>
      <c r="K4889" s="1342"/>
    </row>
    <row r="4890" spans="2:11" ht="14" hidden="1">
      <c r="B4890" s="1342"/>
      <c r="C4890" s="1342"/>
      <c r="D4890" s="1342"/>
      <c r="E4890" s="1342"/>
      <c r="F4890" s="1342"/>
      <c r="G4890" s="1342"/>
      <c r="H4890" s="1342"/>
      <c r="I4890" s="1342"/>
      <c r="J4890" s="1342"/>
      <c r="K4890" s="1342"/>
    </row>
    <row r="4891" spans="2:11" ht="14" hidden="1">
      <c r="B4891" s="1342"/>
      <c r="C4891" s="1342"/>
      <c r="D4891" s="1342"/>
      <c r="E4891" s="1342"/>
      <c r="F4891" s="1342"/>
      <c r="G4891" s="1342"/>
      <c r="H4891" s="1342"/>
      <c r="I4891" s="1342"/>
      <c r="J4891" s="1342"/>
      <c r="K4891" s="1342"/>
    </row>
    <row r="4892" spans="2:11" ht="14" hidden="1">
      <c r="B4892" s="1342"/>
      <c r="C4892" s="1342"/>
      <c r="D4892" s="1342"/>
      <c r="E4892" s="1342"/>
      <c r="F4892" s="1342"/>
      <c r="G4892" s="1342"/>
      <c r="H4892" s="1342"/>
      <c r="I4892" s="1342"/>
      <c r="J4892" s="1342"/>
      <c r="K4892" s="1342"/>
    </row>
    <row r="4893" spans="2:11" ht="14" hidden="1">
      <c r="B4893" s="1342"/>
      <c r="C4893" s="1342"/>
      <c r="D4893" s="1342"/>
      <c r="E4893" s="1342"/>
      <c r="F4893" s="1342"/>
      <c r="G4893" s="1342"/>
      <c r="H4893" s="1342"/>
      <c r="I4893" s="1342"/>
      <c r="J4893" s="1342"/>
      <c r="K4893" s="1342"/>
    </row>
    <row r="4894" spans="2:11" ht="14" hidden="1">
      <c r="B4894" s="1342"/>
      <c r="C4894" s="1342"/>
      <c r="D4894" s="1342"/>
      <c r="E4894" s="1342"/>
      <c r="F4894" s="1342"/>
      <c r="G4894" s="1342"/>
      <c r="H4894" s="1342"/>
      <c r="I4894" s="1342"/>
      <c r="J4894" s="1342"/>
      <c r="K4894" s="1342"/>
    </row>
    <row r="4895" spans="2:11" ht="14" hidden="1">
      <c r="B4895" s="1342"/>
      <c r="C4895" s="1342"/>
      <c r="D4895" s="1342"/>
      <c r="E4895" s="1342"/>
      <c r="F4895" s="1342"/>
      <c r="G4895" s="1342"/>
      <c r="H4895" s="1342"/>
      <c r="I4895" s="1342"/>
      <c r="J4895" s="1342"/>
      <c r="K4895" s="1342"/>
    </row>
    <row r="4896" spans="2:11" ht="14" hidden="1">
      <c r="B4896" s="1342"/>
      <c r="C4896" s="1342"/>
      <c r="D4896" s="1342"/>
      <c r="E4896" s="1342"/>
      <c r="F4896" s="1342"/>
      <c r="G4896" s="1342"/>
      <c r="H4896" s="1342"/>
      <c r="I4896" s="1342"/>
      <c r="J4896" s="1342"/>
      <c r="K4896" s="1342"/>
    </row>
    <row r="4897" spans="2:11" ht="14" hidden="1">
      <c r="B4897" s="1342"/>
      <c r="C4897" s="1342"/>
      <c r="D4897" s="1342"/>
      <c r="E4897" s="1342"/>
      <c r="F4897" s="1342"/>
      <c r="G4897" s="1342"/>
      <c r="H4897" s="1342"/>
      <c r="I4897" s="1342"/>
      <c r="J4897" s="1342"/>
      <c r="K4897" s="1342"/>
    </row>
    <row r="4898" spans="2:11" ht="14" hidden="1">
      <c r="B4898" s="1342"/>
      <c r="C4898" s="1342"/>
      <c r="D4898" s="1342"/>
      <c r="E4898" s="1342"/>
      <c r="F4898" s="1342"/>
      <c r="G4898" s="1342"/>
      <c r="H4898" s="1342"/>
      <c r="I4898" s="1342"/>
      <c r="J4898" s="1342"/>
      <c r="K4898" s="1342"/>
    </row>
    <row r="4899" spans="2:11" ht="14" hidden="1">
      <c r="B4899" s="1342"/>
      <c r="C4899" s="1342"/>
      <c r="D4899" s="1342"/>
      <c r="E4899" s="1342"/>
      <c r="F4899" s="1342"/>
      <c r="G4899" s="1342"/>
      <c r="H4899" s="1342"/>
      <c r="I4899" s="1342"/>
      <c r="J4899" s="1342"/>
      <c r="K4899" s="1342"/>
    </row>
    <row r="4900" spans="2:11" ht="14" hidden="1">
      <c r="B4900" s="1342"/>
      <c r="C4900" s="1342"/>
      <c r="D4900" s="1342"/>
      <c r="E4900" s="1342"/>
      <c r="F4900" s="1342"/>
      <c r="G4900" s="1342"/>
      <c r="H4900" s="1342"/>
      <c r="I4900" s="1342"/>
      <c r="J4900" s="1342"/>
      <c r="K4900" s="1342"/>
    </row>
    <row r="4901" spans="2:11" ht="14" hidden="1">
      <c r="B4901" s="1342"/>
      <c r="C4901" s="1342"/>
      <c r="D4901" s="1342"/>
      <c r="E4901" s="1342"/>
      <c r="F4901" s="1342"/>
      <c r="G4901" s="1342"/>
      <c r="H4901" s="1342"/>
      <c r="I4901" s="1342"/>
      <c r="J4901" s="1342"/>
      <c r="K4901" s="1342"/>
    </row>
    <row r="4902" spans="2:11" ht="14" hidden="1">
      <c r="B4902" s="1342"/>
      <c r="C4902" s="1342"/>
      <c r="D4902" s="1342"/>
      <c r="E4902" s="1342"/>
      <c r="F4902" s="1342"/>
      <c r="G4902" s="1342"/>
      <c r="H4902" s="1342"/>
      <c r="I4902" s="1342"/>
      <c r="J4902" s="1342"/>
      <c r="K4902" s="1342"/>
    </row>
    <row r="4903" spans="2:11" ht="14" hidden="1">
      <c r="B4903" s="1342"/>
      <c r="C4903" s="1342"/>
      <c r="D4903" s="1342"/>
      <c r="E4903" s="1342"/>
      <c r="F4903" s="1342"/>
      <c r="G4903" s="1342"/>
      <c r="H4903" s="1342"/>
      <c r="I4903" s="1342"/>
      <c r="J4903" s="1342"/>
      <c r="K4903" s="1342"/>
    </row>
    <row r="4904" spans="2:11" ht="14" hidden="1">
      <c r="B4904" s="1342"/>
      <c r="C4904" s="1342"/>
      <c r="D4904" s="1342"/>
      <c r="E4904" s="1342"/>
      <c r="F4904" s="1342"/>
      <c r="G4904" s="1342"/>
      <c r="H4904" s="1342"/>
      <c r="I4904" s="1342"/>
      <c r="J4904" s="1342"/>
      <c r="K4904" s="1342"/>
    </row>
    <row r="4905" spans="2:11" ht="14" hidden="1">
      <c r="B4905" s="1342"/>
      <c r="C4905" s="1342"/>
      <c r="D4905" s="1342"/>
      <c r="E4905" s="1342"/>
      <c r="F4905" s="1342"/>
      <c r="G4905" s="1342"/>
      <c r="H4905" s="1342"/>
      <c r="I4905" s="1342"/>
      <c r="J4905" s="1342"/>
      <c r="K4905" s="1342"/>
    </row>
    <row r="4906" spans="2:11" ht="14" hidden="1">
      <c r="B4906" s="1342"/>
      <c r="C4906" s="1342"/>
      <c r="D4906" s="1342"/>
      <c r="E4906" s="1342"/>
      <c r="F4906" s="1342"/>
      <c r="G4906" s="1342"/>
      <c r="H4906" s="1342"/>
      <c r="I4906" s="1342"/>
      <c r="J4906" s="1342"/>
      <c r="K4906" s="1342"/>
    </row>
    <row r="4907" spans="2:11" ht="14" hidden="1">
      <c r="B4907" s="1342"/>
      <c r="C4907" s="1342"/>
      <c r="D4907" s="1342"/>
      <c r="E4907" s="1342"/>
      <c r="F4907" s="1342"/>
      <c r="G4907" s="1342"/>
      <c r="H4907" s="1342"/>
      <c r="I4907" s="1342"/>
      <c r="J4907" s="1342"/>
      <c r="K4907" s="1342"/>
    </row>
    <row r="4908" spans="2:11" ht="14" hidden="1">
      <c r="B4908" s="1342"/>
      <c r="C4908" s="1342"/>
      <c r="D4908" s="1342"/>
      <c r="E4908" s="1342"/>
      <c r="F4908" s="1342"/>
      <c r="G4908" s="1342"/>
      <c r="H4908" s="1342"/>
      <c r="I4908" s="1342"/>
      <c r="J4908" s="1342"/>
      <c r="K4908" s="1342"/>
    </row>
    <row r="4909" spans="2:11" ht="14" hidden="1">
      <c r="B4909" s="1342"/>
      <c r="C4909" s="1342"/>
      <c r="D4909" s="1342"/>
      <c r="E4909" s="1342"/>
      <c r="F4909" s="1342"/>
      <c r="G4909" s="1342"/>
      <c r="H4909" s="1342"/>
      <c r="I4909" s="1342"/>
      <c r="J4909" s="1342"/>
      <c r="K4909" s="1342"/>
    </row>
    <row r="4910" spans="2:11" ht="14" hidden="1">
      <c r="B4910" s="1342"/>
      <c r="C4910" s="1342"/>
      <c r="D4910" s="1342"/>
      <c r="E4910" s="1342"/>
      <c r="F4910" s="1342"/>
      <c r="G4910" s="1342"/>
      <c r="H4910" s="1342"/>
      <c r="I4910" s="1342"/>
      <c r="J4910" s="1342"/>
      <c r="K4910" s="1342"/>
    </row>
    <row r="4911" spans="2:11" ht="14" hidden="1">
      <c r="B4911" s="1342"/>
      <c r="C4911" s="1342"/>
      <c r="D4911" s="1342"/>
      <c r="E4911" s="1342"/>
      <c r="F4911" s="1342"/>
      <c r="G4911" s="1342"/>
      <c r="H4911" s="1342"/>
      <c r="I4911" s="1342"/>
      <c r="J4911" s="1342"/>
      <c r="K4911" s="1342"/>
    </row>
    <row r="4912" spans="2:11" ht="14" hidden="1">
      <c r="B4912" s="1342"/>
      <c r="C4912" s="1342"/>
      <c r="D4912" s="1342"/>
      <c r="E4912" s="1342"/>
      <c r="F4912" s="1342"/>
      <c r="G4912" s="1342"/>
      <c r="H4912" s="1342"/>
      <c r="I4912" s="1342"/>
      <c r="J4912" s="1342"/>
      <c r="K4912" s="1342"/>
    </row>
    <row r="4913" spans="2:11" ht="14" hidden="1">
      <c r="B4913" s="1342"/>
      <c r="C4913" s="1342"/>
      <c r="D4913" s="1342"/>
      <c r="E4913" s="1342"/>
      <c r="F4913" s="1342"/>
      <c r="G4913" s="1342"/>
      <c r="H4913" s="1342"/>
      <c r="I4913" s="1342"/>
      <c r="J4913" s="1342"/>
      <c r="K4913" s="1342"/>
    </row>
    <row r="4914" spans="2:11" ht="14" hidden="1">
      <c r="B4914" s="1342"/>
      <c r="C4914" s="1342"/>
      <c r="D4914" s="1342"/>
      <c r="E4914" s="1342"/>
      <c r="F4914" s="1342"/>
      <c r="G4914" s="1342"/>
      <c r="H4914" s="1342"/>
      <c r="I4914" s="1342"/>
      <c r="J4914" s="1342"/>
      <c r="K4914" s="1342"/>
    </row>
    <row r="4915" spans="2:11" ht="14" hidden="1">
      <c r="B4915" s="1342"/>
      <c r="C4915" s="1342"/>
      <c r="D4915" s="1342"/>
      <c r="E4915" s="1342"/>
      <c r="F4915" s="1342"/>
      <c r="G4915" s="1342"/>
      <c r="H4915" s="1342"/>
      <c r="I4915" s="1342"/>
      <c r="J4915" s="1342"/>
      <c r="K4915" s="1342"/>
    </row>
    <row r="4916" spans="2:11" ht="14" hidden="1">
      <c r="B4916" s="1342"/>
      <c r="C4916" s="1342"/>
      <c r="D4916" s="1342"/>
      <c r="E4916" s="1342"/>
      <c r="F4916" s="1342"/>
      <c r="G4916" s="1342"/>
      <c r="H4916" s="1342"/>
      <c r="I4916" s="1342"/>
      <c r="J4916" s="1342"/>
      <c r="K4916" s="1342"/>
    </row>
    <row r="4917" spans="2:11" ht="14" hidden="1">
      <c r="B4917" s="1342"/>
      <c r="C4917" s="1342"/>
      <c r="D4917" s="1342"/>
      <c r="E4917" s="1342"/>
      <c r="F4917" s="1342"/>
      <c r="G4917" s="1342"/>
      <c r="H4917" s="1342"/>
      <c r="I4917" s="1342"/>
      <c r="J4917" s="1342"/>
      <c r="K4917" s="1342"/>
    </row>
    <row r="4918" spans="2:11" ht="14" hidden="1">
      <c r="B4918" s="1342"/>
      <c r="C4918" s="1342"/>
      <c r="D4918" s="1342"/>
      <c r="E4918" s="1342"/>
      <c r="F4918" s="1342"/>
      <c r="G4918" s="1342"/>
      <c r="H4918" s="1342"/>
      <c r="I4918" s="1342"/>
      <c r="J4918" s="1342"/>
      <c r="K4918" s="1342"/>
    </row>
    <row r="4919" spans="2:11" ht="14" hidden="1">
      <c r="B4919" s="1342"/>
      <c r="C4919" s="1342"/>
      <c r="D4919" s="1342"/>
      <c r="E4919" s="1342"/>
      <c r="F4919" s="1342"/>
      <c r="G4919" s="1342"/>
      <c r="H4919" s="1342"/>
      <c r="I4919" s="1342"/>
      <c r="J4919" s="1342"/>
      <c r="K4919" s="1342"/>
    </row>
    <row r="4920" spans="2:11" ht="14" hidden="1">
      <c r="B4920" s="1342"/>
      <c r="C4920" s="1342"/>
      <c r="D4920" s="1342"/>
      <c r="E4920" s="1342"/>
      <c r="F4920" s="1342"/>
      <c r="G4920" s="1342"/>
      <c r="H4920" s="1342"/>
      <c r="I4920" s="1342"/>
      <c r="J4920" s="1342"/>
      <c r="K4920" s="1342"/>
    </row>
    <row r="4921" spans="2:11" ht="14" hidden="1">
      <c r="B4921" s="1342"/>
      <c r="C4921" s="1342"/>
      <c r="D4921" s="1342"/>
      <c r="E4921" s="1342"/>
      <c r="F4921" s="1342"/>
      <c r="G4921" s="1342"/>
      <c r="H4921" s="1342"/>
      <c r="I4921" s="1342"/>
      <c r="J4921" s="1342"/>
      <c r="K4921" s="1342"/>
    </row>
    <row r="4922" spans="2:11" ht="14" hidden="1">
      <c r="B4922" s="1342"/>
      <c r="C4922" s="1342"/>
      <c r="D4922" s="1342"/>
      <c r="E4922" s="1342"/>
      <c r="F4922" s="1342"/>
      <c r="G4922" s="1342"/>
      <c r="H4922" s="1342"/>
      <c r="I4922" s="1342"/>
      <c r="J4922" s="1342"/>
      <c r="K4922" s="1342"/>
    </row>
    <row r="4923" spans="2:11" ht="14" hidden="1">
      <c r="B4923" s="1342"/>
      <c r="C4923" s="1342"/>
      <c r="D4923" s="1342"/>
      <c r="E4923" s="1342"/>
      <c r="F4923" s="1342"/>
      <c r="G4923" s="1342"/>
      <c r="H4923" s="1342"/>
      <c r="I4923" s="1342"/>
      <c r="J4923" s="1342"/>
      <c r="K4923" s="1342"/>
    </row>
    <row r="4924" spans="2:11" ht="14" hidden="1">
      <c r="B4924" s="1342"/>
      <c r="C4924" s="1342"/>
      <c r="D4924" s="1342"/>
      <c r="E4924" s="1342"/>
      <c r="F4924" s="1342"/>
      <c r="G4924" s="1342"/>
      <c r="H4924" s="1342"/>
      <c r="I4924" s="1342"/>
      <c r="J4924" s="1342"/>
      <c r="K4924" s="1342"/>
    </row>
    <row r="4925" spans="2:11" ht="14" hidden="1">
      <c r="B4925" s="1342"/>
      <c r="C4925" s="1342"/>
      <c r="D4925" s="1342"/>
      <c r="E4925" s="1342"/>
      <c r="F4925" s="1342"/>
      <c r="G4925" s="1342"/>
      <c r="H4925" s="1342"/>
      <c r="I4925" s="1342"/>
      <c r="J4925" s="1342"/>
      <c r="K4925" s="1342"/>
    </row>
    <row r="4926" spans="2:11" ht="14" hidden="1">
      <c r="B4926" s="1342"/>
      <c r="C4926" s="1342"/>
      <c r="D4926" s="1342"/>
      <c r="E4926" s="1342"/>
      <c r="F4926" s="1342"/>
      <c r="G4926" s="1342"/>
      <c r="H4926" s="1342"/>
      <c r="I4926" s="1342"/>
      <c r="J4926" s="1342"/>
      <c r="K4926" s="1342"/>
    </row>
    <row r="4927" spans="2:11" ht="14" hidden="1">
      <c r="B4927" s="1342"/>
      <c r="C4927" s="1342"/>
      <c r="D4927" s="1342"/>
      <c r="E4927" s="1342"/>
      <c r="F4927" s="1342"/>
      <c r="G4927" s="1342"/>
      <c r="H4927" s="1342"/>
      <c r="I4927" s="1342"/>
      <c r="J4927" s="1342"/>
      <c r="K4927" s="1342"/>
    </row>
    <row r="4928" spans="2:11" ht="14" hidden="1">
      <c r="B4928" s="1342"/>
      <c r="C4928" s="1342"/>
      <c r="D4928" s="1342"/>
      <c r="E4928" s="1342"/>
      <c r="F4928" s="1342"/>
      <c r="G4928" s="1342"/>
      <c r="H4928" s="1342"/>
      <c r="I4928" s="1342"/>
      <c r="J4928" s="1342"/>
      <c r="K4928" s="1342"/>
    </row>
    <row r="4929" spans="2:11" ht="14" hidden="1">
      <c r="B4929" s="1342"/>
      <c r="C4929" s="1342"/>
      <c r="D4929" s="1342"/>
      <c r="E4929" s="1342"/>
      <c r="F4929" s="1342"/>
      <c r="G4929" s="1342"/>
      <c r="H4929" s="1342"/>
      <c r="I4929" s="1342"/>
      <c r="J4929" s="1342"/>
      <c r="K4929" s="1342"/>
    </row>
    <row r="4930" spans="2:11" ht="14" hidden="1">
      <c r="B4930" s="1342"/>
      <c r="C4930" s="1342"/>
      <c r="D4930" s="1342"/>
      <c r="E4930" s="1342"/>
      <c r="F4930" s="1342"/>
      <c r="G4930" s="1342"/>
      <c r="H4930" s="1342"/>
      <c r="I4930" s="1342"/>
      <c r="J4930" s="1342"/>
      <c r="K4930" s="1342"/>
    </row>
    <row r="4931" spans="2:11" ht="14" hidden="1">
      <c r="B4931" s="1342"/>
      <c r="C4931" s="1342"/>
      <c r="D4931" s="1342"/>
      <c r="E4931" s="1342"/>
      <c r="F4931" s="1342"/>
      <c r="G4931" s="1342"/>
      <c r="H4931" s="1342"/>
      <c r="I4931" s="1342"/>
      <c r="J4931" s="1342"/>
      <c r="K4931" s="1342"/>
    </row>
    <row r="4932" spans="2:11" ht="14" hidden="1">
      <c r="B4932" s="1342"/>
      <c r="C4932" s="1342"/>
      <c r="D4932" s="1342"/>
      <c r="E4932" s="1342"/>
      <c r="F4932" s="1342"/>
      <c r="G4932" s="1342"/>
      <c r="H4932" s="1342"/>
      <c r="I4932" s="1342"/>
      <c r="J4932" s="1342"/>
      <c r="K4932" s="1342"/>
    </row>
    <row r="4933" spans="2:11" ht="14" hidden="1">
      <c r="B4933" s="1342"/>
      <c r="C4933" s="1342"/>
      <c r="D4933" s="1342"/>
      <c r="E4933" s="1342"/>
      <c r="F4933" s="1342"/>
      <c r="G4933" s="1342"/>
      <c r="H4933" s="1342"/>
      <c r="I4933" s="1342"/>
      <c r="J4933" s="1342"/>
      <c r="K4933" s="1342"/>
    </row>
    <row r="4934" spans="2:11" ht="14" hidden="1">
      <c r="B4934" s="1342"/>
      <c r="C4934" s="1342"/>
      <c r="D4934" s="1342"/>
      <c r="E4934" s="1342"/>
      <c r="F4934" s="1342"/>
      <c r="G4934" s="1342"/>
      <c r="H4934" s="1342"/>
      <c r="I4934" s="1342"/>
      <c r="J4934" s="1342"/>
      <c r="K4934" s="1342"/>
    </row>
    <row r="4935" spans="2:11" ht="14" hidden="1">
      <c r="B4935" s="1342"/>
      <c r="C4935" s="1342"/>
      <c r="D4935" s="1342"/>
      <c r="E4935" s="1342"/>
      <c r="F4935" s="1342"/>
      <c r="G4935" s="1342"/>
      <c r="H4935" s="1342"/>
      <c r="I4935" s="1342"/>
      <c r="J4935" s="1342"/>
      <c r="K4935" s="1342"/>
    </row>
    <row r="4936" spans="2:11" ht="14" hidden="1">
      <c r="B4936" s="1342"/>
      <c r="C4936" s="1342"/>
      <c r="D4936" s="1342"/>
      <c r="E4936" s="1342"/>
      <c r="F4936" s="1342"/>
      <c r="G4936" s="1342"/>
      <c r="H4936" s="1342"/>
      <c r="I4936" s="1342"/>
      <c r="J4936" s="1342"/>
      <c r="K4936" s="1342"/>
    </row>
    <row r="4937" spans="2:11" ht="14" hidden="1">
      <c r="B4937" s="1342"/>
      <c r="C4937" s="1342"/>
      <c r="D4937" s="1342"/>
      <c r="E4937" s="1342"/>
      <c r="F4937" s="1342"/>
      <c r="G4937" s="1342"/>
      <c r="H4937" s="1342"/>
      <c r="I4937" s="1342"/>
      <c r="J4937" s="1342"/>
      <c r="K4937" s="1342"/>
    </row>
    <row r="4938" spans="2:11" ht="14" hidden="1">
      <c r="B4938" s="1342"/>
      <c r="C4938" s="1342"/>
      <c r="D4938" s="1342"/>
      <c r="E4938" s="1342"/>
      <c r="F4938" s="1342"/>
      <c r="G4938" s="1342"/>
      <c r="H4938" s="1342"/>
      <c r="I4938" s="1342"/>
      <c r="J4938" s="1342"/>
      <c r="K4938" s="1342"/>
    </row>
    <row r="4939" spans="2:11" ht="14" hidden="1">
      <c r="B4939" s="1342"/>
      <c r="C4939" s="1342"/>
      <c r="D4939" s="1342"/>
      <c r="E4939" s="1342"/>
      <c r="F4939" s="1342"/>
      <c r="G4939" s="1342"/>
      <c r="H4939" s="1342"/>
      <c r="I4939" s="1342"/>
      <c r="J4939" s="1342"/>
      <c r="K4939" s="1342"/>
    </row>
    <row r="4940" spans="2:11" ht="14" hidden="1">
      <c r="B4940" s="1342"/>
      <c r="C4940" s="1342"/>
      <c r="D4940" s="1342"/>
      <c r="E4940" s="1342"/>
      <c r="F4940" s="1342"/>
      <c r="G4940" s="1342"/>
      <c r="H4940" s="1342"/>
      <c r="I4940" s="1342"/>
      <c r="J4940" s="1342"/>
      <c r="K4940" s="1342"/>
    </row>
    <row r="4941" spans="2:11" ht="14" hidden="1">
      <c r="B4941" s="1342"/>
      <c r="C4941" s="1342"/>
      <c r="D4941" s="1342"/>
      <c r="E4941" s="1342"/>
      <c r="F4941" s="1342"/>
      <c r="G4941" s="1342"/>
      <c r="H4941" s="1342"/>
      <c r="I4941" s="1342"/>
      <c r="J4941" s="1342"/>
      <c r="K4941" s="1342"/>
    </row>
    <row r="4942" spans="2:11" ht="14" hidden="1">
      <c r="B4942" s="1342"/>
      <c r="C4942" s="1342"/>
      <c r="D4942" s="1342"/>
      <c r="E4942" s="1342"/>
      <c r="F4942" s="1342"/>
      <c r="G4942" s="1342"/>
      <c r="H4942" s="1342"/>
      <c r="I4942" s="1342"/>
      <c r="J4942" s="1342"/>
      <c r="K4942" s="1342"/>
    </row>
    <row r="4943" spans="2:11" ht="14" hidden="1">
      <c r="B4943" s="1342"/>
      <c r="C4943" s="1342"/>
      <c r="D4943" s="1342"/>
      <c r="E4943" s="1342"/>
      <c r="F4943" s="1342"/>
      <c r="G4943" s="1342"/>
      <c r="H4943" s="1342"/>
      <c r="I4943" s="1342"/>
      <c r="J4943" s="1342"/>
      <c r="K4943" s="1342"/>
    </row>
    <row r="4944" spans="2:11" ht="14" hidden="1">
      <c r="B4944" s="1342"/>
      <c r="C4944" s="1342"/>
      <c r="D4944" s="1342"/>
      <c r="E4944" s="1342"/>
      <c r="F4944" s="1342"/>
      <c r="G4944" s="1342"/>
      <c r="H4944" s="1342"/>
      <c r="I4944" s="1342"/>
      <c r="J4944" s="1342"/>
      <c r="K4944" s="1342"/>
    </row>
    <row r="4945" spans="2:11" ht="14" hidden="1">
      <c r="B4945" s="1342"/>
      <c r="C4945" s="1342"/>
      <c r="D4945" s="1342"/>
      <c r="E4945" s="1342"/>
      <c r="F4945" s="1342"/>
      <c r="G4945" s="1342"/>
      <c r="H4945" s="1342"/>
      <c r="I4945" s="1342"/>
      <c r="J4945" s="1342"/>
      <c r="K4945" s="1342"/>
    </row>
    <row r="4946" spans="2:11" ht="14" hidden="1">
      <c r="B4946" s="1342"/>
      <c r="C4946" s="1342"/>
      <c r="D4946" s="1342"/>
      <c r="E4946" s="1342"/>
      <c r="F4946" s="1342"/>
      <c r="G4946" s="1342"/>
      <c r="H4946" s="1342"/>
      <c r="I4946" s="1342"/>
      <c r="J4946" s="1342"/>
      <c r="K4946" s="1342"/>
    </row>
    <row r="4947" spans="2:11" ht="14" hidden="1">
      <c r="B4947" s="1342"/>
      <c r="C4947" s="1342"/>
      <c r="D4947" s="1342"/>
      <c r="E4947" s="1342"/>
      <c r="F4947" s="1342"/>
      <c r="G4947" s="1342"/>
      <c r="H4947" s="1342"/>
      <c r="I4947" s="1342"/>
      <c r="J4947" s="1342"/>
      <c r="K4947" s="1342"/>
    </row>
    <row r="4948" spans="2:11" ht="14" hidden="1">
      <c r="B4948" s="1342"/>
      <c r="C4948" s="1342"/>
      <c r="D4948" s="1342"/>
      <c r="E4948" s="1342"/>
      <c r="F4948" s="1342"/>
      <c r="G4948" s="1342"/>
      <c r="H4948" s="1342"/>
      <c r="I4948" s="1342"/>
      <c r="J4948" s="1342"/>
      <c r="K4948" s="1342"/>
    </row>
    <row r="4949" spans="2:11" ht="14" hidden="1">
      <c r="B4949" s="1342"/>
      <c r="C4949" s="1342"/>
      <c r="D4949" s="1342"/>
      <c r="E4949" s="1342"/>
      <c r="F4949" s="1342"/>
      <c r="G4949" s="1342"/>
      <c r="H4949" s="1342"/>
      <c r="I4949" s="1342"/>
      <c r="J4949" s="1342"/>
      <c r="K4949" s="1342"/>
    </row>
    <row r="4950" spans="2:11" ht="14" hidden="1">
      <c r="B4950" s="1342"/>
      <c r="C4950" s="1342"/>
      <c r="D4950" s="1342"/>
      <c r="E4950" s="1342"/>
      <c r="F4950" s="1342"/>
      <c r="G4950" s="1342"/>
      <c r="H4950" s="1342"/>
      <c r="I4950" s="1342"/>
      <c r="J4950" s="1342"/>
      <c r="K4950" s="1342"/>
    </row>
    <row r="4951" spans="2:11" ht="14" hidden="1">
      <c r="B4951" s="1342"/>
      <c r="C4951" s="1342"/>
      <c r="D4951" s="1342"/>
      <c r="E4951" s="1342"/>
      <c r="F4951" s="1342"/>
      <c r="G4951" s="1342"/>
      <c r="H4951" s="1342"/>
      <c r="I4951" s="1342"/>
      <c r="J4951" s="1342"/>
      <c r="K4951" s="1342"/>
    </row>
    <row r="4952" spans="2:11" ht="14" hidden="1">
      <c r="B4952" s="1342"/>
      <c r="C4952" s="1342"/>
      <c r="D4952" s="1342"/>
      <c r="E4952" s="1342"/>
      <c r="F4952" s="1342"/>
      <c r="G4952" s="1342"/>
      <c r="H4952" s="1342"/>
      <c r="I4952" s="1342"/>
      <c r="J4952" s="1342"/>
      <c r="K4952" s="1342"/>
    </row>
    <row r="4953" spans="2:11" ht="14" hidden="1">
      <c r="B4953" s="1342"/>
      <c r="C4953" s="1342"/>
      <c r="D4953" s="1342"/>
      <c r="E4953" s="1342"/>
      <c r="F4953" s="1342"/>
      <c r="G4953" s="1342"/>
      <c r="H4953" s="1342"/>
      <c r="I4953" s="1342"/>
      <c r="J4953" s="1342"/>
      <c r="K4953" s="1342"/>
    </row>
    <row r="4954" spans="2:11" ht="14" hidden="1">
      <c r="B4954" s="1342"/>
      <c r="C4954" s="1342"/>
      <c r="D4954" s="1342"/>
      <c r="E4954" s="1342"/>
      <c r="F4954" s="1342"/>
      <c r="G4954" s="1342"/>
      <c r="H4954" s="1342"/>
      <c r="I4954" s="1342"/>
      <c r="J4954" s="1342"/>
      <c r="K4954" s="1342"/>
    </row>
    <row r="4955" spans="2:11" ht="14" hidden="1">
      <c r="B4955" s="1342"/>
      <c r="C4955" s="1342"/>
      <c r="D4955" s="1342"/>
      <c r="E4955" s="1342"/>
      <c r="F4955" s="1342"/>
      <c r="G4955" s="1342"/>
      <c r="H4955" s="1342"/>
      <c r="I4955" s="1342"/>
      <c r="J4955" s="1342"/>
      <c r="K4955" s="1342"/>
    </row>
    <row r="4956" spans="2:11" ht="14" hidden="1">
      <c r="B4956" s="1342"/>
      <c r="C4956" s="1342"/>
      <c r="D4956" s="1342"/>
      <c r="E4956" s="1342"/>
      <c r="F4956" s="1342"/>
      <c r="G4956" s="1342"/>
      <c r="H4956" s="1342"/>
      <c r="I4956" s="1342"/>
      <c r="J4956" s="1342"/>
      <c r="K4956" s="1342"/>
    </row>
    <row r="4957" spans="2:11" ht="14" hidden="1">
      <c r="B4957" s="1342"/>
      <c r="C4957" s="1342"/>
      <c r="D4957" s="1342"/>
      <c r="E4957" s="1342"/>
      <c r="F4957" s="1342"/>
      <c r="G4957" s="1342"/>
      <c r="H4957" s="1342"/>
      <c r="I4957" s="1342"/>
      <c r="J4957" s="1342"/>
      <c r="K4957" s="1342"/>
    </row>
    <row r="4958" spans="2:11" ht="14" hidden="1">
      <c r="B4958" s="1342"/>
      <c r="C4958" s="1342"/>
      <c r="D4958" s="1342"/>
      <c r="E4958" s="1342"/>
      <c r="F4958" s="1342"/>
      <c r="G4958" s="1342"/>
      <c r="H4958" s="1342"/>
      <c r="I4958" s="1342"/>
      <c r="J4958" s="1342"/>
      <c r="K4958" s="1342"/>
    </row>
    <row r="4959" spans="2:11" ht="14" hidden="1">
      <c r="B4959" s="1342"/>
      <c r="C4959" s="1342"/>
      <c r="D4959" s="1342"/>
      <c r="E4959" s="1342"/>
      <c r="F4959" s="1342"/>
      <c r="G4959" s="1342"/>
      <c r="H4959" s="1342"/>
      <c r="I4959" s="1342"/>
      <c r="J4959" s="1342"/>
      <c r="K4959" s="1342"/>
    </row>
    <row r="4960" spans="2:11" ht="14" hidden="1">
      <c r="B4960" s="1342"/>
      <c r="C4960" s="1342"/>
      <c r="D4960" s="1342"/>
      <c r="E4960" s="1342"/>
      <c r="F4960" s="1342"/>
      <c r="G4960" s="1342"/>
      <c r="H4960" s="1342"/>
      <c r="I4960" s="1342"/>
      <c r="J4960" s="1342"/>
      <c r="K4960" s="1342"/>
    </row>
    <row r="4961" spans="2:11" ht="14" hidden="1">
      <c r="B4961" s="1342"/>
      <c r="C4961" s="1342"/>
      <c r="D4961" s="1342"/>
      <c r="E4961" s="1342"/>
      <c r="F4961" s="1342"/>
      <c r="G4961" s="1342"/>
      <c r="H4961" s="1342"/>
      <c r="I4961" s="1342"/>
      <c r="J4961" s="1342"/>
      <c r="K4961" s="1342"/>
    </row>
    <row r="4962" spans="2:11" ht="14" hidden="1">
      <c r="B4962" s="1342"/>
      <c r="C4962" s="1342"/>
      <c r="D4962" s="1342"/>
      <c r="E4962" s="1342"/>
      <c r="F4962" s="1342"/>
      <c r="G4962" s="1342"/>
      <c r="H4962" s="1342"/>
      <c r="I4962" s="1342"/>
      <c r="J4962" s="1342"/>
      <c r="K4962" s="1342"/>
    </row>
    <row r="4963" spans="2:11" ht="14" hidden="1">
      <c r="B4963" s="1342"/>
      <c r="C4963" s="1342"/>
      <c r="D4963" s="1342"/>
      <c r="E4963" s="1342"/>
      <c r="F4963" s="1342"/>
      <c r="G4963" s="1342"/>
      <c r="H4963" s="1342"/>
      <c r="I4963" s="1342"/>
      <c r="J4963" s="1342"/>
      <c r="K4963" s="1342"/>
    </row>
    <row r="4964" spans="2:11" ht="14" hidden="1">
      <c r="B4964" s="1342"/>
      <c r="C4964" s="1342"/>
      <c r="D4964" s="1342"/>
      <c r="E4964" s="1342"/>
      <c r="F4964" s="1342"/>
      <c r="G4964" s="1342"/>
      <c r="H4964" s="1342"/>
      <c r="I4964" s="1342"/>
      <c r="J4964" s="1342"/>
      <c r="K4964" s="1342"/>
    </row>
    <row r="4965" spans="2:11" ht="14" hidden="1">
      <c r="B4965" s="1342"/>
      <c r="C4965" s="1342"/>
      <c r="D4965" s="1342"/>
      <c r="E4965" s="1342"/>
      <c r="F4965" s="1342"/>
      <c r="G4965" s="1342"/>
      <c r="H4965" s="1342"/>
      <c r="I4965" s="1342"/>
      <c r="J4965" s="1342"/>
      <c r="K4965" s="1342"/>
    </row>
    <row r="4966" spans="2:11" ht="14" hidden="1">
      <c r="B4966" s="1342"/>
      <c r="C4966" s="1342"/>
      <c r="D4966" s="1342"/>
      <c r="E4966" s="1342"/>
      <c r="F4966" s="1342"/>
      <c r="G4966" s="1342"/>
      <c r="H4966" s="1342"/>
      <c r="I4966" s="1342"/>
      <c r="J4966" s="1342"/>
      <c r="K4966" s="1342"/>
    </row>
    <row r="4967" spans="2:11" ht="14" hidden="1">
      <c r="B4967" s="1342"/>
      <c r="C4967" s="1342"/>
      <c r="D4967" s="1342"/>
      <c r="E4967" s="1342"/>
      <c r="F4967" s="1342"/>
      <c r="G4967" s="1342"/>
      <c r="H4967" s="1342"/>
      <c r="I4967" s="1342"/>
      <c r="J4967" s="1342"/>
      <c r="K4967" s="1342"/>
    </row>
    <row r="4968" spans="2:11" ht="14" hidden="1">
      <c r="B4968" s="1342"/>
      <c r="C4968" s="1342"/>
      <c r="D4968" s="1342"/>
      <c r="E4968" s="1342"/>
      <c r="F4968" s="1342"/>
      <c r="G4968" s="1342"/>
      <c r="H4968" s="1342"/>
      <c r="I4968" s="1342"/>
      <c r="J4968" s="1342"/>
      <c r="K4968" s="1342"/>
    </row>
    <row r="4969" spans="2:11" ht="14" hidden="1">
      <c r="B4969" s="1342"/>
      <c r="C4969" s="1342"/>
      <c r="D4969" s="1342"/>
      <c r="E4969" s="1342"/>
      <c r="F4969" s="1342"/>
      <c r="G4969" s="1342"/>
      <c r="H4969" s="1342"/>
      <c r="I4969" s="1342"/>
      <c r="J4969" s="1342"/>
      <c r="K4969" s="1342"/>
    </row>
    <row r="4970" spans="2:11" ht="14" hidden="1">
      <c r="B4970" s="1342"/>
      <c r="C4970" s="1342"/>
      <c r="D4970" s="1342"/>
      <c r="E4970" s="1342"/>
      <c r="F4970" s="1342"/>
      <c r="G4970" s="1342"/>
      <c r="H4970" s="1342"/>
      <c r="I4970" s="1342"/>
      <c r="J4970" s="1342"/>
      <c r="K4970" s="1342"/>
    </row>
    <row r="4971" spans="2:11" ht="14" hidden="1">
      <c r="B4971" s="1342"/>
      <c r="C4971" s="1342"/>
      <c r="D4971" s="1342"/>
      <c r="E4971" s="1342"/>
      <c r="F4971" s="1342"/>
      <c r="G4971" s="1342"/>
      <c r="H4971" s="1342"/>
      <c r="I4971" s="1342"/>
      <c r="J4971" s="1342"/>
      <c r="K4971" s="1342"/>
    </row>
    <row r="4972" spans="2:11" ht="14" hidden="1">
      <c r="B4972" s="1342"/>
      <c r="C4972" s="1342"/>
      <c r="D4972" s="1342"/>
      <c r="E4972" s="1342"/>
      <c r="F4972" s="1342"/>
      <c r="G4972" s="1342"/>
      <c r="H4972" s="1342"/>
      <c r="I4972" s="1342"/>
      <c r="J4972" s="1342"/>
      <c r="K4972" s="1342"/>
    </row>
    <row r="4973" spans="2:11" ht="14" hidden="1">
      <c r="B4973" s="1342"/>
      <c r="C4973" s="1342"/>
      <c r="D4973" s="1342"/>
      <c r="E4973" s="1342"/>
      <c r="F4973" s="1342"/>
      <c r="G4973" s="1342"/>
      <c r="H4973" s="1342"/>
      <c r="I4973" s="1342"/>
      <c r="J4973" s="1342"/>
      <c r="K4973" s="1342"/>
    </row>
    <row r="4974" spans="2:11" ht="14" hidden="1">
      <c r="B4974" s="1342"/>
      <c r="C4974" s="1342"/>
      <c r="D4974" s="1342"/>
      <c r="E4974" s="1342"/>
      <c r="F4974" s="1342"/>
      <c r="G4974" s="1342"/>
      <c r="H4974" s="1342"/>
      <c r="I4974" s="1342"/>
      <c r="J4974" s="1342"/>
      <c r="K4974" s="1342"/>
    </row>
    <row r="4975" spans="2:11" ht="14" hidden="1">
      <c r="B4975" s="1342"/>
      <c r="C4975" s="1342"/>
      <c r="D4975" s="1342"/>
      <c r="E4975" s="1342"/>
      <c r="F4975" s="1342"/>
      <c r="G4975" s="1342"/>
      <c r="H4975" s="1342"/>
      <c r="I4975" s="1342"/>
      <c r="J4975" s="1342"/>
      <c r="K4975" s="1342"/>
    </row>
    <row r="4976" spans="2:11" ht="14" hidden="1">
      <c r="B4976" s="1342"/>
      <c r="C4976" s="1342"/>
      <c r="D4976" s="1342"/>
      <c r="E4976" s="1342"/>
      <c r="F4976" s="1342"/>
      <c r="G4976" s="1342"/>
      <c r="H4976" s="1342"/>
      <c r="I4976" s="1342"/>
      <c r="J4976" s="1342"/>
      <c r="K4976" s="1342"/>
    </row>
    <row r="4977" spans="2:11" ht="14" hidden="1">
      <c r="B4977" s="1342"/>
      <c r="C4977" s="1342"/>
      <c r="D4977" s="1342"/>
      <c r="E4977" s="1342"/>
      <c r="F4977" s="1342"/>
      <c r="G4977" s="1342"/>
      <c r="H4977" s="1342"/>
      <c r="I4977" s="1342"/>
      <c r="J4977" s="1342"/>
      <c r="K4977" s="1342"/>
    </row>
    <row r="4978" spans="2:11" ht="14" hidden="1">
      <c r="B4978" s="1342"/>
      <c r="C4978" s="1342"/>
      <c r="D4978" s="1342"/>
      <c r="E4978" s="1342"/>
      <c r="F4978" s="1342"/>
      <c r="G4978" s="1342"/>
      <c r="H4978" s="1342"/>
      <c r="I4978" s="1342"/>
      <c r="J4978" s="1342"/>
      <c r="K4978" s="1342"/>
    </row>
    <row r="4979" spans="2:11" ht="14" hidden="1">
      <c r="B4979" s="1342"/>
      <c r="C4979" s="1342"/>
      <c r="D4979" s="1342"/>
      <c r="E4979" s="1342"/>
      <c r="F4979" s="1342"/>
      <c r="G4979" s="1342"/>
      <c r="H4979" s="1342"/>
      <c r="I4979" s="1342"/>
      <c r="J4979" s="1342"/>
      <c r="K4979" s="1342"/>
    </row>
    <row r="4980" spans="2:11" ht="14" hidden="1">
      <c r="B4980" s="1342"/>
      <c r="C4980" s="1342"/>
      <c r="D4980" s="1342"/>
      <c r="E4980" s="1342"/>
      <c r="F4980" s="1342"/>
      <c r="G4980" s="1342"/>
      <c r="H4980" s="1342"/>
      <c r="I4980" s="1342"/>
      <c r="J4980" s="1342"/>
      <c r="K4980" s="1342"/>
    </row>
    <row r="4981" spans="2:11" ht="14" hidden="1">
      <c r="B4981" s="1342"/>
      <c r="C4981" s="1342"/>
      <c r="D4981" s="1342"/>
      <c r="E4981" s="1342"/>
      <c r="F4981" s="1342"/>
      <c r="G4981" s="1342"/>
      <c r="H4981" s="1342"/>
      <c r="I4981" s="1342"/>
      <c r="J4981" s="1342"/>
      <c r="K4981" s="1342"/>
    </row>
    <row r="4982" spans="2:11" ht="14" hidden="1">
      <c r="B4982" s="1342"/>
      <c r="C4982" s="1342"/>
      <c r="D4982" s="1342"/>
      <c r="E4982" s="1342"/>
      <c r="F4982" s="1342"/>
      <c r="G4982" s="1342"/>
      <c r="H4982" s="1342"/>
      <c r="I4982" s="1342"/>
      <c r="J4982" s="1342"/>
      <c r="K4982" s="1342"/>
    </row>
    <row r="4983" spans="2:11" ht="14" hidden="1">
      <c r="B4983" s="1342"/>
      <c r="C4983" s="1342"/>
      <c r="D4983" s="1342"/>
      <c r="E4983" s="1342"/>
      <c r="F4983" s="1342"/>
      <c r="G4983" s="1342"/>
      <c r="H4983" s="1342"/>
      <c r="I4983" s="1342"/>
      <c r="J4983" s="1342"/>
      <c r="K4983" s="1342"/>
    </row>
    <row r="4984" spans="2:11" ht="14" hidden="1">
      <c r="B4984" s="1342"/>
      <c r="C4984" s="1342"/>
      <c r="D4984" s="1342"/>
      <c r="E4984" s="1342"/>
      <c r="F4984" s="1342"/>
      <c r="G4984" s="1342"/>
      <c r="H4984" s="1342"/>
      <c r="I4984" s="1342"/>
      <c r="J4984" s="1342"/>
      <c r="K4984" s="1342"/>
    </row>
    <row r="4985" spans="2:11" ht="14" hidden="1">
      <c r="B4985" s="1342"/>
      <c r="C4985" s="1342"/>
      <c r="D4985" s="1342"/>
      <c r="E4985" s="1342"/>
      <c r="F4985" s="1342"/>
      <c r="G4985" s="1342"/>
      <c r="H4985" s="1342"/>
      <c r="I4985" s="1342"/>
      <c r="J4985" s="1342"/>
      <c r="K4985" s="1342"/>
    </row>
    <row r="4986" spans="2:11" ht="14" hidden="1">
      <c r="B4986" s="1342"/>
      <c r="C4986" s="1342"/>
      <c r="D4986" s="1342"/>
      <c r="E4986" s="1342"/>
      <c r="F4986" s="1342"/>
      <c r="G4986" s="1342"/>
      <c r="H4986" s="1342"/>
      <c r="I4986" s="1342"/>
      <c r="J4986" s="1342"/>
      <c r="K4986" s="1342"/>
    </row>
    <row r="4987" spans="2:11" ht="14" hidden="1">
      <c r="B4987" s="1342"/>
      <c r="C4987" s="1342"/>
      <c r="D4987" s="1342"/>
      <c r="E4987" s="1342"/>
      <c r="F4987" s="1342"/>
      <c r="G4987" s="1342"/>
      <c r="H4987" s="1342"/>
      <c r="I4987" s="1342"/>
      <c r="J4987" s="1342"/>
      <c r="K4987" s="1342"/>
    </row>
    <row r="4988" spans="2:11" ht="14" hidden="1">
      <c r="B4988" s="1342"/>
      <c r="C4988" s="1342"/>
      <c r="D4988" s="1342"/>
      <c r="E4988" s="1342"/>
      <c r="F4988" s="1342"/>
      <c r="G4988" s="1342"/>
      <c r="H4988" s="1342"/>
      <c r="I4988" s="1342"/>
      <c r="J4988" s="1342"/>
      <c r="K4988" s="1342"/>
    </row>
    <row r="4989" spans="2:11" ht="14" hidden="1">
      <c r="B4989" s="1342"/>
      <c r="C4989" s="1342"/>
      <c r="D4989" s="1342"/>
      <c r="E4989" s="1342"/>
      <c r="F4989" s="1342"/>
      <c r="G4989" s="1342"/>
      <c r="H4989" s="1342"/>
      <c r="I4989" s="1342"/>
      <c r="J4989" s="1342"/>
      <c r="K4989" s="1342"/>
    </row>
    <row r="4990" spans="2:11" ht="14" hidden="1">
      <c r="B4990" s="1342"/>
      <c r="C4990" s="1342"/>
      <c r="D4990" s="1342"/>
      <c r="E4990" s="1342"/>
      <c r="F4990" s="1342"/>
      <c r="G4990" s="1342"/>
      <c r="H4990" s="1342"/>
      <c r="I4990" s="1342"/>
      <c r="J4990" s="1342"/>
      <c r="K4990" s="1342"/>
    </row>
    <row r="4991" spans="2:11" ht="14" hidden="1">
      <c r="B4991" s="1342"/>
      <c r="C4991" s="1342"/>
      <c r="D4991" s="1342"/>
      <c r="E4991" s="1342"/>
      <c r="F4991" s="1342"/>
      <c r="G4991" s="1342"/>
      <c r="H4991" s="1342"/>
      <c r="I4991" s="1342"/>
      <c r="J4991" s="1342"/>
      <c r="K4991" s="1342"/>
    </row>
    <row r="4992" spans="2:11" ht="14" hidden="1">
      <c r="B4992" s="1342"/>
      <c r="C4992" s="1342"/>
      <c r="D4992" s="1342"/>
      <c r="E4992" s="1342"/>
      <c r="F4992" s="1342"/>
      <c r="G4992" s="1342"/>
      <c r="H4992" s="1342"/>
      <c r="I4992" s="1342"/>
      <c r="J4992" s="1342"/>
      <c r="K4992" s="1342"/>
    </row>
    <row r="4993" spans="2:11" ht="14" hidden="1">
      <c r="B4993" s="1342"/>
      <c r="C4993" s="1342"/>
      <c r="D4993" s="1342"/>
      <c r="E4993" s="1342"/>
      <c r="F4993" s="1342"/>
      <c r="G4993" s="1342"/>
      <c r="H4993" s="1342"/>
      <c r="I4993" s="1342"/>
      <c r="J4993" s="1342"/>
      <c r="K4993" s="1342"/>
    </row>
    <row r="4994" spans="2:11" ht="14" hidden="1">
      <c r="B4994" s="1342"/>
      <c r="C4994" s="1342"/>
      <c r="D4994" s="1342"/>
      <c r="E4994" s="1342"/>
      <c r="F4994" s="1342"/>
      <c r="G4994" s="1342"/>
      <c r="H4994" s="1342"/>
      <c r="I4994" s="1342"/>
      <c r="J4994" s="1342"/>
      <c r="K4994" s="1342"/>
    </row>
    <row r="4995" spans="2:11" ht="14" hidden="1">
      <c r="B4995" s="1342"/>
      <c r="C4995" s="1342"/>
      <c r="D4995" s="1342"/>
      <c r="E4995" s="1342"/>
      <c r="F4995" s="1342"/>
      <c r="G4995" s="1342"/>
      <c r="H4995" s="1342"/>
      <c r="I4995" s="1342"/>
      <c r="J4995" s="1342"/>
      <c r="K4995" s="1342"/>
    </row>
    <row r="4996" spans="2:11" ht="14" hidden="1">
      <c r="B4996" s="1342"/>
      <c r="C4996" s="1342"/>
      <c r="D4996" s="1342"/>
      <c r="E4996" s="1342"/>
      <c r="F4996" s="1342"/>
      <c r="G4996" s="1342"/>
      <c r="H4996" s="1342"/>
      <c r="I4996" s="1342"/>
      <c r="J4996" s="1342"/>
      <c r="K4996" s="1342"/>
    </row>
    <row r="4997" spans="2:11" ht="14" hidden="1">
      <c r="B4997" s="1342"/>
      <c r="C4997" s="1342"/>
      <c r="D4997" s="1342"/>
      <c r="E4997" s="1342"/>
      <c r="F4997" s="1342"/>
      <c r="G4997" s="1342"/>
      <c r="H4997" s="1342"/>
      <c r="I4997" s="1342"/>
      <c r="J4997" s="1342"/>
      <c r="K4997" s="1342"/>
    </row>
    <row r="4998" spans="2:11" ht="14" hidden="1">
      <c r="B4998" s="1342"/>
      <c r="C4998" s="1342"/>
      <c r="D4998" s="1342"/>
      <c r="E4998" s="1342"/>
      <c r="F4998" s="1342"/>
      <c r="G4998" s="1342"/>
      <c r="H4998" s="1342"/>
      <c r="I4998" s="1342"/>
      <c r="J4998" s="1342"/>
      <c r="K4998" s="1342"/>
    </row>
    <row r="4999" spans="2:11" ht="14" hidden="1">
      <c r="B4999" s="1342"/>
      <c r="C4999" s="1342"/>
      <c r="D4999" s="1342"/>
      <c r="E4999" s="1342"/>
      <c r="F4999" s="1342"/>
      <c r="G4999" s="1342"/>
      <c r="H4999" s="1342"/>
      <c r="I4999" s="1342"/>
      <c r="J4999" s="1342"/>
      <c r="K4999" s="1342"/>
    </row>
    <row r="5000" spans="2:11" ht="14" hidden="1">
      <c r="B5000" s="1342"/>
      <c r="C5000" s="1342"/>
      <c r="D5000" s="1342"/>
      <c r="E5000" s="1342"/>
      <c r="F5000" s="1342"/>
      <c r="G5000" s="1342"/>
      <c r="H5000" s="1342"/>
      <c r="I5000" s="1342"/>
      <c r="J5000" s="1342"/>
      <c r="K5000" s="1342"/>
    </row>
    <row r="5001" spans="2:11" ht="14" hidden="1">
      <c r="B5001" s="1342"/>
      <c r="C5001" s="1342"/>
      <c r="D5001" s="1342"/>
      <c r="E5001" s="1342"/>
      <c r="F5001" s="1342"/>
      <c r="G5001" s="1342"/>
      <c r="H5001" s="1342"/>
      <c r="I5001" s="1342"/>
      <c r="J5001" s="1342"/>
      <c r="K5001" s="1342"/>
    </row>
    <row r="5002" spans="2:11" ht="14" hidden="1">
      <c r="B5002" s="1342"/>
      <c r="C5002" s="1342"/>
      <c r="D5002" s="1342"/>
      <c r="E5002" s="1342"/>
      <c r="F5002" s="1342"/>
      <c r="G5002" s="1342"/>
      <c r="H5002" s="1342"/>
      <c r="I5002" s="1342"/>
      <c r="J5002" s="1342"/>
      <c r="K5002" s="1342"/>
    </row>
    <row r="5003" spans="2:11" ht="14" hidden="1">
      <c r="B5003" s="1342"/>
      <c r="C5003" s="1342"/>
      <c r="D5003" s="1342"/>
      <c r="E5003" s="1342"/>
      <c r="F5003" s="1342"/>
      <c r="G5003" s="1342"/>
      <c r="H5003" s="1342"/>
      <c r="I5003" s="1342"/>
      <c r="J5003" s="1342"/>
      <c r="K5003" s="1342"/>
    </row>
    <row r="5004" spans="2:11" ht="14" hidden="1">
      <c r="B5004" s="1342"/>
      <c r="C5004" s="1342"/>
      <c r="D5004" s="1342"/>
      <c r="E5004" s="1342"/>
      <c r="F5004" s="1342"/>
      <c r="G5004" s="1342"/>
      <c r="H5004" s="1342"/>
      <c r="I5004" s="1342"/>
      <c r="J5004" s="1342"/>
      <c r="K5004" s="1342"/>
    </row>
    <row r="5005" spans="2:11" ht="14" hidden="1">
      <c r="B5005" s="1342"/>
      <c r="C5005" s="1342"/>
      <c r="D5005" s="1342"/>
      <c r="E5005" s="1342"/>
      <c r="F5005" s="1342"/>
      <c r="G5005" s="1342"/>
      <c r="H5005" s="1342"/>
      <c r="I5005" s="1342"/>
      <c r="J5005" s="1342"/>
      <c r="K5005" s="1342"/>
    </row>
    <row r="5006" spans="2:11" ht="14" hidden="1">
      <c r="B5006" s="1342"/>
      <c r="C5006" s="1342"/>
      <c r="D5006" s="1342"/>
      <c r="E5006" s="1342"/>
      <c r="F5006" s="1342"/>
      <c r="G5006" s="1342"/>
      <c r="H5006" s="1342"/>
      <c r="I5006" s="1342"/>
      <c r="J5006" s="1342"/>
      <c r="K5006" s="1342"/>
    </row>
    <row r="5007" spans="2:11" ht="14" hidden="1">
      <c r="B5007" s="1342"/>
      <c r="C5007" s="1342"/>
      <c r="D5007" s="1342"/>
      <c r="E5007" s="1342"/>
      <c r="F5007" s="1342"/>
      <c r="G5007" s="1342"/>
      <c r="H5007" s="1342"/>
      <c r="I5007" s="1342"/>
      <c r="J5007" s="1342"/>
      <c r="K5007" s="1342"/>
    </row>
    <row r="5008" spans="2:11" ht="14" hidden="1">
      <c r="B5008" s="1342"/>
      <c r="C5008" s="1342"/>
      <c r="D5008" s="1342"/>
      <c r="E5008" s="1342"/>
      <c r="F5008" s="1342"/>
      <c r="G5008" s="1342"/>
      <c r="H5008" s="1342"/>
      <c r="I5008" s="1342"/>
      <c r="J5008" s="1342"/>
      <c r="K5008" s="1342"/>
    </row>
    <row r="5009" spans="2:11" ht="14" hidden="1">
      <c r="B5009" s="1342"/>
      <c r="C5009" s="1342"/>
      <c r="D5009" s="1342"/>
      <c r="E5009" s="1342"/>
      <c r="F5009" s="1342"/>
      <c r="G5009" s="1342"/>
      <c r="H5009" s="1342"/>
      <c r="I5009" s="1342"/>
      <c r="J5009" s="1342"/>
      <c r="K5009" s="1342"/>
    </row>
    <row r="5010" spans="2:11" ht="14" hidden="1">
      <c r="B5010" s="1342"/>
      <c r="C5010" s="1342"/>
      <c r="D5010" s="1342"/>
      <c r="E5010" s="1342"/>
      <c r="F5010" s="1342"/>
      <c r="G5010" s="1342"/>
      <c r="H5010" s="1342"/>
      <c r="I5010" s="1342"/>
      <c r="J5010" s="1342"/>
      <c r="K5010" s="1342"/>
    </row>
    <row r="5011" spans="2:11" ht="14" hidden="1">
      <c r="B5011" s="1342"/>
      <c r="C5011" s="1342"/>
      <c r="D5011" s="1342"/>
      <c r="E5011" s="1342"/>
      <c r="F5011" s="1342"/>
      <c r="G5011" s="1342"/>
      <c r="H5011" s="1342"/>
      <c r="I5011" s="1342"/>
      <c r="J5011" s="1342"/>
      <c r="K5011" s="1342"/>
    </row>
    <row r="5012" spans="2:11" ht="14" hidden="1">
      <c r="B5012" s="1342"/>
      <c r="C5012" s="1342"/>
      <c r="D5012" s="1342"/>
      <c r="E5012" s="1342"/>
      <c r="F5012" s="1342"/>
      <c r="G5012" s="1342"/>
      <c r="H5012" s="1342"/>
      <c r="I5012" s="1342"/>
      <c r="J5012" s="1342"/>
      <c r="K5012" s="1342"/>
    </row>
    <row r="5013" spans="2:11" ht="14" hidden="1">
      <c r="B5013" s="1342"/>
      <c r="C5013" s="1342"/>
      <c r="D5013" s="1342"/>
      <c r="E5013" s="1342"/>
      <c r="F5013" s="1342"/>
      <c r="G5013" s="1342"/>
      <c r="H5013" s="1342"/>
      <c r="I5013" s="1342"/>
      <c r="J5013" s="1342"/>
      <c r="K5013" s="1342"/>
    </row>
    <row r="5014" spans="2:11" ht="14" hidden="1">
      <c r="B5014" s="1342"/>
      <c r="C5014" s="1342"/>
      <c r="D5014" s="1342"/>
      <c r="E5014" s="1342"/>
      <c r="F5014" s="1342"/>
      <c r="G5014" s="1342"/>
      <c r="H5014" s="1342"/>
      <c r="I5014" s="1342"/>
      <c r="J5014" s="1342"/>
      <c r="K5014" s="1342"/>
    </row>
    <row r="5015" spans="2:11" ht="14" hidden="1">
      <c r="B5015" s="1342"/>
      <c r="C5015" s="1342"/>
      <c r="D5015" s="1342"/>
      <c r="E5015" s="1342"/>
      <c r="F5015" s="1342"/>
      <c r="G5015" s="1342"/>
      <c r="H5015" s="1342"/>
      <c r="I5015" s="1342"/>
      <c r="J5015" s="1342"/>
      <c r="K5015" s="1342"/>
    </row>
    <row r="5016" spans="2:11" ht="14" hidden="1">
      <c r="B5016" s="1342"/>
      <c r="C5016" s="1342"/>
      <c r="D5016" s="1342"/>
      <c r="E5016" s="1342"/>
      <c r="F5016" s="1342"/>
      <c r="G5016" s="1342"/>
      <c r="H5016" s="1342"/>
      <c r="I5016" s="1342"/>
      <c r="J5016" s="1342"/>
      <c r="K5016" s="1342"/>
    </row>
    <row r="5017" spans="2:11" ht="14" hidden="1">
      <c r="B5017" s="1342"/>
      <c r="C5017" s="1342"/>
      <c r="D5017" s="1342"/>
      <c r="E5017" s="1342"/>
      <c r="F5017" s="1342"/>
      <c r="G5017" s="1342"/>
      <c r="H5017" s="1342"/>
      <c r="I5017" s="1342"/>
      <c r="J5017" s="1342"/>
      <c r="K5017" s="1342"/>
    </row>
    <row r="5018" spans="2:11" ht="14" hidden="1">
      <c r="B5018" s="1342"/>
      <c r="C5018" s="1342"/>
      <c r="D5018" s="1342"/>
      <c r="E5018" s="1342"/>
      <c r="F5018" s="1342"/>
      <c r="G5018" s="1342"/>
      <c r="H5018" s="1342"/>
      <c r="I5018" s="1342"/>
      <c r="J5018" s="1342"/>
      <c r="K5018" s="1342"/>
    </row>
    <row r="5019" spans="2:11" ht="14" hidden="1">
      <c r="B5019" s="1342"/>
      <c r="C5019" s="1342"/>
      <c r="D5019" s="1342"/>
      <c r="E5019" s="1342"/>
      <c r="F5019" s="1342"/>
      <c r="G5019" s="1342"/>
      <c r="H5019" s="1342"/>
      <c r="I5019" s="1342"/>
      <c r="J5019" s="1342"/>
      <c r="K5019" s="1342"/>
    </row>
    <row r="5020" spans="2:11" ht="14" hidden="1">
      <c r="B5020" s="1342"/>
      <c r="C5020" s="1342"/>
      <c r="D5020" s="1342"/>
      <c r="E5020" s="1342"/>
      <c r="F5020" s="1342"/>
      <c r="G5020" s="1342"/>
      <c r="H5020" s="1342"/>
      <c r="I5020" s="1342"/>
      <c r="J5020" s="1342"/>
      <c r="K5020" s="1342"/>
    </row>
    <row r="5021" spans="2:11" ht="14" hidden="1">
      <c r="B5021" s="1342"/>
      <c r="C5021" s="1342"/>
      <c r="D5021" s="1342"/>
      <c r="E5021" s="1342"/>
      <c r="F5021" s="1342"/>
      <c r="G5021" s="1342"/>
      <c r="H5021" s="1342"/>
      <c r="I5021" s="1342"/>
      <c r="J5021" s="1342"/>
      <c r="K5021" s="1342"/>
    </row>
    <row r="5022" spans="2:11" ht="14" hidden="1">
      <c r="B5022" s="1342"/>
      <c r="C5022" s="1342"/>
      <c r="D5022" s="1342"/>
      <c r="E5022" s="1342"/>
      <c r="F5022" s="1342"/>
      <c r="G5022" s="1342"/>
      <c r="H5022" s="1342"/>
      <c r="I5022" s="1342"/>
      <c r="J5022" s="1342"/>
      <c r="K5022" s="1342"/>
    </row>
    <row r="5023" spans="2:11" ht="14" hidden="1">
      <c r="B5023" s="1342"/>
      <c r="C5023" s="1342"/>
      <c r="D5023" s="1342"/>
      <c r="E5023" s="1342"/>
      <c r="F5023" s="1342"/>
      <c r="G5023" s="1342"/>
      <c r="H5023" s="1342"/>
      <c r="I5023" s="1342"/>
      <c r="J5023" s="1342"/>
      <c r="K5023" s="1342"/>
    </row>
    <row r="5024" spans="2:11" ht="14" hidden="1">
      <c r="B5024" s="1342"/>
      <c r="C5024" s="1342"/>
      <c r="D5024" s="1342"/>
      <c r="E5024" s="1342"/>
      <c r="F5024" s="1342"/>
      <c r="G5024" s="1342"/>
      <c r="H5024" s="1342"/>
      <c r="I5024" s="1342"/>
      <c r="J5024" s="1342"/>
      <c r="K5024" s="1342"/>
    </row>
    <row r="5025" spans="2:11" ht="14" hidden="1">
      <c r="B5025" s="1342"/>
      <c r="C5025" s="1342"/>
      <c r="D5025" s="1342"/>
      <c r="E5025" s="1342"/>
      <c r="F5025" s="1342"/>
      <c r="G5025" s="1342"/>
      <c r="H5025" s="1342"/>
      <c r="I5025" s="1342"/>
      <c r="J5025" s="1342"/>
      <c r="K5025" s="1342"/>
    </row>
    <row r="5026" spans="2:11" ht="14" hidden="1">
      <c r="B5026" s="1342"/>
      <c r="C5026" s="1342"/>
      <c r="D5026" s="1342"/>
      <c r="E5026" s="1342"/>
      <c r="F5026" s="1342"/>
      <c r="G5026" s="1342"/>
      <c r="H5026" s="1342"/>
      <c r="I5026" s="1342"/>
      <c r="J5026" s="1342"/>
      <c r="K5026" s="1342"/>
    </row>
    <row r="5027" spans="2:11" ht="14" hidden="1">
      <c r="B5027" s="1342"/>
      <c r="C5027" s="1342"/>
      <c r="D5027" s="1342"/>
      <c r="E5027" s="1342"/>
      <c r="F5027" s="1342"/>
      <c r="G5027" s="1342"/>
      <c r="H5027" s="1342"/>
      <c r="I5027" s="1342"/>
      <c r="J5027" s="1342"/>
      <c r="K5027" s="1342"/>
    </row>
    <row r="5028" spans="2:11" ht="14" hidden="1">
      <c r="B5028" s="1342"/>
      <c r="C5028" s="1342"/>
      <c r="D5028" s="1342"/>
      <c r="E5028" s="1342"/>
      <c r="F5028" s="1342"/>
      <c r="G5028" s="1342"/>
      <c r="H5028" s="1342"/>
      <c r="I5028" s="1342"/>
      <c r="J5028" s="1342"/>
      <c r="K5028" s="1342"/>
    </row>
    <row r="5029" spans="2:11" ht="14" hidden="1">
      <c r="B5029" s="1342"/>
      <c r="C5029" s="1342"/>
      <c r="D5029" s="1342"/>
      <c r="E5029" s="1342"/>
      <c r="F5029" s="1342"/>
      <c r="G5029" s="1342"/>
      <c r="H5029" s="1342"/>
      <c r="I5029" s="1342"/>
      <c r="J5029" s="1342"/>
      <c r="K5029" s="1342"/>
    </row>
    <row r="5030" spans="2:11" ht="14" hidden="1">
      <c r="B5030" s="1342"/>
      <c r="C5030" s="1342"/>
      <c r="D5030" s="1342"/>
      <c r="E5030" s="1342"/>
      <c r="F5030" s="1342"/>
      <c r="G5030" s="1342"/>
      <c r="H5030" s="1342"/>
      <c r="I5030" s="1342"/>
      <c r="J5030" s="1342"/>
      <c r="K5030" s="1342"/>
    </row>
    <row r="5031" spans="2:11" ht="14" hidden="1">
      <c r="B5031" s="1342"/>
      <c r="C5031" s="1342"/>
      <c r="D5031" s="1342"/>
      <c r="E5031" s="1342"/>
      <c r="F5031" s="1342"/>
      <c r="G5031" s="1342"/>
      <c r="H5031" s="1342"/>
      <c r="I5031" s="1342"/>
      <c r="J5031" s="1342"/>
      <c r="K5031" s="1342"/>
    </row>
    <row r="5032" spans="2:11" ht="14" hidden="1">
      <c r="B5032" s="1342"/>
      <c r="C5032" s="1342"/>
      <c r="D5032" s="1342"/>
      <c r="E5032" s="1342"/>
      <c r="F5032" s="1342"/>
      <c r="G5032" s="1342"/>
      <c r="H5032" s="1342"/>
      <c r="I5032" s="1342"/>
      <c r="J5032" s="1342"/>
      <c r="K5032" s="1342"/>
    </row>
    <row r="5033" spans="2:11" ht="14" hidden="1">
      <c r="B5033" s="1342"/>
      <c r="C5033" s="1342"/>
      <c r="D5033" s="1342"/>
      <c r="E5033" s="1342"/>
      <c r="F5033" s="1342"/>
      <c r="G5033" s="1342"/>
      <c r="H5033" s="1342"/>
      <c r="I5033" s="1342"/>
      <c r="J5033" s="1342"/>
      <c r="K5033" s="1342"/>
    </row>
    <row r="5034" spans="2:11" ht="14" hidden="1">
      <c r="B5034" s="1342"/>
      <c r="C5034" s="1342"/>
      <c r="D5034" s="1342"/>
      <c r="E5034" s="1342"/>
      <c r="F5034" s="1342"/>
      <c r="G5034" s="1342"/>
      <c r="H5034" s="1342"/>
      <c r="I5034" s="1342"/>
      <c r="J5034" s="1342"/>
      <c r="K5034" s="1342"/>
    </row>
    <row r="5035" spans="2:11" ht="14" hidden="1">
      <c r="B5035" s="1342"/>
      <c r="C5035" s="1342"/>
      <c r="D5035" s="1342"/>
      <c r="E5035" s="1342"/>
      <c r="F5035" s="1342"/>
      <c r="G5035" s="1342"/>
      <c r="H5035" s="1342"/>
      <c r="I5035" s="1342"/>
      <c r="J5035" s="1342"/>
      <c r="K5035" s="1342"/>
    </row>
    <row r="5036" spans="2:11" ht="14" hidden="1">
      <c r="B5036" s="1342"/>
      <c r="C5036" s="1342"/>
      <c r="D5036" s="1342"/>
      <c r="E5036" s="1342"/>
      <c r="F5036" s="1342"/>
      <c r="G5036" s="1342"/>
      <c r="H5036" s="1342"/>
      <c r="I5036" s="1342"/>
      <c r="J5036" s="1342"/>
      <c r="K5036" s="1342"/>
    </row>
    <row r="5037" spans="2:11" ht="14" hidden="1">
      <c r="B5037" s="1342"/>
      <c r="C5037" s="1342"/>
      <c r="D5037" s="1342"/>
      <c r="E5037" s="1342"/>
      <c r="F5037" s="1342"/>
      <c r="G5037" s="1342"/>
      <c r="H5037" s="1342"/>
      <c r="I5037" s="1342"/>
      <c r="J5037" s="1342"/>
      <c r="K5037" s="1342"/>
    </row>
    <row r="5038" spans="2:11" ht="14" hidden="1">
      <c r="B5038" s="1342"/>
      <c r="C5038" s="1342"/>
      <c r="D5038" s="1342"/>
      <c r="E5038" s="1342"/>
      <c r="F5038" s="1342"/>
      <c r="G5038" s="1342"/>
      <c r="H5038" s="1342"/>
      <c r="I5038" s="1342"/>
      <c r="J5038" s="1342"/>
      <c r="K5038" s="1342"/>
    </row>
    <row r="5039" spans="2:11" ht="14" hidden="1">
      <c r="B5039" s="1342"/>
      <c r="C5039" s="1342"/>
      <c r="D5039" s="1342"/>
      <c r="E5039" s="1342"/>
      <c r="F5039" s="1342"/>
      <c r="G5039" s="1342"/>
      <c r="H5039" s="1342"/>
      <c r="I5039" s="1342"/>
      <c r="J5039" s="1342"/>
      <c r="K5039" s="1342"/>
    </row>
    <row r="5040" spans="2:11" ht="14" hidden="1">
      <c r="B5040" s="1342"/>
      <c r="C5040" s="1342"/>
      <c r="D5040" s="1342"/>
      <c r="E5040" s="1342"/>
      <c r="F5040" s="1342"/>
      <c r="G5040" s="1342"/>
      <c r="H5040" s="1342"/>
      <c r="I5040" s="1342"/>
      <c r="J5040" s="1342"/>
      <c r="K5040" s="1342"/>
    </row>
    <row r="5041" spans="2:11" ht="14" hidden="1">
      <c r="B5041" s="1342"/>
      <c r="C5041" s="1342"/>
      <c r="D5041" s="1342"/>
      <c r="E5041" s="1342"/>
      <c r="F5041" s="1342"/>
      <c r="G5041" s="1342"/>
      <c r="H5041" s="1342"/>
      <c r="I5041" s="1342"/>
      <c r="J5041" s="1342"/>
      <c r="K5041" s="1342"/>
    </row>
    <row r="5042" spans="2:11" ht="14" hidden="1">
      <c r="B5042" s="1342"/>
      <c r="C5042" s="1342"/>
      <c r="D5042" s="1342"/>
      <c r="E5042" s="1342"/>
      <c r="F5042" s="1342"/>
      <c r="G5042" s="1342"/>
      <c r="H5042" s="1342"/>
      <c r="I5042" s="1342"/>
      <c r="J5042" s="1342"/>
      <c r="K5042" s="1342"/>
    </row>
    <row r="5043" spans="2:11" ht="14" hidden="1">
      <c r="B5043" s="1342"/>
      <c r="C5043" s="1342"/>
      <c r="D5043" s="1342"/>
      <c r="E5043" s="1342"/>
      <c r="F5043" s="1342"/>
      <c r="G5043" s="1342"/>
      <c r="H5043" s="1342"/>
      <c r="I5043" s="1342"/>
      <c r="J5043" s="1342"/>
      <c r="K5043" s="1342"/>
    </row>
    <row r="5044" spans="2:11" ht="14" hidden="1">
      <c r="B5044" s="1342"/>
      <c r="C5044" s="1342"/>
      <c r="D5044" s="1342"/>
      <c r="E5044" s="1342"/>
      <c r="F5044" s="1342"/>
      <c r="G5044" s="1342"/>
      <c r="H5044" s="1342"/>
      <c r="I5044" s="1342"/>
      <c r="J5044" s="1342"/>
      <c r="K5044" s="1342"/>
    </row>
    <row r="5045" spans="2:11" ht="14" hidden="1">
      <c r="B5045" s="1342"/>
      <c r="C5045" s="1342"/>
      <c r="D5045" s="1342"/>
      <c r="E5045" s="1342"/>
      <c r="F5045" s="1342"/>
      <c r="G5045" s="1342"/>
      <c r="H5045" s="1342"/>
      <c r="I5045" s="1342"/>
      <c r="J5045" s="1342"/>
      <c r="K5045" s="1342"/>
    </row>
    <row r="5046" spans="2:11" ht="14" hidden="1">
      <c r="B5046" s="1342"/>
      <c r="C5046" s="1342"/>
      <c r="D5046" s="1342"/>
      <c r="E5046" s="1342"/>
      <c r="F5046" s="1342"/>
      <c r="G5046" s="1342"/>
      <c r="H5046" s="1342"/>
      <c r="I5046" s="1342"/>
      <c r="J5046" s="1342"/>
      <c r="K5046" s="1342"/>
    </row>
    <row r="5047" spans="2:11" ht="14" hidden="1">
      <c r="B5047" s="1342"/>
      <c r="C5047" s="1342"/>
      <c r="D5047" s="1342"/>
      <c r="E5047" s="1342"/>
      <c r="F5047" s="1342"/>
      <c r="G5047" s="1342"/>
      <c r="H5047" s="1342"/>
      <c r="I5047" s="1342"/>
      <c r="J5047" s="1342"/>
      <c r="K5047" s="1342"/>
    </row>
    <row r="5048" spans="2:11" ht="14" hidden="1">
      <c r="B5048" s="1342"/>
      <c r="C5048" s="1342"/>
      <c r="D5048" s="1342"/>
      <c r="E5048" s="1342"/>
      <c r="F5048" s="1342"/>
      <c r="G5048" s="1342"/>
      <c r="H5048" s="1342"/>
      <c r="I5048" s="1342"/>
      <c r="J5048" s="1342"/>
      <c r="K5048" s="1342"/>
    </row>
    <row r="5049" spans="2:11" ht="14" hidden="1">
      <c r="B5049" s="1342"/>
      <c r="C5049" s="1342"/>
      <c r="D5049" s="1342"/>
      <c r="E5049" s="1342"/>
      <c r="F5049" s="1342"/>
      <c r="G5049" s="1342"/>
      <c r="H5049" s="1342"/>
      <c r="I5049" s="1342"/>
      <c r="J5049" s="1342"/>
      <c r="K5049" s="1342"/>
    </row>
    <row r="5050" spans="2:11" ht="14" hidden="1">
      <c r="B5050" s="1342"/>
      <c r="C5050" s="1342"/>
      <c r="D5050" s="1342"/>
      <c r="E5050" s="1342"/>
      <c r="F5050" s="1342"/>
      <c r="G5050" s="1342"/>
      <c r="H5050" s="1342"/>
      <c r="I5050" s="1342"/>
      <c r="J5050" s="1342"/>
      <c r="K5050" s="1342"/>
    </row>
    <row r="5051" spans="2:11" ht="14" hidden="1">
      <c r="B5051" s="1342"/>
      <c r="C5051" s="1342"/>
      <c r="D5051" s="1342"/>
      <c r="E5051" s="1342"/>
      <c r="F5051" s="1342"/>
      <c r="G5051" s="1342"/>
      <c r="H5051" s="1342"/>
      <c r="I5051" s="1342"/>
      <c r="J5051" s="1342"/>
      <c r="K5051" s="1342"/>
    </row>
    <row r="5052" spans="2:11" ht="14" hidden="1">
      <c r="B5052" s="1342"/>
      <c r="C5052" s="1342"/>
      <c r="D5052" s="1342"/>
      <c r="E5052" s="1342"/>
      <c r="F5052" s="1342"/>
      <c r="G5052" s="1342"/>
      <c r="H5052" s="1342"/>
      <c r="I5052" s="1342"/>
      <c r="J5052" s="1342"/>
      <c r="K5052" s="1342"/>
    </row>
    <row r="5053" spans="2:11" ht="14" hidden="1">
      <c r="B5053" s="1342"/>
      <c r="C5053" s="1342"/>
      <c r="D5053" s="1342"/>
      <c r="E5053" s="1342"/>
      <c r="F5053" s="1342"/>
      <c r="G5053" s="1342"/>
      <c r="H5053" s="1342"/>
      <c r="I5053" s="1342"/>
      <c r="J5053" s="1342"/>
      <c r="K5053" s="1342"/>
    </row>
    <row r="5054" spans="2:11" ht="14" hidden="1">
      <c r="B5054" s="1342"/>
      <c r="C5054" s="1342"/>
      <c r="D5054" s="1342"/>
      <c r="E5054" s="1342"/>
      <c r="F5054" s="1342"/>
      <c r="G5054" s="1342"/>
      <c r="H5054" s="1342"/>
      <c r="I5054" s="1342"/>
      <c r="J5054" s="1342"/>
      <c r="K5054" s="1342"/>
    </row>
    <row r="5055" spans="2:11" ht="14" hidden="1">
      <c r="B5055" s="1342"/>
      <c r="C5055" s="1342"/>
      <c r="D5055" s="1342"/>
      <c r="E5055" s="1342"/>
      <c r="F5055" s="1342"/>
      <c r="G5055" s="1342"/>
      <c r="H5055" s="1342"/>
      <c r="I5055" s="1342"/>
      <c r="J5055" s="1342"/>
      <c r="K5055" s="1342"/>
    </row>
    <row r="5056" spans="2:11" ht="14" hidden="1">
      <c r="B5056" s="1342"/>
      <c r="C5056" s="1342"/>
      <c r="D5056" s="1342"/>
      <c r="E5056" s="1342"/>
      <c r="F5056" s="1342"/>
      <c r="G5056" s="1342"/>
      <c r="H5056" s="1342"/>
      <c r="I5056" s="1342"/>
      <c r="J5056" s="1342"/>
      <c r="K5056" s="1342"/>
    </row>
    <row r="5057" spans="2:11" ht="14" hidden="1">
      <c r="B5057" s="1342"/>
      <c r="C5057" s="1342"/>
      <c r="D5057" s="1342"/>
      <c r="E5057" s="1342"/>
      <c r="F5057" s="1342"/>
      <c r="G5057" s="1342"/>
      <c r="H5057" s="1342"/>
      <c r="I5057" s="1342"/>
      <c r="J5057" s="1342"/>
      <c r="K5057" s="1342"/>
    </row>
    <row r="5058" spans="2:11" ht="14" hidden="1">
      <c r="B5058" s="1342"/>
      <c r="C5058" s="1342"/>
      <c r="D5058" s="1342"/>
      <c r="E5058" s="1342"/>
      <c r="F5058" s="1342"/>
      <c r="G5058" s="1342"/>
      <c r="H5058" s="1342"/>
      <c r="I5058" s="1342"/>
      <c r="J5058" s="1342"/>
      <c r="K5058" s="1342"/>
    </row>
    <row r="5059" spans="2:11" ht="14" hidden="1">
      <c r="B5059" s="1342"/>
      <c r="C5059" s="1342"/>
      <c r="D5059" s="1342"/>
      <c r="E5059" s="1342"/>
      <c r="F5059" s="1342"/>
      <c r="G5059" s="1342"/>
      <c r="H5059" s="1342"/>
      <c r="I5059" s="1342"/>
      <c r="J5059" s="1342"/>
      <c r="K5059" s="1342"/>
    </row>
    <row r="5060" spans="2:11" ht="14" hidden="1">
      <c r="B5060" s="1342"/>
      <c r="C5060" s="1342"/>
      <c r="D5060" s="1342"/>
      <c r="E5060" s="1342"/>
      <c r="F5060" s="1342"/>
      <c r="G5060" s="1342"/>
      <c r="H5060" s="1342"/>
      <c r="I5060" s="1342"/>
      <c r="J5060" s="1342"/>
      <c r="K5060" s="1342"/>
    </row>
    <row r="5061" spans="2:11" ht="14" hidden="1">
      <c r="B5061" s="1342"/>
      <c r="C5061" s="1342"/>
      <c r="D5061" s="1342"/>
      <c r="E5061" s="1342"/>
      <c r="F5061" s="1342"/>
      <c r="G5061" s="1342"/>
      <c r="H5061" s="1342"/>
      <c r="I5061" s="1342"/>
      <c r="J5061" s="1342"/>
      <c r="K5061" s="1342"/>
    </row>
    <row r="5062" spans="2:11" ht="14" hidden="1">
      <c r="B5062" s="1342"/>
      <c r="C5062" s="1342"/>
      <c r="D5062" s="1342"/>
      <c r="E5062" s="1342"/>
      <c r="F5062" s="1342"/>
      <c r="G5062" s="1342"/>
      <c r="H5062" s="1342"/>
      <c r="I5062" s="1342"/>
      <c r="J5062" s="1342"/>
      <c r="K5062" s="1342"/>
    </row>
    <row r="5063" spans="2:11" ht="14" hidden="1">
      <c r="B5063" s="1342"/>
      <c r="C5063" s="1342"/>
      <c r="D5063" s="1342"/>
      <c r="E5063" s="1342"/>
      <c r="F5063" s="1342"/>
      <c r="G5063" s="1342"/>
      <c r="H5063" s="1342"/>
      <c r="I5063" s="1342"/>
      <c r="J5063" s="1342"/>
      <c r="K5063" s="1342"/>
    </row>
    <row r="5064" spans="2:11" ht="14" hidden="1">
      <c r="B5064" s="1342"/>
      <c r="C5064" s="1342"/>
      <c r="D5064" s="1342"/>
      <c r="E5064" s="1342"/>
      <c r="F5064" s="1342"/>
      <c r="G5064" s="1342"/>
      <c r="H5064" s="1342"/>
      <c r="I5064" s="1342"/>
      <c r="J5064" s="1342"/>
      <c r="K5064" s="1342"/>
    </row>
    <row r="5065" spans="2:11" ht="14" hidden="1">
      <c r="B5065" s="1342"/>
      <c r="C5065" s="1342"/>
      <c r="D5065" s="1342"/>
      <c r="E5065" s="1342"/>
      <c r="F5065" s="1342"/>
      <c r="G5065" s="1342"/>
      <c r="H5065" s="1342"/>
      <c r="I5065" s="1342"/>
      <c r="J5065" s="1342"/>
      <c r="K5065" s="1342"/>
    </row>
    <row r="5066" spans="2:11" ht="14" hidden="1">
      <c r="B5066" s="1342"/>
      <c r="C5066" s="1342"/>
      <c r="D5066" s="1342"/>
      <c r="E5066" s="1342"/>
      <c r="F5066" s="1342"/>
      <c r="G5066" s="1342"/>
      <c r="H5066" s="1342"/>
      <c r="I5066" s="1342"/>
      <c r="J5066" s="1342"/>
      <c r="K5066" s="1342"/>
    </row>
    <row r="5067" spans="2:11" ht="14" hidden="1">
      <c r="B5067" s="1342"/>
      <c r="C5067" s="1342"/>
      <c r="D5067" s="1342"/>
      <c r="E5067" s="1342"/>
      <c r="F5067" s="1342"/>
      <c r="G5067" s="1342"/>
      <c r="H5067" s="1342"/>
      <c r="I5067" s="1342"/>
      <c r="J5067" s="1342"/>
      <c r="K5067" s="1342"/>
    </row>
    <row r="5068" spans="2:11" ht="14" hidden="1">
      <c r="B5068" s="1342"/>
      <c r="C5068" s="1342"/>
      <c r="D5068" s="1342"/>
      <c r="E5068" s="1342"/>
      <c r="F5068" s="1342"/>
      <c r="G5068" s="1342"/>
      <c r="H5068" s="1342"/>
      <c r="I5068" s="1342"/>
      <c r="J5068" s="1342"/>
      <c r="K5068" s="1342"/>
    </row>
    <row r="5069" spans="2:11" ht="14" hidden="1">
      <c r="B5069" s="1342"/>
      <c r="C5069" s="1342"/>
      <c r="D5069" s="1342"/>
      <c r="E5069" s="1342"/>
      <c r="F5069" s="1342"/>
      <c r="G5069" s="1342"/>
      <c r="H5069" s="1342"/>
      <c r="I5069" s="1342"/>
      <c r="J5069" s="1342"/>
      <c r="K5069" s="1342"/>
    </row>
    <row r="5070" spans="2:11" ht="14" hidden="1">
      <c r="B5070" s="1342"/>
      <c r="C5070" s="1342"/>
      <c r="D5070" s="1342"/>
      <c r="E5070" s="1342"/>
      <c r="F5070" s="1342"/>
      <c r="G5070" s="1342"/>
      <c r="H5070" s="1342"/>
      <c r="I5070" s="1342"/>
      <c r="J5070" s="1342"/>
      <c r="K5070" s="1342"/>
    </row>
    <row r="5071" spans="2:11" ht="14" hidden="1">
      <c r="B5071" s="1342"/>
      <c r="C5071" s="1342"/>
      <c r="D5071" s="1342"/>
      <c r="E5071" s="1342"/>
      <c r="F5071" s="1342"/>
      <c r="G5071" s="1342"/>
      <c r="H5071" s="1342"/>
      <c r="I5071" s="1342"/>
      <c r="J5071" s="1342"/>
      <c r="K5071" s="1342"/>
    </row>
    <row r="5072" spans="2:11" ht="14" hidden="1">
      <c r="B5072" s="1342"/>
      <c r="C5072" s="1342"/>
      <c r="D5072" s="1342"/>
      <c r="E5072" s="1342"/>
      <c r="F5072" s="1342"/>
      <c r="G5072" s="1342"/>
      <c r="H5072" s="1342"/>
      <c r="I5072" s="1342"/>
      <c r="J5072" s="1342"/>
      <c r="K5072" s="1342"/>
    </row>
    <row r="5073" spans="2:11" ht="14" hidden="1">
      <c r="B5073" s="1342"/>
      <c r="C5073" s="1342"/>
      <c r="D5073" s="1342"/>
      <c r="E5073" s="1342"/>
      <c r="F5073" s="1342"/>
      <c r="G5073" s="1342"/>
      <c r="H5073" s="1342"/>
      <c r="I5073" s="1342"/>
      <c r="J5073" s="1342"/>
      <c r="K5073" s="1342"/>
    </row>
    <row r="5074" spans="2:11" ht="14" hidden="1">
      <c r="B5074" s="1342"/>
      <c r="C5074" s="1342"/>
      <c r="D5074" s="1342"/>
      <c r="E5074" s="1342"/>
      <c r="F5074" s="1342"/>
      <c r="G5074" s="1342"/>
      <c r="H5074" s="1342"/>
      <c r="I5074" s="1342"/>
      <c r="J5074" s="1342"/>
      <c r="K5074" s="1342"/>
    </row>
    <row r="5075" spans="2:11" ht="14" hidden="1">
      <c r="B5075" s="1342"/>
      <c r="C5075" s="1342"/>
      <c r="D5075" s="1342"/>
      <c r="E5075" s="1342"/>
      <c r="F5075" s="1342"/>
      <c r="G5075" s="1342"/>
      <c r="H5075" s="1342"/>
      <c r="I5075" s="1342"/>
      <c r="J5075" s="1342"/>
      <c r="K5075" s="1342"/>
    </row>
    <row r="5076" spans="2:11" ht="14" hidden="1">
      <c r="B5076" s="1342"/>
      <c r="C5076" s="1342"/>
      <c r="D5076" s="1342"/>
      <c r="E5076" s="1342"/>
      <c r="F5076" s="1342"/>
      <c r="G5076" s="1342"/>
      <c r="H5076" s="1342"/>
      <c r="I5076" s="1342"/>
      <c r="J5076" s="1342"/>
      <c r="K5076" s="1342"/>
    </row>
    <row r="5077" spans="2:11" ht="14" hidden="1">
      <c r="B5077" s="1342"/>
      <c r="C5077" s="1342"/>
      <c r="D5077" s="1342"/>
      <c r="E5077" s="1342"/>
      <c r="F5077" s="1342"/>
      <c r="G5077" s="1342"/>
      <c r="H5077" s="1342"/>
      <c r="I5077" s="1342"/>
      <c r="J5077" s="1342"/>
      <c r="K5077" s="1342"/>
    </row>
    <row r="5078" spans="2:11" ht="14" hidden="1">
      <c r="B5078" s="1342"/>
      <c r="C5078" s="1342"/>
      <c r="D5078" s="1342"/>
      <c r="E5078" s="1342"/>
      <c r="F5078" s="1342"/>
      <c r="G5078" s="1342"/>
      <c r="H5078" s="1342"/>
      <c r="I5078" s="1342"/>
      <c r="J5078" s="1342"/>
      <c r="K5078" s="1342"/>
    </row>
    <row r="5079" spans="2:11" ht="14" hidden="1">
      <c r="B5079" s="1342"/>
      <c r="C5079" s="1342"/>
      <c r="D5079" s="1342"/>
      <c r="E5079" s="1342"/>
      <c r="F5079" s="1342"/>
      <c r="G5079" s="1342"/>
      <c r="H5079" s="1342"/>
      <c r="I5079" s="1342"/>
      <c r="J5079" s="1342"/>
      <c r="K5079" s="1342"/>
    </row>
    <row r="5080" spans="2:11" ht="14" hidden="1">
      <c r="B5080" s="1342"/>
      <c r="C5080" s="1342"/>
      <c r="D5080" s="1342"/>
      <c r="E5080" s="1342"/>
      <c r="F5080" s="1342"/>
      <c r="G5080" s="1342"/>
      <c r="H5080" s="1342"/>
      <c r="I5080" s="1342"/>
      <c r="J5080" s="1342"/>
      <c r="K5080" s="1342"/>
    </row>
    <row r="5081" spans="2:11" ht="14" hidden="1">
      <c r="B5081" s="1342"/>
      <c r="C5081" s="1342"/>
      <c r="D5081" s="1342"/>
      <c r="E5081" s="1342"/>
      <c r="F5081" s="1342"/>
      <c r="G5081" s="1342"/>
      <c r="H5081" s="1342"/>
      <c r="I5081" s="1342"/>
      <c r="J5081" s="1342"/>
      <c r="K5081" s="1342"/>
    </row>
    <row r="5082" spans="2:11" ht="14" hidden="1">
      <c r="B5082" s="1342"/>
      <c r="C5082" s="1342"/>
      <c r="D5082" s="1342"/>
      <c r="E5082" s="1342"/>
      <c r="F5082" s="1342"/>
      <c r="G5082" s="1342"/>
      <c r="H5082" s="1342"/>
      <c r="I5082" s="1342"/>
      <c r="J5082" s="1342"/>
      <c r="K5082" s="1342"/>
    </row>
    <row r="5083" spans="2:11" ht="14" hidden="1">
      <c r="B5083" s="1342"/>
      <c r="C5083" s="1342"/>
      <c r="D5083" s="1342"/>
      <c r="E5083" s="1342"/>
      <c r="F5083" s="1342"/>
      <c r="G5083" s="1342"/>
      <c r="H5083" s="1342"/>
      <c r="I5083" s="1342"/>
      <c r="J5083" s="1342"/>
      <c r="K5083" s="1342"/>
    </row>
    <row r="5084" spans="2:11" ht="14" hidden="1">
      <c r="B5084" s="1342"/>
      <c r="C5084" s="1342"/>
      <c r="D5084" s="1342"/>
      <c r="E5084" s="1342"/>
      <c r="F5084" s="1342"/>
      <c r="G5084" s="1342"/>
      <c r="H5084" s="1342"/>
      <c r="I5084" s="1342"/>
      <c r="J5084" s="1342"/>
      <c r="K5084" s="1342"/>
    </row>
    <row r="5085" spans="2:11" ht="14" hidden="1">
      <c r="B5085" s="1342"/>
      <c r="C5085" s="1342"/>
      <c r="D5085" s="1342"/>
      <c r="E5085" s="1342"/>
      <c r="F5085" s="1342"/>
      <c r="G5085" s="1342"/>
      <c r="H5085" s="1342"/>
      <c r="I5085" s="1342"/>
      <c r="J5085" s="1342"/>
      <c r="K5085" s="1342"/>
    </row>
    <row r="5086" spans="2:11" ht="14" hidden="1">
      <c r="B5086" s="1342"/>
      <c r="C5086" s="1342"/>
      <c r="D5086" s="1342"/>
      <c r="E5086" s="1342"/>
      <c r="F5086" s="1342"/>
      <c r="G5086" s="1342"/>
      <c r="H5086" s="1342"/>
      <c r="I5086" s="1342"/>
      <c r="J5086" s="1342"/>
      <c r="K5086" s="1342"/>
    </row>
    <row r="5087" spans="2:11" ht="14" hidden="1">
      <c r="B5087" s="1342"/>
      <c r="C5087" s="1342"/>
      <c r="D5087" s="1342"/>
      <c r="E5087" s="1342"/>
      <c r="F5087" s="1342"/>
      <c r="G5087" s="1342"/>
      <c r="H5087" s="1342"/>
      <c r="I5087" s="1342"/>
      <c r="J5087" s="1342"/>
      <c r="K5087" s="1342"/>
    </row>
    <row r="5088" spans="2:11" ht="14" hidden="1">
      <c r="B5088" s="1342"/>
      <c r="C5088" s="1342"/>
      <c r="D5088" s="1342"/>
      <c r="E5088" s="1342"/>
      <c r="F5088" s="1342"/>
      <c r="G5088" s="1342"/>
      <c r="H5088" s="1342"/>
      <c r="I5088" s="1342"/>
      <c r="J5088" s="1342"/>
      <c r="K5088" s="1342"/>
    </row>
    <row r="5089" spans="2:11" ht="14" hidden="1">
      <c r="B5089" s="1342"/>
      <c r="C5089" s="1342"/>
      <c r="D5089" s="1342"/>
      <c r="E5089" s="1342"/>
      <c r="F5089" s="1342"/>
      <c r="G5089" s="1342"/>
      <c r="H5089" s="1342"/>
      <c r="I5089" s="1342"/>
      <c r="J5089" s="1342"/>
      <c r="K5089" s="1342"/>
    </row>
    <row r="5090" spans="2:11" ht="14" hidden="1">
      <c r="B5090" s="1342"/>
      <c r="C5090" s="1342"/>
      <c r="D5090" s="1342"/>
      <c r="E5090" s="1342"/>
      <c r="F5090" s="1342"/>
      <c r="G5090" s="1342"/>
      <c r="H5090" s="1342"/>
      <c r="I5090" s="1342"/>
      <c r="J5090" s="1342"/>
      <c r="K5090" s="1342"/>
    </row>
    <row r="5091" spans="2:11" ht="14" hidden="1">
      <c r="B5091" s="1342"/>
      <c r="C5091" s="1342"/>
      <c r="D5091" s="1342"/>
      <c r="E5091" s="1342"/>
      <c r="F5091" s="1342"/>
      <c r="G5091" s="1342"/>
      <c r="H5091" s="1342"/>
      <c r="I5091" s="1342"/>
      <c r="J5091" s="1342"/>
      <c r="K5091" s="1342"/>
    </row>
    <row r="5092" spans="2:11" ht="14" hidden="1">
      <c r="B5092" s="1342"/>
      <c r="C5092" s="1342"/>
      <c r="D5092" s="1342"/>
      <c r="E5092" s="1342"/>
      <c r="F5092" s="1342"/>
      <c r="G5092" s="1342"/>
      <c r="H5092" s="1342"/>
      <c r="I5092" s="1342"/>
      <c r="J5092" s="1342"/>
      <c r="K5092" s="1342"/>
    </row>
    <row r="5093" spans="2:11" ht="14" hidden="1">
      <c r="B5093" s="1342"/>
      <c r="C5093" s="1342"/>
      <c r="D5093" s="1342"/>
      <c r="E5093" s="1342"/>
      <c r="F5093" s="1342"/>
      <c r="G5093" s="1342"/>
      <c r="H5093" s="1342"/>
      <c r="I5093" s="1342"/>
      <c r="J5093" s="1342"/>
      <c r="K5093" s="1342"/>
    </row>
    <row r="5094" spans="2:11" ht="14" hidden="1">
      <c r="B5094" s="1342"/>
      <c r="C5094" s="1342"/>
      <c r="D5094" s="1342"/>
      <c r="E5094" s="1342"/>
      <c r="F5094" s="1342"/>
      <c r="G5094" s="1342"/>
      <c r="H5094" s="1342"/>
      <c r="I5094" s="1342"/>
      <c r="J5094" s="1342"/>
      <c r="K5094" s="1342"/>
    </row>
    <row r="5095" spans="2:11" ht="14" hidden="1">
      <c r="B5095" s="1342"/>
      <c r="C5095" s="1342"/>
      <c r="D5095" s="1342"/>
      <c r="E5095" s="1342"/>
      <c r="F5095" s="1342"/>
      <c r="G5095" s="1342"/>
      <c r="H5095" s="1342"/>
      <c r="I5095" s="1342"/>
      <c r="J5095" s="1342"/>
      <c r="K5095" s="1342"/>
    </row>
    <row r="5096" spans="2:11" ht="14" hidden="1">
      <c r="B5096" s="1342"/>
      <c r="C5096" s="1342"/>
      <c r="D5096" s="1342"/>
      <c r="E5096" s="1342"/>
      <c r="F5096" s="1342"/>
      <c r="G5096" s="1342"/>
      <c r="H5096" s="1342"/>
      <c r="I5096" s="1342"/>
      <c r="J5096" s="1342"/>
      <c r="K5096" s="1342"/>
    </row>
    <row r="5097" spans="2:11" ht="14" hidden="1">
      <c r="B5097" s="1342"/>
      <c r="C5097" s="1342"/>
      <c r="D5097" s="1342"/>
      <c r="E5097" s="1342"/>
      <c r="F5097" s="1342"/>
      <c r="G5097" s="1342"/>
      <c r="H5097" s="1342"/>
      <c r="I5097" s="1342"/>
      <c r="J5097" s="1342"/>
      <c r="K5097" s="1342"/>
    </row>
    <row r="5098" spans="2:11" ht="14" hidden="1">
      <c r="B5098" s="1342"/>
      <c r="C5098" s="1342"/>
      <c r="D5098" s="1342"/>
      <c r="E5098" s="1342"/>
      <c r="F5098" s="1342"/>
      <c r="G5098" s="1342"/>
      <c r="H5098" s="1342"/>
      <c r="I5098" s="1342"/>
      <c r="J5098" s="1342"/>
      <c r="K5098" s="1342"/>
    </row>
    <row r="5099" spans="2:11" ht="14" hidden="1">
      <c r="B5099" s="1342"/>
      <c r="C5099" s="1342"/>
      <c r="D5099" s="1342"/>
      <c r="E5099" s="1342"/>
      <c r="F5099" s="1342"/>
      <c r="G5099" s="1342"/>
      <c r="H5099" s="1342"/>
      <c r="I5099" s="1342"/>
      <c r="J5099" s="1342"/>
      <c r="K5099" s="1342"/>
    </row>
    <row r="5100" spans="2:11" ht="14" hidden="1">
      <c r="B5100" s="1342"/>
      <c r="C5100" s="1342"/>
      <c r="D5100" s="1342"/>
      <c r="E5100" s="1342"/>
      <c r="F5100" s="1342"/>
      <c r="G5100" s="1342"/>
      <c r="H5100" s="1342"/>
      <c r="I5100" s="1342"/>
      <c r="J5100" s="1342"/>
      <c r="K5100" s="1342"/>
    </row>
    <row r="5101" spans="2:11" ht="14" hidden="1">
      <c r="B5101" s="1342"/>
      <c r="C5101" s="1342"/>
      <c r="D5101" s="1342"/>
      <c r="E5101" s="1342"/>
      <c r="F5101" s="1342"/>
      <c r="G5101" s="1342"/>
      <c r="H5101" s="1342"/>
      <c r="I5101" s="1342"/>
      <c r="J5101" s="1342"/>
      <c r="K5101" s="1342"/>
    </row>
    <row r="5102" spans="2:11" ht="14" hidden="1">
      <c r="B5102" s="1342"/>
      <c r="C5102" s="1342"/>
      <c r="D5102" s="1342"/>
      <c r="E5102" s="1342"/>
      <c r="F5102" s="1342"/>
      <c r="G5102" s="1342"/>
      <c r="H5102" s="1342"/>
      <c r="I5102" s="1342"/>
      <c r="J5102" s="1342"/>
      <c r="K5102" s="1342"/>
    </row>
    <row r="5103" spans="2:11" ht="14" hidden="1">
      <c r="B5103" s="1342"/>
      <c r="C5103" s="1342"/>
      <c r="D5103" s="1342"/>
      <c r="E5103" s="1342"/>
      <c r="F5103" s="1342"/>
      <c r="G5103" s="1342"/>
      <c r="H5103" s="1342"/>
      <c r="I5103" s="1342"/>
      <c r="J5103" s="1342"/>
      <c r="K5103" s="1342"/>
    </row>
    <row r="5104" spans="2:11" ht="14" hidden="1">
      <c r="B5104" s="1342"/>
      <c r="C5104" s="1342"/>
      <c r="D5104" s="1342"/>
      <c r="E5104" s="1342"/>
      <c r="F5104" s="1342"/>
      <c r="G5104" s="1342"/>
      <c r="H5104" s="1342"/>
      <c r="I5104" s="1342"/>
      <c r="J5104" s="1342"/>
      <c r="K5104" s="1342"/>
    </row>
    <row r="5105" spans="2:11" ht="14" hidden="1">
      <c r="B5105" s="1342"/>
      <c r="C5105" s="1342"/>
      <c r="D5105" s="1342"/>
      <c r="E5105" s="1342"/>
      <c r="F5105" s="1342"/>
      <c r="G5105" s="1342"/>
      <c r="H5105" s="1342"/>
      <c r="I5105" s="1342"/>
      <c r="J5105" s="1342"/>
      <c r="K5105" s="1342"/>
    </row>
    <row r="5106" spans="2:11" ht="14" hidden="1">
      <c r="B5106" s="1342"/>
      <c r="C5106" s="1342"/>
      <c r="D5106" s="1342"/>
      <c r="E5106" s="1342"/>
      <c r="F5106" s="1342"/>
      <c r="G5106" s="1342"/>
      <c r="H5106" s="1342"/>
      <c r="I5106" s="1342"/>
      <c r="J5106" s="1342"/>
      <c r="K5106" s="1342"/>
    </row>
    <row r="5107" spans="2:11" ht="14" hidden="1">
      <c r="B5107" s="1342"/>
      <c r="C5107" s="1342"/>
      <c r="D5107" s="1342"/>
      <c r="E5107" s="1342"/>
      <c r="F5107" s="1342"/>
      <c r="G5107" s="1342"/>
      <c r="H5107" s="1342"/>
      <c r="I5107" s="1342"/>
      <c r="J5107" s="1342"/>
      <c r="K5107" s="1342"/>
    </row>
    <row r="5108" spans="2:11" ht="14" hidden="1">
      <c r="B5108" s="1342"/>
      <c r="C5108" s="1342"/>
      <c r="D5108" s="1342"/>
      <c r="E5108" s="1342"/>
      <c r="F5108" s="1342"/>
      <c r="G5108" s="1342"/>
      <c r="H5108" s="1342"/>
      <c r="I5108" s="1342"/>
      <c r="J5108" s="1342"/>
      <c r="K5108" s="1342"/>
    </row>
    <row r="5109" spans="2:11" ht="14" hidden="1">
      <c r="B5109" s="1342"/>
      <c r="C5109" s="1342"/>
      <c r="D5109" s="1342"/>
      <c r="E5109" s="1342"/>
      <c r="F5109" s="1342"/>
      <c r="G5109" s="1342"/>
      <c r="H5109" s="1342"/>
      <c r="I5109" s="1342"/>
      <c r="J5109" s="1342"/>
      <c r="K5109" s="1342"/>
    </row>
    <row r="5110" spans="2:11" ht="14" hidden="1">
      <c r="B5110" s="1342"/>
      <c r="C5110" s="1342"/>
      <c r="D5110" s="1342"/>
      <c r="E5110" s="1342"/>
      <c r="F5110" s="1342"/>
      <c r="G5110" s="1342"/>
      <c r="H5110" s="1342"/>
      <c r="I5110" s="1342"/>
      <c r="J5110" s="1342"/>
      <c r="K5110" s="1342"/>
    </row>
    <row r="5111" spans="2:11" ht="14" hidden="1">
      <c r="B5111" s="1342"/>
      <c r="C5111" s="1342"/>
      <c r="D5111" s="1342"/>
      <c r="E5111" s="1342"/>
      <c r="F5111" s="1342"/>
      <c r="G5111" s="1342"/>
      <c r="H5111" s="1342"/>
      <c r="I5111" s="1342"/>
      <c r="J5111" s="1342"/>
      <c r="K5111" s="1342"/>
    </row>
    <row r="5112" spans="2:11" ht="14" hidden="1">
      <c r="B5112" s="1342"/>
      <c r="C5112" s="1342"/>
      <c r="D5112" s="1342"/>
      <c r="E5112" s="1342"/>
      <c r="F5112" s="1342"/>
      <c r="G5112" s="1342"/>
      <c r="H5112" s="1342"/>
      <c r="I5112" s="1342"/>
      <c r="J5112" s="1342"/>
      <c r="K5112" s="1342"/>
    </row>
    <row r="5113" spans="2:11" ht="14" hidden="1">
      <c r="B5113" s="1342"/>
      <c r="C5113" s="1342"/>
      <c r="D5113" s="1342"/>
      <c r="E5113" s="1342"/>
      <c r="F5113" s="1342"/>
      <c r="G5113" s="1342"/>
      <c r="H5113" s="1342"/>
      <c r="I5113" s="1342"/>
      <c r="J5113" s="1342"/>
      <c r="K5113" s="1342"/>
    </row>
    <row r="5114" spans="2:11" ht="14" hidden="1">
      <c r="B5114" s="1342"/>
      <c r="C5114" s="1342"/>
      <c r="D5114" s="1342"/>
      <c r="E5114" s="1342"/>
      <c r="F5114" s="1342"/>
      <c r="G5114" s="1342"/>
      <c r="H5114" s="1342"/>
      <c r="I5114" s="1342"/>
      <c r="J5114" s="1342"/>
      <c r="K5114" s="1342"/>
    </row>
    <row r="5115" spans="2:11" ht="14" hidden="1">
      <c r="B5115" s="1342"/>
      <c r="C5115" s="1342"/>
      <c r="D5115" s="1342"/>
      <c r="E5115" s="1342"/>
      <c r="F5115" s="1342"/>
      <c r="G5115" s="1342"/>
      <c r="H5115" s="1342"/>
      <c r="I5115" s="1342"/>
      <c r="J5115" s="1342"/>
      <c r="K5115" s="1342"/>
    </row>
    <row r="5116" spans="2:11" ht="14" hidden="1">
      <c r="B5116" s="1342"/>
      <c r="C5116" s="1342"/>
      <c r="D5116" s="1342"/>
      <c r="E5116" s="1342"/>
      <c r="F5116" s="1342"/>
      <c r="G5116" s="1342"/>
      <c r="H5116" s="1342"/>
      <c r="I5116" s="1342"/>
      <c r="J5116" s="1342"/>
      <c r="K5116" s="1342"/>
    </row>
    <row r="5117" spans="2:11" ht="14" hidden="1">
      <c r="B5117" s="1342"/>
      <c r="C5117" s="1342"/>
      <c r="D5117" s="1342"/>
      <c r="E5117" s="1342"/>
      <c r="F5117" s="1342"/>
      <c r="G5117" s="1342"/>
      <c r="H5117" s="1342"/>
      <c r="I5117" s="1342"/>
      <c r="J5117" s="1342"/>
      <c r="K5117" s="1342"/>
    </row>
    <row r="5118" spans="2:11" ht="14" hidden="1">
      <c r="B5118" s="1342"/>
      <c r="C5118" s="1342"/>
      <c r="D5118" s="1342"/>
      <c r="E5118" s="1342"/>
      <c r="F5118" s="1342"/>
      <c r="G5118" s="1342"/>
      <c r="H5118" s="1342"/>
      <c r="I5118" s="1342"/>
      <c r="J5118" s="1342"/>
      <c r="K5118" s="1342"/>
    </row>
    <row r="5119" spans="2:11" ht="14" hidden="1">
      <c r="B5119" s="1342"/>
      <c r="C5119" s="1342"/>
      <c r="D5119" s="1342"/>
      <c r="E5119" s="1342"/>
      <c r="F5119" s="1342"/>
      <c r="G5119" s="1342"/>
      <c r="H5119" s="1342"/>
      <c r="I5119" s="1342"/>
      <c r="J5119" s="1342"/>
      <c r="K5119" s="1342"/>
    </row>
    <row r="5120" spans="2:11" ht="14" hidden="1">
      <c r="B5120" s="1342"/>
      <c r="C5120" s="1342"/>
      <c r="D5120" s="1342"/>
      <c r="E5120" s="1342"/>
      <c r="F5120" s="1342"/>
      <c r="G5120" s="1342"/>
      <c r="H5120" s="1342"/>
      <c r="I5120" s="1342"/>
      <c r="J5120" s="1342"/>
      <c r="K5120" s="1342"/>
    </row>
    <row r="5121" spans="2:11" ht="14" hidden="1">
      <c r="B5121" s="1342"/>
      <c r="C5121" s="1342"/>
      <c r="D5121" s="1342"/>
      <c r="E5121" s="1342"/>
      <c r="F5121" s="1342"/>
      <c r="G5121" s="1342"/>
      <c r="H5121" s="1342"/>
      <c r="I5121" s="1342"/>
      <c r="J5121" s="1342"/>
      <c r="K5121" s="1342"/>
    </row>
    <row r="5122" spans="2:11" ht="14" hidden="1">
      <c r="B5122" s="1342"/>
      <c r="C5122" s="1342"/>
      <c r="D5122" s="1342"/>
      <c r="E5122" s="1342"/>
      <c r="F5122" s="1342"/>
      <c r="G5122" s="1342"/>
      <c r="H5122" s="1342"/>
      <c r="I5122" s="1342"/>
      <c r="J5122" s="1342"/>
      <c r="K5122" s="1342"/>
    </row>
    <row r="5123" spans="2:11" ht="14" hidden="1">
      <c r="B5123" s="1342"/>
      <c r="C5123" s="1342"/>
      <c r="D5123" s="1342"/>
      <c r="E5123" s="1342"/>
      <c r="F5123" s="1342"/>
      <c r="G5123" s="1342"/>
      <c r="H5123" s="1342"/>
      <c r="I5123" s="1342"/>
      <c r="J5123" s="1342"/>
      <c r="K5123" s="1342"/>
    </row>
    <row r="5124" spans="2:11" ht="14" hidden="1">
      <c r="B5124" s="1342"/>
      <c r="C5124" s="1342"/>
      <c r="D5124" s="1342"/>
      <c r="E5124" s="1342"/>
      <c r="F5124" s="1342"/>
      <c r="G5124" s="1342"/>
      <c r="H5124" s="1342"/>
      <c r="I5124" s="1342"/>
      <c r="J5124" s="1342"/>
      <c r="K5124" s="1342"/>
    </row>
    <row r="5125" spans="2:11" ht="14" hidden="1">
      <c r="B5125" s="1342"/>
      <c r="C5125" s="1342"/>
      <c r="D5125" s="1342"/>
      <c r="E5125" s="1342"/>
      <c r="F5125" s="1342"/>
      <c r="G5125" s="1342"/>
      <c r="H5125" s="1342"/>
      <c r="I5125" s="1342"/>
      <c r="J5125" s="1342"/>
      <c r="K5125" s="1342"/>
    </row>
    <row r="5126" spans="2:11" ht="14" hidden="1">
      <c r="B5126" s="1342"/>
      <c r="C5126" s="1342"/>
      <c r="D5126" s="1342"/>
      <c r="E5126" s="1342"/>
      <c r="F5126" s="1342"/>
      <c r="G5126" s="1342"/>
      <c r="H5126" s="1342"/>
      <c r="I5126" s="1342"/>
      <c r="J5126" s="1342"/>
      <c r="K5126" s="1342"/>
    </row>
    <row r="5127" spans="2:11" ht="14" hidden="1">
      <c r="B5127" s="1342"/>
      <c r="C5127" s="1342"/>
      <c r="D5127" s="1342"/>
      <c r="E5127" s="1342"/>
      <c r="F5127" s="1342"/>
      <c r="G5127" s="1342"/>
      <c r="H5127" s="1342"/>
      <c r="I5127" s="1342"/>
      <c r="J5127" s="1342"/>
      <c r="K5127" s="1342"/>
    </row>
    <row r="5128" spans="2:11" ht="14" hidden="1">
      <c r="B5128" s="1342"/>
      <c r="C5128" s="1342"/>
      <c r="D5128" s="1342"/>
      <c r="E5128" s="1342"/>
      <c r="F5128" s="1342"/>
      <c r="G5128" s="1342"/>
      <c r="H5128" s="1342"/>
      <c r="I5128" s="1342"/>
      <c r="J5128" s="1342"/>
      <c r="K5128" s="1342"/>
    </row>
    <row r="5129" spans="2:11" ht="14" hidden="1">
      <c r="B5129" s="1342"/>
      <c r="C5129" s="1342"/>
      <c r="D5129" s="1342"/>
      <c r="E5129" s="1342"/>
      <c r="F5129" s="1342"/>
      <c r="G5129" s="1342"/>
      <c r="H5129" s="1342"/>
      <c r="I5129" s="1342"/>
      <c r="J5129" s="1342"/>
      <c r="K5129" s="1342"/>
    </row>
    <row r="5130" spans="2:11" ht="14" hidden="1">
      <c r="B5130" s="1342"/>
      <c r="C5130" s="1342"/>
      <c r="D5130" s="1342"/>
      <c r="E5130" s="1342"/>
      <c r="F5130" s="1342"/>
      <c r="G5130" s="1342"/>
      <c r="H5130" s="1342"/>
      <c r="I5130" s="1342"/>
      <c r="J5130" s="1342"/>
      <c r="K5130" s="1342"/>
    </row>
    <row r="5131" spans="2:11" ht="14" hidden="1">
      <c r="B5131" s="1342"/>
      <c r="C5131" s="1342"/>
      <c r="D5131" s="1342"/>
      <c r="E5131" s="1342"/>
      <c r="F5131" s="1342"/>
      <c r="G5131" s="1342"/>
      <c r="H5131" s="1342"/>
      <c r="I5131" s="1342"/>
      <c r="J5131" s="1342"/>
      <c r="K5131" s="1342"/>
    </row>
    <row r="5132" spans="2:11" ht="14" hidden="1">
      <c r="B5132" s="1342"/>
      <c r="C5132" s="1342"/>
      <c r="D5132" s="1342"/>
      <c r="E5132" s="1342"/>
      <c r="F5132" s="1342"/>
      <c r="G5132" s="1342"/>
      <c r="H5132" s="1342"/>
      <c r="I5132" s="1342"/>
      <c r="J5132" s="1342"/>
      <c r="K5132" s="1342"/>
    </row>
    <row r="5133" spans="2:11" ht="14" hidden="1">
      <c r="B5133" s="1342"/>
      <c r="C5133" s="1342"/>
      <c r="D5133" s="1342"/>
      <c r="E5133" s="1342"/>
      <c r="F5133" s="1342"/>
      <c r="G5133" s="1342"/>
      <c r="H5133" s="1342"/>
      <c r="I5133" s="1342"/>
      <c r="J5133" s="1342"/>
      <c r="K5133" s="1342"/>
    </row>
    <row r="5134" spans="2:11" ht="14" hidden="1">
      <c r="B5134" s="1342"/>
      <c r="C5134" s="1342"/>
      <c r="D5134" s="1342"/>
      <c r="E5134" s="1342"/>
      <c r="F5134" s="1342"/>
      <c r="G5134" s="1342"/>
      <c r="H5134" s="1342"/>
      <c r="I5134" s="1342"/>
      <c r="J5134" s="1342"/>
      <c r="K5134" s="1342"/>
    </row>
    <row r="5135" spans="2:11" ht="14" hidden="1">
      <c r="B5135" s="1342"/>
      <c r="C5135" s="1342"/>
      <c r="D5135" s="1342"/>
      <c r="E5135" s="1342"/>
      <c r="F5135" s="1342"/>
      <c r="G5135" s="1342"/>
      <c r="H5135" s="1342"/>
      <c r="I5135" s="1342"/>
      <c r="J5135" s="1342"/>
      <c r="K5135" s="1342"/>
    </row>
    <row r="5136" spans="2:11" ht="14" hidden="1">
      <c r="B5136" s="1342"/>
      <c r="C5136" s="1342"/>
      <c r="D5136" s="1342"/>
      <c r="E5136" s="1342"/>
      <c r="F5136" s="1342"/>
      <c r="G5136" s="1342"/>
      <c r="H5136" s="1342"/>
      <c r="I5136" s="1342"/>
      <c r="J5136" s="1342"/>
      <c r="K5136" s="1342"/>
    </row>
    <row r="5137" spans="2:11" ht="14" hidden="1">
      <c r="B5137" s="1342"/>
      <c r="C5137" s="1342"/>
      <c r="D5137" s="1342"/>
      <c r="E5137" s="1342"/>
      <c r="F5137" s="1342"/>
      <c r="G5137" s="1342"/>
      <c r="H5137" s="1342"/>
      <c r="I5137" s="1342"/>
      <c r="J5137" s="1342"/>
      <c r="K5137" s="1342"/>
    </row>
    <row r="5138" spans="2:11" ht="14" hidden="1">
      <c r="B5138" s="1342"/>
      <c r="C5138" s="1342"/>
      <c r="D5138" s="1342"/>
      <c r="E5138" s="1342"/>
      <c r="F5138" s="1342"/>
      <c r="G5138" s="1342"/>
      <c r="H5138" s="1342"/>
      <c r="I5138" s="1342"/>
      <c r="J5138" s="1342"/>
      <c r="K5138" s="1342"/>
    </row>
    <row r="5139" spans="2:11" ht="14" hidden="1">
      <c r="B5139" s="1342"/>
      <c r="C5139" s="1342"/>
      <c r="D5139" s="1342"/>
      <c r="E5139" s="1342"/>
      <c r="F5139" s="1342"/>
      <c r="G5139" s="1342"/>
      <c r="H5139" s="1342"/>
      <c r="I5139" s="1342"/>
      <c r="J5139" s="1342"/>
      <c r="K5139" s="1342"/>
    </row>
    <row r="5140" spans="2:11" ht="14" hidden="1">
      <c r="B5140" s="1342"/>
      <c r="C5140" s="1342"/>
      <c r="D5140" s="1342"/>
      <c r="E5140" s="1342"/>
      <c r="F5140" s="1342"/>
      <c r="G5140" s="1342"/>
      <c r="H5140" s="1342"/>
      <c r="I5140" s="1342"/>
      <c r="J5140" s="1342"/>
      <c r="K5140" s="1342"/>
    </row>
    <row r="5141" spans="2:11" ht="14" hidden="1">
      <c r="B5141" s="1342"/>
      <c r="C5141" s="1342"/>
      <c r="D5141" s="1342"/>
      <c r="E5141" s="1342"/>
      <c r="F5141" s="1342"/>
      <c r="G5141" s="1342"/>
      <c r="H5141" s="1342"/>
      <c r="I5141" s="1342"/>
      <c r="J5141" s="1342"/>
      <c r="K5141" s="1342"/>
    </row>
    <row r="5142" spans="2:11" ht="14" hidden="1">
      <c r="B5142" s="1342"/>
      <c r="C5142" s="1342"/>
      <c r="D5142" s="1342"/>
      <c r="E5142" s="1342"/>
      <c r="F5142" s="1342"/>
      <c r="G5142" s="1342"/>
      <c r="H5142" s="1342"/>
      <c r="I5142" s="1342"/>
      <c r="J5142" s="1342"/>
      <c r="K5142" s="1342"/>
    </row>
    <row r="5143" spans="2:11" ht="14" hidden="1">
      <c r="B5143" s="1342"/>
      <c r="C5143" s="1342"/>
      <c r="D5143" s="1342"/>
      <c r="E5143" s="1342"/>
      <c r="F5143" s="1342"/>
      <c r="G5143" s="1342"/>
      <c r="H5143" s="1342"/>
      <c r="I5143" s="1342"/>
      <c r="J5143" s="1342"/>
      <c r="K5143" s="1342"/>
    </row>
    <row r="5144" spans="2:11" ht="14" hidden="1">
      <c r="B5144" s="1342"/>
      <c r="C5144" s="1342"/>
      <c r="D5144" s="1342"/>
      <c r="E5144" s="1342"/>
      <c r="F5144" s="1342"/>
      <c r="G5144" s="1342"/>
      <c r="H5144" s="1342"/>
      <c r="I5144" s="1342"/>
      <c r="J5144" s="1342"/>
      <c r="K5144" s="1342"/>
    </row>
    <row r="5145" spans="2:11" ht="14" hidden="1">
      <c r="B5145" s="1342"/>
      <c r="C5145" s="1342"/>
      <c r="D5145" s="1342"/>
      <c r="E5145" s="1342"/>
      <c r="F5145" s="1342"/>
      <c r="G5145" s="1342"/>
      <c r="H5145" s="1342"/>
      <c r="I5145" s="1342"/>
      <c r="J5145" s="1342"/>
      <c r="K5145" s="1342"/>
    </row>
    <row r="5146" spans="2:11" ht="14" hidden="1">
      <c r="B5146" s="1342"/>
      <c r="C5146" s="1342"/>
      <c r="D5146" s="1342"/>
      <c r="E5146" s="1342"/>
      <c r="F5146" s="1342"/>
      <c r="G5146" s="1342"/>
      <c r="H5146" s="1342"/>
      <c r="I5146" s="1342"/>
      <c r="J5146" s="1342"/>
      <c r="K5146" s="1342"/>
    </row>
    <row r="5147" spans="2:11" ht="14" hidden="1">
      <c r="B5147" s="1342"/>
      <c r="C5147" s="1342"/>
      <c r="D5147" s="1342"/>
      <c r="E5147" s="1342"/>
      <c r="F5147" s="1342"/>
      <c r="G5147" s="1342"/>
      <c r="H5147" s="1342"/>
      <c r="I5147" s="1342"/>
      <c r="J5147" s="1342"/>
      <c r="K5147" s="1342"/>
    </row>
    <row r="5148" spans="2:11" ht="14" hidden="1">
      <c r="B5148" s="1342"/>
      <c r="C5148" s="1342"/>
      <c r="D5148" s="1342"/>
      <c r="E5148" s="1342"/>
      <c r="F5148" s="1342"/>
      <c r="G5148" s="1342"/>
      <c r="H5148" s="1342"/>
      <c r="I5148" s="1342"/>
      <c r="J5148" s="1342"/>
      <c r="K5148" s="1342"/>
    </row>
    <row r="5149" spans="2:11" ht="14" hidden="1">
      <c r="B5149" s="1342"/>
      <c r="C5149" s="1342"/>
      <c r="D5149" s="1342"/>
      <c r="E5149" s="1342"/>
      <c r="F5149" s="1342"/>
      <c r="G5149" s="1342"/>
      <c r="H5149" s="1342"/>
      <c r="I5149" s="1342"/>
      <c r="J5149" s="1342"/>
      <c r="K5149" s="1342"/>
    </row>
    <row r="5150" spans="2:11" ht="14" hidden="1">
      <c r="B5150" s="1342"/>
      <c r="C5150" s="1342"/>
      <c r="D5150" s="1342"/>
      <c r="E5150" s="1342"/>
      <c r="F5150" s="1342"/>
      <c r="G5150" s="1342"/>
      <c r="H5150" s="1342"/>
      <c r="I5150" s="1342"/>
      <c r="J5150" s="1342"/>
      <c r="K5150" s="1342"/>
    </row>
    <row r="5151" spans="2:11" ht="14" hidden="1">
      <c r="B5151" s="1342"/>
      <c r="C5151" s="1342"/>
      <c r="D5151" s="1342"/>
      <c r="E5151" s="1342"/>
      <c r="F5151" s="1342"/>
      <c r="G5151" s="1342"/>
      <c r="H5151" s="1342"/>
      <c r="I5151" s="1342"/>
      <c r="J5151" s="1342"/>
      <c r="K5151" s="1342"/>
    </row>
    <row r="5152" spans="2:11" ht="14" hidden="1">
      <c r="B5152" s="1342"/>
      <c r="C5152" s="1342"/>
      <c r="D5152" s="1342"/>
      <c r="E5152" s="1342"/>
      <c r="F5152" s="1342"/>
      <c r="G5152" s="1342"/>
      <c r="H5152" s="1342"/>
      <c r="I5152" s="1342"/>
      <c r="J5152" s="1342"/>
      <c r="K5152" s="1342"/>
    </row>
    <row r="5153" spans="2:11" ht="14" hidden="1">
      <c r="B5153" s="1342"/>
      <c r="C5153" s="1342"/>
      <c r="D5153" s="1342"/>
      <c r="E5153" s="1342"/>
      <c r="F5153" s="1342"/>
      <c r="G5153" s="1342"/>
      <c r="H5153" s="1342"/>
      <c r="I5153" s="1342"/>
      <c r="J5153" s="1342"/>
      <c r="K5153" s="1342"/>
    </row>
    <row r="5154" spans="2:11" ht="14" hidden="1">
      <c r="B5154" s="1342"/>
      <c r="C5154" s="1342"/>
      <c r="D5154" s="1342"/>
      <c r="E5154" s="1342"/>
      <c r="F5154" s="1342"/>
      <c r="G5154" s="1342"/>
      <c r="H5154" s="1342"/>
      <c r="I5154" s="1342"/>
      <c r="J5154" s="1342"/>
      <c r="K5154" s="1342"/>
    </row>
    <row r="5155" spans="2:11" ht="14" hidden="1">
      <c r="B5155" s="1342"/>
      <c r="C5155" s="1342"/>
      <c r="D5155" s="1342"/>
      <c r="E5155" s="1342"/>
      <c r="F5155" s="1342"/>
      <c r="G5155" s="1342"/>
      <c r="H5155" s="1342"/>
      <c r="I5155" s="1342"/>
      <c r="J5155" s="1342"/>
      <c r="K5155" s="1342"/>
    </row>
    <row r="5156" spans="2:11" ht="14" hidden="1">
      <c r="B5156" s="1342"/>
      <c r="C5156" s="1342"/>
      <c r="D5156" s="1342"/>
      <c r="E5156" s="1342"/>
      <c r="F5156" s="1342"/>
      <c r="G5156" s="1342"/>
      <c r="H5156" s="1342"/>
      <c r="I5156" s="1342"/>
      <c r="J5156" s="1342"/>
      <c r="K5156" s="1342"/>
    </row>
    <row r="5157" spans="2:11" ht="14" hidden="1">
      <c r="B5157" s="1342"/>
      <c r="C5157" s="1342"/>
      <c r="D5157" s="1342"/>
      <c r="E5157" s="1342"/>
      <c r="F5157" s="1342"/>
      <c r="G5157" s="1342"/>
      <c r="H5157" s="1342"/>
      <c r="I5157" s="1342"/>
      <c r="J5157" s="1342"/>
      <c r="K5157" s="1342"/>
    </row>
    <row r="5158" spans="2:11" ht="14" hidden="1">
      <c r="B5158" s="1342"/>
      <c r="C5158" s="1342"/>
      <c r="D5158" s="1342"/>
      <c r="E5158" s="1342"/>
      <c r="F5158" s="1342"/>
      <c r="G5158" s="1342"/>
      <c r="H5158" s="1342"/>
      <c r="I5158" s="1342"/>
      <c r="J5158" s="1342"/>
      <c r="K5158" s="1342"/>
    </row>
    <row r="5159" spans="2:11" ht="14" hidden="1">
      <c r="B5159" s="1342"/>
      <c r="C5159" s="1342"/>
      <c r="D5159" s="1342"/>
      <c r="E5159" s="1342"/>
      <c r="F5159" s="1342"/>
      <c r="G5159" s="1342"/>
      <c r="H5159" s="1342"/>
      <c r="I5159" s="1342"/>
      <c r="J5159" s="1342"/>
      <c r="K5159" s="1342"/>
    </row>
    <row r="5160" spans="2:11" ht="14" hidden="1">
      <c r="B5160" s="1342"/>
      <c r="C5160" s="1342"/>
      <c r="D5160" s="1342"/>
      <c r="E5160" s="1342"/>
      <c r="F5160" s="1342"/>
      <c r="G5160" s="1342"/>
      <c r="H5160" s="1342"/>
      <c r="I5160" s="1342"/>
      <c r="J5160" s="1342"/>
      <c r="K5160" s="1342"/>
    </row>
    <row r="5161" spans="2:11" ht="14" hidden="1">
      <c r="B5161" s="1342"/>
      <c r="C5161" s="1342"/>
      <c r="D5161" s="1342"/>
      <c r="E5161" s="1342"/>
      <c r="F5161" s="1342"/>
      <c r="G5161" s="1342"/>
      <c r="H5161" s="1342"/>
      <c r="I5161" s="1342"/>
      <c r="J5161" s="1342"/>
      <c r="K5161" s="1342"/>
    </row>
    <row r="5162" spans="2:11" ht="14" hidden="1">
      <c r="B5162" s="1342"/>
      <c r="C5162" s="1342"/>
      <c r="D5162" s="1342"/>
      <c r="E5162" s="1342"/>
      <c r="F5162" s="1342"/>
      <c r="G5162" s="1342"/>
      <c r="H5162" s="1342"/>
      <c r="I5162" s="1342"/>
      <c r="J5162" s="1342"/>
      <c r="K5162" s="1342"/>
    </row>
    <row r="5163" spans="2:11" ht="14" hidden="1">
      <c r="B5163" s="1342"/>
      <c r="C5163" s="1342"/>
      <c r="D5163" s="1342"/>
      <c r="E5163" s="1342"/>
      <c r="F5163" s="1342"/>
      <c r="G5163" s="1342"/>
      <c r="H5163" s="1342"/>
      <c r="I5163" s="1342"/>
      <c r="J5163" s="1342"/>
      <c r="K5163" s="1342"/>
    </row>
    <row r="5164" spans="2:11" ht="14" hidden="1">
      <c r="B5164" s="1342"/>
      <c r="C5164" s="1342"/>
      <c r="D5164" s="1342"/>
      <c r="E5164" s="1342"/>
      <c r="F5164" s="1342"/>
      <c r="G5164" s="1342"/>
      <c r="H5164" s="1342"/>
      <c r="I5164" s="1342"/>
      <c r="J5164" s="1342"/>
      <c r="K5164" s="1342"/>
    </row>
    <row r="5165" spans="2:11" ht="14" hidden="1">
      <c r="B5165" s="1342"/>
      <c r="C5165" s="1342"/>
      <c r="D5165" s="1342"/>
      <c r="E5165" s="1342"/>
      <c r="F5165" s="1342"/>
      <c r="G5165" s="1342"/>
      <c r="H5165" s="1342"/>
      <c r="I5165" s="1342"/>
      <c r="J5165" s="1342"/>
      <c r="K5165" s="1342"/>
    </row>
    <row r="5166" spans="2:11" ht="14" hidden="1">
      <c r="B5166" s="1342"/>
      <c r="C5166" s="1342"/>
      <c r="D5166" s="1342"/>
      <c r="E5166" s="1342"/>
      <c r="F5166" s="1342"/>
      <c r="G5166" s="1342"/>
      <c r="H5166" s="1342"/>
      <c r="I5166" s="1342"/>
      <c r="J5166" s="1342"/>
      <c r="K5166" s="1342"/>
    </row>
    <row r="5167" spans="2:11" ht="14" hidden="1">
      <c r="B5167" s="1342"/>
      <c r="C5167" s="1342"/>
      <c r="D5167" s="1342"/>
      <c r="E5167" s="1342"/>
      <c r="F5167" s="1342"/>
      <c r="G5167" s="1342"/>
      <c r="H5167" s="1342"/>
      <c r="I5167" s="1342"/>
      <c r="J5167" s="1342"/>
      <c r="K5167" s="1342"/>
    </row>
    <row r="5168" spans="2:11" ht="14" hidden="1">
      <c r="B5168" s="1342"/>
      <c r="C5168" s="1342"/>
      <c r="D5168" s="1342"/>
      <c r="E5168" s="1342"/>
      <c r="F5168" s="1342"/>
      <c r="G5168" s="1342"/>
      <c r="H5168" s="1342"/>
      <c r="I5168" s="1342"/>
      <c r="J5168" s="1342"/>
      <c r="K5168" s="1342"/>
    </row>
    <row r="5169" spans="2:11" ht="14" hidden="1">
      <c r="B5169" s="1342"/>
      <c r="C5169" s="1342"/>
      <c r="D5169" s="1342"/>
      <c r="E5169" s="1342"/>
      <c r="F5169" s="1342"/>
      <c r="G5169" s="1342"/>
      <c r="H5169" s="1342"/>
      <c r="I5169" s="1342"/>
      <c r="J5169" s="1342"/>
      <c r="K5169" s="1342"/>
    </row>
    <row r="5170" spans="2:11" ht="14" hidden="1">
      <c r="B5170" s="1342"/>
      <c r="C5170" s="1342"/>
      <c r="D5170" s="1342"/>
      <c r="E5170" s="1342"/>
      <c r="F5170" s="1342"/>
      <c r="G5170" s="1342"/>
      <c r="H5170" s="1342"/>
      <c r="I5170" s="1342"/>
      <c r="J5170" s="1342"/>
      <c r="K5170" s="1342"/>
    </row>
    <row r="5171" spans="2:11" ht="14" hidden="1">
      <c r="B5171" s="1342"/>
      <c r="C5171" s="1342"/>
      <c r="D5171" s="1342"/>
      <c r="E5171" s="1342"/>
      <c r="F5171" s="1342"/>
      <c r="G5171" s="1342"/>
      <c r="H5171" s="1342"/>
      <c r="I5171" s="1342"/>
      <c r="J5171" s="1342"/>
      <c r="K5171" s="1342"/>
    </row>
    <row r="5172" spans="2:11" ht="14" hidden="1">
      <c r="B5172" s="1342"/>
      <c r="C5172" s="1342"/>
      <c r="D5172" s="1342"/>
      <c r="E5172" s="1342"/>
      <c r="F5172" s="1342"/>
      <c r="G5172" s="1342"/>
      <c r="H5172" s="1342"/>
      <c r="I5172" s="1342"/>
      <c r="J5172" s="1342"/>
      <c r="K5172" s="1342"/>
    </row>
    <row r="5173" spans="2:11" ht="14" hidden="1">
      <c r="B5173" s="1342"/>
      <c r="C5173" s="1342"/>
      <c r="D5173" s="1342"/>
      <c r="E5173" s="1342"/>
      <c r="F5173" s="1342"/>
      <c r="G5173" s="1342"/>
      <c r="H5173" s="1342"/>
      <c r="I5173" s="1342"/>
      <c r="J5173" s="1342"/>
      <c r="K5173" s="1342"/>
    </row>
    <row r="5174" spans="2:11" ht="14" hidden="1">
      <c r="B5174" s="1342"/>
      <c r="C5174" s="1342"/>
      <c r="D5174" s="1342"/>
      <c r="E5174" s="1342"/>
      <c r="F5174" s="1342"/>
      <c r="G5174" s="1342"/>
      <c r="H5174" s="1342"/>
      <c r="I5174" s="1342"/>
      <c r="J5174" s="1342"/>
      <c r="K5174" s="1342"/>
    </row>
    <row r="5175" spans="2:11" ht="14" hidden="1">
      <c r="B5175" s="1342"/>
      <c r="C5175" s="1342"/>
      <c r="D5175" s="1342"/>
      <c r="E5175" s="1342"/>
      <c r="F5175" s="1342"/>
      <c r="G5175" s="1342"/>
      <c r="H5175" s="1342"/>
      <c r="I5175" s="1342"/>
      <c r="J5175" s="1342"/>
      <c r="K5175" s="1342"/>
    </row>
    <row r="5176" spans="2:11" ht="14" hidden="1">
      <c r="B5176" s="1342"/>
      <c r="C5176" s="1342"/>
      <c r="D5176" s="1342"/>
      <c r="E5176" s="1342"/>
      <c r="F5176" s="1342"/>
      <c r="G5176" s="1342"/>
      <c r="H5176" s="1342"/>
      <c r="I5176" s="1342"/>
      <c r="J5176" s="1342"/>
      <c r="K5176" s="1342"/>
    </row>
    <row r="5177" spans="2:11" ht="14" hidden="1">
      <c r="B5177" s="1342"/>
      <c r="C5177" s="1342"/>
      <c r="D5177" s="1342"/>
      <c r="E5177" s="1342"/>
      <c r="F5177" s="1342"/>
      <c r="G5177" s="1342"/>
      <c r="H5177" s="1342"/>
      <c r="I5177" s="1342"/>
      <c r="J5177" s="1342"/>
      <c r="K5177" s="1342"/>
    </row>
    <row r="5178" spans="2:11" ht="14" hidden="1">
      <c r="B5178" s="1342"/>
      <c r="C5178" s="1342"/>
      <c r="D5178" s="1342"/>
      <c r="E5178" s="1342"/>
      <c r="F5178" s="1342"/>
      <c r="G5178" s="1342"/>
      <c r="H5178" s="1342"/>
      <c r="I5178" s="1342"/>
      <c r="J5178" s="1342"/>
      <c r="K5178" s="1342"/>
    </row>
    <row r="5179" spans="2:11" ht="14" hidden="1">
      <c r="B5179" s="1342"/>
      <c r="C5179" s="1342"/>
      <c r="D5179" s="1342"/>
      <c r="E5179" s="1342"/>
      <c r="F5179" s="1342"/>
      <c r="G5179" s="1342"/>
      <c r="H5179" s="1342"/>
      <c r="I5179" s="1342"/>
      <c r="J5179" s="1342"/>
      <c r="K5179" s="1342"/>
    </row>
    <row r="5180" spans="2:11" ht="14" hidden="1">
      <c r="B5180" s="1342"/>
      <c r="C5180" s="1342"/>
      <c r="D5180" s="1342"/>
      <c r="E5180" s="1342"/>
      <c r="F5180" s="1342"/>
      <c r="G5180" s="1342"/>
      <c r="H5180" s="1342"/>
      <c r="I5180" s="1342"/>
      <c r="J5180" s="1342"/>
      <c r="K5180" s="1342"/>
    </row>
    <row r="5181" spans="2:11" ht="14" hidden="1">
      <c r="B5181" s="1342"/>
      <c r="C5181" s="1342"/>
      <c r="D5181" s="1342"/>
      <c r="E5181" s="1342"/>
      <c r="F5181" s="1342"/>
      <c r="G5181" s="1342"/>
      <c r="H5181" s="1342"/>
      <c r="I5181" s="1342"/>
      <c r="J5181" s="1342"/>
      <c r="K5181" s="1342"/>
    </row>
    <row r="5182" spans="2:11" ht="14" hidden="1">
      <c r="B5182" s="1342"/>
      <c r="C5182" s="1342"/>
      <c r="D5182" s="1342"/>
      <c r="E5182" s="1342"/>
      <c r="F5182" s="1342"/>
      <c r="G5182" s="1342"/>
      <c r="H5182" s="1342"/>
      <c r="I5182" s="1342"/>
      <c r="J5182" s="1342"/>
      <c r="K5182" s="1342"/>
    </row>
    <row r="5183" spans="2:11" ht="14" hidden="1">
      <c r="B5183" s="1342"/>
      <c r="C5183" s="1342"/>
      <c r="D5183" s="1342"/>
      <c r="E5183" s="1342"/>
      <c r="F5183" s="1342"/>
      <c r="G5183" s="1342"/>
      <c r="H5183" s="1342"/>
      <c r="I5183" s="1342"/>
      <c r="J5183" s="1342"/>
      <c r="K5183" s="1342"/>
    </row>
    <row r="5184" spans="2:11" ht="14" hidden="1">
      <c r="B5184" s="1342"/>
      <c r="C5184" s="1342"/>
      <c r="D5184" s="1342"/>
      <c r="E5184" s="1342"/>
      <c r="F5184" s="1342"/>
      <c r="G5184" s="1342"/>
      <c r="H5184" s="1342"/>
      <c r="I5184" s="1342"/>
      <c r="J5184" s="1342"/>
      <c r="K5184" s="1342"/>
    </row>
    <row r="5185" spans="2:11" ht="14" hidden="1">
      <c r="B5185" s="1342"/>
      <c r="C5185" s="1342"/>
      <c r="D5185" s="1342"/>
      <c r="E5185" s="1342"/>
      <c r="F5185" s="1342"/>
      <c r="G5185" s="1342"/>
      <c r="H5185" s="1342"/>
      <c r="I5185" s="1342"/>
      <c r="J5185" s="1342"/>
      <c r="K5185" s="1342"/>
    </row>
    <row r="5186" spans="2:11" ht="14" hidden="1">
      <c r="B5186" s="1342"/>
      <c r="C5186" s="1342"/>
      <c r="D5186" s="1342"/>
      <c r="E5186" s="1342"/>
      <c r="F5186" s="1342"/>
      <c r="G5186" s="1342"/>
      <c r="H5186" s="1342"/>
      <c r="I5186" s="1342"/>
      <c r="J5186" s="1342"/>
      <c r="K5186" s="1342"/>
    </row>
    <row r="5187" spans="2:11" ht="14" hidden="1">
      <c r="B5187" s="1342"/>
      <c r="C5187" s="1342"/>
      <c r="D5187" s="1342"/>
      <c r="E5187" s="1342"/>
      <c r="F5187" s="1342"/>
      <c r="G5187" s="1342"/>
      <c r="H5187" s="1342"/>
      <c r="I5187" s="1342"/>
      <c r="J5187" s="1342"/>
      <c r="K5187" s="1342"/>
    </row>
    <row r="5188" spans="2:11" ht="14" hidden="1">
      <c r="B5188" s="1342"/>
      <c r="C5188" s="1342"/>
      <c r="D5188" s="1342"/>
      <c r="E5188" s="1342"/>
      <c r="F5188" s="1342"/>
      <c r="G5188" s="1342"/>
      <c r="H5188" s="1342"/>
      <c r="I5188" s="1342"/>
      <c r="J5188" s="1342"/>
      <c r="K5188" s="1342"/>
    </row>
    <row r="5189" spans="2:11" ht="14" hidden="1">
      <c r="B5189" s="1342"/>
      <c r="C5189" s="1342"/>
      <c r="D5189" s="1342"/>
      <c r="E5189" s="1342"/>
      <c r="F5189" s="1342"/>
      <c r="G5189" s="1342"/>
      <c r="H5189" s="1342"/>
      <c r="I5189" s="1342"/>
      <c r="J5189" s="1342"/>
      <c r="K5189" s="1342"/>
    </row>
    <row r="5190" spans="2:11" ht="14" hidden="1">
      <c r="B5190" s="1342"/>
      <c r="C5190" s="1342"/>
      <c r="D5190" s="1342"/>
      <c r="E5190" s="1342"/>
      <c r="F5190" s="1342"/>
      <c r="G5190" s="1342"/>
      <c r="H5190" s="1342"/>
      <c r="I5190" s="1342"/>
      <c r="J5190" s="1342"/>
      <c r="K5190" s="1342"/>
    </row>
    <row r="5191" spans="2:11" ht="14" hidden="1">
      <c r="B5191" s="1342"/>
      <c r="C5191" s="1342"/>
      <c r="D5191" s="1342"/>
      <c r="E5191" s="1342"/>
      <c r="F5191" s="1342"/>
      <c r="G5191" s="1342"/>
      <c r="H5191" s="1342"/>
      <c r="I5191" s="1342"/>
      <c r="J5191" s="1342"/>
      <c r="K5191" s="1342"/>
    </row>
    <row r="5192" spans="2:11" ht="14" hidden="1">
      <c r="B5192" s="1342"/>
      <c r="C5192" s="1342"/>
      <c r="D5192" s="1342"/>
      <c r="E5192" s="1342"/>
      <c r="F5192" s="1342"/>
      <c r="G5192" s="1342"/>
      <c r="H5192" s="1342"/>
      <c r="I5192" s="1342"/>
      <c r="J5192" s="1342"/>
      <c r="K5192" s="1342"/>
    </row>
    <row r="5193" spans="2:11" ht="14" hidden="1">
      <c r="B5193" s="1342"/>
      <c r="C5193" s="1342"/>
      <c r="D5193" s="1342"/>
      <c r="E5193" s="1342"/>
      <c r="F5193" s="1342"/>
      <c r="G5193" s="1342"/>
      <c r="H5193" s="1342"/>
      <c r="I5193" s="1342"/>
      <c r="J5193" s="1342"/>
      <c r="K5193" s="1342"/>
    </row>
    <row r="5194" spans="2:11" ht="14" hidden="1">
      <c r="B5194" s="1342"/>
      <c r="C5194" s="1342"/>
      <c r="D5194" s="1342"/>
      <c r="E5194" s="1342"/>
      <c r="F5194" s="1342"/>
      <c r="G5194" s="1342"/>
      <c r="H5194" s="1342"/>
      <c r="I5194" s="1342"/>
      <c r="J5194" s="1342"/>
      <c r="K5194" s="1342"/>
    </row>
    <row r="5195" spans="2:11" ht="14" hidden="1">
      <c r="B5195" s="1342"/>
      <c r="C5195" s="1342"/>
      <c r="D5195" s="1342"/>
      <c r="E5195" s="1342"/>
      <c r="F5195" s="1342"/>
      <c r="G5195" s="1342"/>
      <c r="H5195" s="1342"/>
      <c r="I5195" s="1342"/>
      <c r="J5195" s="1342"/>
      <c r="K5195" s="1342"/>
    </row>
    <row r="5196" spans="2:11" ht="14" hidden="1">
      <c r="B5196" s="1342"/>
      <c r="C5196" s="1342"/>
      <c r="D5196" s="1342"/>
      <c r="E5196" s="1342"/>
      <c r="F5196" s="1342"/>
      <c r="G5196" s="1342"/>
      <c r="H5196" s="1342"/>
      <c r="I5196" s="1342"/>
      <c r="J5196" s="1342"/>
      <c r="K5196" s="1342"/>
    </row>
    <row r="5197" spans="2:11" ht="14" hidden="1">
      <c r="B5197" s="1342"/>
      <c r="C5197" s="1342"/>
      <c r="D5197" s="1342"/>
      <c r="E5197" s="1342"/>
      <c r="F5197" s="1342"/>
      <c r="G5197" s="1342"/>
      <c r="H5197" s="1342"/>
      <c r="I5197" s="1342"/>
      <c r="J5197" s="1342"/>
      <c r="K5197" s="1342"/>
    </row>
    <row r="5198" spans="2:11" ht="14" hidden="1">
      <c r="B5198" s="1342"/>
      <c r="C5198" s="1342"/>
      <c r="D5198" s="1342"/>
      <c r="E5198" s="1342"/>
      <c r="F5198" s="1342"/>
      <c r="G5198" s="1342"/>
      <c r="H5198" s="1342"/>
      <c r="I5198" s="1342"/>
      <c r="J5198" s="1342"/>
      <c r="K5198" s="1342"/>
    </row>
    <row r="5199" spans="2:11" ht="14" hidden="1">
      <c r="B5199" s="1342"/>
      <c r="C5199" s="1342"/>
      <c r="D5199" s="1342"/>
      <c r="E5199" s="1342"/>
      <c r="F5199" s="1342"/>
      <c r="G5199" s="1342"/>
      <c r="H5199" s="1342"/>
      <c r="I5199" s="1342"/>
      <c r="J5199" s="1342"/>
      <c r="K5199" s="1342"/>
    </row>
    <row r="5200" spans="2:11" ht="14" hidden="1">
      <c r="B5200" s="1342"/>
      <c r="C5200" s="1342"/>
      <c r="D5200" s="1342"/>
      <c r="E5200" s="1342"/>
      <c r="F5200" s="1342"/>
      <c r="G5200" s="1342"/>
      <c r="H5200" s="1342"/>
      <c r="I5200" s="1342"/>
      <c r="J5200" s="1342"/>
      <c r="K5200" s="1342"/>
    </row>
    <row r="5201" spans="2:11" ht="14" hidden="1">
      <c r="B5201" s="1342"/>
      <c r="C5201" s="1342"/>
      <c r="D5201" s="1342"/>
      <c r="E5201" s="1342"/>
      <c r="F5201" s="1342"/>
      <c r="G5201" s="1342"/>
      <c r="H5201" s="1342"/>
      <c r="I5201" s="1342"/>
      <c r="J5201" s="1342"/>
      <c r="K5201" s="1342"/>
    </row>
    <row r="5202" spans="2:11" ht="14" hidden="1">
      <c r="B5202" s="1342"/>
      <c r="C5202" s="1342"/>
      <c r="D5202" s="1342"/>
      <c r="E5202" s="1342"/>
      <c r="F5202" s="1342"/>
      <c r="G5202" s="1342"/>
      <c r="H5202" s="1342"/>
      <c r="I5202" s="1342"/>
      <c r="J5202" s="1342"/>
      <c r="K5202" s="1342"/>
    </row>
    <row r="5203" spans="2:11" ht="14" hidden="1">
      <c r="B5203" s="1342"/>
      <c r="C5203" s="1342"/>
      <c r="D5203" s="1342"/>
      <c r="E5203" s="1342"/>
      <c r="F5203" s="1342"/>
      <c r="G5203" s="1342"/>
      <c r="H5203" s="1342"/>
      <c r="I5203" s="1342"/>
      <c r="J5203" s="1342"/>
      <c r="K5203" s="1342"/>
    </row>
    <row r="5204" spans="2:11" ht="14" hidden="1">
      <c r="B5204" s="1342"/>
      <c r="C5204" s="1342"/>
      <c r="D5204" s="1342"/>
      <c r="E5204" s="1342"/>
      <c r="F5204" s="1342"/>
      <c r="G5204" s="1342"/>
      <c r="H5204" s="1342"/>
      <c r="I5204" s="1342"/>
      <c r="J5204" s="1342"/>
      <c r="K5204" s="1342"/>
    </row>
    <row r="5205" spans="2:11" ht="14" hidden="1">
      <c r="B5205" s="1342"/>
      <c r="C5205" s="1342"/>
      <c r="D5205" s="1342"/>
      <c r="E5205" s="1342"/>
      <c r="F5205" s="1342"/>
      <c r="G5205" s="1342"/>
      <c r="H5205" s="1342"/>
      <c r="I5205" s="1342"/>
      <c r="J5205" s="1342"/>
      <c r="K5205" s="1342"/>
    </row>
    <row r="5206" spans="2:11" ht="14" hidden="1">
      <c r="B5206" s="1342"/>
      <c r="C5206" s="1342"/>
      <c r="D5206" s="1342"/>
      <c r="E5206" s="1342"/>
      <c r="F5206" s="1342"/>
      <c r="G5206" s="1342"/>
      <c r="H5206" s="1342"/>
      <c r="I5206" s="1342"/>
      <c r="J5206" s="1342"/>
      <c r="K5206" s="1342"/>
    </row>
    <row r="5207" spans="2:11" ht="14" hidden="1">
      <c r="B5207" s="1342"/>
      <c r="C5207" s="1342"/>
      <c r="D5207" s="1342"/>
      <c r="E5207" s="1342"/>
      <c r="F5207" s="1342"/>
      <c r="G5207" s="1342"/>
      <c r="H5207" s="1342"/>
      <c r="I5207" s="1342"/>
      <c r="J5207" s="1342"/>
      <c r="K5207" s="1342"/>
    </row>
    <row r="5208" spans="2:11" ht="14" hidden="1">
      <c r="B5208" s="1342"/>
      <c r="C5208" s="1342"/>
      <c r="D5208" s="1342"/>
      <c r="E5208" s="1342"/>
      <c r="F5208" s="1342"/>
      <c r="G5208" s="1342"/>
      <c r="H5208" s="1342"/>
      <c r="I5208" s="1342"/>
      <c r="J5208" s="1342"/>
      <c r="K5208" s="1342"/>
    </row>
    <row r="5209" spans="2:11" ht="14" hidden="1">
      <c r="B5209" s="1342"/>
      <c r="C5209" s="1342"/>
      <c r="D5209" s="1342"/>
      <c r="E5209" s="1342"/>
      <c r="F5209" s="1342"/>
      <c r="G5209" s="1342"/>
      <c r="H5209" s="1342"/>
      <c r="I5209" s="1342"/>
      <c r="J5209" s="1342"/>
      <c r="K5209" s="1342"/>
    </row>
    <row r="5210" spans="2:11" ht="14" hidden="1">
      <c r="B5210" s="1342"/>
      <c r="C5210" s="1342"/>
      <c r="D5210" s="1342"/>
      <c r="E5210" s="1342"/>
      <c r="F5210" s="1342"/>
      <c r="G5210" s="1342"/>
      <c r="H5210" s="1342"/>
      <c r="I5210" s="1342"/>
      <c r="J5210" s="1342"/>
      <c r="K5210" s="1342"/>
    </row>
    <row r="5211" spans="2:11" ht="14" hidden="1">
      <c r="B5211" s="1342"/>
      <c r="C5211" s="1342"/>
      <c r="D5211" s="1342"/>
      <c r="E5211" s="1342"/>
      <c r="F5211" s="1342"/>
      <c r="G5211" s="1342"/>
      <c r="H5211" s="1342"/>
      <c r="I5211" s="1342"/>
      <c r="J5211" s="1342"/>
      <c r="K5211" s="1342"/>
    </row>
    <row r="5212" spans="2:11" ht="14" hidden="1">
      <c r="B5212" s="1342"/>
      <c r="C5212" s="1342"/>
      <c r="D5212" s="1342"/>
      <c r="E5212" s="1342"/>
      <c r="F5212" s="1342"/>
      <c r="G5212" s="1342"/>
      <c r="H5212" s="1342"/>
      <c r="I5212" s="1342"/>
      <c r="J5212" s="1342"/>
      <c r="K5212" s="1342"/>
    </row>
    <row r="5213" spans="2:11" ht="14" hidden="1">
      <c r="B5213" s="1342"/>
      <c r="C5213" s="1342"/>
      <c r="D5213" s="1342"/>
      <c r="E5213" s="1342"/>
      <c r="F5213" s="1342"/>
      <c r="G5213" s="1342"/>
      <c r="H5213" s="1342"/>
      <c r="I5213" s="1342"/>
      <c r="J5213" s="1342"/>
      <c r="K5213" s="1342"/>
    </row>
    <row r="5214" spans="2:11" ht="14" hidden="1">
      <c r="B5214" s="1342"/>
      <c r="C5214" s="1342"/>
      <c r="D5214" s="1342"/>
      <c r="E5214" s="1342"/>
      <c r="F5214" s="1342"/>
      <c r="G5214" s="1342"/>
      <c r="H5214" s="1342"/>
      <c r="I5214" s="1342"/>
      <c r="J5214" s="1342"/>
      <c r="K5214" s="1342"/>
    </row>
    <row r="5215" spans="2:11" ht="14" hidden="1">
      <c r="B5215" s="1342"/>
      <c r="C5215" s="1342"/>
      <c r="D5215" s="1342"/>
      <c r="E5215" s="1342"/>
      <c r="F5215" s="1342"/>
      <c r="G5215" s="1342"/>
      <c r="H5215" s="1342"/>
      <c r="I5215" s="1342"/>
      <c r="J5215" s="1342"/>
      <c r="K5215" s="1342"/>
    </row>
    <row r="5216" spans="2:11" ht="14" hidden="1">
      <c r="B5216" s="1342"/>
      <c r="C5216" s="1342"/>
      <c r="D5216" s="1342"/>
      <c r="E5216" s="1342"/>
      <c r="F5216" s="1342"/>
      <c r="G5216" s="1342"/>
      <c r="H5216" s="1342"/>
      <c r="I5216" s="1342"/>
      <c r="J5216" s="1342"/>
      <c r="K5216" s="1342"/>
    </row>
    <row r="5217" spans="2:11" ht="14" hidden="1">
      <c r="B5217" s="1342"/>
      <c r="C5217" s="1342"/>
      <c r="D5217" s="1342"/>
      <c r="E5217" s="1342"/>
      <c r="F5217" s="1342"/>
      <c r="G5217" s="1342"/>
      <c r="H5217" s="1342"/>
      <c r="I5217" s="1342"/>
      <c r="J5217" s="1342"/>
      <c r="K5217" s="1342"/>
    </row>
    <row r="5218" spans="2:11" ht="14" hidden="1">
      <c r="B5218" s="1342"/>
      <c r="C5218" s="1342"/>
      <c r="D5218" s="1342"/>
      <c r="E5218" s="1342"/>
      <c r="F5218" s="1342"/>
      <c r="G5218" s="1342"/>
      <c r="H5218" s="1342"/>
      <c r="I5218" s="1342"/>
      <c r="J5218" s="1342"/>
      <c r="K5218" s="1342"/>
    </row>
    <row r="5219" spans="2:11" ht="14" hidden="1">
      <c r="B5219" s="1342"/>
      <c r="C5219" s="1342"/>
      <c r="D5219" s="1342"/>
      <c r="E5219" s="1342"/>
      <c r="F5219" s="1342"/>
      <c r="G5219" s="1342"/>
      <c r="H5219" s="1342"/>
      <c r="I5219" s="1342"/>
      <c r="J5219" s="1342"/>
      <c r="K5219" s="1342"/>
    </row>
    <row r="5220" spans="2:11" ht="14" hidden="1">
      <c r="B5220" s="1342"/>
      <c r="C5220" s="1342"/>
      <c r="D5220" s="1342"/>
      <c r="E5220" s="1342"/>
      <c r="F5220" s="1342"/>
      <c r="G5220" s="1342"/>
      <c r="H5220" s="1342"/>
      <c r="I5220" s="1342"/>
      <c r="J5220" s="1342"/>
      <c r="K5220" s="1342"/>
    </row>
    <row r="5221" spans="2:11" ht="14" hidden="1">
      <c r="B5221" s="1342"/>
      <c r="C5221" s="1342"/>
      <c r="D5221" s="1342"/>
      <c r="E5221" s="1342"/>
      <c r="F5221" s="1342"/>
      <c r="G5221" s="1342"/>
      <c r="H5221" s="1342"/>
      <c r="I5221" s="1342"/>
      <c r="J5221" s="1342"/>
      <c r="K5221" s="1342"/>
    </row>
    <row r="5222" spans="2:11" ht="14" hidden="1">
      <c r="B5222" s="1342"/>
      <c r="C5222" s="1342"/>
      <c r="D5222" s="1342"/>
      <c r="E5222" s="1342"/>
      <c r="F5222" s="1342"/>
      <c r="G5222" s="1342"/>
      <c r="H5222" s="1342"/>
      <c r="I5222" s="1342"/>
      <c r="J5222" s="1342"/>
      <c r="K5222" s="1342"/>
    </row>
    <row r="5223" spans="2:11" ht="14" hidden="1">
      <c r="B5223" s="1342"/>
      <c r="C5223" s="1342"/>
      <c r="D5223" s="1342"/>
      <c r="E5223" s="1342"/>
      <c r="F5223" s="1342"/>
      <c r="G5223" s="1342"/>
      <c r="H5223" s="1342"/>
      <c r="I5223" s="1342"/>
      <c r="J5223" s="1342"/>
      <c r="K5223" s="1342"/>
    </row>
    <row r="5224" spans="2:11" ht="14" hidden="1">
      <c r="B5224" s="1342"/>
      <c r="C5224" s="1342"/>
      <c r="D5224" s="1342"/>
      <c r="E5224" s="1342"/>
      <c r="F5224" s="1342"/>
      <c r="G5224" s="1342"/>
      <c r="H5224" s="1342"/>
      <c r="I5224" s="1342"/>
      <c r="J5224" s="1342"/>
      <c r="K5224" s="1342"/>
    </row>
    <row r="5225" spans="2:11" ht="14" hidden="1">
      <c r="B5225" s="1342"/>
      <c r="C5225" s="1342"/>
      <c r="D5225" s="1342"/>
      <c r="E5225" s="1342"/>
      <c r="F5225" s="1342"/>
      <c r="G5225" s="1342"/>
      <c r="H5225" s="1342"/>
      <c r="I5225" s="1342"/>
      <c r="J5225" s="1342"/>
      <c r="K5225" s="1342"/>
    </row>
    <row r="5226" spans="2:11" ht="14" hidden="1">
      <c r="B5226" s="1342"/>
      <c r="C5226" s="1342"/>
      <c r="D5226" s="1342"/>
      <c r="E5226" s="1342"/>
      <c r="F5226" s="1342"/>
      <c r="G5226" s="1342"/>
      <c r="H5226" s="1342"/>
      <c r="I5226" s="1342"/>
      <c r="J5226" s="1342"/>
      <c r="K5226" s="1342"/>
    </row>
    <row r="5227" spans="2:11" ht="14" hidden="1">
      <c r="B5227" s="1342"/>
      <c r="C5227" s="1342"/>
      <c r="D5227" s="1342"/>
      <c r="E5227" s="1342"/>
      <c r="F5227" s="1342"/>
      <c r="G5227" s="1342"/>
      <c r="H5227" s="1342"/>
      <c r="I5227" s="1342"/>
      <c r="J5227" s="1342"/>
      <c r="K5227" s="1342"/>
    </row>
    <row r="5228" spans="2:11" ht="14" hidden="1">
      <c r="B5228" s="1342"/>
      <c r="C5228" s="1342"/>
      <c r="D5228" s="1342"/>
      <c r="E5228" s="1342"/>
      <c r="F5228" s="1342"/>
      <c r="G5228" s="1342"/>
      <c r="H5228" s="1342"/>
      <c r="I5228" s="1342"/>
      <c r="J5228" s="1342"/>
      <c r="K5228" s="1342"/>
    </row>
    <row r="5229" spans="2:11" ht="14" hidden="1">
      <c r="B5229" s="1342"/>
      <c r="C5229" s="1342"/>
      <c r="D5229" s="1342"/>
      <c r="E5229" s="1342"/>
      <c r="F5229" s="1342"/>
      <c r="G5229" s="1342"/>
      <c r="H5229" s="1342"/>
      <c r="I5229" s="1342"/>
      <c r="J5229" s="1342"/>
      <c r="K5229" s="1342"/>
    </row>
    <row r="5230" spans="2:11" ht="14" hidden="1">
      <c r="B5230" s="1342"/>
      <c r="C5230" s="1342"/>
      <c r="D5230" s="1342"/>
      <c r="E5230" s="1342"/>
      <c r="F5230" s="1342"/>
      <c r="G5230" s="1342"/>
      <c r="H5230" s="1342"/>
      <c r="I5230" s="1342"/>
      <c r="J5230" s="1342"/>
      <c r="K5230" s="1342"/>
    </row>
    <row r="5231" spans="2:11" ht="14" hidden="1">
      <c r="B5231" s="1342"/>
      <c r="C5231" s="1342"/>
      <c r="D5231" s="1342"/>
      <c r="E5231" s="1342"/>
      <c r="F5231" s="1342"/>
      <c r="G5231" s="1342"/>
      <c r="H5231" s="1342"/>
      <c r="I5231" s="1342"/>
      <c r="J5231" s="1342"/>
      <c r="K5231" s="1342"/>
    </row>
    <row r="5232" spans="2:11" ht="14" hidden="1">
      <c r="B5232" s="1342"/>
      <c r="C5232" s="1342"/>
      <c r="D5232" s="1342"/>
      <c r="E5232" s="1342"/>
      <c r="F5232" s="1342"/>
      <c r="G5232" s="1342"/>
      <c r="H5232" s="1342"/>
      <c r="I5232" s="1342"/>
      <c r="J5232" s="1342"/>
      <c r="K5232" s="1342"/>
    </row>
    <row r="5233" spans="2:11" ht="14" hidden="1">
      <c r="B5233" s="1342"/>
      <c r="C5233" s="1342"/>
      <c r="D5233" s="1342"/>
      <c r="E5233" s="1342"/>
      <c r="F5233" s="1342"/>
      <c r="G5233" s="1342"/>
      <c r="H5233" s="1342"/>
      <c r="I5233" s="1342"/>
      <c r="J5233" s="1342"/>
      <c r="K5233" s="1342"/>
    </row>
    <row r="5234" spans="2:11" ht="14" hidden="1">
      <c r="B5234" s="1342"/>
      <c r="C5234" s="1342"/>
      <c r="D5234" s="1342"/>
      <c r="E5234" s="1342"/>
      <c r="F5234" s="1342"/>
      <c r="G5234" s="1342"/>
      <c r="H5234" s="1342"/>
      <c r="I5234" s="1342"/>
      <c r="J5234" s="1342"/>
      <c r="K5234" s="1342"/>
    </row>
    <row r="5235" spans="2:11" ht="14" hidden="1">
      <c r="B5235" s="1342"/>
      <c r="C5235" s="1342"/>
      <c r="D5235" s="1342"/>
      <c r="E5235" s="1342"/>
      <c r="F5235" s="1342"/>
      <c r="G5235" s="1342"/>
      <c r="H5235" s="1342"/>
      <c r="I5235" s="1342"/>
      <c r="J5235" s="1342"/>
      <c r="K5235" s="1342"/>
    </row>
    <row r="5236" spans="2:11" ht="14" hidden="1">
      <c r="B5236" s="1342"/>
      <c r="C5236" s="1342"/>
      <c r="D5236" s="1342"/>
      <c r="E5236" s="1342"/>
      <c r="F5236" s="1342"/>
      <c r="G5236" s="1342"/>
      <c r="H5236" s="1342"/>
      <c r="I5236" s="1342"/>
      <c r="J5236" s="1342"/>
      <c r="K5236" s="1342"/>
    </row>
    <row r="5237" spans="2:11" ht="14" hidden="1">
      <c r="B5237" s="1342"/>
      <c r="C5237" s="1342"/>
      <c r="D5237" s="1342"/>
      <c r="E5237" s="1342"/>
      <c r="F5237" s="1342"/>
      <c r="G5237" s="1342"/>
      <c r="H5237" s="1342"/>
      <c r="I5237" s="1342"/>
      <c r="J5237" s="1342"/>
      <c r="K5237" s="1342"/>
    </row>
    <row r="5238" spans="2:11" ht="14" hidden="1">
      <c r="B5238" s="1342"/>
      <c r="C5238" s="1342"/>
      <c r="D5238" s="1342"/>
      <c r="E5238" s="1342"/>
      <c r="F5238" s="1342"/>
      <c r="G5238" s="1342"/>
      <c r="H5238" s="1342"/>
      <c r="I5238" s="1342"/>
      <c r="J5238" s="1342"/>
      <c r="K5238" s="1342"/>
    </row>
    <row r="5239" spans="2:11" ht="14" hidden="1">
      <c r="B5239" s="1342"/>
      <c r="C5239" s="1342"/>
      <c r="D5239" s="1342"/>
      <c r="E5239" s="1342"/>
      <c r="F5239" s="1342"/>
      <c r="G5239" s="1342"/>
      <c r="H5239" s="1342"/>
      <c r="I5239" s="1342"/>
      <c r="J5239" s="1342"/>
      <c r="K5239" s="1342"/>
    </row>
    <row r="5240" spans="2:11" ht="14" hidden="1">
      <c r="B5240" s="1342"/>
      <c r="C5240" s="1342"/>
      <c r="D5240" s="1342"/>
      <c r="E5240" s="1342"/>
      <c r="F5240" s="1342"/>
      <c r="G5240" s="1342"/>
      <c r="H5240" s="1342"/>
      <c r="I5240" s="1342"/>
      <c r="J5240" s="1342"/>
      <c r="K5240" s="1342"/>
    </row>
    <row r="5241" spans="2:11" ht="14" hidden="1">
      <c r="B5241" s="1342"/>
      <c r="C5241" s="1342"/>
      <c r="D5241" s="1342"/>
      <c r="E5241" s="1342"/>
      <c r="F5241" s="1342"/>
      <c r="G5241" s="1342"/>
      <c r="H5241" s="1342"/>
      <c r="I5241" s="1342"/>
      <c r="J5241" s="1342"/>
      <c r="K5241" s="1342"/>
    </row>
    <row r="5242" spans="2:11" ht="14" hidden="1">
      <c r="B5242" s="1342"/>
      <c r="C5242" s="1342"/>
      <c r="D5242" s="1342"/>
      <c r="E5242" s="1342"/>
      <c r="F5242" s="1342"/>
      <c r="G5242" s="1342"/>
      <c r="H5242" s="1342"/>
      <c r="I5242" s="1342"/>
      <c r="J5242" s="1342"/>
      <c r="K5242" s="1342"/>
    </row>
    <row r="5243" spans="2:11" ht="14" hidden="1">
      <c r="B5243" s="1342"/>
      <c r="C5243" s="1342"/>
      <c r="D5243" s="1342"/>
      <c r="E5243" s="1342"/>
      <c r="F5243" s="1342"/>
      <c r="G5243" s="1342"/>
      <c r="H5243" s="1342"/>
      <c r="I5243" s="1342"/>
      <c r="J5243" s="1342"/>
      <c r="K5243" s="1342"/>
    </row>
    <row r="5244" spans="2:11" ht="14" hidden="1">
      <c r="B5244" s="1342"/>
      <c r="C5244" s="1342"/>
      <c r="D5244" s="1342"/>
      <c r="E5244" s="1342"/>
      <c r="F5244" s="1342"/>
      <c r="G5244" s="1342"/>
      <c r="H5244" s="1342"/>
      <c r="I5244" s="1342"/>
      <c r="J5244" s="1342"/>
      <c r="K5244" s="1342"/>
    </row>
    <row r="5245" spans="2:11" ht="14" hidden="1">
      <c r="B5245" s="1342"/>
      <c r="C5245" s="1342"/>
      <c r="D5245" s="1342"/>
      <c r="E5245" s="1342"/>
      <c r="F5245" s="1342"/>
      <c r="G5245" s="1342"/>
      <c r="H5245" s="1342"/>
      <c r="I5245" s="1342"/>
      <c r="J5245" s="1342"/>
      <c r="K5245" s="1342"/>
    </row>
    <row r="5246" spans="2:11" ht="14" hidden="1">
      <c r="B5246" s="1342"/>
      <c r="C5246" s="1342"/>
      <c r="D5246" s="1342"/>
      <c r="E5246" s="1342"/>
      <c r="F5246" s="1342"/>
      <c r="G5246" s="1342"/>
      <c r="H5246" s="1342"/>
      <c r="I5246" s="1342"/>
      <c r="J5246" s="1342"/>
      <c r="K5246" s="1342"/>
    </row>
    <row r="5247" spans="2:11" ht="14" hidden="1">
      <c r="B5247" s="1342"/>
      <c r="C5247" s="1342"/>
      <c r="D5247" s="1342"/>
      <c r="E5247" s="1342"/>
      <c r="F5247" s="1342"/>
      <c r="G5247" s="1342"/>
      <c r="H5247" s="1342"/>
      <c r="I5247" s="1342"/>
      <c r="J5247" s="1342"/>
      <c r="K5247" s="1342"/>
    </row>
    <row r="5248" spans="2:11" ht="14" hidden="1">
      <c r="B5248" s="1342"/>
      <c r="C5248" s="1342"/>
      <c r="D5248" s="1342"/>
      <c r="E5248" s="1342"/>
      <c r="F5248" s="1342"/>
      <c r="G5248" s="1342"/>
      <c r="H5248" s="1342"/>
      <c r="I5248" s="1342"/>
      <c r="J5248" s="1342"/>
      <c r="K5248" s="1342"/>
    </row>
    <row r="5249" spans="2:11" ht="14" hidden="1">
      <c r="B5249" s="1342"/>
      <c r="C5249" s="1342"/>
      <c r="D5249" s="1342"/>
      <c r="E5249" s="1342"/>
      <c r="F5249" s="1342"/>
      <c r="G5249" s="1342"/>
      <c r="H5249" s="1342"/>
      <c r="I5249" s="1342"/>
      <c r="J5249" s="1342"/>
      <c r="K5249" s="1342"/>
    </row>
    <row r="5250" spans="2:11" ht="14" hidden="1">
      <c r="B5250" s="1342"/>
      <c r="C5250" s="1342"/>
      <c r="D5250" s="1342"/>
      <c r="E5250" s="1342"/>
      <c r="F5250" s="1342"/>
      <c r="G5250" s="1342"/>
      <c r="H5250" s="1342"/>
      <c r="I5250" s="1342"/>
      <c r="J5250" s="1342"/>
      <c r="K5250" s="1342"/>
    </row>
    <row r="5251" spans="2:11" ht="14" hidden="1">
      <c r="B5251" s="1342"/>
      <c r="C5251" s="1342"/>
      <c r="D5251" s="1342"/>
      <c r="E5251" s="1342"/>
      <c r="F5251" s="1342"/>
      <c r="G5251" s="1342"/>
      <c r="H5251" s="1342"/>
      <c r="I5251" s="1342"/>
      <c r="J5251" s="1342"/>
      <c r="K5251" s="1342"/>
    </row>
    <row r="5252" spans="2:11" ht="14" hidden="1">
      <c r="B5252" s="1342"/>
      <c r="C5252" s="1342"/>
      <c r="D5252" s="1342"/>
      <c r="E5252" s="1342"/>
      <c r="F5252" s="1342"/>
      <c r="G5252" s="1342"/>
      <c r="H5252" s="1342"/>
      <c r="I5252" s="1342"/>
      <c r="J5252" s="1342"/>
      <c r="K5252" s="1342"/>
    </row>
    <row r="5253" spans="2:11" ht="14" hidden="1">
      <c r="B5253" s="1342"/>
      <c r="C5253" s="1342"/>
      <c r="D5253" s="1342"/>
      <c r="E5253" s="1342"/>
      <c r="F5253" s="1342"/>
      <c r="G5253" s="1342"/>
      <c r="H5253" s="1342"/>
      <c r="I5253" s="1342"/>
      <c r="J5253" s="1342"/>
      <c r="K5253" s="1342"/>
    </row>
    <row r="5254" spans="2:11" ht="14" hidden="1">
      <c r="B5254" s="1342"/>
      <c r="C5254" s="1342"/>
      <c r="D5254" s="1342"/>
      <c r="E5254" s="1342"/>
      <c r="F5254" s="1342"/>
      <c r="G5254" s="1342"/>
      <c r="H5254" s="1342"/>
      <c r="I5254" s="1342"/>
      <c r="J5254" s="1342"/>
      <c r="K5254" s="1342"/>
    </row>
    <row r="5255" spans="2:11" ht="14" hidden="1">
      <c r="B5255" s="1342"/>
      <c r="C5255" s="1342"/>
      <c r="D5255" s="1342"/>
      <c r="E5255" s="1342"/>
      <c r="F5255" s="1342"/>
      <c r="G5255" s="1342"/>
      <c r="H5255" s="1342"/>
      <c r="I5255" s="1342"/>
      <c r="J5255" s="1342"/>
      <c r="K5255" s="1342"/>
    </row>
    <row r="5256" spans="2:11" ht="14" hidden="1">
      <c r="B5256" s="1342"/>
      <c r="C5256" s="1342"/>
      <c r="D5256" s="1342"/>
      <c r="E5256" s="1342"/>
      <c r="F5256" s="1342"/>
      <c r="G5256" s="1342"/>
      <c r="H5256" s="1342"/>
      <c r="I5256" s="1342"/>
      <c r="J5256" s="1342"/>
      <c r="K5256" s="1342"/>
    </row>
    <row r="5257" spans="2:11" ht="14" hidden="1">
      <c r="B5257" s="1342"/>
      <c r="C5257" s="1342"/>
      <c r="D5257" s="1342"/>
      <c r="E5257" s="1342"/>
      <c r="F5257" s="1342"/>
      <c r="G5257" s="1342"/>
      <c r="H5257" s="1342"/>
      <c r="I5257" s="1342"/>
      <c r="J5257" s="1342"/>
      <c r="K5257" s="1342"/>
    </row>
    <row r="5258" spans="2:11" ht="14" hidden="1">
      <c r="B5258" s="1342"/>
      <c r="C5258" s="1342"/>
      <c r="D5258" s="1342"/>
      <c r="E5258" s="1342"/>
      <c r="F5258" s="1342"/>
      <c r="G5258" s="1342"/>
      <c r="H5258" s="1342"/>
      <c r="I5258" s="1342"/>
      <c r="J5258" s="1342"/>
      <c r="K5258" s="1342"/>
    </row>
    <row r="5259" spans="2:11" ht="14" hidden="1">
      <c r="B5259" s="1342"/>
      <c r="C5259" s="1342"/>
      <c r="D5259" s="1342"/>
      <c r="E5259" s="1342"/>
      <c r="F5259" s="1342"/>
      <c r="G5259" s="1342"/>
      <c r="H5259" s="1342"/>
      <c r="I5259" s="1342"/>
      <c r="J5259" s="1342"/>
      <c r="K5259" s="1342"/>
    </row>
    <row r="5260" spans="2:11" ht="14" hidden="1">
      <c r="B5260" s="1342"/>
      <c r="C5260" s="1342"/>
      <c r="D5260" s="1342"/>
      <c r="E5260" s="1342"/>
      <c r="F5260" s="1342"/>
      <c r="G5260" s="1342"/>
      <c r="H5260" s="1342"/>
      <c r="I5260" s="1342"/>
      <c r="J5260" s="1342"/>
      <c r="K5260" s="1342"/>
    </row>
    <row r="5261" spans="2:11" ht="14" hidden="1">
      <c r="B5261" s="1342"/>
      <c r="C5261" s="1342"/>
      <c r="D5261" s="1342"/>
      <c r="E5261" s="1342"/>
      <c r="F5261" s="1342"/>
      <c r="G5261" s="1342"/>
      <c r="H5261" s="1342"/>
      <c r="I5261" s="1342"/>
      <c r="J5261" s="1342"/>
      <c r="K5261" s="1342"/>
    </row>
    <row r="5262" spans="2:11" ht="14" hidden="1">
      <c r="B5262" s="1342"/>
      <c r="C5262" s="1342"/>
      <c r="D5262" s="1342"/>
      <c r="E5262" s="1342"/>
      <c r="F5262" s="1342"/>
      <c r="G5262" s="1342"/>
      <c r="H5262" s="1342"/>
      <c r="I5262" s="1342"/>
      <c r="J5262" s="1342"/>
      <c r="K5262" s="1342"/>
    </row>
    <row r="5263" spans="2:11" ht="14" hidden="1">
      <c r="B5263" s="1342"/>
      <c r="C5263" s="1342"/>
      <c r="D5263" s="1342"/>
      <c r="E5263" s="1342"/>
      <c r="F5263" s="1342"/>
      <c r="G5263" s="1342"/>
      <c r="H5263" s="1342"/>
      <c r="I5263" s="1342"/>
      <c r="J5263" s="1342"/>
      <c r="K5263" s="1342"/>
    </row>
    <row r="5264" spans="2:11" ht="14" hidden="1">
      <c r="B5264" s="1342"/>
      <c r="C5264" s="1342"/>
      <c r="D5264" s="1342"/>
      <c r="E5264" s="1342"/>
      <c r="F5264" s="1342"/>
      <c r="G5264" s="1342"/>
      <c r="H5264" s="1342"/>
      <c r="I5264" s="1342"/>
      <c r="J5264" s="1342"/>
      <c r="K5264" s="1342"/>
    </row>
    <row r="5265" spans="2:11" ht="14" hidden="1">
      <c r="B5265" s="1342"/>
      <c r="C5265" s="1342"/>
      <c r="D5265" s="1342"/>
      <c r="E5265" s="1342"/>
      <c r="F5265" s="1342"/>
      <c r="G5265" s="1342"/>
      <c r="H5265" s="1342"/>
      <c r="I5265" s="1342"/>
      <c r="J5265" s="1342"/>
      <c r="K5265" s="1342"/>
    </row>
    <row r="5266" spans="2:11" ht="14" hidden="1">
      <c r="B5266" s="1342"/>
      <c r="C5266" s="1342"/>
      <c r="D5266" s="1342"/>
      <c r="E5266" s="1342"/>
      <c r="F5266" s="1342"/>
      <c r="G5266" s="1342"/>
      <c r="H5266" s="1342"/>
      <c r="I5266" s="1342"/>
      <c r="J5266" s="1342"/>
      <c r="K5266" s="1342"/>
    </row>
    <row r="5267" spans="2:11" ht="14" hidden="1">
      <c r="B5267" s="1342"/>
      <c r="C5267" s="1342"/>
      <c r="D5267" s="1342"/>
      <c r="E5267" s="1342"/>
      <c r="F5267" s="1342"/>
      <c r="G5267" s="1342"/>
      <c r="H5267" s="1342"/>
      <c r="I5267" s="1342"/>
      <c r="J5267" s="1342"/>
      <c r="K5267" s="1342"/>
    </row>
    <row r="5268" spans="2:11" ht="14" hidden="1">
      <c r="B5268" s="1342"/>
      <c r="C5268" s="1342"/>
      <c r="D5268" s="1342"/>
      <c r="E5268" s="1342"/>
      <c r="F5268" s="1342"/>
      <c r="G5268" s="1342"/>
      <c r="H5268" s="1342"/>
      <c r="I5268" s="1342"/>
      <c r="J5268" s="1342"/>
      <c r="K5268" s="1342"/>
    </row>
    <row r="5269" spans="2:11" ht="14" hidden="1">
      <c r="B5269" s="1342"/>
      <c r="C5269" s="1342"/>
      <c r="D5269" s="1342"/>
      <c r="E5269" s="1342"/>
      <c r="F5269" s="1342"/>
      <c r="G5269" s="1342"/>
      <c r="H5269" s="1342"/>
      <c r="I5269" s="1342"/>
      <c r="J5269" s="1342"/>
      <c r="K5269" s="1342"/>
    </row>
    <row r="5270" spans="2:11" ht="14" hidden="1">
      <c r="B5270" s="1342"/>
      <c r="C5270" s="1342"/>
      <c r="D5270" s="1342"/>
      <c r="E5270" s="1342"/>
      <c r="F5270" s="1342"/>
      <c r="G5270" s="1342"/>
      <c r="H5270" s="1342"/>
      <c r="I5270" s="1342"/>
      <c r="J5270" s="1342"/>
      <c r="K5270" s="1342"/>
    </row>
    <row r="5271" spans="2:11" ht="14" hidden="1">
      <c r="B5271" s="1342"/>
      <c r="C5271" s="1342"/>
      <c r="D5271" s="1342"/>
      <c r="E5271" s="1342"/>
      <c r="F5271" s="1342"/>
      <c r="G5271" s="1342"/>
      <c r="H5271" s="1342"/>
      <c r="I5271" s="1342"/>
      <c r="J5271" s="1342"/>
      <c r="K5271" s="1342"/>
    </row>
    <row r="5272" spans="2:11" ht="14" hidden="1">
      <c r="B5272" s="1342"/>
      <c r="C5272" s="1342"/>
      <c r="D5272" s="1342"/>
      <c r="E5272" s="1342"/>
      <c r="F5272" s="1342"/>
      <c r="G5272" s="1342"/>
      <c r="H5272" s="1342"/>
      <c r="I5272" s="1342"/>
      <c r="J5272" s="1342"/>
      <c r="K5272" s="1342"/>
    </row>
    <row r="5273" spans="2:11" ht="14" hidden="1">
      <c r="B5273" s="1342"/>
      <c r="C5273" s="1342"/>
      <c r="D5273" s="1342"/>
      <c r="E5273" s="1342"/>
      <c r="F5273" s="1342"/>
      <c r="G5273" s="1342"/>
      <c r="H5273" s="1342"/>
      <c r="I5273" s="1342"/>
      <c r="J5273" s="1342"/>
      <c r="K5273" s="1342"/>
    </row>
    <row r="5274" spans="2:11" ht="14" hidden="1">
      <c r="B5274" s="1342"/>
      <c r="C5274" s="1342"/>
      <c r="D5274" s="1342"/>
      <c r="E5274" s="1342"/>
      <c r="F5274" s="1342"/>
      <c r="G5274" s="1342"/>
      <c r="H5274" s="1342"/>
      <c r="I5274" s="1342"/>
      <c r="J5274" s="1342"/>
      <c r="K5274" s="1342"/>
    </row>
    <row r="5275" spans="2:11" ht="14" hidden="1">
      <c r="B5275" s="1342"/>
      <c r="C5275" s="1342"/>
      <c r="D5275" s="1342"/>
      <c r="E5275" s="1342"/>
      <c r="F5275" s="1342"/>
      <c r="G5275" s="1342"/>
      <c r="H5275" s="1342"/>
      <c r="I5275" s="1342"/>
      <c r="J5275" s="1342"/>
      <c r="K5275" s="1342"/>
    </row>
    <row r="5276" spans="2:11" ht="14" hidden="1">
      <c r="B5276" s="1342"/>
      <c r="C5276" s="1342"/>
      <c r="D5276" s="1342"/>
      <c r="E5276" s="1342"/>
      <c r="F5276" s="1342"/>
      <c r="G5276" s="1342"/>
      <c r="H5276" s="1342"/>
      <c r="I5276" s="1342"/>
      <c r="J5276" s="1342"/>
      <c r="K5276" s="1342"/>
    </row>
    <row r="5277" spans="2:11" ht="14" hidden="1">
      <c r="B5277" s="1342"/>
      <c r="C5277" s="1342"/>
      <c r="D5277" s="1342"/>
      <c r="E5277" s="1342"/>
      <c r="F5277" s="1342"/>
      <c r="G5277" s="1342"/>
      <c r="H5277" s="1342"/>
      <c r="I5277" s="1342"/>
      <c r="J5277" s="1342"/>
      <c r="K5277" s="1342"/>
    </row>
    <row r="5278" spans="2:11" ht="14" hidden="1">
      <c r="B5278" s="1342"/>
      <c r="C5278" s="1342"/>
      <c r="D5278" s="1342"/>
      <c r="E5278" s="1342"/>
      <c r="F5278" s="1342"/>
      <c r="G5278" s="1342"/>
      <c r="H5278" s="1342"/>
      <c r="I5278" s="1342"/>
      <c r="J5278" s="1342"/>
      <c r="K5278" s="1342"/>
    </row>
    <row r="5279" spans="2:11" ht="14" hidden="1">
      <c r="B5279" s="1342"/>
      <c r="C5279" s="1342"/>
      <c r="D5279" s="1342"/>
      <c r="E5279" s="1342"/>
      <c r="F5279" s="1342"/>
      <c r="G5279" s="1342"/>
      <c r="H5279" s="1342"/>
      <c r="I5279" s="1342"/>
      <c r="J5279" s="1342"/>
      <c r="K5279" s="1342"/>
    </row>
    <row r="5280" spans="2:11" ht="14" hidden="1">
      <c r="B5280" s="1342"/>
      <c r="C5280" s="1342"/>
      <c r="D5280" s="1342"/>
      <c r="E5280" s="1342"/>
      <c r="F5280" s="1342"/>
      <c r="G5280" s="1342"/>
      <c r="H5280" s="1342"/>
      <c r="I5280" s="1342"/>
      <c r="J5280" s="1342"/>
      <c r="K5280" s="1342"/>
    </row>
    <row r="5281" spans="2:11" ht="14" hidden="1">
      <c r="B5281" s="1342"/>
      <c r="C5281" s="1342"/>
      <c r="D5281" s="1342"/>
      <c r="E5281" s="1342"/>
      <c r="F5281" s="1342"/>
      <c r="G5281" s="1342"/>
      <c r="H5281" s="1342"/>
      <c r="I5281" s="1342"/>
      <c r="J5281" s="1342"/>
      <c r="K5281" s="1342"/>
    </row>
    <row r="5282" spans="2:11" ht="14" hidden="1">
      <c r="B5282" s="1342"/>
      <c r="C5282" s="1342"/>
      <c r="D5282" s="1342"/>
      <c r="E5282" s="1342"/>
      <c r="F5282" s="1342"/>
      <c r="G5282" s="1342"/>
      <c r="H5282" s="1342"/>
      <c r="I5282" s="1342"/>
      <c r="J5282" s="1342"/>
      <c r="K5282" s="1342"/>
    </row>
    <row r="5283" spans="2:11" ht="14" hidden="1">
      <c r="B5283" s="1342"/>
      <c r="C5283" s="1342"/>
      <c r="D5283" s="1342"/>
      <c r="E5283" s="1342"/>
      <c r="F5283" s="1342"/>
      <c r="G5283" s="1342"/>
      <c r="H5283" s="1342"/>
      <c r="I5283" s="1342"/>
      <c r="J5283" s="1342"/>
      <c r="K5283" s="1342"/>
    </row>
    <row r="5284" spans="2:11" ht="14" hidden="1">
      <c r="B5284" s="1342"/>
      <c r="C5284" s="1342"/>
      <c r="D5284" s="1342"/>
      <c r="E5284" s="1342"/>
      <c r="F5284" s="1342"/>
      <c r="G5284" s="1342"/>
      <c r="H5284" s="1342"/>
      <c r="I5284" s="1342"/>
      <c r="J5284" s="1342"/>
      <c r="K5284" s="1342"/>
    </row>
    <row r="5285" spans="2:11" ht="14" hidden="1">
      <c r="B5285" s="1342"/>
      <c r="C5285" s="1342"/>
      <c r="D5285" s="1342"/>
      <c r="E5285" s="1342"/>
      <c r="F5285" s="1342"/>
      <c r="G5285" s="1342"/>
      <c r="H5285" s="1342"/>
      <c r="I5285" s="1342"/>
      <c r="J5285" s="1342"/>
      <c r="K5285" s="1342"/>
    </row>
    <row r="5286" spans="2:11" ht="14" hidden="1">
      <c r="B5286" s="1342"/>
      <c r="C5286" s="1342"/>
      <c r="D5286" s="1342"/>
      <c r="E5286" s="1342"/>
      <c r="F5286" s="1342"/>
      <c r="G5286" s="1342"/>
      <c r="H5286" s="1342"/>
      <c r="I5286" s="1342"/>
      <c r="J5286" s="1342"/>
      <c r="K5286" s="1342"/>
    </row>
    <row r="5287" spans="2:11" ht="14" hidden="1">
      <c r="B5287" s="1342"/>
      <c r="C5287" s="1342"/>
      <c r="D5287" s="1342"/>
      <c r="E5287" s="1342"/>
      <c r="F5287" s="1342"/>
      <c r="G5287" s="1342"/>
      <c r="H5287" s="1342"/>
      <c r="I5287" s="1342"/>
      <c r="J5287" s="1342"/>
      <c r="K5287" s="1342"/>
    </row>
    <row r="5288" spans="2:11" ht="14" hidden="1">
      <c r="B5288" s="1342"/>
      <c r="C5288" s="1342"/>
      <c r="D5288" s="1342"/>
      <c r="E5288" s="1342"/>
      <c r="F5288" s="1342"/>
      <c r="G5288" s="1342"/>
      <c r="H5288" s="1342"/>
      <c r="I5288" s="1342"/>
      <c r="J5288" s="1342"/>
      <c r="K5288" s="1342"/>
    </row>
    <row r="5289" spans="2:11" ht="14" hidden="1">
      <c r="B5289" s="1342"/>
      <c r="C5289" s="1342"/>
      <c r="D5289" s="1342"/>
      <c r="E5289" s="1342"/>
      <c r="F5289" s="1342"/>
      <c r="G5289" s="1342"/>
      <c r="H5289" s="1342"/>
      <c r="I5289" s="1342"/>
      <c r="J5289" s="1342"/>
      <c r="K5289" s="1342"/>
    </row>
    <row r="5290" spans="2:11" ht="14" hidden="1">
      <c r="B5290" s="1342"/>
      <c r="C5290" s="1342"/>
      <c r="D5290" s="1342"/>
      <c r="E5290" s="1342"/>
      <c r="F5290" s="1342"/>
      <c r="G5290" s="1342"/>
      <c r="H5290" s="1342"/>
      <c r="I5290" s="1342"/>
      <c r="J5290" s="1342"/>
      <c r="K5290" s="1342"/>
    </row>
    <row r="5291" spans="2:11" ht="14" hidden="1">
      <c r="B5291" s="1342"/>
      <c r="C5291" s="1342"/>
      <c r="D5291" s="1342"/>
      <c r="E5291" s="1342"/>
      <c r="F5291" s="1342"/>
      <c r="G5291" s="1342"/>
      <c r="H5291" s="1342"/>
      <c r="I5291" s="1342"/>
      <c r="J5291" s="1342"/>
      <c r="K5291" s="1342"/>
    </row>
    <row r="5292" spans="2:11" ht="14" hidden="1">
      <c r="B5292" s="1342"/>
      <c r="C5292" s="1342"/>
      <c r="D5292" s="1342"/>
      <c r="E5292" s="1342"/>
      <c r="F5292" s="1342"/>
      <c r="G5292" s="1342"/>
      <c r="H5292" s="1342"/>
      <c r="I5292" s="1342"/>
      <c r="J5292" s="1342"/>
      <c r="K5292" s="1342"/>
    </row>
    <row r="5293" spans="2:11" ht="14" hidden="1">
      <c r="B5293" s="1342"/>
      <c r="C5293" s="1342"/>
      <c r="D5293" s="1342"/>
      <c r="E5293" s="1342"/>
      <c r="F5293" s="1342"/>
      <c r="G5293" s="1342"/>
      <c r="H5293" s="1342"/>
      <c r="I5293" s="1342"/>
      <c r="J5293" s="1342"/>
      <c r="K5293" s="1342"/>
    </row>
    <row r="5294" spans="2:11" ht="14" hidden="1">
      <c r="B5294" s="1342"/>
      <c r="C5294" s="1342"/>
      <c r="D5294" s="1342"/>
      <c r="E5294" s="1342"/>
      <c r="F5294" s="1342"/>
      <c r="G5294" s="1342"/>
      <c r="H5294" s="1342"/>
      <c r="I5294" s="1342"/>
      <c r="J5294" s="1342"/>
      <c r="K5294" s="1342"/>
    </row>
    <row r="5295" spans="2:11" ht="14" hidden="1">
      <c r="B5295" s="1342"/>
      <c r="C5295" s="1342"/>
      <c r="D5295" s="1342"/>
      <c r="E5295" s="1342"/>
      <c r="F5295" s="1342"/>
      <c r="G5295" s="1342"/>
      <c r="H5295" s="1342"/>
      <c r="I5295" s="1342"/>
      <c r="J5295" s="1342"/>
      <c r="K5295" s="1342"/>
    </row>
    <row r="5296" spans="2:11" ht="14" hidden="1">
      <c r="B5296" s="1342"/>
      <c r="C5296" s="1342"/>
      <c r="D5296" s="1342"/>
      <c r="E5296" s="1342"/>
      <c r="F5296" s="1342"/>
      <c r="G5296" s="1342"/>
      <c r="H5296" s="1342"/>
      <c r="I5296" s="1342"/>
      <c r="J5296" s="1342"/>
      <c r="K5296" s="1342"/>
    </row>
    <row r="5297" spans="2:11" ht="14" hidden="1">
      <c r="B5297" s="1342"/>
      <c r="C5297" s="1342"/>
      <c r="D5297" s="1342"/>
      <c r="E5297" s="1342"/>
      <c r="F5297" s="1342"/>
      <c r="G5297" s="1342"/>
      <c r="H5297" s="1342"/>
      <c r="I5297" s="1342"/>
      <c r="J5297" s="1342"/>
      <c r="K5297" s="1342"/>
    </row>
    <row r="5298" spans="2:11" ht="14" hidden="1">
      <c r="B5298" s="1342"/>
      <c r="C5298" s="1342"/>
      <c r="D5298" s="1342"/>
      <c r="E5298" s="1342"/>
      <c r="F5298" s="1342"/>
      <c r="G5298" s="1342"/>
      <c r="H5298" s="1342"/>
      <c r="I5298" s="1342"/>
      <c r="J5298" s="1342"/>
      <c r="K5298" s="1342"/>
    </row>
    <row r="5299" spans="2:11" ht="14" hidden="1">
      <c r="B5299" s="1342"/>
      <c r="C5299" s="1342"/>
      <c r="D5299" s="1342"/>
      <c r="E5299" s="1342"/>
      <c r="F5299" s="1342"/>
      <c r="G5299" s="1342"/>
      <c r="H5299" s="1342"/>
      <c r="I5299" s="1342"/>
      <c r="J5299" s="1342"/>
      <c r="K5299" s="1342"/>
    </row>
    <row r="5300" spans="2:11" ht="14" hidden="1">
      <c r="B5300" s="1342"/>
      <c r="C5300" s="1342"/>
      <c r="D5300" s="1342"/>
      <c r="E5300" s="1342"/>
      <c r="F5300" s="1342"/>
      <c r="G5300" s="1342"/>
      <c r="H5300" s="1342"/>
      <c r="I5300" s="1342"/>
      <c r="J5300" s="1342"/>
      <c r="K5300" s="1342"/>
    </row>
    <row r="5301" spans="2:11" ht="14" hidden="1">
      <c r="B5301" s="1342"/>
      <c r="C5301" s="1342"/>
      <c r="D5301" s="1342"/>
      <c r="E5301" s="1342"/>
      <c r="F5301" s="1342"/>
      <c r="G5301" s="1342"/>
      <c r="H5301" s="1342"/>
      <c r="I5301" s="1342"/>
      <c r="J5301" s="1342"/>
      <c r="K5301" s="1342"/>
    </row>
    <row r="5302" spans="2:11" ht="14" hidden="1">
      <c r="B5302" s="1342"/>
      <c r="C5302" s="1342"/>
      <c r="D5302" s="1342"/>
      <c r="E5302" s="1342"/>
      <c r="F5302" s="1342"/>
      <c r="G5302" s="1342"/>
      <c r="H5302" s="1342"/>
      <c r="I5302" s="1342"/>
      <c r="J5302" s="1342"/>
      <c r="K5302" s="1342"/>
    </row>
    <row r="5303" spans="2:11" ht="14" hidden="1">
      <c r="B5303" s="1342"/>
      <c r="C5303" s="1342"/>
      <c r="D5303" s="1342"/>
      <c r="E5303" s="1342"/>
      <c r="F5303" s="1342"/>
      <c r="G5303" s="1342"/>
      <c r="H5303" s="1342"/>
      <c r="I5303" s="1342"/>
      <c r="J5303" s="1342"/>
      <c r="K5303" s="1342"/>
    </row>
    <row r="5304" spans="2:11" ht="14" hidden="1">
      <c r="B5304" s="1342"/>
      <c r="C5304" s="1342"/>
      <c r="D5304" s="1342"/>
      <c r="E5304" s="1342"/>
      <c r="F5304" s="1342"/>
      <c r="G5304" s="1342"/>
      <c r="H5304" s="1342"/>
      <c r="I5304" s="1342"/>
      <c r="J5304" s="1342"/>
      <c r="K5304" s="1342"/>
    </row>
    <row r="5305" spans="2:11" ht="14" hidden="1">
      <c r="B5305" s="1342"/>
      <c r="C5305" s="1342"/>
      <c r="D5305" s="1342"/>
      <c r="E5305" s="1342"/>
      <c r="F5305" s="1342"/>
      <c r="G5305" s="1342"/>
      <c r="H5305" s="1342"/>
      <c r="I5305" s="1342"/>
      <c r="J5305" s="1342"/>
      <c r="K5305" s="1342"/>
    </row>
    <row r="5306" spans="2:11" ht="14" hidden="1">
      <c r="B5306" s="1342"/>
      <c r="C5306" s="1342"/>
      <c r="D5306" s="1342"/>
      <c r="E5306" s="1342"/>
      <c r="F5306" s="1342"/>
      <c r="G5306" s="1342"/>
      <c r="H5306" s="1342"/>
      <c r="I5306" s="1342"/>
      <c r="J5306" s="1342"/>
      <c r="K5306" s="1342"/>
    </row>
    <row r="5307" spans="2:11" ht="14" hidden="1">
      <c r="B5307" s="1342"/>
      <c r="C5307" s="1342"/>
      <c r="D5307" s="1342"/>
      <c r="E5307" s="1342"/>
      <c r="F5307" s="1342"/>
      <c r="G5307" s="1342"/>
      <c r="H5307" s="1342"/>
      <c r="I5307" s="1342"/>
      <c r="J5307" s="1342"/>
      <c r="K5307" s="1342"/>
    </row>
    <row r="5308" spans="2:11" ht="14" hidden="1">
      <c r="B5308" s="1342"/>
      <c r="C5308" s="1342"/>
      <c r="D5308" s="1342"/>
      <c r="E5308" s="1342"/>
      <c r="F5308" s="1342"/>
      <c r="G5308" s="1342"/>
      <c r="H5308" s="1342"/>
      <c r="I5308" s="1342"/>
      <c r="J5308" s="1342"/>
      <c r="K5308" s="1342"/>
    </row>
    <row r="5309" spans="2:11" ht="14" hidden="1">
      <c r="B5309" s="1342"/>
      <c r="C5309" s="1342"/>
      <c r="D5309" s="1342"/>
      <c r="E5309" s="1342"/>
      <c r="F5309" s="1342"/>
      <c r="G5309" s="1342"/>
      <c r="H5309" s="1342"/>
      <c r="I5309" s="1342"/>
      <c r="J5309" s="1342"/>
      <c r="K5309" s="1342"/>
    </row>
    <row r="5310" spans="2:11" ht="14" hidden="1">
      <c r="B5310" s="1342"/>
      <c r="C5310" s="1342"/>
      <c r="D5310" s="1342"/>
      <c r="E5310" s="1342"/>
      <c r="F5310" s="1342"/>
      <c r="G5310" s="1342"/>
      <c r="H5310" s="1342"/>
      <c r="I5310" s="1342"/>
      <c r="J5310" s="1342"/>
      <c r="K5310" s="1342"/>
    </row>
    <row r="5311" spans="2:11" ht="14" hidden="1">
      <c r="B5311" s="1342"/>
      <c r="C5311" s="1342"/>
      <c r="D5311" s="1342"/>
      <c r="E5311" s="1342"/>
      <c r="F5311" s="1342"/>
      <c r="G5311" s="1342"/>
      <c r="H5311" s="1342"/>
      <c r="I5311" s="1342"/>
      <c r="J5311" s="1342"/>
      <c r="K5311" s="1342"/>
    </row>
    <row r="5312" spans="2:11" ht="14" hidden="1">
      <c r="B5312" s="1342"/>
      <c r="C5312" s="1342"/>
      <c r="D5312" s="1342"/>
      <c r="E5312" s="1342"/>
      <c r="F5312" s="1342"/>
      <c r="G5312" s="1342"/>
      <c r="H5312" s="1342"/>
      <c r="I5312" s="1342"/>
      <c r="J5312" s="1342"/>
      <c r="K5312" s="1342"/>
    </row>
    <row r="5313" spans="2:11" ht="14" hidden="1">
      <c r="B5313" s="1342"/>
      <c r="C5313" s="1342"/>
      <c r="D5313" s="1342"/>
      <c r="E5313" s="1342"/>
      <c r="F5313" s="1342"/>
      <c r="G5313" s="1342"/>
      <c r="H5313" s="1342"/>
      <c r="I5313" s="1342"/>
      <c r="J5313" s="1342"/>
      <c r="K5313" s="1342"/>
    </row>
    <row r="5314" spans="2:11" ht="14" hidden="1">
      <c r="B5314" s="1342"/>
      <c r="C5314" s="1342"/>
      <c r="D5314" s="1342"/>
      <c r="E5314" s="1342"/>
      <c r="F5314" s="1342"/>
      <c r="G5314" s="1342"/>
      <c r="H5314" s="1342"/>
      <c r="I5314" s="1342"/>
      <c r="J5314" s="1342"/>
      <c r="K5314" s="1342"/>
    </row>
    <row r="5315" spans="2:11" ht="14" hidden="1">
      <c r="B5315" s="1342"/>
      <c r="C5315" s="1342"/>
      <c r="D5315" s="1342"/>
      <c r="E5315" s="1342"/>
      <c r="F5315" s="1342"/>
      <c r="G5315" s="1342"/>
      <c r="H5315" s="1342"/>
      <c r="I5315" s="1342"/>
      <c r="J5315" s="1342"/>
      <c r="K5315" s="1342"/>
    </row>
    <row r="5316" spans="2:11" ht="14" hidden="1">
      <c r="B5316" s="1342"/>
      <c r="C5316" s="1342"/>
      <c r="D5316" s="1342"/>
      <c r="E5316" s="1342"/>
      <c r="F5316" s="1342"/>
      <c r="G5316" s="1342"/>
      <c r="H5316" s="1342"/>
      <c r="I5316" s="1342"/>
      <c r="J5316" s="1342"/>
      <c r="K5316" s="1342"/>
    </row>
    <row r="5317" spans="2:11" ht="14" hidden="1">
      <c r="B5317" s="1342"/>
      <c r="C5317" s="1342"/>
      <c r="D5317" s="1342"/>
      <c r="E5317" s="1342"/>
      <c r="F5317" s="1342"/>
      <c r="G5317" s="1342"/>
      <c r="H5317" s="1342"/>
      <c r="I5317" s="1342"/>
      <c r="J5317" s="1342"/>
      <c r="K5317" s="1342"/>
    </row>
    <row r="5318" spans="2:11" ht="14" hidden="1">
      <c r="B5318" s="1342"/>
      <c r="C5318" s="1342"/>
      <c r="D5318" s="1342"/>
      <c r="E5318" s="1342"/>
      <c r="F5318" s="1342"/>
      <c r="G5318" s="1342"/>
      <c r="H5318" s="1342"/>
      <c r="I5318" s="1342"/>
      <c r="J5318" s="1342"/>
      <c r="K5318" s="1342"/>
    </row>
    <row r="5319" spans="2:11" ht="14" hidden="1">
      <c r="B5319" s="1342"/>
      <c r="C5319" s="1342"/>
      <c r="D5319" s="1342"/>
      <c r="E5319" s="1342"/>
      <c r="F5319" s="1342"/>
      <c r="G5319" s="1342"/>
      <c r="H5319" s="1342"/>
      <c r="I5319" s="1342"/>
      <c r="J5319" s="1342"/>
      <c r="K5319" s="1342"/>
    </row>
    <row r="5320" spans="2:11" ht="14" hidden="1">
      <c r="B5320" s="1342"/>
      <c r="C5320" s="1342"/>
      <c r="D5320" s="1342"/>
      <c r="E5320" s="1342"/>
      <c r="F5320" s="1342"/>
      <c r="G5320" s="1342"/>
      <c r="H5320" s="1342"/>
      <c r="I5320" s="1342"/>
      <c r="J5320" s="1342"/>
      <c r="K5320" s="1342"/>
    </row>
    <row r="5321" spans="2:11" ht="14" hidden="1">
      <c r="B5321" s="1342"/>
      <c r="C5321" s="1342"/>
      <c r="D5321" s="1342"/>
      <c r="E5321" s="1342"/>
      <c r="F5321" s="1342"/>
      <c r="G5321" s="1342"/>
      <c r="H5321" s="1342"/>
      <c r="I5321" s="1342"/>
      <c r="J5321" s="1342"/>
      <c r="K5321" s="1342"/>
    </row>
    <row r="5322" spans="2:11" ht="14" hidden="1">
      <c r="B5322" s="1342"/>
      <c r="C5322" s="1342"/>
      <c r="D5322" s="1342"/>
      <c r="E5322" s="1342"/>
      <c r="F5322" s="1342"/>
      <c r="G5322" s="1342"/>
      <c r="H5322" s="1342"/>
      <c r="I5322" s="1342"/>
      <c r="J5322" s="1342"/>
      <c r="K5322" s="1342"/>
    </row>
    <row r="5323" spans="2:11" ht="14" hidden="1">
      <c r="B5323" s="1342"/>
      <c r="C5323" s="1342"/>
      <c r="D5323" s="1342"/>
      <c r="E5323" s="1342"/>
      <c r="F5323" s="1342"/>
      <c r="G5323" s="1342"/>
      <c r="H5323" s="1342"/>
      <c r="I5323" s="1342"/>
      <c r="J5323" s="1342"/>
      <c r="K5323" s="1342"/>
    </row>
    <row r="5324" spans="2:11" ht="14" hidden="1">
      <c r="B5324" s="1342"/>
      <c r="C5324" s="1342"/>
      <c r="D5324" s="1342"/>
      <c r="E5324" s="1342"/>
      <c r="F5324" s="1342"/>
      <c r="G5324" s="1342"/>
      <c r="H5324" s="1342"/>
      <c r="I5324" s="1342"/>
      <c r="J5324" s="1342"/>
      <c r="K5324" s="1342"/>
    </row>
    <row r="5325" spans="2:11" ht="14" hidden="1">
      <c r="B5325" s="1342"/>
      <c r="C5325" s="1342"/>
      <c r="D5325" s="1342"/>
      <c r="E5325" s="1342"/>
      <c r="F5325" s="1342"/>
      <c r="G5325" s="1342"/>
      <c r="H5325" s="1342"/>
      <c r="I5325" s="1342"/>
      <c r="J5325" s="1342"/>
      <c r="K5325" s="1342"/>
    </row>
    <row r="5326" spans="2:11" ht="14" hidden="1">
      <c r="B5326" s="1342"/>
      <c r="C5326" s="1342"/>
      <c r="D5326" s="1342"/>
      <c r="E5326" s="1342"/>
      <c r="F5326" s="1342"/>
      <c r="G5326" s="1342"/>
      <c r="H5326" s="1342"/>
      <c r="I5326" s="1342"/>
      <c r="J5326" s="1342"/>
      <c r="K5326" s="1342"/>
    </row>
    <row r="5327" spans="2:11" ht="14" hidden="1">
      <c r="B5327" s="1342"/>
      <c r="C5327" s="1342"/>
      <c r="D5327" s="1342"/>
      <c r="E5327" s="1342"/>
      <c r="F5327" s="1342"/>
      <c r="G5327" s="1342"/>
      <c r="H5327" s="1342"/>
      <c r="I5327" s="1342"/>
      <c r="J5327" s="1342"/>
      <c r="K5327" s="1342"/>
    </row>
    <row r="5328" spans="2:11" ht="14" hidden="1">
      <c r="B5328" s="1342"/>
      <c r="C5328" s="1342"/>
      <c r="D5328" s="1342"/>
      <c r="E5328" s="1342"/>
      <c r="F5328" s="1342"/>
      <c r="G5328" s="1342"/>
      <c r="H5328" s="1342"/>
      <c r="I5328" s="1342"/>
      <c r="J5328" s="1342"/>
      <c r="K5328" s="1342"/>
    </row>
    <row r="5329" spans="2:11" ht="14" hidden="1">
      <c r="B5329" s="1342"/>
      <c r="C5329" s="1342"/>
      <c r="D5329" s="1342"/>
      <c r="E5329" s="1342"/>
      <c r="F5329" s="1342"/>
      <c r="G5329" s="1342"/>
      <c r="H5329" s="1342"/>
      <c r="I5329" s="1342"/>
      <c r="J5329" s="1342"/>
      <c r="K5329" s="1342"/>
    </row>
    <row r="5330" spans="2:11" ht="14" hidden="1">
      <c r="B5330" s="1342"/>
      <c r="C5330" s="1342"/>
      <c r="D5330" s="1342"/>
      <c r="E5330" s="1342"/>
      <c r="F5330" s="1342"/>
      <c r="G5330" s="1342"/>
      <c r="H5330" s="1342"/>
      <c r="I5330" s="1342"/>
      <c r="J5330" s="1342"/>
      <c r="K5330" s="1342"/>
    </row>
    <row r="5331" spans="2:11" ht="14" hidden="1">
      <c r="B5331" s="1342"/>
      <c r="C5331" s="1342"/>
      <c r="D5331" s="1342"/>
      <c r="E5331" s="1342"/>
      <c r="F5331" s="1342"/>
      <c r="G5331" s="1342"/>
      <c r="H5331" s="1342"/>
      <c r="I5331" s="1342"/>
      <c r="J5331" s="1342"/>
      <c r="K5331" s="1342"/>
    </row>
    <row r="5332" spans="2:11" ht="14" hidden="1">
      <c r="B5332" s="1342"/>
      <c r="C5332" s="1342"/>
      <c r="D5332" s="1342"/>
      <c r="E5332" s="1342"/>
      <c r="F5332" s="1342"/>
      <c r="G5332" s="1342"/>
      <c r="H5332" s="1342"/>
      <c r="I5332" s="1342"/>
      <c r="J5332" s="1342"/>
      <c r="K5332" s="1342"/>
    </row>
    <row r="5333" spans="2:11" ht="14" hidden="1">
      <c r="B5333" s="1342"/>
      <c r="C5333" s="1342"/>
      <c r="D5333" s="1342"/>
      <c r="E5333" s="1342"/>
      <c r="F5333" s="1342"/>
      <c r="G5333" s="1342"/>
      <c r="H5333" s="1342"/>
      <c r="I5333" s="1342"/>
      <c r="J5333" s="1342"/>
      <c r="K5333" s="1342"/>
    </row>
    <row r="5334" spans="2:11" ht="14" hidden="1">
      <c r="B5334" s="1342"/>
      <c r="C5334" s="1342"/>
      <c r="D5334" s="1342"/>
      <c r="E5334" s="1342"/>
      <c r="F5334" s="1342"/>
      <c r="G5334" s="1342"/>
      <c r="H5334" s="1342"/>
      <c r="I5334" s="1342"/>
      <c r="J5334" s="1342"/>
      <c r="K5334" s="1342"/>
    </row>
    <row r="5335" spans="2:11" ht="14" hidden="1">
      <c r="B5335" s="1342"/>
      <c r="C5335" s="1342"/>
      <c r="D5335" s="1342"/>
      <c r="E5335" s="1342"/>
      <c r="F5335" s="1342"/>
      <c r="G5335" s="1342"/>
      <c r="H5335" s="1342"/>
      <c r="I5335" s="1342"/>
      <c r="J5335" s="1342"/>
      <c r="K5335" s="1342"/>
    </row>
    <row r="5336" spans="2:11" ht="14" hidden="1">
      <c r="B5336" s="1342"/>
      <c r="C5336" s="1342"/>
      <c r="D5336" s="1342"/>
      <c r="E5336" s="1342"/>
      <c r="F5336" s="1342"/>
      <c r="G5336" s="1342"/>
      <c r="H5336" s="1342"/>
      <c r="I5336" s="1342"/>
      <c r="J5336" s="1342"/>
      <c r="K5336" s="1342"/>
    </row>
    <row r="5337" spans="2:11" ht="14" hidden="1">
      <c r="B5337" s="1342"/>
      <c r="C5337" s="1342"/>
      <c r="D5337" s="1342"/>
      <c r="E5337" s="1342"/>
      <c r="F5337" s="1342"/>
      <c r="G5337" s="1342"/>
      <c r="H5337" s="1342"/>
      <c r="I5337" s="1342"/>
      <c r="J5337" s="1342"/>
      <c r="K5337" s="1342"/>
    </row>
    <row r="5338" spans="2:11" ht="14" hidden="1">
      <c r="B5338" s="1342"/>
      <c r="C5338" s="1342"/>
      <c r="D5338" s="1342"/>
      <c r="E5338" s="1342"/>
      <c r="F5338" s="1342"/>
      <c r="G5338" s="1342"/>
      <c r="H5338" s="1342"/>
      <c r="I5338" s="1342"/>
      <c r="J5338" s="1342"/>
      <c r="K5338" s="1342"/>
    </row>
    <row r="5339" spans="2:11" ht="14" hidden="1">
      <c r="B5339" s="1342"/>
      <c r="C5339" s="1342"/>
      <c r="D5339" s="1342"/>
      <c r="E5339" s="1342"/>
      <c r="F5339" s="1342"/>
      <c r="G5339" s="1342"/>
      <c r="H5339" s="1342"/>
      <c r="I5339" s="1342"/>
      <c r="J5339" s="1342"/>
      <c r="K5339" s="1342"/>
    </row>
    <row r="5340" spans="2:11" ht="14" hidden="1">
      <c r="B5340" s="1342"/>
      <c r="C5340" s="1342"/>
      <c r="D5340" s="1342"/>
      <c r="E5340" s="1342"/>
      <c r="F5340" s="1342"/>
      <c r="G5340" s="1342"/>
      <c r="H5340" s="1342"/>
      <c r="I5340" s="1342"/>
      <c r="J5340" s="1342"/>
      <c r="K5340" s="1342"/>
    </row>
    <row r="5341" spans="2:11" ht="14" hidden="1">
      <c r="B5341" s="1342"/>
      <c r="C5341" s="1342"/>
      <c r="D5341" s="1342"/>
      <c r="E5341" s="1342"/>
      <c r="F5341" s="1342"/>
      <c r="G5341" s="1342"/>
      <c r="H5341" s="1342"/>
      <c r="I5341" s="1342"/>
      <c r="J5341" s="1342"/>
      <c r="K5341" s="1342"/>
    </row>
    <row r="5342" spans="2:11" ht="14" hidden="1">
      <c r="B5342" s="1342"/>
      <c r="C5342" s="1342"/>
      <c r="D5342" s="1342"/>
      <c r="E5342" s="1342"/>
      <c r="F5342" s="1342"/>
      <c r="G5342" s="1342"/>
      <c r="H5342" s="1342"/>
      <c r="I5342" s="1342"/>
      <c r="J5342" s="1342"/>
      <c r="K5342" s="1342"/>
    </row>
    <row r="5343" spans="2:11" ht="14" hidden="1">
      <c r="B5343" s="1342"/>
      <c r="C5343" s="1342"/>
      <c r="D5343" s="1342"/>
      <c r="E5343" s="1342"/>
      <c r="F5343" s="1342"/>
      <c r="G5343" s="1342"/>
      <c r="H5343" s="1342"/>
      <c r="I5343" s="1342"/>
      <c r="J5343" s="1342"/>
      <c r="K5343" s="1342"/>
    </row>
    <row r="5344" spans="2:11" ht="14" hidden="1">
      <c r="B5344" s="1342"/>
      <c r="C5344" s="1342"/>
      <c r="D5344" s="1342"/>
      <c r="E5344" s="1342"/>
      <c r="F5344" s="1342"/>
      <c r="G5344" s="1342"/>
      <c r="H5344" s="1342"/>
      <c r="I5344" s="1342"/>
      <c r="J5344" s="1342"/>
      <c r="K5344" s="1342"/>
    </row>
    <row r="5345" spans="2:11" ht="14" hidden="1">
      <c r="B5345" s="1342"/>
      <c r="C5345" s="1342"/>
      <c r="D5345" s="1342"/>
      <c r="E5345" s="1342"/>
      <c r="F5345" s="1342"/>
      <c r="G5345" s="1342"/>
      <c r="H5345" s="1342"/>
      <c r="I5345" s="1342"/>
      <c r="J5345" s="1342"/>
      <c r="K5345" s="1342"/>
    </row>
    <row r="5346" spans="2:11" ht="14" hidden="1">
      <c r="B5346" s="1342"/>
      <c r="C5346" s="1342"/>
      <c r="D5346" s="1342"/>
      <c r="E5346" s="1342"/>
      <c r="F5346" s="1342"/>
      <c r="G5346" s="1342"/>
      <c r="H5346" s="1342"/>
      <c r="I5346" s="1342"/>
      <c r="J5346" s="1342"/>
      <c r="K5346" s="1342"/>
    </row>
    <row r="5347" spans="2:11" ht="14" hidden="1">
      <c r="B5347" s="1342"/>
      <c r="C5347" s="1342"/>
      <c r="D5347" s="1342"/>
      <c r="E5347" s="1342"/>
      <c r="F5347" s="1342"/>
      <c r="G5347" s="1342"/>
      <c r="H5347" s="1342"/>
      <c r="I5347" s="1342"/>
      <c r="J5347" s="1342"/>
      <c r="K5347" s="1342"/>
    </row>
    <row r="5348" spans="2:11" ht="14" hidden="1">
      <c r="B5348" s="1342"/>
      <c r="C5348" s="1342"/>
      <c r="D5348" s="1342"/>
      <c r="E5348" s="1342"/>
      <c r="F5348" s="1342"/>
      <c r="G5348" s="1342"/>
      <c r="H5348" s="1342"/>
      <c r="I5348" s="1342"/>
      <c r="J5348" s="1342"/>
      <c r="K5348" s="1342"/>
    </row>
    <row r="5349" spans="2:11" ht="14" hidden="1">
      <c r="B5349" s="1342"/>
      <c r="C5349" s="1342"/>
      <c r="D5349" s="1342"/>
      <c r="E5349" s="1342"/>
      <c r="F5349" s="1342"/>
      <c r="G5349" s="1342"/>
      <c r="H5349" s="1342"/>
      <c r="I5349" s="1342"/>
      <c r="J5349" s="1342"/>
      <c r="K5349" s="1342"/>
    </row>
    <row r="5350" spans="2:11" ht="14" hidden="1">
      <c r="B5350" s="1342"/>
      <c r="C5350" s="1342"/>
      <c r="D5350" s="1342"/>
      <c r="E5350" s="1342"/>
      <c r="F5350" s="1342"/>
      <c r="G5350" s="1342"/>
      <c r="H5350" s="1342"/>
      <c r="I5350" s="1342"/>
      <c r="J5350" s="1342"/>
      <c r="K5350" s="1342"/>
    </row>
    <row r="5351" spans="2:11" ht="14" hidden="1">
      <c r="B5351" s="1342"/>
      <c r="C5351" s="1342"/>
      <c r="D5351" s="1342"/>
      <c r="E5351" s="1342"/>
      <c r="F5351" s="1342"/>
      <c r="G5351" s="1342"/>
      <c r="H5351" s="1342"/>
      <c r="I5351" s="1342"/>
      <c r="J5351" s="1342"/>
      <c r="K5351" s="1342"/>
    </row>
    <row r="5352" spans="2:11" ht="14" hidden="1">
      <c r="B5352" s="1342"/>
      <c r="C5352" s="1342"/>
      <c r="D5352" s="1342"/>
      <c r="E5352" s="1342"/>
      <c r="F5352" s="1342"/>
      <c r="G5352" s="1342"/>
      <c r="H5352" s="1342"/>
      <c r="I5352" s="1342"/>
      <c r="J5352" s="1342"/>
      <c r="K5352" s="1342"/>
    </row>
    <row r="5353" spans="2:11" ht="14" hidden="1">
      <c r="B5353" s="1342"/>
      <c r="C5353" s="1342"/>
      <c r="D5353" s="1342"/>
      <c r="E5353" s="1342"/>
      <c r="F5353" s="1342"/>
      <c r="G5353" s="1342"/>
      <c r="H5353" s="1342"/>
      <c r="I5353" s="1342"/>
      <c r="J5353" s="1342"/>
      <c r="K5353" s="1342"/>
    </row>
    <row r="5354" spans="2:11" ht="14" hidden="1">
      <c r="B5354" s="1342"/>
      <c r="C5354" s="1342"/>
      <c r="D5354" s="1342"/>
      <c r="E5354" s="1342"/>
      <c r="F5354" s="1342"/>
      <c r="G5354" s="1342"/>
      <c r="H5354" s="1342"/>
      <c r="I5354" s="1342"/>
      <c r="J5354" s="1342"/>
      <c r="K5354" s="1342"/>
    </row>
    <row r="5355" spans="2:11" ht="14" hidden="1">
      <c r="B5355" s="1342"/>
      <c r="C5355" s="1342"/>
      <c r="D5355" s="1342"/>
      <c r="E5355" s="1342"/>
      <c r="F5355" s="1342"/>
      <c r="G5355" s="1342"/>
      <c r="H5355" s="1342"/>
      <c r="I5355" s="1342"/>
      <c r="J5355" s="1342"/>
      <c r="K5355" s="1342"/>
    </row>
    <row r="5356" spans="2:11" ht="14" hidden="1">
      <c r="B5356" s="1342"/>
      <c r="C5356" s="1342"/>
      <c r="D5356" s="1342"/>
      <c r="E5356" s="1342"/>
      <c r="F5356" s="1342"/>
      <c r="G5356" s="1342"/>
      <c r="H5356" s="1342"/>
      <c r="I5356" s="1342"/>
      <c r="J5356" s="1342"/>
      <c r="K5356" s="1342"/>
    </row>
    <row r="5357" spans="2:11" ht="14" hidden="1">
      <c r="B5357" s="1342"/>
      <c r="C5357" s="1342"/>
      <c r="D5357" s="1342"/>
      <c r="E5357" s="1342"/>
      <c r="F5357" s="1342"/>
      <c r="G5357" s="1342"/>
      <c r="H5357" s="1342"/>
      <c r="I5357" s="1342"/>
      <c r="J5357" s="1342"/>
      <c r="K5357" s="1342"/>
    </row>
    <row r="5358" spans="2:11" ht="14" hidden="1">
      <c r="B5358" s="1342"/>
      <c r="C5358" s="1342"/>
      <c r="D5358" s="1342"/>
      <c r="E5358" s="1342"/>
      <c r="F5358" s="1342"/>
      <c r="G5358" s="1342"/>
      <c r="H5358" s="1342"/>
      <c r="I5358" s="1342"/>
      <c r="J5358" s="1342"/>
      <c r="K5358" s="1342"/>
    </row>
    <row r="5359" spans="2:11" ht="14" hidden="1">
      <c r="B5359" s="1342"/>
      <c r="C5359" s="1342"/>
      <c r="D5359" s="1342"/>
      <c r="E5359" s="1342"/>
      <c r="F5359" s="1342"/>
      <c r="G5359" s="1342"/>
      <c r="H5359" s="1342"/>
      <c r="I5359" s="1342"/>
      <c r="J5359" s="1342"/>
      <c r="K5359" s="1342"/>
    </row>
    <row r="5360" spans="2:11" ht="14" hidden="1">
      <c r="B5360" s="1342"/>
      <c r="C5360" s="1342"/>
      <c r="D5360" s="1342"/>
      <c r="E5360" s="1342"/>
      <c r="F5360" s="1342"/>
      <c r="G5360" s="1342"/>
      <c r="H5360" s="1342"/>
      <c r="I5360" s="1342"/>
      <c r="J5360" s="1342"/>
      <c r="K5360" s="1342"/>
    </row>
    <row r="5361" spans="2:11" ht="14" hidden="1">
      <c r="B5361" s="1342"/>
      <c r="C5361" s="1342"/>
      <c r="D5361" s="1342"/>
      <c r="E5361" s="1342"/>
      <c r="F5361" s="1342"/>
      <c r="G5361" s="1342"/>
      <c r="H5361" s="1342"/>
      <c r="I5361" s="1342"/>
      <c r="J5361" s="1342"/>
      <c r="K5361" s="1342"/>
    </row>
    <row r="5362" spans="2:11" ht="14" hidden="1">
      <c r="B5362" s="1342"/>
      <c r="C5362" s="1342"/>
      <c r="D5362" s="1342"/>
      <c r="E5362" s="1342"/>
      <c r="F5362" s="1342"/>
      <c r="G5362" s="1342"/>
      <c r="H5362" s="1342"/>
      <c r="I5362" s="1342"/>
      <c r="J5362" s="1342"/>
      <c r="K5362" s="1342"/>
    </row>
    <row r="5363" spans="2:11" ht="14" hidden="1">
      <c r="B5363" s="1342"/>
      <c r="C5363" s="1342"/>
      <c r="D5363" s="1342"/>
      <c r="E5363" s="1342"/>
      <c r="F5363" s="1342"/>
      <c r="G5363" s="1342"/>
      <c r="H5363" s="1342"/>
      <c r="I5363" s="1342"/>
      <c r="J5363" s="1342"/>
      <c r="K5363" s="1342"/>
    </row>
    <row r="5364" spans="2:11" ht="14" hidden="1">
      <c r="B5364" s="1342"/>
      <c r="C5364" s="1342"/>
      <c r="D5364" s="1342"/>
      <c r="E5364" s="1342"/>
      <c r="F5364" s="1342"/>
      <c r="G5364" s="1342"/>
      <c r="H5364" s="1342"/>
      <c r="I5364" s="1342"/>
      <c r="J5364" s="1342"/>
      <c r="K5364" s="1342"/>
    </row>
    <row r="5365" spans="2:11" ht="14" hidden="1">
      <c r="B5365" s="1342"/>
      <c r="C5365" s="1342"/>
      <c r="D5365" s="1342"/>
      <c r="E5365" s="1342"/>
      <c r="F5365" s="1342"/>
      <c r="G5365" s="1342"/>
      <c r="H5365" s="1342"/>
      <c r="I5365" s="1342"/>
      <c r="J5365" s="1342"/>
      <c r="K5365" s="1342"/>
    </row>
    <row r="5366" spans="2:11" ht="14" hidden="1">
      <c r="B5366" s="1342"/>
      <c r="C5366" s="1342"/>
      <c r="D5366" s="1342"/>
      <c r="E5366" s="1342"/>
      <c r="F5366" s="1342"/>
      <c r="G5366" s="1342"/>
      <c r="H5366" s="1342"/>
      <c r="I5366" s="1342"/>
      <c r="J5366" s="1342"/>
      <c r="K5366" s="1342"/>
    </row>
    <row r="5367" spans="2:11" ht="14" hidden="1">
      <c r="B5367" s="1342"/>
      <c r="C5367" s="1342"/>
      <c r="D5367" s="1342"/>
      <c r="E5367" s="1342"/>
      <c r="F5367" s="1342"/>
      <c r="G5367" s="1342"/>
      <c r="H5367" s="1342"/>
      <c r="I5367" s="1342"/>
      <c r="J5367" s="1342"/>
      <c r="K5367" s="1342"/>
    </row>
    <row r="5368" spans="2:11" ht="14" hidden="1">
      <c r="B5368" s="1342"/>
      <c r="C5368" s="1342"/>
      <c r="D5368" s="1342"/>
      <c r="E5368" s="1342"/>
      <c r="F5368" s="1342"/>
      <c r="G5368" s="1342"/>
      <c r="H5368" s="1342"/>
      <c r="I5368" s="1342"/>
      <c r="J5368" s="1342"/>
      <c r="K5368" s="1342"/>
    </row>
    <row r="5369" spans="2:11" ht="14" hidden="1">
      <c r="B5369" s="1342"/>
      <c r="C5369" s="1342"/>
      <c r="D5369" s="1342"/>
      <c r="E5369" s="1342"/>
      <c r="F5369" s="1342"/>
      <c r="G5369" s="1342"/>
      <c r="H5369" s="1342"/>
      <c r="I5369" s="1342"/>
      <c r="J5369" s="1342"/>
      <c r="K5369" s="1342"/>
    </row>
    <row r="5370" spans="2:11" ht="14" hidden="1">
      <c r="B5370" s="1342"/>
      <c r="C5370" s="1342"/>
      <c r="D5370" s="1342"/>
      <c r="E5370" s="1342"/>
      <c r="F5370" s="1342"/>
      <c r="G5370" s="1342"/>
      <c r="H5370" s="1342"/>
      <c r="I5370" s="1342"/>
      <c r="J5370" s="1342"/>
      <c r="K5370" s="1342"/>
    </row>
    <row r="5371" spans="2:11" ht="14" hidden="1">
      <c r="B5371" s="1342"/>
      <c r="C5371" s="1342"/>
      <c r="D5371" s="1342"/>
      <c r="E5371" s="1342"/>
      <c r="F5371" s="1342"/>
      <c r="G5371" s="1342"/>
      <c r="H5371" s="1342"/>
      <c r="I5371" s="1342"/>
      <c r="J5371" s="1342"/>
      <c r="K5371" s="1342"/>
    </row>
    <row r="5372" spans="2:11" ht="14" hidden="1">
      <c r="B5372" s="1342"/>
      <c r="C5372" s="1342"/>
      <c r="D5372" s="1342"/>
      <c r="E5372" s="1342"/>
      <c r="F5372" s="1342"/>
      <c r="G5372" s="1342"/>
      <c r="H5372" s="1342"/>
      <c r="I5372" s="1342"/>
      <c r="J5372" s="1342"/>
      <c r="K5372" s="1342"/>
    </row>
    <row r="5373" spans="2:11" ht="14" hidden="1">
      <c r="B5373" s="1342"/>
      <c r="C5373" s="1342"/>
      <c r="D5373" s="1342"/>
      <c r="E5373" s="1342"/>
      <c r="F5373" s="1342"/>
      <c r="G5373" s="1342"/>
      <c r="H5373" s="1342"/>
      <c r="I5373" s="1342"/>
      <c r="J5373" s="1342"/>
      <c r="K5373" s="1342"/>
    </row>
    <row r="5374" spans="2:11" ht="14" hidden="1">
      <c r="B5374" s="1342"/>
      <c r="C5374" s="1342"/>
      <c r="D5374" s="1342"/>
      <c r="E5374" s="1342"/>
      <c r="F5374" s="1342"/>
      <c r="G5374" s="1342"/>
      <c r="H5374" s="1342"/>
      <c r="I5374" s="1342"/>
      <c r="J5374" s="1342"/>
      <c r="K5374" s="1342"/>
    </row>
    <row r="5375" spans="2:11" ht="14" hidden="1">
      <c r="B5375" s="1342"/>
      <c r="C5375" s="1342"/>
      <c r="D5375" s="1342"/>
      <c r="E5375" s="1342"/>
      <c r="F5375" s="1342"/>
      <c r="G5375" s="1342"/>
      <c r="H5375" s="1342"/>
      <c r="I5375" s="1342"/>
      <c r="J5375" s="1342"/>
      <c r="K5375" s="1342"/>
    </row>
    <row r="5376" spans="2:11" ht="14" hidden="1">
      <c r="B5376" s="1342"/>
      <c r="C5376" s="1342"/>
      <c r="D5376" s="1342"/>
      <c r="E5376" s="1342"/>
      <c r="F5376" s="1342"/>
      <c r="G5376" s="1342"/>
      <c r="H5376" s="1342"/>
      <c r="I5376" s="1342"/>
      <c r="J5376" s="1342"/>
      <c r="K5376" s="1342"/>
    </row>
    <row r="5377" spans="2:11" ht="14" hidden="1">
      <c r="B5377" s="1342"/>
      <c r="C5377" s="1342"/>
      <c r="D5377" s="1342"/>
      <c r="E5377" s="1342"/>
      <c r="F5377" s="1342"/>
      <c r="G5377" s="1342"/>
      <c r="H5377" s="1342"/>
      <c r="I5377" s="1342"/>
      <c r="J5377" s="1342"/>
      <c r="K5377" s="1342"/>
    </row>
    <row r="5378" spans="2:11" ht="14" hidden="1">
      <c r="B5378" s="1342"/>
      <c r="C5378" s="1342"/>
      <c r="D5378" s="1342"/>
      <c r="E5378" s="1342"/>
      <c r="F5378" s="1342"/>
      <c r="G5378" s="1342"/>
      <c r="H5378" s="1342"/>
      <c r="I5378" s="1342"/>
      <c r="J5378" s="1342"/>
      <c r="K5378" s="1342"/>
    </row>
    <row r="5379" spans="2:11" ht="14" hidden="1">
      <c r="B5379" s="1342"/>
      <c r="C5379" s="1342"/>
      <c r="D5379" s="1342"/>
      <c r="E5379" s="1342"/>
      <c r="F5379" s="1342"/>
      <c r="G5379" s="1342"/>
      <c r="H5379" s="1342"/>
      <c r="I5379" s="1342"/>
      <c r="J5379" s="1342"/>
      <c r="K5379" s="1342"/>
    </row>
    <row r="5380" spans="2:11" ht="14" hidden="1">
      <c r="B5380" s="1342"/>
      <c r="C5380" s="1342"/>
      <c r="D5380" s="1342"/>
      <c r="E5380" s="1342"/>
      <c r="F5380" s="1342"/>
      <c r="G5380" s="1342"/>
      <c r="H5380" s="1342"/>
      <c r="I5380" s="1342"/>
      <c r="J5380" s="1342"/>
      <c r="K5380" s="1342"/>
    </row>
    <row r="5381" spans="2:11" ht="14" hidden="1">
      <c r="B5381" s="1342"/>
      <c r="C5381" s="1342"/>
      <c r="D5381" s="1342"/>
      <c r="E5381" s="1342"/>
      <c r="F5381" s="1342"/>
      <c r="G5381" s="1342"/>
      <c r="H5381" s="1342"/>
      <c r="I5381" s="1342"/>
      <c r="J5381" s="1342"/>
      <c r="K5381" s="1342"/>
    </row>
    <row r="5382" spans="2:11" ht="14" hidden="1">
      <c r="B5382" s="1342"/>
      <c r="C5382" s="1342"/>
      <c r="D5382" s="1342"/>
      <c r="E5382" s="1342"/>
      <c r="F5382" s="1342"/>
      <c r="G5382" s="1342"/>
      <c r="H5382" s="1342"/>
      <c r="I5382" s="1342"/>
      <c r="J5382" s="1342"/>
      <c r="K5382" s="1342"/>
    </row>
    <row r="5383" spans="2:11" ht="14" hidden="1">
      <c r="B5383" s="1342"/>
      <c r="C5383" s="1342"/>
      <c r="D5383" s="1342"/>
      <c r="E5383" s="1342"/>
      <c r="F5383" s="1342"/>
      <c r="G5383" s="1342"/>
      <c r="H5383" s="1342"/>
      <c r="I5383" s="1342"/>
      <c r="J5383" s="1342"/>
      <c r="K5383" s="1342"/>
    </row>
    <row r="5384" spans="2:11" ht="14" hidden="1">
      <c r="B5384" s="1342"/>
      <c r="C5384" s="1342"/>
      <c r="D5384" s="1342"/>
      <c r="E5384" s="1342"/>
      <c r="F5384" s="1342"/>
      <c r="G5384" s="1342"/>
      <c r="H5384" s="1342"/>
      <c r="I5384" s="1342"/>
      <c r="J5384" s="1342"/>
      <c r="K5384" s="1342"/>
    </row>
    <row r="5385" spans="2:11" ht="14" hidden="1">
      <c r="B5385" s="1342"/>
      <c r="C5385" s="1342"/>
      <c r="D5385" s="1342"/>
      <c r="E5385" s="1342"/>
      <c r="F5385" s="1342"/>
      <c r="G5385" s="1342"/>
      <c r="H5385" s="1342"/>
      <c r="I5385" s="1342"/>
      <c r="J5385" s="1342"/>
      <c r="K5385" s="1342"/>
    </row>
    <row r="5386" spans="2:11" ht="14" hidden="1">
      <c r="B5386" s="1342"/>
      <c r="C5386" s="1342"/>
      <c r="D5386" s="1342"/>
      <c r="E5386" s="1342"/>
      <c r="F5386" s="1342"/>
      <c r="G5386" s="1342"/>
      <c r="H5386" s="1342"/>
      <c r="I5386" s="1342"/>
      <c r="J5386" s="1342"/>
      <c r="K5386" s="1342"/>
    </row>
    <row r="5387" spans="2:11" ht="14" hidden="1">
      <c r="B5387" s="1342"/>
      <c r="C5387" s="1342"/>
      <c r="D5387" s="1342"/>
      <c r="E5387" s="1342"/>
      <c r="F5387" s="1342"/>
      <c r="G5387" s="1342"/>
      <c r="H5387" s="1342"/>
      <c r="I5387" s="1342"/>
      <c r="J5387" s="1342"/>
      <c r="K5387" s="1342"/>
    </row>
    <row r="5388" spans="2:11" ht="14" hidden="1">
      <c r="B5388" s="1342"/>
      <c r="C5388" s="1342"/>
      <c r="D5388" s="1342"/>
      <c r="E5388" s="1342"/>
      <c r="F5388" s="1342"/>
      <c r="G5388" s="1342"/>
      <c r="H5388" s="1342"/>
      <c r="I5388" s="1342"/>
      <c r="J5388" s="1342"/>
      <c r="K5388" s="1342"/>
    </row>
    <row r="5389" spans="2:11" ht="14" hidden="1">
      <c r="B5389" s="1342"/>
      <c r="C5389" s="1342"/>
      <c r="D5389" s="1342"/>
      <c r="E5389" s="1342"/>
      <c r="F5389" s="1342"/>
      <c r="G5389" s="1342"/>
      <c r="H5389" s="1342"/>
      <c r="I5389" s="1342"/>
      <c r="J5389" s="1342"/>
      <c r="K5389" s="1342"/>
    </row>
    <row r="5390" spans="2:11" ht="14" hidden="1">
      <c r="B5390" s="1342"/>
      <c r="C5390" s="1342"/>
      <c r="D5390" s="1342"/>
      <c r="E5390" s="1342"/>
      <c r="F5390" s="1342"/>
      <c r="G5390" s="1342"/>
      <c r="H5390" s="1342"/>
      <c r="I5390" s="1342"/>
      <c r="J5390" s="1342"/>
      <c r="K5390" s="1342"/>
    </row>
    <row r="5391" spans="2:11" ht="14" hidden="1">
      <c r="B5391" s="1342"/>
      <c r="C5391" s="1342"/>
      <c r="D5391" s="1342"/>
      <c r="E5391" s="1342"/>
      <c r="F5391" s="1342"/>
      <c r="G5391" s="1342"/>
      <c r="H5391" s="1342"/>
      <c r="I5391" s="1342"/>
      <c r="J5391" s="1342"/>
      <c r="K5391" s="1342"/>
    </row>
    <row r="5392" spans="2:11" ht="14" hidden="1">
      <c r="B5392" s="1342"/>
      <c r="C5392" s="1342"/>
      <c r="D5392" s="1342"/>
      <c r="E5392" s="1342"/>
      <c r="F5392" s="1342"/>
      <c r="G5392" s="1342"/>
      <c r="H5392" s="1342"/>
      <c r="I5392" s="1342"/>
      <c r="J5392" s="1342"/>
      <c r="K5392" s="1342"/>
    </row>
    <row r="5393" spans="2:11" ht="14" hidden="1">
      <c r="B5393" s="1342"/>
      <c r="C5393" s="1342"/>
      <c r="D5393" s="1342"/>
      <c r="E5393" s="1342"/>
      <c r="F5393" s="1342"/>
      <c r="G5393" s="1342"/>
      <c r="H5393" s="1342"/>
      <c r="I5393" s="1342"/>
      <c r="J5393" s="1342"/>
      <c r="K5393" s="1342"/>
    </row>
    <row r="5394" spans="2:11" ht="14" hidden="1">
      <c r="B5394" s="1342"/>
      <c r="C5394" s="1342"/>
      <c r="D5394" s="1342"/>
      <c r="E5394" s="1342"/>
      <c r="F5394" s="1342"/>
      <c r="G5394" s="1342"/>
      <c r="H5394" s="1342"/>
      <c r="I5394" s="1342"/>
      <c r="J5394" s="1342"/>
      <c r="K5394" s="1342"/>
    </row>
    <row r="5395" spans="2:11" ht="14" hidden="1">
      <c r="B5395" s="1342"/>
      <c r="C5395" s="1342"/>
      <c r="D5395" s="1342"/>
      <c r="E5395" s="1342"/>
      <c r="F5395" s="1342"/>
      <c r="G5395" s="1342"/>
      <c r="H5395" s="1342"/>
      <c r="I5395" s="1342"/>
      <c r="J5395" s="1342"/>
      <c r="K5395" s="1342"/>
    </row>
    <row r="5396" spans="2:11" ht="14" hidden="1">
      <c r="B5396" s="1342"/>
      <c r="C5396" s="1342"/>
      <c r="D5396" s="1342"/>
      <c r="E5396" s="1342"/>
      <c r="F5396" s="1342"/>
      <c r="G5396" s="1342"/>
      <c r="H5396" s="1342"/>
      <c r="I5396" s="1342"/>
      <c r="J5396" s="1342"/>
      <c r="K5396" s="1342"/>
    </row>
    <row r="5397" spans="2:11" ht="14" hidden="1">
      <c r="B5397" s="1342"/>
      <c r="C5397" s="1342"/>
      <c r="D5397" s="1342"/>
      <c r="E5397" s="1342"/>
      <c r="F5397" s="1342"/>
      <c r="G5397" s="1342"/>
      <c r="H5397" s="1342"/>
      <c r="I5397" s="1342"/>
      <c r="J5397" s="1342"/>
      <c r="K5397" s="1342"/>
    </row>
    <row r="5398" spans="2:11" ht="14" hidden="1">
      <c r="B5398" s="1342"/>
      <c r="C5398" s="1342"/>
      <c r="D5398" s="1342"/>
      <c r="E5398" s="1342"/>
      <c r="F5398" s="1342"/>
      <c r="G5398" s="1342"/>
      <c r="H5398" s="1342"/>
      <c r="I5398" s="1342"/>
      <c r="J5398" s="1342"/>
      <c r="K5398" s="1342"/>
    </row>
    <row r="5399" spans="2:11" ht="14" hidden="1">
      <c r="B5399" s="1342"/>
      <c r="C5399" s="1342"/>
      <c r="D5399" s="1342"/>
      <c r="E5399" s="1342"/>
      <c r="F5399" s="1342"/>
      <c r="G5399" s="1342"/>
      <c r="H5399" s="1342"/>
      <c r="I5399" s="1342"/>
      <c r="J5399" s="1342"/>
      <c r="K5399" s="1342"/>
    </row>
    <row r="5400" spans="2:11" ht="14" hidden="1">
      <c r="B5400" s="1342"/>
      <c r="C5400" s="1342"/>
      <c r="D5400" s="1342"/>
      <c r="E5400" s="1342"/>
      <c r="F5400" s="1342"/>
      <c r="G5400" s="1342"/>
      <c r="H5400" s="1342"/>
      <c r="I5400" s="1342"/>
      <c r="J5400" s="1342"/>
      <c r="K5400" s="1342"/>
    </row>
    <row r="5401" spans="2:11" ht="14" hidden="1">
      <c r="B5401" s="1342"/>
      <c r="C5401" s="1342"/>
      <c r="D5401" s="1342"/>
      <c r="E5401" s="1342"/>
      <c r="F5401" s="1342"/>
      <c r="G5401" s="1342"/>
      <c r="H5401" s="1342"/>
      <c r="I5401" s="1342"/>
      <c r="J5401" s="1342"/>
      <c r="K5401" s="1342"/>
    </row>
    <row r="5402" spans="2:11" ht="14" hidden="1">
      <c r="B5402" s="1342"/>
      <c r="C5402" s="1342"/>
      <c r="D5402" s="1342"/>
      <c r="E5402" s="1342"/>
      <c r="F5402" s="1342"/>
      <c r="G5402" s="1342"/>
      <c r="H5402" s="1342"/>
      <c r="I5402" s="1342"/>
      <c r="J5402" s="1342"/>
      <c r="K5402" s="1342"/>
    </row>
    <row r="5403" spans="2:11" ht="14" hidden="1">
      <c r="B5403" s="1342"/>
      <c r="C5403" s="1342"/>
      <c r="D5403" s="1342"/>
      <c r="E5403" s="1342"/>
      <c r="F5403" s="1342"/>
      <c r="G5403" s="1342"/>
      <c r="H5403" s="1342"/>
      <c r="I5403" s="1342"/>
      <c r="J5403" s="1342"/>
      <c r="K5403" s="1342"/>
    </row>
    <row r="5404" spans="2:11" ht="14" hidden="1">
      <c r="B5404" s="1342"/>
      <c r="C5404" s="1342"/>
      <c r="D5404" s="1342"/>
      <c r="E5404" s="1342"/>
      <c r="F5404" s="1342"/>
      <c r="G5404" s="1342"/>
      <c r="H5404" s="1342"/>
      <c r="I5404" s="1342"/>
      <c r="J5404" s="1342"/>
      <c r="K5404" s="1342"/>
    </row>
    <row r="5405" spans="2:11" ht="14" hidden="1">
      <c r="B5405" s="1342"/>
      <c r="C5405" s="1342"/>
      <c r="D5405" s="1342"/>
      <c r="E5405" s="1342"/>
      <c r="F5405" s="1342"/>
      <c r="G5405" s="1342"/>
      <c r="H5405" s="1342"/>
      <c r="I5405" s="1342"/>
      <c r="J5405" s="1342"/>
      <c r="K5405" s="1342"/>
    </row>
    <row r="5406" spans="2:11" ht="14" hidden="1">
      <c r="B5406" s="1342"/>
      <c r="C5406" s="1342"/>
      <c r="D5406" s="1342"/>
      <c r="E5406" s="1342"/>
      <c r="F5406" s="1342"/>
      <c r="G5406" s="1342"/>
      <c r="H5406" s="1342"/>
      <c r="I5406" s="1342"/>
      <c r="J5406" s="1342"/>
      <c r="K5406" s="1342"/>
    </row>
    <row r="5407" spans="2:11" ht="14" hidden="1">
      <c r="B5407" s="1342"/>
      <c r="C5407" s="1342"/>
      <c r="D5407" s="1342"/>
      <c r="E5407" s="1342"/>
      <c r="F5407" s="1342"/>
      <c r="G5407" s="1342"/>
      <c r="H5407" s="1342"/>
      <c r="I5407" s="1342"/>
      <c r="J5407" s="1342"/>
      <c r="K5407" s="1342"/>
    </row>
    <row r="5408" spans="2:11" ht="14" hidden="1">
      <c r="B5408" s="1342"/>
      <c r="C5408" s="1342"/>
      <c r="D5408" s="1342"/>
      <c r="E5408" s="1342"/>
      <c r="F5408" s="1342"/>
      <c r="G5408" s="1342"/>
      <c r="H5408" s="1342"/>
      <c r="I5408" s="1342"/>
      <c r="J5408" s="1342"/>
      <c r="K5408" s="1342"/>
    </row>
    <row r="5409" spans="2:11" ht="14" hidden="1">
      <c r="B5409" s="1342"/>
      <c r="C5409" s="1342"/>
      <c r="D5409" s="1342"/>
      <c r="E5409" s="1342"/>
      <c r="F5409" s="1342"/>
      <c r="G5409" s="1342"/>
      <c r="H5409" s="1342"/>
      <c r="I5409" s="1342"/>
      <c r="J5409" s="1342"/>
      <c r="K5409" s="1342"/>
    </row>
    <row r="5410" spans="2:11" ht="14" hidden="1">
      <c r="B5410" s="1342"/>
      <c r="C5410" s="1342"/>
      <c r="D5410" s="1342"/>
      <c r="E5410" s="1342"/>
      <c r="F5410" s="1342"/>
      <c r="G5410" s="1342"/>
      <c r="H5410" s="1342"/>
      <c r="I5410" s="1342"/>
      <c r="J5410" s="1342"/>
      <c r="K5410" s="1342"/>
    </row>
    <row r="5411" spans="2:11" ht="14" hidden="1">
      <c r="B5411" s="1342"/>
      <c r="C5411" s="1342"/>
      <c r="D5411" s="1342"/>
      <c r="E5411" s="1342"/>
      <c r="F5411" s="1342"/>
      <c r="G5411" s="1342"/>
      <c r="H5411" s="1342"/>
      <c r="I5411" s="1342"/>
      <c r="J5411" s="1342"/>
      <c r="K5411" s="1342"/>
    </row>
    <row r="5412" spans="2:11" ht="14" hidden="1">
      <c r="B5412" s="1342"/>
      <c r="C5412" s="1342"/>
      <c r="D5412" s="1342"/>
      <c r="E5412" s="1342"/>
      <c r="F5412" s="1342"/>
      <c r="G5412" s="1342"/>
      <c r="H5412" s="1342"/>
      <c r="I5412" s="1342"/>
      <c r="J5412" s="1342"/>
      <c r="K5412" s="1342"/>
    </row>
    <row r="5413" spans="2:11" ht="14" hidden="1">
      <c r="B5413" s="1342"/>
      <c r="C5413" s="1342"/>
      <c r="D5413" s="1342"/>
      <c r="E5413" s="1342"/>
      <c r="F5413" s="1342"/>
      <c r="G5413" s="1342"/>
      <c r="H5413" s="1342"/>
      <c r="I5413" s="1342"/>
      <c r="J5413" s="1342"/>
      <c r="K5413" s="1342"/>
    </row>
    <row r="5414" spans="2:11" ht="14" hidden="1">
      <c r="B5414" s="1342"/>
      <c r="C5414" s="1342"/>
      <c r="D5414" s="1342"/>
      <c r="E5414" s="1342"/>
      <c r="F5414" s="1342"/>
      <c r="G5414" s="1342"/>
      <c r="H5414" s="1342"/>
      <c r="I5414" s="1342"/>
      <c r="J5414" s="1342"/>
      <c r="K5414" s="1342"/>
    </row>
    <row r="5415" spans="2:11" ht="14" hidden="1">
      <c r="B5415" s="1342"/>
      <c r="C5415" s="1342"/>
      <c r="D5415" s="1342"/>
      <c r="E5415" s="1342"/>
      <c r="F5415" s="1342"/>
      <c r="G5415" s="1342"/>
      <c r="H5415" s="1342"/>
      <c r="I5415" s="1342"/>
      <c r="J5415" s="1342"/>
      <c r="K5415" s="1342"/>
    </row>
    <row r="5416" spans="2:11" ht="14" hidden="1">
      <c r="B5416" s="1342"/>
      <c r="C5416" s="1342"/>
      <c r="D5416" s="1342"/>
      <c r="E5416" s="1342"/>
      <c r="F5416" s="1342"/>
      <c r="G5416" s="1342"/>
      <c r="H5416" s="1342"/>
      <c r="I5416" s="1342"/>
      <c r="J5416" s="1342"/>
      <c r="K5416" s="1342"/>
    </row>
    <row r="5417" spans="2:11" ht="14" hidden="1">
      <c r="B5417" s="1342"/>
      <c r="C5417" s="1342"/>
      <c r="D5417" s="1342"/>
      <c r="E5417" s="1342"/>
      <c r="F5417" s="1342"/>
      <c r="G5417" s="1342"/>
      <c r="H5417" s="1342"/>
      <c r="I5417" s="1342"/>
      <c r="J5417" s="1342"/>
      <c r="K5417" s="1342"/>
    </row>
    <row r="5418" spans="2:11" ht="14" hidden="1">
      <c r="B5418" s="1342"/>
      <c r="C5418" s="1342"/>
      <c r="D5418" s="1342"/>
      <c r="E5418" s="1342"/>
      <c r="F5418" s="1342"/>
      <c r="G5418" s="1342"/>
      <c r="H5418" s="1342"/>
      <c r="I5418" s="1342"/>
      <c r="J5418" s="1342"/>
      <c r="K5418" s="1342"/>
    </row>
    <row r="5419" spans="2:11" ht="14" hidden="1">
      <c r="B5419" s="1342"/>
      <c r="C5419" s="1342"/>
      <c r="D5419" s="1342"/>
      <c r="E5419" s="1342"/>
      <c r="F5419" s="1342"/>
      <c r="G5419" s="1342"/>
      <c r="H5419" s="1342"/>
      <c r="I5419" s="1342"/>
      <c r="J5419" s="1342"/>
      <c r="K5419" s="1342"/>
    </row>
    <row r="5420" spans="2:11" ht="14" hidden="1">
      <c r="B5420" s="1342"/>
      <c r="C5420" s="1342"/>
      <c r="D5420" s="1342"/>
      <c r="E5420" s="1342"/>
      <c r="F5420" s="1342"/>
      <c r="G5420" s="1342"/>
      <c r="H5420" s="1342"/>
      <c r="I5420" s="1342"/>
      <c r="J5420" s="1342"/>
      <c r="K5420" s="1342"/>
    </row>
    <row r="5421" spans="2:11" ht="14" hidden="1">
      <c r="B5421" s="1342"/>
      <c r="C5421" s="1342"/>
      <c r="D5421" s="1342"/>
      <c r="E5421" s="1342"/>
      <c r="F5421" s="1342"/>
      <c r="G5421" s="1342"/>
      <c r="H5421" s="1342"/>
      <c r="I5421" s="1342"/>
      <c r="J5421" s="1342"/>
      <c r="K5421" s="1342"/>
    </row>
    <row r="5422" spans="2:11" ht="14" hidden="1">
      <c r="B5422" s="1342"/>
      <c r="C5422" s="1342"/>
      <c r="D5422" s="1342"/>
      <c r="E5422" s="1342"/>
      <c r="F5422" s="1342"/>
      <c r="G5422" s="1342"/>
      <c r="H5422" s="1342"/>
      <c r="I5422" s="1342"/>
      <c r="J5422" s="1342"/>
      <c r="K5422" s="1342"/>
    </row>
    <row r="5423" spans="2:11" ht="14" hidden="1">
      <c r="B5423" s="1342"/>
      <c r="C5423" s="1342"/>
      <c r="D5423" s="1342"/>
      <c r="E5423" s="1342"/>
      <c r="F5423" s="1342"/>
      <c r="G5423" s="1342"/>
      <c r="H5423" s="1342"/>
      <c r="I5423" s="1342"/>
      <c r="J5423" s="1342"/>
      <c r="K5423" s="1342"/>
    </row>
    <row r="5424" spans="2:11" ht="14" hidden="1">
      <c r="B5424" s="1342"/>
      <c r="C5424" s="1342"/>
      <c r="D5424" s="1342"/>
      <c r="E5424" s="1342"/>
      <c r="F5424" s="1342"/>
      <c r="G5424" s="1342"/>
      <c r="H5424" s="1342"/>
      <c r="I5424" s="1342"/>
      <c r="J5424" s="1342"/>
      <c r="K5424" s="1342"/>
    </row>
    <row r="5425" spans="2:11" ht="14" hidden="1">
      <c r="B5425" s="1342"/>
      <c r="C5425" s="1342"/>
      <c r="D5425" s="1342"/>
      <c r="E5425" s="1342"/>
      <c r="F5425" s="1342"/>
      <c r="G5425" s="1342"/>
      <c r="H5425" s="1342"/>
      <c r="I5425" s="1342"/>
      <c r="J5425" s="1342"/>
      <c r="K5425" s="1342"/>
    </row>
    <row r="5426" spans="2:11" ht="14" hidden="1">
      <c r="B5426" s="1342"/>
      <c r="C5426" s="1342"/>
      <c r="D5426" s="1342"/>
      <c r="E5426" s="1342"/>
      <c r="F5426" s="1342"/>
      <c r="G5426" s="1342"/>
      <c r="H5426" s="1342"/>
      <c r="I5426" s="1342"/>
      <c r="J5426" s="1342"/>
      <c r="K5426" s="1342"/>
    </row>
    <row r="5427" spans="2:11" ht="14" hidden="1">
      <c r="B5427" s="1342"/>
      <c r="C5427" s="1342"/>
      <c r="D5427" s="1342"/>
      <c r="E5427" s="1342"/>
      <c r="F5427" s="1342"/>
      <c r="G5427" s="1342"/>
      <c r="H5427" s="1342"/>
      <c r="I5427" s="1342"/>
      <c r="J5427" s="1342"/>
      <c r="K5427" s="1342"/>
    </row>
    <row r="5428" spans="2:11" ht="14" hidden="1">
      <c r="B5428" s="1342"/>
      <c r="C5428" s="1342"/>
      <c r="D5428" s="1342"/>
      <c r="E5428" s="1342"/>
      <c r="F5428" s="1342"/>
      <c r="G5428" s="1342"/>
      <c r="H5428" s="1342"/>
      <c r="I5428" s="1342"/>
      <c r="J5428" s="1342"/>
      <c r="K5428" s="1342"/>
    </row>
    <row r="5429" spans="2:11" ht="14" hidden="1">
      <c r="B5429" s="1342"/>
      <c r="C5429" s="1342"/>
      <c r="D5429" s="1342"/>
      <c r="E5429" s="1342"/>
      <c r="F5429" s="1342"/>
      <c r="G5429" s="1342"/>
      <c r="H5429" s="1342"/>
      <c r="I5429" s="1342"/>
      <c r="J5429" s="1342"/>
      <c r="K5429" s="1342"/>
    </row>
    <row r="5430" spans="2:11" ht="14" hidden="1">
      <c r="B5430" s="1342"/>
      <c r="C5430" s="1342"/>
      <c r="D5430" s="1342"/>
      <c r="E5430" s="1342"/>
      <c r="F5430" s="1342"/>
      <c r="G5430" s="1342"/>
      <c r="H5430" s="1342"/>
      <c r="I5430" s="1342"/>
      <c r="J5430" s="1342"/>
      <c r="K5430" s="1342"/>
    </row>
    <row r="5431" spans="2:11" ht="14" hidden="1">
      <c r="B5431" s="1342"/>
      <c r="C5431" s="1342"/>
      <c r="D5431" s="1342"/>
      <c r="E5431" s="1342"/>
      <c r="F5431" s="1342"/>
      <c r="G5431" s="1342"/>
      <c r="H5431" s="1342"/>
      <c r="I5431" s="1342"/>
      <c r="J5431" s="1342"/>
      <c r="K5431" s="1342"/>
    </row>
    <row r="5432" spans="2:11" ht="14" hidden="1">
      <c r="B5432" s="1342"/>
      <c r="C5432" s="1342"/>
      <c r="D5432" s="1342"/>
      <c r="E5432" s="1342"/>
      <c r="F5432" s="1342"/>
      <c r="G5432" s="1342"/>
      <c r="H5432" s="1342"/>
      <c r="I5432" s="1342"/>
      <c r="J5432" s="1342"/>
      <c r="K5432" s="1342"/>
    </row>
    <row r="5433" spans="2:11" ht="14" hidden="1">
      <c r="B5433" s="1342"/>
      <c r="C5433" s="1342"/>
      <c r="D5433" s="1342"/>
      <c r="E5433" s="1342"/>
      <c r="F5433" s="1342"/>
      <c r="G5433" s="1342"/>
      <c r="H5433" s="1342"/>
      <c r="I5433" s="1342"/>
      <c r="J5433" s="1342"/>
      <c r="K5433" s="1342"/>
    </row>
    <row r="5434" spans="2:11" ht="14" hidden="1">
      <c r="B5434" s="1342"/>
      <c r="C5434" s="1342"/>
      <c r="D5434" s="1342"/>
      <c r="E5434" s="1342"/>
      <c r="F5434" s="1342"/>
      <c r="G5434" s="1342"/>
      <c r="H5434" s="1342"/>
      <c r="I5434" s="1342"/>
      <c r="J5434" s="1342"/>
      <c r="K5434" s="1342"/>
    </row>
    <row r="5435" spans="2:11" ht="14" hidden="1">
      <c r="B5435" s="1342"/>
      <c r="C5435" s="1342"/>
      <c r="D5435" s="1342"/>
      <c r="E5435" s="1342"/>
      <c r="F5435" s="1342"/>
      <c r="G5435" s="1342"/>
      <c r="H5435" s="1342"/>
      <c r="I5435" s="1342"/>
      <c r="J5435" s="1342"/>
      <c r="K5435" s="1342"/>
    </row>
    <row r="5436" spans="2:11" ht="14" hidden="1">
      <c r="B5436" s="1342"/>
      <c r="C5436" s="1342"/>
      <c r="D5436" s="1342"/>
      <c r="E5436" s="1342"/>
      <c r="F5436" s="1342"/>
      <c r="G5436" s="1342"/>
      <c r="H5436" s="1342"/>
      <c r="I5436" s="1342"/>
      <c r="J5436" s="1342"/>
      <c r="K5436" s="1342"/>
    </row>
    <row r="5437" spans="2:11" ht="14" hidden="1">
      <c r="B5437" s="1342"/>
      <c r="C5437" s="1342"/>
      <c r="D5437" s="1342"/>
      <c r="E5437" s="1342"/>
      <c r="F5437" s="1342"/>
      <c r="G5437" s="1342"/>
      <c r="H5437" s="1342"/>
      <c r="I5437" s="1342"/>
      <c r="J5437" s="1342"/>
      <c r="K5437" s="1342"/>
    </row>
    <row r="5438" spans="2:11" ht="14" hidden="1">
      <c r="B5438" s="1342"/>
      <c r="C5438" s="1342"/>
      <c r="D5438" s="1342"/>
      <c r="E5438" s="1342"/>
      <c r="F5438" s="1342"/>
      <c r="G5438" s="1342"/>
      <c r="H5438" s="1342"/>
      <c r="I5438" s="1342"/>
      <c r="J5438" s="1342"/>
      <c r="K5438" s="1342"/>
    </row>
    <row r="5439" spans="2:11" ht="14" hidden="1">
      <c r="B5439" s="1342"/>
      <c r="C5439" s="1342"/>
      <c r="D5439" s="1342"/>
      <c r="E5439" s="1342"/>
      <c r="F5439" s="1342"/>
      <c r="G5439" s="1342"/>
      <c r="H5439" s="1342"/>
      <c r="I5439" s="1342"/>
      <c r="J5439" s="1342"/>
      <c r="K5439" s="1342"/>
    </row>
    <row r="5440" spans="2:11" ht="14" hidden="1">
      <c r="B5440" s="1342"/>
      <c r="C5440" s="1342"/>
      <c r="D5440" s="1342"/>
      <c r="E5440" s="1342"/>
      <c r="F5440" s="1342"/>
      <c r="G5440" s="1342"/>
      <c r="H5440" s="1342"/>
      <c r="I5440" s="1342"/>
      <c r="J5440" s="1342"/>
      <c r="K5440" s="1342"/>
    </row>
    <row r="5441" spans="2:11" ht="14" hidden="1">
      <c r="B5441" s="1342"/>
      <c r="C5441" s="1342"/>
      <c r="D5441" s="1342"/>
      <c r="E5441" s="1342"/>
      <c r="F5441" s="1342"/>
      <c r="G5441" s="1342"/>
      <c r="H5441" s="1342"/>
      <c r="I5441" s="1342"/>
      <c r="J5441" s="1342"/>
      <c r="K5441" s="1342"/>
    </row>
    <row r="5442" spans="2:11" ht="14" hidden="1">
      <c r="B5442" s="1342"/>
      <c r="C5442" s="1342"/>
      <c r="D5442" s="1342"/>
      <c r="E5442" s="1342"/>
      <c r="F5442" s="1342"/>
      <c r="G5442" s="1342"/>
      <c r="H5442" s="1342"/>
      <c r="I5442" s="1342"/>
      <c r="J5442" s="1342"/>
      <c r="K5442" s="1342"/>
    </row>
    <row r="5443" spans="2:11" ht="14" hidden="1">
      <c r="B5443" s="1342"/>
      <c r="C5443" s="1342"/>
      <c r="D5443" s="1342"/>
      <c r="E5443" s="1342"/>
      <c r="F5443" s="1342"/>
      <c r="G5443" s="1342"/>
      <c r="H5443" s="1342"/>
      <c r="I5443" s="1342"/>
      <c r="J5443" s="1342"/>
      <c r="K5443" s="1342"/>
    </row>
    <row r="5444" spans="2:11" ht="14" hidden="1">
      <c r="B5444" s="1342"/>
      <c r="C5444" s="1342"/>
      <c r="D5444" s="1342"/>
      <c r="E5444" s="1342"/>
      <c r="F5444" s="1342"/>
      <c r="G5444" s="1342"/>
      <c r="H5444" s="1342"/>
      <c r="I5444" s="1342"/>
      <c r="J5444" s="1342"/>
      <c r="K5444" s="1342"/>
    </row>
    <row r="5445" spans="2:11" ht="14" hidden="1">
      <c r="B5445" s="1342"/>
      <c r="C5445" s="1342"/>
      <c r="D5445" s="1342"/>
      <c r="E5445" s="1342"/>
      <c r="F5445" s="1342"/>
      <c r="G5445" s="1342"/>
      <c r="H5445" s="1342"/>
      <c r="I5445" s="1342"/>
      <c r="J5445" s="1342"/>
      <c r="K5445" s="1342"/>
    </row>
    <row r="5446" spans="2:11" ht="14" hidden="1">
      <c r="B5446" s="1342"/>
      <c r="C5446" s="1342"/>
      <c r="D5446" s="1342"/>
      <c r="E5446" s="1342"/>
      <c r="F5446" s="1342"/>
      <c r="G5446" s="1342"/>
      <c r="H5446" s="1342"/>
      <c r="I5446" s="1342"/>
      <c r="J5446" s="1342"/>
      <c r="K5446" s="1342"/>
    </row>
    <row r="5447" spans="2:11" ht="14" hidden="1">
      <c r="B5447" s="1342"/>
      <c r="C5447" s="1342"/>
      <c r="D5447" s="1342"/>
      <c r="E5447" s="1342"/>
      <c r="F5447" s="1342"/>
      <c r="G5447" s="1342"/>
      <c r="H5447" s="1342"/>
      <c r="I5447" s="1342"/>
      <c r="J5447" s="1342"/>
      <c r="K5447" s="1342"/>
    </row>
    <row r="5448" spans="2:11" ht="14" hidden="1">
      <c r="B5448" s="1342"/>
      <c r="C5448" s="1342"/>
      <c r="D5448" s="1342"/>
      <c r="E5448" s="1342"/>
      <c r="F5448" s="1342"/>
      <c r="G5448" s="1342"/>
      <c r="H5448" s="1342"/>
      <c r="I5448" s="1342"/>
      <c r="J5448" s="1342"/>
      <c r="K5448" s="1342"/>
    </row>
    <row r="5449" spans="2:11" ht="14" hidden="1">
      <c r="B5449" s="1342"/>
      <c r="C5449" s="1342"/>
      <c r="D5449" s="1342"/>
      <c r="E5449" s="1342"/>
      <c r="F5449" s="1342"/>
      <c r="G5449" s="1342"/>
      <c r="H5449" s="1342"/>
      <c r="I5449" s="1342"/>
      <c r="J5449" s="1342"/>
      <c r="K5449" s="1342"/>
    </row>
    <row r="5450" spans="2:11" ht="14" hidden="1">
      <c r="B5450" s="1342"/>
      <c r="C5450" s="1342"/>
      <c r="D5450" s="1342"/>
      <c r="E5450" s="1342"/>
      <c r="F5450" s="1342"/>
      <c r="G5450" s="1342"/>
      <c r="H5450" s="1342"/>
      <c r="I5450" s="1342"/>
      <c r="J5450" s="1342"/>
      <c r="K5450" s="1342"/>
    </row>
    <row r="5451" spans="2:11" ht="14" hidden="1">
      <c r="B5451" s="1342"/>
      <c r="C5451" s="1342"/>
      <c r="D5451" s="1342"/>
      <c r="E5451" s="1342"/>
      <c r="F5451" s="1342"/>
      <c r="G5451" s="1342"/>
      <c r="H5451" s="1342"/>
      <c r="I5451" s="1342"/>
      <c r="J5451" s="1342"/>
      <c r="K5451" s="1342"/>
    </row>
    <row r="5452" spans="2:11" ht="14" hidden="1">
      <c r="B5452" s="1342"/>
      <c r="C5452" s="1342"/>
      <c r="D5452" s="1342"/>
      <c r="E5452" s="1342"/>
      <c r="F5452" s="1342"/>
      <c r="G5452" s="1342"/>
      <c r="H5452" s="1342"/>
      <c r="I5452" s="1342"/>
      <c r="J5452" s="1342"/>
      <c r="K5452" s="1342"/>
    </row>
    <row r="5453" spans="2:11" ht="14" hidden="1">
      <c r="B5453" s="1342"/>
      <c r="C5453" s="1342"/>
      <c r="D5453" s="1342"/>
      <c r="E5453" s="1342"/>
      <c r="F5453" s="1342"/>
      <c r="G5453" s="1342"/>
      <c r="H5453" s="1342"/>
      <c r="I5453" s="1342"/>
      <c r="J5453" s="1342"/>
      <c r="K5453" s="1342"/>
    </row>
    <row r="5454" spans="2:11" ht="14" hidden="1">
      <c r="B5454" s="1342"/>
      <c r="C5454" s="1342"/>
      <c r="D5454" s="1342"/>
      <c r="E5454" s="1342"/>
      <c r="F5454" s="1342"/>
      <c r="G5454" s="1342"/>
      <c r="H5454" s="1342"/>
      <c r="I5454" s="1342"/>
      <c r="J5454" s="1342"/>
      <c r="K5454" s="1342"/>
    </row>
    <row r="5455" spans="2:11" ht="14" hidden="1">
      <c r="B5455" s="1342"/>
      <c r="C5455" s="1342"/>
      <c r="D5455" s="1342"/>
      <c r="E5455" s="1342"/>
      <c r="F5455" s="1342"/>
      <c r="G5455" s="1342"/>
      <c r="H5455" s="1342"/>
      <c r="I5455" s="1342"/>
      <c r="J5455" s="1342"/>
      <c r="K5455" s="1342"/>
    </row>
    <row r="5456" spans="2:11" ht="14" hidden="1">
      <c r="B5456" s="1342"/>
      <c r="C5456" s="1342"/>
      <c r="D5456" s="1342"/>
      <c r="E5456" s="1342"/>
      <c r="F5456" s="1342"/>
      <c r="G5456" s="1342"/>
      <c r="H5456" s="1342"/>
      <c r="I5456" s="1342"/>
      <c r="J5456" s="1342"/>
      <c r="K5456" s="1342"/>
    </row>
    <row r="5457" spans="2:11" ht="14" hidden="1">
      <c r="B5457" s="1342"/>
      <c r="C5457" s="1342"/>
      <c r="D5457" s="1342"/>
      <c r="E5457" s="1342"/>
      <c r="F5457" s="1342"/>
      <c r="G5457" s="1342"/>
      <c r="H5457" s="1342"/>
      <c r="I5457" s="1342"/>
      <c r="J5457" s="1342"/>
      <c r="K5457" s="1342"/>
    </row>
    <row r="5458" spans="2:11" ht="14" hidden="1">
      <c r="B5458" s="1342"/>
      <c r="C5458" s="1342"/>
      <c r="D5458" s="1342"/>
      <c r="E5458" s="1342"/>
      <c r="F5458" s="1342"/>
      <c r="G5458" s="1342"/>
      <c r="H5458" s="1342"/>
      <c r="I5458" s="1342"/>
      <c r="J5458" s="1342"/>
      <c r="K5458" s="1342"/>
    </row>
    <row r="5459" spans="2:11" ht="14" hidden="1">
      <c r="B5459" s="1342"/>
      <c r="C5459" s="1342"/>
      <c r="D5459" s="1342"/>
      <c r="E5459" s="1342"/>
      <c r="F5459" s="1342"/>
      <c r="G5459" s="1342"/>
      <c r="H5459" s="1342"/>
      <c r="I5459" s="1342"/>
      <c r="J5459" s="1342"/>
      <c r="K5459" s="1342"/>
    </row>
    <row r="5460" spans="2:11" ht="14" hidden="1">
      <c r="B5460" s="1342"/>
      <c r="C5460" s="1342"/>
      <c r="D5460" s="1342"/>
      <c r="E5460" s="1342"/>
      <c r="F5460" s="1342"/>
      <c r="G5460" s="1342"/>
      <c r="H5460" s="1342"/>
      <c r="I5460" s="1342"/>
      <c r="J5460" s="1342"/>
      <c r="K5460" s="1342"/>
    </row>
    <row r="5461" spans="2:11" ht="14" hidden="1">
      <c r="B5461" s="1342"/>
      <c r="C5461" s="1342"/>
      <c r="D5461" s="1342"/>
      <c r="E5461" s="1342"/>
      <c r="F5461" s="1342"/>
      <c r="G5461" s="1342"/>
      <c r="H5461" s="1342"/>
      <c r="I5461" s="1342"/>
      <c r="J5461" s="1342"/>
      <c r="K5461" s="1342"/>
    </row>
    <row r="5462" spans="2:11" ht="14" hidden="1">
      <c r="B5462" s="1342"/>
      <c r="C5462" s="1342"/>
      <c r="D5462" s="1342"/>
      <c r="E5462" s="1342"/>
      <c r="F5462" s="1342"/>
      <c r="G5462" s="1342"/>
      <c r="H5462" s="1342"/>
      <c r="I5462" s="1342"/>
      <c r="J5462" s="1342"/>
      <c r="K5462" s="1342"/>
    </row>
    <row r="5463" spans="2:11" ht="14" hidden="1">
      <c r="B5463" s="1342"/>
      <c r="C5463" s="1342"/>
      <c r="D5463" s="1342"/>
      <c r="E5463" s="1342"/>
      <c r="F5463" s="1342"/>
      <c r="G5463" s="1342"/>
      <c r="H5463" s="1342"/>
      <c r="I5463" s="1342"/>
      <c r="J5463" s="1342"/>
      <c r="K5463" s="1342"/>
    </row>
    <row r="5464" spans="2:11" ht="14" hidden="1">
      <c r="B5464" s="1342"/>
      <c r="C5464" s="1342"/>
      <c r="D5464" s="1342"/>
      <c r="E5464" s="1342"/>
      <c r="F5464" s="1342"/>
      <c r="G5464" s="1342"/>
      <c r="H5464" s="1342"/>
      <c r="I5464" s="1342"/>
      <c r="J5464" s="1342"/>
      <c r="K5464" s="1342"/>
    </row>
    <row r="5465" spans="2:11" ht="14" hidden="1">
      <c r="B5465" s="1342"/>
      <c r="C5465" s="1342"/>
      <c r="D5465" s="1342"/>
      <c r="E5465" s="1342"/>
      <c r="F5465" s="1342"/>
      <c r="G5465" s="1342"/>
      <c r="H5465" s="1342"/>
      <c r="I5465" s="1342"/>
      <c r="J5465" s="1342"/>
      <c r="K5465" s="1342"/>
    </row>
    <row r="5466" spans="2:11" ht="14" hidden="1">
      <c r="B5466" s="1342"/>
      <c r="C5466" s="1342"/>
      <c r="D5466" s="1342"/>
      <c r="E5466" s="1342"/>
      <c r="F5466" s="1342"/>
      <c r="G5466" s="1342"/>
      <c r="H5466" s="1342"/>
      <c r="I5466" s="1342"/>
      <c r="J5466" s="1342"/>
      <c r="K5466" s="1342"/>
    </row>
    <row r="5467" spans="2:11" ht="14" hidden="1">
      <c r="B5467" s="1342"/>
      <c r="C5467" s="1342"/>
      <c r="D5467" s="1342"/>
      <c r="E5467" s="1342"/>
      <c r="F5467" s="1342"/>
      <c r="G5467" s="1342"/>
      <c r="H5467" s="1342"/>
      <c r="I5467" s="1342"/>
      <c r="J5467" s="1342"/>
      <c r="K5467" s="1342"/>
    </row>
    <row r="5468" spans="2:11" ht="14" hidden="1">
      <c r="B5468" s="1342"/>
      <c r="C5468" s="1342"/>
      <c r="D5468" s="1342"/>
      <c r="E5468" s="1342"/>
      <c r="F5468" s="1342"/>
      <c r="G5468" s="1342"/>
      <c r="H5468" s="1342"/>
      <c r="I5468" s="1342"/>
      <c r="J5468" s="1342"/>
      <c r="K5468" s="1342"/>
    </row>
    <row r="5469" spans="2:11" ht="14" hidden="1">
      <c r="B5469" s="1342"/>
      <c r="C5469" s="1342"/>
      <c r="D5469" s="1342"/>
      <c r="E5469" s="1342"/>
      <c r="F5469" s="1342"/>
      <c r="G5469" s="1342"/>
      <c r="H5469" s="1342"/>
      <c r="I5469" s="1342"/>
      <c r="J5469" s="1342"/>
      <c r="K5469" s="1342"/>
    </row>
    <row r="5470" spans="2:11" ht="14" hidden="1">
      <c r="B5470" s="1342"/>
      <c r="C5470" s="1342"/>
      <c r="D5470" s="1342"/>
      <c r="E5470" s="1342"/>
      <c r="F5470" s="1342"/>
      <c r="G5470" s="1342"/>
      <c r="H5470" s="1342"/>
      <c r="I5470" s="1342"/>
      <c r="J5470" s="1342"/>
      <c r="K5470" s="1342"/>
    </row>
    <row r="5471" spans="2:11" ht="14" hidden="1">
      <c r="B5471" s="1342"/>
      <c r="C5471" s="1342"/>
      <c r="D5471" s="1342"/>
      <c r="E5471" s="1342"/>
      <c r="F5471" s="1342"/>
      <c r="G5471" s="1342"/>
      <c r="H5471" s="1342"/>
      <c r="I5471" s="1342"/>
      <c r="J5471" s="1342"/>
      <c r="K5471" s="1342"/>
    </row>
    <row r="5472" spans="2:11" ht="14" hidden="1">
      <c r="B5472" s="1342"/>
      <c r="C5472" s="1342"/>
      <c r="D5472" s="1342"/>
      <c r="E5472" s="1342"/>
      <c r="F5472" s="1342"/>
      <c r="G5472" s="1342"/>
      <c r="H5472" s="1342"/>
      <c r="I5472" s="1342"/>
      <c r="J5472" s="1342"/>
      <c r="K5472" s="1342"/>
    </row>
    <row r="5473" spans="2:11" ht="14" hidden="1">
      <c r="B5473" s="1342"/>
      <c r="C5473" s="1342"/>
      <c r="D5473" s="1342"/>
      <c r="E5473" s="1342"/>
      <c r="F5473" s="1342"/>
      <c r="G5473" s="1342"/>
      <c r="H5473" s="1342"/>
      <c r="I5473" s="1342"/>
      <c r="J5473" s="1342"/>
      <c r="K5473" s="1342"/>
    </row>
    <row r="5474" spans="2:11" ht="14" hidden="1">
      <c r="B5474" s="1342"/>
      <c r="C5474" s="1342"/>
      <c r="D5474" s="1342"/>
      <c r="E5474" s="1342"/>
      <c r="F5474" s="1342"/>
      <c r="G5474" s="1342"/>
      <c r="H5474" s="1342"/>
      <c r="I5474" s="1342"/>
      <c r="J5474" s="1342"/>
      <c r="K5474" s="1342"/>
    </row>
    <row r="5475" spans="2:11" ht="14" hidden="1">
      <c r="B5475" s="1342"/>
      <c r="C5475" s="1342"/>
      <c r="D5475" s="1342"/>
      <c r="E5475" s="1342"/>
      <c r="F5475" s="1342"/>
      <c r="G5475" s="1342"/>
      <c r="H5475" s="1342"/>
      <c r="I5475" s="1342"/>
      <c r="J5475" s="1342"/>
      <c r="K5475" s="1342"/>
    </row>
    <row r="5476" spans="2:11" ht="14" hidden="1">
      <c r="B5476" s="1342"/>
      <c r="C5476" s="1342"/>
      <c r="D5476" s="1342"/>
      <c r="E5476" s="1342"/>
      <c r="F5476" s="1342"/>
      <c r="G5476" s="1342"/>
      <c r="H5476" s="1342"/>
      <c r="I5476" s="1342"/>
      <c r="J5476" s="1342"/>
      <c r="K5476" s="1342"/>
    </row>
    <row r="5477" spans="2:11" ht="14" hidden="1">
      <c r="B5477" s="1342"/>
      <c r="C5477" s="1342"/>
      <c r="D5477" s="1342"/>
      <c r="E5477" s="1342"/>
      <c r="F5477" s="1342"/>
      <c r="G5477" s="1342"/>
      <c r="H5477" s="1342"/>
      <c r="I5477" s="1342"/>
      <c r="J5477" s="1342"/>
      <c r="K5477" s="1342"/>
    </row>
    <row r="5478" spans="2:11" ht="14" hidden="1">
      <c r="B5478" s="1342"/>
      <c r="C5478" s="1342"/>
      <c r="D5478" s="1342"/>
      <c r="E5478" s="1342"/>
      <c r="F5478" s="1342"/>
      <c r="G5478" s="1342"/>
      <c r="H5478" s="1342"/>
      <c r="I5478" s="1342"/>
      <c r="J5478" s="1342"/>
      <c r="K5478" s="1342"/>
    </row>
    <row r="5479" spans="2:11" ht="14" hidden="1">
      <c r="B5479" s="1342"/>
      <c r="C5479" s="1342"/>
      <c r="D5479" s="1342"/>
      <c r="E5479" s="1342"/>
      <c r="F5479" s="1342"/>
      <c r="G5479" s="1342"/>
      <c r="H5479" s="1342"/>
      <c r="I5479" s="1342"/>
      <c r="J5479" s="1342"/>
      <c r="K5479" s="1342"/>
    </row>
    <row r="5480" spans="2:11" ht="14" hidden="1">
      <c r="B5480" s="1342"/>
      <c r="C5480" s="1342"/>
      <c r="D5480" s="1342"/>
      <c r="E5480" s="1342"/>
      <c r="F5480" s="1342"/>
      <c r="G5480" s="1342"/>
      <c r="H5480" s="1342"/>
      <c r="I5480" s="1342"/>
      <c r="J5480" s="1342"/>
      <c r="K5480" s="1342"/>
    </row>
    <row r="5481" spans="2:11" ht="14" hidden="1">
      <c r="B5481" s="1342"/>
      <c r="C5481" s="1342"/>
      <c r="D5481" s="1342"/>
      <c r="E5481" s="1342"/>
      <c r="F5481" s="1342"/>
      <c r="G5481" s="1342"/>
      <c r="H5481" s="1342"/>
      <c r="I5481" s="1342"/>
      <c r="J5481" s="1342"/>
      <c r="K5481" s="1342"/>
    </row>
    <row r="5482" spans="2:11" ht="14" hidden="1">
      <c r="B5482" s="1342"/>
      <c r="C5482" s="1342"/>
      <c r="D5482" s="1342"/>
      <c r="E5482" s="1342"/>
      <c r="F5482" s="1342"/>
      <c r="G5482" s="1342"/>
      <c r="H5482" s="1342"/>
      <c r="I5482" s="1342"/>
      <c r="J5482" s="1342"/>
      <c r="K5482" s="1342"/>
    </row>
    <row r="5483" spans="2:11" ht="14" hidden="1">
      <c r="B5483" s="1342"/>
      <c r="C5483" s="1342"/>
      <c r="D5483" s="1342"/>
      <c r="E5483" s="1342"/>
      <c r="F5483" s="1342"/>
      <c r="G5483" s="1342"/>
      <c r="H5483" s="1342"/>
      <c r="I5483" s="1342"/>
      <c r="J5483" s="1342"/>
      <c r="K5483" s="1342"/>
    </row>
    <row r="5484" spans="2:11" ht="14" hidden="1">
      <c r="B5484" s="1342"/>
      <c r="C5484" s="1342"/>
      <c r="D5484" s="1342"/>
      <c r="E5484" s="1342"/>
      <c r="F5484" s="1342"/>
      <c r="G5484" s="1342"/>
      <c r="H5484" s="1342"/>
      <c r="I5484" s="1342"/>
      <c r="J5484" s="1342"/>
      <c r="K5484" s="1342"/>
    </row>
    <row r="5485" spans="2:11" ht="14" hidden="1">
      <c r="B5485" s="1342"/>
      <c r="C5485" s="1342"/>
      <c r="D5485" s="1342"/>
      <c r="E5485" s="1342"/>
      <c r="F5485" s="1342"/>
      <c r="G5485" s="1342"/>
      <c r="H5485" s="1342"/>
      <c r="I5485" s="1342"/>
      <c r="J5485" s="1342"/>
      <c r="K5485" s="1342"/>
    </row>
    <row r="5486" spans="2:11" ht="14" hidden="1">
      <c r="B5486" s="1342"/>
      <c r="C5486" s="1342"/>
      <c r="D5486" s="1342"/>
      <c r="E5486" s="1342"/>
      <c r="F5486" s="1342"/>
      <c r="G5486" s="1342"/>
      <c r="H5486" s="1342"/>
      <c r="I5486" s="1342"/>
      <c r="J5486" s="1342"/>
      <c r="K5486" s="1342"/>
    </row>
    <row r="5487" spans="2:11" ht="14" hidden="1">
      <c r="B5487" s="1342"/>
      <c r="C5487" s="1342"/>
      <c r="D5487" s="1342"/>
      <c r="E5487" s="1342"/>
      <c r="F5487" s="1342"/>
      <c r="G5487" s="1342"/>
      <c r="H5487" s="1342"/>
      <c r="I5487" s="1342"/>
      <c r="J5487" s="1342"/>
      <c r="K5487" s="1342"/>
    </row>
    <row r="5488" spans="2:11" ht="14" hidden="1">
      <c r="B5488" s="1342"/>
      <c r="C5488" s="1342"/>
      <c r="D5488" s="1342"/>
      <c r="E5488" s="1342"/>
      <c r="F5488" s="1342"/>
      <c r="G5488" s="1342"/>
      <c r="H5488" s="1342"/>
      <c r="I5488" s="1342"/>
      <c r="J5488" s="1342"/>
      <c r="K5488" s="1342"/>
    </row>
    <row r="5489" spans="2:11" ht="14" hidden="1">
      <c r="B5489" s="1342"/>
      <c r="C5489" s="1342"/>
      <c r="D5489" s="1342"/>
      <c r="E5489" s="1342"/>
      <c r="F5489" s="1342"/>
      <c r="G5489" s="1342"/>
      <c r="H5489" s="1342"/>
      <c r="I5489" s="1342"/>
      <c r="J5489" s="1342"/>
      <c r="K5489" s="1342"/>
    </row>
    <row r="5490" spans="2:11" ht="14" hidden="1">
      <c r="B5490" s="1342"/>
      <c r="C5490" s="1342"/>
      <c r="D5490" s="1342"/>
      <c r="E5490" s="1342"/>
      <c r="F5490" s="1342"/>
      <c r="G5490" s="1342"/>
      <c r="H5490" s="1342"/>
      <c r="I5490" s="1342"/>
      <c r="J5490" s="1342"/>
      <c r="K5490" s="1342"/>
    </row>
    <row r="5491" spans="2:11" ht="14" hidden="1">
      <c r="B5491" s="1342"/>
      <c r="C5491" s="1342"/>
      <c r="D5491" s="1342"/>
      <c r="E5491" s="1342"/>
      <c r="F5491" s="1342"/>
      <c r="G5491" s="1342"/>
      <c r="H5491" s="1342"/>
      <c r="I5491" s="1342"/>
      <c r="J5491" s="1342"/>
      <c r="K5491" s="1342"/>
    </row>
    <row r="5492" spans="2:11" ht="14" hidden="1">
      <c r="B5492" s="1342"/>
      <c r="C5492" s="1342"/>
      <c r="D5492" s="1342"/>
      <c r="E5492" s="1342"/>
      <c r="F5492" s="1342"/>
      <c r="G5492" s="1342"/>
      <c r="H5492" s="1342"/>
      <c r="I5492" s="1342"/>
      <c r="J5492" s="1342"/>
      <c r="K5492" s="1342"/>
    </row>
    <row r="5493" spans="2:11" ht="14" hidden="1">
      <c r="B5493" s="1342"/>
      <c r="C5493" s="1342"/>
      <c r="D5493" s="1342"/>
      <c r="E5493" s="1342"/>
      <c r="F5493" s="1342"/>
      <c r="G5493" s="1342"/>
      <c r="H5493" s="1342"/>
      <c r="I5493" s="1342"/>
      <c r="J5493" s="1342"/>
      <c r="K5493" s="1342"/>
    </row>
    <row r="5494" spans="2:11" ht="14" hidden="1">
      <c r="B5494" s="1342"/>
      <c r="C5494" s="1342"/>
      <c r="D5494" s="1342"/>
      <c r="E5494" s="1342"/>
      <c r="F5494" s="1342"/>
      <c r="G5494" s="1342"/>
      <c r="H5494" s="1342"/>
      <c r="I5494" s="1342"/>
      <c r="J5494" s="1342"/>
      <c r="K5494" s="1342"/>
    </row>
    <row r="5495" spans="2:11" ht="14" hidden="1">
      <c r="B5495" s="1342"/>
      <c r="C5495" s="1342"/>
      <c r="D5495" s="1342"/>
      <c r="E5495" s="1342"/>
      <c r="F5495" s="1342"/>
      <c r="G5495" s="1342"/>
      <c r="H5495" s="1342"/>
      <c r="I5495" s="1342"/>
      <c r="J5495" s="1342"/>
      <c r="K5495" s="1342"/>
    </row>
    <row r="5496" spans="2:11" ht="14" hidden="1">
      <c r="B5496" s="1342"/>
      <c r="C5496" s="1342"/>
      <c r="D5496" s="1342"/>
      <c r="E5496" s="1342"/>
      <c r="F5496" s="1342"/>
      <c r="G5496" s="1342"/>
      <c r="H5496" s="1342"/>
      <c r="I5496" s="1342"/>
      <c r="J5496" s="1342"/>
      <c r="K5496" s="1342"/>
    </row>
    <row r="5497" spans="2:11" ht="14" hidden="1">
      <c r="B5497" s="1342"/>
      <c r="C5497" s="1342"/>
      <c r="D5497" s="1342"/>
      <c r="E5497" s="1342"/>
      <c r="F5497" s="1342"/>
      <c r="G5497" s="1342"/>
      <c r="H5497" s="1342"/>
      <c r="I5497" s="1342"/>
      <c r="J5497" s="1342"/>
      <c r="K5497" s="1342"/>
    </row>
    <row r="5498" spans="2:11" ht="14" hidden="1">
      <c r="B5498" s="1342"/>
      <c r="C5498" s="1342"/>
      <c r="D5498" s="1342"/>
      <c r="E5498" s="1342"/>
      <c r="F5498" s="1342"/>
      <c r="G5498" s="1342"/>
      <c r="H5498" s="1342"/>
      <c r="I5498" s="1342"/>
      <c r="J5498" s="1342"/>
      <c r="K5498" s="1342"/>
    </row>
    <row r="5499" spans="2:11" ht="14" hidden="1">
      <c r="B5499" s="1342"/>
      <c r="C5499" s="1342"/>
      <c r="D5499" s="1342"/>
      <c r="E5499" s="1342"/>
      <c r="F5499" s="1342"/>
      <c r="G5499" s="1342"/>
      <c r="H5499" s="1342"/>
      <c r="I5499" s="1342"/>
      <c r="J5499" s="1342"/>
      <c r="K5499" s="1342"/>
    </row>
    <row r="5500" spans="2:11" ht="14" hidden="1">
      <c r="B5500" s="1342"/>
      <c r="C5500" s="1342"/>
      <c r="D5500" s="1342"/>
      <c r="E5500" s="1342"/>
      <c r="F5500" s="1342"/>
      <c r="G5500" s="1342"/>
      <c r="H5500" s="1342"/>
      <c r="I5500" s="1342"/>
      <c r="J5500" s="1342"/>
      <c r="K5500" s="1342"/>
    </row>
    <row r="5501" spans="2:11" ht="14" hidden="1">
      <c r="B5501" s="1342"/>
      <c r="C5501" s="1342"/>
      <c r="D5501" s="1342"/>
      <c r="E5501" s="1342"/>
      <c r="F5501" s="1342"/>
      <c r="G5501" s="1342"/>
      <c r="H5501" s="1342"/>
      <c r="I5501" s="1342"/>
      <c r="J5501" s="1342"/>
      <c r="K5501" s="1342"/>
    </row>
    <row r="5502" spans="2:11" ht="14" hidden="1">
      <c r="B5502" s="1342"/>
      <c r="C5502" s="1342"/>
      <c r="D5502" s="1342"/>
      <c r="E5502" s="1342"/>
      <c r="F5502" s="1342"/>
      <c r="G5502" s="1342"/>
      <c r="H5502" s="1342"/>
      <c r="I5502" s="1342"/>
      <c r="J5502" s="1342"/>
      <c r="K5502" s="1342"/>
    </row>
    <row r="5503" spans="2:11" ht="14" hidden="1">
      <c r="B5503" s="1342"/>
      <c r="C5503" s="1342"/>
      <c r="D5503" s="1342"/>
      <c r="E5503" s="1342"/>
      <c r="F5503" s="1342"/>
      <c r="G5503" s="1342"/>
      <c r="H5503" s="1342"/>
      <c r="I5503" s="1342"/>
      <c r="J5503" s="1342"/>
      <c r="K5503" s="1342"/>
    </row>
    <row r="5504" spans="2:11" ht="14" hidden="1">
      <c r="B5504" s="1342"/>
      <c r="C5504" s="1342"/>
      <c r="D5504" s="1342"/>
      <c r="E5504" s="1342"/>
      <c r="F5504" s="1342"/>
      <c r="G5504" s="1342"/>
      <c r="H5504" s="1342"/>
      <c r="I5504" s="1342"/>
      <c r="J5504" s="1342"/>
      <c r="K5504" s="1342"/>
    </row>
    <row r="5505" spans="2:11" ht="14" hidden="1">
      <c r="B5505" s="1342"/>
      <c r="C5505" s="1342"/>
      <c r="D5505" s="1342"/>
      <c r="E5505" s="1342"/>
      <c r="F5505" s="1342"/>
      <c r="G5505" s="1342"/>
      <c r="H5505" s="1342"/>
      <c r="I5505" s="1342"/>
      <c r="J5505" s="1342"/>
      <c r="K5505" s="1342"/>
    </row>
    <row r="5506" spans="2:11" ht="14" hidden="1">
      <c r="B5506" s="1342"/>
      <c r="C5506" s="1342"/>
      <c r="D5506" s="1342"/>
      <c r="E5506" s="1342"/>
      <c r="F5506" s="1342"/>
      <c r="G5506" s="1342"/>
      <c r="H5506" s="1342"/>
      <c r="I5506" s="1342"/>
      <c r="J5506" s="1342"/>
      <c r="K5506" s="1342"/>
    </row>
    <row r="5507" spans="2:11" ht="14" hidden="1">
      <c r="B5507" s="1342"/>
      <c r="C5507" s="1342"/>
      <c r="D5507" s="1342"/>
      <c r="E5507" s="1342"/>
      <c r="F5507" s="1342"/>
      <c r="G5507" s="1342"/>
      <c r="H5507" s="1342"/>
      <c r="I5507" s="1342"/>
      <c r="J5507" s="1342"/>
      <c r="K5507" s="1342"/>
    </row>
    <row r="5508" spans="2:11" ht="14" hidden="1">
      <c r="B5508" s="1342"/>
      <c r="C5508" s="1342"/>
      <c r="D5508" s="1342"/>
      <c r="E5508" s="1342"/>
      <c r="F5508" s="1342"/>
      <c r="G5508" s="1342"/>
      <c r="H5508" s="1342"/>
      <c r="I5508" s="1342"/>
      <c r="J5508" s="1342"/>
      <c r="K5508" s="1342"/>
    </row>
    <row r="5509" spans="2:11" ht="14" hidden="1">
      <c r="B5509" s="1342"/>
      <c r="C5509" s="1342"/>
      <c r="D5509" s="1342"/>
      <c r="E5509" s="1342"/>
      <c r="F5509" s="1342"/>
      <c r="G5509" s="1342"/>
      <c r="H5509" s="1342"/>
      <c r="I5509" s="1342"/>
      <c r="J5509" s="1342"/>
      <c r="K5509" s="1342"/>
    </row>
    <row r="5510" spans="2:11" ht="14" hidden="1">
      <c r="B5510" s="1342"/>
      <c r="C5510" s="1342"/>
      <c r="D5510" s="1342"/>
      <c r="E5510" s="1342"/>
      <c r="F5510" s="1342"/>
      <c r="G5510" s="1342"/>
      <c r="H5510" s="1342"/>
      <c r="I5510" s="1342"/>
      <c r="J5510" s="1342"/>
      <c r="K5510" s="1342"/>
    </row>
    <row r="5511" spans="2:11" ht="14" hidden="1">
      <c r="B5511" s="1342"/>
      <c r="C5511" s="1342"/>
      <c r="D5511" s="1342"/>
      <c r="E5511" s="1342"/>
      <c r="F5511" s="1342"/>
      <c r="G5511" s="1342"/>
      <c r="H5511" s="1342"/>
      <c r="I5511" s="1342"/>
      <c r="J5511" s="1342"/>
      <c r="K5511" s="1342"/>
    </row>
    <row r="5512" spans="2:11" ht="14" hidden="1">
      <c r="B5512" s="1342"/>
      <c r="C5512" s="1342"/>
      <c r="D5512" s="1342"/>
      <c r="E5512" s="1342"/>
      <c r="F5512" s="1342"/>
      <c r="G5512" s="1342"/>
      <c r="H5512" s="1342"/>
      <c r="I5512" s="1342"/>
      <c r="J5512" s="1342"/>
      <c r="K5512" s="1342"/>
    </row>
    <row r="5513" spans="2:11" ht="14" hidden="1">
      <c r="B5513" s="1342"/>
      <c r="C5513" s="1342"/>
      <c r="D5513" s="1342"/>
      <c r="E5513" s="1342"/>
      <c r="F5513" s="1342"/>
      <c r="G5513" s="1342"/>
      <c r="H5513" s="1342"/>
      <c r="I5513" s="1342"/>
      <c r="J5513" s="1342"/>
      <c r="K5513" s="1342"/>
    </row>
    <row r="5514" spans="2:11" ht="14" hidden="1">
      <c r="B5514" s="1342"/>
      <c r="C5514" s="1342"/>
      <c r="D5514" s="1342"/>
      <c r="E5514" s="1342"/>
      <c r="F5514" s="1342"/>
      <c r="G5514" s="1342"/>
      <c r="H5514" s="1342"/>
      <c r="I5514" s="1342"/>
      <c r="J5514" s="1342"/>
      <c r="K5514" s="1342"/>
    </row>
    <row r="5515" spans="2:11" ht="14" hidden="1">
      <c r="B5515" s="1342"/>
      <c r="C5515" s="1342"/>
      <c r="D5515" s="1342"/>
      <c r="E5515" s="1342"/>
      <c r="F5515" s="1342"/>
      <c r="G5515" s="1342"/>
      <c r="H5515" s="1342"/>
      <c r="I5515" s="1342"/>
      <c r="J5515" s="1342"/>
      <c r="K5515" s="1342"/>
    </row>
    <row r="5516" spans="2:11" ht="14" hidden="1">
      <c r="B5516" s="1342"/>
      <c r="C5516" s="1342"/>
      <c r="D5516" s="1342"/>
      <c r="E5516" s="1342"/>
      <c r="F5516" s="1342"/>
      <c r="G5516" s="1342"/>
      <c r="H5516" s="1342"/>
      <c r="I5516" s="1342"/>
      <c r="J5516" s="1342"/>
      <c r="K5516" s="1342"/>
    </row>
    <row r="5517" spans="2:11" ht="14" hidden="1">
      <c r="B5517" s="1342"/>
      <c r="C5517" s="1342"/>
      <c r="D5517" s="1342"/>
      <c r="E5517" s="1342"/>
      <c r="F5517" s="1342"/>
      <c r="G5517" s="1342"/>
      <c r="H5517" s="1342"/>
      <c r="I5517" s="1342"/>
      <c r="J5517" s="1342"/>
      <c r="K5517" s="1342"/>
    </row>
    <row r="5518" spans="2:11" ht="14" hidden="1">
      <c r="B5518" s="1342"/>
      <c r="C5518" s="1342"/>
      <c r="D5518" s="1342"/>
      <c r="E5518" s="1342"/>
      <c r="F5518" s="1342"/>
      <c r="G5518" s="1342"/>
      <c r="H5518" s="1342"/>
      <c r="I5518" s="1342"/>
      <c r="J5518" s="1342"/>
      <c r="K5518" s="1342"/>
    </row>
    <row r="5519" spans="2:11" ht="14" hidden="1">
      <c r="B5519" s="1342"/>
      <c r="C5519" s="1342"/>
      <c r="D5519" s="1342"/>
      <c r="E5519" s="1342"/>
      <c r="F5519" s="1342"/>
      <c r="G5519" s="1342"/>
      <c r="H5519" s="1342"/>
      <c r="I5519" s="1342"/>
      <c r="J5519" s="1342"/>
      <c r="K5519" s="1342"/>
    </row>
    <row r="5520" spans="2:11" ht="14" hidden="1">
      <c r="B5520" s="1342"/>
      <c r="C5520" s="1342"/>
      <c r="D5520" s="1342"/>
      <c r="E5520" s="1342"/>
      <c r="F5520" s="1342"/>
      <c r="G5520" s="1342"/>
      <c r="H5520" s="1342"/>
      <c r="I5520" s="1342"/>
      <c r="J5520" s="1342"/>
      <c r="K5520" s="1342"/>
    </row>
    <row r="5521" spans="2:11" ht="14" hidden="1">
      <c r="B5521" s="1342"/>
      <c r="C5521" s="1342"/>
      <c r="D5521" s="1342"/>
      <c r="E5521" s="1342"/>
      <c r="F5521" s="1342"/>
      <c r="G5521" s="1342"/>
      <c r="H5521" s="1342"/>
      <c r="I5521" s="1342"/>
      <c r="J5521" s="1342"/>
      <c r="K5521" s="1342"/>
    </row>
    <row r="5522" spans="2:11" ht="14" hidden="1">
      <c r="B5522" s="1342"/>
      <c r="C5522" s="1342"/>
      <c r="D5522" s="1342"/>
      <c r="E5522" s="1342"/>
      <c r="F5522" s="1342"/>
      <c r="G5522" s="1342"/>
      <c r="H5522" s="1342"/>
      <c r="I5522" s="1342"/>
      <c r="J5522" s="1342"/>
      <c r="K5522" s="1342"/>
    </row>
    <row r="5523" spans="2:11" ht="14" hidden="1">
      <c r="B5523" s="1342"/>
      <c r="C5523" s="1342"/>
      <c r="D5523" s="1342"/>
      <c r="E5523" s="1342"/>
      <c r="F5523" s="1342"/>
      <c r="G5523" s="1342"/>
      <c r="H5523" s="1342"/>
      <c r="I5523" s="1342"/>
      <c r="J5523" s="1342"/>
      <c r="K5523" s="1342"/>
    </row>
    <row r="5524" spans="2:11" ht="14" hidden="1">
      <c r="B5524" s="1342"/>
      <c r="C5524" s="1342"/>
      <c r="D5524" s="1342"/>
      <c r="E5524" s="1342"/>
      <c r="F5524" s="1342"/>
      <c r="G5524" s="1342"/>
      <c r="H5524" s="1342"/>
      <c r="I5524" s="1342"/>
      <c r="J5524" s="1342"/>
      <c r="K5524" s="1342"/>
    </row>
    <row r="5525" spans="2:11" ht="14" hidden="1">
      <c r="B5525" s="1342"/>
      <c r="C5525" s="1342"/>
      <c r="D5525" s="1342"/>
      <c r="E5525" s="1342"/>
      <c r="F5525" s="1342"/>
      <c r="G5525" s="1342"/>
      <c r="H5525" s="1342"/>
      <c r="I5525" s="1342"/>
      <c r="J5525" s="1342"/>
      <c r="K5525" s="1342"/>
    </row>
    <row r="5526" spans="2:11" ht="14" hidden="1">
      <c r="B5526" s="1342"/>
      <c r="C5526" s="1342"/>
      <c r="D5526" s="1342"/>
      <c r="E5526" s="1342"/>
      <c r="F5526" s="1342"/>
      <c r="G5526" s="1342"/>
      <c r="H5526" s="1342"/>
      <c r="I5526" s="1342"/>
      <c r="J5526" s="1342"/>
      <c r="K5526" s="1342"/>
    </row>
    <row r="5527" spans="2:11" ht="14" hidden="1">
      <c r="B5527" s="1342"/>
      <c r="C5527" s="1342"/>
      <c r="D5527" s="1342"/>
      <c r="E5527" s="1342"/>
      <c r="F5527" s="1342"/>
      <c r="G5527" s="1342"/>
      <c r="H5527" s="1342"/>
      <c r="I5527" s="1342"/>
      <c r="J5527" s="1342"/>
      <c r="K5527" s="1342"/>
    </row>
    <row r="5528" spans="2:11" ht="14" hidden="1">
      <c r="B5528" s="1342"/>
      <c r="C5528" s="1342"/>
      <c r="D5528" s="1342"/>
      <c r="E5528" s="1342"/>
      <c r="F5528" s="1342"/>
      <c r="G5528" s="1342"/>
      <c r="H5528" s="1342"/>
      <c r="I5528" s="1342"/>
      <c r="J5528" s="1342"/>
      <c r="K5528" s="1342"/>
    </row>
    <row r="5529" spans="2:11" ht="14" hidden="1">
      <c r="B5529" s="1342"/>
      <c r="C5529" s="1342"/>
      <c r="D5529" s="1342"/>
      <c r="E5529" s="1342"/>
      <c r="F5529" s="1342"/>
      <c r="G5529" s="1342"/>
      <c r="H5529" s="1342"/>
      <c r="I5529" s="1342"/>
      <c r="J5529" s="1342"/>
      <c r="K5529" s="1342"/>
    </row>
    <row r="5530" spans="2:11" ht="14" hidden="1">
      <c r="B5530" s="1342"/>
      <c r="C5530" s="1342"/>
      <c r="D5530" s="1342"/>
      <c r="E5530" s="1342"/>
      <c r="F5530" s="1342"/>
      <c r="G5530" s="1342"/>
      <c r="H5530" s="1342"/>
      <c r="I5530" s="1342"/>
      <c r="J5530" s="1342"/>
      <c r="K5530" s="1342"/>
    </row>
    <row r="5531" spans="2:11" ht="14" hidden="1">
      <c r="B5531" s="1342"/>
      <c r="C5531" s="1342"/>
      <c r="D5531" s="1342"/>
      <c r="E5531" s="1342"/>
      <c r="F5531" s="1342"/>
      <c r="G5531" s="1342"/>
      <c r="H5531" s="1342"/>
      <c r="I5531" s="1342"/>
      <c r="J5531" s="1342"/>
      <c r="K5531" s="1342"/>
    </row>
    <row r="5532" spans="2:11" ht="14" hidden="1">
      <c r="B5532" s="1342"/>
      <c r="C5532" s="1342"/>
      <c r="D5532" s="1342"/>
      <c r="E5532" s="1342"/>
      <c r="F5532" s="1342"/>
      <c r="G5532" s="1342"/>
      <c r="H5532" s="1342"/>
      <c r="I5532" s="1342"/>
      <c r="J5532" s="1342"/>
      <c r="K5532" s="1342"/>
    </row>
    <row r="5533" spans="2:11" ht="14" hidden="1">
      <c r="B5533" s="1342"/>
      <c r="C5533" s="1342"/>
      <c r="D5533" s="1342"/>
      <c r="E5533" s="1342"/>
      <c r="F5533" s="1342"/>
      <c r="G5533" s="1342"/>
      <c r="H5533" s="1342"/>
      <c r="I5533" s="1342"/>
      <c r="J5533" s="1342"/>
      <c r="K5533" s="1342"/>
    </row>
    <row r="5534" spans="2:11" ht="14" hidden="1">
      <c r="B5534" s="1342"/>
      <c r="C5534" s="1342"/>
      <c r="D5534" s="1342"/>
      <c r="E5534" s="1342"/>
      <c r="F5534" s="1342"/>
      <c r="G5534" s="1342"/>
      <c r="H5534" s="1342"/>
      <c r="I5534" s="1342"/>
      <c r="J5534" s="1342"/>
      <c r="K5534" s="1342"/>
    </row>
    <row r="5535" spans="2:11" ht="14" hidden="1">
      <c r="B5535" s="1342"/>
      <c r="C5535" s="1342"/>
      <c r="D5535" s="1342"/>
      <c r="E5535" s="1342"/>
      <c r="F5535" s="1342"/>
      <c r="G5535" s="1342"/>
      <c r="H5535" s="1342"/>
      <c r="I5535" s="1342"/>
      <c r="J5535" s="1342"/>
      <c r="K5535" s="1342"/>
    </row>
    <row r="5536" spans="2:11" ht="14" hidden="1">
      <c r="B5536" s="1342"/>
      <c r="C5536" s="1342"/>
      <c r="D5536" s="1342"/>
      <c r="E5536" s="1342"/>
      <c r="F5536" s="1342"/>
      <c r="G5536" s="1342"/>
      <c r="H5536" s="1342"/>
      <c r="I5536" s="1342"/>
      <c r="J5536" s="1342"/>
      <c r="K5536" s="1342"/>
    </row>
    <row r="5537" spans="2:11" ht="14" hidden="1">
      <c r="B5537" s="1342"/>
      <c r="C5537" s="1342"/>
      <c r="D5537" s="1342"/>
      <c r="E5537" s="1342"/>
      <c r="F5537" s="1342"/>
      <c r="G5537" s="1342"/>
      <c r="H5537" s="1342"/>
      <c r="I5537" s="1342"/>
      <c r="J5537" s="1342"/>
      <c r="K5537" s="1342"/>
    </row>
    <row r="5538" spans="2:11" ht="14" hidden="1">
      <c r="B5538" s="1342"/>
      <c r="C5538" s="1342"/>
      <c r="D5538" s="1342"/>
      <c r="E5538" s="1342"/>
      <c r="F5538" s="1342"/>
      <c r="G5538" s="1342"/>
      <c r="H5538" s="1342"/>
      <c r="I5538" s="1342"/>
      <c r="J5538" s="1342"/>
      <c r="K5538" s="1342"/>
    </row>
    <row r="5539" spans="2:11" ht="14" hidden="1">
      <c r="B5539" s="1342"/>
      <c r="C5539" s="1342"/>
      <c r="D5539" s="1342"/>
      <c r="E5539" s="1342"/>
      <c r="F5539" s="1342"/>
      <c r="G5539" s="1342"/>
      <c r="H5539" s="1342"/>
      <c r="I5539" s="1342"/>
      <c r="J5539" s="1342"/>
      <c r="K5539" s="1342"/>
    </row>
    <row r="5540" spans="2:11" ht="14" hidden="1">
      <c r="B5540" s="1342"/>
      <c r="C5540" s="1342"/>
      <c r="D5540" s="1342"/>
      <c r="E5540" s="1342"/>
      <c r="F5540" s="1342"/>
      <c r="G5540" s="1342"/>
      <c r="H5540" s="1342"/>
      <c r="I5540" s="1342"/>
      <c r="J5540" s="1342"/>
      <c r="K5540" s="1342"/>
    </row>
    <row r="5541" spans="2:11" ht="14" hidden="1">
      <c r="B5541" s="1342"/>
      <c r="C5541" s="1342"/>
      <c r="D5541" s="1342"/>
      <c r="E5541" s="1342"/>
      <c r="F5541" s="1342"/>
      <c r="G5541" s="1342"/>
      <c r="H5541" s="1342"/>
      <c r="I5541" s="1342"/>
      <c r="J5541" s="1342"/>
      <c r="K5541" s="1342"/>
    </row>
    <row r="5542" spans="2:11" ht="14" hidden="1">
      <c r="B5542" s="1342"/>
      <c r="C5542" s="1342"/>
      <c r="D5542" s="1342"/>
      <c r="E5542" s="1342"/>
      <c r="F5542" s="1342"/>
      <c r="G5542" s="1342"/>
      <c r="H5542" s="1342"/>
      <c r="I5542" s="1342"/>
      <c r="J5542" s="1342"/>
      <c r="K5542" s="1342"/>
    </row>
    <row r="5543" spans="2:11" ht="14" hidden="1">
      <c r="B5543" s="1342"/>
      <c r="C5543" s="1342"/>
      <c r="D5543" s="1342"/>
      <c r="E5543" s="1342"/>
      <c r="F5543" s="1342"/>
      <c r="G5543" s="1342"/>
      <c r="H5543" s="1342"/>
      <c r="I5543" s="1342"/>
      <c r="J5543" s="1342"/>
      <c r="K5543" s="1342"/>
    </row>
    <row r="5544" spans="2:11" ht="14" hidden="1">
      <c r="B5544" s="1342"/>
      <c r="C5544" s="1342"/>
      <c r="D5544" s="1342"/>
      <c r="E5544" s="1342"/>
      <c r="F5544" s="1342"/>
      <c r="G5544" s="1342"/>
      <c r="H5544" s="1342"/>
      <c r="I5544" s="1342"/>
      <c r="J5544" s="1342"/>
      <c r="K5544" s="1342"/>
    </row>
    <row r="5545" spans="2:11" ht="14" hidden="1">
      <c r="B5545" s="1342"/>
      <c r="C5545" s="1342"/>
      <c r="D5545" s="1342"/>
      <c r="E5545" s="1342"/>
      <c r="F5545" s="1342"/>
      <c r="G5545" s="1342"/>
      <c r="H5545" s="1342"/>
      <c r="I5545" s="1342"/>
      <c r="J5545" s="1342"/>
      <c r="K5545" s="1342"/>
    </row>
    <row r="5546" spans="2:11" ht="14" hidden="1">
      <c r="B5546" s="1342"/>
      <c r="C5546" s="1342"/>
      <c r="D5546" s="1342"/>
      <c r="E5546" s="1342"/>
      <c r="F5546" s="1342"/>
      <c r="G5546" s="1342"/>
      <c r="H5546" s="1342"/>
      <c r="I5546" s="1342"/>
      <c r="J5546" s="1342"/>
      <c r="K5546" s="1342"/>
    </row>
    <row r="5547" spans="2:11" ht="14" hidden="1">
      <c r="B5547" s="1342"/>
      <c r="C5547" s="1342"/>
      <c r="D5547" s="1342"/>
      <c r="E5547" s="1342"/>
      <c r="F5547" s="1342"/>
      <c r="G5547" s="1342"/>
      <c r="H5547" s="1342"/>
      <c r="I5547" s="1342"/>
      <c r="J5547" s="1342"/>
      <c r="K5547" s="1342"/>
    </row>
    <row r="5548" spans="2:11" ht="14" hidden="1">
      <c r="B5548" s="1342"/>
      <c r="C5548" s="1342"/>
      <c r="D5548" s="1342"/>
      <c r="E5548" s="1342"/>
      <c r="F5548" s="1342"/>
      <c r="G5548" s="1342"/>
      <c r="H5548" s="1342"/>
      <c r="I5548" s="1342"/>
      <c r="J5548" s="1342"/>
      <c r="K5548" s="1342"/>
    </row>
    <row r="5549" spans="2:11" ht="14" hidden="1">
      <c r="B5549" s="1342"/>
      <c r="C5549" s="1342"/>
      <c r="D5549" s="1342"/>
      <c r="E5549" s="1342"/>
      <c r="F5549" s="1342"/>
      <c r="G5549" s="1342"/>
      <c r="H5549" s="1342"/>
      <c r="I5549" s="1342"/>
      <c r="J5549" s="1342"/>
      <c r="K5549" s="1342"/>
    </row>
    <row r="5550" spans="2:11" ht="14" hidden="1">
      <c r="B5550" s="1342"/>
      <c r="C5550" s="1342"/>
      <c r="D5550" s="1342"/>
      <c r="E5550" s="1342"/>
      <c r="F5550" s="1342"/>
      <c r="G5550" s="1342"/>
      <c r="H5550" s="1342"/>
      <c r="I5550" s="1342"/>
      <c r="J5550" s="1342"/>
      <c r="K5550" s="1342"/>
    </row>
    <row r="5551" spans="2:11" ht="14" hidden="1">
      <c r="B5551" s="1342"/>
      <c r="C5551" s="1342"/>
      <c r="D5551" s="1342"/>
      <c r="E5551" s="1342"/>
      <c r="F5551" s="1342"/>
      <c r="G5551" s="1342"/>
      <c r="H5551" s="1342"/>
      <c r="I5551" s="1342"/>
      <c r="J5551" s="1342"/>
      <c r="K5551" s="1342"/>
    </row>
    <row r="5552" spans="2:11" ht="14" hidden="1">
      <c r="B5552" s="1342"/>
      <c r="C5552" s="1342"/>
      <c r="D5552" s="1342"/>
      <c r="E5552" s="1342"/>
      <c r="F5552" s="1342"/>
      <c r="G5552" s="1342"/>
      <c r="H5552" s="1342"/>
      <c r="I5552" s="1342"/>
      <c r="J5552" s="1342"/>
      <c r="K5552" s="1342"/>
    </row>
    <row r="5553" spans="2:11" ht="14" hidden="1">
      <c r="B5553" s="1342"/>
      <c r="C5553" s="1342"/>
      <c r="D5553" s="1342"/>
      <c r="E5553" s="1342"/>
      <c r="F5553" s="1342"/>
      <c r="G5553" s="1342"/>
      <c r="H5553" s="1342"/>
      <c r="I5553" s="1342"/>
      <c r="J5553" s="1342"/>
      <c r="K5553" s="1342"/>
    </row>
    <row r="5554" spans="2:11" ht="14" hidden="1">
      <c r="B5554" s="1342"/>
      <c r="C5554" s="1342"/>
      <c r="D5554" s="1342"/>
      <c r="E5554" s="1342"/>
      <c r="F5554" s="1342"/>
      <c r="G5554" s="1342"/>
      <c r="H5554" s="1342"/>
      <c r="I5554" s="1342"/>
      <c r="J5554" s="1342"/>
      <c r="K5554" s="1342"/>
    </row>
    <row r="5555" spans="2:11" ht="14" hidden="1">
      <c r="B5555" s="1342"/>
      <c r="C5555" s="1342"/>
      <c r="D5555" s="1342"/>
      <c r="E5555" s="1342"/>
      <c r="F5555" s="1342"/>
      <c r="G5555" s="1342"/>
      <c r="H5555" s="1342"/>
      <c r="I5555" s="1342"/>
      <c r="J5555" s="1342"/>
      <c r="K5555" s="1342"/>
    </row>
    <row r="5556" spans="2:11" ht="14" hidden="1">
      <c r="B5556" s="1342"/>
      <c r="C5556" s="1342"/>
      <c r="D5556" s="1342"/>
      <c r="E5556" s="1342"/>
      <c r="F5556" s="1342"/>
      <c r="G5556" s="1342"/>
      <c r="H5556" s="1342"/>
      <c r="I5556" s="1342"/>
      <c r="J5556" s="1342"/>
      <c r="K5556" s="1342"/>
    </row>
    <row r="5557" spans="2:11" ht="14" hidden="1">
      <c r="B5557" s="1342"/>
      <c r="C5557" s="1342"/>
      <c r="D5557" s="1342"/>
      <c r="E5557" s="1342"/>
      <c r="F5557" s="1342"/>
      <c r="G5557" s="1342"/>
      <c r="H5557" s="1342"/>
      <c r="I5557" s="1342"/>
      <c r="J5557" s="1342"/>
      <c r="K5557" s="1342"/>
    </row>
    <row r="5558" spans="2:11" ht="14" hidden="1">
      <c r="B5558" s="1342"/>
      <c r="C5558" s="1342"/>
      <c r="D5558" s="1342"/>
      <c r="E5558" s="1342"/>
      <c r="F5558" s="1342"/>
      <c r="G5558" s="1342"/>
      <c r="H5558" s="1342"/>
      <c r="I5558" s="1342"/>
      <c r="J5558" s="1342"/>
      <c r="K5558" s="1342"/>
    </row>
    <row r="5559" spans="2:11" ht="14" hidden="1">
      <c r="B5559" s="1342"/>
      <c r="C5559" s="1342"/>
      <c r="D5559" s="1342"/>
      <c r="E5559" s="1342"/>
      <c r="F5559" s="1342"/>
      <c r="G5559" s="1342"/>
      <c r="H5559" s="1342"/>
      <c r="I5559" s="1342"/>
      <c r="J5559" s="1342"/>
      <c r="K5559" s="1342"/>
    </row>
    <row r="5560" spans="2:11" ht="14" hidden="1">
      <c r="B5560" s="1342"/>
      <c r="C5560" s="1342"/>
      <c r="D5560" s="1342"/>
      <c r="E5560" s="1342"/>
      <c r="F5560" s="1342"/>
      <c r="G5560" s="1342"/>
      <c r="H5560" s="1342"/>
      <c r="I5560" s="1342"/>
      <c r="J5560" s="1342"/>
      <c r="K5560" s="1342"/>
    </row>
    <row r="5561" spans="2:11" ht="14" hidden="1">
      <c r="B5561" s="1342"/>
      <c r="C5561" s="1342"/>
      <c r="D5561" s="1342"/>
      <c r="E5561" s="1342"/>
      <c r="F5561" s="1342"/>
      <c r="G5561" s="1342"/>
      <c r="H5561" s="1342"/>
      <c r="I5561" s="1342"/>
      <c r="J5561" s="1342"/>
      <c r="K5561" s="1342"/>
    </row>
    <row r="5562" spans="2:11" ht="14" hidden="1">
      <c r="B5562" s="1342"/>
      <c r="C5562" s="1342"/>
      <c r="D5562" s="1342"/>
      <c r="E5562" s="1342"/>
      <c r="F5562" s="1342"/>
      <c r="G5562" s="1342"/>
      <c r="H5562" s="1342"/>
      <c r="I5562" s="1342"/>
      <c r="J5562" s="1342"/>
      <c r="K5562" s="1342"/>
    </row>
    <row r="5563" spans="2:11" ht="14" hidden="1">
      <c r="B5563" s="1342"/>
      <c r="C5563" s="1342"/>
      <c r="D5563" s="1342"/>
      <c r="E5563" s="1342"/>
      <c r="F5563" s="1342"/>
      <c r="G5563" s="1342"/>
      <c r="H5563" s="1342"/>
      <c r="I5563" s="1342"/>
      <c r="J5563" s="1342"/>
      <c r="K5563" s="1342"/>
    </row>
    <row r="5564" spans="2:11" ht="14" hidden="1">
      <c r="B5564" s="1342"/>
      <c r="C5564" s="1342"/>
      <c r="D5564" s="1342"/>
      <c r="E5564" s="1342"/>
      <c r="F5564" s="1342"/>
      <c r="G5564" s="1342"/>
      <c r="H5564" s="1342"/>
      <c r="I5564" s="1342"/>
      <c r="J5564" s="1342"/>
      <c r="K5564" s="1342"/>
    </row>
    <row r="5565" spans="2:11" ht="14" hidden="1">
      <c r="B5565" s="1342"/>
      <c r="C5565" s="1342"/>
      <c r="D5565" s="1342"/>
      <c r="E5565" s="1342"/>
      <c r="F5565" s="1342"/>
      <c r="G5565" s="1342"/>
      <c r="H5565" s="1342"/>
      <c r="I5565" s="1342"/>
      <c r="J5565" s="1342"/>
      <c r="K5565" s="1342"/>
    </row>
    <row r="5566" spans="2:11" ht="14" hidden="1">
      <c r="B5566" s="1342"/>
      <c r="C5566" s="1342"/>
      <c r="D5566" s="1342"/>
      <c r="E5566" s="1342"/>
      <c r="F5566" s="1342"/>
      <c r="G5566" s="1342"/>
      <c r="H5566" s="1342"/>
      <c r="I5566" s="1342"/>
      <c r="J5566" s="1342"/>
      <c r="K5566" s="1342"/>
    </row>
    <row r="5567" spans="2:11" ht="14" hidden="1">
      <c r="B5567" s="1342"/>
      <c r="C5567" s="1342"/>
      <c r="D5567" s="1342"/>
      <c r="E5567" s="1342"/>
      <c r="F5567" s="1342"/>
      <c r="G5567" s="1342"/>
      <c r="H5567" s="1342"/>
      <c r="I5567" s="1342"/>
      <c r="J5567" s="1342"/>
      <c r="K5567" s="1342"/>
    </row>
    <row r="5568" spans="2:11" ht="14" hidden="1">
      <c r="B5568" s="1342"/>
      <c r="C5568" s="1342"/>
      <c r="D5568" s="1342"/>
      <c r="E5568" s="1342"/>
      <c r="F5568" s="1342"/>
      <c r="G5568" s="1342"/>
      <c r="H5568" s="1342"/>
      <c r="I5568" s="1342"/>
      <c r="J5568" s="1342"/>
      <c r="K5568" s="1342"/>
    </row>
    <row r="5569" spans="2:11" ht="14" hidden="1">
      <c r="B5569" s="1342"/>
      <c r="C5569" s="1342"/>
      <c r="D5569" s="1342"/>
      <c r="E5569" s="1342"/>
      <c r="F5569" s="1342"/>
      <c r="G5569" s="1342"/>
      <c r="H5569" s="1342"/>
      <c r="I5569" s="1342"/>
      <c r="J5569" s="1342"/>
      <c r="K5569" s="1342"/>
    </row>
    <row r="5570" spans="2:11" ht="14" hidden="1">
      <c r="B5570" s="1342"/>
      <c r="C5570" s="1342"/>
      <c r="D5570" s="1342"/>
      <c r="E5570" s="1342"/>
      <c r="F5570" s="1342"/>
      <c r="G5570" s="1342"/>
      <c r="H5570" s="1342"/>
      <c r="I5570" s="1342"/>
      <c r="J5570" s="1342"/>
      <c r="K5570" s="1342"/>
    </row>
    <row r="5571" spans="2:11" ht="14" hidden="1">
      <c r="B5571" s="1342"/>
      <c r="C5571" s="1342"/>
      <c r="D5571" s="1342"/>
      <c r="E5571" s="1342"/>
      <c r="F5571" s="1342"/>
      <c r="G5571" s="1342"/>
      <c r="H5571" s="1342"/>
      <c r="I5571" s="1342"/>
      <c r="J5571" s="1342"/>
      <c r="K5571" s="1342"/>
    </row>
    <row r="5572" spans="2:11" ht="14" hidden="1">
      <c r="B5572" s="1342"/>
      <c r="C5572" s="1342"/>
      <c r="D5572" s="1342"/>
      <c r="E5572" s="1342"/>
      <c r="F5572" s="1342"/>
      <c r="G5572" s="1342"/>
      <c r="H5572" s="1342"/>
      <c r="I5572" s="1342"/>
      <c r="J5572" s="1342"/>
      <c r="K5572" s="1342"/>
    </row>
    <row r="5573" spans="2:11" ht="14" hidden="1">
      <c r="B5573" s="1342"/>
      <c r="C5573" s="1342"/>
      <c r="D5573" s="1342"/>
      <c r="E5573" s="1342"/>
      <c r="F5573" s="1342"/>
      <c r="G5573" s="1342"/>
      <c r="H5573" s="1342"/>
      <c r="I5573" s="1342"/>
      <c r="J5573" s="1342"/>
      <c r="K5573" s="1342"/>
    </row>
    <row r="5574" spans="2:11" ht="14" hidden="1">
      <c r="B5574" s="1342"/>
      <c r="C5574" s="1342"/>
      <c r="D5574" s="1342"/>
      <c r="E5574" s="1342"/>
      <c r="F5574" s="1342"/>
      <c r="G5574" s="1342"/>
      <c r="H5574" s="1342"/>
      <c r="I5574" s="1342"/>
      <c r="J5574" s="1342"/>
      <c r="K5574" s="1342"/>
    </row>
    <row r="5575" spans="2:11" ht="14" hidden="1">
      <c r="B5575" s="1342"/>
      <c r="C5575" s="1342"/>
      <c r="D5575" s="1342"/>
      <c r="E5575" s="1342"/>
      <c r="F5575" s="1342"/>
      <c r="G5575" s="1342"/>
      <c r="H5575" s="1342"/>
      <c r="I5575" s="1342"/>
      <c r="J5575" s="1342"/>
      <c r="K5575" s="1342"/>
    </row>
    <row r="5576" spans="2:11" ht="14" hidden="1">
      <c r="B5576" s="1342"/>
      <c r="C5576" s="1342"/>
      <c r="D5576" s="1342"/>
      <c r="E5576" s="1342"/>
      <c r="F5576" s="1342"/>
      <c r="G5576" s="1342"/>
      <c r="H5576" s="1342"/>
      <c r="I5576" s="1342"/>
      <c r="J5576" s="1342"/>
      <c r="K5576" s="1342"/>
    </row>
    <row r="5577" spans="2:11" ht="14" hidden="1">
      <c r="B5577" s="1342"/>
      <c r="C5577" s="1342"/>
      <c r="D5577" s="1342"/>
      <c r="E5577" s="1342"/>
      <c r="F5577" s="1342"/>
      <c r="G5577" s="1342"/>
      <c r="H5577" s="1342"/>
      <c r="I5577" s="1342"/>
      <c r="J5577" s="1342"/>
      <c r="K5577" s="1342"/>
    </row>
    <row r="5578" spans="2:11" ht="14" hidden="1">
      <c r="B5578" s="1342"/>
      <c r="C5578" s="1342"/>
      <c r="D5578" s="1342"/>
      <c r="E5578" s="1342"/>
      <c r="F5578" s="1342"/>
      <c r="G5578" s="1342"/>
      <c r="H5578" s="1342"/>
      <c r="I5578" s="1342"/>
      <c r="J5578" s="1342"/>
      <c r="K5578" s="1342"/>
    </row>
    <row r="5579" spans="2:11" ht="14" hidden="1">
      <c r="B5579" s="1342"/>
      <c r="C5579" s="1342"/>
      <c r="D5579" s="1342"/>
      <c r="E5579" s="1342"/>
      <c r="F5579" s="1342"/>
      <c r="G5579" s="1342"/>
      <c r="H5579" s="1342"/>
      <c r="I5579" s="1342"/>
      <c r="J5579" s="1342"/>
      <c r="K5579" s="1342"/>
    </row>
    <row r="5580" spans="2:11" ht="14" hidden="1">
      <c r="B5580" s="1342"/>
      <c r="C5580" s="1342"/>
      <c r="D5580" s="1342"/>
      <c r="E5580" s="1342"/>
      <c r="F5580" s="1342"/>
      <c r="G5580" s="1342"/>
      <c r="H5580" s="1342"/>
      <c r="I5580" s="1342"/>
      <c r="J5580" s="1342"/>
      <c r="K5580" s="1342"/>
    </row>
    <row r="5581" spans="2:11" ht="14" hidden="1">
      <c r="B5581" s="1342"/>
      <c r="C5581" s="1342"/>
      <c r="D5581" s="1342"/>
      <c r="E5581" s="1342"/>
      <c r="F5581" s="1342"/>
      <c r="G5581" s="1342"/>
      <c r="H5581" s="1342"/>
      <c r="I5581" s="1342"/>
      <c r="J5581" s="1342"/>
      <c r="K5581" s="1342"/>
    </row>
    <row r="5582" spans="2:11" ht="14" hidden="1">
      <c r="B5582" s="1342"/>
      <c r="C5582" s="1342"/>
      <c r="D5582" s="1342"/>
      <c r="E5582" s="1342"/>
      <c r="F5582" s="1342"/>
      <c r="G5582" s="1342"/>
      <c r="H5582" s="1342"/>
      <c r="I5582" s="1342"/>
      <c r="J5582" s="1342"/>
      <c r="K5582" s="1342"/>
    </row>
    <row r="5583" spans="2:11" ht="14" hidden="1">
      <c r="B5583" s="1342"/>
      <c r="C5583" s="1342"/>
      <c r="D5583" s="1342"/>
      <c r="E5583" s="1342"/>
      <c r="F5583" s="1342"/>
      <c r="G5583" s="1342"/>
      <c r="H5583" s="1342"/>
      <c r="I5583" s="1342"/>
      <c r="J5583" s="1342"/>
      <c r="K5583" s="1342"/>
    </row>
    <row r="5584" spans="2:11" ht="14" hidden="1">
      <c r="B5584" s="1342"/>
      <c r="C5584" s="1342"/>
      <c r="D5584" s="1342"/>
      <c r="E5584" s="1342"/>
      <c r="F5584" s="1342"/>
      <c r="G5584" s="1342"/>
      <c r="H5584" s="1342"/>
      <c r="I5584" s="1342"/>
      <c r="J5584" s="1342"/>
      <c r="K5584" s="1342"/>
    </row>
    <row r="5585" spans="2:11" ht="14" hidden="1">
      <c r="B5585" s="1342"/>
      <c r="C5585" s="1342"/>
      <c r="D5585" s="1342"/>
      <c r="E5585" s="1342"/>
      <c r="F5585" s="1342"/>
      <c r="G5585" s="1342"/>
      <c r="H5585" s="1342"/>
      <c r="I5585" s="1342"/>
      <c r="J5585" s="1342"/>
      <c r="K5585" s="1342"/>
    </row>
    <row r="5586" spans="2:11" ht="14" hidden="1">
      <c r="B5586" s="1342"/>
      <c r="C5586" s="1342"/>
      <c r="D5586" s="1342"/>
      <c r="E5586" s="1342"/>
      <c r="F5586" s="1342"/>
      <c r="G5586" s="1342"/>
      <c r="H5586" s="1342"/>
      <c r="I5586" s="1342"/>
      <c r="J5586" s="1342"/>
      <c r="K5586" s="1342"/>
    </row>
    <row r="5587" spans="2:11" ht="14" hidden="1">
      <c r="B5587" s="1342"/>
      <c r="C5587" s="1342"/>
      <c r="D5587" s="1342"/>
      <c r="E5587" s="1342"/>
      <c r="F5587" s="1342"/>
      <c r="G5587" s="1342"/>
      <c r="H5587" s="1342"/>
      <c r="I5587" s="1342"/>
      <c r="J5587" s="1342"/>
      <c r="K5587" s="1342"/>
    </row>
    <row r="5588" spans="2:11" ht="14" hidden="1">
      <c r="B5588" s="1342"/>
      <c r="C5588" s="1342"/>
      <c r="D5588" s="1342"/>
      <c r="E5588" s="1342"/>
      <c r="F5588" s="1342"/>
      <c r="G5588" s="1342"/>
      <c r="H5588" s="1342"/>
      <c r="I5588" s="1342"/>
      <c r="J5588" s="1342"/>
      <c r="K5588" s="1342"/>
    </row>
    <row r="5589" spans="2:11" ht="14" hidden="1">
      <c r="B5589" s="1342"/>
      <c r="C5589" s="1342"/>
      <c r="D5589" s="1342"/>
      <c r="E5589" s="1342"/>
      <c r="F5589" s="1342"/>
      <c r="G5589" s="1342"/>
      <c r="H5589" s="1342"/>
      <c r="I5589" s="1342"/>
      <c r="J5589" s="1342"/>
      <c r="K5589" s="1342"/>
    </row>
    <row r="5590" spans="2:11" ht="14" hidden="1">
      <c r="B5590" s="1342"/>
      <c r="C5590" s="1342"/>
      <c r="D5590" s="1342"/>
      <c r="E5590" s="1342"/>
      <c r="F5590" s="1342"/>
      <c r="G5590" s="1342"/>
      <c r="H5590" s="1342"/>
      <c r="I5590" s="1342"/>
      <c r="J5590" s="1342"/>
      <c r="K5590" s="1342"/>
    </row>
    <row r="5591" spans="2:11" ht="14" hidden="1">
      <c r="B5591" s="1342"/>
      <c r="C5591" s="1342"/>
      <c r="D5591" s="1342"/>
      <c r="E5591" s="1342"/>
      <c r="F5591" s="1342"/>
      <c r="G5591" s="1342"/>
      <c r="H5591" s="1342"/>
      <c r="I5591" s="1342"/>
      <c r="J5591" s="1342"/>
      <c r="K5591" s="1342"/>
    </row>
    <row r="5592" spans="2:11" ht="14" hidden="1">
      <c r="B5592" s="1342"/>
      <c r="C5592" s="1342"/>
      <c r="D5592" s="1342"/>
      <c r="E5592" s="1342"/>
      <c r="F5592" s="1342"/>
      <c r="G5592" s="1342"/>
      <c r="H5592" s="1342"/>
      <c r="I5592" s="1342"/>
      <c r="J5592" s="1342"/>
      <c r="K5592" s="1342"/>
    </row>
    <row r="5593" spans="2:11" ht="14" hidden="1">
      <c r="B5593" s="1342"/>
      <c r="C5593" s="1342"/>
      <c r="D5593" s="1342"/>
      <c r="E5593" s="1342"/>
      <c r="F5593" s="1342"/>
      <c r="G5593" s="1342"/>
      <c r="H5593" s="1342"/>
      <c r="I5593" s="1342"/>
      <c r="J5593" s="1342"/>
      <c r="K5593" s="1342"/>
    </row>
    <row r="5594" spans="2:11" ht="14" hidden="1">
      <c r="B5594" s="1342"/>
      <c r="C5594" s="1342"/>
      <c r="D5594" s="1342"/>
      <c r="E5594" s="1342"/>
      <c r="F5594" s="1342"/>
      <c r="G5594" s="1342"/>
      <c r="H5594" s="1342"/>
      <c r="I5594" s="1342"/>
      <c r="J5594" s="1342"/>
      <c r="K5594" s="1342"/>
    </row>
    <row r="5595" spans="2:11" ht="14" hidden="1">
      <c r="B5595" s="1342"/>
      <c r="C5595" s="1342"/>
      <c r="D5595" s="1342"/>
      <c r="E5595" s="1342"/>
      <c r="F5595" s="1342"/>
      <c r="G5595" s="1342"/>
      <c r="H5595" s="1342"/>
      <c r="I5595" s="1342"/>
      <c r="J5595" s="1342"/>
      <c r="K5595" s="1342"/>
    </row>
    <row r="5596" spans="2:11" ht="14" hidden="1">
      <c r="B5596" s="1342"/>
      <c r="C5596" s="1342"/>
      <c r="D5596" s="1342"/>
      <c r="E5596" s="1342"/>
      <c r="F5596" s="1342"/>
      <c r="G5596" s="1342"/>
      <c r="H5596" s="1342"/>
      <c r="I5596" s="1342"/>
      <c r="J5596" s="1342"/>
      <c r="K5596" s="1342"/>
    </row>
    <row r="5597" spans="2:11" ht="14" hidden="1">
      <c r="B5597" s="1342"/>
      <c r="C5597" s="1342"/>
      <c r="D5597" s="1342"/>
      <c r="E5597" s="1342"/>
      <c r="F5597" s="1342"/>
      <c r="G5597" s="1342"/>
      <c r="H5597" s="1342"/>
      <c r="I5597" s="1342"/>
      <c r="J5597" s="1342"/>
      <c r="K5597" s="1342"/>
    </row>
    <row r="5598" spans="2:11" ht="14" hidden="1">
      <c r="B5598" s="1342"/>
      <c r="C5598" s="1342"/>
      <c r="D5598" s="1342"/>
      <c r="E5598" s="1342"/>
      <c r="F5598" s="1342"/>
      <c r="G5598" s="1342"/>
      <c r="H5598" s="1342"/>
      <c r="I5598" s="1342"/>
      <c r="J5598" s="1342"/>
      <c r="K5598" s="1342"/>
    </row>
    <row r="5599" spans="2:11" ht="14" hidden="1">
      <c r="B5599" s="1342"/>
      <c r="C5599" s="1342"/>
      <c r="D5599" s="1342"/>
      <c r="E5599" s="1342"/>
      <c r="F5599" s="1342"/>
      <c r="G5599" s="1342"/>
      <c r="H5599" s="1342"/>
      <c r="I5599" s="1342"/>
      <c r="J5599" s="1342"/>
      <c r="K5599" s="1342"/>
    </row>
    <row r="5600" spans="2:11" ht="14" hidden="1">
      <c r="B5600" s="1342"/>
      <c r="C5600" s="1342"/>
      <c r="D5600" s="1342"/>
      <c r="E5600" s="1342"/>
      <c r="F5600" s="1342"/>
      <c r="G5600" s="1342"/>
      <c r="H5600" s="1342"/>
      <c r="I5600" s="1342"/>
      <c r="J5600" s="1342"/>
      <c r="K5600" s="1342"/>
    </row>
    <row r="5601" spans="2:11" ht="14" hidden="1">
      <c r="B5601" s="1342"/>
      <c r="C5601" s="1342"/>
      <c r="D5601" s="1342"/>
      <c r="E5601" s="1342"/>
      <c r="F5601" s="1342"/>
      <c r="G5601" s="1342"/>
      <c r="H5601" s="1342"/>
      <c r="I5601" s="1342"/>
      <c r="J5601" s="1342"/>
      <c r="K5601" s="1342"/>
    </row>
    <row r="5602" spans="2:11" ht="14" hidden="1">
      <c r="B5602" s="1342"/>
      <c r="C5602" s="1342"/>
      <c r="D5602" s="1342"/>
      <c r="E5602" s="1342"/>
      <c r="F5602" s="1342"/>
      <c r="G5602" s="1342"/>
      <c r="H5602" s="1342"/>
      <c r="I5602" s="1342"/>
      <c r="J5602" s="1342"/>
      <c r="K5602" s="1342"/>
    </row>
    <row r="5603" spans="2:11" ht="14" hidden="1">
      <c r="B5603" s="1342"/>
      <c r="C5603" s="1342"/>
      <c r="D5603" s="1342"/>
      <c r="E5603" s="1342"/>
      <c r="F5603" s="1342"/>
      <c r="G5603" s="1342"/>
      <c r="H5603" s="1342"/>
      <c r="I5603" s="1342"/>
      <c r="J5603" s="1342"/>
      <c r="K5603" s="1342"/>
    </row>
    <row r="5604" spans="2:11" ht="14" hidden="1">
      <c r="B5604" s="1342"/>
      <c r="C5604" s="1342"/>
      <c r="D5604" s="1342"/>
      <c r="E5604" s="1342"/>
      <c r="F5604" s="1342"/>
      <c r="G5604" s="1342"/>
      <c r="H5604" s="1342"/>
      <c r="I5604" s="1342"/>
      <c r="J5604" s="1342"/>
      <c r="K5604" s="1342"/>
    </row>
    <row r="5605" spans="2:11" ht="14" hidden="1">
      <c r="B5605" s="1342"/>
      <c r="C5605" s="1342"/>
      <c r="D5605" s="1342"/>
      <c r="E5605" s="1342"/>
      <c r="F5605" s="1342"/>
      <c r="G5605" s="1342"/>
      <c r="H5605" s="1342"/>
      <c r="I5605" s="1342"/>
      <c r="J5605" s="1342"/>
      <c r="K5605" s="1342"/>
    </row>
    <row r="5606" spans="2:11" ht="14" hidden="1">
      <c r="B5606" s="1342"/>
      <c r="C5606" s="1342"/>
      <c r="D5606" s="1342"/>
      <c r="E5606" s="1342"/>
      <c r="F5606" s="1342"/>
      <c r="G5606" s="1342"/>
      <c r="H5606" s="1342"/>
      <c r="I5606" s="1342"/>
      <c r="J5606" s="1342"/>
      <c r="K5606" s="1342"/>
    </row>
    <row r="5607" spans="2:11" ht="14" hidden="1">
      <c r="B5607" s="1342"/>
      <c r="C5607" s="1342"/>
      <c r="D5607" s="1342"/>
      <c r="E5607" s="1342"/>
      <c r="F5607" s="1342"/>
      <c r="G5607" s="1342"/>
      <c r="H5607" s="1342"/>
      <c r="I5607" s="1342"/>
      <c r="J5607" s="1342"/>
      <c r="K5607" s="1342"/>
    </row>
    <row r="5608" spans="2:11" ht="14" hidden="1">
      <c r="B5608" s="1342"/>
      <c r="C5608" s="1342"/>
      <c r="D5608" s="1342"/>
      <c r="E5608" s="1342"/>
      <c r="F5608" s="1342"/>
      <c r="G5608" s="1342"/>
      <c r="H5608" s="1342"/>
      <c r="I5608" s="1342"/>
      <c r="J5608" s="1342"/>
      <c r="K5608" s="1342"/>
    </row>
    <row r="5609" spans="2:11" ht="14" hidden="1">
      <c r="B5609" s="1342"/>
      <c r="C5609" s="1342"/>
      <c r="D5609" s="1342"/>
      <c r="E5609" s="1342"/>
      <c r="F5609" s="1342"/>
      <c r="G5609" s="1342"/>
      <c r="H5609" s="1342"/>
      <c r="I5609" s="1342"/>
      <c r="J5609" s="1342"/>
      <c r="K5609" s="1342"/>
    </row>
    <row r="5610" spans="2:11" ht="14" hidden="1">
      <c r="B5610" s="1342"/>
      <c r="C5610" s="1342"/>
      <c r="D5610" s="1342"/>
      <c r="E5610" s="1342"/>
      <c r="F5610" s="1342"/>
      <c r="G5610" s="1342"/>
      <c r="H5610" s="1342"/>
      <c r="I5610" s="1342"/>
      <c r="J5610" s="1342"/>
      <c r="K5610" s="1342"/>
    </row>
    <row r="5611" spans="2:11" ht="14" hidden="1">
      <c r="B5611" s="1342"/>
      <c r="C5611" s="1342"/>
      <c r="D5611" s="1342"/>
      <c r="E5611" s="1342"/>
      <c r="F5611" s="1342"/>
      <c r="G5611" s="1342"/>
      <c r="H5611" s="1342"/>
      <c r="I5611" s="1342"/>
      <c r="J5611" s="1342"/>
      <c r="K5611" s="1342"/>
    </row>
    <row r="5612" spans="2:11" ht="14" hidden="1">
      <c r="B5612" s="1342"/>
      <c r="C5612" s="1342"/>
      <c r="D5612" s="1342"/>
      <c r="E5612" s="1342"/>
      <c r="F5612" s="1342"/>
      <c r="G5612" s="1342"/>
      <c r="H5612" s="1342"/>
      <c r="I5612" s="1342"/>
      <c r="J5612" s="1342"/>
      <c r="K5612" s="1342"/>
    </row>
    <row r="5613" spans="2:11" ht="14" hidden="1">
      <c r="B5613" s="1342"/>
      <c r="C5613" s="1342"/>
      <c r="D5613" s="1342"/>
      <c r="E5613" s="1342"/>
      <c r="F5613" s="1342"/>
      <c r="G5613" s="1342"/>
      <c r="H5613" s="1342"/>
      <c r="I5613" s="1342"/>
      <c r="J5613" s="1342"/>
      <c r="K5613" s="1342"/>
    </row>
    <row r="5614" spans="2:11" ht="14" hidden="1">
      <c r="B5614" s="1342"/>
      <c r="C5614" s="1342"/>
      <c r="D5614" s="1342"/>
      <c r="E5614" s="1342"/>
      <c r="F5614" s="1342"/>
      <c r="G5614" s="1342"/>
      <c r="H5614" s="1342"/>
      <c r="I5614" s="1342"/>
      <c r="J5614" s="1342"/>
      <c r="K5614" s="1342"/>
    </row>
    <row r="5615" spans="2:11" ht="14" hidden="1">
      <c r="B5615" s="1342"/>
      <c r="C5615" s="1342"/>
      <c r="D5615" s="1342"/>
      <c r="E5615" s="1342"/>
      <c r="F5615" s="1342"/>
      <c r="G5615" s="1342"/>
      <c r="H5615" s="1342"/>
      <c r="I5615" s="1342"/>
      <c r="J5615" s="1342"/>
      <c r="K5615" s="1342"/>
    </row>
    <row r="5616" spans="2:11" ht="14" hidden="1">
      <c r="B5616" s="1342"/>
      <c r="C5616" s="1342"/>
      <c r="D5616" s="1342"/>
      <c r="E5616" s="1342"/>
      <c r="F5616" s="1342"/>
      <c r="G5616" s="1342"/>
      <c r="H5616" s="1342"/>
      <c r="I5616" s="1342"/>
      <c r="J5616" s="1342"/>
      <c r="K5616" s="1342"/>
    </row>
    <row r="5617" spans="2:11" ht="14" hidden="1">
      <c r="B5617" s="1342"/>
      <c r="C5617" s="1342"/>
      <c r="D5617" s="1342"/>
      <c r="E5617" s="1342"/>
      <c r="F5617" s="1342"/>
      <c r="G5617" s="1342"/>
      <c r="H5617" s="1342"/>
      <c r="I5617" s="1342"/>
      <c r="J5617" s="1342"/>
      <c r="K5617" s="1342"/>
    </row>
    <row r="5618" spans="2:11" ht="14" hidden="1">
      <c r="B5618" s="1342"/>
      <c r="C5618" s="1342"/>
      <c r="D5618" s="1342"/>
      <c r="E5618" s="1342"/>
      <c r="F5618" s="1342"/>
      <c r="G5618" s="1342"/>
      <c r="H5618" s="1342"/>
      <c r="I5618" s="1342"/>
      <c r="J5618" s="1342"/>
      <c r="K5618" s="1342"/>
    </row>
    <row r="5619" spans="2:11" ht="14" hidden="1">
      <c r="B5619" s="1342"/>
      <c r="C5619" s="1342"/>
      <c r="D5619" s="1342"/>
      <c r="E5619" s="1342"/>
      <c r="F5619" s="1342"/>
      <c r="G5619" s="1342"/>
      <c r="H5619" s="1342"/>
      <c r="I5619" s="1342"/>
      <c r="J5619" s="1342"/>
      <c r="K5619" s="1342"/>
    </row>
    <row r="5620" spans="2:11" ht="14" hidden="1">
      <c r="B5620" s="1342"/>
      <c r="C5620" s="1342"/>
      <c r="D5620" s="1342"/>
      <c r="E5620" s="1342"/>
      <c r="F5620" s="1342"/>
      <c r="G5620" s="1342"/>
      <c r="H5620" s="1342"/>
      <c r="I5620" s="1342"/>
      <c r="J5620" s="1342"/>
      <c r="K5620" s="1342"/>
    </row>
    <row r="5621" spans="2:11" ht="14" hidden="1">
      <c r="B5621" s="1342"/>
      <c r="C5621" s="1342"/>
      <c r="D5621" s="1342"/>
      <c r="E5621" s="1342"/>
      <c r="F5621" s="1342"/>
      <c r="G5621" s="1342"/>
      <c r="H5621" s="1342"/>
      <c r="I5621" s="1342"/>
      <c r="J5621" s="1342"/>
      <c r="K5621" s="1342"/>
    </row>
    <row r="5622" spans="2:11" ht="14" hidden="1">
      <c r="B5622" s="1342"/>
      <c r="C5622" s="1342"/>
      <c r="D5622" s="1342"/>
      <c r="E5622" s="1342"/>
      <c r="F5622" s="1342"/>
      <c r="G5622" s="1342"/>
      <c r="H5622" s="1342"/>
      <c r="I5622" s="1342"/>
      <c r="J5622" s="1342"/>
      <c r="K5622" s="1342"/>
    </row>
    <row r="5623" spans="2:11" ht="14" hidden="1">
      <c r="B5623" s="1342"/>
      <c r="C5623" s="1342"/>
      <c r="D5623" s="1342"/>
      <c r="E5623" s="1342"/>
      <c r="F5623" s="1342"/>
      <c r="G5623" s="1342"/>
      <c r="H5623" s="1342"/>
      <c r="I5623" s="1342"/>
      <c r="J5623" s="1342"/>
      <c r="K5623" s="1342"/>
    </row>
    <row r="5624" spans="2:11" ht="14" hidden="1">
      <c r="B5624" s="1342"/>
      <c r="C5624" s="1342"/>
      <c r="D5624" s="1342"/>
      <c r="E5624" s="1342"/>
      <c r="F5624" s="1342"/>
      <c r="G5624" s="1342"/>
      <c r="H5624" s="1342"/>
      <c r="I5624" s="1342"/>
      <c r="J5624" s="1342"/>
      <c r="K5624" s="1342"/>
    </row>
    <row r="5625" spans="2:11" ht="14" hidden="1">
      <c r="B5625" s="1342"/>
      <c r="C5625" s="1342"/>
      <c r="D5625" s="1342"/>
      <c r="E5625" s="1342"/>
      <c r="F5625" s="1342"/>
      <c r="G5625" s="1342"/>
      <c r="H5625" s="1342"/>
      <c r="I5625" s="1342"/>
      <c r="J5625" s="1342"/>
      <c r="K5625" s="1342"/>
    </row>
    <row r="5626" spans="2:11" ht="14" hidden="1">
      <c r="B5626" s="1342"/>
      <c r="C5626" s="1342"/>
      <c r="D5626" s="1342"/>
      <c r="E5626" s="1342"/>
      <c r="F5626" s="1342"/>
      <c r="G5626" s="1342"/>
      <c r="H5626" s="1342"/>
      <c r="I5626" s="1342"/>
      <c r="J5626" s="1342"/>
      <c r="K5626" s="1342"/>
    </row>
    <row r="5627" spans="2:11" ht="14" hidden="1">
      <c r="B5627" s="1342"/>
      <c r="C5627" s="1342"/>
      <c r="D5627" s="1342"/>
      <c r="E5627" s="1342"/>
      <c r="F5627" s="1342"/>
      <c r="G5627" s="1342"/>
      <c r="H5627" s="1342"/>
      <c r="I5627" s="1342"/>
      <c r="J5627" s="1342"/>
      <c r="K5627" s="1342"/>
    </row>
    <row r="5628" spans="2:11" ht="14" hidden="1">
      <c r="B5628" s="1342"/>
      <c r="C5628" s="1342"/>
      <c r="D5628" s="1342"/>
      <c r="E5628" s="1342"/>
      <c r="F5628" s="1342"/>
      <c r="G5628" s="1342"/>
      <c r="H5628" s="1342"/>
      <c r="I5628" s="1342"/>
      <c r="J5628" s="1342"/>
      <c r="K5628" s="1342"/>
    </row>
    <row r="5629" spans="2:11" ht="14" hidden="1">
      <c r="B5629" s="1342"/>
      <c r="C5629" s="1342"/>
      <c r="D5629" s="1342"/>
      <c r="E5629" s="1342"/>
      <c r="F5629" s="1342"/>
      <c r="G5629" s="1342"/>
      <c r="H5629" s="1342"/>
      <c r="I5629" s="1342"/>
      <c r="J5629" s="1342"/>
      <c r="K5629" s="1342"/>
    </row>
    <row r="5630" spans="2:11" ht="14" hidden="1">
      <c r="B5630" s="1342"/>
      <c r="C5630" s="1342"/>
      <c r="D5630" s="1342"/>
      <c r="E5630" s="1342"/>
      <c r="F5630" s="1342"/>
      <c r="G5630" s="1342"/>
      <c r="H5630" s="1342"/>
      <c r="I5630" s="1342"/>
      <c r="J5630" s="1342"/>
      <c r="K5630" s="1342"/>
    </row>
    <row r="5631" spans="2:11" ht="14" hidden="1">
      <c r="B5631" s="1342"/>
      <c r="C5631" s="1342"/>
      <c r="D5631" s="1342"/>
      <c r="E5631" s="1342"/>
      <c r="F5631" s="1342"/>
      <c r="G5631" s="1342"/>
      <c r="H5631" s="1342"/>
      <c r="I5631" s="1342"/>
      <c r="J5631" s="1342"/>
      <c r="K5631" s="1342"/>
    </row>
    <row r="5632" spans="2:11" ht="14" hidden="1">
      <c r="B5632" s="1342"/>
      <c r="C5632" s="1342"/>
      <c r="D5632" s="1342"/>
      <c r="E5632" s="1342"/>
      <c r="F5632" s="1342"/>
      <c r="G5632" s="1342"/>
      <c r="H5632" s="1342"/>
      <c r="I5632" s="1342"/>
      <c r="J5632" s="1342"/>
      <c r="K5632" s="1342"/>
    </row>
    <row r="5633" spans="2:11" ht="14" hidden="1">
      <c r="B5633" s="1342"/>
      <c r="C5633" s="1342"/>
      <c r="D5633" s="1342"/>
      <c r="E5633" s="1342"/>
      <c r="F5633" s="1342"/>
      <c r="G5633" s="1342"/>
      <c r="H5633" s="1342"/>
      <c r="I5633" s="1342"/>
      <c r="J5633" s="1342"/>
      <c r="K5633" s="1342"/>
    </row>
    <row r="5634" spans="2:11" ht="14" hidden="1">
      <c r="B5634" s="1342"/>
      <c r="C5634" s="1342"/>
      <c r="D5634" s="1342"/>
      <c r="E5634" s="1342"/>
      <c r="F5634" s="1342"/>
      <c r="G5634" s="1342"/>
      <c r="H5634" s="1342"/>
      <c r="I5634" s="1342"/>
      <c r="J5634" s="1342"/>
      <c r="K5634" s="1342"/>
    </row>
    <row r="5635" spans="2:11" ht="14" hidden="1">
      <c r="B5635" s="1342"/>
      <c r="C5635" s="1342"/>
      <c r="D5635" s="1342"/>
      <c r="E5635" s="1342"/>
      <c r="F5635" s="1342"/>
      <c r="G5635" s="1342"/>
      <c r="H5635" s="1342"/>
      <c r="I5635" s="1342"/>
      <c r="J5635" s="1342"/>
      <c r="K5635" s="1342"/>
    </row>
    <row r="5636" spans="2:11" ht="14" hidden="1">
      <c r="B5636" s="1342"/>
      <c r="C5636" s="1342"/>
      <c r="D5636" s="1342"/>
      <c r="E5636" s="1342"/>
      <c r="F5636" s="1342"/>
      <c r="G5636" s="1342"/>
      <c r="H5636" s="1342"/>
      <c r="I5636" s="1342"/>
      <c r="J5636" s="1342"/>
      <c r="K5636" s="1342"/>
    </row>
    <row r="5637" spans="2:11" ht="14" hidden="1">
      <c r="B5637" s="1342"/>
      <c r="C5637" s="1342"/>
      <c r="D5637" s="1342"/>
      <c r="E5637" s="1342"/>
      <c r="F5637" s="1342"/>
      <c r="G5637" s="1342"/>
      <c r="H5637" s="1342"/>
      <c r="I5637" s="1342"/>
      <c r="J5637" s="1342"/>
      <c r="K5637" s="1342"/>
    </row>
    <row r="5638" spans="2:11" ht="14" hidden="1">
      <c r="B5638" s="1342"/>
      <c r="C5638" s="1342"/>
      <c r="D5638" s="1342"/>
      <c r="E5638" s="1342"/>
      <c r="F5638" s="1342"/>
      <c r="G5638" s="1342"/>
      <c r="H5638" s="1342"/>
      <c r="I5638" s="1342"/>
      <c r="J5638" s="1342"/>
      <c r="K5638" s="1342"/>
    </row>
    <row r="5639" spans="2:11" ht="14" hidden="1">
      <c r="B5639" s="1342"/>
      <c r="C5639" s="1342"/>
      <c r="D5639" s="1342"/>
      <c r="E5639" s="1342"/>
      <c r="F5639" s="1342"/>
      <c r="G5639" s="1342"/>
      <c r="H5639" s="1342"/>
      <c r="I5639" s="1342"/>
      <c r="J5639" s="1342"/>
      <c r="K5639" s="1342"/>
    </row>
    <row r="5640" spans="2:11" ht="14" hidden="1">
      <c r="B5640" s="1342"/>
      <c r="C5640" s="1342"/>
      <c r="D5640" s="1342"/>
      <c r="E5640" s="1342"/>
      <c r="F5640" s="1342"/>
      <c r="G5640" s="1342"/>
      <c r="H5640" s="1342"/>
      <c r="I5640" s="1342"/>
      <c r="J5640" s="1342"/>
      <c r="K5640" s="1342"/>
    </row>
    <row r="5641" spans="2:11" ht="14" hidden="1">
      <c r="B5641" s="1342"/>
      <c r="C5641" s="1342"/>
      <c r="D5641" s="1342"/>
      <c r="E5641" s="1342"/>
      <c r="F5641" s="1342"/>
      <c r="G5641" s="1342"/>
      <c r="H5641" s="1342"/>
      <c r="I5641" s="1342"/>
      <c r="J5641" s="1342"/>
      <c r="K5641" s="1342"/>
    </row>
    <row r="5642" spans="2:11" ht="14" hidden="1">
      <c r="B5642" s="1342"/>
      <c r="C5642" s="1342"/>
      <c r="D5642" s="1342"/>
      <c r="E5642" s="1342"/>
      <c r="F5642" s="1342"/>
      <c r="G5642" s="1342"/>
      <c r="H5642" s="1342"/>
      <c r="I5642" s="1342"/>
      <c r="J5642" s="1342"/>
      <c r="K5642" s="1342"/>
    </row>
    <row r="5643" spans="2:11" ht="14" hidden="1">
      <c r="B5643" s="1342"/>
      <c r="C5643" s="1342"/>
      <c r="D5643" s="1342"/>
      <c r="E5643" s="1342"/>
      <c r="F5643" s="1342"/>
      <c r="G5643" s="1342"/>
      <c r="H5643" s="1342"/>
      <c r="I5643" s="1342"/>
      <c r="J5643" s="1342"/>
      <c r="K5643" s="1342"/>
    </row>
    <row r="5644" spans="2:11" ht="14" hidden="1">
      <c r="B5644" s="1342"/>
      <c r="C5644" s="1342"/>
      <c r="D5644" s="1342"/>
      <c r="E5644" s="1342"/>
      <c r="F5644" s="1342"/>
      <c r="G5644" s="1342"/>
      <c r="H5644" s="1342"/>
      <c r="I5644" s="1342"/>
      <c r="J5644" s="1342"/>
      <c r="K5644" s="1342"/>
    </row>
    <row r="5645" spans="2:11" ht="14" hidden="1">
      <c r="B5645" s="1342"/>
      <c r="C5645" s="1342"/>
      <c r="D5645" s="1342"/>
      <c r="E5645" s="1342"/>
      <c r="F5645" s="1342"/>
      <c r="G5645" s="1342"/>
      <c r="H5645" s="1342"/>
      <c r="I5645" s="1342"/>
      <c r="J5645" s="1342"/>
      <c r="K5645" s="1342"/>
    </row>
    <row r="5646" spans="2:11" ht="14" hidden="1">
      <c r="B5646" s="1342"/>
      <c r="C5646" s="1342"/>
      <c r="D5646" s="1342"/>
      <c r="E5646" s="1342"/>
      <c r="F5646" s="1342"/>
      <c r="G5646" s="1342"/>
      <c r="H5646" s="1342"/>
      <c r="I5646" s="1342"/>
      <c r="J5646" s="1342"/>
      <c r="K5646" s="1342"/>
    </row>
    <row r="5647" spans="2:11" ht="14" hidden="1">
      <c r="B5647" s="1342"/>
      <c r="C5647" s="1342"/>
      <c r="D5647" s="1342"/>
      <c r="E5647" s="1342"/>
      <c r="F5647" s="1342"/>
      <c r="G5647" s="1342"/>
      <c r="H5647" s="1342"/>
      <c r="I5647" s="1342"/>
      <c r="J5647" s="1342"/>
      <c r="K5647" s="1342"/>
    </row>
    <row r="5648" spans="2:11" ht="14" hidden="1">
      <c r="B5648" s="1342"/>
      <c r="C5648" s="1342"/>
      <c r="D5648" s="1342"/>
      <c r="E5648" s="1342"/>
      <c r="F5648" s="1342"/>
      <c r="G5648" s="1342"/>
      <c r="H5648" s="1342"/>
      <c r="I5648" s="1342"/>
      <c r="J5648" s="1342"/>
      <c r="K5648" s="1342"/>
    </row>
    <row r="5649" spans="2:11" ht="14" hidden="1">
      <c r="B5649" s="1342"/>
      <c r="C5649" s="1342"/>
      <c r="D5649" s="1342"/>
      <c r="E5649" s="1342"/>
      <c r="F5649" s="1342"/>
      <c r="G5649" s="1342"/>
      <c r="H5649" s="1342"/>
      <c r="I5649" s="1342"/>
      <c r="J5649" s="1342"/>
      <c r="K5649" s="1342"/>
    </row>
    <row r="5650" spans="2:11" ht="14" hidden="1">
      <c r="B5650" s="1342"/>
      <c r="C5650" s="1342"/>
      <c r="D5650" s="1342"/>
      <c r="E5650" s="1342"/>
      <c r="F5650" s="1342"/>
      <c r="G5650" s="1342"/>
      <c r="H5650" s="1342"/>
      <c r="I5650" s="1342"/>
      <c r="J5650" s="1342"/>
      <c r="K5650" s="1342"/>
    </row>
    <row r="5651" spans="2:11" ht="14" hidden="1">
      <c r="B5651" s="1342"/>
      <c r="C5651" s="1342"/>
      <c r="D5651" s="1342"/>
      <c r="E5651" s="1342"/>
      <c r="F5651" s="1342"/>
      <c r="G5651" s="1342"/>
      <c r="H5651" s="1342"/>
      <c r="I5651" s="1342"/>
      <c r="J5651" s="1342"/>
      <c r="K5651" s="1342"/>
    </row>
    <row r="5652" spans="2:11" ht="14" hidden="1">
      <c r="B5652" s="1342"/>
      <c r="C5652" s="1342"/>
      <c r="D5652" s="1342"/>
      <c r="E5652" s="1342"/>
      <c r="F5652" s="1342"/>
      <c r="G5652" s="1342"/>
      <c r="H5652" s="1342"/>
      <c r="I5652" s="1342"/>
      <c r="J5652" s="1342"/>
      <c r="K5652" s="1342"/>
    </row>
    <row r="5653" spans="2:11" ht="14" hidden="1">
      <c r="B5653" s="1342"/>
      <c r="C5653" s="1342"/>
      <c r="D5653" s="1342"/>
      <c r="E5653" s="1342"/>
      <c r="F5653" s="1342"/>
      <c r="G5653" s="1342"/>
      <c r="H5653" s="1342"/>
      <c r="I5653" s="1342"/>
      <c r="J5653" s="1342"/>
      <c r="K5653" s="1342"/>
    </row>
    <row r="5654" spans="2:11" ht="14" hidden="1">
      <c r="B5654" s="1342"/>
      <c r="C5654" s="1342"/>
      <c r="D5654" s="1342"/>
      <c r="E5654" s="1342"/>
      <c r="F5654" s="1342"/>
      <c r="G5654" s="1342"/>
      <c r="H5654" s="1342"/>
      <c r="I5654" s="1342"/>
      <c r="J5654" s="1342"/>
      <c r="K5654" s="1342"/>
    </row>
    <row r="5655" spans="2:11" ht="14" hidden="1">
      <c r="B5655" s="1342"/>
      <c r="C5655" s="1342"/>
      <c r="D5655" s="1342"/>
      <c r="E5655" s="1342"/>
      <c r="F5655" s="1342"/>
      <c r="G5655" s="1342"/>
      <c r="H5655" s="1342"/>
      <c r="I5655" s="1342"/>
      <c r="J5655" s="1342"/>
      <c r="K5655" s="1342"/>
    </row>
    <row r="5656" spans="2:11" ht="14" hidden="1">
      <c r="B5656" s="1342"/>
      <c r="C5656" s="1342"/>
      <c r="D5656" s="1342"/>
      <c r="E5656" s="1342"/>
      <c r="F5656" s="1342"/>
      <c r="G5656" s="1342"/>
      <c r="H5656" s="1342"/>
      <c r="I5656" s="1342"/>
      <c r="J5656" s="1342"/>
      <c r="K5656" s="1342"/>
    </row>
    <row r="5657" spans="2:11" ht="14" hidden="1">
      <c r="B5657" s="1342"/>
      <c r="C5657" s="1342"/>
      <c r="D5657" s="1342"/>
      <c r="E5657" s="1342"/>
      <c r="F5657" s="1342"/>
      <c r="G5657" s="1342"/>
      <c r="H5657" s="1342"/>
      <c r="I5657" s="1342"/>
      <c r="J5657" s="1342"/>
      <c r="K5657" s="1342"/>
    </row>
    <row r="5658" spans="2:11" ht="14" hidden="1">
      <c r="B5658" s="1342"/>
      <c r="C5658" s="1342"/>
      <c r="D5658" s="1342"/>
      <c r="E5658" s="1342"/>
      <c r="F5658" s="1342"/>
      <c r="G5658" s="1342"/>
      <c r="H5658" s="1342"/>
      <c r="I5658" s="1342"/>
      <c r="J5658" s="1342"/>
      <c r="K5658" s="1342"/>
    </row>
    <row r="5659" spans="2:11" ht="14" hidden="1">
      <c r="B5659" s="1342"/>
      <c r="C5659" s="1342"/>
      <c r="D5659" s="1342"/>
      <c r="E5659" s="1342"/>
      <c r="F5659" s="1342"/>
      <c r="G5659" s="1342"/>
      <c r="H5659" s="1342"/>
      <c r="I5659" s="1342"/>
      <c r="J5659" s="1342"/>
      <c r="K5659" s="1342"/>
    </row>
    <row r="5660" spans="2:11" ht="14" hidden="1">
      <c r="B5660" s="1342"/>
      <c r="C5660" s="1342"/>
      <c r="D5660" s="1342"/>
      <c r="E5660" s="1342"/>
      <c r="F5660" s="1342"/>
      <c r="G5660" s="1342"/>
      <c r="H5660" s="1342"/>
      <c r="I5660" s="1342"/>
      <c r="J5660" s="1342"/>
      <c r="K5660" s="1342"/>
    </row>
    <row r="5661" spans="2:11" ht="14" hidden="1">
      <c r="B5661" s="1342"/>
      <c r="C5661" s="1342"/>
      <c r="D5661" s="1342"/>
      <c r="E5661" s="1342"/>
      <c r="F5661" s="1342"/>
      <c r="G5661" s="1342"/>
      <c r="H5661" s="1342"/>
      <c r="I5661" s="1342"/>
      <c r="J5661" s="1342"/>
      <c r="K5661" s="1342"/>
    </row>
    <row r="5662" spans="2:11" ht="14" hidden="1">
      <c r="B5662" s="1342"/>
      <c r="C5662" s="1342"/>
      <c r="D5662" s="1342"/>
      <c r="E5662" s="1342"/>
      <c r="F5662" s="1342"/>
      <c r="G5662" s="1342"/>
      <c r="H5662" s="1342"/>
      <c r="I5662" s="1342"/>
      <c r="J5662" s="1342"/>
      <c r="K5662" s="1342"/>
    </row>
    <row r="5663" spans="2:11" ht="14" hidden="1">
      <c r="B5663" s="1342"/>
      <c r="C5663" s="1342"/>
      <c r="D5663" s="1342"/>
      <c r="E5663" s="1342"/>
      <c r="F5663" s="1342"/>
      <c r="G5663" s="1342"/>
      <c r="H5663" s="1342"/>
      <c r="I5663" s="1342"/>
      <c r="J5663" s="1342"/>
      <c r="K5663" s="1342"/>
    </row>
    <row r="5664" spans="2:11" ht="14" hidden="1">
      <c r="B5664" s="1342"/>
      <c r="C5664" s="1342"/>
      <c r="D5664" s="1342"/>
      <c r="E5664" s="1342"/>
      <c r="F5664" s="1342"/>
      <c r="G5664" s="1342"/>
      <c r="H5664" s="1342"/>
      <c r="I5664" s="1342"/>
      <c r="J5664" s="1342"/>
      <c r="K5664" s="1342"/>
    </row>
    <row r="5665" spans="2:11" ht="14" hidden="1">
      <c r="B5665" s="1342"/>
      <c r="C5665" s="1342"/>
      <c r="D5665" s="1342"/>
      <c r="E5665" s="1342"/>
      <c r="F5665" s="1342"/>
      <c r="G5665" s="1342"/>
      <c r="H5665" s="1342"/>
      <c r="I5665" s="1342"/>
      <c r="J5665" s="1342"/>
      <c r="K5665" s="1342"/>
    </row>
    <row r="5666" spans="2:11" ht="14" hidden="1">
      <c r="B5666" s="1342"/>
      <c r="C5666" s="1342"/>
      <c r="D5666" s="1342"/>
      <c r="E5666" s="1342"/>
      <c r="F5666" s="1342"/>
      <c r="G5666" s="1342"/>
      <c r="H5666" s="1342"/>
      <c r="I5666" s="1342"/>
      <c r="J5666" s="1342"/>
      <c r="K5666" s="1342"/>
    </row>
    <row r="5667" spans="2:11" ht="14" hidden="1">
      <c r="B5667" s="1342"/>
      <c r="C5667" s="1342"/>
      <c r="D5667" s="1342"/>
      <c r="E5667" s="1342"/>
      <c r="F5667" s="1342"/>
      <c r="G5667" s="1342"/>
      <c r="H5667" s="1342"/>
      <c r="I5667" s="1342"/>
      <c r="J5667" s="1342"/>
      <c r="K5667" s="1342"/>
    </row>
    <row r="5668" spans="2:11" ht="14" hidden="1">
      <c r="B5668" s="1342"/>
      <c r="C5668" s="1342"/>
      <c r="D5668" s="1342"/>
      <c r="E5668" s="1342"/>
      <c r="F5668" s="1342"/>
      <c r="G5668" s="1342"/>
      <c r="H5668" s="1342"/>
      <c r="I5668" s="1342"/>
      <c r="J5668" s="1342"/>
      <c r="K5668" s="1342"/>
    </row>
    <row r="5669" spans="2:11" ht="14" hidden="1">
      <c r="B5669" s="1342"/>
      <c r="C5669" s="1342"/>
      <c r="D5669" s="1342"/>
      <c r="E5669" s="1342"/>
      <c r="F5669" s="1342"/>
      <c r="G5669" s="1342"/>
      <c r="H5669" s="1342"/>
      <c r="I5669" s="1342"/>
      <c r="J5669" s="1342"/>
      <c r="K5669" s="1342"/>
    </row>
    <row r="5670" spans="2:11" ht="14" hidden="1">
      <c r="B5670" s="1342"/>
      <c r="C5670" s="1342"/>
      <c r="D5670" s="1342"/>
      <c r="E5670" s="1342"/>
      <c r="F5670" s="1342"/>
      <c r="G5670" s="1342"/>
      <c r="H5670" s="1342"/>
      <c r="I5670" s="1342"/>
      <c r="J5670" s="1342"/>
      <c r="K5670" s="1342"/>
    </row>
    <row r="5671" spans="2:11" ht="14" hidden="1">
      <c r="B5671" s="1342"/>
      <c r="C5671" s="1342"/>
      <c r="D5671" s="1342"/>
      <c r="E5671" s="1342"/>
      <c r="F5671" s="1342"/>
      <c r="G5671" s="1342"/>
      <c r="H5671" s="1342"/>
      <c r="I5671" s="1342"/>
      <c r="J5671" s="1342"/>
      <c r="K5671" s="1342"/>
    </row>
    <row r="5672" spans="2:11" ht="14" hidden="1">
      <c r="B5672" s="1342"/>
      <c r="C5672" s="1342"/>
      <c r="D5672" s="1342"/>
      <c r="E5672" s="1342"/>
      <c r="F5672" s="1342"/>
      <c r="G5672" s="1342"/>
      <c r="H5672" s="1342"/>
      <c r="I5672" s="1342"/>
      <c r="J5672" s="1342"/>
      <c r="K5672" s="1342"/>
    </row>
    <row r="5673" spans="2:11" ht="14" hidden="1">
      <c r="B5673" s="1342"/>
      <c r="C5673" s="1342"/>
      <c r="D5673" s="1342"/>
      <c r="E5673" s="1342"/>
      <c r="F5673" s="1342"/>
      <c r="G5673" s="1342"/>
      <c r="H5673" s="1342"/>
      <c r="I5673" s="1342"/>
      <c r="J5673" s="1342"/>
      <c r="K5673" s="1342"/>
    </row>
    <row r="5674" spans="2:11" ht="14" hidden="1">
      <c r="B5674" s="1342"/>
      <c r="C5674" s="1342"/>
      <c r="D5674" s="1342"/>
      <c r="E5674" s="1342"/>
      <c r="F5674" s="1342"/>
      <c r="G5674" s="1342"/>
      <c r="H5674" s="1342"/>
      <c r="I5674" s="1342"/>
      <c r="J5674" s="1342"/>
      <c r="K5674" s="1342"/>
    </row>
    <row r="5675" spans="2:11" ht="14" hidden="1">
      <c r="B5675" s="1342"/>
      <c r="C5675" s="1342"/>
      <c r="D5675" s="1342"/>
      <c r="E5675" s="1342"/>
      <c r="F5675" s="1342"/>
      <c r="G5675" s="1342"/>
      <c r="H5675" s="1342"/>
      <c r="I5675" s="1342"/>
      <c r="J5675" s="1342"/>
      <c r="K5675" s="1342"/>
    </row>
    <row r="5676" spans="2:11" ht="14" hidden="1">
      <c r="B5676" s="1342"/>
      <c r="C5676" s="1342"/>
      <c r="D5676" s="1342"/>
      <c r="E5676" s="1342"/>
      <c r="F5676" s="1342"/>
      <c r="G5676" s="1342"/>
      <c r="H5676" s="1342"/>
      <c r="I5676" s="1342"/>
      <c r="J5676" s="1342"/>
      <c r="K5676" s="1342"/>
    </row>
    <row r="5677" spans="2:11" ht="14" hidden="1">
      <c r="B5677" s="1342"/>
      <c r="C5677" s="1342"/>
      <c r="D5677" s="1342"/>
      <c r="E5677" s="1342"/>
      <c r="F5677" s="1342"/>
      <c r="G5677" s="1342"/>
      <c r="H5677" s="1342"/>
      <c r="I5677" s="1342"/>
      <c r="J5677" s="1342"/>
      <c r="K5677" s="1342"/>
    </row>
    <row r="5678" spans="2:11" ht="14" hidden="1">
      <c r="B5678" s="1342"/>
      <c r="C5678" s="1342"/>
      <c r="D5678" s="1342"/>
      <c r="E5678" s="1342"/>
      <c r="F5678" s="1342"/>
      <c r="G5678" s="1342"/>
      <c r="H5678" s="1342"/>
      <c r="I5678" s="1342"/>
      <c r="J5678" s="1342"/>
      <c r="K5678" s="1342"/>
    </row>
    <row r="5679" spans="2:11" ht="14" hidden="1">
      <c r="B5679" s="1342"/>
      <c r="C5679" s="1342"/>
      <c r="D5679" s="1342"/>
      <c r="E5679" s="1342"/>
      <c r="F5679" s="1342"/>
      <c r="G5679" s="1342"/>
      <c r="H5679" s="1342"/>
      <c r="I5679" s="1342"/>
      <c r="J5679" s="1342"/>
      <c r="K5679" s="1342"/>
    </row>
    <row r="5680" spans="2:11" ht="14" hidden="1">
      <c r="B5680" s="1342"/>
      <c r="C5680" s="1342"/>
      <c r="D5680" s="1342"/>
      <c r="E5680" s="1342"/>
      <c r="F5680" s="1342"/>
      <c r="G5680" s="1342"/>
      <c r="H5680" s="1342"/>
      <c r="I5680" s="1342"/>
      <c r="J5680" s="1342"/>
      <c r="K5680" s="1342"/>
    </row>
    <row r="5681" spans="2:11" ht="14" hidden="1">
      <c r="B5681" s="1342"/>
      <c r="C5681" s="1342"/>
      <c r="D5681" s="1342"/>
      <c r="E5681" s="1342"/>
      <c r="F5681" s="1342"/>
      <c r="G5681" s="1342"/>
      <c r="H5681" s="1342"/>
      <c r="I5681" s="1342"/>
      <c r="J5681" s="1342"/>
      <c r="K5681" s="1342"/>
    </row>
    <row r="5682" spans="2:11" ht="14" hidden="1">
      <c r="B5682" s="1342"/>
      <c r="C5682" s="1342"/>
      <c r="D5682" s="1342"/>
      <c r="E5682" s="1342"/>
      <c r="F5682" s="1342"/>
      <c r="G5682" s="1342"/>
      <c r="H5682" s="1342"/>
      <c r="I5682" s="1342"/>
      <c r="J5682" s="1342"/>
      <c r="K5682" s="1342"/>
    </row>
    <row r="5683" spans="2:11" ht="14" hidden="1">
      <c r="B5683" s="1342"/>
      <c r="C5683" s="1342"/>
      <c r="D5683" s="1342"/>
      <c r="E5683" s="1342"/>
      <c r="F5683" s="1342"/>
      <c r="G5683" s="1342"/>
      <c r="H5683" s="1342"/>
      <c r="I5683" s="1342"/>
      <c r="J5683" s="1342"/>
      <c r="K5683" s="1342"/>
    </row>
    <row r="5684" spans="2:11" ht="14" hidden="1">
      <c r="B5684" s="1342"/>
      <c r="C5684" s="1342"/>
      <c r="D5684" s="1342"/>
      <c r="E5684" s="1342"/>
      <c r="F5684" s="1342"/>
      <c r="G5684" s="1342"/>
      <c r="H5684" s="1342"/>
      <c r="I5684" s="1342"/>
      <c r="J5684" s="1342"/>
      <c r="K5684" s="1342"/>
    </row>
    <row r="5685" spans="2:11" ht="14" hidden="1">
      <c r="B5685" s="1342"/>
      <c r="C5685" s="1342"/>
      <c r="D5685" s="1342"/>
      <c r="E5685" s="1342"/>
      <c r="F5685" s="1342"/>
      <c r="G5685" s="1342"/>
      <c r="H5685" s="1342"/>
      <c r="I5685" s="1342"/>
      <c r="J5685" s="1342"/>
      <c r="K5685" s="1342"/>
    </row>
    <row r="5686" spans="2:11" ht="14" hidden="1">
      <c r="B5686" s="1342"/>
      <c r="C5686" s="1342"/>
      <c r="D5686" s="1342"/>
      <c r="E5686" s="1342"/>
      <c r="F5686" s="1342"/>
      <c r="G5686" s="1342"/>
      <c r="H5686" s="1342"/>
      <c r="I5686" s="1342"/>
      <c r="J5686" s="1342"/>
      <c r="K5686" s="1342"/>
    </row>
    <row r="5687" spans="2:11" ht="14" hidden="1">
      <c r="B5687" s="1342"/>
      <c r="C5687" s="1342"/>
      <c r="D5687" s="1342"/>
      <c r="E5687" s="1342"/>
      <c r="F5687" s="1342"/>
      <c r="G5687" s="1342"/>
      <c r="H5687" s="1342"/>
      <c r="I5687" s="1342"/>
      <c r="J5687" s="1342"/>
      <c r="K5687" s="1342"/>
    </row>
    <row r="5688" spans="2:11" ht="14" hidden="1">
      <c r="B5688" s="1342"/>
      <c r="C5688" s="1342"/>
      <c r="D5688" s="1342"/>
      <c r="E5688" s="1342"/>
      <c r="F5688" s="1342"/>
      <c r="G5688" s="1342"/>
      <c r="H5688" s="1342"/>
      <c r="I5688" s="1342"/>
      <c r="J5688" s="1342"/>
      <c r="K5688" s="1342"/>
    </row>
    <row r="5689" spans="2:11" ht="14" hidden="1">
      <c r="B5689" s="1342"/>
      <c r="C5689" s="1342"/>
      <c r="D5689" s="1342"/>
      <c r="E5689" s="1342"/>
      <c r="F5689" s="1342"/>
      <c r="G5689" s="1342"/>
      <c r="H5689" s="1342"/>
      <c r="I5689" s="1342"/>
      <c r="J5689" s="1342"/>
      <c r="K5689" s="1342"/>
    </row>
    <row r="5690" spans="2:11" ht="14" hidden="1">
      <c r="B5690" s="1342"/>
      <c r="C5690" s="1342"/>
      <c r="D5690" s="1342"/>
      <c r="E5690" s="1342"/>
      <c r="F5690" s="1342"/>
      <c r="G5690" s="1342"/>
      <c r="H5690" s="1342"/>
      <c r="I5690" s="1342"/>
      <c r="J5690" s="1342"/>
      <c r="K5690" s="1342"/>
    </row>
    <row r="5691" spans="2:11" ht="14" hidden="1">
      <c r="B5691" s="1342"/>
      <c r="C5691" s="1342"/>
      <c r="D5691" s="1342"/>
      <c r="E5691" s="1342"/>
      <c r="F5691" s="1342"/>
      <c r="G5691" s="1342"/>
      <c r="H5691" s="1342"/>
      <c r="I5691" s="1342"/>
      <c r="J5691" s="1342"/>
      <c r="K5691" s="1342"/>
    </row>
    <row r="5692" spans="2:11" ht="14" hidden="1">
      <c r="B5692" s="1342"/>
      <c r="C5692" s="1342"/>
      <c r="D5692" s="1342"/>
      <c r="E5692" s="1342"/>
      <c r="F5692" s="1342"/>
      <c r="G5692" s="1342"/>
      <c r="H5692" s="1342"/>
      <c r="I5692" s="1342"/>
      <c r="J5692" s="1342"/>
      <c r="K5692" s="1342"/>
    </row>
    <row r="5693" spans="2:11" ht="14" hidden="1">
      <c r="B5693" s="1342"/>
      <c r="C5693" s="1342"/>
      <c r="D5693" s="1342"/>
      <c r="E5693" s="1342"/>
      <c r="F5693" s="1342"/>
      <c r="G5693" s="1342"/>
      <c r="H5693" s="1342"/>
      <c r="I5693" s="1342"/>
      <c r="J5693" s="1342"/>
      <c r="K5693" s="1342"/>
    </row>
    <row r="5694" spans="2:11" ht="14" hidden="1">
      <c r="B5694" s="1342"/>
      <c r="C5694" s="1342"/>
      <c r="D5694" s="1342"/>
      <c r="E5694" s="1342"/>
      <c r="F5694" s="1342"/>
      <c r="G5694" s="1342"/>
      <c r="H5694" s="1342"/>
      <c r="I5694" s="1342"/>
      <c r="J5694" s="1342"/>
      <c r="K5694" s="1342"/>
    </row>
    <row r="5695" spans="2:11" ht="14" hidden="1">
      <c r="B5695" s="1342"/>
      <c r="C5695" s="1342"/>
      <c r="D5695" s="1342"/>
      <c r="E5695" s="1342"/>
      <c r="F5695" s="1342"/>
      <c r="G5695" s="1342"/>
      <c r="H5695" s="1342"/>
      <c r="I5695" s="1342"/>
      <c r="J5695" s="1342"/>
      <c r="K5695" s="1342"/>
    </row>
    <row r="5696" spans="2:11" ht="14" hidden="1">
      <c r="B5696" s="1342"/>
      <c r="C5696" s="1342"/>
      <c r="D5696" s="1342"/>
      <c r="E5696" s="1342"/>
      <c r="F5696" s="1342"/>
      <c r="G5696" s="1342"/>
      <c r="H5696" s="1342"/>
      <c r="I5696" s="1342"/>
      <c r="J5696" s="1342"/>
      <c r="K5696" s="1342"/>
    </row>
    <row r="5697" spans="2:11" ht="14" hidden="1">
      <c r="B5697" s="1342"/>
      <c r="C5697" s="1342"/>
      <c r="D5697" s="1342"/>
      <c r="E5697" s="1342"/>
      <c r="F5697" s="1342"/>
      <c r="G5697" s="1342"/>
      <c r="H5697" s="1342"/>
      <c r="I5697" s="1342"/>
      <c r="J5697" s="1342"/>
      <c r="K5697" s="1342"/>
    </row>
    <row r="5698" spans="2:11" ht="14" hidden="1">
      <c r="B5698" s="1342"/>
      <c r="C5698" s="1342"/>
      <c r="D5698" s="1342"/>
      <c r="E5698" s="1342"/>
      <c r="F5698" s="1342"/>
      <c r="G5698" s="1342"/>
      <c r="H5698" s="1342"/>
      <c r="I5698" s="1342"/>
      <c r="J5698" s="1342"/>
      <c r="K5698" s="1342"/>
    </row>
    <row r="5699" spans="2:11" ht="14" hidden="1">
      <c r="B5699" s="1342"/>
      <c r="C5699" s="1342"/>
      <c r="D5699" s="1342"/>
      <c r="E5699" s="1342"/>
      <c r="F5699" s="1342"/>
      <c r="G5699" s="1342"/>
      <c r="H5699" s="1342"/>
      <c r="I5699" s="1342"/>
      <c r="J5699" s="1342"/>
      <c r="K5699" s="1342"/>
    </row>
    <row r="5700" spans="2:11" ht="14" hidden="1">
      <c r="B5700" s="1342"/>
      <c r="C5700" s="1342"/>
      <c r="D5700" s="1342"/>
      <c r="E5700" s="1342"/>
      <c r="F5700" s="1342"/>
      <c r="G5700" s="1342"/>
      <c r="H5700" s="1342"/>
      <c r="I5700" s="1342"/>
      <c r="J5700" s="1342"/>
      <c r="K5700" s="1342"/>
    </row>
    <row r="5701" spans="2:11" ht="14" hidden="1">
      <c r="B5701" s="1342"/>
      <c r="C5701" s="1342"/>
      <c r="D5701" s="1342"/>
      <c r="E5701" s="1342"/>
      <c r="F5701" s="1342"/>
      <c r="G5701" s="1342"/>
      <c r="H5701" s="1342"/>
      <c r="I5701" s="1342"/>
      <c r="J5701" s="1342"/>
      <c r="K5701" s="1342"/>
    </row>
    <row r="5702" spans="2:11" ht="14" hidden="1">
      <c r="B5702" s="1342"/>
      <c r="C5702" s="1342"/>
      <c r="D5702" s="1342"/>
      <c r="E5702" s="1342"/>
      <c r="F5702" s="1342"/>
      <c r="G5702" s="1342"/>
      <c r="H5702" s="1342"/>
      <c r="I5702" s="1342"/>
      <c r="J5702" s="1342"/>
      <c r="K5702" s="1342"/>
    </row>
    <row r="5703" spans="2:11" ht="14" hidden="1">
      <c r="B5703" s="1342"/>
      <c r="C5703" s="1342"/>
      <c r="D5703" s="1342"/>
      <c r="E5703" s="1342"/>
      <c r="F5703" s="1342"/>
      <c r="G5703" s="1342"/>
      <c r="H5703" s="1342"/>
      <c r="I5703" s="1342"/>
      <c r="J5703" s="1342"/>
      <c r="K5703" s="1342"/>
    </row>
    <row r="5704" spans="2:11" ht="14" hidden="1">
      <c r="B5704" s="1342"/>
      <c r="C5704" s="1342"/>
      <c r="D5704" s="1342"/>
      <c r="E5704" s="1342"/>
      <c r="F5704" s="1342"/>
      <c r="G5704" s="1342"/>
      <c r="H5704" s="1342"/>
      <c r="I5704" s="1342"/>
      <c r="J5704" s="1342"/>
      <c r="K5704" s="1342"/>
    </row>
    <row r="5705" spans="2:11" ht="14" hidden="1">
      <c r="B5705" s="1342"/>
      <c r="C5705" s="1342"/>
      <c r="D5705" s="1342"/>
      <c r="E5705" s="1342"/>
      <c r="F5705" s="1342"/>
      <c r="G5705" s="1342"/>
      <c r="H5705" s="1342"/>
      <c r="I5705" s="1342"/>
      <c r="J5705" s="1342"/>
      <c r="K5705" s="1342"/>
    </row>
    <row r="5706" spans="2:11" ht="14" hidden="1">
      <c r="B5706" s="1342"/>
      <c r="C5706" s="1342"/>
      <c r="D5706" s="1342"/>
      <c r="E5706" s="1342"/>
      <c r="F5706" s="1342"/>
      <c r="G5706" s="1342"/>
      <c r="H5706" s="1342"/>
      <c r="I5706" s="1342"/>
      <c r="J5706" s="1342"/>
      <c r="K5706" s="1342"/>
    </row>
    <row r="5707" spans="2:11" ht="14" hidden="1">
      <c r="B5707" s="1342"/>
      <c r="C5707" s="1342"/>
      <c r="D5707" s="1342"/>
      <c r="E5707" s="1342"/>
      <c r="F5707" s="1342"/>
      <c r="G5707" s="1342"/>
      <c r="H5707" s="1342"/>
      <c r="I5707" s="1342"/>
      <c r="J5707" s="1342"/>
      <c r="K5707" s="1342"/>
    </row>
    <row r="5708" spans="2:11" ht="14" hidden="1">
      <c r="B5708" s="1342"/>
      <c r="C5708" s="1342"/>
      <c r="D5708" s="1342"/>
      <c r="E5708" s="1342"/>
      <c r="F5708" s="1342"/>
      <c r="G5708" s="1342"/>
      <c r="H5708" s="1342"/>
      <c r="I5708" s="1342"/>
      <c r="J5708" s="1342"/>
      <c r="K5708" s="1342"/>
    </row>
    <row r="5709" spans="2:11" ht="14" hidden="1">
      <c r="B5709" s="1342"/>
      <c r="C5709" s="1342"/>
      <c r="D5709" s="1342"/>
      <c r="E5709" s="1342"/>
      <c r="F5709" s="1342"/>
      <c r="G5709" s="1342"/>
      <c r="H5709" s="1342"/>
      <c r="I5709" s="1342"/>
      <c r="J5709" s="1342"/>
      <c r="K5709" s="1342"/>
    </row>
    <row r="5710" spans="2:11" ht="14" hidden="1">
      <c r="B5710" s="1342"/>
      <c r="C5710" s="1342"/>
      <c r="D5710" s="1342"/>
      <c r="E5710" s="1342"/>
      <c r="F5710" s="1342"/>
      <c r="G5710" s="1342"/>
      <c r="H5710" s="1342"/>
      <c r="I5710" s="1342"/>
      <c r="J5710" s="1342"/>
      <c r="K5710" s="1342"/>
    </row>
    <row r="5711" spans="2:11" ht="14" hidden="1">
      <c r="B5711" s="1342"/>
      <c r="C5711" s="1342"/>
      <c r="D5711" s="1342"/>
      <c r="E5711" s="1342"/>
      <c r="F5711" s="1342"/>
      <c r="G5711" s="1342"/>
      <c r="H5711" s="1342"/>
      <c r="I5711" s="1342"/>
      <c r="J5711" s="1342"/>
      <c r="K5711" s="1342"/>
    </row>
    <row r="5712" spans="2:11" ht="14" hidden="1">
      <c r="B5712" s="1342"/>
      <c r="C5712" s="1342"/>
      <c r="D5712" s="1342"/>
      <c r="E5712" s="1342"/>
      <c r="F5712" s="1342"/>
      <c r="G5712" s="1342"/>
      <c r="H5712" s="1342"/>
      <c r="I5712" s="1342"/>
      <c r="J5712" s="1342"/>
      <c r="K5712" s="1342"/>
    </row>
    <row r="5713" spans="2:11" ht="14" hidden="1">
      <c r="B5713" s="1342"/>
      <c r="C5713" s="1342"/>
      <c r="D5713" s="1342"/>
      <c r="E5713" s="1342"/>
      <c r="F5713" s="1342"/>
      <c r="G5713" s="1342"/>
      <c r="H5713" s="1342"/>
      <c r="I5713" s="1342"/>
      <c r="J5713" s="1342"/>
      <c r="K5713" s="1342"/>
    </row>
    <row r="5714" spans="2:11" ht="14" hidden="1">
      <c r="B5714" s="1342"/>
      <c r="C5714" s="1342"/>
      <c r="D5714" s="1342"/>
      <c r="E5714" s="1342"/>
      <c r="F5714" s="1342"/>
      <c r="G5714" s="1342"/>
      <c r="H5714" s="1342"/>
      <c r="I5714" s="1342"/>
      <c r="J5714" s="1342"/>
      <c r="K5714" s="1342"/>
    </row>
    <row r="5715" spans="2:11" ht="14" hidden="1">
      <c r="B5715" s="1342"/>
      <c r="C5715" s="1342"/>
      <c r="D5715" s="1342"/>
      <c r="E5715" s="1342"/>
      <c r="F5715" s="1342"/>
      <c r="G5715" s="1342"/>
      <c r="H5715" s="1342"/>
      <c r="I5715" s="1342"/>
      <c r="J5715" s="1342"/>
      <c r="K5715" s="1342"/>
    </row>
    <row r="5716" spans="2:11" ht="14" hidden="1">
      <c r="B5716" s="1342"/>
      <c r="C5716" s="1342"/>
      <c r="D5716" s="1342"/>
      <c r="E5716" s="1342"/>
      <c r="F5716" s="1342"/>
      <c r="G5716" s="1342"/>
      <c r="H5716" s="1342"/>
      <c r="I5716" s="1342"/>
      <c r="J5716" s="1342"/>
      <c r="K5716" s="1342"/>
    </row>
    <row r="5717" spans="2:11" ht="14" hidden="1">
      <c r="B5717" s="1342"/>
      <c r="C5717" s="1342"/>
      <c r="D5717" s="1342"/>
      <c r="E5717" s="1342"/>
      <c r="F5717" s="1342"/>
      <c r="G5717" s="1342"/>
      <c r="H5717" s="1342"/>
      <c r="I5717" s="1342"/>
      <c r="J5717" s="1342"/>
      <c r="K5717" s="1342"/>
    </row>
    <row r="5718" spans="2:11" ht="14" hidden="1">
      <c r="B5718" s="1342"/>
      <c r="C5718" s="1342"/>
      <c r="D5718" s="1342"/>
      <c r="E5718" s="1342"/>
      <c r="F5718" s="1342"/>
      <c r="G5718" s="1342"/>
      <c r="H5718" s="1342"/>
      <c r="I5718" s="1342"/>
      <c r="J5718" s="1342"/>
      <c r="K5718" s="1342"/>
    </row>
    <row r="5719" spans="2:11" ht="14" hidden="1">
      <c r="B5719" s="1342"/>
      <c r="C5719" s="1342"/>
      <c r="D5719" s="1342"/>
      <c r="E5719" s="1342"/>
      <c r="F5719" s="1342"/>
      <c r="G5719" s="1342"/>
      <c r="H5719" s="1342"/>
      <c r="I5719" s="1342"/>
      <c r="J5719" s="1342"/>
      <c r="K5719" s="1342"/>
    </row>
    <row r="5720" spans="2:11" ht="14" hidden="1">
      <c r="B5720" s="1342"/>
      <c r="C5720" s="1342"/>
      <c r="D5720" s="1342"/>
      <c r="E5720" s="1342"/>
      <c r="F5720" s="1342"/>
      <c r="G5720" s="1342"/>
      <c r="H5720" s="1342"/>
      <c r="I5720" s="1342"/>
      <c r="J5720" s="1342"/>
      <c r="K5720" s="1342"/>
    </row>
    <row r="5721" spans="2:11" ht="14" hidden="1">
      <c r="B5721" s="1342"/>
      <c r="C5721" s="1342"/>
      <c r="D5721" s="1342"/>
      <c r="E5721" s="1342"/>
      <c r="F5721" s="1342"/>
      <c r="G5721" s="1342"/>
      <c r="H5721" s="1342"/>
      <c r="I5721" s="1342"/>
      <c r="J5721" s="1342"/>
      <c r="K5721" s="1342"/>
    </row>
    <row r="5722" spans="2:11" ht="14" hidden="1">
      <c r="B5722" s="1342"/>
      <c r="C5722" s="1342"/>
      <c r="D5722" s="1342"/>
      <c r="E5722" s="1342"/>
      <c r="F5722" s="1342"/>
      <c r="G5722" s="1342"/>
      <c r="H5722" s="1342"/>
      <c r="I5722" s="1342"/>
      <c r="J5722" s="1342"/>
      <c r="K5722" s="1342"/>
    </row>
    <row r="5723" spans="2:11" ht="14" hidden="1">
      <c r="B5723" s="1342"/>
      <c r="C5723" s="1342"/>
      <c r="D5723" s="1342"/>
      <c r="E5723" s="1342"/>
      <c r="F5723" s="1342"/>
      <c r="G5723" s="1342"/>
      <c r="H5723" s="1342"/>
      <c r="I5723" s="1342"/>
      <c r="J5723" s="1342"/>
      <c r="K5723" s="1342"/>
    </row>
    <row r="5724" spans="2:11" ht="14" hidden="1">
      <c r="B5724" s="1342"/>
      <c r="C5724" s="1342"/>
      <c r="D5724" s="1342"/>
      <c r="E5724" s="1342"/>
      <c r="F5724" s="1342"/>
      <c r="G5724" s="1342"/>
      <c r="H5724" s="1342"/>
      <c r="I5724" s="1342"/>
      <c r="J5724" s="1342"/>
      <c r="K5724" s="1342"/>
    </row>
    <row r="5725" spans="2:11" ht="14" hidden="1">
      <c r="B5725" s="1342"/>
      <c r="C5725" s="1342"/>
      <c r="D5725" s="1342"/>
      <c r="E5725" s="1342"/>
      <c r="F5725" s="1342"/>
      <c r="G5725" s="1342"/>
      <c r="H5725" s="1342"/>
      <c r="I5725" s="1342"/>
      <c r="J5725" s="1342"/>
      <c r="K5725" s="1342"/>
    </row>
    <row r="5726" spans="2:11" ht="14" hidden="1">
      <c r="B5726" s="1342"/>
      <c r="C5726" s="1342"/>
      <c r="D5726" s="1342"/>
      <c r="E5726" s="1342"/>
      <c r="F5726" s="1342"/>
      <c r="G5726" s="1342"/>
      <c r="H5726" s="1342"/>
      <c r="I5726" s="1342"/>
      <c r="J5726" s="1342"/>
      <c r="K5726" s="1342"/>
    </row>
    <row r="5727" spans="2:11" ht="14" hidden="1">
      <c r="B5727" s="1342"/>
      <c r="C5727" s="1342"/>
      <c r="D5727" s="1342"/>
      <c r="E5727" s="1342"/>
      <c r="F5727" s="1342"/>
      <c r="G5727" s="1342"/>
      <c r="H5727" s="1342"/>
      <c r="I5727" s="1342"/>
      <c r="J5727" s="1342"/>
      <c r="K5727" s="1342"/>
    </row>
    <row r="5728" spans="2:11" ht="14" hidden="1">
      <c r="B5728" s="1342"/>
      <c r="C5728" s="1342"/>
      <c r="D5728" s="1342"/>
      <c r="E5728" s="1342"/>
      <c r="F5728" s="1342"/>
      <c r="G5728" s="1342"/>
      <c r="H5728" s="1342"/>
      <c r="I5728" s="1342"/>
      <c r="J5728" s="1342"/>
      <c r="K5728" s="1342"/>
    </row>
    <row r="5729" spans="2:11" ht="14" hidden="1">
      <c r="B5729" s="1342"/>
      <c r="C5729" s="1342"/>
      <c r="D5729" s="1342"/>
      <c r="E5729" s="1342"/>
      <c r="F5729" s="1342"/>
      <c r="G5729" s="1342"/>
      <c r="H5729" s="1342"/>
      <c r="I5729" s="1342"/>
      <c r="J5729" s="1342"/>
      <c r="K5729" s="1342"/>
    </row>
    <row r="5730" spans="2:11" ht="14" hidden="1">
      <c r="B5730" s="1342"/>
      <c r="C5730" s="1342"/>
      <c r="D5730" s="1342"/>
      <c r="E5730" s="1342"/>
      <c r="F5730" s="1342"/>
      <c r="G5730" s="1342"/>
      <c r="H5730" s="1342"/>
      <c r="I5730" s="1342"/>
      <c r="J5730" s="1342"/>
      <c r="K5730" s="1342"/>
    </row>
    <row r="5731" spans="2:11" ht="14" hidden="1">
      <c r="B5731" s="1342"/>
      <c r="C5731" s="1342"/>
      <c r="D5731" s="1342"/>
      <c r="E5731" s="1342"/>
      <c r="F5731" s="1342"/>
      <c r="G5731" s="1342"/>
      <c r="H5731" s="1342"/>
      <c r="I5731" s="1342"/>
      <c r="J5731" s="1342"/>
      <c r="K5731" s="1342"/>
    </row>
    <row r="5732" spans="2:11" ht="14" hidden="1">
      <c r="B5732" s="1342"/>
      <c r="C5732" s="1342"/>
      <c r="D5732" s="1342"/>
      <c r="E5732" s="1342"/>
      <c r="F5732" s="1342"/>
      <c r="G5732" s="1342"/>
      <c r="H5732" s="1342"/>
      <c r="I5732" s="1342"/>
      <c r="J5732" s="1342"/>
      <c r="K5732" s="1342"/>
    </row>
    <row r="5733" spans="2:11" ht="14" hidden="1">
      <c r="B5733" s="1342"/>
      <c r="C5733" s="1342"/>
      <c r="D5733" s="1342"/>
      <c r="E5733" s="1342"/>
      <c r="F5733" s="1342"/>
      <c r="G5733" s="1342"/>
      <c r="H5733" s="1342"/>
      <c r="I5733" s="1342"/>
      <c r="J5733" s="1342"/>
      <c r="K5733" s="1342"/>
    </row>
    <row r="5734" spans="2:11" ht="14" hidden="1">
      <c r="B5734" s="1342"/>
      <c r="C5734" s="1342"/>
      <c r="D5734" s="1342"/>
      <c r="E5734" s="1342"/>
      <c r="F5734" s="1342"/>
      <c r="G5734" s="1342"/>
      <c r="H5734" s="1342"/>
      <c r="I5734" s="1342"/>
      <c r="J5734" s="1342"/>
      <c r="K5734" s="1342"/>
    </row>
    <row r="5735" spans="2:11" ht="14" hidden="1">
      <c r="B5735" s="1342"/>
      <c r="C5735" s="1342"/>
      <c r="D5735" s="1342"/>
      <c r="E5735" s="1342"/>
      <c r="F5735" s="1342"/>
      <c r="G5735" s="1342"/>
      <c r="H5735" s="1342"/>
      <c r="I5735" s="1342"/>
      <c r="J5735" s="1342"/>
      <c r="K5735" s="1342"/>
    </row>
    <row r="5736" spans="2:11" ht="14" hidden="1">
      <c r="B5736" s="1342"/>
      <c r="C5736" s="1342"/>
      <c r="D5736" s="1342"/>
      <c r="E5736" s="1342"/>
      <c r="F5736" s="1342"/>
      <c r="G5736" s="1342"/>
      <c r="H5736" s="1342"/>
      <c r="I5736" s="1342"/>
      <c r="J5736" s="1342"/>
      <c r="K5736" s="1342"/>
    </row>
    <row r="5737" spans="2:11" ht="14" hidden="1">
      <c r="B5737" s="1342"/>
      <c r="C5737" s="1342"/>
      <c r="D5737" s="1342"/>
      <c r="E5737" s="1342"/>
      <c r="F5737" s="1342"/>
      <c r="G5737" s="1342"/>
      <c r="H5737" s="1342"/>
      <c r="I5737" s="1342"/>
      <c r="J5737" s="1342"/>
      <c r="K5737" s="1342"/>
    </row>
    <row r="5738" spans="2:11" ht="14" hidden="1">
      <c r="B5738" s="1342"/>
      <c r="C5738" s="1342"/>
      <c r="D5738" s="1342"/>
      <c r="E5738" s="1342"/>
      <c r="F5738" s="1342"/>
      <c r="G5738" s="1342"/>
      <c r="H5738" s="1342"/>
      <c r="I5738" s="1342"/>
      <c r="J5738" s="1342"/>
      <c r="K5738" s="1342"/>
    </row>
    <row r="5739" spans="2:11" ht="14" hidden="1">
      <c r="B5739" s="1342"/>
      <c r="C5739" s="1342"/>
      <c r="D5739" s="1342"/>
      <c r="E5739" s="1342"/>
      <c r="F5739" s="1342"/>
      <c r="G5739" s="1342"/>
      <c r="H5739" s="1342"/>
      <c r="I5739" s="1342"/>
      <c r="J5739" s="1342"/>
      <c r="K5739" s="1342"/>
    </row>
    <row r="5740" spans="2:11" ht="14" hidden="1">
      <c r="B5740" s="1342"/>
      <c r="C5740" s="1342"/>
      <c r="D5740" s="1342"/>
      <c r="E5740" s="1342"/>
      <c r="F5740" s="1342"/>
      <c r="G5740" s="1342"/>
      <c r="H5740" s="1342"/>
      <c r="I5740" s="1342"/>
      <c r="J5740" s="1342"/>
      <c r="K5740" s="1342"/>
    </row>
    <row r="5741" spans="2:11" ht="14" hidden="1">
      <c r="B5741" s="1342"/>
      <c r="C5741" s="1342"/>
      <c r="D5741" s="1342"/>
      <c r="E5741" s="1342"/>
      <c r="F5741" s="1342"/>
      <c r="G5741" s="1342"/>
      <c r="H5741" s="1342"/>
      <c r="I5741" s="1342"/>
      <c r="J5741" s="1342"/>
      <c r="K5741" s="1342"/>
    </row>
    <row r="5742" spans="2:11" ht="14" hidden="1">
      <c r="B5742" s="1342"/>
      <c r="C5742" s="1342"/>
      <c r="D5742" s="1342"/>
      <c r="E5742" s="1342"/>
      <c r="F5742" s="1342"/>
      <c r="G5742" s="1342"/>
      <c r="H5742" s="1342"/>
      <c r="I5742" s="1342"/>
      <c r="J5742" s="1342"/>
      <c r="K5742" s="1342"/>
    </row>
    <row r="5743" spans="2:11" ht="14" hidden="1">
      <c r="B5743" s="1342"/>
      <c r="C5743" s="1342"/>
      <c r="D5743" s="1342"/>
      <c r="E5743" s="1342"/>
      <c r="F5743" s="1342"/>
      <c r="G5743" s="1342"/>
      <c r="H5743" s="1342"/>
      <c r="I5743" s="1342"/>
      <c r="J5743" s="1342"/>
      <c r="K5743" s="1342"/>
    </row>
    <row r="5744" spans="2:11" ht="14" hidden="1">
      <c r="B5744" s="1342"/>
      <c r="C5744" s="1342"/>
      <c r="D5744" s="1342"/>
      <c r="E5744" s="1342"/>
      <c r="F5744" s="1342"/>
      <c r="G5744" s="1342"/>
      <c r="H5744" s="1342"/>
      <c r="I5744" s="1342"/>
      <c r="J5744" s="1342"/>
      <c r="K5744" s="1342"/>
    </row>
    <row r="5745" spans="2:11" ht="14" hidden="1">
      <c r="B5745" s="1342"/>
      <c r="C5745" s="1342"/>
      <c r="D5745" s="1342"/>
      <c r="E5745" s="1342"/>
      <c r="F5745" s="1342"/>
      <c r="G5745" s="1342"/>
      <c r="H5745" s="1342"/>
      <c r="I5745" s="1342"/>
      <c r="J5745" s="1342"/>
      <c r="K5745" s="1342"/>
    </row>
    <row r="5746" spans="2:11" ht="14" hidden="1">
      <c r="B5746" s="1342"/>
      <c r="C5746" s="1342"/>
      <c r="D5746" s="1342"/>
      <c r="E5746" s="1342"/>
      <c r="F5746" s="1342"/>
      <c r="G5746" s="1342"/>
      <c r="H5746" s="1342"/>
      <c r="I5746" s="1342"/>
      <c r="J5746" s="1342"/>
      <c r="K5746" s="1342"/>
    </row>
    <row r="5747" spans="2:11" ht="14" hidden="1">
      <c r="B5747" s="1342"/>
      <c r="C5747" s="1342"/>
      <c r="D5747" s="1342"/>
      <c r="E5747" s="1342"/>
      <c r="F5747" s="1342"/>
      <c r="G5747" s="1342"/>
      <c r="H5747" s="1342"/>
      <c r="I5747" s="1342"/>
      <c r="J5747" s="1342"/>
      <c r="K5747" s="1342"/>
    </row>
    <row r="5748" spans="2:11" ht="14" hidden="1">
      <c r="B5748" s="1342"/>
      <c r="C5748" s="1342"/>
      <c r="D5748" s="1342"/>
      <c r="E5748" s="1342"/>
      <c r="F5748" s="1342"/>
      <c r="G5748" s="1342"/>
      <c r="H5748" s="1342"/>
      <c r="I5748" s="1342"/>
      <c r="J5748" s="1342"/>
      <c r="K5748" s="1342"/>
    </row>
    <row r="5749" spans="2:11" ht="14" hidden="1">
      <c r="B5749" s="1342"/>
      <c r="C5749" s="1342"/>
      <c r="D5749" s="1342"/>
      <c r="E5749" s="1342"/>
      <c r="F5749" s="1342"/>
      <c r="G5749" s="1342"/>
      <c r="H5749" s="1342"/>
      <c r="I5749" s="1342"/>
      <c r="J5749" s="1342"/>
      <c r="K5749" s="1342"/>
    </row>
    <row r="5750" spans="2:11" ht="14" hidden="1">
      <c r="B5750" s="1342"/>
      <c r="C5750" s="1342"/>
      <c r="D5750" s="1342"/>
      <c r="E5750" s="1342"/>
      <c r="F5750" s="1342"/>
      <c r="G5750" s="1342"/>
      <c r="H5750" s="1342"/>
      <c r="I5750" s="1342"/>
      <c r="J5750" s="1342"/>
      <c r="K5750" s="1342"/>
    </row>
    <row r="5751" spans="2:11" ht="14" hidden="1">
      <c r="B5751" s="1342"/>
      <c r="C5751" s="1342"/>
      <c r="D5751" s="1342"/>
      <c r="E5751" s="1342"/>
      <c r="F5751" s="1342"/>
      <c r="G5751" s="1342"/>
      <c r="H5751" s="1342"/>
      <c r="I5751" s="1342"/>
      <c r="J5751" s="1342"/>
      <c r="K5751" s="1342"/>
    </row>
    <row r="5752" spans="2:11" ht="14" hidden="1">
      <c r="B5752" s="1342"/>
      <c r="C5752" s="1342"/>
      <c r="D5752" s="1342"/>
      <c r="E5752" s="1342"/>
      <c r="F5752" s="1342"/>
      <c r="G5752" s="1342"/>
      <c r="H5752" s="1342"/>
      <c r="I5752" s="1342"/>
      <c r="J5752" s="1342"/>
      <c r="K5752" s="1342"/>
    </row>
    <row r="5753" spans="2:11" ht="14" hidden="1">
      <c r="B5753" s="1342"/>
      <c r="C5753" s="1342"/>
      <c r="D5753" s="1342"/>
      <c r="E5753" s="1342"/>
      <c r="F5753" s="1342"/>
      <c r="G5753" s="1342"/>
      <c r="H5753" s="1342"/>
      <c r="I5753" s="1342"/>
      <c r="J5753" s="1342"/>
      <c r="K5753" s="1342"/>
    </row>
    <row r="5754" spans="2:11" ht="14" hidden="1">
      <c r="B5754" s="1342"/>
      <c r="C5754" s="1342"/>
      <c r="D5754" s="1342"/>
      <c r="E5754" s="1342"/>
      <c r="F5754" s="1342"/>
      <c r="G5754" s="1342"/>
      <c r="H5754" s="1342"/>
      <c r="I5754" s="1342"/>
      <c r="J5754" s="1342"/>
      <c r="K5754" s="1342"/>
    </row>
    <row r="5755" spans="2:11" ht="14" hidden="1">
      <c r="B5755" s="1342"/>
      <c r="C5755" s="1342"/>
      <c r="D5755" s="1342"/>
      <c r="E5755" s="1342"/>
      <c r="F5755" s="1342"/>
      <c r="G5755" s="1342"/>
      <c r="H5755" s="1342"/>
      <c r="I5755" s="1342"/>
      <c r="J5755" s="1342"/>
      <c r="K5755" s="1342"/>
    </row>
    <row r="5756" spans="2:11" ht="14" hidden="1">
      <c r="B5756" s="1342"/>
      <c r="C5756" s="1342"/>
      <c r="D5756" s="1342"/>
      <c r="E5756" s="1342"/>
      <c r="F5756" s="1342"/>
      <c r="G5756" s="1342"/>
      <c r="H5756" s="1342"/>
      <c r="I5756" s="1342"/>
      <c r="J5756" s="1342"/>
      <c r="K5756" s="1342"/>
    </row>
    <row r="5757" spans="2:11" ht="14" hidden="1">
      <c r="B5757" s="1342"/>
      <c r="C5757" s="1342"/>
      <c r="D5757" s="1342"/>
      <c r="E5757" s="1342"/>
      <c r="F5757" s="1342"/>
      <c r="G5757" s="1342"/>
      <c r="H5757" s="1342"/>
      <c r="I5757" s="1342"/>
      <c r="J5757" s="1342"/>
      <c r="K5757" s="1342"/>
    </row>
    <row r="5758" spans="2:11" ht="14" hidden="1">
      <c r="B5758" s="1342"/>
      <c r="C5758" s="1342"/>
      <c r="D5758" s="1342"/>
      <c r="E5758" s="1342"/>
      <c r="F5758" s="1342"/>
      <c r="G5758" s="1342"/>
      <c r="H5758" s="1342"/>
      <c r="I5758" s="1342"/>
      <c r="J5758" s="1342"/>
      <c r="K5758" s="1342"/>
    </row>
    <row r="5759" spans="2:11" ht="14" hidden="1">
      <c r="B5759" s="1342"/>
      <c r="C5759" s="1342"/>
      <c r="D5759" s="1342"/>
      <c r="E5759" s="1342"/>
      <c r="F5759" s="1342"/>
      <c r="G5759" s="1342"/>
      <c r="H5759" s="1342"/>
      <c r="I5759" s="1342"/>
      <c r="J5759" s="1342"/>
      <c r="K5759" s="1342"/>
    </row>
    <row r="5760" spans="2:11" ht="14" hidden="1">
      <c r="B5760" s="1342"/>
      <c r="C5760" s="1342"/>
      <c r="D5760" s="1342"/>
      <c r="E5760" s="1342"/>
      <c r="F5760" s="1342"/>
      <c r="G5760" s="1342"/>
      <c r="H5760" s="1342"/>
      <c r="I5760" s="1342"/>
      <c r="J5760" s="1342"/>
      <c r="K5760" s="1342"/>
    </row>
    <row r="5761" spans="2:11" ht="14" hidden="1">
      <c r="B5761" s="1342"/>
      <c r="C5761" s="1342"/>
      <c r="D5761" s="1342"/>
      <c r="E5761" s="1342"/>
      <c r="F5761" s="1342"/>
      <c r="G5761" s="1342"/>
      <c r="H5761" s="1342"/>
      <c r="I5761" s="1342"/>
      <c r="J5761" s="1342"/>
      <c r="K5761" s="1342"/>
    </row>
    <row r="5762" spans="2:11" ht="14" hidden="1">
      <c r="B5762" s="1342"/>
      <c r="C5762" s="1342"/>
      <c r="D5762" s="1342"/>
      <c r="E5762" s="1342"/>
      <c r="F5762" s="1342"/>
      <c r="G5762" s="1342"/>
      <c r="H5762" s="1342"/>
      <c r="I5762" s="1342"/>
      <c r="J5762" s="1342"/>
      <c r="K5762" s="1342"/>
    </row>
    <row r="5763" spans="2:11" ht="14" hidden="1">
      <c r="B5763" s="1342"/>
      <c r="C5763" s="1342"/>
      <c r="D5763" s="1342"/>
      <c r="E5763" s="1342"/>
      <c r="F5763" s="1342"/>
      <c r="G5763" s="1342"/>
      <c r="H5763" s="1342"/>
      <c r="I5763" s="1342"/>
      <c r="J5763" s="1342"/>
      <c r="K5763" s="1342"/>
    </row>
    <row r="5764" spans="2:11" ht="14" hidden="1">
      <c r="B5764" s="1342"/>
      <c r="C5764" s="1342"/>
      <c r="D5764" s="1342"/>
      <c r="E5764" s="1342"/>
      <c r="F5764" s="1342"/>
      <c r="G5764" s="1342"/>
      <c r="H5764" s="1342"/>
      <c r="I5764" s="1342"/>
      <c r="J5764" s="1342"/>
      <c r="K5764" s="1342"/>
    </row>
    <row r="5765" spans="2:11" ht="14" hidden="1">
      <c r="B5765" s="1342"/>
      <c r="C5765" s="1342"/>
      <c r="D5765" s="1342"/>
      <c r="E5765" s="1342"/>
      <c r="F5765" s="1342"/>
      <c r="G5765" s="1342"/>
      <c r="H5765" s="1342"/>
      <c r="I5765" s="1342"/>
      <c r="J5765" s="1342"/>
      <c r="K5765" s="1342"/>
    </row>
    <row r="5766" spans="2:11" ht="14" hidden="1">
      <c r="B5766" s="1342"/>
      <c r="C5766" s="1342"/>
      <c r="D5766" s="1342"/>
      <c r="E5766" s="1342"/>
      <c r="F5766" s="1342"/>
      <c r="G5766" s="1342"/>
      <c r="H5766" s="1342"/>
      <c r="I5766" s="1342"/>
      <c r="J5766" s="1342"/>
      <c r="K5766" s="1342"/>
    </row>
    <row r="5767" spans="2:11" ht="14" hidden="1">
      <c r="B5767" s="1342"/>
      <c r="C5767" s="1342"/>
      <c r="D5767" s="1342"/>
      <c r="E5767" s="1342"/>
      <c r="F5767" s="1342"/>
      <c r="G5767" s="1342"/>
      <c r="H5767" s="1342"/>
      <c r="I5767" s="1342"/>
      <c r="J5767" s="1342"/>
      <c r="K5767" s="1342"/>
    </row>
    <row r="5768" spans="2:11" ht="14" hidden="1">
      <c r="B5768" s="1342"/>
      <c r="C5768" s="1342"/>
      <c r="D5768" s="1342"/>
      <c r="E5768" s="1342"/>
      <c r="F5768" s="1342"/>
      <c r="G5768" s="1342"/>
      <c r="H5768" s="1342"/>
      <c r="I5768" s="1342"/>
      <c r="J5768" s="1342"/>
      <c r="K5768" s="1342"/>
    </row>
    <row r="5769" spans="2:11" ht="14" hidden="1">
      <c r="B5769" s="1342"/>
      <c r="C5769" s="1342"/>
      <c r="D5769" s="1342"/>
      <c r="E5769" s="1342"/>
      <c r="F5769" s="1342"/>
      <c r="G5769" s="1342"/>
      <c r="H5769" s="1342"/>
      <c r="I5769" s="1342"/>
      <c r="J5769" s="1342"/>
      <c r="K5769" s="1342"/>
    </row>
    <row r="5770" spans="2:11" ht="14" hidden="1">
      <c r="B5770" s="1342"/>
      <c r="C5770" s="1342"/>
      <c r="D5770" s="1342"/>
      <c r="E5770" s="1342"/>
      <c r="F5770" s="1342"/>
      <c r="G5770" s="1342"/>
      <c r="H5770" s="1342"/>
      <c r="I5770" s="1342"/>
      <c r="J5770" s="1342"/>
      <c r="K5770" s="1342"/>
    </row>
    <row r="5771" spans="2:11" ht="14" hidden="1">
      <c r="B5771" s="1342"/>
      <c r="C5771" s="1342"/>
      <c r="D5771" s="1342"/>
      <c r="E5771" s="1342"/>
      <c r="F5771" s="1342"/>
      <c r="G5771" s="1342"/>
      <c r="H5771" s="1342"/>
      <c r="I5771" s="1342"/>
      <c r="J5771" s="1342"/>
      <c r="K5771" s="1342"/>
    </row>
    <row r="5772" spans="2:11" ht="14" hidden="1">
      <c r="B5772" s="1342"/>
      <c r="C5772" s="1342"/>
      <c r="D5772" s="1342"/>
      <c r="E5772" s="1342"/>
      <c r="F5772" s="1342"/>
      <c r="G5772" s="1342"/>
      <c r="H5772" s="1342"/>
      <c r="I5772" s="1342"/>
      <c r="J5772" s="1342"/>
      <c r="K5772" s="1342"/>
    </row>
    <row r="5773" spans="2:11" ht="14" hidden="1">
      <c r="B5773" s="1342"/>
      <c r="C5773" s="1342"/>
      <c r="D5773" s="1342"/>
      <c r="E5773" s="1342"/>
      <c r="F5773" s="1342"/>
      <c r="G5773" s="1342"/>
      <c r="H5773" s="1342"/>
      <c r="I5773" s="1342"/>
      <c r="J5773" s="1342"/>
      <c r="K5773" s="1342"/>
    </row>
    <row r="5774" spans="2:11" ht="14" hidden="1">
      <c r="B5774" s="1342"/>
      <c r="C5774" s="1342"/>
      <c r="D5774" s="1342"/>
      <c r="E5774" s="1342"/>
      <c r="F5774" s="1342"/>
      <c r="G5774" s="1342"/>
      <c r="H5774" s="1342"/>
      <c r="I5774" s="1342"/>
      <c r="J5774" s="1342"/>
      <c r="K5774" s="1342"/>
    </row>
    <row r="5775" spans="2:11" ht="14" hidden="1">
      <c r="B5775" s="1342"/>
      <c r="C5775" s="1342"/>
      <c r="D5775" s="1342"/>
      <c r="E5775" s="1342"/>
      <c r="F5775" s="1342"/>
      <c r="G5775" s="1342"/>
      <c r="H5775" s="1342"/>
      <c r="I5775" s="1342"/>
      <c r="J5775" s="1342"/>
      <c r="K5775" s="1342"/>
    </row>
    <row r="5776" spans="2:11" ht="14" hidden="1">
      <c r="B5776" s="1342"/>
      <c r="C5776" s="1342"/>
      <c r="D5776" s="1342"/>
      <c r="E5776" s="1342"/>
      <c r="F5776" s="1342"/>
      <c r="G5776" s="1342"/>
      <c r="H5776" s="1342"/>
      <c r="I5776" s="1342"/>
      <c r="J5776" s="1342"/>
      <c r="K5776" s="1342"/>
    </row>
    <row r="5777" spans="2:11" ht="14" hidden="1">
      <c r="B5777" s="1342"/>
      <c r="C5777" s="1342"/>
      <c r="D5777" s="1342"/>
      <c r="E5777" s="1342"/>
      <c r="F5777" s="1342"/>
      <c r="G5777" s="1342"/>
      <c r="H5777" s="1342"/>
      <c r="I5777" s="1342"/>
      <c r="J5777" s="1342"/>
      <c r="K5777" s="1342"/>
    </row>
    <row r="5778" spans="2:11" ht="14" hidden="1">
      <c r="B5778" s="1342"/>
      <c r="C5778" s="1342"/>
      <c r="D5778" s="1342"/>
      <c r="E5778" s="1342"/>
      <c r="F5778" s="1342"/>
      <c r="G5778" s="1342"/>
      <c r="H5778" s="1342"/>
      <c r="I5778" s="1342"/>
      <c r="J5778" s="1342"/>
      <c r="K5778" s="1342"/>
    </row>
    <row r="5779" spans="2:11" ht="14" hidden="1">
      <c r="B5779" s="1342"/>
      <c r="C5779" s="1342"/>
      <c r="D5779" s="1342"/>
      <c r="E5779" s="1342"/>
      <c r="F5779" s="1342"/>
      <c r="G5779" s="1342"/>
      <c r="H5779" s="1342"/>
      <c r="I5779" s="1342"/>
      <c r="J5779" s="1342"/>
      <c r="K5779" s="1342"/>
    </row>
    <row r="5780" spans="2:11" ht="14" hidden="1">
      <c r="B5780" s="1342"/>
      <c r="C5780" s="1342"/>
      <c r="D5780" s="1342"/>
      <c r="E5780" s="1342"/>
      <c r="F5780" s="1342"/>
      <c r="G5780" s="1342"/>
      <c r="H5780" s="1342"/>
      <c r="I5780" s="1342"/>
      <c r="J5780" s="1342"/>
      <c r="K5780" s="1342"/>
    </row>
    <row r="5781" spans="2:11" ht="14" hidden="1">
      <c r="B5781" s="1342"/>
      <c r="C5781" s="1342"/>
      <c r="D5781" s="1342"/>
      <c r="E5781" s="1342"/>
      <c r="F5781" s="1342"/>
      <c r="G5781" s="1342"/>
      <c r="H5781" s="1342"/>
      <c r="I5781" s="1342"/>
      <c r="J5781" s="1342"/>
      <c r="K5781" s="1342"/>
    </row>
    <row r="5782" spans="2:11" ht="14" hidden="1">
      <c r="B5782" s="1342"/>
      <c r="C5782" s="1342"/>
      <c r="D5782" s="1342"/>
      <c r="E5782" s="1342"/>
      <c r="F5782" s="1342"/>
      <c r="G5782" s="1342"/>
      <c r="H5782" s="1342"/>
      <c r="I5782" s="1342"/>
      <c r="J5782" s="1342"/>
      <c r="K5782" s="1342"/>
    </row>
    <row r="5783" spans="2:11" ht="14" hidden="1">
      <c r="B5783" s="1342"/>
      <c r="C5783" s="1342"/>
      <c r="D5783" s="1342"/>
      <c r="E5783" s="1342"/>
      <c r="F5783" s="1342"/>
      <c r="G5783" s="1342"/>
      <c r="H5783" s="1342"/>
      <c r="I5783" s="1342"/>
      <c r="J5783" s="1342"/>
      <c r="K5783" s="1342"/>
    </row>
    <row r="5784" spans="2:11" ht="14" hidden="1">
      <c r="B5784" s="1342"/>
      <c r="C5784" s="1342"/>
      <c r="D5784" s="1342"/>
      <c r="E5784" s="1342"/>
      <c r="F5784" s="1342"/>
      <c r="G5784" s="1342"/>
      <c r="H5784" s="1342"/>
      <c r="I5784" s="1342"/>
      <c r="J5784" s="1342"/>
      <c r="K5784" s="1342"/>
    </row>
    <row r="5785" spans="2:11" ht="14" hidden="1">
      <c r="B5785" s="1342"/>
      <c r="C5785" s="1342"/>
      <c r="D5785" s="1342"/>
      <c r="E5785" s="1342"/>
      <c r="F5785" s="1342"/>
      <c r="G5785" s="1342"/>
      <c r="H5785" s="1342"/>
      <c r="I5785" s="1342"/>
      <c r="J5785" s="1342"/>
      <c r="K5785" s="1342"/>
    </row>
    <row r="5786" spans="2:11" ht="14" hidden="1">
      <c r="B5786" s="1342"/>
      <c r="C5786" s="1342"/>
      <c r="D5786" s="1342"/>
      <c r="E5786" s="1342"/>
      <c r="F5786" s="1342"/>
      <c r="G5786" s="1342"/>
      <c r="H5786" s="1342"/>
      <c r="I5786" s="1342"/>
      <c r="J5786" s="1342"/>
      <c r="K5786" s="1342"/>
    </row>
    <row r="5787" spans="2:11" ht="14" hidden="1">
      <c r="B5787" s="1342"/>
      <c r="C5787" s="1342"/>
      <c r="D5787" s="1342"/>
      <c r="E5787" s="1342"/>
      <c r="F5787" s="1342"/>
      <c r="G5787" s="1342"/>
      <c r="H5787" s="1342"/>
      <c r="I5787" s="1342"/>
      <c r="J5787" s="1342"/>
      <c r="K5787" s="1342"/>
    </row>
    <row r="5788" spans="2:11" ht="14" hidden="1">
      <c r="B5788" s="1342"/>
      <c r="C5788" s="1342"/>
      <c r="D5788" s="1342"/>
      <c r="E5788" s="1342"/>
      <c r="F5788" s="1342"/>
      <c r="G5788" s="1342"/>
      <c r="H5788" s="1342"/>
      <c r="I5788" s="1342"/>
      <c r="J5788" s="1342"/>
      <c r="K5788" s="1342"/>
    </row>
    <row r="5789" spans="2:11" ht="14" hidden="1">
      <c r="B5789" s="1342"/>
      <c r="C5789" s="1342"/>
      <c r="D5789" s="1342"/>
      <c r="E5789" s="1342"/>
      <c r="F5789" s="1342"/>
      <c r="G5789" s="1342"/>
      <c r="H5789" s="1342"/>
      <c r="I5789" s="1342"/>
      <c r="J5789" s="1342"/>
      <c r="K5789" s="1342"/>
    </row>
    <row r="5790" spans="2:11" ht="14" hidden="1">
      <c r="B5790" s="1342"/>
      <c r="C5790" s="1342"/>
      <c r="D5790" s="1342"/>
      <c r="E5790" s="1342"/>
      <c r="F5790" s="1342"/>
      <c r="G5790" s="1342"/>
      <c r="H5790" s="1342"/>
      <c r="I5790" s="1342"/>
      <c r="J5790" s="1342"/>
      <c r="K5790" s="1342"/>
    </row>
    <row r="5791" spans="2:11" ht="14" hidden="1">
      <c r="B5791" s="1342"/>
      <c r="C5791" s="1342"/>
      <c r="D5791" s="1342"/>
      <c r="E5791" s="1342"/>
      <c r="F5791" s="1342"/>
      <c r="G5791" s="1342"/>
      <c r="H5791" s="1342"/>
      <c r="I5791" s="1342"/>
      <c r="J5791" s="1342"/>
      <c r="K5791" s="1342"/>
    </row>
    <row r="5792" spans="2:11" ht="14" hidden="1">
      <c r="B5792" s="1342"/>
      <c r="C5792" s="1342"/>
      <c r="D5792" s="1342"/>
      <c r="E5792" s="1342"/>
      <c r="F5792" s="1342"/>
      <c r="G5792" s="1342"/>
      <c r="H5792" s="1342"/>
      <c r="I5792" s="1342"/>
      <c r="J5792" s="1342"/>
      <c r="K5792" s="1342"/>
    </row>
    <row r="5793" spans="2:11" ht="14" hidden="1">
      <c r="B5793" s="1342"/>
      <c r="C5793" s="1342"/>
      <c r="D5793" s="1342"/>
      <c r="E5793" s="1342"/>
      <c r="F5793" s="1342"/>
      <c r="G5793" s="1342"/>
      <c r="H5793" s="1342"/>
      <c r="I5793" s="1342"/>
      <c r="J5793" s="1342"/>
      <c r="K5793" s="1342"/>
    </row>
    <row r="5794" spans="2:11" ht="14" hidden="1">
      <c r="B5794" s="1342"/>
      <c r="C5794" s="1342"/>
      <c r="D5794" s="1342"/>
      <c r="E5794" s="1342"/>
      <c r="F5794" s="1342"/>
      <c r="G5794" s="1342"/>
      <c r="H5794" s="1342"/>
      <c r="I5794" s="1342"/>
      <c r="J5794" s="1342"/>
      <c r="K5794" s="1342"/>
    </row>
    <row r="5795" spans="2:11" ht="14" hidden="1">
      <c r="B5795" s="1342"/>
      <c r="C5795" s="1342"/>
      <c r="D5795" s="1342"/>
      <c r="E5795" s="1342"/>
      <c r="F5795" s="1342"/>
      <c r="G5795" s="1342"/>
      <c r="H5795" s="1342"/>
      <c r="I5795" s="1342"/>
      <c r="J5795" s="1342"/>
      <c r="K5795" s="1342"/>
    </row>
    <row r="5796" spans="2:11" ht="14" hidden="1">
      <c r="B5796" s="1342"/>
      <c r="C5796" s="1342"/>
      <c r="D5796" s="1342"/>
      <c r="E5796" s="1342"/>
      <c r="F5796" s="1342"/>
      <c r="G5796" s="1342"/>
      <c r="H5796" s="1342"/>
      <c r="I5796" s="1342"/>
      <c r="J5796" s="1342"/>
      <c r="K5796" s="1342"/>
    </row>
    <row r="5797" spans="2:11" ht="14" hidden="1">
      <c r="B5797" s="1342"/>
      <c r="C5797" s="1342"/>
      <c r="D5797" s="1342"/>
      <c r="E5797" s="1342"/>
      <c r="F5797" s="1342"/>
      <c r="G5797" s="1342"/>
      <c r="H5797" s="1342"/>
      <c r="I5797" s="1342"/>
      <c r="J5797" s="1342"/>
      <c r="K5797" s="1342"/>
    </row>
    <row r="5798" spans="2:11" ht="14" hidden="1">
      <c r="B5798" s="1342"/>
      <c r="C5798" s="1342"/>
      <c r="D5798" s="1342"/>
      <c r="E5798" s="1342"/>
      <c r="F5798" s="1342"/>
      <c r="G5798" s="1342"/>
      <c r="H5798" s="1342"/>
      <c r="I5798" s="1342"/>
      <c r="J5798" s="1342"/>
      <c r="K5798" s="1342"/>
    </row>
    <row r="5799" spans="2:11" ht="14" hidden="1">
      <c r="B5799" s="1342"/>
      <c r="C5799" s="1342"/>
      <c r="D5799" s="1342"/>
      <c r="E5799" s="1342"/>
      <c r="F5799" s="1342"/>
      <c r="G5799" s="1342"/>
      <c r="H5799" s="1342"/>
      <c r="I5799" s="1342"/>
      <c r="J5799" s="1342"/>
      <c r="K5799" s="1342"/>
    </row>
    <row r="5800" spans="2:11" ht="14" hidden="1">
      <c r="B5800" s="1342"/>
      <c r="C5800" s="1342"/>
      <c r="D5800" s="1342"/>
      <c r="E5800" s="1342"/>
      <c r="F5800" s="1342"/>
      <c r="G5800" s="1342"/>
      <c r="H5800" s="1342"/>
      <c r="I5800" s="1342"/>
      <c r="J5800" s="1342"/>
      <c r="K5800" s="1342"/>
    </row>
    <row r="5801" spans="2:11" ht="14" hidden="1">
      <c r="B5801" s="1342"/>
      <c r="C5801" s="1342"/>
      <c r="D5801" s="1342"/>
      <c r="E5801" s="1342"/>
      <c r="F5801" s="1342"/>
      <c r="G5801" s="1342"/>
      <c r="H5801" s="1342"/>
      <c r="I5801" s="1342"/>
      <c r="J5801" s="1342"/>
      <c r="K5801" s="1342"/>
    </row>
    <row r="5802" spans="2:11" ht="14" hidden="1">
      <c r="B5802" s="1342"/>
      <c r="C5802" s="1342"/>
      <c r="D5802" s="1342"/>
      <c r="E5802" s="1342"/>
      <c r="F5802" s="1342"/>
      <c r="G5802" s="1342"/>
      <c r="H5802" s="1342"/>
      <c r="I5802" s="1342"/>
      <c r="J5802" s="1342"/>
      <c r="K5802" s="1342"/>
    </row>
    <row r="5803" spans="2:11" ht="14" hidden="1">
      <c r="B5803" s="1342"/>
      <c r="C5803" s="1342"/>
      <c r="D5803" s="1342"/>
      <c r="E5803" s="1342"/>
      <c r="F5803" s="1342"/>
      <c r="G5803" s="1342"/>
      <c r="H5803" s="1342"/>
      <c r="I5803" s="1342"/>
      <c r="J5803" s="1342"/>
      <c r="K5803" s="1342"/>
    </row>
    <row r="5804" spans="2:11" ht="14" hidden="1">
      <c r="B5804" s="1342"/>
      <c r="C5804" s="1342"/>
      <c r="D5804" s="1342"/>
      <c r="E5804" s="1342"/>
      <c r="F5804" s="1342"/>
      <c r="G5804" s="1342"/>
      <c r="H5804" s="1342"/>
      <c r="I5804" s="1342"/>
      <c r="J5804" s="1342"/>
      <c r="K5804" s="1342"/>
    </row>
    <row r="5805" spans="2:11" ht="14" hidden="1">
      <c r="B5805" s="1342"/>
      <c r="C5805" s="1342"/>
      <c r="D5805" s="1342"/>
      <c r="E5805" s="1342"/>
      <c r="F5805" s="1342"/>
      <c r="G5805" s="1342"/>
      <c r="H5805" s="1342"/>
      <c r="I5805" s="1342"/>
      <c r="J5805" s="1342"/>
      <c r="K5805" s="1342"/>
    </row>
    <row r="5806" spans="2:11" ht="14" hidden="1">
      <c r="B5806" s="1342"/>
      <c r="C5806" s="1342"/>
      <c r="D5806" s="1342"/>
      <c r="E5806" s="1342"/>
      <c r="F5806" s="1342"/>
      <c r="G5806" s="1342"/>
      <c r="H5806" s="1342"/>
      <c r="I5806" s="1342"/>
      <c r="J5806" s="1342"/>
      <c r="K5806" s="1342"/>
    </row>
    <row r="5807" spans="2:11" ht="14" hidden="1">
      <c r="B5807" s="1342"/>
      <c r="C5807" s="1342"/>
      <c r="D5807" s="1342"/>
      <c r="E5807" s="1342"/>
      <c r="F5807" s="1342"/>
      <c r="G5807" s="1342"/>
      <c r="H5807" s="1342"/>
      <c r="I5807" s="1342"/>
      <c r="J5807" s="1342"/>
      <c r="K5807" s="1342"/>
    </row>
    <row r="5808" spans="2:11" ht="14" hidden="1">
      <c r="B5808" s="1342"/>
      <c r="C5808" s="1342"/>
      <c r="D5808" s="1342"/>
      <c r="E5808" s="1342"/>
      <c r="F5808" s="1342"/>
      <c r="G5808" s="1342"/>
      <c r="H5808" s="1342"/>
      <c r="I5808" s="1342"/>
      <c r="J5808" s="1342"/>
      <c r="K5808" s="1342"/>
    </row>
    <row r="5809" spans="2:11" ht="14" hidden="1">
      <c r="B5809" s="1342"/>
      <c r="C5809" s="1342"/>
      <c r="D5809" s="1342"/>
      <c r="E5809" s="1342"/>
      <c r="F5809" s="1342"/>
      <c r="G5809" s="1342"/>
      <c r="H5809" s="1342"/>
      <c r="I5809" s="1342"/>
      <c r="J5809" s="1342"/>
      <c r="K5809" s="1342"/>
    </row>
    <row r="5810" spans="2:11" ht="14" hidden="1">
      <c r="B5810" s="1342"/>
      <c r="C5810" s="1342"/>
      <c r="D5810" s="1342"/>
      <c r="E5810" s="1342"/>
      <c r="F5810" s="1342"/>
      <c r="G5810" s="1342"/>
      <c r="H5810" s="1342"/>
      <c r="I5810" s="1342"/>
      <c r="J5810" s="1342"/>
      <c r="K5810" s="1342"/>
    </row>
    <row r="5811" spans="2:11" ht="14" hidden="1">
      <c r="B5811" s="1342"/>
      <c r="C5811" s="1342"/>
      <c r="D5811" s="1342"/>
      <c r="E5811" s="1342"/>
      <c r="F5811" s="1342"/>
      <c r="G5811" s="1342"/>
      <c r="H5811" s="1342"/>
      <c r="I5811" s="1342"/>
      <c r="J5811" s="1342"/>
      <c r="K5811" s="1342"/>
    </row>
    <row r="5812" spans="2:11" ht="14" hidden="1">
      <c r="B5812" s="1342"/>
      <c r="C5812" s="1342"/>
      <c r="D5812" s="1342"/>
      <c r="E5812" s="1342"/>
      <c r="F5812" s="1342"/>
      <c r="G5812" s="1342"/>
      <c r="H5812" s="1342"/>
      <c r="I5812" s="1342"/>
      <c r="J5812" s="1342"/>
      <c r="K5812" s="1342"/>
    </row>
    <row r="5813" spans="2:11" ht="14" hidden="1">
      <c r="B5813" s="1342"/>
      <c r="C5813" s="1342"/>
      <c r="D5813" s="1342"/>
      <c r="E5813" s="1342"/>
      <c r="F5813" s="1342"/>
      <c r="G5813" s="1342"/>
      <c r="H5813" s="1342"/>
      <c r="I5813" s="1342"/>
      <c r="J5813" s="1342"/>
      <c r="K5813" s="1342"/>
    </row>
    <row r="5814" spans="2:11" ht="14" hidden="1">
      <c r="B5814" s="1342"/>
      <c r="C5814" s="1342"/>
      <c r="D5814" s="1342"/>
      <c r="E5814" s="1342"/>
      <c r="F5814" s="1342"/>
      <c r="G5814" s="1342"/>
      <c r="H5814" s="1342"/>
      <c r="I5814" s="1342"/>
      <c r="J5814" s="1342"/>
      <c r="K5814" s="1342"/>
    </row>
    <row r="5815" spans="2:11" ht="14" hidden="1">
      <c r="B5815" s="1342"/>
      <c r="C5815" s="1342"/>
      <c r="D5815" s="1342"/>
      <c r="E5815" s="1342"/>
      <c r="F5815" s="1342"/>
      <c r="G5815" s="1342"/>
      <c r="H5815" s="1342"/>
      <c r="I5815" s="1342"/>
      <c r="J5815" s="1342"/>
      <c r="K5815" s="1342"/>
    </row>
    <row r="5816" spans="2:11" ht="14" hidden="1">
      <c r="B5816" s="1342"/>
      <c r="C5816" s="1342"/>
      <c r="D5816" s="1342"/>
      <c r="E5816" s="1342"/>
      <c r="F5816" s="1342"/>
      <c r="G5816" s="1342"/>
      <c r="H5816" s="1342"/>
      <c r="I5816" s="1342"/>
      <c r="J5816" s="1342"/>
      <c r="K5816" s="1342"/>
    </row>
    <row r="5817" spans="2:11" ht="14" hidden="1">
      <c r="B5817" s="1342"/>
      <c r="C5817" s="1342"/>
      <c r="D5817" s="1342"/>
      <c r="E5817" s="1342"/>
      <c r="F5817" s="1342"/>
      <c r="G5817" s="1342"/>
      <c r="H5817" s="1342"/>
      <c r="I5817" s="1342"/>
      <c r="J5817" s="1342"/>
      <c r="K5817" s="1342"/>
    </row>
    <row r="5818" spans="2:11" ht="14" hidden="1">
      <c r="B5818" s="1342"/>
      <c r="C5818" s="1342"/>
      <c r="D5818" s="1342"/>
      <c r="E5818" s="1342"/>
      <c r="F5818" s="1342"/>
      <c r="G5818" s="1342"/>
      <c r="H5818" s="1342"/>
      <c r="I5818" s="1342"/>
      <c r="J5818" s="1342"/>
      <c r="K5818" s="1342"/>
    </row>
    <row r="5819" spans="2:11" ht="14" hidden="1">
      <c r="B5819" s="1342"/>
      <c r="C5819" s="1342"/>
      <c r="D5819" s="1342"/>
      <c r="E5819" s="1342"/>
      <c r="F5819" s="1342"/>
      <c r="G5819" s="1342"/>
      <c r="H5819" s="1342"/>
      <c r="I5819" s="1342"/>
      <c r="J5819" s="1342"/>
      <c r="K5819" s="1342"/>
    </row>
    <row r="5820" spans="2:11" ht="14" hidden="1">
      <c r="B5820" s="1342"/>
      <c r="C5820" s="1342"/>
      <c r="D5820" s="1342"/>
      <c r="E5820" s="1342"/>
      <c r="F5820" s="1342"/>
      <c r="G5820" s="1342"/>
      <c r="H5820" s="1342"/>
      <c r="I5820" s="1342"/>
      <c r="J5820" s="1342"/>
      <c r="K5820" s="1342"/>
    </row>
    <row r="5821" spans="2:11" ht="14" hidden="1">
      <c r="B5821" s="1342"/>
      <c r="C5821" s="1342"/>
      <c r="D5821" s="1342"/>
      <c r="E5821" s="1342"/>
      <c r="F5821" s="1342"/>
      <c r="G5821" s="1342"/>
      <c r="H5821" s="1342"/>
      <c r="I5821" s="1342"/>
      <c r="J5821" s="1342"/>
      <c r="K5821" s="1342"/>
    </row>
    <row r="5822" spans="2:11" ht="14" hidden="1">
      <c r="B5822" s="1342"/>
      <c r="C5822" s="1342"/>
      <c r="D5822" s="1342"/>
      <c r="E5822" s="1342"/>
      <c r="F5822" s="1342"/>
      <c r="G5822" s="1342"/>
      <c r="H5822" s="1342"/>
      <c r="I5822" s="1342"/>
      <c r="J5822" s="1342"/>
      <c r="K5822" s="1342"/>
    </row>
    <row r="5823" spans="2:11" ht="14" hidden="1">
      <c r="B5823" s="1342"/>
      <c r="C5823" s="1342"/>
      <c r="D5823" s="1342"/>
      <c r="E5823" s="1342"/>
      <c r="F5823" s="1342"/>
      <c r="G5823" s="1342"/>
      <c r="H5823" s="1342"/>
      <c r="I5823" s="1342"/>
      <c r="J5823" s="1342"/>
      <c r="K5823" s="1342"/>
    </row>
    <row r="5824" spans="2:11" ht="14" hidden="1">
      <c r="B5824" s="1342"/>
      <c r="C5824" s="1342"/>
      <c r="D5824" s="1342"/>
      <c r="E5824" s="1342"/>
      <c r="F5824" s="1342"/>
      <c r="G5824" s="1342"/>
      <c r="H5824" s="1342"/>
      <c r="I5824" s="1342"/>
      <c r="J5824" s="1342"/>
      <c r="K5824" s="1342"/>
    </row>
    <row r="5825" spans="2:11" ht="14" hidden="1">
      <c r="B5825" s="1342"/>
      <c r="C5825" s="1342"/>
      <c r="D5825" s="1342"/>
      <c r="E5825" s="1342"/>
      <c r="F5825" s="1342"/>
      <c r="G5825" s="1342"/>
      <c r="H5825" s="1342"/>
      <c r="I5825" s="1342"/>
      <c r="J5825" s="1342"/>
      <c r="K5825" s="1342"/>
    </row>
    <row r="5826" spans="2:11" ht="14" hidden="1">
      <c r="B5826" s="1342"/>
      <c r="C5826" s="1342"/>
      <c r="D5826" s="1342"/>
      <c r="E5826" s="1342"/>
      <c r="F5826" s="1342"/>
      <c r="G5826" s="1342"/>
      <c r="H5826" s="1342"/>
      <c r="I5826" s="1342"/>
      <c r="J5826" s="1342"/>
      <c r="K5826" s="1342"/>
    </row>
    <row r="5827" spans="2:11" ht="14" hidden="1">
      <c r="B5827" s="1342"/>
      <c r="C5827" s="1342"/>
      <c r="D5827" s="1342"/>
      <c r="E5827" s="1342"/>
      <c r="F5827" s="1342"/>
      <c r="G5827" s="1342"/>
      <c r="H5827" s="1342"/>
      <c r="I5827" s="1342"/>
      <c r="J5827" s="1342"/>
      <c r="K5827" s="1342"/>
    </row>
    <row r="5828" spans="2:11" ht="14" hidden="1">
      <c r="B5828" s="1342"/>
      <c r="C5828" s="1342"/>
      <c r="D5828" s="1342"/>
      <c r="E5828" s="1342"/>
      <c r="F5828" s="1342"/>
      <c r="G5828" s="1342"/>
      <c r="H5828" s="1342"/>
      <c r="I5828" s="1342"/>
      <c r="J5828" s="1342"/>
      <c r="K5828" s="1342"/>
    </row>
    <row r="5829" spans="2:11" ht="14" hidden="1">
      <c r="B5829" s="1342"/>
      <c r="C5829" s="1342"/>
      <c r="D5829" s="1342"/>
      <c r="E5829" s="1342"/>
      <c r="F5829" s="1342"/>
      <c r="G5829" s="1342"/>
      <c r="H5829" s="1342"/>
      <c r="I5829" s="1342"/>
      <c r="J5829" s="1342"/>
      <c r="K5829" s="1342"/>
    </row>
    <row r="5830" spans="2:11" ht="14" hidden="1">
      <c r="B5830" s="1342"/>
      <c r="C5830" s="1342"/>
      <c r="D5830" s="1342"/>
      <c r="E5830" s="1342"/>
      <c r="F5830" s="1342"/>
      <c r="G5830" s="1342"/>
      <c r="H5830" s="1342"/>
      <c r="I5830" s="1342"/>
      <c r="J5830" s="1342"/>
      <c r="K5830" s="1342"/>
    </row>
    <row r="5831" spans="2:11" ht="14" hidden="1">
      <c r="B5831" s="1342"/>
      <c r="C5831" s="1342"/>
      <c r="D5831" s="1342"/>
      <c r="E5831" s="1342"/>
      <c r="F5831" s="1342"/>
      <c r="G5831" s="1342"/>
      <c r="H5831" s="1342"/>
      <c r="I5831" s="1342"/>
      <c r="J5831" s="1342"/>
      <c r="K5831" s="1342"/>
    </row>
    <row r="5832" spans="2:11" ht="14" hidden="1">
      <c r="B5832" s="1342"/>
      <c r="C5832" s="1342"/>
      <c r="D5832" s="1342"/>
      <c r="E5832" s="1342"/>
      <c r="F5832" s="1342"/>
      <c r="G5832" s="1342"/>
      <c r="H5832" s="1342"/>
      <c r="I5832" s="1342"/>
      <c r="J5832" s="1342"/>
      <c r="K5832" s="1342"/>
    </row>
    <row r="5833" spans="2:11" ht="14" hidden="1">
      <c r="B5833" s="1342"/>
      <c r="C5833" s="1342"/>
      <c r="D5833" s="1342"/>
      <c r="E5833" s="1342"/>
      <c r="F5833" s="1342"/>
      <c r="G5833" s="1342"/>
      <c r="H5833" s="1342"/>
      <c r="I5833" s="1342"/>
      <c r="J5833" s="1342"/>
      <c r="K5833" s="1342"/>
    </row>
    <row r="5834" spans="2:11" ht="14" hidden="1">
      <c r="B5834" s="1342"/>
      <c r="C5834" s="1342"/>
      <c r="D5834" s="1342"/>
      <c r="E5834" s="1342"/>
      <c r="F5834" s="1342"/>
      <c r="G5834" s="1342"/>
      <c r="H5834" s="1342"/>
      <c r="I5834" s="1342"/>
      <c r="J5834" s="1342"/>
      <c r="K5834" s="1342"/>
    </row>
    <row r="5835" spans="2:11" ht="14" hidden="1">
      <c r="B5835" s="1342"/>
      <c r="C5835" s="1342"/>
      <c r="D5835" s="1342"/>
      <c r="E5835" s="1342"/>
      <c r="F5835" s="1342"/>
      <c r="G5835" s="1342"/>
      <c r="H5835" s="1342"/>
      <c r="I5835" s="1342"/>
      <c r="J5835" s="1342"/>
      <c r="K5835" s="1342"/>
    </row>
    <row r="5836" spans="2:11" ht="14" hidden="1">
      <c r="B5836" s="1342"/>
      <c r="C5836" s="1342"/>
      <c r="D5836" s="1342"/>
      <c r="E5836" s="1342"/>
      <c r="F5836" s="1342"/>
      <c r="G5836" s="1342"/>
      <c r="H5836" s="1342"/>
      <c r="I5836" s="1342"/>
      <c r="J5836" s="1342"/>
      <c r="K5836" s="1342"/>
    </row>
    <row r="5837" spans="2:11" ht="14" hidden="1">
      <c r="B5837" s="1342"/>
      <c r="C5837" s="1342"/>
      <c r="D5837" s="1342"/>
      <c r="E5837" s="1342"/>
      <c r="F5837" s="1342"/>
      <c r="G5837" s="1342"/>
      <c r="H5837" s="1342"/>
      <c r="I5837" s="1342"/>
      <c r="J5837" s="1342"/>
      <c r="K5837" s="1342"/>
    </row>
    <row r="5838" spans="2:11" ht="14" hidden="1">
      <c r="B5838" s="1342"/>
      <c r="C5838" s="1342"/>
      <c r="D5838" s="1342"/>
      <c r="E5838" s="1342"/>
      <c r="F5838" s="1342"/>
      <c r="G5838" s="1342"/>
      <c r="H5838" s="1342"/>
      <c r="I5838" s="1342"/>
      <c r="J5838" s="1342"/>
      <c r="K5838" s="1342"/>
    </row>
    <row r="5839" spans="2:11" ht="14" hidden="1">
      <c r="B5839" s="1342"/>
      <c r="C5839" s="1342"/>
      <c r="D5839" s="1342"/>
      <c r="E5839" s="1342"/>
      <c r="F5839" s="1342"/>
      <c r="G5839" s="1342"/>
      <c r="H5839" s="1342"/>
      <c r="I5839" s="1342"/>
      <c r="J5839" s="1342"/>
      <c r="K5839" s="1342"/>
    </row>
    <row r="5840" spans="2:11" ht="14" hidden="1">
      <c r="B5840" s="1342"/>
      <c r="C5840" s="1342"/>
      <c r="D5840" s="1342"/>
      <c r="E5840" s="1342"/>
      <c r="F5840" s="1342"/>
      <c r="G5840" s="1342"/>
      <c r="H5840" s="1342"/>
      <c r="I5840" s="1342"/>
      <c r="J5840" s="1342"/>
      <c r="K5840" s="1342"/>
    </row>
    <row r="5841" spans="2:11" ht="14" hidden="1">
      <c r="B5841" s="1342"/>
      <c r="C5841" s="1342"/>
      <c r="D5841" s="1342"/>
      <c r="E5841" s="1342"/>
      <c r="F5841" s="1342"/>
      <c r="G5841" s="1342"/>
      <c r="H5841" s="1342"/>
      <c r="I5841" s="1342"/>
      <c r="J5841" s="1342"/>
      <c r="K5841" s="1342"/>
    </row>
    <row r="5842" spans="2:11" ht="14" hidden="1">
      <c r="B5842" s="1342"/>
      <c r="C5842" s="1342"/>
      <c r="D5842" s="1342"/>
      <c r="E5842" s="1342"/>
      <c r="F5842" s="1342"/>
      <c r="G5842" s="1342"/>
      <c r="H5842" s="1342"/>
      <c r="I5842" s="1342"/>
      <c r="J5842" s="1342"/>
      <c r="K5842" s="1342"/>
    </row>
    <row r="5843" spans="2:11" ht="14" hidden="1">
      <c r="B5843" s="1342"/>
      <c r="C5843" s="1342"/>
      <c r="D5843" s="1342"/>
      <c r="E5843" s="1342"/>
      <c r="F5843" s="1342"/>
      <c r="G5843" s="1342"/>
      <c r="H5843" s="1342"/>
      <c r="I5843" s="1342"/>
      <c r="J5843" s="1342"/>
      <c r="K5843" s="1342"/>
    </row>
    <row r="5844" spans="2:11" ht="14" hidden="1">
      <c r="B5844" s="1342"/>
      <c r="C5844" s="1342"/>
      <c r="D5844" s="1342"/>
      <c r="E5844" s="1342"/>
      <c r="F5844" s="1342"/>
      <c r="G5844" s="1342"/>
      <c r="H5844" s="1342"/>
      <c r="I5844" s="1342"/>
      <c r="J5844" s="1342"/>
      <c r="K5844" s="1342"/>
    </row>
    <row r="5845" spans="2:11" ht="14" hidden="1">
      <c r="B5845" s="1342"/>
      <c r="C5845" s="1342"/>
      <c r="D5845" s="1342"/>
      <c r="E5845" s="1342"/>
      <c r="F5845" s="1342"/>
      <c r="G5845" s="1342"/>
      <c r="H5845" s="1342"/>
      <c r="I5845" s="1342"/>
      <c r="J5845" s="1342"/>
      <c r="K5845" s="1342"/>
    </row>
    <row r="5846" spans="2:11" ht="14" hidden="1">
      <c r="B5846" s="1342"/>
      <c r="C5846" s="1342"/>
      <c r="D5846" s="1342"/>
      <c r="E5846" s="1342"/>
      <c r="F5846" s="1342"/>
      <c r="G5846" s="1342"/>
      <c r="H5846" s="1342"/>
      <c r="I5846" s="1342"/>
      <c r="J5846" s="1342"/>
      <c r="K5846" s="1342"/>
    </row>
    <row r="5847" spans="2:11" ht="14" hidden="1">
      <c r="B5847" s="1342"/>
      <c r="C5847" s="1342"/>
      <c r="D5847" s="1342"/>
      <c r="E5847" s="1342"/>
      <c r="F5847" s="1342"/>
      <c r="G5847" s="1342"/>
      <c r="H5847" s="1342"/>
      <c r="I5847" s="1342"/>
      <c r="J5847" s="1342"/>
      <c r="K5847" s="1342"/>
    </row>
    <row r="5848" spans="2:11" ht="14" hidden="1">
      <c r="B5848" s="1342"/>
      <c r="C5848" s="1342"/>
      <c r="D5848" s="1342"/>
      <c r="E5848" s="1342"/>
      <c r="F5848" s="1342"/>
      <c r="G5848" s="1342"/>
      <c r="H5848" s="1342"/>
      <c r="I5848" s="1342"/>
      <c r="J5848" s="1342"/>
      <c r="K5848" s="1342"/>
    </row>
    <row r="5849" spans="2:11" ht="14" hidden="1">
      <c r="B5849" s="1342"/>
      <c r="C5849" s="1342"/>
      <c r="D5849" s="1342"/>
      <c r="E5849" s="1342"/>
      <c r="F5849" s="1342"/>
      <c r="G5849" s="1342"/>
      <c r="H5849" s="1342"/>
      <c r="I5849" s="1342"/>
      <c r="J5849" s="1342"/>
      <c r="K5849" s="1342"/>
    </row>
    <row r="5850" spans="2:11" ht="14" hidden="1">
      <c r="B5850" s="1342"/>
      <c r="C5850" s="1342"/>
      <c r="D5850" s="1342"/>
      <c r="E5850" s="1342"/>
      <c r="F5850" s="1342"/>
      <c r="G5850" s="1342"/>
      <c r="H5850" s="1342"/>
      <c r="I5850" s="1342"/>
      <c r="J5850" s="1342"/>
      <c r="K5850" s="1342"/>
    </row>
    <row r="5851" spans="2:11" ht="14" hidden="1">
      <c r="B5851" s="1342"/>
      <c r="C5851" s="1342"/>
      <c r="D5851" s="1342"/>
      <c r="E5851" s="1342"/>
      <c r="F5851" s="1342"/>
      <c r="G5851" s="1342"/>
      <c r="H5851" s="1342"/>
      <c r="I5851" s="1342"/>
      <c r="J5851" s="1342"/>
      <c r="K5851" s="1342"/>
    </row>
    <row r="5852" spans="2:11" ht="14" hidden="1">
      <c r="B5852" s="1342"/>
      <c r="C5852" s="1342"/>
      <c r="D5852" s="1342"/>
      <c r="E5852" s="1342"/>
      <c r="F5852" s="1342"/>
      <c r="G5852" s="1342"/>
      <c r="H5852" s="1342"/>
      <c r="I5852" s="1342"/>
      <c r="J5852" s="1342"/>
      <c r="K5852" s="1342"/>
    </row>
    <row r="5853" spans="2:11" ht="14" hidden="1">
      <c r="B5853" s="1342"/>
      <c r="C5853" s="1342"/>
      <c r="D5853" s="1342"/>
      <c r="E5853" s="1342"/>
      <c r="F5853" s="1342"/>
      <c r="G5853" s="1342"/>
      <c r="H5853" s="1342"/>
      <c r="I5853" s="1342"/>
      <c r="J5853" s="1342"/>
      <c r="K5853" s="1342"/>
    </row>
    <row r="5854" spans="2:11" ht="14" hidden="1">
      <c r="B5854" s="1342"/>
      <c r="C5854" s="1342"/>
      <c r="D5854" s="1342"/>
      <c r="E5854" s="1342"/>
      <c r="F5854" s="1342"/>
      <c r="G5854" s="1342"/>
      <c r="H5854" s="1342"/>
      <c r="I5854" s="1342"/>
      <c r="J5854" s="1342"/>
      <c r="K5854" s="1342"/>
    </row>
    <row r="5855" spans="2:11" ht="14" hidden="1">
      <c r="B5855" s="1342"/>
      <c r="C5855" s="1342"/>
      <c r="D5855" s="1342"/>
      <c r="E5855" s="1342"/>
      <c r="F5855" s="1342"/>
      <c r="G5855" s="1342"/>
      <c r="H5855" s="1342"/>
      <c r="I5855" s="1342"/>
      <c r="J5855" s="1342"/>
      <c r="K5855" s="1342"/>
    </row>
    <row r="5856" spans="2:11" ht="14" hidden="1">
      <c r="B5856" s="1342"/>
      <c r="C5856" s="1342"/>
      <c r="D5856" s="1342"/>
      <c r="E5856" s="1342"/>
      <c r="F5856" s="1342"/>
      <c r="G5856" s="1342"/>
      <c r="H5856" s="1342"/>
      <c r="I5856" s="1342"/>
      <c r="J5856" s="1342"/>
      <c r="K5856" s="1342"/>
    </row>
    <row r="5857" spans="2:11" ht="14" hidden="1">
      <c r="B5857" s="1342"/>
      <c r="C5857" s="1342"/>
      <c r="D5857" s="1342"/>
      <c r="E5857" s="1342"/>
      <c r="F5857" s="1342"/>
      <c r="G5857" s="1342"/>
      <c r="H5857" s="1342"/>
      <c r="I5857" s="1342"/>
      <c r="J5857" s="1342"/>
      <c r="K5857" s="1342"/>
    </row>
    <row r="5858" spans="2:11" ht="14" hidden="1">
      <c r="B5858" s="1342"/>
      <c r="C5858" s="1342"/>
      <c r="D5858" s="1342"/>
      <c r="E5858" s="1342"/>
      <c r="F5858" s="1342"/>
      <c r="G5858" s="1342"/>
      <c r="H5858" s="1342"/>
      <c r="I5858" s="1342"/>
      <c r="J5858" s="1342"/>
      <c r="K5858" s="1342"/>
    </row>
    <row r="5859" spans="2:11" ht="14" hidden="1">
      <c r="B5859" s="1342"/>
      <c r="C5859" s="1342"/>
      <c r="D5859" s="1342"/>
      <c r="E5859" s="1342"/>
      <c r="F5859" s="1342"/>
      <c r="G5859" s="1342"/>
      <c r="H5859" s="1342"/>
      <c r="I5859" s="1342"/>
      <c r="J5859" s="1342"/>
      <c r="K5859" s="1342"/>
    </row>
    <row r="5860" spans="2:11" ht="14" hidden="1">
      <c r="B5860" s="1342"/>
      <c r="C5860" s="1342"/>
      <c r="D5860" s="1342"/>
      <c r="E5860" s="1342"/>
      <c r="F5860" s="1342"/>
      <c r="G5860" s="1342"/>
      <c r="H5860" s="1342"/>
      <c r="I5860" s="1342"/>
      <c r="J5860" s="1342"/>
      <c r="K5860" s="1342"/>
    </row>
    <row r="5861" spans="2:11" ht="14" hidden="1">
      <c r="B5861" s="1342"/>
      <c r="C5861" s="1342"/>
      <c r="D5861" s="1342"/>
      <c r="E5861" s="1342"/>
      <c r="F5861" s="1342"/>
      <c r="G5861" s="1342"/>
      <c r="H5861" s="1342"/>
      <c r="I5861" s="1342"/>
      <c r="J5861" s="1342"/>
      <c r="K5861" s="1342"/>
    </row>
    <row r="5862" spans="2:11" ht="14" hidden="1">
      <c r="B5862" s="1342"/>
      <c r="C5862" s="1342"/>
      <c r="D5862" s="1342"/>
      <c r="E5862" s="1342"/>
      <c r="F5862" s="1342"/>
      <c r="G5862" s="1342"/>
      <c r="H5862" s="1342"/>
      <c r="I5862" s="1342"/>
      <c r="J5862" s="1342"/>
      <c r="K5862" s="1342"/>
    </row>
    <row r="5863" spans="2:11" ht="14" hidden="1">
      <c r="B5863" s="1342"/>
      <c r="C5863" s="1342"/>
      <c r="D5863" s="1342"/>
      <c r="E5863" s="1342"/>
      <c r="F5863" s="1342"/>
      <c r="G5863" s="1342"/>
      <c r="H5863" s="1342"/>
      <c r="I5863" s="1342"/>
      <c r="J5863" s="1342"/>
      <c r="K5863" s="1342"/>
    </row>
    <row r="5864" spans="2:11" ht="14" hidden="1">
      <c r="B5864" s="1342"/>
      <c r="C5864" s="1342"/>
      <c r="D5864" s="1342"/>
      <c r="E5864" s="1342"/>
      <c r="F5864" s="1342"/>
      <c r="G5864" s="1342"/>
      <c r="H5864" s="1342"/>
      <c r="I5864" s="1342"/>
      <c r="J5864" s="1342"/>
      <c r="K5864" s="1342"/>
    </row>
    <row r="5865" spans="2:11" ht="14" hidden="1">
      <c r="B5865" s="1342"/>
      <c r="C5865" s="1342"/>
      <c r="D5865" s="1342"/>
      <c r="E5865" s="1342"/>
      <c r="F5865" s="1342"/>
      <c r="G5865" s="1342"/>
      <c r="H5865" s="1342"/>
      <c r="I5865" s="1342"/>
      <c r="J5865" s="1342"/>
      <c r="K5865" s="1342"/>
    </row>
    <row r="5866" spans="2:11" ht="14" hidden="1">
      <c r="B5866" s="1342"/>
      <c r="C5866" s="1342"/>
      <c r="D5866" s="1342"/>
      <c r="E5866" s="1342"/>
      <c r="F5866" s="1342"/>
      <c r="G5866" s="1342"/>
      <c r="H5866" s="1342"/>
      <c r="I5866" s="1342"/>
      <c r="J5866" s="1342"/>
      <c r="K5866" s="1342"/>
    </row>
    <row r="5867" spans="2:11" ht="14" hidden="1">
      <c r="B5867" s="1342"/>
      <c r="C5867" s="1342"/>
      <c r="D5867" s="1342"/>
      <c r="E5867" s="1342"/>
      <c r="F5867" s="1342"/>
      <c r="G5867" s="1342"/>
      <c r="H5867" s="1342"/>
      <c r="I5867" s="1342"/>
      <c r="J5867" s="1342"/>
      <c r="K5867" s="1342"/>
    </row>
    <row r="5868" spans="2:11" ht="14" hidden="1">
      <c r="B5868" s="1342"/>
      <c r="C5868" s="1342"/>
      <c r="D5868" s="1342"/>
      <c r="E5868" s="1342"/>
      <c r="F5868" s="1342"/>
      <c r="G5868" s="1342"/>
      <c r="H5868" s="1342"/>
      <c r="I5868" s="1342"/>
      <c r="J5868" s="1342"/>
      <c r="K5868" s="1342"/>
    </row>
    <row r="5869" spans="2:11" ht="14" hidden="1">
      <c r="B5869" s="1342"/>
      <c r="C5869" s="1342"/>
      <c r="D5869" s="1342"/>
      <c r="E5869" s="1342"/>
      <c r="F5869" s="1342"/>
      <c r="G5869" s="1342"/>
      <c r="H5869" s="1342"/>
      <c r="I5869" s="1342"/>
      <c r="J5869" s="1342"/>
      <c r="K5869" s="1342"/>
    </row>
    <row r="5870" spans="2:11" ht="14" hidden="1">
      <c r="B5870" s="1342"/>
      <c r="C5870" s="1342"/>
      <c r="D5870" s="1342"/>
      <c r="E5870" s="1342"/>
      <c r="F5870" s="1342"/>
      <c r="G5870" s="1342"/>
      <c r="H5870" s="1342"/>
      <c r="I5870" s="1342"/>
      <c r="J5870" s="1342"/>
      <c r="K5870" s="1342"/>
    </row>
    <row r="5871" spans="2:11" ht="14" hidden="1">
      <c r="B5871" s="1342"/>
      <c r="C5871" s="1342"/>
      <c r="D5871" s="1342"/>
      <c r="E5871" s="1342"/>
      <c r="F5871" s="1342"/>
      <c r="G5871" s="1342"/>
      <c r="H5871" s="1342"/>
      <c r="I5871" s="1342"/>
      <c r="J5871" s="1342"/>
      <c r="K5871" s="1342"/>
    </row>
    <row r="5872" spans="2:11" ht="14" hidden="1">
      <c r="B5872" s="1342"/>
      <c r="C5872" s="1342"/>
      <c r="D5872" s="1342"/>
      <c r="E5872" s="1342"/>
      <c r="F5872" s="1342"/>
      <c r="G5872" s="1342"/>
      <c r="H5872" s="1342"/>
      <c r="I5872" s="1342"/>
      <c r="J5872" s="1342"/>
      <c r="K5872" s="1342"/>
    </row>
    <row r="5873" spans="2:11" ht="14" hidden="1">
      <c r="B5873" s="1342"/>
      <c r="C5873" s="1342"/>
      <c r="D5873" s="1342"/>
      <c r="E5873" s="1342"/>
      <c r="F5873" s="1342"/>
      <c r="G5873" s="1342"/>
      <c r="H5873" s="1342"/>
      <c r="I5873" s="1342"/>
      <c r="J5873" s="1342"/>
      <c r="K5873" s="1342"/>
    </row>
    <row r="5874" spans="2:11" ht="14" hidden="1">
      <c r="B5874" s="1342"/>
      <c r="C5874" s="1342"/>
      <c r="D5874" s="1342"/>
      <c r="E5874" s="1342"/>
      <c r="F5874" s="1342"/>
      <c r="G5874" s="1342"/>
      <c r="H5874" s="1342"/>
      <c r="I5874" s="1342"/>
      <c r="J5874" s="1342"/>
      <c r="K5874" s="1342"/>
    </row>
    <row r="5875" spans="2:11" ht="14" hidden="1">
      <c r="B5875" s="1342"/>
      <c r="C5875" s="1342"/>
      <c r="D5875" s="1342"/>
      <c r="E5875" s="1342"/>
      <c r="F5875" s="1342"/>
      <c r="G5875" s="1342"/>
      <c r="H5875" s="1342"/>
      <c r="I5875" s="1342"/>
      <c r="J5875" s="1342"/>
      <c r="K5875" s="1342"/>
    </row>
    <row r="5876" spans="2:11" ht="14" hidden="1">
      <c r="B5876" s="1342"/>
      <c r="C5876" s="1342"/>
      <c r="D5876" s="1342"/>
      <c r="E5876" s="1342"/>
      <c r="F5876" s="1342"/>
      <c r="G5876" s="1342"/>
      <c r="H5876" s="1342"/>
      <c r="I5876" s="1342"/>
      <c r="J5876" s="1342"/>
      <c r="K5876" s="1342"/>
    </row>
    <row r="5877" spans="2:11" ht="14" hidden="1">
      <c r="B5877" s="1342"/>
      <c r="C5877" s="1342"/>
      <c r="D5877" s="1342"/>
      <c r="E5877" s="1342"/>
      <c r="F5877" s="1342"/>
      <c r="G5877" s="1342"/>
      <c r="H5877" s="1342"/>
      <c r="I5877" s="1342"/>
      <c r="J5877" s="1342"/>
      <c r="K5877" s="1342"/>
    </row>
    <row r="5878" spans="2:11" ht="14" hidden="1">
      <c r="B5878" s="1342"/>
      <c r="C5878" s="1342"/>
      <c r="D5878" s="1342"/>
      <c r="E5878" s="1342"/>
      <c r="F5878" s="1342"/>
      <c r="G5878" s="1342"/>
      <c r="H5878" s="1342"/>
      <c r="I5878" s="1342"/>
      <c r="J5878" s="1342"/>
      <c r="K5878" s="1342"/>
    </row>
    <row r="5879" spans="2:11" ht="14" hidden="1">
      <c r="B5879" s="1342"/>
      <c r="C5879" s="1342"/>
      <c r="D5879" s="1342"/>
      <c r="E5879" s="1342"/>
      <c r="F5879" s="1342"/>
      <c r="G5879" s="1342"/>
      <c r="H5879" s="1342"/>
      <c r="I5879" s="1342"/>
      <c r="J5879" s="1342"/>
      <c r="K5879" s="1342"/>
    </row>
    <row r="5880" spans="2:11" ht="14" hidden="1">
      <c r="B5880" s="1342"/>
      <c r="C5880" s="1342"/>
      <c r="D5880" s="1342"/>
      <c r="E5880" s="1342"/>
      <c r="F5880" s="1342"/>
      <c r="G5880" s="1342"/>
      <c r="H5880" s="1342"/>
      <c r="I5880" s="1342"/>
      <c r="J5880" s="1342"/>
      <c r="K5880" s="1342"/>
    </row>
    <row r="5881" spans="2:11" ht="14" hidden="1">
      <c r="B5881" s="1342"/>
      <c r="C5881" s="1342"/>
      <c r="D5881" s="1342"/>
      <c r="E5881" s="1342"/>
      <c r="F5881" s="1342"/>
      <c r="G5881" s="1342"/>
      <c r="H5881" s="1342"/>
      <c r="I5881" s="1342"/>
      <c r="J5881" s="1342"/>
      <c r="K5881" s="1342"/>
    </row>
    <row r="5882" spans="2:11" ht="14" hidden="1">
      <c r="B5882" s="1342"/>
      <c r="C5882" s="1342"/>
      <c r="D5882" s="1342"/>
      <c r="E5882" s="1342"/>
      <c r="F5882" s="1342"/>
      <c r="G5882" s="1342"/>
      <c r="H5882" s="1342"/>
      <c r="I5882" s="1342"/>
      <c r="J5882" s="1342"/>
      <c r="K5882" s="1342"/>
    </row>
    <row r="5883" spans="2:11" ht="14" hidden="1">
      <c r="B5883" s="1342"/>
      <c r="C5883" s="1342"/>
      <c r="D5883" s="1342"/>
      <c r="E5883" s="1342"/>
      <c r="F5883" s="1342"/>
      <c r="G5883" s="1342"/>
      <c r="H5883" s="1342"/>
      <c r="I5883" s="1342"/>
      <c r="J5883" s="1342"/>
      <c r="K5883" s="1342"/>
    </row>
    <row r="5884" spans="2:11" ht="14" hidden="1">
      <c r="B5884" s="1342"/>
      <c r="C5884" s="1342"/>
      <c r="D5884" s="1342"/>
      <c r="E5884" s="1342"/>
      <c r="F5884" s="1342"/>
      <c r="G5884" s="1342"/>
      <c r="H5884" s="1342"/>
      <c r="I5884" s="1342"/>
      <c r="J5884" s="1342"/>
      <c r="K5884" s="1342"/>
    </row>
    <row r="5885" spans="2:11" ht="14" hidden="1">
      <c r="B5885" s="1342"/>
      <c r="C5885" s="1342"/>
      <c r="D5885" s="1342"/>
      <c r="E5885" s="1342"/>
      <c r="F5885" s="1342"/>
      <c r="G5885" s="1342"/>
      <c r="H5885" s="1342"/>
      <c r="I5885" s="1342"/>
      <c r="J5885" s="1342"/>
      <c r="K5885" s="1342"/>
    </row>
    <row r="5886" spans="2:11" ht="14" hidden="1">
      <c r="B5886" s="1342"/>
      <c r="C5886" s="1342"/>
      <c r="D5886" s="1342"/>
      <c r="E5886" s="1342"/>
      <c r="F5886" s="1342"/>
      <c r="G5886" s="1342"/>
      <c r="H5886" s="1342"/>
      <c r="I5886" s="1342"/>
      <c r="J5886" s="1342"/>
      <c r="K5886" s="1342"/>
    </row>
    <row r="5887" spans="2:11" ht="14" hidden="1">
      <c r="B5887" s="1342"/>
      <c r="C5887" s="1342"/>
      <c r="D5887" s="1342"/>
      <c r="E5887" s="1342"/>
      <c r="F5887" s="1342"/>
      <c r="G5887" s="1342"/>
      <c r="H5887" s="1342"/>
      <c r="I5887" s="1342"/>
      <c r="J5887" s="1342"/>
      <c r="K5887" s="1342"/>
    </row>
    <row r="5888" spans="2:11" ht="14" hidden="1">
      <c r="B5888" s="1342"/>
      <c r="C5888" s="1342"/>
      <c r="D5888" s="1342"/>
      <c r="E5888" s="1342"/>
      <c r="F5888" s="1342"/>
      <c r="G5888" s="1342"/>
      <c r="H5888" s="1342"/>
      <c r="I5888" s="1342"/>
      <c r="J5888" s="1342"/>
      <c r="K5888" s="1342"/>
    </row>
    <row r="5889" spans="2:11" ht="14" hidden="1">
      <c r="B5889" s="1342"/>
      <c r="C5889" s="1342"/>
      <c r="D5889" s="1342"/>
      <c r="E5889" s="1342"/>
      <c r="F5889" s="1342"/>
      <c r="G5889" s="1342"/>
      <c r="H5889" s="1342"/>
      <c r="I5889" s="1342"/>
      <c r="J5889" s="1342"/>
      <c r="K5889" s="1342"/>
    </row>
    <row r="5890" spans="2:11" ht="14" hidden="1">
      <c r="B5890" s="1342"/>
      <c r="C5890" s="1342"/>
      <c r="D5890" s="1342"/>
      <c r="E5890" s="1342"/>
      <c r="F5890" s="1342"/>
      <c r="G5890" s="1342"/>
      <c r="H5890" s="1342"/>
      <c r="I5890" s="1342"/>
      <c r="J5890" s="1342"/>
      <c r="K5890" s="1342"/>
    </row>
    <row r="5891" spans="2:11" ht="14" hidden="1">
      <c r="B5891" s="1342"/>
      <c r="C5891" s="1342"/>
      <c r="D5891" s="1342"/>
      <c r="E5891" s="1342"/>
      <c r="F5891" s="1342"/>
      <c r="G5891" s="1342"/>
      <c r="H5891" s="1342"/>
      <c r="I5891" s="1342"/>
      <c r="J5891" s="1342"/>
      <c r="K5891" s="1342"/>
    </row>
    <row r="5892" spans="2:11" ht="14" hidden="1">
      <c r="B5892" s="1342"/>
      <c r="C5892" s="1342"/>
      <c r="D5892" s="1342"/>
      <c r="E5892" s="1342"/>
      <c r="F5892" s="1342"/>
      <c r="G5892" s="1342"/>
      <c r="H5892" s="1342"/>
      <c r="I5892" s="1342"/>
      <c r="J5892" s="1342"/>
      <c r="K5892" s="1342"/>
    </row>
    <row r="5893" spans="2:11" ht="14" hidden="1">
      <c r="B5893" s="1342"/>
      <c r="C5893" s="1342"/>
      <c r="D5893" s="1342"/>
      <c r="E5893" s="1342"/>
      <c r="F5893" s="1342"/>
      <c r="G5893" s="1342"/>
      <c r="H5893" s="1342"/>
      <c r="I5893" s="1342"/>
      <c r="J5893" s="1342"/>
      <c r="K5893" s="1342"/>
    </row>
    <row r="5894" spans="2:11" ht="14" hidden="1">
      <c r="B5894" s="1342"/>
      <c r="C5894" s="1342"/>
      <c r="D5894" s="1342"/>
      <c r="E5894" s="1342"/>
      <c r="F5894" s="1342"/>
      <c r="G5894" s="1342"/>
      <c r="H5894" s="1342"/>
      <c r="I5894" s="1342"/>
      <c r="J5894" s="1342"/>
      <c r="K5894" s="1342"/>
    </row>
    <row r="5895" spans="2:11" ht="14" hidden="1">
      <c r="B5895" s="1342"/>
      <c r="C5895" s="1342"/>
      <c r="D5895" s="1342"/>
      <c r="E5895" s="1342"/>
      <c r="F5895" s="1342"/>
      <c r="G5895" s="1342"/>
      <c r="H5895" s="1342"/>
      <c r="I5895" s="1342"/>
      <c r="J5895" s="1342"/>
      <c r="K5895" s="1342"/>
    </row>
    <row r="5896" spans="2:11" ht="14" hidden="1">
      <c r="B5896" s="1342"/>
      <c r="C5896" s="1342"/>
      <c r="D5896" s="1342"/>
      <c r="E5896" s="1342"/>
      <c r="F5896" s="1342"/>
      <c r="G5896" s="1342"/>
      <c r="H5896" s="1342"/>
      <c r="I5896" s="1342"/>
      <c r="J5896" s="1342"/>
      <c r="K5896" s="1342"/>
    </row>
    <row r="5897" spans="2:11" ht="14" hidden="1">
      <c r="B5897" s="1342"/>
      <c r="C5897" s="1342"/>
      <c r="D5897" s="1342"/>
      <c r="E5897" s="1342"/>
      <c r="F5897" s="1342"/>
      <c r="G5897" s="1342"/>
      <c r="H5897" s="1342"/>
      <c r="I5897" s="1342"/>
      <c r="J5897" s="1342"/>
      <c r="K5897" s="1342"/>
    </row>
    <row r="5898" spans="2:11" ht="14" hidden="1">
      <c r="B5898" s="1342"/>
      <c r="C5898" s="1342"/>
      <c r="D5898" s="1342"/>
      <c r="E5898" s="1342"/>
      <c r="F5898" s="1342"/>
      <c r="G5898" s="1342"/>
      <c r="H5898" s="1342"/>
      <c r="I5898" s="1342"/>
      <c r="J5898" s="1342"/>
      <c r="K5898" s="1342"/>
    </row>
    <row r="5899" spans="2:11" ht="14" hidden="1">
      <c r="B5899" s="1342"/>
      <c r="C5899" s="1342"/>
      <c r="D5899" s="1342"/>
      <c r="E5899" s="1342"/>
      <c r="F5899" s="1342"/>
      <c r="G5899" s="1342"/>
      <c r="H5899" s="1342"/>
      <c r="I5899" s="1342"/>
      <c r="J5899" s="1342"/>
      <c r="K5899" s="1342"/>
    </row>
    <row r="5900" spans="2:11" ht="14" hidden="1">
      <c r="B5900" s="1342"/>
      <c r="C5900" s="1342"/>
      <c r="D5900" s="1342"/>
      <c r="E5900" s="1342"/>
      <c r="F5900" s="1342"/>
      <c r="G5900" s="1342"/>
      <c r="H5900" s="1342"/>
      <c r="I5900" s="1342"/>
      <c r="J5900" s="1342"/>
      <c r="K5900" s="1342"/>
    </row>
    <row r="5901" spans="2:11" ht="14" hidden="1">
      <c r="B5901" s="1342"/>
      <c r="C5901" s="1342"/>
      <c r="D5901" s="1342"/>
      <c r="E5901" s="1342"/>
      <c r="F5901" s="1342"/>
      <c r="G5901" s="1342"/>
      <c r="H5901" s="1342"/>
      <c r="I5901" s="1342"/>
      <c r="J5901" s="1342"/>
      <c r="K5901" s="1342"/>
    </row>
    <row r="5902" spans="2:11" ht="14" hidden="1">
      <c r="B5902" s="1342"/>
      <c r="C5902" s="1342"/>
      <c r="D5902" s="1342"/>
      <c r="E5902" s="1342"/>
      <c r="F5902" s="1342"/>
      <c r="G5902" s="1342"/>
      <c r="H5902" s="1342"/>
      <c r="I5902" s="1342"/>
      <c r="J5902" s="1342"/>
      <c r="K5902" s="1342"/>
    </row>
    <row r="5903" spans="2:11" ht="14" hidden="1">
      <c r="B5903" s="1342"/>
      <c r="C5903" s="1342"/>
      <c r="D5903" s="1342"/>
      <c r="E5903" s="1342"/>
      <c r="F5903" s="1342"/>
      <c r="G5903" s="1342"/>
      <c r="H5903" s="1342"/>
      <c r="I5903" s="1342"/>
      <c r="J5903" s="1342"/>
      <c r="K5903" s="1342"/>
    </row>
    <row r="5904" spans="2:11" ht="14" hidden="1">
      <c r="B5904" s="1342"/>
      <c r="C5904" s="1342"/>
      <c r="D5904" s="1342"/>
      <c r="E5904" s="1342"/>
      <c r="F5904" s="1342"/>
      <c r="G5904" s="1342"/>
      <c r="H5904" s="1342"/>
      <c r="I5904" s="1342"/>
      <c r="J5904" s="1342"/>
      <c r="K5904" s="1342"/>
    </row>
    <row r="5905" spans="2:11" ht="14" hidden="1">
      <c r="B5905" s="1342"/>
      <c r="C5905" s="1342"/>
      <c r="D5905" s="1342"/>
      <c r="E5905" s="1342"/>
      <c r="F5905" s="1342"/>
      <c r="G5905" s="1342"/>
      <c r="H5905" s="1342"/>
      <c r="I5905" s="1342"/>
      <c r="J5905" s="1342"/>
      <c r="K5905" s="1342"/>
    </row>
    <row r="5906" spans="2:11" ht="14" hidden="1">
      <c r="B5906" s="1342"/>
      <c r="C5906" s="1342"/>
      <c r="D5906" s="1342"/>
      <c r="E5906" s="1342"/>
      <c r="F5906" s="1342"/>
      <c r="G5906" s="1342"/>
      <c r="H5906" s="1342"/>
      <c r="I5906" s="1342"/>
      <c r="J5906" s="1342"/>
      <c r="K5906" s="1342"/>
    </row>
    <row r="5907" spans="2:11" ht="14" hidden="1">
      <c r="B5907" s="1342"/>
      <c r="C5907" s="1342"/>
      <c r="D5907" s="1342"/>
      <c r="E5907" s="1342"/>
      <c r="F5907" s="1342"/>
      <c r="G5907" s="1342"/>
      <c r="H5907" s="1342"/>
      <c r="I5907" s="1342"/>
      <c r="J5907" s="1342"/>
      <c r="K5907" s="1342"/>
    </row>
    <row r="5908" spans="2:11" ht="14" hidden="1">
      <c r="B5908" s="1342"/>
      <c r="C5908" s="1342"/>
      <c r="D5908" s="1342"/>
      <c r="E5908" s="1342"/>
      <c r="F5908" s="1342"/>
      <c r="G5908" s="1342"/>
      <c r="H5908" s="1342"/>
      <c r="I5908" s="1342"/>
      <c r="J5908" s="1342"/>
      <c r="K5908" s="1342"/>
    </row>
    <row r="5909" spans="2:11" ht="14" hidden="1">
      <c r="B5909" s="1342"/>
      <c r="C5909" s="1342"/>
      <c r="D5909" s="1342"/>
      <c r="E5909" s="1342"/>
      <c r="F5909" s="1342"/>
      <c r="G5909" s="1342"/>
      <c r="H5909" s="1342"/>
      <c r="I5909" s="1342"/>
      <c r="J5909" s="1342"/>
      <c r="K5909" s="1342"/>
    </row>
    <row r="5910" spans="2:11" ht="14" hidden="1">
      <c r="B5910" s="1342"/>
      <c r="C5910" s="1342"/>
      <c r="D5910" s="1342"/>
      <c r="E5910" s="1342"/>
      <c r="F5910" s="1342"/>
      <c r="G5910" s="1342"/>
      <c r="H5910" s="1342"/>
      <c r="I5910" s="1342"/>
      <c r="J5910" s="1342"/>
      <c r="K5910" s="1342"/>
    </row>
    <row r="5911" spans="2:11" ht="14" hidden="1">
      <c r="B5911" s="1342"/>
      <c r="C5911" s="1342"/>
      <c r="D5911" s="1342"/>
      <c r="E5911" s="1342"/>
      <c r="F5911" s="1342"/>
      <c r="G5911" s="1342"/>
      <c r="H5911" s="1342"/>
      <c r="I5911" s="1342"/>
      <c r="J5911" s="1342"/>
      <c r="K5911" s="1342"/>
    </row>
    <row r="5912" spans="2:11" ht="14" hidden="1">
      <c r="B5912" s="1342"/>
      <c r="C5912" s="1342"/>
      <c r="D5912" s="1342"/>
      <c r="E5912" s="1342"/>
      <c r="F5912" s="1342"/>
      <c r="G5912" s="1342"/>
      <c r="H5912" s="1342"/>
      <c r="I5912" s="1342"/>
      <c r="J5912" s="1342"/>
      <c r="K5912" s="1342"/>
    </row>
    <row r="5913" spans="2:11" ht="14" hidden="1">
      <c r="B5913" s="1342"/>
      <c r="C5913" s="1342"/>
      <c r="D5913" s="1342"/>
      <c r="E5913" s="1342"/>
      <c r="F5913" s="1342"/>
      <c r="G5913" s="1342"/>
      <c r="H5913" s="1342"/>
      <c r="I5913" s="1342"/>
      <c r="J5913" s="1342"/>
      <c r="K5913" s="1342"/>
    </row>
    <row r="5914" spans="2:11" ht="14" hidden="1">
      <c r="B5914" s="1342"/>
      <c r="C5914" s="1342"/>
      <c r="D5914" s="1342"/>
      <c r="E5914" s="1342"/>
      <c r="F5914" s="1342"/>
      <c r="G5914" s="1342"/>
      <c r="H5914" s="1342"/>
      <c r="I5914" s="1342"/>
      <c r="J5914" s="1342"/>
      <c r="K5914" s="1342"/>
    </row>
    <row r="5915" spans="2:11" ht="14" hidden="1">
      <c r="B5915" s="1342"/>
      <c r="C5915" s="1342"/>
      <c r="D5915" s="1342"/>
      <c r="E5915" s="1342"/>
      <c r="F5915" s="1342"/>
      <c r="G5915" s="1342"/>
      <c r="H5915" s="1342"/>
      <c r="I5915" s="1342"/>
      <c r="J5915" s="1342"/>
      <c r="K5915" s="1342"/>
    </row>
    <row r="5916" spans="2:11" ht="14" hidden="1">
      <c r="B5916" s="1342"/>
      <c r="C5916" s="1342"/>
      <c r="D5916" s="1342"/>
      <c r="E5916" s="1342"/>
      <c r="F5916" s="1342"/>
      <c r="G5916" s="1342"/>
      <c r="H5916" s="1342"/>
      <c r="I5916" s="1342"/>
      <c r="J5916" s="1342"/>
      <c r="K5916" s="1342"/>
    </row>
    <row r="5917" spans="2:11" ht="14" hidden="1">
      <c r="B5917" s="1342"/>
      <c r="C5917" s="1342"/>
      <c r="D5917" s="1342"/>
      <c r="E5917" s="1342"/>
      <c r="F5917" s="1342"/>
      <c r="G5917" s="1342"/>
      <c r="H5917" s="1342"/>
      <c r="I5917" s="1342"/>
      <c r="J5917" s="1342"/>
      <c r="K5917" s="1342"/>
    </row>
    <row r="5918" spans="2:11" ht="14" hidden="1">
      <c r="B5918" s="1342"/>
      <c r="C5918" s="1342"/>
      <c r="D5918" s="1342"/>
      <c r="E5918" s="1342"/>
      <c r="F5918" s="1342"/>
      <c r="G5918" s="1342"/>
      <c r="H5918" s="1342"/>
      <c r="I5918" s="1342"/>
      <c r="J5918" s="1342"/>
      <c r="K5918" s="1342"/>
    </row>
    <row r="5919" spans="2:11" ht="14" hidden="1">
      <c r="B5919" s="1342"/>
      <c r="C5919" s="1342"/>
      <c r="D5919" s="1342"/>
      <c r="E5919" s="1342"/>
      <c r="F5919" s="1342"/>
      <c r="G5919" s="1342"/>
      <c r="H5919" s="1342"/>
      <c r="I5919" s="1342"/>
      <c r="J5919" s="1342"/>
      <c r="K5919" s="1342"/>
    </row>
    <row r="5920" spans="2:11" ht="14" hidden="1">
      <c r="B5920" s="1342"/>
      <c r="C5920" s="1342"/>
      <c r="D5920" s="1342"/>
      <c r="E5920" s="1342"/>
      <c r="F5920" s="1342"/>
      <c r="G5920" s="1342"/>
      <c r="H5920" s="1342"/>
      <c r="I5920" s="1342"/>
      <c r="J5920" s="1342"/>
      <c r="K5920" s="1342"/>
    </row>
    <row r="5921" spans="2:11" ht="14" hidden="1">
      <c r="B5921" s="1342"/>
      <c r="C5921" s="1342"/>
      <c r="D5921" s="1342"/>
      <c r="E5921" s="1342"/>
      <c r="F5921" s="1342"/>
      <c r="G5921" s="1342"/>
      <c r="H5921" s="1342"/>
      <c r="I5921" s="1342"/>
      <c r="J5921" s="1342"/>
      <c r="K5921" s="1342"/>
    </row>
    <row r="5922" spans="2:11" ht="14" hidden="1">
      <c r="B5922" s="1342"/>
      <c r="C5922" s="1342"/>
      <c r="D5922" s="1342"/>
      <c r="E5922" s="1342"/>
      <c r="F5922" s="1342"/>
      <c r="G5922" s="1342"/>
      <c r="H5922" s="1342"/>
      <c r="I5922" s="1342"/>
      <c r="J5922" s="1342"/>
      <c r="K5922" s="1342"/>
    </row>
    <row r="5923" spans="2:11" ht="14" hidden="1">
      <c r="B5923" s="1342"/>
      <c r="C5923" s="1342"/>
      <c r="D5923" s="1342"/>
      <c r="E5923" s="1342"/>
      <c r="F5923" s="1342"/>
      <c r="G5923" s="1342"/>
      <c r="H5923" s="1342"/>
      <c r="I5923" s="1342"/>
      <c r="J5923" s="1342"/>
      <c r="K5923" s="1342"/>
    </row>
    <row r="5924" spans="2:11" ht="14" hidden="1">
      <c r="B5924" s="1342"/>
      <c r="C5924" s="1342"/>
      <c r="D5924" s="1342"/>
      <c r="E5924" s="1342"/>
      <c r="F5924" s="1342"/>
      <c r="G5924" s="1342"/>
      <c r="H5924" s="1342"/>
      <c r="I5924" s="1342"/>
      <c r="J5924" s="1342"/>
      <c r="K5924" s="1342"/>
    </row>
    <row r="5925" spans="2:11" ht="14" hidden="1">
      <c r="B5925" s="1342"/>
      <c r="C5925" s="1342"/>
      <c r="D5925" s="1342"/>
      <c r="E5925" s="1342"/>
      <c r="F5925" s="1342"/>
      <c r="G5925" s="1342"/>
      <c r="H5925" s="1342"/>
      <c r="I5925" s="1342"/>
      <c r="J5925" s="1342"/>
      <c r="K5925" s="1342"/>
    </row>
    <row r="5926" spans="2:11" ht="14" hidden="1">
      <c r="B5926" s="1342"/>
      <c r="C5926" s="1342"/>
      <c r="D5926" s="1342"/>
      <c r="E5926" s="1342"/>
      <c r="F5926" s="1342"/>
      <c r="G5926" s="1342"/>
      <c r="H5926" s="1342"/>
      <c r="I5926" s="1342"/>
      <c r="J5926" s="1342"/>
      <c r="K5926" s="1342"/>
    </row>
    <row r="5927" spans="2:11" ht="14" hidden="1">
      <c r="B5927" s="1342"/>
      <c r="C5927" s="1342"/>
      <c r="D5927" s="1342"/>
      <c r="E5927" s="1342"/>
      <c r="F5927" s="1342"/>
      <c r="G5927" s="1342"/>
      <c r="H5927" s="1342"/>
      <c r="I5927" s="1342"/>
      <c r="J5927" s="1342"/>
      <c r="K5927" s="1342"/>
    </row>
    <row r="5928" spans="2:11" ht="14" hidden="1">
      <c r="B5928" s="1342"/>
      <c r="C5928" s="1342"/>
      <c r="D5928" s="1342"/>
      <c r="E5928" s="1342"/>
      <c r="F5928" s="1342"/>
      <c r="G5928" s="1342"/>
      <c r="H5928" s="1342"/>
      <c r="I5928" s="1342"/>
      <c r="J5928" s="1342"/>
      <c r="K5928" s="1342"/>
    </row>
    <row r="5929" spans="2:11" ht="14" hidden="1">
      <c r="B5929" s="1342"/>
      <c r="C5929" s="1342"/>
      <c r="D5929" s="1342"/>
      <c r="E5929" s="1342"/>
      <c r="F5929" s="1342"/>
      <c r="G5929" s="1342"/>
      <c r="H5929" s="1342"/>
      <c r="I5929" s="1342"/>
      <c r="J5929" s="1342"/>
      <c r="K5929" s="1342"/>
    </row>
    <row r="5930" spans="2:11" ht="14" hidden="1">
      <c r="B5930" s="1342"/>
      <c r="C5930" s="1342"/>
      <c r="D5930" s="1342"/>
      <c r="E5930" s="1342"/>
      <c r="F5930" s="1342"/>
      <c r="G5930" s="1342"/>
      <c r="H5930" s="1342"/>
      <c r="I5930" s="1342"/>
      <c r="J5930" s="1342"/>
      <c r="K5930" s="1342"/>
    </row>
    <row r="5931" spans="2:11" ht="14" hidden="1">
      <c r="B5931" s="1342"/>
      <c r="C5931" s="1342"/>
      <c r="D5931" s="1342"/>
      <c r="E5931" s="1342"/>
      <c r="F5931" s="1342"/>
      <c r="G5931" s="1342"/>
      <c r="H5931" s="1342"/>
      <c r="I5931" s="1342"/>
      <c r="J5931" s="1342"/>
      <c r="K5931" s="1342"/>
    </row>
    <row r="5932" spans="2:11" ht="14" hidden="1">
      <c r="B5932" s="1342"/>
      <c r="C5932" s="1342"/>
      <c r="D5932" s="1342"/>
      <c r="E5932" s="1342"/>
      <c r="F5932" s="1342"/>
      <c r="G5932" s="1342"/>
      <c r="H5932" s="1342"/>
      <c r="I5932" s="1342"/>
      <c r="J5932" s="1342"/>
      <c r="K5932" s="1342"/>
    </row>
    <row r="5933" spans="2:11" ht="14" hidden="1">
      <c r="B5933" s="1342"/>
      <c r="C5933" s="1342"/>
      <c r="D5933" s="1342"/>
      <c r="E5933" s="1342"/>
      <c r="F5933" s="1342"/>
      <c r="G5933" s="1342"/>
      <c r="H5933" s="1342"/>
      <c r="I5933" s="1342"/>
      <c r="J5933" s="1342"/>
      <c r="K5933" s="1342"/>
    </row>
    <row r="5934" spans="2:11" ht="14" hidden="1">
      <c r="B5934" s="1342"/>
      <c r="C5934" s="1342"/>
      <c r="D5934" s="1342"/>
      <c r="E5934" s="1342"/>
      <c r="F5934" s="1342"/>
      <c r="G5934" s="1342"/>
      <c r="H5934" s="1342"/>
      <c r="I5934" s="1342"/>
      <c r="J5934" s="1342"/>
      <c r="K5934" s="1342"/>
    </row>
    <row r="5935" spans="2:11" ht="14" hidden="1">
      <c r="B5935" s="1342"/>
      <c r="C5935" s="1342"/>
      <c r="D5935" s="1342"/>
      <c r="E5935" s="1342"/>
      <c r="F5935" s="1342"/>
      <c r="G5935" s="1342"/>
      <c r="H5935" s="1342"/>
      <c r="I5935" s="1342"/>
      <c r="J5935" s="1342"/>
      <c r="K5935" s="1342"/>
    </row>
    <row r="5936" spans="2:11" ht="14" hidden="1">
      <c r="B5936" s="1342"/>
      <c r="C5936" s="1342"/>
      <c r="D5936" s="1342"/>
      <c r="E5936" s="1342"/>
      <c r="F5936" s="1342"/>
      <c r="G5936" s="1342"/>
      <c r="H5936" s="1342"/>
      <c r="I5936" s="1342"/>
      <c r="J5936" s="1342"/>
      <c r="K5936" s="1342"/>
    </row>
    <row r="5937" spans="2:11" ht="14" hidden="1">
      <c r="B5937" s="1342"/>
      <c r="C5937" s="1342"/>
      <c r="D5937" s="1342"/>
      <c r="E5937" s="1342"/>
      <c r="F5937" s="1342"/>
      <c r="G5937" s="1342"/>
      <c r="H5937" s="1342"/>
      <c r="I5937" s="1342"/>
      <c r="J5937" s="1342"/>
      <c r="K5937" s="1342"/>
    </row>
    <row r="5938" spans="2:11" ht="14" hidden="1">
      <c r="B5938" s="1342"/>
      <c r="C5938" s="1342"/>
      <c r="D5938" s="1342"/>
      <c r="E5938" s="1342"/>
      <c r="F5938" s="1342"/>
      <c r="G5938" s="1342"/>
      <c r="H5938" s="1342"/>
      <c r="I5938" s="1342"/>
      <c r="J5938" s="1342"/>
      <c r="K5938" s="1342"/>
    </row>
    <row r="5939" spans="2:11" ht="14" hidden="1">
      <c r="B5939" s="1342"/>
      <c r="C5939" s="1342"/>
      <c r="D5939" s="1342"/>
      <c r="E5939" s="1342"/>
      <c r="F5939" s="1342"/>
      <c r="G5939" s="1342"/>
      <c r="H5939" s="1342"/>
      <c r="I5939" s="1342"/>
      <c r="J5939" s="1342"/>
      <c r="K5939" s="1342"/>
    </row>
    <row r="5940" spans="2:11" ht="14" hidden="1">
      <c r="B5940" s="1342"/>
      <c r="C5940" s="1342"/>
      <c r="D5940" s="1342"/>
      <c r="E5940" s="1342"/>
      <c r="F5940" s="1342"/>
      <c r="G5940" s="1342"/>
      <c r="H5940" s="1342"/>
      <c r="I5940" s="1342"/>
      <c r="J5940" s="1342"/>
      <c r="K5940" s="1342"/>
    </row>
    <row r="5941" spans="2:11" ht="14" hidden="1">
      <c r="B5941" s="1342"/>
      <c r="C5941" s="1342"/>
      <c r="D5941" s="1342"/>
      <c r="E5941" s="1342"/>
      <c r="F5941" s="1342"/>
      <c r="G5941" s="1342"/>
      <c r="H5941" s="1342"/>
      <c r="I5941" s="1342"/>
      <c r="J5941" s="1342"/>
      <c r="K5941" s="1342"/>
    </row>
    <row r="5942" spans="2:11" ht="14" hidden="1">
      <c r="B5942" s="1342"/>
      <c r="C5942" s="1342"/>
      <c r="D5942" s="1342"/>
      <c r="E5942" s="1342"/>
      <c r="F5942" s="1342"/>
      <c r="G5942" s="1342"/>
      <c r="H5942" s="1342"/>
      <c r="I5942" s="1342"/>
      <c r="J5942" s="1342"/>
      <c r="K5942" s="1342"/>
    </row>
    <row r="5943" spans="2:11" ht="14" hidden="1">
      <c r="B5943" s="1342"/>
      <c r="C5943" s="1342"/>
      <c r="D5943" s="1342"/>
      <c r="E5943" s="1342"/>
      <c r="F5943" s="1342"/>
      <c r="G5943" s="1342"/>
      <c r="H5943" s="1342"/>
      <c r="I5943" s="1342"/>
      <c r="J5943" s="1342"/>
      <c r="K5943" s="1342"/>
    </row>
    <row r="5944" spans="2:11" ht="14" hidden="1">
      <c r="B5944" s="1342"/>
      <c r="C5944" s="1342"/>
      <c r="D5944" s="1342"/>
      <c r="E5944" s="1342"/>
      <c r="F5944" s="1342"/>
      <c r="G5944" s="1342"/>
      <c r="H5944" s="1342"/>
      <c r="I5944" s="1342"/>
      <c r="J5944" s="1342"/>
      <c r="K5944" s="1342"/>
    </row>
    <row r="5945" spans="2:11" ht="14" hidden="1">
      <c r="B5945" s="1342"/>
      <c r="C5945" s="1342"/>
      <c r="D5945" s="1342"/>
      <c r="E5945" s="1342"/>
      <c r="F5945" s="1342"/>
      <c r="G5945" s="1342"/>
      <c r="H5945" s="1342"/>
      <c r="I5945" s="1342"/>
      <c r="J5945" s="1342"/>
      <c r="K5945" s="1342"/>
    </row>
    <row r="5946" spans="2:11" ht="14" hidden="1">
      <c r="B5946" s="1342"/>
      <c r="C5946" s="1342"/>
      <c r="D5946" s="1342"/>
      <c r="E5946" s="1342"/>
      <c r="F5946" s="1342"/>
      <c r="G5946" s="1342"/>
      <c r="H5946" s="1342"/>
      <c r="I5946" s="1342"/>
      <c r="J5946" s="1342"/>
      <c r="K5946" s="1342"/>
    </row>
    <row r="5947" spans="2:11" ht="14" hidden="1">
      <c r="B5947" s="1342"/>
      <c r="C5947" s="1342"/>
      <c r="D5947" s="1342"/>
      <c r="E5947" s="1342"/>
      <c r="F5947" s="1342"/>
      <c r="G5947" s="1342"/>
      <c r="H5947" s="1342"/>
      <c r="I5947" s="1342"/>
      <c r="J5947" s="1342"/>
      <c r="K5947" s="1342"/>
    </row>
    <row r="5948" spans="2:11" ht="14" hidden="1">
      <c r="B5948" s="1342"/>
      <c r="C5948" s="1342"/>
      <c r="D5948" s="1342"/>
      <c r="E5948" s="1342"/>
      <c r="F5948" s="1342"/>
      <c r="G5948" s="1342"/>
      <c r="H5948" s="1342"/>
      <c r="I5948" s="1342"/>
      <c r="J5948" s="1342"/>
      <c r="K5948" s="1342"/>
    </row>
    <row r="5949" spans="2:11" ht="14" hidden="1">
      <c r="B5949" s="1342"/>
      <c r="C5949" s="1342"/>
      <c r="D5949" s="1342"/>
      <c r="E5949" s="1342"/>
      <c r="F5949" s="1342"/>
      <c r="G5949" s="1342"/>
      <c r="H5949" s="1342"/>
      <c r="I5949" s="1342"/>
      <c r="J5949" s="1342"/>
      <c r="K5949" s="1342"/>
    </row>
    <row r="5950" spans="2:11" ht="14" hidden="1">
      <c r="B5950" s="1342"/>
      <c r="C5950" s="1342"/>
      <c r="D5950" s="1342"/>
      <c r="E5950" s="1342"/>
      <c r="F5950" s="1342"/>
      <c r="G5950" s="1342"/>
      <c r="H5950" s="1342"/>
      <c r="I5950" s="1342"/>
      <c r="J5950" s="1342"/>
      <c r="K5950" s="1342"/>
    </row>
    <row r="5951" spans="2:11" ht="14" hidden="1">
      <c r="B5951" s="1342"/>
      <c r="C5951" s="1342"/>
      <c r="D5951" s="1342"/>
      <c r="E5951" s="1342"/>
      <c r="F5951" s="1342"/>
      <c r="G5951" s="1342"/>
      <c r="H5951" s="1342"/>
      <c r="I5951" s="1342"/>
      <c r="J5951" s="1342"/>
      <c r="K5951" s="1342"/>
    </row>
    <row r="5952" spans="2:11" ht="14" hidden="1">
      <c r="B5952" s="1342"/>
      <c r="C5952" s="1342"/>
      <c r="D5952" s="1342"/>
      <c r="E5952" s="1342"/>
      <c r="F5952" s="1342"/>
      <c r="G5952" s="1342"/>
      <c r="H5952" s="1342"/>
      <c r="I5952" s="1342"/>
      <c r="J5952" s="1342"/>
      <c r="K5952" s="1342"/>
    </row>
    <row r="5953" spans="2:11" ht="14" hidden="1">
      <c r="B5953" s="1342"/>
      <c r="C5953" s="1342"/>
      <c r="D5953" s="1342"/>
      <c r="E5953" s="1342"/>
      <c r="F5953" s="1342"/>
      <c r="G5953" s="1342"/>
      <c r="H5953" s="1342"/>
      <c r="I5953" s="1342"/>
      <c r="J5953" s="1342"/>
      <c r="K5953" s="1342"/>
    </row>
    <row r="5954" spans="2:11" ht="14" hidden="1">
      <c r="B5954" s="1342"/>
      <c r="C5954" s="1342"/>
      <c r="D5954" s="1342"/>
      <c r="E5954" s="1342"/>
      <c r="F5954" s="1342"/>
      <c r="G5954" s="1342"/>
      <c r="H5954" s="1342"/>
      <c r="I5954" s="1342"/>
      <c r="J5954" s="1342"/>
      <c r="K5954" s="1342"/>
    </row>
    <row r="5955" spans="2:11" ht="14" hidden="1">
      <c r="B5955" s="1342"/>
      <c r="C5955" s="1342"/>
      <c r="D5955" s="1342"/>
      <c r="E5955" s="1342"/>
      <c r="F5955" s="1342"/>
      <c r="G5955" s="1342"/>
      <c r="H5955" s="1342"/>
      <c r="I5955" s="1342"/>
      <c r="J5955" s="1342"/>
      <c r="K5955" s="1342"/>
    </row>
    <row r="5956" spans="2:11" ht="14" hidden="1">
      <c r="B5956" s="1342"/>
      <c r="C5956" s="1342"/>
      <c r="D5956" s="1342"/>
      <c r="E5956" s="1342"/>
      <c r="F5956" s="1342"/>
      <c r="G5956" s="1342"/>
      <c r="H5956" s="1342"/>
      <c r="I5956" s="1342"/>
      <c r="J5956" s="1342"/>
      <c r="K5956" s="1342"/>
    </row>
    <row r="5957" spans="2:11" ht="14" hidden="1">
      <c r="B5957" s="1342"/>
      <c r="C5957" s="1342"/>
      <c r="D5957" s="1342"/>
      <c r="E5957" s="1342"/>
      <c r="F5957" s="1342"/>
      <c r="G5957" s="1342"/>
      <c r="H5957" s="1342"/>
      <c r="I5957" s="1342"/>
      <c r="J5957" s="1342"/>
      <c r="K5957" s="1342"/>
    </row>
    <row r="5958" spans="2:11" ht="14" hidden="1">
      <c r="B5958" s="1342"/>
      <c r="C5958" s="1342"/>
      <c r="D5958" s="1342"/>
      <c r="E5958" s="1342"/>
      <c r="F5958" s="1342"/>
      <c r="G5958" s="1342"/>
      <c r="H5958" s="1342"/>
      <c r="I5958" s="1342"/>
      <c r="J5958" s="1342"/>
      <c r="K5958" s="1342"/>
    </row>
    <row r="5959" spans="2:11" ht="14" hidden="1">
      <c r="B5959" s="1342"/>
      <c r="C5959" s="1342"/>
      <c r="D5959" s="1342"/>
      <c r="E5959" s="1342"/>
      <c r="F5959" s="1342"/>
      <c r="G5959" s="1342"/>
      <c r="H5959" s="1342"/>
      <c r="I5959" s="1342"/>
      <c r="J5959" s="1342"/>
      <c r="K5959" s="1342"/>
    </row>
    <row r="5960" spans="2:11" ht="14" hidden="1">
      <c r="B5960" s="1342"/>
      <c r="C5960" s="1342"/>
      <c r="D5960" s="1342"/>
      <c r="E5960" s="1342"/>
      <c r="F5960" s="1342"/>
      <c r="G5960" s="1342"/>
      <c r="H5960" s="1342"/>
      <c r="I5960" s="1342"/>
      <c r="J5960" s="1342"/>
      <c r="K5960" s="1342"/>
    </row>
    <row r="5961" spans="2:11" ht="14" hidden="1">
      <c r="B5961" s="1342"/>
      <c r="C5961" s="1342"/>
      <c r="D5961" s="1342"/>
      <c r="E5961" s="1342"/>
      <c r="F5961" s="1342"/>
      <c r="G5961" s="1342"/>
      <c r="H5961" s="1342"/>
      <c r="I5961" s="1342"/>
      <c r="J5961" s="1342"/>
      <c r="K5961" s="1342"/>
    </row>
    <row r="5962" spans="2:11" ht="14" hidden="1">
      <c r="B5962" s="1342"/>
      <c r="C5962" s="1342"/>
      <c r="D5962" s="1342"/>
      <c r="E5962" s="1342"/>
      <c r="F5962" s="1342"/>
      <c r="G5962" s="1342"/>
      <c r="H5962" s="1342"/>
      <c r="I5962" s="1342"/>
      <c r="J5962" s="1342"/>
      <c r="K5962" s="1342"/>
    </row>
    <row r="5963" spans="2:11" ht="14" hidden="1">
      <c r="B5963" s="1342"/>
      <c r="C5963" s="1342"/>
      <c r="D5963" s="1342"/>
      <c r="E5963" s="1342"/>
      <c r="F5963" s="1342"/>
      <c r="G5963" s="1342"/>
      <c r="H5963" s="1342"/>
      <c r="I5963" s="1342"/>
      <c r="J5963" s="1342"/>
      <c r="K5963" s="1342"/>
    </row>
    <row r="5964" spans="2:11" ht="14" hidden="1">
      <c r="B5964" s="1342"/>
      <c r="C5964" s="1342"/>
      <c r="D5964" s="1342"/>
      <c r="E5964" s="1342"/>
      <c r="F5964" s="1342"/>
      <c r="G5964" s="1342"/>
      <c r="H5964" s="1342"/>
      <c r="I5964" s="1342"/>
      <c r="J5964" s="1342"/>
      <c r="K5964" s="1342"/>
    </row>
    <row r="5965" spans="2:11" ht="14" hidden="1">
      <c r="B5965" s="1342"/>
      <c r="C5965" s="1342"/>
      <c r="D5965" s="1342"/>
      <c r="E5965" s="1342"/>
      <c r="F5965" s="1342"/>
      <c r="G5965" s="1342"/>
      <c r="H5965" s="1342"/>
      <c r="I5965" s="1342"/>
      <c r="J5965" s="1342"/>
      <c r="K5965" s="1342"/>
    </row>
    <row r="5966" spans="2:11" ht="14" hidden="1">
      <c r="B5966" s="1342"/>
      <c r="C5966" s="1342"/>
      <c r="D5966" s="1342"/>
      <c r="E5966" s="1342"/>
      <c r="F5966" s="1342"/>
      <c r="G5966" s="1342"/>
      <c r="H5966" s="1342"/>
      <c r="I5966" s="1342"/>
      <c r="J5966" s="1342"/>
      <c r="K5966" s="1342"/>
    </row>
    <row r="5967" spans="2:11" ht="14" hidden="1">
      <c r="B5967" s="1342"/>
      <c r="C5967" s="1342"/>
      <c r="D5967" s="1342"/>
      <c r="E5967" s="1342"/>
      <c r="F5967" s="1342"/>
      <c r="G5967" s="1342"/>
      <c r="H5967" s="1342"/>
      <c r="I5967" s="1342"/>
      <c r="J5967" s="1342"/>
      <c r="K5967" s="1342"/>
    </row>
    <row r="5968" spans="2:11" ht="14" hidden="1">
      <c r="B5968" s="1342"/>
      <c r="C5968" s="1342"/>
      <c r="D5968" s="1342"/>
      <c r="E5968" s="1342"/>
      <c r="F5968" s="1342"/>
      <c r="G5968" s="1342"/>
      <c r="H5968" s="1342"/>
      <c r="I5968" s="1342"/>
      <c r="J5968" s="1342"/>
      <c r="K5968" s="1342"/>
    </row>
    <row r="5969" spans="2:11" ht="14" hidden="1">
      <c r="B5969" s="1342"/>
      <c r="C5969" s="1342"/>
      <c r="D5969" s="1342"/>
      <c r="E5969" s="1342"/>
      <c r="F5969" s="1342"/>
      <c r="G5969" s="1342"/>
      <c r="H5969" s="1342"/>
      <c r="I5969" s="1342"/>
      <c r="J5969" s="1342"/>
      <c r="K5969" s="1342"/>
    </row>
    <row r="5970" spans="2:11" ht="14" hidden="1">
      <c r="B5970" s="1342"/>
      <c r="C5970" s="1342"/>
      <c r="D5970" s="1342"/>
      <c r="E5970" s="1342"/>
      <c r="F5970" s="1342"/>
      <c r="G5970" s="1342"/>
      <c r="H5970" s="1342"/>
      <c r="I5970" s="1342"/>
      <c r="J5970" s="1342"/>
      <c r="K5970" s="1342"/>
    </row>
    <row r="5971" spans="2:11" ht="14" hidden="1">
      <c r="B5971" s="1342"/>
      <c r="C5971" s="1342"/>
      <c r="D5971" s="1342"/>
      <c r="E5971" s="1342"/>
      <c r="F5971" s="1342"/>
      <c r="G5971" s="1342"/>
      <c r="H5971" s="1342"/>
      <c r="I5971" s="1342"/>
      <c r="J5971" s="1342"/>
      <c r="K5971" s="1342"/>
    </row>
    <row r="5972" spans="2:11" ht="14" hidden="1">
      <c r="B5972" s="1342"/>
      <c r="C5972" s="1342"/>
      <c r="D5972" s="1342"/>
      <c r="E5972" s="1342"/>
      <c r="F5972" s="1342"/>
      <c r="G5972" s="1342"/>
      <c r="H5972" s="1342"/>
      <c r="I5972" s="1342"/>
      <c r="J5972" s="1342"/>
      <c r="K5972" s="1342"/>
    </row>
    <row r="5973" spans="2:11" ht="14" hidden="1">
      <c r="B5973" s="1342"/>
      <c r="C5973" s="1342"/>
      <c r="D5973" s="1342"/>
      <c r="E5973" s="1342"/>
      <c r="F5973" s="1342"/>
      <c r="G5973" s="1342"/>
      <c r="H5973" s="1342"/>
      <c r="I5973" s="1342"/>
      <c r="J5973" s="1342"/>
      <c r="K5973" s="1342"/>
    </row>
    <row r="5974" spans="2:11" ht="14" hidden="1">
      <c r="B5974" s="1342"/>
      <c r="C5974" s="1342"/>
      <c r="D5974" s="1342"/>
      <c r="E5974" s="1342"/>
      <c r="F5974" s="1342"/>
      <c r="G5974" s="1342"/>
      <c r="H5974" s="1342"/>
      <c r="I5974" s="1342"/>
      <c r="J5974" s="1342"/>
      <c r="K5974" s="1342"/>
    </row>
    <row r="5975" spans="2:11" ht="14" hidden="1">
      <c r="B5975" s="1342"/>
      <c r="C5975" s="1342"/>
      <c r="D5975" s="1342"/>
      <c r="E5975" s="1342"/>
      <c r="F5975" s="1342"/>
      <c r="G5975" s="1342"/>
      <c r="H5975" s="1342"/>
      <c r="I5975" s="1342"/>
      <c r="J5975" s="1342"/>
      <c r="K5975" s="1342"/>
    </row>
    <row r="5976" spans="2:11" ht="14" hidden="1">
      <c r="B5976" s="1342"/>
      <c r="C5976" s="1342"/>
      <c r="D5976" s="1342"/>
      <c r="E5976" s="1342"/>
      <c r="F5976" s="1342"/>
      <c r="G5976" s="1342"/>
      <c r="H5976" s="1342"/>
      <c r="I5976" s="1342"/>
      <c r="J5976" s="1342"/>
      <c r="K5976" s="1342"/>
    </row>
    <row r="5977" spans="2:11" ht="14" hidden="1">
      <c r="B5977" s="1342"/>
      <c r="C5977" s="1342"/>
      <c r="D5977" s="1342"/>
      <c r="E5977" s="1342"/>
      <c r="F5977" s="1342"/>
      <c r="G5977" s="1342"/>
      <c r="H5977" s="1342"/>
      <c r="I5977" s="1342"/>
      <c r="J5977" s="1342"/>
      <c r="K5977" s="1342"/>
    </row>
    <row r="5978" spans="2:11" ht="14" hidden="1">
      <c r="B5978" s="1342"/>
      <c r="C5978" s="1342"/>
      <c r="D5978" s="1342"/>
      <c r="E5978" s="1342"/>
      <c r="F5978" s="1342"/>
      <c r="G5978" s="1342"/>
      <c r="H5978" s="1342"/>
      <c r="I5978" s="1342"/>
      <c r="J5978" s="1342"/>
      <c r="K5978" s="1342"/>
    </row>
    <row r="5979" spans="2:11" ht="14" hidden="1">
      <c r="B5979" s="1342"/>
      <c r="C5979" s="1342"/>
      <c r="D5979" s="1342"/>
      <c r="E5979" s="1342"/>
      <c r="F5979" s="1342"/>
      <c r="G5979" s="1342"/>
      <c r="H5979" s="1342"/>
      <c r="I5979" s="1342"/>
      <c r="J5979" s="1342"/>
      <c r="K5979" s="1342"/>
    </row>
    <row r="5980" spans="2:11" ht="14" hidden="1">
      <c r="B5980" s="1342"/>
      <c r="C5980" s="1342"/>
      <c r="D5980" s="1342"/>
      <c r="E5980" s="1342"/>
      <c r="F5980" s="1342"/>
      <c r="G5980" s="1342"/>
      <c r="H5980" s="1342"/>
      <c r="I5980" s="1342"/>
      <c r="J5980" s="1342"/>
      <c r="K5980" s="1342"/>
    </row>
    <row r="5981" spans="2:11" ht="14" hidden="1">
      <c r="B5981" s="1342"/>
      <c r="C5981" s="1342"/>
      <c r="D5981" s="1342"/>
      <c r="E5981" s="1342"/>
      <c r="F5981" s="1342"/>
      <c r="G5981" s="1342"/>
      <c r="H5981" s="1342"/>
      <c r="I5981" s="1342"/>
      <c r="J5981" s="1342"/>
      <c r="K5981" s="1342"/>
    </row>
    <row r="5982" spans="2:11" ht="14" hidden="1">
      <c r="B5982" s="1342"/>
      <c r="C5982" s="1342"/>
      <c r="D5982" s="1342"/>
      <c r="E5982" s="1342"/>
      <c r="F5982" s="1342"/>
      <c r="G5982" s="1342"/>
      <c r="H5982" s="1342"/>
      <c r="I5982" s="1342"/>
      <c r="J5982" s="1342"/>
      <c r="K5982" s="1342"/>
    </row>
    <row r="5983" spans="2:11" ht="14" hidden="1">
      <c r="B5983" s="1342"/>
      <c r="C5983" s="1342"/>
      <c r="D5983" s="1342"/>
      <c r="E5983" s="1342"/>
      <c r="F5983" s="1342"/>
      <c r="G5983" s="1342"/>
      <c r="H5983" s="1342"/>
      <c r="I5983" s="1342"/>
      <c r="J5983" s="1342"/>
      <c r="K5983" s="1342"/>
    </row>
    <row r="5984" spans="2:11" ht="14" hidden="1">
      <c r="B5984" s="1342"/>
      <c r="C5984" s="1342"/>
      <c r="D5984" s="1342"/>
      <c r="E5984" s="1342"/>
      <c r="F5984" s="1342"/>
      <c r="G5984" s="1342"/>
      <c r="H5984" s="1342"/>
      <c r="I5984" s="1342"/>
      <c r="J5984" s="1342"/>
      <c r="K5984" s="1342"/>
    </row>
    <row r="5985" spans="2:11" ht="14" hidden="1">
      <c r="B5985" s="1342"/>
      <c r="C5985" s="1342"/>
      <c r="D5985" s="1342"/>
      <c r="E5985" s="1342"/>
      <c r="F5985" s="1342"/>
      <c r="G5985" s="1342"/>
      <c r="H5985" s="1342"/>
      <c r="I5985" s="1342"/>
      <c r="J5985" s="1342"/>
      <c r="K5985" s="1342"/>
    </row>
    <row r="5986" spans="2:11" ht="14" hidden="1">
      <c r="B5986" s="1342"/>
      <c r="C5986" s="1342"/>
      <c r="D5986" s="1342"/>
      <c r="E5986" s="1342"/>
      <c r="F5986" s="1342"/>
      <c r="G5986" s="1342"/>
      <c r="H5986" s="1342"/>
      <c r="I5986" s="1342"/>
      <c r="J5986" s="1342"/>
      <c r="K5986" s="1342"/>
    </row>
    <row r="5987" spans="2:11" ht="14" hidden="1">
      <c r="B5987" s="1342"/>
      <c r="C5987" s="1342"/>
      <c r="D5987" s="1342"/>
      <c r="E5987" s="1342"/>
      <c r="F5987" s="1342"/>
      <c r="G5987" s="1342"/>
      <c r="H5987" s="1342"/>
      <c r="I5987" s="1342"/>
      <c r="J5987" s="1342"/>
      <c r="K5987" s="1342"/>
    </row>
    <row r="5988" spans="2:11" ht="14" hidden="1">
      <c r="B5988" s="1342"/>
      <c r="C5988" s="1342"/>
      <c r="D5988" s="1342"/>
      <c r="E5988" s="1342"/>
      <c r="F5988" s="1342"/>
      <c r="G5988" s="1342"/>
      <c r="H5988" s="1342"/>
      <c r="I5988" s="1342"/>
      <c r="J5988" s="1342"/>
      <c r="K5988" s="1342"/>
    </row>
    <row r="5989" spans="2:11" ht="14" hidden="1">
      <c r="B5989" s="1342"/>
      <c r="C5989" s="1342"/>
      <c r="D5989" s="1342"/>
      <c r="E5989" s="1342"/>
      <c r="F5989" s="1342"/>
      <c r="G5989" s="1342"/>
      <c r="H5989" s="1342"/>
      <c r="I5989" s="1342"/>
      <c r="J5989" s="1342"/>
      <c r="K5989" s="1342"/>
    </row>
    <row r="5990" spans="2:11" ht="14" hidden="1">
      <c r="B5990" s="1342"/>
      <c r="C5990" s="1342"/>
      <c r="D5990" s="1342"/>
      <c r="E5990" s="1342"/>
      <c r="F5990" s="1342"/>
      <c r="G5990" s="1342"/>
      <c r="H5990" s="1342"/>
      <c r="I5990" s="1342"/>
      <c r="J5990" s="1342"/>
      <c r="K5990" s="1342"/>
    </row>
    <row r="5991" spans="2:11" ht="14" hidden="1">
      <c r="B5991" s="1342"/>
      <c r="C5991" s="1342"/>
      <c r="D5991" s="1342"/>
      <c r="E5991" s="1342"/>
      <c r="F5991" s="1342"/>
      <c r="G5991" s="1342"/>
      <c r="H5991" s="1342"/>
      <c r="I5991" s="1342"/>
      <c r="J5991" s="1342"/>
      <c r="K5991" s="1342"/>
    </row>
    <row r="5992" spans="2:11" ht="14" hidden="1">
      <c r="B5992" s="1342"/>
      <c r="C5992" s="1342"/>
      <c r="D5992" s="1342"/>
      <c r="E5992" s="1342"/>
      <c r="F5992" s="1342"/>
      <c r="G5992" s="1342"/>
      <c r="H5992" s="1342"/>
      <c r="I5992" s="1342"/>
      <c r="J5992" s="1342"/>
      <c r="K5992" s="1342"/>
    </row>
    <row r="5993" spans="2:11" ht="14" hidden="1">
      <c r="B5993" s="1342"/>
      <c r="C5993" s="1342"/>
      <c r="D5993" s="1342"/>
      <c r="E5993" s="1342"/>
      <c r="F5993" s="1342"/>
      <c r="G5993" s="1342"/>
      <c r="H5993" s="1342"/>
      <c r="I5993" s="1342"/>
      <c r="J5993" s="1342"/>
      <c r="K5993" s="1342"/>
    </row>
    <row r="5994" spans="2:11" ht="14" hidden="1">
      <c r="B5994" s="1342"/>
      <c r="C5994" s="1342"/>
      <c r="D5994" s="1342"/>
      <c r="E5994" s="1342"/>
      <c r="F5994" s="1342"/>
      <c r="G5994" s="1342"/>
      <c r="H5994" s="1342"/>
      <c r="I5994" s="1342"/>
      <c r="J5994" s="1342"/>
      <c r="K5994" s="1342"/>
    </row>
    <row r="5995" spans="2:11" ht="14" hidden="1">
      <c r="B5995" s="1342"/>
      <c r="C5995" s="1342"/>
      <c r="D5995" s="1342"/>
      <c r="E5995" s="1342"/>
      <c r="F5995" s="1342"/>
      <c r="G5995" s="1342"/>
      <c r="H5995" s="1342"/>
      <c r="I5995" s="1342"/>
      <c r="J5995" s="1342"/>
      <c r="K5995" s="1342"/>
    </row>
    <row r="5996" spans="2:11" ht="14" hidden="1">
      <c r="B5996" s="1342"/>
      <c r="C5996" s="1342"/>
      <c r="D5996" s="1342"/>
      <c r="E5996" s="1342"/>
      <c r="F5996" s="1342"/>
      <c r="G5996" s="1342"/>
      <c r="H5996" s="1342"/>
      <c r="I5996" s="1342"/>
      <c r="J5996" s="1342"/>
      <c r="K5996" s="1342"/>
    </row>
    <row r="5997" spans="2:11" ht="14" hidden="1">
      <c r="B5997" s="1342"/>
      <c r="C5997" s="1342"/>
      <c r="D5997" s="1342"/>
      <c r="E5997" s="1342"/>
      <c r="F5997" s="1342"/>
      <c r="G5997" s="1342"/>
      <c r="H5997" s="1342"/>
      <c r="I5997" s="1342"/>
      <c r="J5997" s="1342"/>
      <c r="K5997" s="1342"/>
    </row>
    <row r="5998" spans="2:11" ht="14" hidden="1">
      <c r="B5998" s="1342"/>
      <c r="C5998" s="1342"/>
      <c r="D5998" s="1342"/>
      <c r="E5998" s="1342"/>
      <c r="F5998" s="1342"/>
      <c r="G5998" s="1342"/>
      <c r="H5998" s="1342"/>
      <c r="I5998" s="1342"/>
      <c r="J5998" s="1342"/>
      <c r="K5998" s="1342"/>
    </row>
    <row r="5999" spans="2:11" ht="14" hidden="1">
      <c r="B5999" s="1342"/>
      <c r="C5999" s="1342"/>
      <c r="D5999" s="1342"/>
      <c r="E5999" s="1342"/>
      <c r="F5999" s="1342"/>
      <c r="G5999" s="1342"/>
      <c r="H5999" s="1342"/>
      <c r="I5999" s="1342"/>
      <c r="J5999" s="1342"/>
      <c r="K5999" s="1342"/>
    </row>
    <row r="6000" spans="2:11" ht="14" hidden="1">
      <c r="B6000" s="1342"/>
      <c r="C6000" s="1342"/>
      <c r="D6000" s="1342"/>
      <c r="E6000" s="1342"/>
      <c r="F6000" s="1342"/>
      <c r="G6000" s="1342"/>
      <c r="H6000" s="1342"/>
      <c r="I6000" s="1342"/>
      <c r="J6000" s="1342"/>
      <c r="K6000" s="1342"/>
    </row>
    <row r="6001" spans="2:11" ht="14" hidden="1">
      <c r="B6001" s="1342"/>
      <c r="C6001" s="1342"/>
      <c r="D6001" s="1342"/>
      <c r="E6001" s="1342"/>
      <c r="F6001" s="1342"/>
      <c r="G6001" s="1342"/>
      <c r="H6001" s="1342"/>
      <c r="I6001" s="1342"/>
      <c r="J6001" s="1342"/>
      <c r="K6001" s="1342"/>
    </row>
    <row r="6002" spans="2:11" ht="14" hidden="1">
      <c r="B6002" s="1342"/>
      <c r="C6002" s="1342"/>
      <c r="D6002" s="1342"/>
      <c r="E6002" s="1342"/>
      <c r="F6002" s="1342"/>
      <c r="G6002" s="1342"/>
      <c r="H6002" s="1342"/>
      <c r="I6002" s="1342"/>
      <c r="J6002" s="1342"/>
      <c r="K6002" s="1342"/>
    </row>
    <row r="6003" spans="2:11" ht="14" hidden="1">
      <c r="B6003" s="1342"/>
      <c r="C6003" s="1342"/>
      <c r="D6003" s="1342"/>
      <c r="E6003" s="1342"/>
      <c r="F6003" s="1342"/>
      <c r="G6003" s="1342"/>
      <c r="H6003" s="1342"/>
      <c r="I6003" s="1342"/>
      <c r="J6003" s="1342"/>
      <c r="K6003" s="1342"/>
    </row>
    <row r="6004" spans="2:11" ht="14" hidden="1">
      <c r="B6004" s="1342"/>
      <c r="C6004" s="1342"/>
      <c r="D6004" s="1342"/>
      <c r="E6004" s="1342"/>
      <c r="F6004" s="1342"/>
      <c r="G6004" s="1342"/>
      <c r="H6004" s="1342"/>
      <c r="I6004" s="1342"/>
      <c r="J6004" s="1342"/>
      <c r="K6004" s="1342"/>
    </row>
    <row r="6005" spans="2:11" ht="14" hidden="1">
      <c r="B6005" s="1342"/>
      <c r="C6005" s="1342"/>
      <c r="D6005" s="1342"/>
      <c r="E6005" s="1342"/>
      <c r="F6005" s="1342"/>
      <c r="G6005" s="1342"/>
      <c r="H6005" s="1342"/>
      <c r="I6005" s="1342"/>
      <c r="J6005" s="1342"/>
      <c r="K6005" s="1342"/>
    </row>
    <row r="6006" spans="2:11" ht="14" hidden="1">
      <c r="B6006" s="1342"/>
      <c r="C6006" s="1342"/>
      <c r="D6006" s="1342"/>
      <c r="E6006" s="1342"/>
      <c r="F6006" s="1342"/>
      <c r="G6006" s="1342"/>
      <c r="H6006" s="1342"/>
      <c r="I6006" s="1342"/>
      <c r="J6006" s="1342"/>
      <c r="K6006" s="1342"/>
    </row>
    <row r="6007" spans="2:11" ht="14" hidden="1">
      <c r="B6007" s="1342"/>
      <c r="C6007" s="1342"/>
      <c r="D6007" s="1342"/>
      <c r="E6007" s="1342"/>
      <c r="F6007" s="1342"/>
      <c r="G6007" s="1342"/>
      <c r="H6007" s="1342"/>
      <c r="I6007" s="1342"/>
      <c r="J6007" s="1342"/>
      <c r="K6007" s="1342"/>
    </row>
    <row r="6008" spans="2:11" ht="14" hidden="1">
      <c r="B6008" s="1342"/>
      <c r="C6008" s="1342"/>
      <c r="D6008" s="1342"/>
      <c r="E6008" s="1342"/>
      <c r="F6008" s="1342"/>
      <c r="G6008" s="1342"/>
      <c r="H6008" s="1342"/>
      <c r="I6008" s="1342"/>
      <c r="J6008" s="1342"/>
      <c r="K6008" s="1342"/>
    </row>
    <row r="6009" spans="2:11" ht="14" hidden="1">
      <c r="B6009" s="1342"/>
      <c r="C6009" s="1342"/>
      <c r="D6009" s="1342"/>
      <c r="E6009" s="1342"/>
      <c r="F6009" s="1342"/>
      <c r="G6009" s="1342"/>
      <c r="H6009" s="1342"/>
      <c r="I6009" s="1342"/>
      <c r="J6009" s="1342"/>
      <c r="K6009" s="1342"/>
    </row>
    <row r="6010" spans="2:11" ht="14" hidden="1">
      <c r="B6010" s="1342"/>
      <c r="C6010" s="1342"/>
      <c r="D6010" s="1342"/>
      <c r="E6010" s="1342"/>
      <c r="F6010" s="1342"/>
      <c r="G6010" s="1342"/>
      <c r="H6010" s="1342"/>
      <c r="I6010" s="1342"/>
      <c r="J6010" s="1342"/>
      <c r="K6010" s="1342"/>
    </row>
    <row r="6011" spans="2:11" ht="14" hidden="1">
      <c r="B6011" s="1342"/>
      <c r="C6011" s="1342"/>
      <c r="D6011" s="1342"/>
      <c r="E6011" s="1342"/>
      <c r="F6011" s="1342"/>
      <c r="G6011" s="1342"/>
      <c r="H6011" s="1342"/>
      <c r="I6011" s="1342"/>
      <c r="J6011" s="1342"/>
      <c r="K6011" s="1342"/>
    </row>
    <row r="6012" spans="2:11" ht="14" hidden="1">
      <c r="B6012" s="1342"/>
      <c r="C6012" s="1342"/>
      <c r="D6012" s="1342"/>
      <c r="E6012" s="1342"/>
      <c r="F6012" s="1342"/>
      <c r="G6012" s="1342"/>
      <c r="H6012" s="1342"/>
      <c r="I6012" s="1342"/>
      <c r="J6012" s="1342"/>
      <c r="K6012" s="1342"/>
    </row>
    <row r="6013" spans="2:11" ht="14" hidden="1">
      <c r="B6013" s="1342"/>
      <c r="C6013" s="1342"/>
      <c r="D6013" s="1342"/>
      <c r="E6013" s="1342"/>
      <c r="F6013" s="1342"/>
      <c r="G6013" s="1342"/>
      <c r="H6013" s="1342"/>
      <c r="I6013" s="1342"/>
      <c r="J6013" s="1342"/>
      <c r="K6013" s="1342"/>
    </row>
    <row r="6014" spans="2:11" ht="14" hidden="1">
      <c r="B6014" s="1342"/>
      <c r="C6014" s="1342"/>
      <c r="D6014" s="1342"/>
      <c r="E6014" s="1342"/>
      <c r="F6014" s="1342"/>
      <c r="G6014" s="1342"/>
      <c r="H6014" s="1342"/>
      <c r="I6014" s="1342"/>
      <c r="J6014" s="1342"/>
      <c r="K6014" s="1342"/>
    </row>
    <row r="6015" spans="2:11" ht="14" hidden="1">
      <c r="B6015" s="1342"/>
      <c r="C6015" s="1342"/>
      <c r="D6015" s="1342"/>
      <c r="E6015" s="1342"/>
      <c r="F6015" s="1342"/>
      <c r="G6015" s="1342"/>
      <c r="H6015" s="1342"/>
      <c r="I6015" s="1342"/>
      <c r="J6015" s="1342"/>
      <c r="K6015" s="1342"/>
    </row>
    <row r="6016" spans="2:11" ht="14" hidden="1">
      <c r="B6016" s="1342"/>
      <c r="C6016" s="1342"/>
      <c r="D6016" s="1342"/>
      <c r="E6016" s="1342"/>
      <c r="F6016" s="1342"/>
      <c r="G6016" s="1342"/>
      <c r="H6016" s="1342"/>
      <c r="I6016" s="1342"/>
      <c r="J6016" s="1342"/>
      <c r="K6016" s="1342"/>
    </row>
    <row r="6017" spans="2:11" ht="14" hidden="1">
      <c r="B6017" s="1342"/>
      <c r="C6017" s="1342"/>
      <c r="D6017" s="1342"/>
      <c r="E6017" s="1342"/>
      <c r="F6017" s="1342"/>
      <c r="G6017" s="1342"/>
      <c r="H6017" s="1342"/>
      <c r="I6017" s="1342"/>
      <c r="J6017" s="1342"/>
      <c r="K6017" s="1342"/>
    </row>
    <row r="6018" spans="2:11" ht="14" hidden="1">
      <c r="B6018" s="1342"/>
      <c r="C6018" s="1342"/>
      <c r="D6018" s="1342"/>
      <c r="E6018" s="1342"/>
      <c r="F6018" s="1342"/>
      <c r="G6018" s="1342"/>
      <c r="H6018" s="1342"/>
      <c r="I6018" s="1342"/>
      <c r="J6018" s="1342"/>
      <c r="K6018" s="1342"/>
    </row>
    <row r="6019" spans="2:11" ht="14" hidden="1">
      <c r="B6019" s="1342"/>
      <c r="C6019" s="1342"/>
      <c r="D6019" s="1342"/>
      <c r="E6019" s="1342"/>
      <c r="F6019" s="1342"/>
      <c r="G6019" s="1342"/>
      <c r="H6019" s="1342"/>
      <c r="I6019" s="1342"/>
      <c r="J6019" s="1342"/>
      <c r="K6019" s="1342"/>
    </row>
    <row r="6020" spans="2:11" ht="14" hidden="1">
      <c r="B6020" s="1342"/>
      <c r="C6020" s="1342"/>
      <c r="D6020" s="1342"/>
      <c r="E6020" s="1342"/>
      <c r="F6020" s="1342"/>
      <c r="G6020" s="1342"/>
      <c r="H6020" s="1342"/>
      <c r="I6020" s="1342"/>
      <c r="J6020" s="1342"/>
      <c r="K6020" s="1342"/>
    </row>
    <row r="6021" spans="2:11" ht="14" hidden="1">
      <c r="B6021" s="1342"/>
      <c r="C6021" s="1342"/>
      <c r="D6021" s="1342"/>
      <c r="E6021" s="1342"/>
      <c r="F6021" s="1342"/>
      <c r="G6021" s="1342"/>
      <c r="H6021" s="1342"/>
      <c r="I6021" s="1342"/>
      <c r="J6021" s="1342"/>
      <c r="K6021" s="1342"/>
    </row>
    <row r="6022" spans="2:11" ht="14" hidden="1">
      <c r="B6022" s="1342"/>
      <c r="C6022" s="1342"/>
      <c r="D6022" s="1342"/>
      <c r="E6022" s="1342"/>
      <c r="F6022" s="1342"/>
      <c r="G6022" s="1342"/>
      <c r="H6022" s="1342"/>
      <c r="I6022" s="1342"/>
      <c r="J6022" s="1342"/>
      <c r="K6022" s="1342"/>
    </row>
    <row r="6023" spans="2:11" ht="14" hidden="1">
      <c r="B6023" s="1342"/>
      <c r="C6023" s="1342"/>
      <c r="D6023" s="1342"/>
      <c r="E6023" s="1342"/>
      <c r="F6023" s="1342"/>
      <c r="G6023" s="1342"/>
      <c r="H6023" s="1342"/>
      <c r="I6023" s="1342"/>
      <c r="J6023" s="1342"/>
      <c r="K6023" s="1342"/>
    </row>
    <row r="6024" spans="2:11" ht="14" hidden="1">
      <c r="B6024" s="1342"/>
      <c r="C6024" s="1342"/>
      <c r="D6024" s="1342"/>
      <c r="E6024" s="1342"/>
      <c r="F6024" s="1342"/>
      <c r="G6024" s="1342"/>
      <c r="H6024" s="1342"/>
      <c r="I6024" s="1342"/>
      <c r="J6024" s="1342"/>
      <c r="K6024" s="1342"/>
    </row>
    <row r="6025" spans="2:11" ht="14" hidden="1">
      <c r="B6025" s="1342"/>
      <c r="C6025" s="1342"/>
      <c r="D6025" s="1342"/>
      <c r="E6025" s="1342"/>
      <c r="F6025" s="1342"/>
      <c r="G6025" s="1342"/>
      <c r="H6025" s="1342"/>
      <c r="I6025" s="1342"/>
      <c r="J6025" s="1342"/>
      <c r="K6025" s="1342"/>
    </row>
    <row r="6026" spans="2:11" ht="14" hidden="1">
      <c r="B6026" s="1342"/>
      <c r="C6026" s="1342"/>
      <c r="D6026" s="1342"/>
      <c r="E6026" s="1342"/>
      <c r="F6026" s="1342"/>
      <c r="G6026" s="1342"/>
      <c r="H6026" s="1342"/>
      <c r="I6026" s="1342"/>
      <c r="J6026" s="1342"/>
      <c r="K6026" s="1342"/>
    </row>
    <row r="6027" spans="2:11" ht="14" hidden="1">
      <c r="B6027" s="1342"/>
      <c r="C6027" s="1342"/>
      <c r="D6027" s="1342"/>
      <c r="E6027" s="1342"/>
      <c r="F6027" s="1342"/>
      <c r="G6027" s="1342"/>
      <c r="H6027" s="1342"/>
      <c r="I6027" s="1342"/>
      <c r="J6027" s="1342"/>
      <c r="K6027" s="1342"/>
    </row>
    <row r="6028" spans="2:11" ht="14" hidden="1">
      <c r="B6028" s="1342"/>
      <c r="C6028" s="1342"/>
      <c r="D6028" s="1342"/>
      <c r="E6028" s="1342"/>
      <c r="F6028" s="1342"/>
      <c r="G6028" s="1342"/>
      <c r="H6028" s="1342"/>
      <c r="I6028" s="1342"/>
      <c r="J6028" s="1342"/>
      <c r="K6028" s="1342"/>
    </row>
    <row r="6029" spans="2:11" ht="14" hidden="1">
      <c r="B6029" s="1342"/>
      <c r="C6029" s="1342"/>
      <c r="D6029" s="1342"/>
      <c r="E6029" s="1342"/>
      <c r="F6029" s="1342"/>
      <c r="G6029" s="1342"/>
      <c r="H6029" s="1342"/>
      <c r="I6029" s="1342"/>
      <c r="J6029" s="1342"/>
      <c r="K6029" s="1342"/>
    </row>
    <row r="6030" spans="2:11" ht="14" hidden="1">
      <c r="B6030" s="1342"/>
      <c r="C6030" s="1342"/>
      <c r="D6030" s="1342"/>
      <c r="E6030" s="1342"/>
      <c r="F6030" s="1342"/>
      <c r="G6030" s="1342"/>
      <c r="H6030" s="1342"/>
      <c r="I6030" s="1342"/>
      <c r="J6030" s="1342"/>
      <c r="K6030" s="1342"/>
    </row>
    <row r="6031" spans="2:11" ht="14" hidden="1">
      <c r="B6031" s="1342"/>
      <c r="C6031" s="1342"/>
      <c r="D6031" s="1342"/>
      <c r="E6031" s="1342"/>
      <c r="F6031" s="1342"/>
      <c r="G6031" s="1342"/>
      <c r="H6031" s="1342"/>
      <c r="I6031" s="1342"/>
      <c r="J6031" s="1342"/>
      <c r="K6031" s="1342"/>
    </row>
    <row r="6032" spans="2:11" ht="14" hidden="1">
      <c r="B6032" s="1342"/>
      <c r="C6032" s="1342"/>
      <c r="D6032" s="1342"/>
      <c r="E6032" s="1342"/>
      <c r="F6032" s="1342"/>
      <c r="G6032" s="1342"/>
      <c r="H6032" s="1342"/>
      <c r="I6032" s="1342"/>
      <c r="J6032" s="1342"/>
      <c r="K6032" s="1342"/>
    </row>
    <row r="6033" spans="2:11" ht="14" hidden="1">
      <c r="B6033" s="1342"/>
      <c r="C6033" s="1342"/>
      <c r="D6033" s="1342"/>
      <c r="E6033" s="1342"/>
      <c r="F6033" s="1342"/>
      <c r="G6033" s="1342"/>
      <c r="H6033" s="1342"/>
      <c r="I6033" s="1342"/>
      <c r="J6033" s="1342"/>
      <c r="K6033" s="1342"/>
    </row>
    <row r="6034" spans="2:11" ht="14" hidden="1">
      <c r="B6034" s="1342"/>
      <c r="C6034" s="1342"/>
      <c r="D6034" s="1342"/>
      <c r="E6034" s="1342"/>
      <c r="F6034" s="1342"/>
      <c r="G6034" s="1342"/>
      <c r="H6034" s="1342"/>
      <c r="I6034" s="1342"/>
      <c r="J6034" s="1342"/>
      <c r="K6034" s="1342"/>
    </row>
    <row r="6035" spans="2:11" ht="14" hidden="1">
      <c r="B6035" s="1342"/>
      <c r="C6035" s="1342"/>
      <c r="D6035" s="1342"/>
      <c r="E6035" s="1342"/>
      <c r="F6035" s="1342"/>
      <c r="G6035" s="1342"/>
      <c r="H6035" s="1342"/>
      <c r="I6035" s="1342"/>
      <c r="J6035" s="1342"/>
      <c r="K6035" s="1342"/>
    </row>
    <row r="6036" spans="2:11" ht="14" hidden="1">
      <c r="B6036" s="1342"/>
      <c r="C6036" s="1342"/>
      <c r="D6036" s="1342"/>
      <c r="E6036" s="1342"/>
      <c r="F6036" s="1342"/>
      <c r="G6036" s="1342"/>
      <c r="H6036" s="1342"/>
      <c r="I6036" s="1342"/>
      <c r="J6036" s="1342"/>
      <c r="K6036" s="1342"/>
    </row>
    <row r="6037" spans="2:11" ht="14" hidden="1">
      <c r="B6037" s="1342"/>
      <c r="C6037" s="1342"/>
      <c r="D6037" s="1342"/>
      <c r="E6037" s="1342"/>
      <c r="F6037" s="1342"/>
      <c r="G6037" s="1342"/>
      <c r="H6037" s="1342"/>
      <c r="I6037" s="1342"/>
      <c r="J6037" s="1342"/>
      <c r="K6037" s="1342"/>
    </row>
    <row r="6038" spans="2:11" ht="14" hidden="1">
      <c r="B6038" s="1342"/>
      <c r="C6038" s="1342"/>
      <c r="D6038" s="1342"/>
      <c r="E6038" s="1342"/>
      <c r="F6038" s="1342"/>
      <c r="G6038" s="1342"/>
      <c r="H6038" s="1342"/>
      <c r="I6038" s="1342"/>
      <c r="J6038" s="1342"/>
      <c r="K6038" s="1342"/>
    </row>
    <row r="6039" spans="2:11" ht="14" hidden="1">
      <c r="B6039" s="1342"/>
      <c r="C6039" s="1342"/>
      <c r="D6039" s="1342"/>
      <c r="E6039" s="1342"/>
      <c r="F6039" s="1342"/>
      <c r="G6039" s="1342"/>
      <c r="H6039" s="1342"/>
      <c r="I6039" s="1342"/>
      <c r="J6039" s="1342"/>
      <c r="K6039" s="1342"/>
    </row>
    <row r="6040" spans="2:11" ht="14" hidden="1">
      <c r="B6040" s="1342"/>
      <c r="C6040" s="1342"/>
      <c r="D6040" s="1342"/>
      <c r="E6040" s="1342"/>
      <c r="F6040" s="1342"/>
      <c r="G6040" s="1342"/>
      <c r="H6040" s="1342"/>
      <c r="I6040" s="1342"/>
      <c r="J6040" s="1342"/>
      <c r="K6040" s="1342"/>
    </row>
    <row r="6041" spans="2:11" ht="14" hidden="1">
      <c r="B6041" s="1342"/>
      <c r="C6041" s="1342"/>
      <c r="D6041" s="1342"/>
      <c r="E6041" s="1342"/>
      <c r="F6041" s="1342"/>
      <c r="G6041" s="1342"/>
      <c r="H6041" s="1342"/>
      <c r="I6041" s="1342"/>
      <c r="J6041" s="1342"/>
      <c r="K6041" s="1342"/>
    </row>
    <row r="6042" spans="2:11" ht="14" hidden="1">
      <c r="B6042" s="1342"/>
      <c r="C6042" s="1342"/>
      <c r="D6042" s="1342"/>
      <c r="E6042" s="1342"/>
      <c r="F6042" s="1342"/>
      <c r="G6042" s="1342"/>
      <c r="H6042" s="1342"/>
      <c r="I6042" s="1342"/>
      <c r="J6042" s="1342"/>
      <c r="K6042" s="1342"/>
    </row>
    <row r="6043" spans="2:11" ht="14" hidden="1">
      <c r="B6043" s="1342"/>
      <c r="C6043" s="1342"/>
      <c r="D6043" s="1342"/>
      <c r="E6043" s="1342"/>
      <c r="F6043" s="1342"/>
      <c r="G6043" s="1342"/>
      <c r="H6043" s="1342"/>
      <c r="I6043" s="1342"/>
      <c r="J6043" s="1342"/>
      <c r="K6043" s="1342"/>
    </row>
    <row r="6044" spans="2:11" ht="14" hidden="1">
      <c r="B6044" s="1342"/>
      <c r="C6044" s="1342"/>
      <c r="D6044" s="1342"/>
      <c r="E6044" s="1342"/>
      <c r="F6044" s="1342"/>
      <c r="G6044" s="1342"/>
      <c r="H6044" s="1342"/>
      <c r="I6044" s="1342"/>
      <c r="J6044" s="1342"/>
      <c r="K6044" s="1342"/>
    </row>
    <row r="6045" spans="2:11" ht="14" hidden="1">
      <c r="B6045" s="1342"/>
      <c r="C6045" s="1342"/>
      <c r="D6045" s="1342"/>
      <c r="E6045" s="1342"/>
      <c r="F6045" s="1342"/>
      <c r="G6045" s="1342"/>
      <c r="H6045" s="1342"/>
      <c r="I6045" s="1342"/>
      <c r="J6045" s="1342"/>
      <c r="K6045" s="1342"/>
    </row>
    <row r="6046" spans="2:11" ht="14" hidden="1">
      <c r="B6046" s="1342"/>
      <c r="C6046" s="1342"/>
      <c r="D6046" s="1342"/>
      <c r="E6046" s="1342"/>
      <c r="F6046" s="1342"/>
      <c r="G6046" s="1342"/>
      <c r="H6046" s="1342"/>
      <c r="I6046" s="1342"/>
      <c r="J6046" s="1342"/>
      <c r="K6046" s="1342"/>
    </row>
    <row r="6047" spans="2:11" ht="14" hidden="1">
      <c r="B6047" s="1342"/>
      <c r="C6047" s="1342"/>
      <c r="D6047" s="1342"/>
      <c r="E6047" s="1342"/>
      <c r="F6047" s="1342"/>
      <c r="G6047" s="1342"/>
      <c r="H6047" s="1342"/>
      <c r="I6047" s="1342"/>
      <c r="J6047" s="1342"/>
      <c r="K6047" s="1342"/>
    </row>
    <row r="6048" spans="2:11" ht="14" hidden="1">
      <c r="B6048" s="1342"/>
      <c r="C6048" s="1342"/>
      <c r="D6048" s="1342"/>
      <c r="E6048" s="1342"/>
      <c r="F6048" s="1342"/>
      <c r="G6048" s="1342"/>
      <c r="H6048" s="1342"/>
      <c r="I6048" s="1342"/>
      <c r="J6048" s="1342"/>
      <c r="K6048" s="1342"/>
    </row>
    <row r="6049" spans="2:11" ht="14" hidden="1">
      <c r="B6049" s="1342"/>
      <c r="C6049" s="1342"/>
      <c r="D6049" s="1342"/>
      <c r="E6049" s="1342"/>
      <c r="F6049" s="1342"/>
      <c r="G6049" s="1342"/>
      <c r="H6049" s="1342"/>
      <c r="I6049" s="1342"/>
      <c r="J6049" s="1342"/>
      <c r="K6049" s="1342"/>
    </row>
    <row r="6050" spans="2:11" ht="14" hidden="1">
      <c r="B6050" s="1342"/>
      <c r="C6050" s="1342"/>
      <c r="D6050" s="1342"/>
      <c r="E6050" s="1342"/>
      <c r="F6050" s="1342"/>
      <c r="G6050" s="1342"/>
      <c r="H6050" s="1342"/>
      <c r="I6050" s="1342"/>
      <c r="J6050" s="1342"/>
      <c r="K6050" s="1342"/>
    </row>
    <row r="6051" spans="2:11" ht="14" hidden="1">
      <c r="B6051" s="1342"/>
      <c r="C6051" s="1342"/>
      <c r="D6051" s="1342"/>
      <c r="E6051" s="1342"/>
      <c r="F6051" s="1342"/>
      <c r="G6051" s="1342"/>
      <c r="H6051" s="1342"/>
      <c r="I6051" s="1342"/>
      <c r="J6051" s="1342"/>
      <c r="K6051" s="1342"/>
    </row>
    <row r="6052" spans="2:11" ht="14" hidden="1">
      <c r="B6052" s="1342"/>
      <c r="C6052" s="1342"/>
      <c r="D6052" s="1342"/>
      <c r="E6052" s="1342"/>
      <c r="F6052" s="1342"/>
      <c r="G6052" s="1342"/>
      <c r="H6052" s="1342"/>
      <c r="I6052" s="1342"/>
      <c r="J6052" s="1342"/>
      <c r="K6052" s="1342"/>
    </row>
    <row r="6053" spans="2:11" ht="14" hidden="1">
      <c r="B6053" s="1342"/>
      <c r="C6053" s="1342"/>
      <c r="D6053" s="1342"/>
      <c r="E6053" s="1342"/>
      <c r="F6053" s="1342"/>
      <c r="G6053" s="1342"/>
      <c r="H6053" s="1342"/>
      <c r="I6053" s="1342"/>
      <c r="J6053" s="1342"/>
      <c r="K6053" s="1342"/>
    </row>
    <row r="6054" spans="2:11" ht="14" hidden="1">
      <c r="B6054" s="1342"/>
      <c r="C6054" s="1342"/>
      <c r="D6054" s="1342"/>
      <c r="E6054" s="1342"/>
      <c r="F6054" s="1342"/>
      <c r="G6054" s="1342"/>
      <c r="H6054" s="1342"/>
      <c r="I6054" s="1342"/>
      <c r="J6054" s="1342"/>
      <c r="K6054" s="1342"/>
    </row>
    <row r="6055" spans="2:11" ht="14" hidden="1">
      <c r="B6055" s="1342"/>
      <c r="C6055" s="1342"/>
      <c r="D6055" s="1342"/>
      <c r="E6055" s="1342"/>
      <c r="F6055" s="1342"/>
      <c r="G6055" s="1342"/>
      <c r="H6055" s="1342"/>
      <c r="I6055" s="1342"/>
      <c r="J6055" s="1342"/>
      <c r="K6055" s="1342"/>
    </row>
    <row r="6056" spans="2:11" ht="14" hidden="1">
      <c r="B6056" s="1342"/>
      <c r="C6056" s="1342"/>
      <c r="D6056" s="1342"/>
      <c r="E6056" s="1342"/>
      <c r="F6056" s="1342"/>
      <c r="G6056" s="1342"/>
      <c r="H6056" s="1342"/>
      <c r="I6056" s="1342"/>
      <c r="J6056" s="1342"/>
      <c r="K6056" s="1342"/>
    </row>
    <row r="6057" spans="2:11" ht="14" hidden="1">
      <c r="B6057" s="1342"/>
      <c r="C6057" s="1342"/>
      <c r="D6057" s="1342"/>
      <c r="E6057" s="1342"/>
      <c r="F6057" s="1342"/>
      <c r="G6057" s="1342"/>
      <c r="H6057" s="1342"/>
      <c r="I6057" s="1342"/>
      <c r="J6057" s="1342"/>
      <c r="K6057" s="1342"/>
    </row>
    <row r="6058" spans="2:11" ht="14" hidden="1">
      <c r="B6058" s="1342"/>
      <c r="C6058" s="1342"/>
      <c r="D6058" s="1342"/>
      <c r="E6058" s="1342"/>
      <c r="F6058" s="1342"/>
      <c r="G6058" s="1342"/>
      <c r="H6058" s="1342"/>
      <c r="I6058" s="1342"/>
      <c r="J6058" s="1342"/>
      <c r="K6058" s="1342"/>
    </row>
    <row r="6059" spans="2:11" ht="14" hidden="1">
      <c r="B6059" s="1342"/>
      <c r="C6059" s="1342"/>
      <c r="D6059" s="1342"/>
      <c r="E6059" s="1342"/>
      <c r="F6059" s="1342"/>
      <c r="G6059" s="1342"/>
      <c r="H6059" s="1342"/>
      <c r="I6059" s="1342"/>
      <c r="J6059" s="1342"/>
      <c r="K6059" s="1342"/>
    </row>
    <row r="6060" spans="2:11" ht="14" hidden="1">
      <c r="B6060" s="1342"/>
      <c r="C6060" s="1342"/>
      <c r="D6060" s="1342"/>
      <c r="E6060" s="1342"/>
      <c r="F6060" s="1342"/>
      <c r="G6060" s="1342"/>
      <c r="H6060" s="1342"/>
      <c r="I6060" s="1342"/>
      <c r="J6060" s="1342"/>
      <c r="K6060" s="1342"/>
    </row>
    <row r="6061" spans="2:11" ht="14" hidden="1">
      <c r="B6061" s="1342"/>
      <c r="C6061" s="1342"/>
      <c r="D6061" s="1342"/>
      <c r="E6061" s="1342"/>
      <c r="F6061" s="1342"/>
      <c r="G6061" s="1342"/>
      <c r="H6061" s="1342"/>
      <c r="I6061" s="1342"/>
      <c r="J6061" s="1342"/>
      <c r="K6061" s="1342"/>
    </row>
    <row r="6062" spans="2:11" ht="14" hidden="1">
      <c r="B6062" s="1342"/>
      <c r="C6062" s="1342"/>
      <c r="D6062" s="1342"/>
      <c r="E6062" s="1342"/>
      <c r="F6062" s="1342"/>
      <c r="G6062" s="1342"/>
      <c r="H6062" s="1342"/>
      <c r="I6062" s="1342"/>
      <c r="J6062" s="1342"/>
      <c r="K6062" s="1342"/>
    </row>
    <row r="6063" spans="2:11" ht="14" hidden="1">
      <c r="B6063" s="1342"/>
      <c r="C6063" s="1342"/>
      <c r="D6063" s="1342"/>
      <c r="E6063" s="1342"/>
      <c r="F6063" s="1342"/>
      <c r="G6063" s="1342"/>
      <c r="H6063" s="1342"/>
      <c r="I6063" s="1342"/>
      <c r="J6063" s="1342"/>
      <c r="K6063" s="1342"/>
    </row>
    <row r="6064" spans="2:11" ht="14" hidden="1">
      <c r="B6064" s="1342"/>
      <c r="C6064" s="1342"/>
      <c r="D6064" s="1342"/>
      <c r="E6064" s="1342"/>
      <c r="F6064" s="1342"/>
      <c r="G6064" s="1342"/>
      <c r="H6064" s="1342"/>
      <c r="I6064" s="1342"/>
      <c r="J6064" s="1342"/>
      <c r="K6064" s="1342"/>
    </row>
    <row r="6065" spans="2:11" ht="14" hidden="1">
      <c r="B6065" s="1342"/>
      <c r="C6065" s="1342"/>
      <c r="D6065" s="1342"/>
      <c r="E6065" s="1342"/>
      <c r="F6065" s="1342"/>
      <c r="G6065" s="1342"/>
      <c r="H6065" s="1342"/>
      <c r="I6065" s="1342"/>
      <c r="J6065" s="1342"/>
      <c r="K6065" s="1342"/>
    </row>
    <row r="6066" spans="2:11" ht="14" hidden="1">
      <c r="B6066" s="1342"/>
      <c r="C6066" s="1342"/>
      <c r="D6066" s="1342"/>
      <c r="E6066" s="1342"/>
      <c r="F6066" s="1342"/>
      <c r="G6066" s="1342"/>
      <c r="H6066" s="1342"/>
      <c r="I6066" s="1342"/>
      <c r="J6066" s="1342"/>
      <c r="K6066" s="1342"/>
    </row>
    <row r="6067" spans="2:11" ht="14" hidden="1">
      <c r="B6067" s="1342"/>
      <c r="C6067" s="1342"/>
      <c r="D6067" s="1342"/>
      <c r="E6067" s="1342"/>
      <c r="F6067" s="1342"/>
      <c r="G6067" s="1342"/>
      <c r="H6067" s="1342"/>
      <c r="I6067" s="1342"/>
      <c r="J6067" s="1342"/>
      <c r="K6067" s="1342"/>
    </row>
    <row r="6068" spans="2:11" ht="14" hidden="1">
      <c r="B6068" s="1342"/>
      <c r="C6068" s="1342"/>
      <c r="D6068" s="1342"/>
      <c r="E6068" s="1342"/>
      <c r="F6068" s="1342"/>
      <c r="G6068" s="1342"/>
      <c r="H6068" s="1342"/>
      <c r="I6068" s="1342"/>
      <c r="J6068" s="1342"/>
      <c r="K6068" s="1342"/>
    </row>
    <row r="6069" spans="2:11" ht="14" hidden="1">
      <c r="B6069" s="1342"/>
      <c r="C6069" s="1342"/>
      <c r="D6069" s="1342"/>
      <c r="E6069" s="1342"/>
      <c r="F6069" s="1342"/>
      <c r="G6069" s="1342"/>
      <c r="H6069" s="1342"/>
      <c r="I6069" s="1342"/>
      <c r="J6069" s="1342"/>
      <c r="K6069" s="1342"/>
    </row>
    <row r="6070" spans="2:11" ht="14" hidden="1">
      <c r="B6070" s="1342"/>
      <c r="C6070" s="1342"/>
      <c r="D6070" s="1342"/>
      <c r="E6070" s="1342"/>
      <c r="F6070" s="1342"/>
      <c r="G6070" s="1342"/>
      <c r="H6070" s="1342"/>
      <c r="I6070" s="1342"/>
      <c r="J6070" s="1342"/>
      <c r="K6070" s="1342"/>
    </row>
    <row r="6071" spans="2:11" ht="14" hidden="1">
      <c r="B6071" s="1342"/>
      <c r="C6071" s="1342"/>
      <c r="D6071" s="1342"/>
      <c r="E6071" s="1342"/>
      <c r="F6071" s="1342"/>
      <c r="G6071" s="1342"/>
      <c r="H6071" s="1342"/>
      <c r="I6071" s="1342"/>
      <c r="J6071" s="1342"/>
      <c r="K6071" s="1342"/>
    </row>
    <row r="6072" spans="2:11" ht="14" hidden="1">
      <c r="B6072" s="1342"/>
      <c r="C6072" s="1342"/>
      <c r="D6072" s="1342"/>
      <c r="E6072" s="1342"/>
      <c r="F6072" s="1342"/>
      <c r="G6072" s="1342"/>
      <c r="H6072" s="1342"/>
      <c r="I6072" s="1342"/>
      <c r="J6072" s="1342"/>
      <c r="K6072" s="1342"/>
    </row>
    <row r="6073" spans="2:11" ht="14" hidden="1">
      <c r="B6073" s="1342"/>
      <c r="C6073" s="1342"/>
      <c r="D6073" s="1342"/>
      <c r="E6073" s="1342"/>
      <c r="F6073" s="1342"/>
      <c r="G6073" s="1342"/>
      <c r="H6073" s="1342"/>
      <c r="I6073" s="1342"/>
      <c r="J6073" s="1342"/>
      <c r="K6073" s="1342"/>
    </row>
    <row r="6074" spans="2:11" ht="14" hidden="1">
      <c r="B6074" s="1342"/>
      <c r="C6074" s="1342"/>
      <c r="D6074" s="1342"/>
      <c r="E6074" s="1342"/>
      <c r="F6074" s="1342"/>
      <c r="G6074" s="1342"/>
      <c r="H6074" s="1342"/>
      <c r="I6074" s="1342"/>
      <c r="J6074" s="1342"/>
      <c r="K6074" s="1342"/>
    </row>
    <row r="6075" spans="2:11" ht="14" hidden="1">
      <c r="B6075" s="1342"/>
      <c r="C6075" s="1342"/>
      <c r="D6075" s="1342"/>
      <c r="E6075" s="1342"/>
      <c r="F6075" s="1342"/>
      <c r="G6075" s="1342"/>
      <c r="H6075" s="1342"/>
      <c r="I6075" s="1342"/>
      <c r="J6075" s="1342"/>
      <c r="K6075" s="1342"/>
    </row>
    <row r="6076" spans="2:11" ht="14" hidden="1">
      <c r="B6076" s="1342"/>
      <c r="C6076" s="1342"/>
      <c r="D6076" s="1342"/>
      <c r="E6076" s="1342"/>
      <c r="F6076" s="1342"/>
      <c r="G6076" s="1342"/>
      <c r="H6076" s="1342"/>
      <c r="I6076" s="1342"/>
      <c r="J6076" s="1342"/>
      <c r="K6076" s="1342"/>
    </row>
    <row r="6077" spans="2:11" ht="14" hidden="1">
      <c r="B6077" s="1342"/>
      <c r="C6077" s="1342"/>
      <c r="D6077" s="1342"/>
      <c r="E6077" s="1342"/>
      <c r="F6077" s="1342"/>
      <c r="G6077" s="1342"/>
      <c r="H6077" s="1342"/>
      <c r="I6077" s="1342"/>
      <c r="J6077" s="1342"/>
      <c r="K6077" s="1342"/>
    </row>
    <row r="6078" spans="2:11" ht="14" hidden="1">
      <c r="B6078" s="1342"/>
      <c r="C6078" s="1342"/>
      <c r="D6078" s="1342"/>
      <c r="E6078" s="1342"/>
      <c r="F6078" s="1342"/>
      <c r="G6078" s="1342"/>
      <c r="H6078" s="1342"/>
      <c r="I6078" s="1342"/>
      <c r="J6078" s="1342"/>
      <c r="K6078" s="1342"/>
    </row>
    <row r="6079" spans="2:11" ht="14" hidden="1">
      <c r="B6079" s="1342"/>
      <c r="C6079" s="1342"/>
      <c r="D6079" s="1342"/>
      <c r="E6079" s="1342"/>
      <c r="F6079" s="1342"/>
      <c r="G6079" s="1342"/>
      <c r="H6079" s="1342"/>
      <c r="I6079" s="1342"/>
      <c r="J6079" s="1342"/>
      <c r="K6079" s="1342"/>
    </row>
    <row r="6080" spans="2:11" ht="14" hidden="1">
      <c r="B6080" s="1342"/>
      <c r="C6080" s="1342"/>
      <c r="D6080" s="1342"/>
      <c r="E6080" s="1342"/>
      <c r="F6080" s="1342"/>
      <c r="G6080" s="1342"/>
      <c r="H6080" s="1342"/>
      <c r="I6080" s="1342"/>
      <c r="J6080" s="1342"/>
      <c r="K6080" s="1342"/>
    </row>
    <row r="6081" spans="2:11" ht="14" hidden="1">
      <c r="B6081" s="1342"/>
      <c r="C6081" s="1342"/>
      <c r="D6081" s="1342"/>
      <c r="E6081" s="1342"/>
      <c r="F6081" s="1342"/>
      <c r="G6081" s="1342"/>
      <c r="H6081" s="1342"/>
      <c r="I6081" s="1342"/>
      <c r="J6081" s="1342"/>
      <c r="K6081" s="1342"/>
    </row>
    <row r="6082" spans="2:11" ht="14" hidden="1">
      <c r="B6082" s="1342"/>
      <c r="C6082" s="1342"/>
      <c r="D6082" s="1342"/>
      <c r="E6082" s="1342"/>
      <c r="F6082" s="1342"/>
      <c r="G6082" s="1342"/>
      <c r="H6082" s="1342"/>
      <c r="I6082" s="1342"/>
      <c r="J6082" s="1342"/>
      <c r="K6082" s="1342"/>
    </row>
    <row r="6083" spans="2:11" ht="14" hidden="1">
      <c r="B6083" s="1342"/>
      <c r="C6083" s="1342"/>
      <c r="D6083" s="1342"/>
      <c r="E6083" s="1342"/>
      <c r="F6083" s="1342"/>
      <c r="G6083" s="1342"/>
      <c r="H6083" s="1342"/>
      <c r="I6083" s="1342"/>
      <c r="J6083" s="1342"/>
      <c r="K6083" s="1342"/>
    </row>
    <row r="6084" spans="2:11" ht="14" hidden="1">
      <c r="B6084" s="1342"/>
      <c r="C6084" s="1342"/>
      <c r="D6084" s="1342"/>
      <c r="E6084" s="1342"/>
      <c r="F6084" s="1342"/>
      <c r="G6084" s="1342"/>
      <c r="H6084" s="1342"/>
      <c r="I6084" s="1342"/>
      <c r="J6084" s="1342"/>
      <c r="K6084" s="1342"/>
    </row>
    <row r="6085" spans="2:11" ht="14" hidden="1">
      <c r="B6085" s="1342"/>
      <c r="C6085" s="1342"/>
      <c r="D6085" s="1342"/>
      <c r="E6085" s="1342"/>
      <c r="F6085" s="1342"/>
      <c r="G6085" s="1342"/>
      <c r="H6085" s="1342"/>
      <c r="I6085" s="1342"/>
      <c r="J6085" s="1342"/>
      <c r="K6085" s="1342"/>
    </row>
    <row r="6086" spans="2:11" ht="14" hidden="1">
      <c r="B6086" s="1342"/>
      <c r="C6086" s="1342"/>
      <c r="D6086" s="1342"/>
      <c r="E6086" s="1342"/>
      <c r="F6086" s="1342"/>
      <c r="G6086" s="1342"/>
      <c r="H6086" s="1342"/>
      <c r="I6086" s="1342"/>
      <c r="J6086" s="1342"/>
      <c r="K6086" s="1342"/>
    </row>
    <row r="6087" spans="2:11" ht="14" hidden="1">
      <c r="B6087" s="1342"/>
      <c r="C6087" s="1342"/>
      <c r="D6087" s="1342"/>
      <c r="E6087" s="1342"/>
      <c r="F6087" s="1342"/>
      <c r="G6087" s="1342"/>
      <c r="H6087" s="1342"/>
      <c r="I6087" s="1342"/>
      <c r="J6087" s="1342"/>
      <c r="K6087" s="1342"/>
    </row>
    <row r="6088" spans="2:11" ht="14" hidden="1">
      <c r="B6088" s="1342"/>
      <c r="C6088" s="1342"/>
      <c r="D6088" s="1342"/>
      <c r="E6088" s="1342"/>
      <c r="F6088" s="1342"/>
      <c r="G6088" s="1342"/>
      <c r="H6088" s="1342"/>
      <c r="I6088" s="1342"/>
      <c r="J6088" s="1342"/>
      <c r="K6088" s="1342"/>
    </row>
    <row r="6089" spans="2:11" ht="14" hidden="1">
      <c r="B6089" s="1342"/>
      <c r="C6089" s="1342"/>
      <c r="D6089" s="1342"/>
      <c r="E6089" s="1342"/>
      <c r="F6089" s="1342"/>
      <c r="G6089" s="1342"/>
      <c r="H6089" s="1342"/>
      <c r="I6089" s="1342"/>
      <c r="J6089" s="1342"/>
      <c r="K6089" s="1342"/>
    </row>
    <row r="6090" spans="2:11" ht="14" hidden="1">
      <c r="B6090" s="1342"/>
      <c r="C6090" s="1342"/>
      <c r="D6090" s="1342"/>
      <c r="E6090" s="1342"/>
      <c r="F6090" s="1342"/>
      <c r="G6090" s="1342"/>
      <c r="H6090" s="1342"/>
      <c r="I6090" s="1342"/>
      <c r="J6090" s="1342"/>
      <c r="K6090" s="1342"/>
    </row>
    <row r="6091" spans="2:11" ht="14" hidden="1">
      <c r="B6091" s="1342"/>
      <c r="C6091" s="1342"/>
      <c r="D6091" s="1342"/>
      <c r="E6091" s="1342"/>
      <c r="F6091" s="1342"/>
      <c r="G6091" s="1342"/>
      <c r="H6091" s="1342"/>
      <c r="I6091" s="1342"/>
      <c r="J6091" s="1342"/>
      <c r="K6091" s="1342"/>
    </row>
    <row r="6092" spans="2:11" ht="14" hidden="1">
      <c r="B6092" s="1342"/>
      <c r="C6092" s="1342"/>
      <c r="D6092" s="1342"/>
      <c r="E6092" s="1342"/>
      <c r="F6092" s="1342"/>
      <c r="G6092" s="1342"/>
      <c r="H6092" s="1342"/>
      <c r="I6092" s="1342"/>
      <c r="J6092" s="1342"/>
      <c r="K6092" s="1342"/>
    </row>
    <row r="6093" spans="2:11" ht="14" hidden="1">
      <c r="B6093" s="1342"/>
      <c r="C6093" s="1342"/>
      <c r="D6093" s="1342"/>
      <c r="E6093" s="1342"/>
      <c r="F6093" s="1342"/>
      <c r="G6093" s="1342"/>
      <c r="H6093" s="1342"/>
      <c r="I6093" s="1342"/>
      <c r="J6093" s="1342"/>
      <c r="K6093" s="1342"/>
    </row>
    <row r="6094" spans="2:11" ht="14" hidden="1">
      <c r="B6094" s="1342"/>
      <c r="C6094" s="1342"/>
      <c r="D6094" s="1342"/>
      <c r="E6094" s="1342"/>
      <c r="F6094" s="1342"/>
      <c r="G6094" s="1342"/>
      <c r="H6094" s="1342"/>
      <c r="I6094" s="1342"/>
      <c r="J6094" s="1342"/>
      <c r="K6094" s="1342"/>
    </row>
    <row r="6095" spans="2:11" ht="14" hidden="1">
      <c r="B6095" s="1342"/>
      <c r="C6095" s="1342"/>
      <c r="D6095" s="1342"/>
      <c r="E6095" s="1342"/>
      <c r="F6095" s="1342"/>
      <c r="G6095" s="1342"/>
      <c r="H6095" s="1342"/>
      <c r="I6095" s="1342"/>
      <c r="J6095" s="1342"/>
      <c r="K6095" s="1342"/>
    </row>
    <row r="6096" spans="2:11" ht="14" hidden="1">
      <c r="B6096" s="1342"/>
      <c r="C6096" s="1342"/>
      <c r="D6096" s="1342"/>
      <c r="E6096" s="1342"/>
      <c r="F6096" s="1342"/>
      <c r="G6096" s="1342"/>
      <c r="H6096" s="1342"/>
      <c r="I6096" s="1342"/>
      <c r="J6096" s="1342"/>
      <c r="K6096" s="1342"/>
    </row>
    <row r="6097" spans="2:11" ht="14" hidden="1">
      <c r="B6097" s="1342"/>
      <c r="C6097" s="1342"/>
      <c r="D6097" s="1342"/>
      <c r="E6097" s="1342"/>
      <c r="F6097" s="1342"/>
      <c r="G6097" s="1342"/>
      <c r="H6097" s="1342"/>
      <c r="I6097" s="1342"/>
      <c r="J6097" s="1342"/>
      <c r="K6097" s="1342"/>
    </row>
    <row r="6098" spans="2:11" ht="14" hidden="1">
      <c r="B6098" s="1342"/>
      <c r="C6098" s="1342"/>
      <c r="D6098" s="1342"/>
      <c r="E6098" s="1342"/>
      <c r="F6098" s="1342"/>
      <c r="G6098" s="1342"/>
      <c r="H6098" s="1342"/>
      <c r="I6098" s="1342"/>
      <c r="J6098" s="1342"/>
      <c r="K6098" s="1342"/>
    </row>
    <row r="6099" spans="2:11" ht="14" hidden="1">
      <c r="B6099" s="1342"/>
      <c r="C6099" s="1342"/>
      <c r="D6099" s="1342"/>
      <c r="E6099" s="1342"/>
      <c r="F6099" s="1342"/>
      <c r="G6099" s="1342"/>
      <c r="H6099" s="1342"/>
      <c r="I6099" s="1342"/>
      <c r="J6099" s="1342"/>
      <c r="K6099" s="1342"/>
    </row>
    <row r="6100" spans="2:11" ht="14" hidden="1">
      <c r="B6100" s="1342"/>
      <c r="C6100" s="1342"/>
      <c r="D6100" s="1342"/>
      <c r="E6100" s="1342"/>
      <c r="F6100" s="1342"/>
      <c r="G6100" s="1342"/>
      <c r="H6100" s="1342"/>
      <c r="I6100" s="1342"/>
      <c r="J6100" s="1342"/>
      <c r="K6100" s="1342"/>
    </row>
    <row r="6101" spans="2:11" ht="14" hidden="1">
      <c r="B6101" s="1342"/>
      <c r="C6101" s="1342"/>
      <c r="D6101" s="1342"/>
      <c r="E6101" s="1342"/>
      <c r="F6101" s="1342"/>
      <c r="G6101" s="1342"/>
      <c r="H6101" s="1342"/>
      <c r="I6101" s="1342"/>
      <c r="J6101" s="1342"/>
      <c r="K6101" s="1342"/>
    </row>
    <row r="6102" spans="2:11" ht="14" hidden="1">
      <c r="B6102" s="1342"/>
      <c r="C6102" s="1342"/>
      <c r="D6102" s="1342"/>
      <c r="E6102" s="1342"/>
      <c r="F6102" s="1342"/>
      <c r="G6102" s="1342"/>
      <c r="H6102" s="1342"/>
      <c r="I6102" s="1342"/>
      <c r="J6102" s="1342"/>
      <c r="K6102" s="1342"/>
    </row>
    <row r="6103" spans="2:11" ht="14" hidden="1">
      <c r="B6103" s="1342"/>
      <c r="C6103" s="1342"/>
      <c r="D6103" s="1342"/>
      <c r="E6103" s="1342"/>
      <c r="F6103" s="1342"/>
      <c r="G6103" s="1342"/>
      <c r="H6103" s="1342"/>
      <c r="I6103" s="1342"/>
      <c r="J6103" s="1342"/>
      <c r="K6103" s="1342"/>
    </row>
    <row r="6104" spans="2:11" ht="14" hidden="1">
      <c r="B6104" s="1342"/>
      <c r="C6104" s="1342"/>
      <c r="D6104" s="1342"/>
      <c r="E6104" s="1342"/>
      <c r="F6104" s="1342"/>
      <c r="G6104" s="1342"/>
      <c r="H6104" s="1342"/>
      <c r="I6104" s="1342"/>
      <c r="J6104" s="1342"/>
      <c r="K6104" s="1342"/>
    </row>
    <row r="6105" spans="2:11" ht="14" hidden="1">
      <c r="B6105" s="1342"/>
      <c r="C6105" s="1342"/>
      <c r="D6105" s="1342"/>
      <c r="E6105" s="1342"/>
      <c r="F6105" s="1342"/>
      <c r="G6105" s="1342"/>
      <c r="H6105" s="1342"/>
      <c r="I6105" s="1342"/>
      <c r="J6105" s="1342"/>
      <c r="K6105" s="1342"/>
    </row>
    <row r="6106" spans="2:11" ht="14" hidden="1">
      <c r="B6106" s="1342"/>
      <c r="C6106" s="1342"/>
      <c r="D6106" s="1342"/>
      <c r="E6106" s="1342"/>
      <c r="F6106" s="1342"/>
      <c r="G6106" s="1342"/>
      <c r="H6106" s="1342"/>
      <c r="I6106" s="1342"/>
      <c r="J6106" s="1342"/>
      <c r="K6106" s="1342"/>
    </row>
    <row r="6107" spans="2:11" ht="14" hidden="1">
      <c r="B6107" s="1342"/>
      <c r="C6107" s="1342"/>
      <c r="D6107" s="1342"/>
      <c r="E6107" s="1342"/>
      <c r="F6107" s="1342"/>
      <c r="G6107" s="1342"/>
      <c r="H6107" s="1342"/>
      <c r="I6107" s="1342"/>
      <c r="J6107" s="1342"/>
      <c r="K6107" s="1342"/>
    </row>
    <row r="6108" spans="2:11" ht="14" hidden="1">
      <c r="B6108" s="1342"/>
      <c r="C6108" s="1342"/>
      <c r="D6108" s="1342"/>
      <c r="E6108" s="1342"/>
      <c r="F6108" s="1342"/>
      <c r="G6108" s="1342"/>
      <c r="H6108" s="1342"/>
      <c r="I6108" s="1342"/>
      <c r="J6108" s="1342"/>
      <c r="K6108" s="1342"/>
    </row>
    <row r="6109" spans="2:11" ht="14" hidden="1">
      <c r="B6109" s="1342"/>
      <c r="C6109" s="1342"/>
      <c r="D6109" s="1342"/>
      <c r="E6109" s="1342"/>
      <c r="F6109" s="1342"/>
      <c r="G6109" s="1342"/>
      <c r="H6109" s="1342"/>
      <c r="I6109" s="1342"/>
      <c r="J6109" s="1342"/>
      <c r="K6109" s="1342"/>
    </row>
    <row r="6110" spans="2:11" ht="14" hidden="1">
      <c r="B6110" s="1342"/>
      <c r="C6110" s="1342"/>
      <c r="D6110" s="1342"/>
      <c r="E6110" s="1342"/>
      <c r="F6110" s="1342"/>
      <c r="G6110" s="1342"/>
      <c r="H6110" s="1342"/>
      <c r="I6110" s="1342"/>
      <c r="J6110" s="1342"/>
      <c r="K6110" s="1342"/>
    </row>
    <row r="6111" spans="2:11" ht="14" hidden="1">
      <c r="B6111" s="1342"/>
      <c r="C6111" s="1342"/>
      <c r="D6111" s="1342"/>
      <c r="E6111" s="1342"/>
      <c r="F6111" s="1342"/>
      <c r="G6111" s="1342"/>
      <c r="H6111" s="1342"/>
      <c r="I6111" s="1342"/>
      <c r="J6111" s="1342"/>
      <c r="K6111" s="1342"/>
    </row>
    <row r="6112" spans="2:11" ht="14" hidden="1">
      <c r="B6112" s="1342"/>
      <c r="C6112" s="1342"/>
      <c r="D6112" s="1342"/>
      <c r="E6112" s="1342"/>
      <c r="F6112" s="1342"/>
      <c r="G6112" s="1342"/>
      <c r="H6112" s="1342"/>
      <c r="I6112" s="1342"/>
      <c r="J6112" s="1342"/>
      <c r="K6112" s="1342"/>
    </row>
    <row r="6113" spans="2:11" ht="14" hidden="1">
      <c r="B6113" s="1342"/>
      <c r="C6113" s="1342"/>
      <c r="D6113" s="1342"/>
      <c r="E6113" s="1342"/>
      <c r="F6113" s="1342"/>
      <c r="G6113" s="1342"/>
      <c r="H6113" s="1342"/>
      <c r="I6113" s="1342"/>
      <c r="J6113" s="1342"/>
      <c r="K6113" s="1342"/>
    </row>
    <row r="6114" spans="2:11" ht="14" hidden="1">
      <c r="B6114" s="1342"/>
      <c r="C6114" s="1342"/>
      <c r="D6114" s="1342"/>
      <c r="E6114" s="1342"/>
      <c r="F6114" s="1342"/>
      <c r="G6114" s="1342"/>
      <c r="H6114" s="1342"/>
      <c r="I6114" s="1342"/>
      <c r="J6114" s="1342"/>
      <c r="K6114" s="1342"/>
    </row>
    <row r="6115" spans="2:11" ht="14" hidden="1">
      <c r="B6115" s="1342"/>
      <c r="C6115" s="1342"/>
      <c r="D6115" s="1342"/>
      <c r="E6115" s="1342"/>
      <c r="F6115" s="1342"/>
      <c r="G6115" s="1342"/>
      <c r="H6115" s="1342"/>
      <c r="I6115" s="1342"/>
      <c r="J6115" s="1342"/>
      <c r="K6115" s="1342"/>
    </row>
    <row r="6116" spans="2:11" ht="14" hidden="1">
      <c r="B6116" s="1342"/>
      <c r="C6116" s="1342"/>
      <c r="D6116" s="1342"/>
      <c r="E6116" s="1342"/>
      <c r="F6116" s="1342"/>
      <c r="G6116" s="1342"/>
      <c r="H6116" s="1342"/>
      <c r="I6116" s="1342"/>
      <c r="J6116" s="1342"/>
      <c r="K6116" s="1342"/>
    </row>
    <row r="6117" spans="2:11" ht="14" hidden="1">
      <c r="B6117" s="1342"/>
      <c r="C6117" s="1342"/>
      <c r="D6117" s="1342"/>
      <c r="E6117" s="1342"/>
      <c r="F6117" s="1342"/>
      <c r="G6117" s="1342"/>
      <c r="H6117" s="1342"/>
      <c r="I6117" s="1342"/>
      <c r="J6117" s="1342"/>
      <c r="K6117" s="1342"/>
    </row>
    <row r="6118" spans="2:11" ht="14" hidden="1">
      <c r="B6118" s="1342"/>
      <c r="C6118" s="1342"/>
      <c r="D6118" s="1342"/>
      <c r="E6118" s="1342"/>
      <c r="F6118" s="1342"/>
      <c r="G6118" s="1342"/>
      <c r="H6118" s="1342"/>
      <c r="I6118" s="1342"/>
      <c r="J6118" s="1342"/>
      <c r="K6118" s="1342"/>
    </row>
    <row r="6119" spans="2:11" ht="14" hidden="1">
      <c r="B6119" s="1342"/>
      <c r="C6119" s="1342"/>
      <c r="D6119" s="1342"/>
      <c r="E6119" s="1342"/>
      <c r="F6119" s="1342"/>
      <c r="G6119" s="1342"/>
      <c r="H6119" s="1342"/>
      <c r="I6119" s="1342"/>
      <c r="J6119" s="1342"/>
      <c r="K6119" s="1342"/>
    </row>
    <row r="6120" spans="2:11" ht="14" hidden="1">
      <c r="B6120" s="1342"/>
      <c r="C6120" s="1342"/>
      <c r="D6120" s="1342"/>
      <c r="E6120" s="1342"/>
      <c r="F6120" s="1342"/>
      <c r="G6120" s="1342"/>
      <c r="H6120" s="1342"/>
      <c r="I6120" s="1342"/>
      <c r="J6120" s="1342"/>
      <c r="K6120" s="1342"/>
    </row>
    <row r="6121" spans="2:11" ht="14" hidden="1">
      <c r="B6121" s="1342"/>
      <c r="C6121" s="1342"/>
      <c r="D6121" s="1342"/>
      <c r="E6121" s="1342"/>
      <c r="F6121" s="1342"/>
      <c r="G6121" s="1342"/>
      <c r="H6121" s="1342"/>
      <c r="I6121" s="1342"/>
      <c r="J6121" s="1342"/>
      <c r="K6121" s="1342"/>
    </row>
    <row r="6122" spans="2:11" ht="14" hidden="1">
      <c r="B6122" s="1342"/>
      <c r="C6122" s="1342"/>
      <c r="D6122" s="1342"/>
      <c r="E6122" s="1342"/>
      <c r="F6122" s="1342"/>
      <c r="G6122" s="1342"/>
      <c r="H6122" s="1342"/>
      <c r="I6122" s="1342"/>
      <c r="J6122" s="1342"/>
      <c r="K6122" s="1342"/>
    </row>
    <row r="6123" spans="2:11" ht="14" hidden="1">
      <c r="B6123" s="1342"/>
      <c r="C6123" s="1342"/>
      <c r="D6123" s="1342"/>
      <c r="E6123" s="1342"/>
      <c r="F6123" s="1342"/>
      <c r="G6123" s="1342"/>
      <c r="H6123" s="1342"/>
      <c r="I6123" s="1342"/>
      <c r="J6123" s="1342"/>
      <c r="K6123" s="1342"/>
    </row>
    <row r="6124" spans="2:11" ht="14" hidden="1">
      <c r="B6124" s="1342"/>
      <c r="C6124" s="1342"/>
      <c r="D6124" s="1342"/>
      <c r="E6124" s="1342"/>
      <c r="F6124" s="1342"/>
      <c r="G6124" s="1342"/>
      <c r="H6124" s="1342"/>
      <c r="I6124" s="1342"/>
      <c r="J6124" s="1342"/>
      <c r="K6124" s="1342"/>
    </row>
    <row r="6125" spans="2:11" ht="14" hidden="1">
      <c r="B6125" s="1342"/>
      <c r="C6125" s="1342"/>
      <c r="D6125" s="1342"/>
      <c r="E6125" s="1342"/>
      <c r="F6125" s="1342"/>
      <c r="G6125" s="1342"/>
      <c r="H6125" s="1342"/>
      <c r="I6125" s="1342"/>
      <c r="J6125" s="1342"/>
      <c r="K6125" s="1342"/>
    </row>
    <row r="6126" spans="2:11" ht="14" hidden="1">
      <c r="B6126" s="1342"/>
      <c r="C6126" s="1342"/>
      <c r="D6126" s="1342"/>
      <c r="E6126" s="1342"/>
      <c r="F6126" s="1342"/>
      <c r="G6126" s="1342"/>
      <c r="H6126" s="1342"/>
      <c r="I6126" s="1342"/>
      <c r="J6126" s="1342"/>
      <c r="K6126" s="1342"/>
    </row>
    <row r="6127" spans="2:11" ht="14" hidden="1">
      <c r="B6127" s="1342"/>
      <c r="C6127" s="1342"/>
      <c r="D6127" s="1342"/>
      <c r="E6127" s="1342"/>
      <c r="F6127" s="1342"/>
      <c r="G6127" s="1342"/>
      <c r="H6127" s="1342"/>
      <c r="I6127" s="1342"/>
      <c r="J6127" s="1342"/>
      <c r="K6127" s="1342"/>
    </row>
    <row r="6128" spans="2:11" ht="14" hidden="1">
      <c r="B6128" s="1342"/>
      <c r="C6128" s="1342"/>
      <c r="D6128" s="1342"/>
      <c r="E6128" s="1342"/>
      <c r="F6128" s="1342"/>
      <c r="G6128" s="1342"/>
      <c r="H6128" s="1342"/>
      <c r="I6128" s="1342"/>
      <c r="J6128" s="1342"/>
      <c r="K6128" s="1342"/>
    </row>
    <row r="6129" spans="2:11" ht="14" hidden="1">
      <c r="B6129" s="1342"/>
      <c r="C6129" s="1342"/>
      <c r="D6129" s="1342"/>
      <c r="E6129" s="1342"/>
      <c r="F6129" s="1342"/>
      <c r="G6129" s="1342"/>
      <c r="H6129" s="1342"/>
      <c r="I6129" s="1342"/>
      <c r="J6129" s="1342"/>
      <c r="K6129" s="1342"/>
    </row>
    <row r="6130" spans="2:11" ht="14" hidden="1">
      <c r="B6130" s="1342"/>
      <c r="C6130" s="1342"/>
      <c r="D6130" s="1342"/>
      <c r="E6130" s="1342"/>
      <c r="F6130" s="1342"/>
      <c r="G6130" s="1342"/>
      <c r="H6130" s="1342"/>
      <c r="I6130" s="1342"/>
      <c r="J6130" s="1342"/>
      <c r="K6130" s="1342"/>
    </row>
    <row r="6131" spans="2:11" ht="14" hidden="1">
      <c r="B6131" s="1342"/>
      <c r="C6131" s="1342"/>
      <c r="D6131" s="1342"/>
      <c r="E6131" s="1342"/>
      <c r="F6131" s="1342"/>
      <c r="G6131" s="1342"/>
      <c r="H6131" s="1342"/>
      <c r="I6131" s="1342"/>
      <c r="J6131" s="1342"/>
      <c r="K6131" s="1342"/>
    </row>
    <row r="6132" spans="2:11" ht="14" hidden="1">
      <c r="B6132" s="1342"/>
      <c r="C6132" s="1342"/>
      <c r="D6132" s="1342"/>
      <c r="E6132" s="1342"/>
      <c r="F6132" s="1342"/>
      <c r="G6132" s="1342"/>
      <c r="H6132" s="1342"/>
      <c r="I6132" s="1342"/>
      <c r="J6132" s="1342"/>
      <c r="K6132" s="1342"/>
    </row>
    <row r="6133" spans="2:11" ht="14" hidden="1">
      <c r="B6133" s="1342"/>
      <c r="C6133" s="1342"/>
      <c r="D6133" s="1342"/>
      <c r="E6133" s="1342"/>
      <c r="F6133" s="1342"/>
      <c r="G6133" s="1342"/>
      <c r="H6133" s="1342"/>
      <c r="I6133" s="1342"/>
      <c r="J6133" s="1342"/>
      <c r="K6133" s="1342"/>
    </row>
    <row r="6134" spans="2:11" ht="14" hidden="1">
      <c r="B6134" s="1342"/>
      <c r="C6134" s="1342"/>
      <c r="D6134" s="1342"/>
      <c r="E6134" s="1342"/>
      <c r="F6134" s="1342"/>
      <c r="G6134" s="1342"/>
      <c r="H6134" s="1342"/>
      <c r="I6134" s="1342"/>
      <c r="J6134" s="1342"/>
      <c r="K6134" s="1342"/>
    </row>
    <row r="6135" spans="2:11" ht="14" hidden="1">
      <c r="B6135" s="1342"/>
      <c r="C6135" s="1342"/>
      <c r="D6135" s="1342"/>
      <c r="E6135" s="1342"/>
      <c r="F6135" s="1342"/>
      <c r="G6135" s="1342"/>
      <c r="H6135" s="1342"/>
      <c r="I6135" s="1342"/>
      <c r="J6135" s="1342"/>
      <c r="K6135" s="1342"/>
    </row>
    <row r="6136" spans="2:11" ht="14" hidden="1">
      <c r="B6136" s="1342"/>
      <c r="C6136" s="1342"/>
      <c r="D6136" s="1342"/>
      <c r="E6136" s="1342"/>
      <c r="F6136" s="1342"/>
      <c r="G6136" s="1342"/>
      <c r="H6136" s="1342"/>
      <c r="I6136" s="1342"/>
      <c r="J6136" s="1342"/>
      <c r="K6136" s="1342"/>
    </row>
    <row r="6137" spans="2:11" ht="14" hidden="1">
      <c r="B6137" s="1342"/>
      <c r="C6137" s="1342"/>
      <c r="D6137" s="1342"/>
      <c r="E6137" s="1342"/>
      <c r="F6137" s="1342"/>
      <c r="G6137" s="1342"/>
      <c r="H6137" s="1342"/>
      <c r="I6137" s="1342"/>
      <c r="J6137" s="1342"/>
      <c r="K6137" s="1342"/>
    </row>
    <row r="6138" spans="2:11" ht="14" hidden="1">
      <c r="B6138" s="1342"/>
      <c r="C6138" s="1342"/>
      <c r="D6138" s="1342"/>
      <c r="E6138" s="1342"/>
      <c r="F6138" s="1342"/>
      <c r="G6138" s="1342"/>
      <c r="H6138" s="1342"/>
      <c r="I6138" s="1342"/>
      <c r="J6138" s="1342"/>
      <c r="K6138" s="1342"/>
    </row>
    <row r="6139" spans="2:11" ht="14" hidden="1">
      <c r="B6139" s="1342"/>
      <c r="C6139" s="1342"/>
      <c r="D6139" s="1342"/>
      <c r="E6139" s="1342"/>
      <c r="F6139" s="1342"/>
      <c r="G6139" s="1342"/>
      <c r="H6139" s="1342"/>
      <c r="I6139" s="1342"/>
      <c r="J6139" s="1342"/>
      <c r="K6139" s="1342"/>
    </row>
    <row r="6140" spans="2:11" ht="14" hidden="1">
      <c r="B6140" s="1342"/>
      <c r="C6140" s="1342"/>
      <c r="D6140" s="1342"/>
      <c r="E6140" s="1342"/>
      <c r="F6140" s="1342"/>
      <c r="G6140" s="1342"/>
      <c r="H6140" s="1342"/>
      <c r="I6140" s="1342"/>
      <c r="J6140" s="1342"/>
      <c r="K6140" s="1342"/>
    </row>
    <row r="6141" spans="2:11" ht="14" hidden="1">
      <c r="B6141" s="1342"/>
      <c r="C6141" s="1342"/>
      <c r="D6141" s="1342"/>
      <c r="E6141" s="1342"/>
      <c r="F6141" s="1342"/>
      <c r="G6141" s="1342"/>
      <c r="H6141" s="1342"/>
      <c r="I6141" s="1342"/>
      <c r="J6141" s="1342"/>
      <c r="K6141" s="1342"/>
    </row>
    <row r="6142" spans="2:11" ht="14" hidden="1">
      <c r="B6142" s="1342"/>
      <c r="C6142" s="1342"/>
      <c r="D6142" s="1342"/>
      <c r="E6142" s="1342"/>
      <c r="F6142" s="1342"/>
      <c r="G6142" s="1342"/>
      <c r="H6142" s="1342"/>
      <c r="I6142" s="1342"/>
      <c r="J6142" s="1342"/>
      <c r="K6142" s="1342"/>
    </row>
    <row r="6143" spans="2:11" ht="14" hidden="1">
      <c r="B6143" s="1342"/>
      <c r="C6143" s="1342"/>
      <c r="D6143" s="1342"/>
      <c r="E6143" s="1342"/>
      <c r="F6143" s="1342"/>
      <c r="G6143" s="1342"/>
      <c r="H6143" s="1342"/>
      <c r="I6143" s="1342"/>
      <c r="J6143" s="1342"/>
      <c r="K6143" s="1342"/>
    </row>
    <row r="6144" spans="2:11" ht="14" hidden="1">
      <c r="B6144" s="1342"/>
      <c r="C6144" s="1342"/>
      <c r="D6144" s="1342"/>
      <c r="E6144" s="1342"/>
      <c r="F6144" s="1342"/>
      <c r="G6144" s="1342"/>
      <c r="H6144" s="1342"/>
      <c r="I6144" s="1342"/>
      <c r="J6144" s="1342"/>
      <c r="K6144" s="1342"/>
    </row>
    <row r="6145" spans="2:11" ht="14" hidden="1">
      <c r="B6145" s="1342"/>
      <c r="C6145" s="1342"/>
      <c r="D6145" s="1342"/>
      <c r="E6145" s="1342"/>
      <c r="F6145" s="1342"/>
      <c r="G6145" s="1342"/>
      <c r="H6145" s="1342"/>
      <c r="I6145" s="1342"/>
      <c r="J6145" s="1342"/>
      <c r="K6145" s="1342"/>
    </row>
    <row r="6146" spans="2:11" ht="14" hidden="1">
      <c r="B6146" s="1342"/>
      <c r="C6146" s="1342"/>
      <c r="D6146" s="1342"/>
      <c r="E6146" s="1342"/>
      <c r="F6146" s="1342"/>
      <c r="G6146" s="1342"/>
      <c r="H6146" s="1342"/>
      <c r="I6146" s="1342"/>
      <c r="J6146" s="1342"/>
      <c r="K6146" s="1342"/>
    </row>
    <row r="6147" spans="2:11" ht="14" hidden="1">
      <c r="B6147" s="1342"/>
      <c r="C6147" s="1342"/>
      <c r="D6147" s="1342"/>
      <c r="E6147" s="1342"/>
      <c r="F6147" s="1342"/>
      <c r="G6147" s="1342"/>
      <c r="H6147" s="1342"/>
      <c r="I6147" s="1342"/>
      <c r="J6147" s="1342"/>
      <c r="K6147" s="1342"/>
    </row>
    <row r="6148" spans="2:11" ht="14" hidden="1">
      <c r="B6148" s="1342"/>
      <c r="C6148" s="1342"/>
      <c r="D6148" s="1342"/>
      <c r="E6148" s="1342"/>
      <c r="F6148" s="1342"/>
      <c r="G6148" s="1342"/>
      <c r="H6148" s="1342"/>
      <c r="I6148" s="1342"/>
      <c r="J6148" s="1342"/>
      <c r="K6148" s="1342"/>
    </row>
    <row r="6149" spans="2:11" ht="14" hidden="1">
      <c r="B6149" s="1342"/>
      <c r="C6149" s="1342"/>
      <c r="D6149" s="1342"/>
      <c r="E6149" s="1342"/>
      <c r="F6149" s="1342"/>
      <c r="G6149" s="1342"/>
      <c r="H6149" s="1342"/>
      <c r="I6149" s="1342"/>
      <c r="J6149" s="1342"/>
      <c r="K6149" s="1342"/>
    </row>
    <row r="6150" spans="2:11" ht="14" hidden="1">
      <c r="B6150" s="1342"/>
      <c r="C6150" s="1342"/>
      <c r="D6150" s="1342"/>
      <c r="E6150" s="1342"/>
      <c r="F6150" s="1342"/>
      <c r="G6150" s="1342"/>
      <c r="H6150" s="1342"/>
      <c r="I6150" s="1342"/>
      <c r="J6150" s="1342"/>
      <c r="K6150" s="1342"/>
    </row>
    <row r="6151" spans="2:11" ht="14" hidden="1">
      <c r="B6151" s="1342"/>
      <c r="C6151" s="1342"/>
      <c r="D6151" s="1342"/>
      <c r="E6151" s="1342"/>
      <c r="F6151" s="1342"/>
      <c r="G6151" s="1342"/>
      <c r="H6151" s="1342"/>
      <c r="I6151" s="1342"/>
      <c r="J6151" s="1342"/>
      <c r="K6151" s="1342"/>
    </row>
    <row r="6152" spans="2:11" ht="14" hidden="1">
      <c r="B6152" s="1342"/>
      <c r="C6152" s="1342"/>
      <c r="D6152" s="1342"/>
      <c r="E6152" s="1342"/>
      <c r="F6152" s="1342"/>
      <c r="G6152" s="1342"/>
      <c r="H6152" s="1342"/>
      <c r="I6152" s="1342"/>
      <c r="J6152" s="1342"/>
      <c r="K6152" s="1342"/>
    </row>
    <row r="6153" spans="2:11" ht="14" hidden="1">
      <c r="B6153" s="1342"/>
      <c r="C6153" s="1342"/>
      <c r="D6153" s="1342"/>
      <c r="E6153" s="1342"/>
      <c r="F6153" s="1342"/>
      <c r="G6153" s="1342"/>
      <c r="H6153" s="1342"/>
      <c r="I6153" s="1342"/>
      <c r="J6153" s="1342"/>
      <c r="K6153" s="1342"/>
    </row>
    <row r="6154" spans="2:11" ht="14" hidden="1">
      <c r="B6154" s="1342"/>
      <c r="C6154" s="1342"/>
      <c r="D6154" s="1342"/>
      <c r="E6154" s="1342"/>
      <c r="F6154" s="1342"/>
      <c r="G6154" s="1342"/>
      <c r="H6154" s="1342"/>
      <c r="I6154" s="1342"/>
      <c r="J6154" s="1342"/>
      <c r="K6154" s="1342"/>
    </row>
    <row r="6155" spans="2:11" ht="14" hidden="1">
      <c r="B6155" s="1342"/>
      <c r="C6155" s="1342"/>
      <c r="D6155" s="1342"/>
      <c r="E6155" s="1342"/>
      <c r="F6155" s="1342"/>
      <c r="G6155" s="1342"/>
      <c r="H6155" s="1342"/>
      <c r="I6155" s="1342"/>
      <c r="J6155" s="1342"/>
      <c r="K6155" s="1342"/>
    </row>
    <row r="6156" spans="2:11" ht="14" hidden="1">
      <c r="B6156" s="1342"/>
      <c r="C6156" s="1342"/>
      <c r="D6156" s="1342"/>
      <c r="E6156" s="1342"/>
      <c r="F6156" s="1342"/>
      <c r="G6156" s="1342"/>
      <c r="H6156" s="1342"/>
      <c r="I6156" s="1342"/>
      <c r="J6156" s="1342"/>
      <c r="K6156" s="1342"/>
    </row>
    <row r="6157" spans="2:11" ht="14" hidden="1">
      <c r="B6157" s="1342"/>
      <c r="C6157" s="1342"/>
      <c r="D6157" s="1342"/>
      <c r="E6157" s="1342"/>
      <c r="F6157" s="1342"/>
      <c r="G6157" s="1342"/>
      <c r="H6157" s="1342"/>
      <c r="I6157" s="1342"/>
      <c r="J6157" s="1342"/>
      <c r="K6157" s="1342"/>
    </row>
    <row r="6158" spans="2:11" ht="14" hidden="1">
      <c r="B6158" s="1342"/>
      <c r="C6158" s="1342"/>
      <c r="D6158" s="1342"/>
      <c r="E6158" s="1342"/>
      <c r="F6158" s="1342"/>
      <c r="G6158" s="1342"/>
      <c r="H6158" s="1342"/>
      <c r="I6158" s="1342"/>
      <c r="J6158" s="1342"/>
      <c r="K6158" s="1342"/>
    </row>
    <row r="6159" spans="2:11" ht="14" hidden="1">
      <c r="B6159" s="1342"/>
      <c r="C6159" s="1342"/>
      <c r="D6159" s="1342"/>
      <c r="E6159" s="1342"/>
      <c r="F6159" s="1342"/>
      <c r="G6159" s="1342"/>
      <c r="H6159" s="1342"/>
      <c r="I6159" s="1342"/>
      <c r="J6159" s="1342"/>
      <c r="K6159" s="1342"/>
    </row>
    <row r="6160" spans="2:11" ht="14" hidden="1">
      <c r="B6160" s="1342"/>
      <c r="C6160" s="1342"/>
      <c r="D6160" s="1342"/>
      <c r="E6160" s="1342"/>
      <c r="F6160" s="1342"/>
      <c r="G6160" s="1342"/>
      <c r="H6160" s="1342"/>
      <c r="I6160" s="1342"/>
      <c r="J6160" s="1342"/>
      <c r="K6160" s="1342"/>
    </row>
    <row r="6161" spans="2:11" ht="14" hidden="1">
      <c r="B6161" s="1342"/>
      <c r="C6161" s="1342"/>
      <c r="D6161" s="1342"/>
      <c r="E6161" s="1342"/>
      <c r="F6161" s="1342"/>
      <c r="G6161" s="1342"/>
      <c r="H6161" s="1342"/>
      <c r="I6161" s="1342"/>
      <c r="J6161" s="1342"/>
      <c r="K6161" s="1342"/>
    </row>
    <row r="6162" spans="2:11" ht="14" hidden="1">
      <c r="B6162" s="1342"/>
      <c r="C6162" s="1342"/>
      <c r="D6162" s="1342"/>
      <c r="E6162" s="1342"/>
      <c r="F6162" s="1342"/>
      <c r="G6162" s="1342"/>
      <c r="H6162" s="1342"/>
      <c r="I6162" s="1342"/>
      <c r="J6162" s="1342"/>
      <c r="K6162" s="1342"/>
    </row>
    <row r="6163" spans="2:11" ht="14" hidden="1">
      <c r="B6163" s="1342"/>
      <c r="C6163" s="1342"/>
      <c r="D6163" s="1342"/>
      <c r="E6163" s="1342"/>
      <c r="F6163" s="1342"/>
      <c r="G6163" s="1342"/>
      <c r="H6163" s="1342"/>
      <c r="I6163" s="1342"/>
      <c r="J6163" s="1342"/>
      <c r="K6163" s="1342"/>
    </row>
    <row r="6164" spans="2:11" ht="14" hidden="1">
      <c r="B6164" s="1342"/>
      <c r="C6164" s="1342"/>
      <c r="D6164" s="1342"/>
      <c r="E6164" s="1342"/>
      <c r="F6164" s="1342"/>
      <c r="G6164" s="1342"/>
      <c r="H6164" s="1342"/>
      <c r="I6164" s="1342"/>
      <c r="J6164" s="1342"/>
      <c r="K6164" s="1342"/>
    </row>
    <row r="6165" spans="2:11" ht="14" hidden="1">
      <c r="B6165" s="1342"/>
      <c r="C6165" s="1342"/>
      <c r="D6165" s="1342"/>
      <c r="E6165" s="1342"/>
      <c r="F6165" s="1342"/>
      <c r="G6165" s="1342"/>
      <c r="H6165" s="1342"/>
      <c r="I6165" s="1342"/>
      <c r="J6165" s="1342"/>
      <c r="K6165" s="1342"/>
    </row>
    <row r="6166" spans="2:11" ht="14" hidden="1">
      <c r="B6166" s="1342"/>
      <c r="C6166" s="1342"/>
      <c r="D6166" s="1342"/>
      <c r="E6166" s="1342"/>
      <c r="F6166" s="1342"/>
      <c r="G6166" s="1342"/>
      <c r="H6166" s="1342"/>
      <c r="I6166" s="1342"/>
      <c r="J6166" s="1342"/>
      <c r="K6166" s="1342"/>
    </row>
    <row r="6167" spans="2:11" ht="14" hidden="1">
      <c r="B6167" s="1342"/>
      <c r="C6167" s="1342"/>
      <c r="D6167" s="1342"/>
      <c r="E6167" s="1342"/>
      <c r="F6167" s="1342"/>
      <c r="G6167" s="1342"/>
      <c r="H6167" s="1342"/>
      <c r="I6167" s="1342"/>
      <c r="J6167" s="1342"/>
      <c r="K6167" s="1342"/>
    </row>
    <row r="6168" spans="2:11" ht="14" hidden="1">
      <c r="B6168" s="1342"/>
      <c r="C6168" s="1342"/>
      <c r="D6168" s="1342"/>
      <c r="E6168" s="1342"/>
      <c r="F6168" s="1342"/>
      <c r="G6168" s="1342"/>
      <c r="H6168" s="1342"/>
      <c r="I6168" s="1342"/>
      <c r="J6168" s="1342"/>
      <c r="K6168" s="1342"/>
    </row>
    <row r="6169" spans="2:11" ht="14" hidden="1">
      <c r="B6169" s="1342"/>
      <c r="C6169" s="1342"/>
      <c r="D6169" s="1342"/>
      <c r="E6169" s="1342"/>
      <c r="F6169" s="1342"/>
      <c r="G6169" s="1342"/>
      <c r="H6169" s="1342"/>
      <c r="I6169" s="1342"/>
      <c r="J6169" s="1342"/>
      <c r="K6169" s="1342"/>
    </row>
    <row r="6170" spans="2:11" ht="14" hidden="1">
      <c r="B6170" s="1342"/>
      <c r="C6170" s="1342"/>
      <c r="D6170" s="1342"/>
      <c r="E6170" s="1342"/>
      <c r="F6170" s="1342"/>
      <c r="G6170" s="1342"/>
      <c r="H6170" s="1342"/>
      <c r="I6170" s="1342"/>
      <c r="J6170" s="1342"/>
      <c r="K6170" s="1342"/>
    </row>
    <row r="6171" spans="2:11" ht="14" hidden="1">
      <c r="B6171" s="1342"/>
      <c r="C6171" s="1342"/>
      <c r="D6171" s="1342"/>
      <c r="E6171" s="1342"/>
      <c r="F6171" s="1342"/>
      <c r="G6171" s="1342"/>
      <c r="H6171" s="1342"/>
      <c r="I6171" s="1342"/>
      <c r="J6171" s="1342"/>
      <c r="K6171" s="1342"/>
    </row>
    <row r="6172" spans="2:11" ht="14" hidden="1">
      <c r="B6172" s="1342"/>
      <c r="C6172" s="1342"/>
      <c r="D6172" s="1342"/>
      <c r="E6172" s="1342"/>
      <c r="F6172" s="1342"/>
      <c r="G6172" s="1342"/>
      <c r="H6172" s="1342"/>
      <c r="I6172" s="1342"/>
      <c r="J6172" s="1342"/>
      <c r="K6172" s="1342"/>
    </row>
    <row r="6173" spans="2:11" ht="14" hidden="1">
      <c r="B6173" s="1342"/>
      <c r="C6173" s="1342"/>
      <c r="D6173" s="1342"/>
      <c r="E6173" s="1342"/>
      <c r="F6173" s="1342"/>
      <c r="G6173" s="1342"/>
      <c r="H6173" s="1342"/>
      <c r="I6173" s="1342"/>
      <c r="J6173" s="1342"/>
      <c r="K6173" s="1342"/>
    </row>
    <row r="6174" spans="2:11" ht="14" hidden="1">
      <c r="B6174" s="1342"/>
      <c r="C6174" s="1342"/>
      <c r="D6174" s="1342"/>
      <c r="E6174" s="1342"/>
      <c r="F6174" s="1342"/>
      <c r="G6174" s="1342"/>
      <c r="H6174" s="1342"/>
      <c r="I6174" s="1342"/>
      <c r="J6174" s="1342"/>
      <c r="K6174" s="1342"/>
    </row>
    <row r="6175" spans="2:11" ht="14" hidden="1">
      <c r="B6175" s="1342"/>
      <c r="C6175" s="1342"/>
      <c r="D6175" s="1342"/>
      <c r="E6175" s="1342"/>
      <c r="F6175" s="1342"/>
      <c r="G6175" s="1342"/>
      <c r="H6175" s="1342"/>
      <c r="I6175" s="1342"/>
      <c r="J6175" s="1342"/>
      <c r="K6175" s="1342"/>
    </row>
    <row r="6176" spans="2:11" ht="14" hidden="1">
      <c r="B6176" s="1342"/>
      <c r="C6176" s="1342"/>
      <c r="D6176" s="1342"/>
      <c r="E6176" s="1342"/>
      <c r="F6176" s="1342"/>
      <c r="G6176" s="1342"/>
      <c r="H6176" s="1342"/>
      <c r="I6176" s="1342"/>
      <c r="J6176" s="1342"/>
      <c r="K6176" s="1342"/>
    </row>
    <row r="6177" spans="2:11" ht="14" hidden="1">
      <c r="B6177" s="1342"/>
      <c r="C6177" s="1342"/>
      <c r="D6177" s="1342"/>
      <c r="E6177" s="1342"/>
      <c r="F6177" s="1342"/>
      <c r="G6177" s="1342"/>
      <c r="H6177" s="1342"/>
      <c r="I6177" s="1342"/>
      <c r="J6177" s="1342"/>
      <c r="K6177" s="1342"/>
    </row>
    <row r="6178" spans="2:11" ht="14" hidden="1">
      <c r="B6178" s="1342"/>
      <c r="C6178" s="1342"/>
      <c r="D6178" s="1342"/>
      <c r="E6178" s="1342"/>
      <c r="F6178" s="1342"/>
      <c r="G6178" s="1342"/>
      <c r="H6178" s="1342"/>
      <c r="I6178" s="1342"/>
      <c r="J6178" s="1342"/>
      <c r="K6178" s="1342"/>
    </row>
    <row r="6179" spans="2:11" ht="14" hidden="1">
      <c r="B6179" s="1342"/>
      <c r="C6179" s="1342"/>
      <c r="D6179" s="1342"/>
      <c r="E6179" s="1342"/>
      <c r="F6179" s="1342"/>
      <c r="G6179" s="1342"/>
      <c r="H6179" s="1342"/>
      <c r="I6179" s="1342"/>
      <c r="J6179" s="1342"/>
      <c r="K6179" s="1342"/>
    </row>
    <row r="6180" spans="2:11" ht="14" hidden="1">
      <c r="B6180" s="1342"/>
      <c r="C6180" s="1342"/>
      <c r="D6180" s="1342"/>
      <c r="E6180" s="1342"/>
      <c r="F6180" s="1342"/>
      <c r="G6180" s="1342"/>
      <c r="H6180" s="1342"/>
      <c r="I6180" s="1342"/>
      <c r="J6180" s="1342"/>
      <c r="K6180" s="1342"/>
    </row>
    <row r="6181" spans="2:11" ht="14" hidden="1">
      <c r="B6181" s="1342"/>
      <c r="C6181" s="1342"/>
      <c r="D6181" s="1342"/>
      <c r="E6181" s="1342"/>
      <c r="F6181" s="1342"/>
      <c r="G6181" s="1342"/>
      <c r="H6181" s="1342"/>
      <c r="I6181" s="1342"/>
      <c r="J6181" s="1342"/>
      <c r="K6181" s="1342"/>
    </row>
    <row r="6182" spans="2:11" ht="14" hidden="1">
      <c r="B6182" s="1342"/>
      <c r="C6182" s="1342"/>
      <c r="D6182" s="1342"/>
      <c r="E6182" s="1342"/>
      <c r="F6182" s="1342"/>
      <c r="G6182" s="1342"/>
      <c r="H6182" s="1342"/>
      <c r="I6182" s="1342"/>
      <c r="J6182" s="1342"/>
      <c r="K6182" s="1342"/>
    </row>
    <row r="6183" spans="2:11" ht="14" hidden="1">
      <c r="B6183" s="1342"/>
      <c r="C6183" s="1342"/>
      <c r="D6183" s="1342"/>
      <c r="E6183" s="1342"/>
      <c r="F6183" s="1342"/>
      <c r="G6183" s="1342"/>
      <c r="H6183" s="1342"/>
      <c r="I6183" s="1342"/>
      <c r="J6183" s="1342"/>
      <c r="K6183" s="1342"/>
    </row>
    <row r="6184" spans="2:11" ht="14" hidden="1">
      <c r="B6184" s="1342"/>
      <c r="C6184" s="1342"/>
      <c r="D6184" s="1342"/>
      <c r="E6184" s="1342"/>
      <c r="F6184" s="1342"/>
      <c r="G6184" s="1342"/>
      <c r="H6184" s="1342"/>
      <c r="I6184" s="1342"/>
      <c r="J6184" s="1342"/>
      <c r="K6184" s="1342"/>
    </row>
    <row r="6185" spans="2:11" ht="14" hidden="1">
      <c r="B6185" s="1342"/>
      <c r="C6185" s="1342"/>
      <c r="D6185" s="1342"/>
      <c r="E6185" s="1342"/>
      <c r="F6185" s="1342"/>
      <c r="G6185" s="1342"/>
      <c r="H6185" s="1342"/>
      <c r="I6185" s="1342"/>
      <c r="J6185" s="1342"/>
      <c r="K6185" s="1342"/>
    </row>
    <row r="6186" spans="2:11" ht="14" hidden="1">
      <c r="B6186" s="1342"/>
      <c r="C6186" s="1342"/>
      <c r="D6186" s="1342"/>
      <c r="E6186" s="1342"/>
      <c r="F6186" s="1342"/>
      <c r="G6186" s="1342"/>
      <c r="H6186" s="1342"/>
      <c r="I6186" s="1342"/>
      <c r="J6186" s="1342"/>
      <c r="K6186" s="1342"/>
    </row>
    <row r="6187" spans="2:11" ht="14" hidden="1">
      <c r="B6187" s="1342"/>
      <c r="C6187" s="1342"/>
      <c r="D6187" s="1342"/>
      <c r="E6187" s="1342"/>
      <c r="F6187" s="1342"/>
      <c r="G6187" s="1342"/>
      <c r="H6187" s="1342"/>
      <c r="I6187" s="1342"/>
      <c r="J6187" s="1342"/>
      <c r="K6187" s="1342"/>
    </row>
    <row r="6188" spans="2:11" ht="14" hidden="1">
      <c r="B6188" s="1342"/>
      <c r="C6188" s="1342"/>
      <c r="D6188" s="1342"/>
      <c r="E6188" s="1342"/>
      <c r="F6188" s="1342"/>
      <c r="G6188" s="1342"/>
      <c r="H6188" s="1342"/>
      <c r="I6188" s="1342"/>
      <c r="J6188" s="1342"/>
      <c r="K6188" s="1342"/>
    </row>
    <row r="6189" spans="2:11" ht="14" hidden="1">
      <c r="B6189" s="1342"/>
      <c r="C6189" s="1342"/>
      <c r="D6189" s="1342"/>
      <c r="E6189" s="1342"/>
      <c r="F6189" s="1342"/>
      <c r="G6189" s="1342"/>
      <c r="H6189" s="1342"/>
      <c r="I6189" s="1342"/>
      <c r="J6189" s="1342"/>
      <c r="K6189" s="1342"/>
    </row>
    <row r="6190" spans="2:11" ht="14" hidden="1">
      <c r="B6190" s="1342"/>
      <c r="C6190" s="1342"/>
      <c r="D6190" s="1342"/>
      <c r="E6190" s="1342"/>
      <c r="F6190" s="1342"/>
      <c r="G6190" s="1342"/>
      <c r="H6190" s="1342"/>
      <c r="I6190" s="1342"/>
      <c r="J6190" s="1342"/>
      <c r="K6190" s="1342"/>
    </row>
    <row r="6191" spans="2:11" ht="14" hidden="1">
      <c r="B6191" s="1342"/>
      <c r="C6191" s="1342"/>
      <c r="D6191" s="1342"/>
      <c r="E6191" s="1342"/>
      <c r="F6191" s="1342"/>
      <c r="G6191" s="1342"/>
      <c r="H6191" s="1342"/>
      <c r="I6191" s="1342"/>
      <c r="J6191" s="1342"/>
      <c r="K6191" s="1342"/>
    </row>
    <row r="6192" spans="2:11" ht="14" hidden="1">
      <c r="B6192" s="1342"/>
      <c r="C6192" s="1342"/>
      <c r="D6192" s="1342"/>
      <c r="E6192" s="1342"/>
      <c r="F6192" s="1342"/>
      <c r="G6192" s="1342"/>
      <c r="H6192" s="1342"/>
      <c r="I6192" s="1342"/>
      <c r="J6192" s="1342"/>
      <c r="K6192" s="1342"/>
    </row>
    <row r="6193" spans="2:11" ht="14" hidden="1">
      <c r="B6193" s="1342"/>
      <c r="C6193" s="1342"/>
      <c r="D6193" s="1342"/>
      <c r="E6193" s="1342"/>
      <c r="F6193" s="1342"/>
      <c r="G6193" s="1342"/>
      <c r="H6193" s="1342"/>
      <c r="I6193" s="1342"/>
      <c r="J6193" s="1342"/>
      <c r="K6193" s="1342"/>
    </row>
    <row r="6194" spans="2:11" ht="14" hidden="1">
      <c r="B6194" s="1342"/>
      <c r="C6194" s="1342"/>
      <c r="D6194" s="1342"/>
      <c r="E6194" s="1342"/>
      <c r="F6194" s="1342"/>
      <c r="G6194" s="1342"/>
      <c r="H6194" s="1342"/>
      <c r="I6194" s="1342"/>
      <c r="J6194" s="1342"/>
      <c r="K6194" s="1342"/>
    </row>
    <row r="6195" spans="2:11" ht="14" hidden="1">
      <c r="B6195" s="1342"/>
      <c r="C6195" s="1342"/>
      <c r="D6195" s="1342"/>
      <c r="E6195" s="1342"/>
      <c r="F6195" s="1342"/>
      <c r="G6195" s="1342"/>
      <c r="H6195" s="1342"/>
      <c r="I6195" s="1342"/>
      <c r="J6195" s="1342"/>
      <c r="K6195" s="1342"/>
    </row>
    <row r="6196" spans="2:11" ht="14" hidden="1">
      <c r="B6196" s="1342"/>
      <c r="C6196" s="1342"/>
      <c r="D6196" s="1342"/>
      <c r="E6196" s="1342"/>
      <c r="F6196" s="1342"/>
      <c r="G6196" s="1342"/>
      <c r="H6196" s="1342"/>
      <c r="I6196" s="1342"/>
      <c r="J6196" s="1342"/>
      <c r="K6196" s="1342"/>
    </row>
    <row r="6197" spans="2:11" ht="14" hidden="1">
      <c r="B6197" s="1342"/>
      <c r="C6197" s="1342"/>
      <c r="D6197" s="1342"/>
      <c r="E6197" s="1342"/>
      <c r="F6197" s="1342"/>
      <c r="G6197" s="1342"/>
      <c r="H6197" s="1342"/>
      <c r="I6197" s="1342"/>
      <c r="J6197" s="1342"/>
      <c r="K6197" s="1342"/>
    </row>
    <row r="6198" spans="2:11" ht="14" hidden="1">
      <c r="B6198" s="1342"/>
      <c r="C6198" s="1342"/>
      <c r="D6198" s="1342"/>
      <c r="E6198" s="1342"/>
      <c r="F6198" s="1342"/>
      <c r="G6198" s="1342"/>
      <c r="H6198" s="1342"/>
      <c r="I6198" s="1342"/>
      <c r="J6198" s="1342"/>
      <c r="K6198" s="1342"/>
    </row>
    <row r="6199" spans="2:11" ht="14" hidden="1">
      <c r="B6199" s="1342"/>
      <c r="C6199" s="1342"/>
      <c r="D6199" s="1342"/>
      <c r="E6199" s="1342"/>
      <c r="F6199" s="1342"/>
      <c r="G6199" s="1342"/>
      <c r="H6199" s="1342"/>
      <c r="I6199" s="1342"/>
      <c r="J6199" s="1342"/>
      <c r="K6199" s="1342"/>
    </row>
    <row r="6200" spans="2:11" ht="14" hidden="1">
      <c r="B6200" s="1342"/>
      <c r="C6200" s="1342"/>
      <c r="D6200" s="1342"/>
      <c r="E6200" s="1342"/>
      <c r="F6200" s="1342"/>
      <c r="G6200" s="1342"/>
      <c r="H6200" s="1342"/>
      <c r="I6200" s="1342"/>
      <c r="J6200" s="1342"/>
      <c r="K6200" s="1342"/>
    </row>
    <row r="6201" spans="2:11" ht="14" hidden="1">
      <c r="B6201" s="1342"/>
      <c r="C6201" s="1342"/>
      <c r="D6201" s="1342"/>
      <c r="E6201" s="1342"/>
      <c r="F6201" s="1342"/>
      <c r="G6201" s="1342"/>
      <c r="H6201" s="1342"/>
      <c r="I6201" s="1342"/>
      <c r="J6201" s="1342"/>
      <c r="K6201" s="1342"/>
    </row>
    <row r="6202" spans="2:11" ht="14" hidden="1">
      <c r="B6202" s="1342"/>
      <c r="C6202" s="1342"/>
      <c r="D6202" s="1342"/>
      <c r="E6202" s="1342"/>
      <c r="F6202" s="1342"/>
      <c r="G6202" s="1342"/>
      <c r="H6202" s="1342"/>
      <c r="I6202" s="1342"/>
      <c r="J6202" s="1342"/>
      <c r="K6202" s="1342"/>
    </row>
    <row r="6203" spans="2:11" ht="14" hidden="1">
      <c r="B6203" s="1342"/>
      <c r="C6203" s="1342"/>
      <c r="D6203" s="1342"/>
      <c r="E6203" s="1342"/>
      <c r="F6203" s="1342"/>
      <c r="G6203" s="1342"/>
      <c r="H6203" s="1342"/>
      <c r="I6203" s="1342"/>
      <c r="J6203" s="1342"/>
      <c r="K6203" s="1342"/>
    </row>
    <row r="6204" spans="2:11" ht="14" hidden="1">
      <c r="B6204" s="1342"/>
      <c r="C6204" s="1342"/>
      <c r="D6204" s="1342"/>
      <c r="E6204" s="1342"/>
      <c r="F6204" s="1342"/>
      <c r="G6204" s="1342"/>
      <c r="H6204" s="1342"/>
      <c r="I6204" s="1342"/>
      <c r="J6204" s="1342"/>
      <c r="K6204" s="1342"/>
    </row>
    <row r="6205" spans="2:11" ht="14" hidden="1">
      <c r="B6205" s="1342"/>
      <c r="C6205" s="1342"/>
      <c r="D6205" s="1342"/>
      <c r="E6205" s="1342"/>
      <c r="F6205" s="1342"/>
      <c r="G6205" s="1342"/>
      <c r="H6205" s="1342"/>
      <c r="I6205" s="1342"/>
      <c r="J6205" s="1342"/>
      <c r="K6205" s="1342"/>
    </row>
    <row r="6206" spans="2:11" ht="14" hidden="1">
      <c r="B6206" s="1342"/>
      <c r="C6206" s="1342"/>
      <c r="D6206" s="1342"/>
      <c r="E6206" s="1342"/>
      <c r="F6206" s="1342"/>
      <c r="G6206" s="1342"/>
      <c r="H6206" s="1342"/>
      <c r="I6206" s="1342"/>
      <c r="J6206" s="1342"/>
      <c r="K6206" s="1342"/>
    </row>
    <row r="6207" spans="2:11" ht="14" hidden="1">
      <c r="B6207" s="1342"/>
      <c r="C6207" s="1342"/>
      <c r="D6207" s="1342"/>
      <c r="E6207" s="1342"/>
      <c r="F6207" s="1342"/>
      <c r="G6207" s="1342"/>
      <c r="H6207" s="1342"/>
      <c r="I6207" s="1342"/>
      <c r="J6207" s="1342"/>
      <c r="K6207" s="1342"/>
    </row>
    <row r="6208" spans="2:11" ht="14" hidden="1">
      <c r="B6208" s="1342"/>
      <c r="C6208" s="1342"/>
      <c r="D6208" s="1342"/>
      <c r="E6208" s="1342"/>
      <c r="F6208" s="1342"/>
      <c r="G6208" s="1342"/>
      <c r="H6208" s="1342"/>
      <c r="I6208" s="1342"/>
      <c r="J6208" s="1342"/>
      <c r="K6208" s="1342"/>
    </row>
    <row r="6209" spans="2:11" ht="14" hidden="1">
      <c r="B6209" s="1342"/>
      <c r="C6209" s="1342"/>
      <c r="D6209" s="1342"/>
      <c r="E6209" s="1342"/>
      <c r="F6209" s="1342"/>
      <c r="G6209" s="1342"/>
      <c r="H6209" s="1342"/>
      <c r="I6209" s="1342"/>
      <c r="J6209" s="1342"/>
      <c r="K6209" s="1342"/>
    </row>
    <row r="6210" spans="2:11" ht="14" hidden="1">
      <c r="B6210" s="1342"/>
      <c r="C6210" s="1342"/>
      <c r="D6210" s="1342"/>
      <c r="E6210" s="1342"/>
      <c r="F6210" s="1342"/>
      <c r="G6210" s="1342"/>
      <c r="H6210" s="1342"/>
      <c r="I6210" s="1342"/>
      <c r="J6210" s="1342"/>
      <c r="K6210" s="1342"/>
    </row>
    <row r="6211" spans="2:11" ht="14" hidden="1">
      <c r="B6211" s="1342"/>
      <c r="C6211" s="1342"/>
      <c r="D6211" s="1342"/>
      <c r="E6211" s="1342"/>
      <c r="F6211" s="1342"/>
      <c r="G6211" s="1342"/>
      <c r="H6211" s="1342"/>
      <c r="I6211" s="1342"/>
      <c r="J6211" s="1342"/>
      <c r="K6211" s="1342"/>
    </row>
    <row r="6212" spans="2:11" ht="14" hidden="1">
      <c r="B6212" s="1342"/>
      <c r="C6212" s="1342"/>
      <c r="D6212" s="1342"/>
      <c r="E6212" s="1342"/>
      <c r="F6212" s="1342"/>
      <c r="G6212" s="1342"/>
      <c r="H6212" s="1342"/>
      <c r="I6212" s="1342"/>
      <c r="J6212" s="1342"/>
      <c r="K6212" s="1342"/>
    </row>
    <row r="6213" spans="2:11" ht="14" hidden="1">
      <c r="B6213" s="1342"/>
      <c r="C6213" s="1342"/>
      <c r="D6213" s="1342"/>
      <c r="E6213" s="1342"/>
      <c r="F6213" s="1342"/>
      <c r="G6213" s="1342"/>
      <c r="H6213" s="1342"/>
      <c r="I6213" s="1342"/>
      <c r="J6213" s="1342"/>
      <c r="K6213" s="1342"/>
    </row>
    <row r="6214" spans="2:11" ht="14" hidden="1">
      <c r="B6214" s="1342"/>
      <c r="C6214" s="1342"/>
      <c r="D6214" s="1342"/>
      <c r="E6214" s="1342"/>
      <c r="F6214" s="1342"/>
      <c r="G6214" s="1342"/>
      <c r="H6214" s="1342"/>
      <c r="I6214" s="1342"/>
      <c r="J6214" s="1342"/>
      <c r="K6214" s="1342"/>
    </row>
    <row r="6215" spans="2:11" ht="14" hidden="1">
      <c r="B6215" s="1342"/>
      <c r="C6215" s="1342"/>
      <c r="D6215" s="1342"/>
      <c r="E6215" s="1342"/>
      <c r="F6215" s="1342"/>
      <c r="G6215" s="1342"/>
      <c r="H6215" s="1342"/>
      <c r="I6215" s="1342"/>
      <c r="J6215" s="1342"/>
      <c r="K6215" s="1342"/>
    </row>
    <row r="6216" spans="2:11" ht="14" hidden="1">
      <c r="B6216" s="1342"/>
      <c r="C6216" s="1342"/>
      <c r="D6216" s="1342"/>
      <c r="E6216" s="1342"/>
      <c r="F6216" s="1342"/>
      <c r="G6216" s="1342"/>
      <c r="H6216" s="1342"/>
      <c r="I6216" s="1342"/>
      <c r="J6216" s="1342"/>
      <c r="K6216" s="1342"/>
    </row>
    <row r="6217" spans="2:11" ht="14" hidden="1">
      <c r="B6217" s="1342"/>
      <c r="C6217" s="1342"/>
      <c r="D6217" s="1342"/>
      <c r="E6217" s="1342"/>
      <c r="F6217" s="1342"/>
      <c r="G6217" s="1342"/>
      <c r="H6217" s="1342"/>
      <c r="I6217" s="1342"/>
      <c r="J6217" s="1342"/>
      <c r="K6217" s="1342"/>
    </row>
    <row r="6218" spans="2:11" ht="14" hidden="1">
      <c r="B6218" s="1342"/>
      <c r="C6218" s="1342"/>
      <c r="D6218" s="1342"/>
      <c r="E6218" s="1342"/>
      <c r="F6218" s="1342"/>
      <c r="G6218" s="1342"/>
      <c r="H6218" s="1342"/>
      <c r="I6218" s="1342"/>
      <c r="J6218" s="1342"/>
      <c r="K6218" s="1342"/>
    </row>
    <row r="6219" spans="2:11" ht="14" hidden="1">
      <c r="B6219" s="1342"/>
      <c r="C6219" s="1342"/>
      <c r="D6219" s="1342"/>
      <c r="E6219" s="1342"/>
      <c r="F6219" s="1342"/>
      <c r="G6219" s="1342"/>
      <c r="H6219" s="1342"/>
      <c r="I6219" s="1342"/>
      <c r="J6219" s="1342"/>
      <c r="K6219" s="1342"/>
    </row>
    <row r="6220" spans="2:11" ht="14" hidden="1">
      <c r="B6220" s="1342"/>
      <c r="C6220" s="1342"/>
      <c r="D6220" s="1342"/>
      <c r="E6220" s="1342"/>
      <c r="F6220" s="1342"/>
      <c r="G6220" s="1342"/>
      <c r="H6220" s="1342"/>
      <c r="I6220" s="1342"/>
      <c r="J6220" s="1342"/>
      <c r="K6220" s="1342"/>
    </row>
    <row r="6221" spans="2:11" ht="14" hidden="1">
      <c r="B6221" s="1342"/>
      <c r="C6221" s="1342"/>
      <c r="D6221" s="1342"/>
      <c r="E6221" s="1342"/>
      <c r="F6221" s="1342"/>
      <c r="G6221" s="1342"/>
      <c r="H6221" s="1342"/>
      <c r="I6221" s="1342"/>
      <c r="J6221" s="1342"/>
      <c r="K6221" s="1342"/>
    </row>
    <row r="6222" spans="2:11" ht="14" hidden="1">
      <c r="B6222" s="1342"/>
      <c r="C6222" s="1342"/>
      <c r="D6222" s="1342"/>
      <c r="E6222" s="1342"/>
      <c r="F6222" s="1342"/>
      <c r="G6222" s="1342"/>
      <c r="H6222" s="1342"/>
      <c r="I6222" s="1342"/>
      <c r="J6222" s="1342"/>
      <c r="K6222" s="1342"/>
    </row>
    <row r="6223" spans="2:11" ht="14" hidden="1">
      <c r="B6223" s="1342"/>
      <c r="C6223" s="1342"/>
      <c r="D6223" s="1342"/>
      <c r="E6223" s="1342"/>
      <c r="F6223" s="1342"/>
      <c r="G6223" s="1342"/>
      <c r="H6223" s="1342"/>
      <c r="I6223" s="1342"/>
      <c r="J6223" s="1342"/>
      <c r="K6223" s="1342"/>
    </row>
    <row r="6224" spans="2:11" ht="14" hidden="1">
      <c r="B6224" s="1342"/>
      <c r="C6224" s="1342"/>
      <c r="D6224" s="1342"/>
      <c r="E6224" s="1342"/>
      <c r="F6224" s="1342"/>
      <c r="G6224" s="1342"/>
      <c r="H6224" s="1342"/>
      <c r="I6224" s="1342"/>
      <c r="J6224" s="1342"/>
      <c r="K6224" s="1342"/>
    </row>
    <row r="6225" spans="2:11" ht="14" hidden="1">
      <c r="B6225" s="1342"/>
      <c r="C6225" s="1342"/>
      <c r="D6225" s="1342"/>
      <c r="E6225" s="1342"/>
      <c r="F6225" s="1342"/>
      <c r="G6225" s="1342"/>
      <c r="H6225" s="1342"/>
      <c r="I6225" s="1342"/>
      <c r="J6225" s="1342"/>
      <c r="K6225" s="1342"/>
    </row>
    <row r="6226" spans="2:11" ht="14" hidden="1">
      <c r="B6226" s="1342"/>
      <c r="C6226" s="1342"/>
      <c r="D6226" s="1342"/>
      <c r="E6226" s="1342"/>
      <c r="F6226" s="1342"/>
      <c r="G6226" s="1342"/>
      <c r="H6226" s="1342"/>
      <c r="I6226" s="1342"/>
      <c r="J6226" s="1342"/>
      <c r="K6226" s="1342"/>
    </row>
    <row r="6227" spans="2:11" ht="14" hidden="1">
      <c r="B6227" s="1342"/>
      <c r="C6227" s="1342"/>
      <c r="D6227" s="1342"/>
      <c r="E6227" s="1342"/>
      <c r="F6227" s="1342"/>
      <c r="G6227" s="1342"/>
      <c r="H6227" s="1342"/>
      <c r="I6227" s="1342"/>
      <c r="J6227" s="1342"/>
      <c r="K6227" s="1342"/>
    </row>
    <row r="6228" spans="2:11" ht="14" hidden="1">
      <c r="B6228" s="1342"/>
      <c r="C6228" s="1342"/>
      <c r="D6228" s="1342"/>
      <c r="E6228" s="1342"/>
      <c r="F6228" s="1342"/>
      <c r="G6228" s="1342"/>
      <c r="H6228" s="1342"/>
      <c r="I6228" s="1342"/>
      <c r="J6228" s="1342"/>
      <c r="K6228" s="1342"/>
    </row>
    <row r="6229" spans="2:11" ht="14" hidden="1">
      <c r="B6229" s="1342"/>
      <c r="C6229" s="1342"/>
      <c r="D6229" s="1342"/>
      <c r="E6229" s="1342"/>
      <c r="F6229" s="1342"/>
      <c r="G6229" s="1342"/>
      <c r="H6229" s="1342"/>
      <c r="I6229" s="1342"/>
      <c r="J6229" s="1342"/>
      <c r="K6229" s="1342"/>
    </row>
    <row r="6230" spans="2:11" ht="14" hidden="1">
      <c r="B6230" s="1342"/>
      <c r="C6230" s="1342"/>
      <c r="D6230" s="1342"/>
      <c r="E6230" s="1342"/>
      <c r="F6230" s="1342"/>
      <c r="G6230" s="1342"/>
      <c r="H6230" s="1342"/>
      <c r="I6230" s="1342"/>
      <c r="J6230" s="1342"/>
      <c r="K6230" s="1342"/>
    </row>
    <row r="6231" spans="2:11" ht="14" hidden="1">
      <c r="B6231" s="1342"/>
      <c r="C6231" s="1342"/>
      <c r="D6231" s="1342"/>
      <c r="E6231" s="1342"/>
      <c r="F6231" s="1342"/>
      <c r="G6231" s="1342"/>
      <c r="H6231" s="1342"/>
      <c r="I6231" s="1342"/>
      <c r="J6231" s="1342"/>
      <c r="K6231" s="1342"/>
    </row>
    <row r="6232" spans="2:11" ht="14" hidden="1">
      <c r="B6232" s="1342"/>
      <c r="C6232" s="1342"/>
      <c r="D6232" s="1342"/>
      <c r="E6232" s="1342"/>
      <c r="F6232" s="1342"/>
      <c r="G6232" s="1342"/>
      <c r="H6232" s="1342"/>
      <c r="I6232" s="1342"/>
      <c r="J6232" s="1342"/>
      <c r="K6232" s="1342"/>
    </row>
    <row r="6233" spans="2:11" ht="14" hidden="1">
      <c r="B6233" s="1342"/>
      <c r="C6233" s="1342"/>
      <c r="D6233" s="1342"/>
      <c r="E6233" s="1342"/>
      <c r="F6233" s="1342"/>
      <c r="G6233" s="1342"/>
      <c r="H6233" s="1342"/>
      <c r="I6233" s="1342"/>
      <c r="J6233" s="1342"/>
      <c r="K6233" s="1342"/>
    </row>
    <row r="6234" spans="2:11" ht="14" hidden="1">
      <c r="B6234" s="1342"/>
      <c r="C6234" s="1342"/>
      <c r="D6234" s="1342"/>
      <c r="E6234" s="1342"/>
      <c r="F6234" s="1342"/>
      <c r="G6234" s="1342"/>
      <c r="H6234" s="1342"/>
      <c r="I6234" s="1342"/>
      <c r="J6234" s="1342"/>
      <c r="K6234" s="1342"/>
    </row>
    <row r="6235" spans="2:11" ht="14" hidden="1">
      <c r="B6235" s="1342"/>
      <c r="C6235" s="1342"/>
      <c r="D6235" s="1342"/>
      <c r="E6235" s="1342"/>
      <c r="F6235" s="1342"/>
      <c r="G6235" s="1342"/>
      <c r="H6235" s="1342"/>
      <c r="I6235" s="1342"/>
      <c r="J6235" s="1342"/>
      <c r="K6235" s="1342"/>
    </row>
    <row r="6236" spans="2:11" ht="14" hidden="1">
      <c r="B6236" s="1342"/>
      <c r="C6236" s="1342"/>
      <c r="D6236" s="1342"/>
      <c r="E6236" s="1342"/>
      <c r="F6236" s="1342"/>
      <c r="G6236" s="1342"/>
      <c r="H6236" s="1342"/>
      <c r="I6236" s="1342"/>
      <c r="J6236" s="1342"/>
      <c r="K6236" s="1342"/>
    </row>
    <row r="6237" spans="2:11" ht="14" hidden="1">
      <c r="B6237" s="1342"/>
      <c r="C6237" s="1342"/>
      <c r="D6237" s="1342"/>
      <c r="E6237" s="1342"/>
      <c r="F6237" s="1342"/>
      <c r="G6237" s="1342"/>
      <c r="H6237" s="1342"/>
      <c r="I6237" s="1342"/>
      <c r="J6237" s="1342"/>
      <c r="K6237" s="1342"/>
    </row>
    <row r="6238" spans="2:11" ht="14" hidden="1">
      <c r="B6238" s="1342"/>
      <c r="C6238" s="1342"/>
      <c r="D6238" s="1342"/>
      <c r="E6238" s="1342"/>
      <c r="F6238" s="1342"/>
      <c r="G6238" s="1342"/>
      <c r="H6238" s="1342"/>
      <c r="I6238" s="1342"/>
      <c r="J6238" s="1342"/>
      <c r="K6238" s="1342"/>
    </row>
    <row r="6239" spans="2:11" ht="14" hidden="1">
      <c r="B6239" s="1342"/>
      <c r="C6239" s="1342"/>
      <c r="D6239" s="1342"/>
      <c r="E6239" s="1342"/>
      <c r="F6239" s="1342"/>
      <c r="G6239" s="1342"/>
      <c r="H6239" s="1342"/>
      <c r="I6239" s="1342"/>
      <c r="J6239" s="1342"/>
      <c r="K6239" s="1342"/>
    </row>
    <row r="6240" spans="2:11" ht="14" hidden="1">
      <c r="B6240" s="1342"/>
      <c r="C6240" s="1342"/>
      <c r="D6240" s="1342"/>
      <c r="E6240" s="1342"/>
      <c r="F6240" s="1342"/>
      <c r="G6240" s="1342"/>
      <c r="H6240" s="1342"/>
      <c r="I6240" s="1342"/>
      <c r="J6240" s="1342"/>
      <c r="K6240" s="1342"/>
    </row>
    <row r="6241" spans="2:11" ht="14" hidden="1">
      <c r="B6241" s="1342"/>
      <c r="C6241" s="1342"/>
      <c r="D6241" s="1342"/>
      <c r="E6241" s="1342"/>
      <c r="F6241" s="1342"/>
      <c r="G6241" s="1342"/>
      <c r="H6241" s="1342"/>
      <c r="I6241" s="1342"/>
      <c r="J6241" s="1342"/>
      <c r="K6241" s="1342"/>
    </row>
    <row r="6242" spans="2:11" ht="14" hidden="1">
      <c r="B6242" s="1342"/>
      <c r="C6242" s="1342"/>
      <c r="D6242" s="1342"/>
      <c r="E6242" s="1342"/>
      <c r="F6242" s="1342"/>
      <c r="G6242" s="1342"/>
      <c r="H6242" s="1342"/>
      <c r="I6242" s="1342"/>
      <c r="J6242" s="1342"/>
      <c r="K6242" s="1342"/>
    </row>
    <row r="6243" spans="2:11" ht="14" hidden="1">
      <c r="B6243" s="1342"/>
      <c r="C6243" s="1342"/>
      <c r="D6243" s="1342"/>
      <c r="E6243" s="1342"/>
      <c r="F6243" s="1342"/>
      <c r="G6243" s="1342"/>
      <c r="H6243" s="1342"/>
      <c r="I6243" s="1342"/>
      <c r="J6243" s="1342"/>
      <c r="K6243" s="1342"/>
    </row>
    <row r="6244" spans="2:11" ht="14" hidden="1">
      <c r="B6244" s="1342"/>
      <c r="C6244" s="1342"/>
      <c r="D6244" s="1342"/>
      <c r="E6244" s="1342"/>
      <c r="F6244" s="1342"/>
      <c r="G6244" s="1342"/>
      <c r="H6244" s="1342"/>
      <c r="I6244" s="1342"/>
      <c r="J6244" s="1342"/>
      <c r="K6244" s="1342"/>
    </row>
    <row r="6245" spans="2:11" ht="14" hidden="1">
      <c r="B6245" s="1342"/>
      <c r="C6245" s="1342"/>
      <c r="D6245" s="1342"/>
      <c r="E6245" s="1342"/>
      <c r="F6245" s="1342"/>
      <c r="G6245" s="1342"/>
      <c r="H6245" s="1342"/>
      <c r="I6245" s="1342"/>
      <c r="J6245" s="1342"/>
      <c r="K6245" s="1342"/>
    </row>
    <row r="6246" spans="2:11" ht="14" hidden="1">
      <c r="B6246" s="1342"/>
      <c r="C6246" s="1342"/>
      <c r="D6246" s="1342"/>
      <c r="E6246" s="1342"/>
      <c r="F6246" s="1342"/>
      <c r="G6246" s="1342"/>
      <c r="H6246" s="1342"/>
      <c r="I6246" s="1342"/>
      <c r="J6246" s="1342"/>
      <c r="K6246" s="1342"/>
    </row>
    <row r="6247" spans="2:11" ht="14" hidden="1">
      <c r="B6247" s="1342"/>
      <c r="C6247" s="1342"/>
      <c r="D6247" s="1342"/>
      <c r="E6247" s="1342"/>
      <c r="F6247" s="1342"/>
      <c r="G6247" s="1342"/>
      <c r="H6247" s="1342"/>
      <c r="I6247" s="1342"/>
      <c r="J6247" s="1342"/>
      <c r="K6247" s="1342"/>
    </row>
    <row r="6248" spans="2:11" ht="14" hidden="1">
      <c r="B6248" s="1342"/>
      <c r="C6248" s="1342"/>
      <c r="D6248" s="1342"/>
      <c r="E6248" s="1342"/>
      <c r="F6248" s="1342"/>
      <c r="G6248" s="1342"/>
      <c r="H6248" s="1342"/>
      <c r="I6248" s="1342"/>
      <c r="J6248" s="1342"/>
      <c r="K6248" s="1342"/>
    </row>
    <row r="6249" spans="2:11" ht="14" hidden="1">
      <c r="B6249" s="1342"/>
      <c r="C6249" s="1342"/>
      <c r="D6249" s="1342"/>
      <c r="E6249" s="1342"/>
      <c r="F6249" s="1342"/>
      <c r="G6249" s="1342"/>
      <c r="H6249" s="1342"/>
      <c r="I6249" s="1342"/>
      <c r="J6249" s="1342"/>
      <c r="K6249" s="1342"/>
    </row>
    <row r="6250" spans="2:11" ht="14" hidden="1">
      <c r="B6250" s="1342"/>
      <c r="C6250" s="1342"/>
      <c r="D6250" s="1342"/>
      <c r="E6250" s="1342"/>
      <c r="F6250" s="1342"/>
      <c r="G6250" s="1342"/>
      <c r="H6250" s="1342"/>
      <c r="I6250" s="1342"/>
      <c r="J6250" s="1342"/>
      <c r="K6250" s="1342"/>
    </row>
    <row r="6251" spans="2:11" ht="14" hidden="1">
      <c r="B6251" s="1342"/>
      <c r="C6251" s="1342"/>
      <c r="D6251" s="1342"/>
      <c r="E6251" s="1342"/>
      <c r="F6251" s="1342"/>
      <c r="G6251" s="1342"/>
      <c r="H6251" s="1342"/>
      <c r="I6251" s="1342"/>
      <c r="J6251" s="1342"/>
      <c r="K6251" s="1342"/>
    </row>
    <row r="6252" spans="2:11" ht="14" hidden="1">
      <c r="B6252" s="1342"/>
      <c r="C6252" s="1342"/>
      <c r="D6252" s="1342"/>
      <c r="E6252" s="1342"/>
      <c r="F6252" s="1342"/>
      <c r="G6252" s="1342"/>
      <c r="H6252" s="1342"/>
      <c r="I6252" s="1342"/>
      <c r="J6252" s="1342"/>
      <c r="K6252" s="1342"/>
    </row>
    <row r="6253" spans="2:11" ht="14" hidden="1">
      <c r="B6253" s="1342"/>
      <c r="C6253" s="1342"/>
      <c r="D6253" s="1342"/>
      <c r="E6253" s="1342"/>
      <c r="F6253" s="1342"/>
      <c r="G6253" s="1342"/>
      <c r="H6253" s="1342"/>
      <c r="I6253" s="1342"/>
      <c r="J6253" s="1342"/>
      <c r="K6253" s="1342"/>
    </row>
    <row r="6254" spans="2:11" ht="14" hidden="1">
      <c r="B6254" s="1342"/>
      <c r="C6254" s="1342"/>
      <c r="D6254" s="1342"/>
      <c r="E6254" s="1342"/>
      <c r="F6254" s="1342"/>
      <c r="G6254" s="1342"/>
      <c r="H6254" s="1342"/>
      <c r="I6254" s="1342"/>
      <c r="J6254" s="1342"/>
      <c r="K6254" s="1342"/>
    </row>
    <row r="6255" spans="2:11" ht="14" hidden="1">
      <c r="B6255" s="1342"/>
      <c r="C6255" s="1342"/>
      <c r="D6255" s="1342"/>
      <c r="E6255" s="1342"/>
      <c r="F6255" s="1342"/>
      <c r="G6255" s="1342"/>
      <c r="H6255" s="1342"/>
      <c r="I6255" s="1342"/>
      <c r="J6255" s="1342"/>
      <c r="K6255" s="1342"/>
    </row>
    <row r="6256" spans="2:11" ht="14" hidden="1">
      <c r="B6256" s="1342"/>
      <c r="C6256" s="1342"/>
      <c r="D6256" s="1342"/>
      <c r="E6256" s="1342"/>
      <c r="F6256" s="1342"/>
      <c r="G6256" s="1342"/>
      <c r="H6256" s="1342"/>
      <c r="I6256" s="1342"/>
      <c r="J6256" s="1342"/>
      <c r="K6256" s="1342"/>
    </row>
    <row r="6257" spans="2:11" ht="14" hidden="1">
      <c r="B6257" s="1342"/>
      <c r="C6257" s="1342"/>
      <c r="D6257" s="1342"/>
      <c r="E6257" s="1342"/>
      <c r="F6257" s="1342"/>
      <c r="G6257" s="1342"/>
      <c r="H6257" s="1342"/>
      <c r="I6257" s="1342"/>
      <c r="J6257" s="1342"/>
      <c r="K6257" s="1342"/>
    </row>
    <row r="6258" spans="2:11" ht="14" hidden="1">
      <c r="B6258" s="1342"/>
      <c r="C6258" s="1342"/>
      <c r="D6258" s="1342"/>
      <c r="E6258" s="1342"/>
      <c r="F6258" s="1342"/>
      <c r="G6258" s="1342"/>
      <c r="H6258" s="1342"/>
      <c r="I6258" s="1342"/>
      <c r="J6258" s="1342"/>
      <c r="K6258" s="1342"/>
    </row>
    <row r="6259" spans="2:11" ht="14" hidden="1">
      <c r="B6259" s="1342"/>
      <c r="C6259" s="1342"/>
      <c r="D6259" s="1342"/>
      <c r="E6259" s="1342"/>
      <c r="F6259" s="1342"/>
      <c r="G6259" s="1342"/>
      <c r="H6259" s="1342"/>
      <c r="I6259" s="1342"/>
      <c r="J6259" s="1342"/>
      <c r="K6259" s="1342"/>
    </row>
    <row r="6260" spans="2:11" ht="14" hidden="1">
      <c r="B6260" s="1342"/>
      <c r="C6260" s="1342"/>
      <c r="D6260" s="1342"/>
      <c r="E6260" s="1342"/>
      <c r="F6260" s="1342"/>
      <c r="G6260" s="1342"/>
      <c r="H6260" s="1342"/>
      <c r="I6260" s="1342"/>
      <c r="J6260" s="1342"/>
      <c r="K6260" s="1342"/>
    </row>
    <row r="6261" spans="2:11" ht="14" hidden="1">
      <c r="B6261" s="1342"/>
      <c r="C6261" s="1342"/>
      <c r="D6261" s="1342"/>
      <c r="E6261" s="1342"/>
      <c r="F6261" s="1342"/>
      <c r="G6261" s="1342"/>
      <c r="H6261" s="1342"/>
      <c r="I6261" s="1342"/>
      <c r="J6261" s="1342"/>
      <c r="K6261" s="1342"/>
    </row>
    <row r="6262" spans="2:11" ht="14" hidden="1">
      <c r="B6262" s="1342"/>
      <c r="C6262" s="1342"/>
      <c r="D6262" s="1342"/>
      <c r="E6262" s="1342"/>
      <c r="F6262" s="1342"/>
      <c r="G6262" s="1342"/>
      <c r="H6262" s="1342"/>
      <c r="I6262" s="1342"/>
      <c r="J6262" s="1342"/>
      <c r="K6262" s="1342"/>
    </row>
    <row r="6263" spans="2:11" ht="14" hidden="1">
      <c r="B6263" s="1342"/>
      <c r="C6263" s="1342"/>
      <c r="D6263" s="1342"/>
      <c r="E6263" s="1342"/>
      <c r="F6263" s="1342"/>
      <c r="G6263" s="1342"/>
      <c r="H6263" s="1342"/>
      <c r="I6263" s="1342"/>
      <c r="J6263" s="1342"/>
      <c r="K6263" s="1342"/>
    </row>
    <row r="6264" spans="2:11" ht="14" hidden="1">
      <c r="B6264" s="1342"/>
      <c r="C6264" s="1342"/>
      <c r="D6264" s="1342"/>
      <c r="E6264" s="1342"/>
      <c r="F6264" s="1342"/>
      <c r="G6264" s="1342"/>
      <c r="H6264" s="1342"/>
      <c r="I6264" s="1342"/>
      <c r="J6264" s="1342"/>
      <c r="K6264" s="1342"/>
    </row>
    <row r="6265" spans="2:11" ht="14" hidden="1">
      <c r="B6265" s="1342"/>
      <c r="C6265" s="1342"/>
      <c r="D6265" s="1342"/>
      <c r="E6265" s="1342"/>
      <c r="F6265" s="1342"/>
      <c r="G6265" s="1342"/>
      <c r="H6265" s="1342"/>
      <c r="I6265" s="1342"/>
      <c r="J6265" s="1342"/>
      <c r="K6265" s="1342"/>
    </row>
    <row r="6266" spans="2:11" ht="14" hidden="1">
      <c r="B6266" s="1342"/>
      <c r="C6266" s="1342"/>
      <c r="D6266" s="1342"/>
      <c r="E6266" s="1342"/>
      <c r="F6266" s="1342"/>
      <c r="G6266" s="1342"/>
      <c r="H6266" s="1342"/>
      <c r="I6266" s="1342"/>
      <c r="J6266" s="1342"/>
      <c r="K6266" s="1342"/>
    </row>
    <row r="6267" spans="2:11" ht="14" hidden="1">
      <c r="B6267" s="1342"/>
      <c r="C6267" s="1342"/>
      <c r="D6267" s="1342"/>
      <c r="E6267" s="1342"/>
      <c r="F6267" s="1342"/>
      <c r="G6267" s="1342"/>
      <c r="H6267" s="1342"/>
      <c r="I6267" s="1342"/>
      <c r="J6267" s="1342"/>
      <c r="K6267" s="1342"/>
    </row>
    <row r="6268" spans="2:11" ht="14" hidden="1">
      <c r="B6268" s="1342"/>
      <c r="C6268" s="1342"/>
      <c r="D6268" s="1342"/>
      <c r="E6268" s="1342"/>
      <c r="F6268" s="1342"/>
      <c r="G6268" s="1342"/>
      <c r="H6268" s="1342"/>
      <c r="I6268" s="1342"/>
      <c r="J6268" s="1342"/>
      <c r="K6268" s="1342"/>
    </row>
    <row r="6269" spans="2:11" ht="14" hidden="1">
      <c r="B6269" s="1342"/>
      <c r="C6269" s="1342"/>
      <c r="D6269" s="1342"/>
      <c r="E6269" s="1342"/>
      <c r="F6269" s="1342"/>
      <c r="G6269" s="1342"/>
      <c r="H6269" s="1342"/>
      <c r="I6269" s="1342"/>
      <c r="J6269" s="1342"/>
      <c r="K6269" s="1342"/>
    </row>
    <row r="6270" spans="2:11" ht="14" hidden="1">
      <c r="B6270" s="1342"/>
      <c r="C6270" s="1342"/>
      <c r="D6270" s="1342"/>
      <c r="E6270" s="1342"/>
      <c r="F6270" s="1342"/>
      <c r="G6270" s="1342"/>
      <c r="H6270" s="1342"/>
      <c r="I6270" s="1342"/>
      <c r="J6270" s="1342"/>
      <c r="K6270" s="1342"/>
    </row>
    <row r="6271" spans="2:11" ht="14" hidden="1">
      <c r="B6271" s="1342"/>
      <c r="C6271" s="1342"/>
      <c r="D6271" s="1342"/>
      <c r="E6271" s="1342"/>
      <c r="F6271" s="1342"/>
      <c r="G6271" s="1342"/>
      <c r="H6271" s="1342"/>
      <c r="I6271" s="1342"/>
      <c r="J6271" s="1342"/>
      <c r="K6271" s="1342"/>
    </row>
    <row r="6272" spans="2:11" ht="14" hidden="1">
      <c r="B6272" s="1342"/>
      <c r="C6272" s="1342"/>
      <c r="D6272" s="1342"/>
      <c r="E6272" s="1342"/>
      <c r="F6272" s="1342"/>
      <c r="G6272" s="1342"/>
      <c r="H6272" s="1342"/>
      <c r="I6272" s="1342"/>
      <c r="J6272" s="1342"/>
      <c r="K6272" s="1342"/>
    </row>
    <row r="6273" spans="2:11" ht="14" hidden="1">
      <c r="B6273" s="1342"/>
      <c r="C6273" s="1342"/>
      <c r="D6273" s="1342"/>
      <c r="E6273" s="1342"/>
      <c r="F6273" s="1342"/>
      <c r="G6273" s="1342"/>
      <c r="H6273" s="1342"/>
      <c r="I6273" s="1342"/>
      <c r="J6273" s="1342"/>
      <c r="K6273" s="1342"/>
    </row>
    <row r="6274" spans="2:11" ht="14" hidden="1">
      <c r="B6274" s="1342"/>
      <c r="C6274" s="1342"/>
      <c r="D6274" s="1342"/>
      <c r="E6274" s="1342"/>
      <c r="F6274" s="1342"/>
      <c r="G6274" s="1342"/>
      <c r="H6274" s="1342"/>
      <c r="I6274" s="1342"/>
      <c r="J6274" s="1342"/>
      <c r="K6274" s="1342"/>
    </row>
    <row r="6275" spans="2:11" ht="14" hidden="1">
      <c r="B6275" s="1342"/>
      <c r="C6275" s="1342"/>
      <c r="D6275" s="1342"/>
      <c r="E6275" s="1342"/>
      <c r="F6275" s="1342"/>
      <c r="G6275" s="1342"/>
      <c r="H6275" s="1342"/>
      <c r="I6275" s="1342"/>
      <c r="J6275" s="1342"/>
      <c r="K6275" s="1342"/>
    </row>
    <row r="6276" spans="2:11" ht="14" hidden="1">
      <c r="B6276" s="1342"/>
      <c r="C6276" s="1342"/>
      <c r="D6276" s="1342"/>
      <c r="E6276" s="1342"/>
      <c r="F6276" s="1342"/>
      <c r="G6276" s="1342"/>
      <c r="H6276" s="1342"/>
      <c r="I6276" s="1342"/>
      <c r="J6276" s="1342"/>
      <c r="K6276" s="1342"/>
    </row>
    <row r="6277" spans="2:11" ht="14" hidden="1">
      <c r="B6277" s="1342"/>
      <c r="C6277" s="1342"/>
      <c r="D6277" s="1342"/>
      <c r="E6277" s="1342"/>
      <c r="F6277" s="1342"/>
      <c r="G6277" s="1342"/>
      <c r="H6277" s="1342"/>
      <c r="I6277" s="1342"/>
      <c r="J6277" s="1342"/>
      <c r="K6277" s="1342"/>
    </row>
    <row r="6278" spans="2:11" ht="14" hidden="1">
      <c r="B6278" s="1342"/>
      <c r="C6278" s="1342"/>
      <c r="D6278" s="1342"/>
      <c r="E6278" s="1342"/>
      <c r="F6278" s="1342"/>
      <c r="G6278" s="1342"/>
      <c r="H6278" s="1342"/>
      <c r="I6278" s="1342"/>
      <c r="J6278" s="1342"/>
      <c r="K6278" s="1342"/>
    </row>
    <row r="6279" spans="2:11" ht="14" hidden="1">
      <c r="B6279" s="1342"/>
      <c r="C6279" s="1342"/>
      <c r="D6279" s="1342"/>
      <c r="E6279" s="1342"/>
      <c r="F6279" s="1342"/>
      <c r="G6279" s="1342"/>
      <c r="H6279" s="1342"/>
      <c r="I6279" s="1342"/>
      <c r="J6279" s="1342"/>
      <c r="K6279" s="1342"/>
    </row>
    <row r="6280" spans="2:11" ht="14" hidden="1">
      <c r="B6280" s="1342"/>
      <c r="C6280" s="1342"/>
      <c r="D6280" s="1342"/>
      <c r="E6280" s="1342"/>
      <c r="F6280" s="1342"/>
      <c r="G6280" s="1342"/>
      <c r="H6280" s="1342"/>
      <c r="I6280" s="1342"/>
      <c r="J6280" s="1342"/>
      <c r="K6280" s="1342"/>
    </row>
    <row r="6281" spans="2:11" ht="14" hidden="1">
      <c r="B6281" s="1342"/>
      <c r="C6281" s="1342"/>
      <c r="D6281" s="1342"/>
      <c r="E6281" s="1342"/>
      <c r="F6281" s="1342"/>
      <c r="G6281" s="1342"/>
      <c r="H6281" s="1342"/>
      <c r="I6281" s="1342"/>
      <c r="J6281" s="1342"/>
      <c r="K6281" s="1342"/>
    </row>
    <row r="6282" spans="2:11" ht="14" hidden="1">
      <c r="B6282" s="1342"/>
      <c r="C6282" s="1342"/>
      <c r="D6282" s="1342"/>
      <c r="E6282" s="1342"/>
      <c r="F6282" s="1342"/>
      <c r="G6282" s="1342"/>
      <c r="H6282" s="1342"/>
      <c r="I6282" s="1342"/>
      <c r="J6282" s="1342"/>
      <c r="K6282" s="1342"/>
    </row>
    <row r="6283" spans="2:11" ht="14" hidden="1">
      <c r="B6283" s="1342"/>
      <c r="C6283" s="1342"/>
      <c r="D6283" s="1342"/>
      <c r="E6283" s="1342"/>
      <c r="F6283" s="1342"/>
      <c r="G6283" s="1342"/>
      <c r="H6283" s="1342"/>
      <c r="I6283" s="1342"/>
      <c r="J6283" s="1342"/>
      <c r="K6283" s="1342"/>
    </row>
    <row r="6284" spans="2:11" ht="14" hidden="1">
      <c r="B6284" s="1342"/>
      <c r="C6284" s="1342"/>
      <c r="D6284" s="1342"/>
      <c r="E6284" s="1342"/>
      <c r="F6284" s="1342"/>
      <c r="G6284" s="1342"/>
      <c r="H6284" s="1342"/>
      <c r="I6284" s="1342"/>
      <c r="J6284" s="1342"/>
      <c r="K6284" s="1342"/>
    </row>
    <row r="6285" spans="2:11" ht="14" hidden="1">
      <c r="B6285" s="1342"/>
      <c r="C6285" s="1342"/>
      <c r="D6285" s="1342"/>
      <c r="E6285" s="1342"/>
      <c r="F6285" s="1342"/>
      <c r="G6285" s="1342"/>
      <c r="H6285" s="1342"/>
      <c r="I6285" s="1342"/>
      <c r="J6285" s="1342"/>
      <c r="K6285" s="1342"/>
    </row>
    <row r="6286" spans="2:11" ht="14" hidden="1">
      <c r="B6286" s="1342"/>
      <c r="C6286" s="1342"/>
      <c r="D6286" s="1342"/>
      <c r="E6286" s="1342"/>
      <c r="F6286" s="1342"/>
      <c r="G6286" s="1342"/>
      <c r="H6286" s="1342"/>
      <c r="I6286" s="1342"/>
      <c r="J6286" s="1342"/>
      <c r="K6286" s="1342"/>
    </row>
    <row r="6287" spans="2:11" ht="14" hidden="1">
      <c r="B6287" s="1342"/>
      <c r="C6287" s="1342"/>
      <c r="D6287" s="1342"/>
      <c r="E6287" s="1342"/>
      <c r="F6287" s="1342"/>
      <c r="G6287" s="1342"/>
      <c r="H6287" s="1342"/>
      <c r="I6287" s="1342"/>
      <c r="J6287" s="1342"/>
      <c r="K6287" s="1342"/>
    </row>
    <row r="6288" spans="2:11" ht="14" hidden="1">
      <c r="B6288" s="1342"/>
      <c r="C6288" s="1342"/>
      <c r="D6288" s="1342"/>
      <c r="E6288" s="1342"/>
      <c r="F6288" s="1342"/>
      <c r="G6288" s="1342"/>
      <c r="H6288" s="1342"/>
      <c r="I6288" s="1342"/>
      <c r="J6288" s="1342"/>
      <c r="K6288" s="1342"/>
    </row>
    <row r="6289" spans="2:11" ht="14" hidden="1">
      <c r="B6289" s="1342"/>
      <c r="C6289" s="1342"/>
      <c r="D6289" s="1342"/>
      <c r="E6289" s="1342"/>
      <c r="F6289" s="1342"/>
      <c r="G6289" s="1342"/>
      <c r="H6289" s="1342"/>
      <c r="I6289" s="1342"/>
      <c r="J6289" s="1342"/>
      <c r="K6289" s="1342"/>
    </row>
    <row r="6290" spans="2:11" ht="14" hidden="1">
      <c r="B6290" s="1342"/>
      <c r="C6290" s="1342"/>
      <c r="D6290" s="1342"/>
      <c r="E6290" s="1342"/>
      <c r="F6290" s="1342"/>
      <c r="G6290" s="1342"/>
      <c r="H6290" s="1342"/>
      <c r="I6290" s="1342"/>
      <c r="J6290" s="1342"/>
      <c r="K6290" s="1342"/>
    </row>
    <row r="6291" spans="2:11" ht="14" hidden="1">
      <c r="B6291" s="1342"/>
      <c r="C6291" s="1342"/>
      <c r="D6291" s="1342"/>
      <c r="E6291" s="1342"/>
      <c r="F6291" s="1342"/>
      <c r="G6291" s="1342"/>
      <c r="H6291" s="1342"/>
      <c r="I6291" s="1342"/>
      <c r="J6291" s="1342"/>
      <c r="K6291" s="1342"/>
    </row>
    <row r="6292" spans="2:11" ht="14" hidden="1">
      <c r="B6292" s="1342"/>
      <c r="C6292" s="1342"/>
      <c r="D6292" s="1342"/>
      <c r="E6292" s="1342"/>
      <c r="F6292" s="1342"/>
      <c r="G6292" s="1342"/>
      <c r="H6292" s="1342"/>
      <c r="I6292" s="1342"/>
      <c r="J6292" s="1342"/>
      <c r="K6292" s="1342"/>
    </row>
    <row r="6293" spans="2:11" ht="14" hidden="1">
      <c r="B6293" s="1342"/>
      <c r="C6293" s="1342"/>
      <c r="D6293" s="1342"/>
      <c r="E6293" s="1342"/>
      <c r="F6293" s="1342"/>
      <c r="G6293" s="1342"/>
      <c r="H6293" s="1342"/>
      <c r="I6293" s="1342"/>
      <c r="J6293" s="1342"/>
      <c r="K6293" s="1342"/>
    </row>
    <row r="6294" spans="2:11" ht="14" hidden="1">
      <c r="B6294" s="1342"/>
      <c r="C6294" s="1342"/>
      <c r="D6294" s="1342"/>
      <c r="E6294" s="1342"/>
      <c r="F6294" s="1342"/>
      <c r="G6294" s="1342"/>
      <c r="H6294" s="1342"/>
      <c r="I6294" s="1342"/>
      <c r="J6294" s="1342"/>
      <c r="K6294" s="1342"/>
    </row>
    <row r="6295" spans="2:11" ht="14" hidden="1">
      <c r="B6295" s="1342"/>
      <c r="C6295" s="1342"/>
      <c r="D6295" s="1342"/>
      <c r="E6295" s="1342"/>
      <c r="F6295" s="1342"/>
      <c r="G6295" s="1342"/>
      <c r="H6295" s="1342"/>
      <c r="I6295" s="1342"/>
      <c r="J6295" s="1342"/>
      <c r="K6295" s="1342"/>
    </row>
    <row r="6296" spans="2:11" ht="14" hidden="1">
      <c r="B6296" s="1342"/>
      <c r="C6296" s="1342"/>
      <c r="D6296" s="1342"/>
      <c r="E6296" s="1342"/>
      <c r="F6296" s="1342"/>
      <c r="G6296" s="1342"/>
      <c r="H6296" s="1342"/>
      <c r="I6296" s="1342"/>
      <c r="J6296" s="1342"/>
      <c r="K6296" s="1342"/>
    </row>
    <row r="6297" spans="2:11" ht="14" hidden="1">
      <c r="B6297" s="1342"/>
      <c r="C6297" s="1342"/>
      <c r="D6297" s="1342"/>
      <c r="E6297" s="1342"/>
      <c r="F6297" s="1342"/>
      <c r="G6297" s="1342"/>
      <c r="H6297" s="1342"/>
      <c r="I6297" s="1342"/>
      <c r="J6297" s="1342"/>
      <c r="K6297" s="1342"/>
    </row>
    <row r="6298" spans="2:11" ht="14" hidden="1">
      <c r="B6298" s="1342"/>
      <c r="C6298" s="1342"/>
      <c r="D6298" s="1342"/>
      <c r="E6298" s="1342"/>
      <c r="F6298" s="1342"/>
      <c r="G6298" s="1342"/>
      <c r="H6298" s="1342"/>
      <c r="I6298" s="1342"/>
      <c r="J6298" s="1342"/>
      <c r="K6298" s="1342"/>
    </row>
    <row r="6299" spans="2:11" ht="14" hidden="1">
      <c r="B6299" s="1342"/>
      <c r="C6299" s="1342"/>
      <c r="D6299" s="1342"/>
      <c r="E6299" s="1342"/>
      <c r="F6299" s="1342"/>
      <c r="G6299" s="1342"/>
      <c r="H6299" s="1342"/>
      <c r="I6299" s="1342"/>
      <c r="J6299" s="1342"/>
      <c r="K6299" s="1342"/>
    </row>
    <row r="6300" spans="2:11" ht="14" hidden="1">
      <c r="B6300" s="1342"/>
      <c r="C6300" s="1342"/>
      <c r="D6300" s="1342"/>
      <c r="E6300" s="1342"/>
      <c r="F6300" s="1342"/>
      <c r="G6300" s="1342"/>
      <c r="H6300" s="1342"/>
      <c r="I6300" s="1342"/>
      <c r="J6300" s="1342"/>
      <c r="K6300" s="1342"/>
    </row>
    <row r="6301" spans="2:11" ht="14" hidden="1">
      <c r="B6301" s="1342"/>
      <c r="C6301" s="1342"/>
      <c r="D6301" s="1342"/>
      <c r="E6301" s="1342"/>
      <c r="F6301" s="1342"/>
      <c r="G6301" s="1342"/>
      <c r="H6301" s="1342"/>
      <c r="I6301" s="1342"/>
      <c r="J6301" s="1342"/>
      <c r="K6301" s="1342"/>
    </row>
    <row r="6302" spans="2:11" ht="14" hidden="1">
      <c r="B6302" s="1342"/>
      <c r="C6302" s="1342"/>
      <c r="D6302" s="1342"/>
      <c r="E6302" s="1342"/>
      <c r="F6302" s="1342"/>
      <c r="G6302" s="1342"/>
      <c r="H6302" s="1342"/>
      <c r="I6302" s="1342"/>
      <c r="J6302" s="1342"/>
      <c r="K6302" s="1342"/>
    </row>
    <row r="6303" spans="2:11" ht="14" hidden="1">
      <c r="B6303" s="1342"/>
      <c r="C6303" s="1342"/>
      <c r="D6303" s="1342"/>
      <c r="E6303" s="1342"/>
      <c r="F6303" s="1342"/>
      <c r="G6303" s="1342"/>
      <c r="H6303" s="1342"/>
      <c r="I6303" s="1342"/>
      <c r="J6303" s="1342"/>
      <c r="K6303" s="1342"/>
    </row>
    <row r="6304" spans="2:11" ht="14" hidden="1">
      <c r="B6304" s="1342"/>
      <c r="C6304" s="1342"/>
      <c r="D6304" s="1342"/>
      <c r="E6304" s="1342"/>
      <c r="F6304" s="1342"/>
      <c r="G6304" s="1342"/>
      <c r="H6304" s="1342"/>
      <c r="I6304" s="1342"/>
      <c r="J6304" s="1342"/>
      <c r="K6304" s="1342"/>
    </row>
    <row r="6305" spans="2:11" ht="14" hidden="1">
      <c r="B6305" s="1342"/>
      <c r="C6305" s="1342"/>
      <c r="D6305" s="1342"/>
      <c r="E6305" s="1342"/>
      <c r="F6305" s="1342"/>
      <c r="G6305" s="1342"/>
      <c r="H6305" s="1342"/>
      <c r="I6305" s="1342"/>
      <c r="J6305" s="1342"/>
      <c r="K6305" s="1342"/>
    </row>
    <row r="6306" spans="2:11" ht="14" hidden="1">
      <c r="B6306" s="1342"/>
      <c r="C6306" s="1342"/>
      <c r="D6306" s="1342"/>
      <c r="E6306" s="1342"/>
      <c r="F6306" s="1342"/>
      <c r="G6306" s="1342"/>
      <c r="H6306" s="1342"/>
      <c r="I6306" s="1342"/>
      <c r="J6306" s="1342"/>
      <c r="K6306" s="1342"/>
    </row>
    <row r="6307" spans="2:11" ht="14" hidden="1">
      <c r="B6307" s="1342"/>
      <c r="C6307" s="1342"/>
      <c r="D6307" s="1342"/>
      <c r="E6307" s="1342"/>
      <c r="F6307" s="1342"/>
      <c r="G6307" s="1342"/>
      <c r="H6307" s="1342"/>
      <c r="I6307" s="1342"/>
      <c r="J6307" s="1342"/>
      <c r="K6307" s="1342"/>
    </row>
    <row r="6308" spans="2:11" ht="14" hidden="1">
      <c r="B6308" s="1342"/>
      <c r="C6308" s="1342"/>
      <c r="D6308" s="1342"/>
      <c r="E6308" s="1342"/>
      <c r="F6308" s="1342"/>
      <c r="G6308" s="1342"/>
      <c r="H6308" s="1342"/>
      <c r="I6308" s="1342"/>
      <c r="J6308" s="1342"/>
      <c r="K6308" s="1342"/>
    </row>
    <row r="6309" spans="2:11" ht="14" hidden="1">
      <c r="B6309" s="1342"/>
      <c r="C6309" s="1342"/>
      <c r="D6309" s="1342"/>
      <c r="E6309" s="1342"/>
      <c r="F6309" s="1342"/>
      <c r="G6309" s="1342"/>
      <c r="H6309" s="1342"/>
      <c r="I6309" s="1342"/>
      <c r="J6309" s="1342"/>
      <c r="K6309" s="1342"/>
    </row>
    <row r="6310" spans="2:11" ht="14" hidden="1">
      <c r="B6310" s="1342"/>
      <c r="C6310" s="1342"/>
      <c r="D6310" s="1342"/>
      <c r="E6310" s="1342"/>
      <c r="F6310" s="1342"/>
      <c r="G6310" s="1342"/>
      <c r="H6310" s="1342"/>
      <c r="I6310" s="1342"/>
      <c r="J6310" s="1342"/>
      <c r="K6310" s="1342"/>
    </row>
    <row r="6311" spans="2:11" ht="14" hidden="1">
      <c r="B6311" s="1342"/>
      <c r="C6311" s="1342"/>
      <c r="D6311" s="1342"/>
      <c r="E6311" s="1342"/>
      <c r="F6311" s="1342"/>
      <c r="G6311" s="1342"/>
      <c r="H6311" s="1342"/>
      <c r="I6311" s="1342"/>
      <c r="J6311" s="1342"/>
      <c r="K6311" s="1342"/>
    </row>
    <row r="6312" spans="2:11" ht="14" hidden="1">
      <c r="B6312" s="1342"/>
      <c r="C6312" s="1342"/>
      <c r="D6312" s="1342"/>
      <c r="E6312" s="1342"/>
      <c r="F6312" s="1342"/>
      <c r="G6312" s="1342"/>
      <c r="H6312" s="1342"/>
      <c r="I6312" s="1342"/>
      <c r="J6312" s="1342"/>
      <c r="K6312" s="1342"/>
    </row>
    <row r="6313" spans="2:11" ht="14" hidden="1">
      <c r="B6313" s="1342"/>
      <c r="C6313" s="1342"/>
      <c r="D6313" s="1342"/>
      <c r="E6313" s="1342"/>
      <c r="F6313" s="1342"/>
      <c r="G6313" s="1342"/>
      <c r="H6313" s="1342"/>
      <c r="I6313" s="1342"/>
      <c r="J6313" s="1342"/>
      <c r="K6313" s="1342"/>
    </row>
    <row r="6314" spans="2:11" ht="14" hidden="1">
      <c r="B6314" s="1342"/>
      <c r="C6314" s="1342"/>
      <c r="D6314" s="1342"/>
      <c r="E6314" s="1342"/>
      <c r="F6314" s="1342"/>
      <c r="G6314" s="1342"/>
      <c r="H6314" s="1342"/>
      <c r="I6314" s="1342"/>
      <c r="J6314" s="1342"/>
      <c r="K6314" s="1342"/>
    </row>
    <row r="6315" spans="2:11" ht="14" hidden="1">
      <c r="B6315" s="1342"/>
      <c r="C6315" s="1342"/>
      <c r="D6315" s="1342"/>
      <c r="E6315" s="1342"/>
      <c r="F6315" s="1342"/>
      <c r="G6315" s="1342"/>
      <c r="H6315" s="1342"/>
      <c r="I6315" s="1342"/>
      <c r="J6315" s="1342"/>
      <c r="K6315" s="1342"/>
    </row>
    <row r="6316" spans="2:11" ht="14" hidden="1">
      <c r="B6316" s="1342"/>
      <c r="C6316" s="1342"/>
      <c r="D6316" s="1342"/>
      <c r="E6316" s="1342"/>
      <c r="F6316" s="1342"/>
      <c r="G6316" s="1342"/>
      <c r="H6316" s="1342"/>
      <c r="I6316" s="1342"/>
      <c r="J6316" s="1342"/>
      <c r="K6316" s="1342"/>
    </row>
    <row r="6317" spans="2:11" ht="14" hidden="1">
      <c r="B6317" s="1342"/>
      <c r="C6317" s="1342"/>
      <c r="D6317" s="1342"/>
      <c r="E6317" s="1342"/>
      <c r="F6317" s="1342"/>
      <c r="G6317" s="1342"/>
      <c r="H6317" s="1342"/>
      <c r="I6317" s="1342"/>
      <c r="J6317" s="1342"/>
      <c r="K6317" s="1342"/>
    </row>
    <row r="6318" spans="2:11" ht="14" hidden="1">
      <c r="B6318" s="1342"/>
      <c r="C6318" s="1342"/>
      <c r="D6318" s="1342"/>
      <c r="E6318" s="1342"/>
      <c r="F6318" s="1342"/>
      <c r="G6318" s="1342"/>
      <c r="H6318" s="1342"/>
      <c r="I6318" s="1342"/>
      <c r="J6318" s="1342"/>
      <c r="K6318" s="1342"/>
    </row>
    <row r="6319" spans="2:11" ht="14" hidden="1">
      <c r="B6319" s="1342"/>
      <c r="C6319" s="1342"/>
      <c r="D6319" s="1342"/>
      <c r="E6319" s="1342"/>
      <c r="F6319" s="1342"/>
      <c r="G6319" s="1342"/>
      <c r="H6319" s="1342"/>
      <c r="I6319" s="1342"/>
      <c r="J6319" s="1342"/>
      <c r="K6319" s="1342"/>
    </row>
    <row r="6320" spans="2:11" ht="14" hidden="1">
      <c r="B6320" s="1342"/>
      <c r="C6320" s="1342"/>
      <c r="D6320" s="1342"/>
      <c r="E6320" s="1342"/>
      <c r="F6320" s="1342"/>
      <c r="G6320" s="1342"/>
      <c r="H6320" s="1342"/>
      <c r="I6320" s="1342"/>
      <c r="J6320" s="1342"/>
      <c r="K6320" s="1342"/>
    </row>
    <row r="6321" spans="2:11" ht="14" hidden="1">
      <c r="B6321" s="1342"/>
      <c r="C6321" s="1342"/>
      <c r="D6321" s="1342"/>
      <c r="E6321" s="1342"/>
      <c r="F6321" s="1342"/>
      <c r="G6321" s="1342"/>
      <c r="H6321" s="1342"/>
      <c r="I6321" s="1342"/>
      <c r="J6321" s="1342"/>
      <c r="K6321" s="1342"/>
    </row>
    <row r="6322" spans="2:11" ht="14" hidden="1">
      <c r="B6322" s="1342"/>
      <c r="C6322" s="1342"/>
      <c r="D6322" s="1342"/>
      <c r="E6322" s="1342"/>
      <c r="F6322" s="1342"/>
      <c r="G6322" s="1342"/>
      <c r="H6322" s="1342"/>
      <c r="I6322" s="1342"/>
      <c r="J6322" s="1342"/>
      <c r="K6322" s="1342"/>
    </row>
    <row r="6323" spans="2:11" ht="14" hidden="1">
      <c r="B6323" s="1342"/>
      <c r="C6323" s="1342"/>
      <c r="D6323" s="1342"/>
      <c r="E6323" s="1342"/>
      <c r="F6323" s="1342"/>
      <c r="G6323" s="1342"/>
      <c r="H6323" s="1342"/>
      <c r="I6323" s="1342"/>
      <c r="J6323" s="1342"/>
      <c r="K6323" s="1342"/>
    </row>
    <row r="6324" spans="2:11" ht="14" hidden="1">
      <c r="B6324" s="1342"/>
      <c r="C6324" s="1342"/>
      <c r="D6324" s="1342"/>
      <c r="E6324" s="1342"/>
      <c r="F6324" s="1342"/>
      <c r="G6324" s="1342"/>
      <c r="H6324" s="1342"/>
      <c r="I6324" s="1342"/>
      <c r="J6324" s="1342"/>
      <c r="K6324" s="1342"/>
    </row>
    <row r="6325" spans="2:11" ht="14" hidden="1">
      <c r="B6325" s="1342"/>
      <c r="C6325" s="1342"/>
      <c r="D6325" s="1342"/>
      <c r="E6325" s="1342"/>
      <c r="F6325" s="1342"/>
      <c r="G6325" s="1342"/>
      <c r="H6325" s="1342"/>
      <c r="I6325" s="1342"/>
      <c r="J6325" s="1342"/>
      <c r="K6325" s="1342"/>
    </row>
    <row r="6326" spans="2:11" ht="14" hidden="1">
      <c r="B6326" s="1342"/>
      <c r="C6326" s="1342"/>
      <c r="D6326" s="1342"/>
      <c r="E6326" s="1342"/>
      <c r="F6326" s="1342"/>
      <c r="G6326" s="1342"/>
      <c r="H6326" s="1342"/>
      <c r="I6326" s="1342"/>
      <c r="J6326" s="1342"/>
      <c r="K6326" s="1342"/>
    </row>
    <row r="6327" spans="2:11" ht="14" hidden="1">
      <c r="B6327" s="1342"/>
      <c r="C6327" s="1342"/>
      <c r="D6327" s="1342"/>
      <c r="E6327" s="1342"/>
      <c r="F6327" s="1342"/>
      <c r="G6327" s="1342"/>
      <c r="H6327" s="1342"/>
      <c r="I6327" s="1342"/>
      <c r="J6327" s="1342"/>
      <c r="K6327" s="1342"/>
    </row>
    <row r="6328" spans="2:11" ht="14" hidden="1">
      <c r="B6328" s="1342"/>
      <c r="C6328" s="1342"/>
      <c r="D6328" s="1342"/>
      <c r="E6328" s="1342"/>
      <c r="F6328" s="1342"/>
      <c r="G6328" s="1342"/>
      <c r="H6328" s="1342"/>
      <c r="I6328" s="1342"/>
      <c r="J6328" s="1342"/>
      <c r="K6328" s="1342"/>
    </row>
    <row r="6329" spans="2:11" ht="14" hidden="1">
      <c r="B6329" s="1342"/>
      <c r="C6329" s="1342"/>
      <c r="D6329" s="1342"/>
      <c r="E6329" s="1342"/>
      <c r="F6329" s="1342"/>
      <c r="G6329" s="1342"/>
      <c r="H6329" s="1342"/>
      <c r="I6329" s="1342"/>
      <c r="J6329" s="1342"/>
      <c r="K6329" s="1342"/>
    </row>
    <row r="6330" spans="2:11" ht="14" hidden="1">
      <c r="B6330" s="1342"/>
      <c r="C6330" s="1342"/>
      <c r="D6330" s="1342"/>
      <c r="E6330" s="1342"/>
      <c r="F6330" s="1342"/>
      <c r="G6330" s="1342"/>
      <c r="H6330" s="1342"/>
      <c r="I6330" s="1342"/>
      <c r="J6330" s="1342"/>
      <c r="K6330" s="1342"/>
    </row>
    <row r="6331" spans="2:11" ht="14" hidden="1">
      <c r="B6331" s="1342"/>
      <c r="C6331" s="1342"/>
      <c r="D6331" s="1342"/>
      <c r="E6331" s="1342"/>
      <c r="F6331" s="1342"/>
      <c r="G6331" s="1342"/>
      <c r="H6331" s="1342"/>
      <c r="I6331" s="1342"/>
      <c r="J6331" s="1342"/>
      <c r="K6331" s="1342"/>
    </row>
    <row r="6332" spans="2:11" ht="14" hidden="1">
      <c r="B6332" s="1342"/>
      <c r="C6332" s="1342"/>
      <c r="D6332" s="1342"/>
      <c r="E6332" s="1342"/>
      <c r="F6332" s="1342"/>
      <c r="G6332" s="1342"/>
      <c r="H6332" s="1342"/>
      <c r="I6332" s="1342"/>
      <c r="J6332" s="1342"/>
      <c r="K6332" s="1342"/>
    </row>
    <row r="6333" spans="2:11" ht="14" hidden="1">
      <c r="B6333" s="1342"/>
      <c r="C6333" s="1342"/>
      <c r="D6333" s="1342"/>
      <c r="E6333" s="1342"/>
      <c r="F6333" s="1342"/>
      <c r="G6333" s="1342"/>
      <c r="H6333" s="1342"/>
      <c r="I6333" s="1342"/>
      <c r="J6333" s="1342"/>
      <c r="K6333" s="1342"/>
    </row>
    <row r="6334" spans="2:11" ht="14" hidden="1">
      <c r="B6334" s="1342"/>
      <c r="C6334" s="1342"/>
      <c r="D6334" s="1342"/>
      <c r="E6334" s="1342"/>
      <c r="F6334" s="1342"/>
      <c r="G6334" s="1342"/>
      <c r="H6334" s="1342"/>
      <c r="I6334" s="1342"/>
      <c r="J6334" s="1342"/>
      <c r="K6334" s="1342"/>
    </row>
    <row r="6335" spans="2:11" ht="14" hidden="1">
      <c r="B6335" s="1342"/>
      <c r="C6335" s="1342"/>
      <c r="D6335" s="1342"/>
      <c r="E6335" s="1342"/>
      <c r="F6335" s="1342"/>
      <c r="G6335" s="1342"/>
      <c r="H6335" s="1342"/>
      <c r="I6335" s="1342"/>
      <c r="J6335" s="1342"/>
      <c r="K6335" s="1342"/>
    </row>
    <row r="6336" spans="2:11" ht="14" hidden="1">
      <c r="B6336" s="1342"/>
      <c r="C6336" s="1342"/>
      <c r="D6336" s="1342"/>
      <c r="E6336" s="1342"/>
      <c r="F6336" s="1342"/>
      <c r="G6336" s="1342"/>
      <c r="H6336" s="1342"/>
      <c r="I6336" s="1342"/>
      <c r="J6336" s="1342"/>
      <c r="K6336" s="1342"/>
    </row>
    <row r="6337" spans="2:11" ht="14" hidden="1">
      <c r="B6337" s="1342"/>
      <c r="C6337" s="1342"/>
      <c r="D6337" s="1342"/>
      <c r="E6337" s="1342"/>
      <c r="F6337" s="1342"/>
      <c r="G6337" s="1342"/>
      <c r="H6337" s="1342"/>
      <c r="I6337" s="1342"/>
      <c r="J6337" s="1342"/>
      <c r="K6337" s="1342"/>
    </row>
    <row r="6338" spans="2:11" ht="14" hidden="1">
      <c r="B6338" s="1342"/>
      <c r="C6338" s="1342"/>
      <c r="D6338" s="1342"/>
      <c r="E6338" s="1342"/>
      <c r="F6338" s="1342"/>
      <c r="G6338" s="1342"/>
      <c r="H6338" s="1342"/>
      <c r="I6338" s="1342"/>
      <c r="J6338" s="1342"/>
      <c r="K6338" s="1342"/>
    </row>
    <row r="6339" spans="2:11" ht="14" hidden="1">
      <c r="B6339" s="1342"/>
      <c r="C6339" s="1342"/>
      <c r="D6339" s="1342"/>
      <c r="E6339" s="1342"/>
      <c r="F6339" s="1342"/>
      <c r="G6339" s="1342"/>
      <c r="H6339" s="1342"/>
      <c r="I6339" s="1342"/>
      <c r="J6339" s="1342"/>
      <c r="K6339" s="1342"/>
    </row>
    <row r="6340" spans="2:11" ht="14" hidden="1">
      <c r="B6340" s="1342"/>
      <c r="C6340" s="1342"/>
      <c r="D6340" s="1342"/>
      <c r="E6340" s="1342"/>
      <c r="F6340" s="1342"/>
      <c r="G6340" s="1342"/>
      <c r="H6340" s="1342"/>
      <c r="I6340" s="1342"/>
      <c r="J6340" s="1342"/>
      <c r="K6340" s="1342"/>
    </row>
    <row r="6341" spans="2:11" ht="14" hidden="1">
      <c r="B6341" s="1342"/>
      <c r="C6341" s="1342"/>
      <c r="D6341" s="1342"/>
      <c r="E6341" s="1342"/>
      <c r="F6341" s="1342"/>
      <c r="G6341" s="1342"/>
      <c r="H6341" s="1342"/>
      <c r="I6341" s="1342"/>
      <c r="J6341" s="1342"/>
      <c r="K6341" s="1342"/>
    </row>
    <row r="6342" spans="2:11" ht="14" hidden="1">
      <c r="B6342" s="1342"/>
      <c r="C6342" s="1342"/>
      <c r="D6342" s="1342"/>
      <c r="E6342" s="1342"/>
      <c r="F6342" s="1342"/>
      <c r="G6342" s="1342"/>
      <c r="H6342" s="1342"/>
      <c r="I6342" s="1342"/>
      <c r="J6342" s="1342"/>
      <c r="K6342" s="1342"/>
    </row>
    <row r="6343" spans="2:11" ht="14" hidden="1">
      <c r="B6343" s="1342"/>
      <c r="C6343" s="1342"/>
      <c r="D6343" s="1342"/>
      <c r="E6343" s="1342"/>
      <c r="F6343" s="1342"/>
      <c r="G6343" s="1342"/>
      <c r="H6343" s="1342"/>
      <c r="I6343" s="1342"/>
      <c r="J6343" s="1342"/>
      <c r="K6343" s="1342"/>
    </row>
    <row r="6344" spans="2:11" ht="14" hidden="1">
      <c r="B6344" s="1342"/>
      <c r="C6344" s="1342"/>
      <c r="D6344" s="1342"/>
      <c r="E6344" s="1342"/>
      <c r="F6344" s="1342"/>
      <c r="G6344" s="1342"/>
      <c r="H6344" s="1342"/>
      <c r="I6344" s="1342"/>
      <c r="J6344" s="1342"/>
      <c r="K6344" s="1342"/>
    </row>
    <row r="6345" spans="2:11" ht="14" hidden="1">
      <c r="B6345" s="1342"/>
      <c r="C6345" s="1342"/>
      <c r="D6345" s="1342"/>
      <c r="E6345" s="1342"/>
      <c r="F6345" s="1342"/>
      <c r="G6345" s="1342"/>
      <c r="H6345" s="1342"/>
      <c r="I6345" s="1342"/>
      <c r="J6345" s="1342"/>
      <c r="K6345" s="1342"/>
    </row>
    <row r="6346" spans="2:11" ht="14" hidden="1">
      <c r="B6346" s="1342"/>
      <c r="C6346" s="1342"/>
      <c r="D6346" s="1342"/>
      <c r="E6346" s="1342"/>
      <c r="F6346" s="1342"/>
      <c r="G6346" s="1342"/>
      <c r="H6346" s="1342"/>
      <c r="I6346" s="1342"/>
      <c r="J6346" s="1342"/>
      <c r="K6346" s="1342"/>
    </row>
    <row r="6347" spans="2:11" ht="14" hidden="1">
      <c r="B6347" s="1342"/>
      <c r="C6347" s="1342"/>
      <c r="D6347" s="1342"/>
      <c r="E6347" s="1342"/>
      <c r="F6347" s="1342"/>
      <c r="G6347" s="1342"/>
      <c r="H6347" s="1342"/>
      <c r="I6347" s="1342"/>
      <c r="J6347" s="1342"/>
      <c r="K6347" s="1342"/>
    </row>
    <row r="6348" spans="2:11" ht="14" hidden="1">
      <c r="B6348" s="1342"/>
      <c r="C6348" s="1342"/>
      <c r="D6348" s="1342"/>
      <c r="E6348" s="1342"/>
      <c r="F6348" s="1342"/>
      <c r="G6348" s="1342"/>
      <c r="H6348" s="1342"/>
      <c r="I6348" s="1342"/>
      <c r="J6348" s="1342"/>
      <c r="K6348" s="1342"/>
    </row>
    <row r="6349" spans="2:11" ht="14" hidden="1">
      <c r="B6349" s="1342"/>
      <c r="C6349" s="1342"/>
      <c r="D6349" s="1342"/>
      <c r="E6349" s="1342"/>
      <c r="F6349" s="1342"/>
      <c r="G6349" s="1342"/>
      <c r="H6349" s="1342"/>
      <c r="I6349" s="1342"/>
      <c r="J6349" s="1342"/>
      <c r="K6349" s="1342"/>
    </row>
    <row r="6350" spans="2:11" ht="14" hidden="1">
      <c r="B6350" s="1342"/>
      <c r="C6350" s="1342"/>
      <c r="D6350" s="1342"/>
      <c r="E6350" s="1342"/>
      <c r="F6350" s="1342"/>
      <c r="G6350" s="1342"/>
      <c r="H6350" s="1342"/>
      <c r="I6350" s="1342"/>
      <c r="J6350" s="1342"/>
      <c r="K6350" s="1342"/>
    </row>
    <row r="6351" spans="2:11" ht="14" hidden="1">
      <c r="B6351" s="1342"/>
      <c r="C6351" s="1342"/>
      <c r="D6351" s="1342"/>
      <c r="E6351" s="1342"/>
      <c r="F6351" s="1342"/>
      <c r="G6351" s="1342"/>
      <c r="H6351" s="1342"/>
      <c r="I6351" s="1342"/>
      <c r="J6351" s="1342"/>
      <c r="K6351" s="1342"/>
    </row>
    <row r="6352" spans="2:11" ht="14" hidden="1">
      <c r="B6352" s="1342"/>
      <c r="C6352" s="1342"/>
      <c r="D6352" s="1342"/>
      <c r="E6352" s="1342"/>
      <c r="F6352" s="1342"/>
      <c r="G6352" s="1342"/>
      <c r="H6352" s="1342"/>
      <c r="I6352" s="1342"/>
      <c r="J6352" s="1342"/>
      <c r="K6352" s="1342"/>
    </row>
    <row r="6353" spans="2:11" ht="14" hidden="1">
      <c r="B6353" s="1342"/>
      <c r="C6353" s="1342"/>
      <c r="D6353" s="1342"/>
      <c r="E6353" s="1342"/>
      <c r="F6353" s="1342"/>
      <c r="G6353" s="1342"/>
      <c r="H6353" s="1342"/>
      <c r="I6353" s="1342"/>
      <c r="J6353" s="1342"/>
      <c r="K6353" s="1342"/>
    </row>
    <row r="6354" spans="2:11" ht="14" hidden="1">
      <c r="B6354" s="1342"/>
      <c r="C6354" s="1342"/>
      <c r="D6354" s="1342"/>
      <c r="E6354" s="1342"/>
      <c r="F6354" s="1342"/>
      <c r="G6354" s="1342"/>
      <c r="H6354" s="1342"/>
      <c r="I6354" s="1342"/>
      <c r="J6354" s="1342"/>
      <c r="K6354" s="1342"/>
    </row>
    <row r="6355" spans="2:11" ht="14" hidden="1">
      <c r="B6355" s="1342"/>
      <c r="C6355" s="1342"/>
      <c r="D6355" s="1342"/>
      <c r="E6355" s="1342"/>
      <c r="F6355" s="1342"/>
      <c r="G6355" s="1342"/>
      <c r="H6355" s="1342"/>
      <c r="I6355" s="1342"/>
      <c r="J6355" s="1342"/>
      <c r="K6355" s="1342"/>
    </row>
    <row r="6356" spans="2:11" ht="14" hidden="1">
      <c r="B6356" s="1342"/>
      <c r="C6356" s="1342"/>
      <c r="D6356" s="1342"/>
      <c r="E6356" s="1342"/>
      <c r="F6356" s="1342"/>
      <c r="G6356" s="1342"/>
      <c r="H6356" s="1342"/>
      <c r="I6356" s="1342"/>
      <c r="J6356" s="1342"/>
      <c r="K6356" s="1342"/>
    </row>
    <row r="6357" spans="2:11" ht="14" hidden="1">
      <c r="B6357" s="1342"/>
      <c r="C6357" s="1342"/>
      <c r="D6357" s="1342"/>
      <c r="E6357" s="1342"/>
      <c r="F6357" s="1342"/>
      <c r="G6357" s="1342"/>
      <c r="H6357" s="1342"/>
      <c r="I6357" s="1342"/>
      <c r="J6357" s="1342"/>
      <c r="K6357" s="1342"/>
    </row>
    <row r="6358" spans="2:11" ht="14" hidden="1">
      <c r="B6358" s="1342"/>
      <c r="C6358" s="1342"/>
      <c r="D6358" s="1342"/>
      <c r="E6358" s="1342"/>
      <c r="F6358" s="1342"/>
      <c r="G6358" s="1342"/>
      <c r="H6358" s="1342"/>
      <c r="I6358" s="1342"/>
      <c r="J6358" s="1342"/>
      <c r="K6358" s="1342"/>
    </row>
    <row r="6359" spans="2:11" ht="14" hidden="1">
      <c r="B6359" s="1342"/>
      <c r="C6359" s="1342"/>
      <c r="D6359" s="1342"/>
      <c r="E6359" s="1342"/>
      <c r="F6359" s="1342"/>
      <c r="G6359" s="1342"/>
      <c r="H6359" s="1342"/>
      <c r="I6359" s="1342"/>
      <c r="J6359" s="1342"/>
      <c r="K6359" s="1342"/>
    </row>
    <row r="6360" spans="2:11" ht="14" hidden="1">
      <c r="B6360" s="1342"/>
      <c r="C6360" s="1342"/>
      <c r="D6360" s="1342"/>
      <c r="E6360" s="1342"/>
      <c r="F6360" s="1342"/>
      <c r="G6360" s="1342"/>
      <c r="H6360" s="1342"/>
      <c r="I6360" s="1342"/>
      <c r="J6360" s="1342"/>
      <c r="K6360" s="1342"/>
    </row>
    <row r="6361" spans="2:11" ht="14" hidden="1">
      <c r="B6361" s="1342"/>
      <c r="C6361" s="1342"/>
      <c r="D6361" s="1342"/>
      <c r="E6361" s="1342"/>
      <c r="F6361" s="1342"/>
      <c r="G6361" s="1342"/>
      <c r="H6361" s="1342"/>
      <c r="I6361" s="1342"/>
      <c r="J6361" s="1342"/>
      <c r="K6361" s="1342"/>
    </row>
    <row r="6362" spans="2:11" ht="14" hidden="1">
      <c r="B6362" s="1342"/>
      <c r="C6362" s="1342"/>
      <c r="D6362" s="1342"/>
      <c r="E6362" s="1342"/>
      <c r="F6362" s="1342"/>
      <c r="G6362" s="1342"/>
      <c r="H6362" s="1342"/>
      <c r="I6362" s="1342"/>
      <c r="J6362" s="1342"/>
      <c r="K6362" s="1342"/>
    </row>
    <row r="6363" spans="2:11" ht="14" hidden="1">
      <c r="B6363" s="1342"/>
      <c r="C6363" s="1342"/>
      <c r="D6363" s="1342"/>
      <c r="E6363" s="1342"/>
      <c r="F6363" s="1342"/>
      <c r="G6363" s="1342"/>
      <c r="H6363" s="1342"/>
      <c r="I6363" s="1342"/>
      <c r="J6363" s="1342"/>
      <c r="K6363" s="1342"/>
    </row>
    <row r="6364" spans="2:11" ht="14" hidden="1">
      <c r="B6364" s="1342"/>
      <c r="C6364" s="1342"/>
      <c r="D6364" s="1342"/>
      <c r="E6364" s="1342"/>
      <c r="F6364" s="1342"/>
      <c r="G6364" s="1342"/>
      <c r="H6364" s="1342"/>
      <c r="I6364" s="1342"/>
      <c r="J6364" s="1342"/>
      <c r="K6364" s="1342"/>
    </row>
    <row r="6365" spans="2:11" ht="14" hidden="1">
      <c r="B6365" s="1342"/>
      <c r="C6365" s="1342"/>
      <c r="D6365" s="1342"/>
      <c r="E6365" s="1342"/>
      <c r="F6365" s="1342"/>
      <c r="G6365" s="1342"/>
      <c r="H6365" s="1342"/>
      <c r="I6365" s="1342"/>
      <c r="J6365" s="1342"/>
      <c r="K6365" s="1342"/>
    </row>
    <row r="6366" spans="2:11" ht="14" hidden="1">
      <c r="B6366" s="1342"/>
      <c r="C6366" s="1342"/>
      <c r="D6366" s="1342"/>
      <c r="E6366" s="1342"/>
      <c r="F6366" s="1342"/>
      <c r="G6366" s="1342"/>
      <c r="H6366" s="1342"/>
      <c r="I6366" s="1342"/>
      <c r="J6366" s="1342"/>
      <c r="K6366" s="1342"/>
    </row>
    <row r="6367" spans="2:11" ht="14" hidden="1">
      <c r="B6367" s="1342"/>
      <c r="C6367" s="1342"/>
      <c r="D6367" s="1342"/>
      <c r="E6367" s="1342"/>
      <c r="F6367" s="1342"/>
      <c r="G6367" s="1342"/>
      <c r="H6367" s="1342"/>
      <c r="I6367" s="1342"/>
      <c r="J6367" s="1342"/>
      <c r="K6367" s="1342"/>
    </row>
    <row r="6368" spans="2:11" ht="14" hidden="1">
      <c r="B6368" s="1342"/>
      <c r="C6368" s="1342"/>
      <c r="D6368" s="1342"/>
      <c r="E6368" s="1342"/>
      <c r="F6368" s="1342"/>
      <c r="G6368" s="1342"/>
      <c r="H6368" s="1342"/>
      <c r="I6368" s="1342"/>
      <c r="J6368" s="1342"/>
      <c r="K6368" s="1342"/>
    </row>
    <row r="6369" spans="2:11" ht="14" hidden="1">
      <c r="B6369" s="1342"/>
      <c r="C6369" s="1342"/>
      <c r="D6369" s="1342"/>
      <c r="E6369" s="1342"/>
      <c r="F6369" s="1342"/>
      <c r="G6369" s="1342"/>
      <c r="H6369" s="1342"/>
      <c r="I6369" s="1342"/>
      <c r="J6369" s="1342"/>
      <c r="K6369" s="1342"/>
    </row>
    <row r="6370" spans="2:11" ht="14" hidden="1">
      <c r="B6370" s="1342"/>
      <c r="C6370" s="1342"/>
      <c r="D6370" s="1342"/>
      <c r="E6370" s="1342"/>
      <c r="F6370" s="1342"/>
      <c r="G6370" s="1342"/>
      <c r="H6370" s="1342"/>
      <c r="I6370" s="1342"/>
      <c r="J6370" s="1342"/>
      <c r="K6370" s="1342"/>
    </row>
    <row r="6371" spans="2:11" ht="14" hidden="1">
      <c r="B6371" s="1342"/>
      <c r="C6371" s="1342"/>
      <c r="D6371" s="1342"/>
      <c r="E6371" s="1342"/>
      <c r="F6371" s="1342"/>
      <c r="G6371" s="1342"/>
      <c r="H6371" s="1342"/>
      <c r="I6371" s="1342"/>
      <c r="J6371" s="1342"/>
      <c r="K6371" s="1342"/>
    </row>
    <row r="6372" spans="2:11" ht="14" hidden="1">
      <c r="B6372" s="1342"/>
      <c r="C6372" s="1342"/>
      <c r="D6372" s="1342"/>
      <c r="E6372" s="1342"/>
      <c r="F6372" s="1342"/>
      <c r="G6372" s="1342"/>
      <c r="H6372" s="1342"/>
      <c r="I6372" s="1342"/>
      <c r="J6372" s="1342"/>
      <c r="K6372" s="1342"/>
    </row>
    <row r="6373" spans="2:11" ht="14" hidden="1">
      <c r="B6373" s="1342"/>
      <c r="C6373" s="1342"/>
      <c r="D6373" s="1342"/>
      <c r="E6373" s="1342"/>
      <c r="F6373" s="1342"/>
      <c r="G6373" s="1342"/>
      <c r="H6373" s="1342"/>
      <c r="I6373" s="1342"/>
      <c r="J6373" s="1342"/>
      <c r="K6373" s="1342"/>
    </row>
    <row r="6374" spans="2:11" ht="14" hidden="1">
      <c r="B6374" s="1342"/>
      <c r="C6374" s="1342"/>
      <c r="D6374" s="1342"/>
      <c r="E6374" s="1342"/>
      <c r="F6374" s="1342"/>
      <c r="G6374" s="1342"/>
      <c r="H6374" s="1342"/>
      <c r="I6374" s="1342"/>
      <c r="J6374" s="1342"/>
      <c r="K6374" s="1342"/>
    </row>
    <row r="6375" spans="2:11" ht="14" hidden="1">
      <c r="B6375" s="1342"/>
      <c r="C6375" s="1342"/>
      <c r="D6375" s="1342"/>
      <c r="E6375" s="1342"/>
      <c r="F6375" s="1342"/>
      <c r="G6375" s="1342"/>
      <c r="H6375" s="1342"/>
      <c r="I6375" s="1342"/>
      <c r="J6375" s="1342"/>
      <c r="K6375" s="1342"/>
    </row>
    <row r="6376" spans="2:11" ht="14" hidden="1">
      <c r="B6376" s="1342"/>
      <c r="C6376" s="1342"/>
      <c r="D6376" s="1342"/>
      <c r="E6376" s="1342"/>
      <c r="F6376" s="1342"/>
      <c r="G6376" s="1342"/>
      <c r="H6376" s="1342"/>
      <c r="I6376" s="1342"/>
      <c r="J6376" s="1342"/>
      <c r="K6376" s="1342"/>
    </row>
    <row r="6377" spans="2:11" ht="14" hidden="1">
      <c r="B6377" s="1342"/>
      <c r="C6377" s="1342"/>
      <c r="D6377" s="1342"/>
      <c r="E6377" s="1342"/>
      <c r="F6377" s="1342"/>
      <c r="G6377" s="1342"/>
      <c r="H6377" s="1342"/>
      <c r="I6377" s="1342"/>
      <c r="J6377" s="1342"/>
      <c r="K6377" s="1342"/>
    </row>
    <row r="6378" spans="2:11" ht="14" hidden="1">
      <c r="B6378" s="1342"/>
      <c r="C6378" s="1342"/>
      <c r="D6378" s="1342"/>
      <c r="E6378" s="1342"/>
      <c r="F6378" s="1342"/>
      <c r="G6378" s="1342"/>
      <c r="H6378" s="1342"/>
      <c r="I6378" s="1342"/>
      <c r="J6378" s="1342"/>
      <c r="K6378" s="1342"/>
    </row>
    <row r="6379" spans="2:11" ht="14" hidden="1">
      <c r="B6379" s="1342"/>
      <c r="C6379" s="1342"/>
      <c r="D6379" s="1342"/>
      <c r="E6379" s="1342"/>
      <c r="F6379" s="1342"/>
      <c r="G6379" s="1342"/>
      <c r="H6379" s="1342"/>
      <c r="I6379" s="1342"/>
      <c r="J6379" s="1342"/>
      <c r="K6379" s="1342"/>
    </row>
    <row r="6380" spans="2:11" ht="14" hidden="1">
      <c r="B6380" s="1342"/>
      <c r="C6380" s="1342"/>
      <c r="D6380" s="1342"/>
      <c r="E6380" s="1342"/>
      <c r="F6380" s="1342"/>
      <c r="G6380" s="1342"/>
      <c r="H6380" s="1342"/>
      <c r="I6380" s="1342"/>
      <c r="J6380" s="1342"/>
      <c r="K6380" s="1342"/>
    </row>
    <row r="6381" spans="2:11" ht="14" hidden="1">
      <c r="B6381" s="1342"/>
      <c r="C6381" s="1342"/>
      <c r="D6381" s="1342"/>
      <c r="E6381" s="1342"/>
      <c r="F6381" s="1342"/>
      <c r="G6381" s="1342"/>
      <c r="H6381" s="1342"/>
      <c r="I6381" s="1342"/>
      <c r="J6381" s="1342"/>
      <c r="K6381" s="1342"/>
    </row>
    <row r="6382" spans="2:11" ht="14" hidden="1">
      <c r="B6382" s="1342"/>
      <c r="C6382" s="1342"/>
      <c r="D6382" s="1342"/>
      <c r="E6382" s="1342"/>
      <c r="F6382" s="1342"/>
      <c r="G6382" s="1342"/>
      <c r="H6382" s="1342"/>
      <c r="I6382" s="1342"/>
      <c r="J6382" s="1342"/>
      <c r="K6382" s="1342"/>
    </row>
    <row r="6383" spans="2:11" ht="14" hidden="1">
      <c r="B6383" s="1342"/>
      <c r="C6383" s="1342"/>
      <c r="D6383" s="1342"/>
      <c r="E6383" s="1342"/>
      <c r="F6383" s="1342"/>
      <c r="G6383" s="1342"/>
      <c r="H6383" s="1342"/>
      <c r="I6383" s="1342"/>
      <c r="J6383" s="1342"/>
      <c r="K6383" s="1342"/>
    </row>
    <row r="6384" spans="2:11" ht="14" hidden="1">
      <c r="B6384" s="1342"/>
      <c r="C6384" s="1342"/>
      <c r="D6384" s="1342"/>
      <c r="E6384" s="1342"/>
      <c r="F6384" s="1342"/>
      <c r="G6384" s="1342"/>
      <c r="H6384" s="1342"/>
      <c r="I6384" s="1342"/>
      <c r="J6384" s="1342"/>
      <c r="K6384" s="1342"/>
    </row>
    <row r="6385" spans="2:11" ht="14" hidden="1">
      <c r="B6385" s="1342"/>
      <c r="C6385" s="1342"/>
      <c r="D6385" s="1342"/>
      <c r="E6385" s="1342"/>
      <c r="F6385" s="1342"/>
      <c r="G6385" s="1342"/>
      <c r="H6385" s="1342"/>
      <c r="I6385" s="1342"/>
      <c r="J6385" s="1342"/>
      <c r="K6385" s="1342"/>
    </row>
    <row r="6386" spans="2:11" ht="14" hidden="1">
      <c r="B6386" s="1342"/>
      <c r="C6386" s="1342"/>
      <c r="D6386" s="1342"/>
      <c r="E6386" s="1342"/>
      <c r="F6386" s="1342"/>
      <c r="G6386" s="1342"/>
      <c r="H6386" s="1342"/>
      <c r="I6386" s="1342"/>
      <c r="J6386" s="1342"/>
      <c r="K6386" s="1342"/>
    </row>
    <row r="6387" spans="2:11" ht="14" hidden="1">
      <c r="B6387" s="1342"/>
      <c r="C6387" s="1342"/>
      <c r="D6387" s="1342"/>
      <c r="E6387" s="1342"/>
      <c r="F6387" s="1342"/>
      <c r="G6387" s="1342"/>
      <c r="H6387" s="1342"/>
      <c r="I6387" s="1342"/>
      <c r="J6387" s="1342"/>
      <c r="K6387" s="1342"/>
    </row>
    <row r="6388" spans="2:11" ht="14" hidden="1">
      <c r="B6388" s="1342"/>
      <c r="C6388" s="1342"/>
      <c r="D6388" s="1342"/>
      <c r="E6388" s="1342"/>
      <c r="F6388" s="1342"/>
      <c r="G6388" s="1342"/>
      <c r="H6388" s="1342"/>
      <c r="I6388" s="1342"/>
      <c r="J6388" s="1342"/>
      <c r="K6388" s="1342"/>
    </row>
    <row r="6389" spans="2:11" ht="14" hidden="1">
      <c r="B6389" s="1342"/>
      <c r="C6389" s="1342"/>
      <c r="D6389" s="1342"/>
      <c r="E6389" s="1342"/>
      <c r="F6389" s="1342"/>
      <c r="G6389" s="1342"/>
      <c r="H6389" s="1342"/>
      <c r="I6389" s="1342"/>
      <c r="J6389" s="1342"/>
      <c r="K6389" s="1342"/>
    </row>
    <row r="6390" spans="2:11" ht="14" hidden="1">
      <c r="B6390" s="1342"/>
      <c r="C6390" s="1342"/>
      <c r="D6390" s="1342"/>
      <c r="E6390" s="1342"/>
      <c r="F6390" s="1342"/>
      <c r="G6390" s="1342"/>
      <c r="H6390" s="1342"/>
      <c r="I6390" s="1342"/>
      <c r="J6390" s="1342"/>
      <c r="K6390" s="1342"/>
    </row>
    <row r="6391" spans="2:11" ht="14" hidden="1">
      <c r="B6391" s="1342"/>
      <c r="C6391" s="1342"/>
      <c r="D6391" s="1342"/>
      <c r="E6391" s="1342"/>
      <c r="F6391" s="1342"/>
      <c r="G6391" s="1342"/>
      <c r="H6391" s="1342"/>
      <c r="I6391" s="1342"/>
      <c r="J6391" s="1342"/>
      <c r="K6391" s="1342"/>
    </row>
    <row r="6392" spans="2:11" ht="14" hidden="1">
      <c r="B6392" s="1342"/>
      <c r="C6392" s="1342"/>
      <c r="D6392" s="1342"/>
      <c r="E6392" s="1342"/>
      <c r="F6392" s="1342"/>
      <c r="G6392" s="1342"/>
      <c r="H6392" s="1342"/>
      <c r="I6392" s="1342"/>
      <c r="J6392" s="1342"/>
      <c r="K6392" s="1342"/>
    </row>
    <row r="6393" spans="2:11" ht="14" hidden="1">
      <c r="B6393" s="1342"/>
      <c r="C6393" s="1342"/>
      <c r="D6393" s="1342"/>
      <c r="E6393" s="1342"/>
      <c r="F6393" s="1342"/>
      <c r="G6393" s="1342"/>
      <c r="H6393" s="1342"/>
      <c r="I6393" s="1342"/>
      <c r="J6393" s="1342"/>
      <c r="K6393" s="1342"/>
    </row>
    <row r="6394" spans="2:11" ht="14" hidden="1">
      <c r="B6394" s="1342"/>
      <c r="C6394" s="1342"/>
      <c r="D6394" s="1342"/>
      <c r="E6394" s="1342"/>
      <c r="F6394" s="1342"/>
      <c r="G6394" s="1342"/>
      <c r="H6394" s="1342"/>
      <c r="I6394" s="1342"/>
      <c r="J6394" s="1342"/>
      <c r="K6394" s="1342"/>
    </row>
    <row r="6395" spans="2:11" ht="14" hidden="1">
      <c r="B6395" s="1342"/>
      <c r="C6395" s="1342"/>
      <c r="D6395" s="1342"/>
      <c r="E6395" s="1342"/>
      <c r="F6395" s="1342"/>
      <c r="G6395" s="1342"/>
      <c r="H6395" s="1342"/>
      <c r="I6395" s="1342"/>
      <c r="J6395" s="1342"/>
      <c r="K6395" s="1342"/>
    </row>
    <row r="6396" spans="2:11" ht="14" hidden="1">
      <c r="B6396" s="1342"/>
      <c r="C6396" s="1342"/>
      <c r="D6396" s="1342"/>
      <c r="E6396" s="1342"/>
      <c r="F6396" s="1342"/>
      <c r="G6396" s="1342"/>
      <c r="H6396" s="1342"/>
      <c r="I6396" s="1342"/>
      <c r="J6396" s="1342"/>
      <c r="K6396" s="1342"/>
    </row>
    <row r="6397" spans="2:11" ht="14" hidden="1">
      <c r="B6397" s="1342"/>
      <c r="C6397" s="1342"/>
      <c r="D6397" s="1342"/>
      <c r="E6397" s="1342"/>
      <c r="F6397" s="1342"/>
      <c r="G6397" s="1342"/>
      <c r="H6397" s="1342"/>
      <c r="I6397" s="1342"/>
      <c r="J6397" s="1342"/>
      <c r="K6397" s="1342"/>
    </row>
    <row r="6398" spans="2:11" ht="14" hidden="1">
      <c r="B6398" s="1342"/>
      <c r="C6398" s="1342"/>
      <c r="D6398" s="1342"/>
      <c r="E6398" s="1342"/>
      <c r="F6398" s="1342"/>
      <c r="G6398" s="1342"/>
      <c r="H6398" s="1342"/>
      <c r="I6398" s="1342"/>
      <c r="J6398" s="1342"/>
      <c r="K6398" s="1342"/>
    </row>
    <row r="6399" spans="2:11" ht="14" hidden="1">
      <c r="B6399" s="1342"/>
      <c r="C6399" s="1342"/>
      <c r="D6399" s="1342"/>
      <c r="E6399" s="1342"/>
      <c r="F6399" s="1342"/>
      <c r="G6399" s="1342"/>
      <c r="H6399" s="1342"/>
      <c r="I6399" s="1342"/>
      <c r="J6399" s="1342"/>
      <c r="K6399" s="1342"/>
    </row>
    <row r="6400" spans="2:11" ht="14" hidden="1">
      <c r="B6400" s="1342"/>
      <c r="C6400" s="1342"/>
      <c r="D6400" s="1342"/>
      <c r="E6400" s="1342"/>
      <c r="F6400" s="1342"/>
      <c r="G6400" s="1342"/>
      <c r="H6400" s="1342"/>
      <c r="I6400" s="1342"/>
      <c r="J6400" s="1342"/>
      <c r="K6400" s="1342"/>
    </row>
    <row r="6401" spans="2:11" ht="14" hidden="1">
      <c r="B6401" s="1342"/>
      <c r="C6401" s="1342"/>
      <c r="D6401" s="1342"/>
      <c r="E6401" s="1342"/>
      <c r="F6401" s="1342"/>
      <c r="G6401" s="1342"/>
      <c r="H6401" s="1342"/>
      <c r="I6401" s="1342"/>
      <c r="J6401" s="1342"/>
      <c r="K6401" s="1342"/>
    </row>
    <row r="6402" spans="2:11" ht="14" hidden="1">
      <c r="B6402" s="1342"/>
      <c r="C6402" s="1342"/>
      <c r="D6402" s="1342"/>
      <c r="E6402" s="1342"/>
      <c r="F6402" s="1342"/>
      <c r="G6402" s="1342"/>
      <c r="H6402" s="1342"/>
      <c r="I6402" s="1342"/>
      <c r="J6402" s="1342"/>
      <c r="K6402" s="1342"/>
    </row>
    <row r="6403" spans="2:11" ht="14" hidden="1">
      <c r="B6403" s="1342"/>
      <c r="C6403" s="1342"/>
      <c r="D6403" s="1342"/>
      <c r="E6403" s="1342"/>
      <c r="F6403" s="1342"/>
      <c r="G6403" s="1342"/>
      <c r="H6403" s="1342"/>
      <c r="I6403" s="1342"/>
      <c r="J6403" s="1342"/>
      <c r="K6403" s="1342"/>
    </row>
    <row r="6404" spans="2:11" ht="14" hidden="1">
      <c r="B6404" s="1342"/>
      <c r="C6404" s="1342"/>
      <c r="D6404" s="1342"/>
      <c r="E6404" s="1342"/>
      <c r="F6404" s="1342"/>
      <c r="G6404" s="1342"/>
      <c r="H6404" s="1342"/>
      <c r="I6404" s="1342"/>
      <c r="J6404" s="1342"/>
      <c r="K6404" s="1342"/>
    </row>
    <row r="6405" spans="2:11" ht="14" hidden="1">
      <c r="B6405" s="1342"/>
      <c r="C6405" s="1342"/>
      <c r="D6405" s="1342"/>
      <c r="E6405" s="1342"/>
      <c r="F6405" s="1342"/>
      <c r="G6405" s="1342"/>
      <c r="H6405" s="1342"/>
      <c r="I6405" s="1342"/>
      <c r="J6405" s="1342"/>
      <c r="K6405" s="1342"/>
    </row>
    <row r="6406" spans="2:11" ht="14" hidden="1">
      <c r="B6406" s="1342"/>
      <c r="C6406" s="1342"/>
      <c r="D6406" s="1342"/>
      <c r="E6406" s="1342"/>
      <c r="F6406" s="1342"/>
      <c r="G6406" s="1342"/>
      <c r="H6406" s="1342"/>
      <c r="I6406" s="1342"/>
      <c r="J6406" s="1342"/>
      <c r="K6406" s="1342"/>
    </row>
    <row r="6407" spans="2:11" ht="14" hidden="1">
      <c r="B6407" s="1342"/>
      <c r="C6407" s="1342"/>
      <c r="D6407" s="1342"/>
      <c r="E6407" s="1342"/>
      <c r="F6407" s="1342"/>
      <c r="G6407" s="1342"/>
      <c r="H6407" s="1342"/>
      <c r="I6407" s="1342"/>
      <c r="J6407" s="1342"/>
      <c r="K6407" s="1342"/>
    </row>
    <row r="6408" spans="2:11" ht="14" hidden="1">
      <c r="B6408" s="1342"/>
      <c r="C6408" s="1342"/>
      <c r="D6408" s="1342"/>
      <c r="E6408" s="1342"/>
      <c r="F6408" s="1342"/>
      <c r="G6408" s="1342"/>
      <c r="H6408" s="1342"/>
      <c r="I6408" s="1342"/>
      <c r="J6408" s="1342"/>
      <c r="K6408" s="1342"/>
    </row>
    <row r="6409" spans="2:11" ht="14" hidden="1">
      <c r="B6409" s="1342"/>
      <c r="C6409" s="1342"/>
      <c r="D6409" s="1342"/>
      <c r="E6409" s="1342"/>
      <c r="F6409" s="1342"/>
      <c r="G6409" s="1342"/>
      <c r="H6409" s="1342"/>
      <c r="I6409" s="1342"/>
      <c r="J6409" s="1342"/>
      <c r="K6409" s="1342"/>
    </row>
    <row r="6410" spans="2:11" ht="14" hidden="1">
      <c r="B6410" s="1342"/>
      <c r="C6410" s="1342"/>
      <c r="D6410" s="1342"/>
      <c r="E6410" s="1342"/>
      <c r="F6410" s="1342"/>
      <c r="G6410" s="1342"/>
      <c r="H6410" s="1342"/>
      <c r="I6410" s="1342"/>
      <c r="J6410" s="1342"/>
      <c r="K6410" s="1342"/>
    </row>
    <row r="6411" spans="2:11" ht="14" hidden="1">
      <c r="B6411" s="1342"/>
      <c r="C6411" s="1342"/>
      <c r="D6411" s="1342"/>
      <c r="E6411" s="1342"/>
      <c r="F6411" s="1342"/>
      <c r="G6411" s="1342"/>
      <c r="H6411" s="1342"/>
      <c r="I6411" s="1342"/>
      <c r="J6411" s="1342"/>
      <c r="K6411" s="1342"/>
    </row>
    <row r="6412" spans="2:11" ht="14" hidden="1">
      <c r="B6412" s="1342"/>
      <c r="C6412" s="1342"/>
      <c r="D6412" s="1342"/>
      <c r="E6412" s="1342"/>
      <c r="F6412" s="1342"/>
      <c r="G6412" s="1342"/>
      <c r="H6412" s="1342"/>
      <c r="I6412" s="1342"/>
      <c r="J6412" s="1342"/>
      <c r="K6412" s="1342"/>
    </row>
    <row r="6413" spans="2:11" ht="14" hidden="1">
      <c r="B6413" s="1342"/>
      <c r="C6413" s="1342"/>
      <c r="D6413" s="1342"/>
      <c r="E6413" s="1342"/>
      <c r="F6413" s="1342"/>
      <c r="G6413" s="1342"/>
      <c r="H6413" s="1342"/>
      <c r="I6413" s="1342"/>
      <c r="J6413" s="1342"/>
      <c r="K6413" s="1342"/>
    </row>
    <row r="6414" spans="2:11" ht="14" hidden="1">
      <c r="B6414" s="1342"/>
      <c r="C6414" s="1342"/>
      <c r="D6414" s="1342"/>
      <c r="E6414" s="1342"/>
      <c r="F6414" s="1342"/>
      <c r="G6414" s="1342"/>
      <c r="H6414" s="1342"/>
      <c r="I6414" s="1342"/>
      <c r="J6414" s="1342"/>
      <c r="K6414" s="1342"/>
    </row>
    <row r="6415" spans="2:11" ht="14" hidden="1">
      <c r="B6415" s="1342"/>
      <c r="C6415" s="1342"/>
      <c r="D6415" s="1342"/>
      <c r="E6415" s="1342"/>
      <c r="F6415" s="1342"/>
      <c r="G6415" s="1342"/>
      <c r="H6415" s="1342"/>
      <c r="I6415" s="1342"/>
      <c r="J6415" s="1342"/>
      <c r="K6415" s="1342"/>
    </row>
    <row r="6416" spans="2:11" ht="14" hidden="1">
      <c r="B6416" s="1342"/>
      <c r="C6416" s="1342"/>
      <c r="D6416" s="1342"/>
      <c r="E6416" s="1342"/>
      <c r="F6416" s="1342"/>
      <c r="G6416" s="1342"/>
      <c r="H6416" s="1342"/>
      <c r="I6416" s="1342"/>
      <c r="J6416" s="1342"/>
      <c r="K6416" s="1342"/>
    </row>
    <row r="6417" spans="2:11" ht="14" hidden="1">
      <c r="B6417" s="1342"/>
      <c r="C6417" s="1342"/>
      <c r="D6417" s="1342"/>
      <c r="E6417" s="1342"/>
      <c r="F6417" s="1342"/>
      <c r="G6417" s="1342"/>
      <c r="H6417" s="1342"/>
      <c r="I6417" s="1342"/>
      <c r="J6417" s="1342"/>
      <c r="K6417" s="1342"/>
    </row>
    <row r="6418" spans="2:11" ht="14" hidden="1">
      <c r="B6418" s="1342"/>
      <c r="C6418" s="1342"/>
      <c r="D6418" s="1342"/>
      <c r="E6418" s="1342"/>
      <c r="F6418" s="1342"/>
      <c r="G6418" s="1342"/>
      <c r="H6418" s="1342"/>
      <c r="I6418" s="1342"/>
      <c r="J6418" s="1342"/>
      <c r="K6418" s="1342"/>
    </row>
    <row r="6419" spans="2:11" ht="14" hidden="1">
      <c r="B6419" s="1342"/>
      <c r="C6419" s="1342"/>
      <c r="D6419" s="1342"/>
      <c r="E6419" s="1342"/>
      <c r="F6419" s="1342"/>
      <c r="G6419" s="1342"/>
      <c r="H6419" s="1342"/>
      <c r="I6419" s="1342"/>
      <c r="J6419" s="1342"/>
      <c r="K6419" s="1342"/>
    </row>
    <row r="6420" spans="2:11" ht="14" hidden="1">
      <c r="B6420" s="1342"/>
      <c r="C6420" s="1342"/>
      <c r="D6420" s="1342"/>
      <c r="E6420" s="1342"/>
      <c r="F6420" s="1342"/>
      <c r="G6420" s="1342"/>
      <c r="H6420" s="1342"/>
      <c r="I6420" s="1342"/>
      <c r="J6420" s="1342"/>
      <c r="K6420" s="1342"/>
    </row>
    <row r="6421" spans="2:11" ht="14" hidden="1">
      <c r="B6421" s="1342"/>
      <c r="C6421" s="1342"/>
      <c r="D6421" s="1342"/>
      <c r="E6421" s="1342"/>
      <c r="F6421" s="1342"/>
      <c r="G6421" s="1342"/>
      <c r="H6421" s="1342"/>
      <c r="I6421" s="1342"/>
      <c r="J6421" s="1342"/>
      <c r="K6421" s="1342"/>
    </row>
    <row r="6422" spans="2:11" ht="14" hidden="1">
      <c r="B6422" s="1342"/>
      <c r="C6422" s="1342"/>
      <c r="D6422" s="1342"/>
      <c r="E6422" s="1342"/>
      <c r="F6422" s="1342"/>
      <c r="G6422" s="1342"/>
      <c r="H6422" s="1342"/>
      <c r="I6422" s="1342"/>
      <c r="J6422" s="1342"/>
      <c r="K6422" s="1342"/>
    </row>
    <row r="6423" spans="2:11" ht="14" hidden="1">
      <c r="B6423" s="1342"/>
      <c r="C6423" s="1342"/>
      <c r="D6423" s="1342"/>
      <c r="E6423" s="1342"/>
      <c r="F6423" s="1342"/>
      <c r="G6423" s="1342"/>
      <c r="H6423" s="1342"/>
      <c r="I6423" s="1342"/>
      <c r="J6423" s="1342"/>
      <c r="K6423" s="1342"/>
    </row>
    <row r="6424" spans="2:11" ht="14" hidden="1">
      <c r="B6424" s="1342"/>
      <c r="C6424" s="1342"/>
      <c r="D6424" s="1342"/>
      <c r="E6424" s="1342"/>
      <c r="F6424" s="1342"/>
      <c r="G6424" s="1342"/>
      <c r="H6424" s="1342"/>
      <c r="I6424" s="1342"/>
      <c r="J6424" s="1342"/>
      <c r="K6424" s="1342"/>
    </row>
    <row r="6425" spans="2:11" ht="14" hidden="1">
      <c r="B6425" s="1342"/>
      <c r="C6425" s="1342"/>
      <c r="D6425" s="1342"/>
      <c r="E6425" s="1342"/>
      <c r="F6425" s="1342"/>
      <c r="G6425" s="1342"/>
      <c r="H6425" s="1342"/>
      <c r="I6425" s="1342"/>
      <c r="J6425" s="1342"/>
      <c r="K6425" s="1342"/>
    </row>
    <row r="6426" spans="2:11" ht="14" hidden="1">
      <c r="B6426" s="1342"/>
      <c r="C6426" s="1342"/>
      <c r="D6426" s="1342"/>
      <c r="E6426" s="1342"/>
      <c r="F6426" s="1342"/>
      <c r="G6426" s="1342"/>
      <c r="H6426" s="1342"/>
      <c r="I6426" s="1342"/>
      <c r="J6426" s="1342"/>
      <c r="K6426" s="1342"/>
    </row>
    <row r="6427" spans="2:11" ht="14" hidden="1">
      <c r="B6427" s="1342"/>
      <c r="C6427" s="1342"/>
      <c r="D6427" s="1342"/>
      <c r="E6427" s="1342"/>
      <c r="F6427" s="1342"/>
      <c r="G6427" s="1342"/>
      <c r="H6427" s="1342"/>
      <c r="I6427" s="1342"/>
      <c r="J6427" s="1342"/>
      <c r="K6427" s="1342"/>
    </row>
    <row r="6428" spans="2:11" ht="14" hidden="1">
      <c r="B6428" s="1342"/>
      <c r="C6428" s="1342"/>
      <c r="D6428" s="1342"/>
      <c r="E6428" s="1342"/>
      <c r="F6428" s="1342"/>
      <c r="G6428" s="1342"/>
      <c r="H6428" s="1342"/>
      <c r="I6428" s="1342"/>
      <c r="J6428" s="1342"/>
      <c r="K6428" s="1342"/>
    </row>
    <row r="6429" spans="2:11" ht="14" hidden="1">
      <c r="B6429" s="1342"/>
      <c r="C6429" s="1342"/>
      <c r="D6429" s="1342"/>
      <c r="E6429" s="1342"/>
      <c r="F6429" s="1342"/>
      <c r="G6429" s="1342"/>
      <c r="H6429" s="1342"/>
      <c r="I6429" s="1342"/>
      <c r="J6429" s="1342"/>
      <c r="K6429" s="1342"/>
    </row>
    <row r="6430" spans="2:11" ht="14" hidden="1">
      <c r="B6430" s="1342"/>
      <c r="C6430" s="1342"/>
      <c r="D6430" s="1342"/>
      <c r="E6430" s="1342"/>
      <c r="F6430" s="1342"/>
      <c r="G6430" s="1342"/>
      <c r="H6430" s="1342"/>
      <c r="I6430" s="1342"/>
      <c r="J6430" s="1342"/>
      <c r="K6430" s="1342"/>
    </row>
    <row r="6431" spans="2:11" ht="14" hidden="1">
      <c r="B6431" s="1342"/>
      <c r="C6431" s="1342"/>
      <c r="D6431" s="1342"/>
      <c r="E6431" s="1342"/>
      <c r="F6431" s="1342"/>
      <c r="G6431" s="1342"/>
      <c r="H6431" s="1342"/>
      <c r="I6431" s="1342"/>
      <c r="J6431" s="1342"/>
      <c r="K6431" s="1342"/>
    </row>
    <row r="6432" spans="2:11" ht="14" hidden="1">
      <c r="B6432" s="1342"/>
      <c r="C6432" s="1342"/>
      <c r="D6432" s="1342"/>
      <c r="E6432" s="1342"/>
      <c r="F6432" s="1342"/>
      <c r="G6432" s="1342"/>
      <c r="H6432" s="1342"/>
      <c r="I6432" s="1342"/>
      <c r="J6432" s="1342"/>
      <c r="K6432" s="1342"/>
    </row>
    <row r="6433" spans="2:11" ht="14" hidden="1">
      <c r="B6433" s="1342"/>
      <c r="C6433" s="1342"/>
      <c r="D6433" s="1342"/>
      <c r="E6433" s="1342"/>
      <c r="F6433" s="1342"/>
      <c r="G6433" s="1342"/>
      <c r="H6433" s="1342"/>
      <c r="I6433" s="1342"/>
      <c r="J6433" s="1342"/>
      <c r="K6433" s="1342"/>
    </row>
    <row r="6434" spans="2:11" ht="14" hidden="1">
      <c r="B6434" s="1342"/>
      <c r="C6434" s="1342"/>
      <c r="D6434" s="1342"/>
      <c r="E6434" s="1342"/>
      <c r="F6434" s="1342"/>
      <c r="G6434" s="1342"/>
      <c r="H6434" s="1342"/>
      <c r="I6434" s="1342"/>
      <c r="J6434" s="1342"/>
      <c r="K6434" s="1342"/>
    </row>
    <row r="6435" spans="2:11" ht="14" hidden="1">
      <c r="B6435" s="1342"/>
      <c r="C6435" s="1342"/>
      <c r="D6435" s="1342"/>
      <c r="E6435" s="1342"/>
      <c r="F6435" s="1342"/>
      <c r="G6435" s="1342"/>
      <c r="H6435" s="1342"/>
      <c r="I6435" s="1342"/>
      <c r="J6435" s="1342"/>
      <c r="K6435" s="1342"/>
    </row>
    <row r="6436" spans="2:11" ht="14" hidden="1">
      <c r="B6436" s="1342"/>
      <c r="C6436" s="1342"/>
      <c r="D6436" s="1342"/>
      <c r="E6436" s="1342"/>
      <c r="F6436" s="1342"/>
      <c r="G6436" s="1342"/>
      <c r="H6436" s="1342"/>
      <c r="I6436" s="1342"/>
      <c r="J6436" s="1342"/>
      <c r="K6436" s="1342"/>
    </row>
    <row r="6437" spans="2:11" ht="14" hidden="1">
      <c r="B6437" s="1342"/>
      <c r="C6437" s="1342"/>
      <c r="D6437" s="1342"/>
      <c r="E6437" s="1342"/>
      <c r="F6437" s="1342"/>
      <c r="G6437" s="1342"/>
      <c r="H6437" s="1342"/>
      <c r="I6437" s="1342"/>
      <c r="J6437" s="1342"/>
      <c r="K6437" s="1342"/>
    </row>
    <row r="6438" spans="2:11" ht="14" hidden="1">
      <c r="B6438" s="1342"/>
      <c r="C6438" s="1342"/>
      <c r="D6438" s="1342"/>
      <c r="E6438" s="1342"/>
      <c r="F6438" s="1342"/>
      <c r="G6438" s="1342"/>
      <c r="H6438" s="1342"/>
      <c r="I6438" s="1342"/>
      <c r="J6438" s="1342"/>
      <c r="K6438" s="1342"/>
    </row>
    <row r="6439" spans="2:11" ht="14" hidden="1">
      <c r="B6439" s="1342"/>
      <c r="C6439" s="1342"/>
      <c r="D6439" s="1342"/>
      <c r="E6439" s="1342"/>
      <c r="F6439" s="1342"/>
      <c r="G6439" s="1342"/>
      <c r="H6439" s="1342"/>
      <c r="I6439" s="1342"/>
      <c r="J6439" s="1342"/>
      <c r="K6439" s="1342"/>
    </row>
    <row r="6440" spans="2:11" ht="14" hidden="1">
      <c r="B6440" s="1342"/>
      <c r="C6440" s="1342"/>
      <c r="D6440" s="1342"/>
      <c r="E6440" s="1342"/>
      <c r="F6440" s="1342"/>
      <c r="G6440" s="1342"/>
      <c r="H6440" s="1342"/>
      <c r="I6440" s="1342"/>
      <c r="J6440" s="1342"/>
      <c r="K6440" s="1342"/>
    </row>
    <row r="6441" spans="2:11" ht="14" hidden="1">
      <c r="B6441" s="1342"/>
      <c r="C6441" s="1342"/>
      <c r="D6441" s="1342"/>
      <c r="E6441" s="1342"/>
      <c r="F6441" s="1342"/>
      <c r="G6441" s="1342"/>
      <c r="H6441" s="1342"/>
      <c r="I6441" s="1342"/>
      <c r="J6441" s="1342"/>
      <c r="K6441" s="1342"/>
    </row>
    <row r="6442" spans="2:11" ht="14" hidden="1">
      <c r="B6442" s="1342"/>
      <c r="C6442" s="1342"/>
      <c r="D6442" s="1342"/>
      <c r="E6442" s="1342"/>
      <c r="F6442" s="1342"/>
      <c r="G6442" s="1342"/>
      <c r="H6442" s="1342"/>
      <c r="I6442" s="1342"/>
      <c r="J6442" s="1342"/>
      <c r="K6442" s="1342"/>
    </row>
    <row r="6443" spans="2:11" ht="14" hidden="1">
      <c r="B6443" s="1342"/>
      <c r="C6443" s="1342"/>
      <c r="D6443" s="1342"/>
      <c r="E6443" s="1342"/>
      <c r="F6443" s="1342"/>
      <c r="G6443" s="1342"/>
      <c r="H6443" s="1342"/>
      <c r="I6443" s="1342"/>
      <c r="J6443" s="1342"/>
      <c r="K6443" s="1342"/>
    </row>
    <row r="6444" spans="2:11" ht="14" hidden="1">
      <c r="B6444" s="1342"/>
      <c r="C6444" s="1342"/>
      <c r="D6444" s="1342"/>
      <c r="E6444" s="1342"/>
      <c r="F6444" s="1342"/>
      <c r="G6444" s="1342"/>
      <c r="H6444" s="1342"/>
      <c r="I6444" s="1342"/>
      <c r="J6444" s="1342"/>
      <c r="K6444" s="1342"/>
    </row>
    <row r="6445" spans="2:11" ht="14" hidden="1">
      <c r="B6445" s="1342"/>
      <c r="C6445" s="1342"/>
      <c r="D6445" s="1342"/>
      <c r="E6445" s="1342"/>
      <c r="F6445" s="1342"/>
      <c r="G6445" s="1342"/>
      <c r="H6445" s="1342"/>
      <c r="I6445" s="1342"/>
      <c r="J6445" s="1342"/>
      <c r="K6445" s="1342"/>
    </row>
    <row r="6446" spans="2:11" ht="14" hidden="1">
      <c r="B6446" s="1342"/>
      <c r="C6446" s="1342"/>
      <c r="D6446" s="1342"/>
      <c r="E6446" s="1342"/>
      <c r="F6446" s="1342"/>
      <c r="G6446" s="1342"/>
      <c r="H6446" s="1342"/>
      <c r="I6446" s="1342"/>
      <c r="J6446" s="1342"/>
      <c r="K6446" s="1342"/>
    </row>
    <row r="6447" spans="2:11" ht="14" hidden="1">
      <c r="B6447" s="1342"/>
      <c r="C6447" s="1342"/>
      <c r="D6447" s="1342"/>
      <c r="E6447" s="1342"/>
      <c r="F6447" s="1342"/>
      <c r="G6447" s="1342"/>
      <c r="H6447" s="1342"/>
      <c r="I6447" s="1342"/>
      <c r="J6447" s="1342"/>
      <c r="K6447" s="1342"/>
    </row>
    <row r="6448" spans="2:11" ht="14" hidden="1">
      <c r="B6448" s="1342"/>
      <c r="C6448" s="1342"/>
      <c r="D6448" s="1342"/>
      <c r="E6448" s="1342"/>
      <c r="F6448" s="1342"/>
      <c r="G6448" s="1342"/>
      <c r="H6448" s="1342"/>
      <c r="I6448" s="1342"/>
      <c r="J6448" s="1342"/>
      <c r="K6448" s="1342"/>
    </row>
    <row r="6449" spans="2:11" ht="14" hidden="1">
      <c r="B6449" s="1342"/>
      <c r="C6449" s="1342"/>
      <c r="D6449" s="1342"/>
      <c r="E6449" s="1342"/>
      <c r="F6449" s="1342"/>
      <c r="G6449" s="1342"/>
      <c r="H6449" s="1342"/>
      <c r="I6449" s="1342"/>
      <c r="J6449" s="1342"/>
      <c r="K6449" s="1342"/>
    </row>
    <row r="6450" spans="2:11" ht="14" hidden="1">
      <c r="B6450" s="1342"/>
      <c r="C6450" s="1342"/>
      <c r="D6450" s="1342"/>
      <c r="E6450" s="1342"/>
      <c r="F6450" s="1342"/>
      <c r="G6450" s="1342"/>
      <c r="H6450" s="1342"/>
      <c r="I6450" s="1342"/>
      <c r="J6450" s="1342"/>
      <c r="K6450" s="1342"/>
    </row>
    <row r="6451" spans="2:11" ht="14" hidden="1">
      <c r="B6451" s="1342"/>
      <c r="C6451" s="1342"/>
      <c r="D6451" s="1342"/>
      <c r="E6451" s="1342"/>
      <c r="F6451" s="1342"/>
      <c r="G6451" s="1342"/>
      <c r="H6451" s="1342"/>
      <c r="I6451" s="1342"/>
      <c r="J6451" s="1342"/>
      <c r="K6451" s="1342"/>
    </row>
    <row r="6452" spans="2:11" ht="14" hidden="1">
      <c r="B6452" s="1342"/>
      <c r="C6452" s="1342"/>
      <c r="D6452" s="1342"/>
      <c r="E6452" s="1342"/>
      <c r="F6452" s="1342"/>
      <c r="G6452" s="1342"/>
      <c r="H6452" s="1342"/>
      <c r="I6452" s="1342"/>
      <c r="J6452" s="1342"/>
      <c r="K6452" s="1342"/>
    </row>
    <row r="6453" spans="2:11" ht="14" hidden="1">
      <c r="B6453" s="1342"/>
      <c r="C6453" s="1342"/>
      <c r="D6453" s="1342"/>
      <c r="E6453" s="1342"/>
      <c r="F6453" s="1342"/>
      <c r="G6453" s="1342"/>
      <c r="H6453" s="1342"/>
      <c r="I6453" s="1342"/>
      <c r="J6453" s="1342"/>
      <c r="K6453" s="1342"/>
    </row>
    <row r="6454" spans="2:11" ht="14" hidden="1">
      <c r="B6454" s="1342"/>
      <c r="C6454" s="1342"/>
      <c r="D6454" s="1342"/>
      <c r="E6454" s="1342"/>
      <c r="F6454" s="1342"/>
      <c r="G6454" s="1342"/>
      <c r="H6454" s="1342"/>
      <c r="I6454" s="1342"/>
      <c r="J6454" s="1342"/>
      <c r="K6454" s="1342"/>
    </row>
    <row r="6455" spans="2:11" ht="14" hidden="1">
      <c r="B6455" s="1342"/>
      <c r="C6455" s="1342"/>
      <c r="D6455" s="1342"/>
      <c r="E6455" s="1342"/>
      <c r="F6455" s="1342"/>
      <c r="G6455" s="1342"/>
      <c r="H6455" s="1342"/>
      <c r="I6455" s="1342"/>
      <c r="J6455" s="1342"/>
      <c r="K6455" s="1342"/>
    </row>
    <row r="6456" spans="2:11" ht="14" hidden="1">
      <c r="B6456" s="1342"/>
      <c r="C6456" s="1342"/>
      <c r="D6456" s="1342"/>
      <c r="E6456" s="1342"/>
      <c r="F6456" s="1342"/>
      <c r="G6456" s="1342"/>
      <c r="H6456" s="1342"/>
      <c r="I6456" s="1342"/>
      <c r="J6456" s="1342"/>
      <c r="K6456" s="1342"/>
    </row>
    <row r="6457" spans="2:11" ht="14" hidden="1">
      <c r="B6457" s="1342"/>
      <c r="C6457" s="1342"/>
      <c r="D6457" s="1342"/>
      <c r="E6457" s="1342"/>
      <c r="F6457" s="1342"/>
      <c r="G6457" s="1342"/>
      <c r="H6457" s="1342"/>
      <c r="I6457" s="1342"/>
      <c r="J6457" s="1342"/>
      <c r="K6457" s="1342"/>
    </row>
    <row r="6458" spans="2:11" ht="14" hidden="1">
      <c r="B6458" s="1342"/>
      <c r="C6458" s="1342"/>
      <c r="D6458" s="1342"/>
      <c r="E6458" s="1342"/>
      <c r="F6458" s="1342"/>
      <c r="G6458" s="1342"/>
      <c r="H6458" s="1342"/>
      <c r="I6458" s="1342"/>
      <c r="J6458" s="1342"/>
      <c r="K6458" s="1342"/>
    </row>
    <row r="6459" spans="2:11" ht="14" hidden="1">
      <c r="B6459" s="1342"/>
      <c r="C6459" s="1342"/>
      <c r="D6459" s="1342"/>
      <c r="E6459" s="1342"/>
      <c r="F6459" s="1342"/>
      <c r="G6459" s="1342"/>
      <c r="H6459" s="1342"/>
      <c r="I6459" s="1342"/>
      <c r="J6459" s="1342"/>
      <c r="K6459" s="1342"/>
    </row>
    <row r="6460" spans="2:11" ht="14" hidden="1">
      <c r="B6460" s="1342"/>
      <c r="C6460" s="1342"/>
      <c r="D6460" s="1342"/>
      <c r="E6460" s="1342"/>
      <c r="F6460" s="1342"/>
      <c r="G6460" s="1342"/>
      <c r="H6460" s="1342"/>
      <c r="I6460" s="1342"/>
      <c r="J6460" s="1342"/>
      <c r="K6460" s="1342"/>
    </row>
    <row r="6461" spans="2:11" ht="14" hidden="1">
      <c r="B6461" s="1342"/>
      <c r="C6461" s="1342"/>
      <c r="D6461" s="1342"/>
      <c r="E6461" s="1342"/>
      <c r="F6461" s="1342"/>
      <c r="G6461" s="1342"/>
      <c r="H6461" s="1342"/>
      <c r="I6461" s="1342"/>
      <c r="J6461" s="1342"/>
      <c r="K6461" s="1342"/>
    </row>
    <row r="6462" spans="2:11" ht="14" hidden="1">
      <c r="B6462" s="1342"/>
      <c r="C6462" s="1342"/>
      <c r="D6462" s="1342"/>
      <c r="E6462" s="1342"/>
      <c r="F6462" s="1342"/>
      <c r="G6462" s="1342"/>
      <c r="H6462" s="1342"/>
      <c r="I6462" s="1342"/>
      <c r="J6462" s="1342"/>
      <c r="K6462" s="1342"/>
    </row>
    <row r="6463" spans="2:11" ht="14" hidden="1">
      <c r="B6463" s="1342"/>
      <c r="C6463" s="1342"/>
      <c r="D6463" s="1342"/>
      <c r="E6463" s="1342"/>
      <c r="F6463" s="1342"/>
      <c r="G6463" s="1342"/>
      <c r="H6463" s="1342"/>
      <c r="I6463" s="1342"/>
      <c r="J6463" s="1342"/>
      <c r="K6463" s="1342"/>
    </row>
    <row r="6464" spans="2:11" ht="14" hidden="1">
      <c r="B6464" s="1342"/>
      <c r="C6464" s="1342"/>
      <c r="D6464" s="1342"/>
      <c r="E6464" s="1342"/>
      <c r="F6464" s="1342"/>
      <c r="G6464" s="1342"/>
      <c r="H6464" s="1342"/>
      <c r="I6464" s="1342"/>
      <c r="J6464" s="1342"/>
      <c r="K6464" s="1342"/>
    </row>
    <row r="6465" spans="2:11" ht="14" hidden="1">
      <c r="B6465" s="1342"/>
      <c r="C6465" s="1342"/>
      <c r="D6465" s="1342"/>
      <c r="E6465" s="1342"/>
      <c r="F6465" s="1342"/>
      <c r="G6465" s="1342"/>
      <c r="H6465" s="1342"/>
      <c r="I6465" s="1342"/>
      <c r="J6465" s="1342"/>
      <c r="K6465" s="1342"/>
    </row>
    <row r="6466" spans="2:11" ht="14" hidden="1">
      <c r="B6466" s="1342"/>
      <c r="C6466" s="1342"/>
      <c r="D6466" s="1342"/>
      <c r="E6466" s="1342"/>
      <c r="F6466" s="1342"/>
      <c r="G6466" s="1342"/>
      <c r="H6466" s="1342"/>
      <c r="I6466" s="1342"/>
      <c r="J6466" s="1342"/>
      <c r="K6466" s="1342"/>
    </row>
    <row r="6467" spans="2:11" ht="14" hidden="1">
      <c r="B6467" s="1342"/>
      <c r="C6467" s="1342"/>
      <c r="D6467" s="1342"/>
      <c r="E6467" s="1342"/>
      <c r="F6467" s="1342"/>
      <c r="G6467" s="1342"/>
      <c r="H6467" s="1342"/>
      <c r="I6467" s="1342"/>
      <c r="J6467" s="1342"/>
      <c r="K6467" s="1342"/>
    </row>
    <row r="6468" spans="2:11" ht="14" hidden="1">
      <c r="B6468" s="1342"/>
      <c r="C6468" s="1342"/>
      <c r="D6468" s="1342"/>
      <c r="E6468" s="1342"/>
      <c r="F6468" s="1342"/>
      <c r="G6468" s="1342"/>
      <c r="H6468" s="1342"/>
      <c r="I6468" s="1342"/>
      <c r="J6468" s="1342"/>
      <c r="K6468" s="1342"/>
    </row>
    <row r="6469" spans="2:11" ht="14" hidden="1">
      <c r="B6469" s="1342"/>
      <c r="C6469" s="1342"/>
      <c r="D6469" s="1342"/>
      <c r="E6469" s="1342"/>
      <c r="F6469" s="1342"/>
      <c r="G6469" s="1342"/>
      <c r="H6469" s="1342"/>
      <c r="I6469" s="1342"/>
      <c r="J6469" s="1342"/>
      <c r="K6469" s="1342"/>
    </row>
    <row r="6470" spans="2:11" ht="14" hidden="1">
      <c r="B6470" s="1342"/>
      <c r="C6470" s="1342"/>
      <c r="D6470" s="1342"/>
      <c r="E6470" s="1342"/>
      <c r="F6470" s="1342"/>
      <c r="G6470" s="1342"/>
      <c r="H6470" s="1342"/>
      <c r="I6470" s="1342"/>
      <c r="J6470" s="1342"/>
      <c r="K6470" s="1342"/>
    </row>
    <row r="6471" spans="2:11" ht="14" hidden="1">
      <c r="B6471" s="1342"/>
      <c r="C6471" s="1342"/>
      <c r="D6471" s="1342"/>
      <c r="E6471" s="1342"/>
      <c r="F6471" s="1342"/>
      <c r="G6471" s="1342"/>
      <c r="H6471" s="1342"/>
      <c r="I6471" s="1342"/>
      <c r="J6471" s="1342"/>
      <c r="K6471" s="1342"/>
    </row>
    <row r="6472" spans="2:11" ht="14" hidden="1">
      <c r="B6472" s="1342"/>
      <c r="C6472" s="1342"/>
      <c r="D6472" s="1342"/>
      <c r="E6472" s="1342"/>
      <c r="F6472" s="1342"/>
      <c r="G6472" s="1342"/>
      <c r="H6472" s="1342"/>
      <c r="I6472" s="1342"/>
      <c r="J6472" s="1342"/>
      <c r="K6472" s="1342"/>
    </row>
    <row r="6473" spans="2:11" ht="14" hidden="1">
      <c r="B6473" s="1342"/>
      <c r="C6473" s="1342"/>
      <c r="D6473" s="1342"/>
      <c r="E6473" s="1342"/>
      <c r="F6473" s="1342"/>
      <c r="G6473" s="1342"/>
      <c r="H6473" s="1342"/>
      <c r="I6473" s="1342"/>
      <c r="J6473" s="1342"/>
      <c r="K6473" s="1342"/>
    </row>
    <row r="6474" spans="2:11" ht="14" hidden="1">
      <c r="B6474" s="1342"/>
      <c r="C6474" s="1342"/>
      <c r="D6474" s="1342"/>
      <c r="E6474" s="1342"/>
      <c r="F6474" s="1342"/>
      <c r="G6474" s="1342"/>
      <c r="H6474" s="1342"/>
      <c r="I6474" s="1342"/>
      <c r="J6474" s="1342"/>
      <c r="K6474" s="1342"/>
    </row>
    <row r="6475" spans="2:11" ht="14" hidden="1">
      <c r="B6475" s="1342"/>
      <c r="C6475" s="1342"/>
      <c r="D6475" s="1342"/>
      <c r="E6475" s="1342"/>
      <c r="F6475" s="1342"/>
      <c r="G6475" s="1342"/>
      <c r="H6475" s="1342"/>
      <c r="I6475" s="1342"/>
      <c r="J6475" s="1342"/>
      <c r="K6475" s="1342"/>
    </row>
    <row r="6476" spans="2:11" ht="14" hidden="1">
      <c r="B6476" s="1342"/>
      <c r="C6476" s="1342"/>
      <c r="D6476" s="1342"/>
      <c r="E6476" s="1342"/>
      <c r="F6476" s="1342"/>
      <c r="G6476" s="1342"/>
      <c r="H6476" s="1342"/>
      <c r="I6476" s="1342"/>
      <c r="J6476" s="1342"/>
      <c r="K6476" s="1342"/>
    </row>
    <row r="6477" spans="2:11" ht="14" hidden="1">
      <c r="B6477" s="1342"/>
      <c r="C6477" s="1342"/>
      <c r="D6477" s="1342"/>
      <c r="E6477" s="1342"/>
      <c r="F6477" s="1342"/>
      <c r="G6477" s="1342"/>
      <c r="H6477" s="1342"/>
      <c r="I6477" s="1342"/>
      <c r="J6477" s="1342"/>
      <c r="K6477" s="1342"/>
    </row>
    <row r="6478" spans="2:11" ht="14" hidden="1">
      <c r="B6478" s="1342"/>
      <c r="C6478" s="1342"/>
      <c r="D6478" s="1342"/>
      <c r="E6478" s="1342"/>
      <c r="F6478" s="1342"/>
      <c r="G6478" s="1342"/>
      <c r="H6478" s="1342"/>
      <c r="I6478" s="1342"/>
      <c r="J6478" s="1342"/>
      <c r="K6478" s="1342"/>
    </row>
    <row r="6479" spans="2:11" ht="14" hidden="1">
      <c r="B6479" s="1342"/>
      <c r="C6479" s="1342"/>
      <c r="D6479" s="1342"/>
      <c r="E6479" s="1342"/>
      <c r="F6479" s="1342"/>
      <c r="G6479" s="1342"/>
      <c r="H6479" s="1342"/>
      <c r="I6479" s="1342"/>
      <c r="J6479" s="1342"/>
      <c r="K6479" s="1342"/>
    </row>
    <row r="6480" spans="2:11" ht="14" hidden="1">
      <c r="B6480" s="1342"/>
      <c r="C6480" s="1342"/>
      <c r="D6480" s="1342"/>
      <c r="E6480" s="1342"/>
      <c r="F6480" s="1342"/>
      <c r="G6480" s="1342"/>
      <c r="H6480" s="1342"/>
      <c r="I6480" s="1342"/>
      <c r="J6480" s="1342"/>
      <c r="K6480" s="1342"/>
    </row>
    <row r="6481" spans="2:11" ht="14" hidden="1">
      <c r="B6481" s="1342"/>
      <c r="C6481" s="1342"/>
      <c r="D6481" s="1342"/>
      <c r="E6481" s="1342"/>
      <c r="F6481" s="1342"/>
      <c r="G6481" s="1342"/>
      <c r="H6481" s="1342"/>
      <c r="I6481" s="1342"/>
      <c r="J6481" s="1342"/>
      <c r="K6481" s="1342"/>
    </row>
    <row r="6482" spans="2:11" ht="14" hidden="1">
      <c r="B6482" s="1342"/>
      <c r="C6482" s="1342"/>
      <c r="D6482" s="1342"/>
      <c r="E6482" s="1342"/>
      <c r="F6482" s="1342"/>
      <c r="G6482" s="1342"/>
      <c r="H6482" s="1342"/>
      <c r="I6482" s="1342"/>
      <c r="J6482" s="1342"/>
      <c r="K6482" s="1342"/>
    </row>
    <row r="6483" spans="2:11" ht="14" hidden="1">
      <c r="B6483" s="1342"/>
      <c r="C6483" s="1342"/>
      <c r="D6483" s="1342"/>
      <c r="E6483" s="1342"/>
      <c r="F6483" s="1342"/>
      <c r="G6483" s="1342"/>
      <c r="H6483" s="1342"/>
      <c r="I6483" s="1342"/>
      <c r="J6483" s="1342"/>
      <c r="K6483" s="1342"/>
    </row>
    <row r="6484" spans="2:11" ht="14" hidden="1">
      <c r="B6484" s="1342"/>
      <c r="C6484" s="1342"/>
      <c r="D6484" s="1342"/>
      <c r="E6484" s="1342"/>
      <c r="F6484" s="1342"/>
      <c r="G6484" s="1342"/>
      <c r="H6484" s="1342"/>
      <c r="I6484" s="1342"/>
      <c r="J6484" s="1342"/>
      <c r="K6484" s="1342"/>
    </row>
    <row r="6485" spans="2:11" ht="14" hidden="1">
      <c r="B6485" s="1342"/>
      <c r="C6485" s="1342"/>
      <c r="D6485" s="1342"/>
      <c r="E6485" s="1342"/>
      <c r="F6485" s="1342"/>
      <c r="G6485" s="1342"/>
      <c r="H6485" s="1342"/>
      <c r="I6485" s="1342"/>
      <c r="J6485" s="1342"/>
      <c r="K6485" s="1342"/>
    </row>
    <row r="6486" spans="2:11" ht="14" hidden="1">
      <c r="B6486" s="1342"/>
      <c r="C6486" s="1342"/>
      <c r="D6486" s="1342"/>
      <c r="E6486" s="1342"/>
      <c r="F6486" s="1342"/>
      <c r="G6486" s="1342"/>
      <c r="H6486" s="1342"/>
      <c r="I6486" s="1342"/>
      <c r="J6486" s="1342"/>
      <c r="K6486" s="1342"/>
    </row>
    <row r="6487" spans="2:11" ht="14" hidden="1">
      <c r="B6487" s="1342"/>
      <c r="C6487" s="1342"/>
      <c r="D6487" s="1342"/>
      <c r="E6487" s="1342"/>
      <c r="F6487" s="1342"/>
      <c r="G6487" s="1342"/>
      <c r="H6487" s="1342"/>
      <c r="I6487" s="1342"/>
      <c r="J6487" s="1342"/>
      <c r="K6487" s="1342"/>
    </row>
    <row r="6488" spans="2:11" ht="14" hidden="1">
      <c r="B6488" s="1342"/>
      <c r="C6488" s="1342"/>
      <c r="D6488" s="1342"/>
      <c r="E6488" s="1342"/>
      <c r="F6488" s="1342"/>
      <c r="G6488" s="1342"/>
      <c r="H6488" s="1342"/>
      <c r="I6488" s="1342"/>
      <c r="J6488" s="1342"/>
      <c r="K6488" s="1342"/>
    </row>
    <row r="6489" spans="2:11" ht="14" hidden="1">
      <c r="B6489" s="1342"/>
      <c r="C6489" s="1342"/>
      <c r="D6489" s="1342"/>
      <c r="E6489" s="1342"/>
      <c r="F6489" s="1342"/>
      <c r="G6489" s="1342"/>
      <c r="H6489" s="1342"/>
      <c r="I6489" s="1342"/>
      <c r="J6489" s="1342"/>
      <c r="K6489" s="1342"/>
    </row>
    <row r="6490" spans="2:11" ht="14" hidden="1">
      <c r="B6490" s="1342"/>
      <c r="C6490" s="1342"/>
      <c r="D6490" s="1342"/>
      <c r="E6490" s="1342"/>
      <c r="F6490" s="1342"/>
      <c r="G6490" s="1342"/>
      <c r="H6490" s="1342"/>
      <c r="I6490" s="1342"/>
      <c r="J6490" s="1342"/>
      <c r="K6490" s="1342"/>
    </row>
    <row r="6491" spans="2:11" ht="14" hidden="1">
      <c r="B6491" s="1342"/>
      <c r="C6491" s="1342"/>
      <c r="D6491" s="1342"/>
      <c r="E6491" s="1342"/>
      <c r="F6491" s="1342"/>
      <c r="G6491" s="1342"/>
      <c r="H6491" s="1342"/>
      <c r="I6491" s="1342"/>
      <c r="J6491" s="1342"/>
      <c r="K6491" s="1342"/>
    </row>
    <row r="6492" spans="2:11" ht="14" hidden="1">
      <c r="B6492" s="1342"/>
      <c r="C6492" s="1342"/>
      <c r="D6492" s="1342"/>
      <c r="E6492" s="1342"/>
      <c r="F6492" s="1342"/>
      <c r="G6492" s="1342"/>
      <c r="H6492" s="1342"/>
      <c r="I6492" s="1342"/>
      <c r="J6492" s="1342"/>
      <c r="K6492" s="1342"/>
    </row>
    <row r="6493" spans="2:11" ht="14" hidden="1">
      <c r="B6493" s="1342"/>
      <c r="C6493" s="1342"/>
      <c r="D6493" s="1342"/>
      <c r="E6493" s="1342"/>
      <c r="F6493" s="1342"/>
      <c r="G6493" s="1342"/>
      <c r="H6493" s="1342"/>
      <c r="I6493" s="1342"/>
      <c r="J6493" s="1342"/>
      <c r="K6493" s="1342"/>
    </row>
    <row r="6494" spans="2:11" ht="14" hidden="1">
      <c r="B6494" s="1342"/>
      <c r="C6494" s="1342"/>
      <c r="D6494" s="1342"/>
      <c r="E6494" s="1342"/>
      <c r="F6494" s="1342"/>
      <c r="G6494" s="1342"/>
      <c r="H6494" s="1342"/>
      <c r="I6494" s="1342"/>
      <c r="J6494" s="1342"/>
      <c r="K6494" s="1342"/>
    </row>
    <row r="6495" spans="2:11" ht="14" hidden="1">
      <c r="B6495" s="1342"/>
      <c r="C6495" s="1342"/>
      <c r="D6495" s="1342"/>
      <c r="E6495" s="1342"/>
      <c r="F6495" s="1342"/>
      <c r="G6495" s="1342"/>
      <c r="H6495" s="1342"/>
      <c r="I6495" s="1342"/>
      <c r="J6495" s="1342"/>
      <c r="K6495" s="1342"/>
    </row>
    <row r="6496" spans="2:11" ht="14" hidden="1">
      <c r="B6496" s="1342"/>
      <c r="C6496" s="1342"/>
      <c r="D6496" s="1342"/>
      <c r="E6496" s="1342"/>
      <c r="F6496" s="1342"/>
      <c r="G6496" s="1342"/>
      <c r="H6496" s="1342"/>
      <c r="I6496" s="1342"/>
      <c r="J6496" s="1342"/>
      <c r="K6496" s="1342"/>
    </row>
    <row r="6497" spans="2:11" ht="14" hidden="1">
      <c r="B6497" s="1342"/>
      <c r="C6497" s="1342"/>
      <c r="D6497" s="1342"/>
      <c r="E6497" s="1342"/>
      <c r="F6497" s="1342"/>
      <c r="G6497" s="1342"/>
      <c r="H6497" s="1342"/>
      <c r="I6497" s="1342"/>
      <c r="J6497" s="1342"/>
      <c r="K6497" s="1342"/>
    </row>
    <row r="6498" spans="2:11" ht="14" hidden="1">
      <c r="B6498" s="1342"/>
      <c r="C6498" s="1342"/>
      <c r="D6498" s="1342"/>
      <c r="E6498" s="1342"/>
      <c r="F6498" s="1342"/>
      <c r="G6498" s="1342"/>
      <c r="H6498" s="1342"/>
      <c r="I6498" s="1342"/>
      <c r="J6498" s="1342"/>
      <c r="K6498" s="1342"/>
    </row>
    <row r="6499" spans="2:11" ht="14" hidden="1">
      <c r="B6499" s="1342"/>
      <c r="C6499" s="1342"/>
      <c r="D6499" s="1342"/>
      <c r="E6499" s="1342"/>
      <c r="F6499" s="1342"/>
      <c r="G6499" s="1342"/>
      <c r="H6499" s="1342"/>
      <c r="I6499" s="1342"/>
      <c r="J6499" s="1342"/>
      <c r="K6499" s="1342"/>
    </row>
    <row r="6500" spans="2:11" ht="14" hidden="1">
      <c r="B6500" s="1342"/>
      <c r="C6500" s="1342"/>
      <c r="D6500" s="1342"/>
      <c r="E6500" s="1342"/>
      <c r="F6500" s="1342"/>
      <c r="G6500" s="1342"/>
      <c r="H6500" s="1342"/>
      <c r="I6500" s="1342"/>
      <c r="J6500" s="1342"/>
      <c r="K6500" s="1342"/>
    </row>
    <row r="6501" spans="2:11" ht="14" hidden="1">
      <c r="B6501" s="1342"/>
      <c r="C6501" s="1342"/>
      <c r="D6501" s="1342"/>
      <c r="E6501" s="1342"/>
      <c r="F6501" s="1342"/>
      <c r="G6501" s="1342"/>
      <c r="H6501" s="1342"/>
      <c r="I6501" s="1342"/>
      <c r="J6501" s="1342"/>
      <c r="K6501" s="1342"/>
    </row>
    <row r="6502" spans="2:11" ht="14" hidden="1">
      <c r="B6502" s="1342"/>
      <c r="C6502" s="1342"/>
      <c r="D6502" s="1342"/>
      <c r="E6502" s="1342"/>
      <c r="F6502" s="1342"/>
      <c r="G6502" s="1342"/>
      <c r="H6502" s="1342"/>
      <c r="I6502" s="1342"/>
      <c r="J6502" s="1342"/>
      <c r="K6502" s="1342"/>
    </row>
    <row r="6503" spans="2:11" ht="14" hidden="1">
      <c r="B6503" s="1342"/>
      <c r="C6503" s="1342"/>
      <c r="D6503" s="1342"/>
      <c r="E6503" s="1342"/>
      <c r="F6503" s="1342"/>
      <c r="G6503" s="1342"/>
      <c r="H6503" s="1342"/>
      <c r="I6503" s="1342"/>
      <c r="J6503" s="1342"/>
      <c r="K6503" s="1342"/>
    </row>
    <row r="6504" spans="2:11" ht="14" hidden="1">
      <c r="B6504" s="1342"/>
      <c r="C6504" s="1342"/>
      <c r="D6504" s="1342"/>
      <c r="E6504" s="1342"/>
      <c r="F6504" s="1342"/>
      <c r="G6504" s="1342"/>
      <c r="H6504" s="1342"/>
      <c r="I6504" s="1342"/>
      <c r="J6504" s="1342"/>
      <c r="K6504" s="1342"/>
    </row>
    <row r="6505" spans="2:11" ht="14" hidden="1">
      <c r="B6505" s="1342"/>
      <c r="C6505" s="1342"/>
      <c r="D6505" s="1342"/>
      <c r="E6505" s="1342"/>
      <c r="F6505" s="1342"/>
      <c r="G6505" s="1342"/>
      <c r="H6505" s="1342"/>
      <c r="I6505" s="1342"/>
      <c r="J6505" s="1342"/>
      <c r="K6505" s="1342"/>
    </row>
    <row r="6506" spans="2:11" ht="14" hidden="1">
      <c r="B6506" s="1342"/>
      <c r="C6506" s="1342"/>
      <c r="D6506" s="1342"/>
      <c r="E6506" s="1342"/>
      <c r="F6506" s="1342"/>
      <c r="G6506" s="1342"/>
      <c r="H6506" s="1342"/>
      <c r="I6506" s="1342"/>
      <c r="J6506" s="1342"/>
      <c r="K6506" s="1342"/>
    </row>
    <row r="6507" spans="2:11" ht="14" hidden="1">
      <c r="B6507" s="1342"/>
      <c r="C6507" s="1342"/>
      <c r="D6507" s="1342"/>
      <c r="E6507" s="1342"/>
      <c r="F6507" s="1342"/>
      <c r="G6507" s="1342"/>
      <c r="H6507" s="1342"/>
      <c r="I6507" s="1342"/>
      <c r="J6507" s="1342"/>
      <c r="K6507" s="1342"/>
    </row>
    <row r="6508" spans="2:11" ht="14" hidden="1">
      <c r="B6508" s="1342"/>
      <c r="C6508" s="1342"/>
      <c r="D6508" s="1342"/>
      <c r="E6508" s="1342"/>
      <c r="F6508" s="1342"/>
      <c r="G6508" s="1342"/>
      <c r="H6508" s="1342"/>
      <c r="I6508" s="1342"/>
      <c r="J6508" s="1342"/>
      <c r="K6508" s="1342"/>
    </row>
    <row r="6509" spans="2:11" ht="14" hidden="1">
      <c r="B6509" s="1342"/>
      <c r="C6509" s="1342"/>
      <c r="D6509" s="1342"/>
      <c r="E6509" s="1342"/>
      <c r="F6509" s="1342"/>
      <c r="G6509" s="1342"/>
      <c r="H6509" s="1342"/>
      <c r="I6509" s="1342"/>
      <c r="J6509" s="1342"/>
      <c r="K6509" s="1342"/>
    </row>
    <row r="6510" spans="2:11" ht="14" hidden="1">
      <c r="B6510" s="1342"/>
      <c r="C6510" s="1342"/>
      <c r="D6510" s="1342"/>
      <c r="E6510" s="1342"/>
      <c r="F6510" s="1342"/>
      <c r="G6510" s="1342"/>
      <c r="H6510" s="1342"/>
      <c r="I6510" s="1342"/>
      <c r="J6510" s="1342"/>
      <c r="K6510" s="1342"/>
    </row>
    <row r="6511" spans="2:11" ht="14" hidden="1">
      <c r="B6511" s="1342"/>
      <c r="C6511" s="1342"/>
      <c r="D6511" s="1342"/>
      <c r="E6511" s="1342"/>
      <c r="F6511" s="1342"/>
      <c r="G6511" s="1342"/>
      <c r="H6511" s="1342"/>
      <c r="I6511" s="1342"/>
      <c r="J6511" s="1342"/>
      <c r="K6511" s="1342"/>
    </row>
    <row r="6512" spans="2:11" ht="14" hidden="1">
      <c r="B6512" s="1342"/>
      <c r="C6512" s="1342"/>
      <c r="D6512" s="1342"/>
      <c r="E6512" s="1342"/>
      <c r="F6512" s="1342"/>
      <c r="G6512" s="1342"/>
      <c r="H6512" s="1342"/>
      <c r="I6512" s="1342"/>
      <c r="J6512" s="1342"/>
      <c r="K6512" s="1342"/>
    </row>
    <row r="6513" spans="2:11" ht="14" hidden="1">
      <c r="B6513" s="1342"/>
      <c r="C6513" s="1342"/>
      <c r="D6513" s="1342"/>
      <c r="E6513" s="1342"/>
      <c r="F6513" s="1342"/>
      <c r="G6513" s="1342"/>
      <c r="H6513" s="1342"/>
      <c r="I6513" s="1342"/>
      <c r="J6513" s="1342"/>
      <c r="K6513" s="1342"/>
    </row>
    <row r="6514" spans="2:11" ht="14" hidden="1">
      <c r="B6514" s="1342"/>
      <c r="C6514" s="1342"/>
      <c r="D6514" s="1342"/>
      <c r="E6514" s="1342"/>
      <c r="F6514" s="1342"/>
      <c r="G6514" s="1342"/>
      <c r="H6514" s="1342"/>
      <c r="I6514" s="1342"/>
      <c r="J6514" s="1342"/>
      <c r="K6514" s="1342"/>
    </row>
    <row r="6515" spans="2:11" ht="14" hidden="1">
      <c r="B6515" s="1342"/>
      <c r="C6515" s="1342"/>
      <c r="D6515" s="1342"/>
      <c r="E6515" s="1342"/>
      <c r="F6515" s="1342"/>
      <c r="G6515" s="1342"/>
      <c r="H6515" s="1342"/>
      <c r="I6515" s="1342"/>
      <c r="J6515" s="1342"/>
      <c r="K6515" s="1342"/>
    </row>
    <row r="6516" spans="2:11" ht="14" hidden="1">
      <c r="B6516" s="1342"/>
      <c r="C6516" s="1342"/>
      <c r="D6516" s="1342"/>
      <c r="E6516" s="1342"/>
      <c r="F6516" s="1342"/>
      <c r="G6516" s="1342"/>
      <c r="H6516" s="1342"/>
      <c r="I6516" s="1342"/>
      <c r="J6516" s="1342"/>
      <c r="K6516" s="1342"/>
    </row>
    <row r="6517" spans="2:11" ht="14" hidden="1">
      <c r="B6517" s="1342"/>
      <c r="C6517" s="1342"/>
      <c r="D6517" s="1342"/>
      <c r="E6517" s="1342"/>
      <c r="F6517" s="1342"/>
      <c r="G6517" s="1342"/>
      <c r="H6517" s="1342"/>
      <c r="I6517" s="1342"/>
      <c r="J6517" s="1342"/>
      <c r="K6517" s="1342"/>
    </row>
    <row r="6518" spans="2:11" ht="14" hidden="1">
      <c r="B6518" s="1342"/>
      <c r="C6518" s="1342"/>
      <c r="D6518" s="1342"/>
      <c r="E6518" s="1342"/>
      <c r="F6518" s="1342"/>
      <c r="G6518" s="1342"/>
      <c r="H6518" s="1342"/>
      <c r="I6518" s="1342"/>
      <c r="J6518" s="1342"/>
      <c r="K6518" s="1342"/>
    </row>
    <row r="6519" spans="2:11" ht="14" hidden="1">
      <c r="B6519" s="1342"/>
      <c r="C6519" s="1342"/>
      <c r="D6519" s="1342"/>
      <c r="E6519" s="1342"/>
      <c r="F6519" s="1342"/>
      <c r="G6519" s="1342"/>
      <c r="H6519" s="1342"/>
      <c r="I6519" s="1342"/>
      <c r="J6519" s="1342"/>
      <c r="K6519" s="1342"/>
    </row>
    <row r="6520" spans="2:11" ht="14" hidden="1">
      <c r="B6520" s="1342"/>
      <c r="C6520" s="1342"/>
      <c r="D6520" s="1342"/>
      <c r="E6520" s="1342"/>
      <c r="F6520" s="1342"/>
      <c r="G6520" s="1342"/>
      <c r="H6520" s="1342"/>
      <c r="I6520" s="1342"/>
      <c r="J6520" s="1342"/>
      <c r="K6520" s="1342"/>
    </row>
    <row r="6521" spans="2:11" ht="14" hidden="1">
      <c r="B6521" s="1342"/>
      <c r="C6521" s="1342"/>
      <c r="D6521" s="1342"/>
      <c r="E6521" s="1342"/>
      <c r="F6521" s="1342"/>
      <c r="G6521" s="1342"/>
      <c r="H6521" s="1342"/>
      <c r="I6521" s="1342"/>
      <c r="J6521" s="1342"/>
      <c r="K6521" s="1342"/>
    </row>
    <row r="6522" spans="2:11" ht="14" hidden="1">
      <c r="B6522" s="1342"/>
      <c r="C6522" s="1342"/>
      <c r="D6522" s="1342"/>
      <c r="E6522" s="1342"/>
      <c r="F6522" s="1342"/>
      <c r="G6522" s="1342"/>
      <c r="H6522" s="1342"/>
      <c r="I6522" s="1342"/>
      <c r="J6522" s="1342"/>
      <c r="K6522" s="1342"/>
    </row>
    <row r="6523" spans="2:11" ht="14" hidden="1">
      <c r="B6523" s="1342"/>
      <c r="C6523" s="1342"/>
      <c r="D6523" s="1342"/>
      <c r="E6523" s="1342"/>
      <c r="F6523" s="1342"/>
      <c r="G6523" s="1342"/>
      <c r="H6523" s="1342"/>
      <c r="I6523" s="1342"/>
      <c r="J6523" s="1342"/>
      <c r="K6523" s="1342"/>
    </row>
    <row r="6524" spans="2:11" ht="14" hidden="1">
      <c r="B6524" s="1342"/>
      <c r="C6524" s="1342"/>
      <c r="D6524" s="1342"/>
      <c r="E6524" s="1342"/>
      <c r="F6524" s="1342"/>
      <c r="G6524" s="1342"/>
      <c r="H6524" s="1342"/>
      <c r="I6524" s="1342"/>
      <c r="J6524" s="1342"/>
      <c r="K6524" s="1342"/>
    </row>
    <row r="6525" spans="2:11" ht="14" hidden="1">
      <c r="B6525" s="1342"/>
      <c r="C6525" s="1342"/>
      <c r="D6525" s="1342"/>
      <c r="E6525" s="1342"/>
      <c r="F6525" s="1342"/>
      <c r="G6525" s="1342"/>
      <c r="H6525" s="1342"/>
      <c r="I6525" s="1342"/>
      <c r="J6525" s="1342"/>
      <c r="K6525" s="1342"/>
    </row>
    <row r="6526" spans="2:11" ht="14" hidden="1">
      <c r="B6526" s="1342"/>
      <c r="C6526" s="1342"/>
      <c r="D6526" s="1342"/>
      <c r="E6526" s="1342"/>
      <c r="F6526" s="1342"/>
      <c r="G6526" s="1342"/>
      <c r="H6526" s="1342"/>
      <c r="I6526" s="1342"/>
      <c r="J6526" s="1342"/>
      <c r="K6526" s="1342"/>
    </row>
    <row r="6527" spans="2:11" ht="14" hidden="1">
      <c r="B6527" s="1342"/>
      <c r="C6527" s="1342"/>
      <c r="D6527" s="1342"/>
      <c r="E6527" s="1342"/>
      <c r="F6527" s="1342"/>
      <c r="G6527" s="1342"/>
      <c r="H6527" s="1342"/>
      <c r="I6527" s="1342"/>
      <c r="J6527" s="1342"/>
      <c r="K6527" s="1342"/>
    </row>
    <row r="6528" spans="2:11" ht="14" hidden="1">
      <c r="B6528" s="1342"/>
      <c r="C6528" s="1342"/>
      <c r="D6528" s="1342"/>
      <c r="E6528" s="1342"/>
      <c r="F6528" s="1342"/>
      <c r="G6528" s="1342"/>
      <c r="H6528" s="1342"/>
      <c r="I6528" s="1342"/>
      <c r="J6528" s="1342"/>
      <c r="K6528" s="1342"/>
    </row>
    <row r="6529" spans="2:11" ht="14" hidden="1">
      <c r="B6529" s="1342"/>
      <c r="C6529" s="1342"/>
      <c r="D6529" s="1342"/>
      <c r="E6529" s="1342"/>
      <c r="F6529" s="1342"/>
      <c r="G6529" s="1342"/>
      <c r="H6529" s="1342"/>
      <c r="I6529" s="1342"/>
      <c r="J6529" s="1342"/>
      <c r="K6529" s="1342"/>
    </row>
    <row r="6530" spans="2:11" ht="14" hidden="1">
      <c r="B6530" s="1342"/>
      <c r="C6530" s="1342"/>
      <c r="D6530" s="1342"/>
      <c r="E6530" s="1342"/>
      <c r="F6530" s="1342"/>
      <c r="G6530" s="1342"/>
      <c r="H6530" s="1342"/>
      <c r="I6530" s="1342"/>
      <c r="J6530" s="1342"/>
      <c r="K6530" s="1342"/>
    </row>
    <row r="6531" spans="2:11" ht="14" hidden="1">
      <c r="B6531" s="1342"/>
      <c r="C6531" s="1342"/>
      <c r="D6531" s="1342"/>
      <c r="E6531" s="1342"/>
      <c r="F6531" s="1342"/>
      <c r="G6531" s="1342"/>
      <c r="H6531" s="1342"/>
      <c r="I6531" s="1342"/>
      <c r="J6531" s="1342"/>
      <c r="K6531" s="1342"/>
    </row>
    <row r="6532" spans="2:11" ht="14" hidden="1">
      <c r="B6532" s="1342"/>
      <c r="C6532" s="1342"/>
      <c r="D6532" s="1342"/>
      <c r="E6532" s="1342"/>
      <c r="F6532" s="1342"/>
      <c r="G6532" s="1342"/>
      <c r="H6532" s="1342"/>
      <c r="I6532" s="1342"/>
      <c r="J6532" s="1342"/>
      <c r="K6532" s="1342"/>
    </row>
    <row r="6533" spans="2:11" ht="14" hidden="1">
      <c r="B6533" s="1342"/>
      <c r="C6533" s="1342"/>
      <c r="D6533" s="1342"/>
      <c r="E6533" s="1342"/>
      <c r="F6533" s="1342"/>
      <c r="G6533" s="1342"/>
      <c r="H6533" s="1342"/>
      <c r="I6533" s="1342"/>
      <c r="J6533" s="1342"/>
      <c r="K6533" s="1342"/>
    </row>
    <row r="6534" spans="2:11" ht="14" hidden="1">
      <c r="B6534" s="1342"/>
      <c r="C6534" s="1342"/>
      <c r="D6534" s="1342"/>
      <c r="E6534" s="1342"/>
      <c r="F6534" s="1342"/>
      <c r="G6534" s="1342"/>
      <c r="H6534" s="1342"/>
      <c r="I6534" s="1342"/>
      <c r="J6534" s="1342"/>
      <c r="K6534" s="1342"/>
    </row>
    <row r="6535" spans="2:11" ht="14" hidden="1">
      <c r="B6535" s="1342"/>
      <c r="C6535" s="1342"/>
      <c r="D6535" s="1342"/>
      <c r="E6535" s="1342"/>
      <c r="F6535" s="1342"/>
      <c r="G6535" s="1342"/>
      <c r="H6535" s="1342"/>
      <c r="I6535" s="1342"/>
      <c r="J6535" s="1342"/>
      <c r="K6535" s="1342"/>
    </row>
    <row r="6536" spans="2:11" ht="14" hidden="1">
      <c r="B6536" s="1342"/>
      <c r="C6536" s="1342"/>
      <c r="D6536" s="1342"/>
      <c r="E6536" s="1342"/>
      <c r="F6536" s="1342"/>
      <c r="G6536" s="1342"/>
      <c r="H6536" s="1342"/>
      <c r="I6536" s="1342"/>
      <c r="J6536" s="1342"/>
      <c r="K6536" s="1342"/>
    </row>
    <row r="6537" spans="2:11" ht="14" hidden="1">
      <c r="B6537" s="1342"/>
      <c r="C6537" s="1342"/>
      <c r="D6537" s="1342"/>
      <c r="E6537" s="1342"/>
      <c r="F6537" s="1342"/>
      <c r="G6537" s="1342"/>
      <c r="H6537" s="1342"/>
      <c r="I6537" s="1342"/>
      <c r="J6537" s="1342"/>
      <c r="K6537" s="1342"/>
    </row>
    <row r="6538" spans="2:11" ht="14" hidden="1">
      <c r="B6538" s="1342"/>
      <c r="C6538" s="1342"/>
      <c r="D6538" s="1342"/>
      <c r="E6538" s="1342"/>
      <c r="F6538" s="1342"/>
      <c r="G6538" s="1342"/>
      <c r="H6538" s="1342"/>
      <c r="I6538" s="1342"/>
      <c r="J6538" s="1342"/>
      <c r="K6538" s="1342"/>
    </row>
    <row r="6539" spans="2:11" ht="14" hidden="1">
      <c r="B6539" s="1342"/>
      <c r="C6539" s="1342"/>
      <c r="D6539" s="1342"/>
      <c r="E6539" s="1342"/>
      <c r="F6539" s="1342"/>
      <c r="G6539" s="1342"/>
      <c r="H6539" s="1342"/>
      <c r="I6539" s="1342"/>
      <c r="J6539" s="1342"/>
      <c r="K6539" s="1342"/>
    </row>
    <row r="6540" spans="2:11" ht="14" hidden="1">
      <c r="B6540" s="1342"/>
      <c r="C6540" s="1342"/>
      <c r="D6540" s="1342"/>
      <c r="E6540" s="1342"/>
      <c r="F6540" s="1342"/>
      <c r="G6540" s="1342"/>
      <c r="H6540" s="1342"/>
      <c r="I6540" s="1342"/>
      <c r="J6540" s="1342"/>
      <c r="K6540" s="1342"/>
    </row>
    <row r="6541" spans="2:11" ht="14" hidden="1">
      <c r="B6541" s="1342"/>
      <c r="C6541" s="1342"/>
      <c r="D6541" s="1342"/>
      <c r="E6541" s="1342"/>
      <c r="F6541" s="1342"/>
      <c r="G6541" s="1342"/>
      <c r="H6541" s="1342"/>
      <c r="I6541" s="1342"/>
      <c r="J6541" s="1342"/>
      <c r="K6541" s="1342"/>
    </row>
    <row r="6542" spans="2:11" ht="14" hidden="1">
      <c r="B6542" s="1342"/>
      <c r="C6542" s="1342"/>
      <c r="D6542" s="1342"/>
      <c r="E6542" s="1342"/>
      <c r="F6542" s="1342"/>
      <c r="G6542" s="1342"/>
      <c r="H6542" s="1342"/>
      <c r="I6542" s="1342"/>
      <c r="J6542" s="1342"/>
      <c r="K6542" s="1342"/>
    </row>
    <row r="6543" spans="2:11" ht="14" hidden="1">
      <c r="B6543" s="1342"/>
      <c r="C6543" s="1342"/>
      <c r="D6543" s="1342"/>
      <c r="E6543" s="1342"/>
      <c r="F6543" s="1342"/>
      <c r="G6543" s="1342"/>
      <c r="H6543" s="1342"/>
      <c r="I6543" s="1342"/>
      <c r="J6543" s="1342"/>
      <c r="K6543" s="1342"/>
    </row>
    <row r="6544" spans="2:11" ht="14" hidden="1">
      <c r="B6544" s="1342"/>
      <c r="C6544" s="1342"/>
      <c r="D6544" s="1342"/>
      <c r="E6544" s="1342"/>
      <c r="F6544" s="1342"/>
      <c r="G6544" s="1342"/>
      <c r="H6544" s="1342"/>
      <c r="I6544" s="1342"/>
      <c r="J6544" s="1342"/>
      <c r="K6544" s="1342"/>
    </row>
    <row r="6545" spans="2:11" ht="14" hidden="1">
      <c r="B6545" s="1342"/>
      <c r="C6545" s="1342"/>
      <c r="D6545" s="1342"/>
      <c r="E6545" s="1342"/>
      <c r="F6545" s="1342"/>
      <c r="G6545" s="1342"/>
      <c r="H6545" s="1342"/>
      <c r="I6545" s="1342"/>
      <c r="J6545" s="1342"/>
      <c r="K6545" s="1342"/>
    </row>
    <row r="6546" spans="2:11" ht="14" hidden="1">
      <c r="B6546" s="1342"/>
      <c r="C6546" s="1342"/>
      <c r="D6546" s="1342"/>
      <c r="E6546" s="1342"/>
      <c r="F6546" s="1342"/>
      <c r="G6546" s="1342"/>
      <c r="H6546" s="1342"/>
      <c r="I6546" s="1342"/>
      <c r="J6546" s="1342"/>
      <c r="K6546" s="1342"/>
    </row>
    <row r="6547" spans="2:11" ht="14" hidden="1">
      <c r="B6547" s="1342"/>
      <c r="C6547" s="1342"/>
      <c r="D6547" s="1342"/>
      <c r="E6547" s="1342"/>
      <c r="F6547" s="1342"/>
      <c r="G6547" s="1342"/>
      <c r="H6547" s="1342"/>
      <c r="I6547" s="1342"/>
      <c r="J6547" s="1342"/>
      <c r="K6547" s="1342"/>
    </row>
    <row r="6548" spans="2:11" ht="14" hidden="1">
      <c r="B6548" s="1342"/>
      <c r="C6548" s="1342"/>
      <c r="D6548" s="1342"/>
      <c r="E6548" s="1342"/>
      <c r="F6548" s="1342"/>
      <c r="G6548" s="1342"/>
      <c r="H6548" s="1342"/>
      <c r="I6548" s="1342"/>
      <c r="J6548" s="1342"/>
      <c r="K6548" s="1342"/>
    </row>
    <row r="6549" spans="2:11" ht="14" hidden="1">
      <c r="B6549" s="1342"/>
      <c r="C6549" s="1342"/>
      <c r="D6549" s="1342"/>
      <c r="E6549" s="1342"/>
      <c r="F6549" s="1342"/>
      <c r="G6549" s="1342"/>
      <c r="H6549" s="1342"/>
      <c r="I6549" s="1342"/>
      <c r="J6549" s="1342"/>
      <c r="K6549" s="1342"/>
    </row>
    <row r="6550" spans="2:11" ht="14" hidden="1">
      <c r="B6550" s="1342"/>
      <c r="C6550" s="1342"/>
      <c r="D6550" s="1342"/>
      <c r="E6550" s="1342"/>
      <c r="F6550" s="1342"/>
      <c r="G6550" s="1342"/>
      <c r="H6550" s="1342"/>
      <c r="I6550" s="1342"/>
      <c r="J6550" s="1342"/>
      <c r="K6550" s="1342"/>
    </row>
    <row r="6551" spans="2:11" ht="14" hidden="1">
      <c r="B6551" s="1342"/>
      <c r="C6551" s="1342"/>
      <c r="D6551" s="1342"/>
      <c r="E6551" s="1342"/>
      <c r="F6551" s="1342"/>
      <c r="G6551" s="1342"/>
      <c r="H6551" s="1342"/>
      <c r="I6551" s="1342"/>
      <c r="J6551" s="1342"/>
      <c r="K6551" s="1342"/>
    </row>
    <row r="6552" spans="2:11" ht="14" hidden="1">
      <c r="B6552" s="1342"/>
      <c r="C6552" s="1342"/>
      <c r="D6552" s="1342"/>
      <c r="E6552" s="1342"/>
      <c r="F6552" s="1342"/>
      <c r="G6552" s="1342"/>
      <c r="H6552" s="1342"/>
      <c r="I6552" s="1342"/>
      <c r="J6552" s="1342"/>
      <c r="K6552" s="1342"/>
    </row>
    <row r="6553" spans="2:11" ht="14" hidden="1">
      <c r="B6553" s="1342"/>
      <c r="C6553" s="1342"/>
      <c r="D6553" s="1342"/>
      <c r="E6553" s="1342"/>
      <c r="F6553" s="1342"/>
      <c r="G6553" s="1342"/>
      <c r="H6553" s="1342"/>
      <c r="I6553" s="1342"/>
      <c r="J6553" s="1342"/>
      <c r="K6553" s="1342"/>
    </row>
    <row r="6554" spans="2:11" ht="14" hidden="1">
      <c r="B6554" s="1342"/>
      <c r="C6554" s="1342"/>
      <c r="D6554" s="1342"/>
      <c r="E6554" s="1342"/>
      <c r="F6554" s="1342"/>
      <c r="G6554" s="1342"/>
      <c r="H6554" s="1342"/>
      <c r="I6554" s="1342"/>
      <c r="J6554" s="1342"/>
      <c r="K6554" s="1342"/>
    </row>
    <row r="6555" spans="2:11" ht="14" hidden="1">
      <c r="B6555" s="1342"/>
      <c r="C6555" s="1342"/>
      <c r="D6555" s="1342"/>
      <c r="E6555" s="1342"/>
      <c r="F6555" s="1342"/>
      <c r="G6555" s="1342"/>
      <c r="H6555" s="1342"/>
      <c r="I6555" s="1342"/>
      <c r="J6555" s="1342"/>
      <c r="K6555" s="1342"/>
    </row>
    <row r="6556" spans="2:11" ht="14" hidden="1">
      <c r="B6556" s="1342"/>
      <c r="C6556" s="1342"/>
      <c r="D6556" s="1342"/>
      <c r="E6556" s="1342"/>
      <c r="F6556" s="1342"/>
      <c r="G6556" s="1342"/>
      <c r="H6556" s="1342"/>
      <c r="I6556" s="1342"/>
      <c r="J6556" s="1342"/>
      <c r="K6556" s="1342"/>
    </row>
    <row r="6557" spans="2:11" ht="14" hidden="1">
      <c r="B6557" s="1342"/>
      <c r="C6557" s="1342"/>
      <c r="D6557" s="1342"/>
      <c r="E6557" s="1342"/>
      <c r="F6557" s="1342"/>
      <c r="G6557" s="1342"/>
      <c r="H6557" s="1342"/>
      <c r="I6557" s="1342"/>
      <c r="J6557" s="1342"/>
      <c r="K6557" s="1342"/>
    </row>
    <row r="6558" spans="2:11" ht="14" hidden="1">
      <c r="B6558" s="1342"/>
      <c r="C6558" s="1342"/>
      <c r="D6558" s="1342"/>
      <c r="E6558" s="1342"/>
      <c r="F6558" s="1342"/>
      <c r="G6558" s="1342"/>
      <c r="H6558" s="1342"/>
      <c r="I6558" s="1342"/>
      <c r="J6558" s="1342"/>
      <c r="K6558" s="1342"/>
    </row>
    <row r="6559" spans="2:11" ht="14" hidden="1">
      <c r="B6559" s="1342"/>
      <c r="C6559" s="1342"/>
      <c r="D6559" s="1342"/>
      <c r="E6559" s="1342"/>
      <c r="F6559" s="1342"/>
      <c r="G6559" s="1342"/>
      <c r="H6559" s="1342"/>
      <c r="I6559" s="1342"/>
      <c r="J6559" s="1342"/>
      <c r="K6559" s="1342"/>
    </row>
    <row r="6560" spans="2:11" ht="14" hidden="1">
      <c r="B6560" s="1342"/>
      <c r="C6560" s="1342"/>
      <c r="D6560" s="1342"/>
      <c r="E6560" s="1342"/>
      <c r="F6560" s="1342"/>
      <c r="G6560" s="1342"/>
      <c r="H6560" s="1342"/>
      <c r="I6560" s="1342"/>
      <c r="J6560" s="1342"/>
      <c r="K6560" s="1342"/>
    </row>
    <row r="6561" spans="2:11" ht="14" hidden="1">
      <c r="B6561" s="1342"/>
      <c r="C6561" s="1342"/>
      <c r="D6561" s="1342"/>
      <c r="E6561" s="1342"/>
      <c r="F6561" s="1342"/>
      <c r="G6561" s="1342"/>
      <c r="H6561" s="1342"/>
      <c r="I6561" s="1342"/>
      <c r="J6561" s="1342"/>
      <c r="K6561" s="1342"/>
    </row>
    <row r="6562" spans="2:11" ht="14" hidden="1">
      <c r="B6562" s="1342"/>
      <c r="C6562" s="1342"/>
      <c r="D6562" s="1342"/>
      <c r="E6562" s="1342"/>
      <c r="F6562" s="1342"/>
      <c r="G6562" s="1342"/>
      <c r="H6562" s="1342"/>
      <c r="I6562" s="1342"/>
      <c r="J6562" s="1342"/>
      <c r="K6562" s="1342"/>
    </row>
    <row r="6563" spans="2:11" ht="14" hidden="1">
      <c r="B6563" s="1342"/>
      <c r="C6563" s="1342"/>
      <c r="D6563" s="1342"/>
      <c r="E6563" s="1342"/>
      <c r="F6563" s="1342"/>
      <c r="G6563" s="1342"/>
      <c r="H6563" s="1342"/>
      <c r="I6563" s="1342"/>
      <c r="J6563" s="1342"/>
      <c r="K6563" s="1342"/>
    </row>
    <row r="6564" spans="2:11" ht="14" hidden="1">
      <c r="B6564" s="1342"/>
      <c r="C6564" s="1342"/>
      <c r="D6564" s="1342"/>
      <c r="E6564" s="1342"/>
      <c r="F6564" s="1342"/>
      <c r="G6564" s="1342"/>
      <c r="H6564" s="1342"/>
      <c r="I6564" s="1342"/>
      <c r="J6564" s="1342"/>
      <c r="K6564" s="1342"/>
    </row>
    <row r="6565" spans="2:11" ht="14" hidden="1">
      <c r="B6565" s="1342"/>
      <c r="C6565" s="1342"/>
      <c r="D6565" s="1342"/>
      <c r="E6565" s="1342"/>
      <c r="F6565" s="1342"/>
      <c r="G6565" s="1342"/>
      <c r="H6565" s="1342"/>
      <c r="I6565" s="1342"/>
      <c r="J6565" s="1342"/>
      <c r="K6565" s="1342"/>
    </row>
    <row r="6566" spans="2:11" ht="14" hidden="1">
      <c r="B6566" s="1342"/>
      <c r="C6566" s="1342"/>
      <c r="D6566" s="1342"/>
      <c r="E6566" s="1342"/>
      <c r="F6566" s="1342"/>
      <c r="G6566" s="1342"/>
      <c r="H6566" s="1342"/>
      <c r="I6566" s="1342"/>
      <c r="J6566" s="1342"/>
      <c r="K6566" s="1342"/>
    </row>
    <row r="6567" spans="2:11" ht="14" hidden="1">
      <c r="B6567" s="1342"/>
      <c r="C6567" s="1342"/>
      <c r="D6567" s="1342"/>
      <c r="E6567" s="1342"/>
      <c r="F6567" s="1342"/>
      <c r="G6567" s="1342"/>
      <c r="H6567" s="1342"/>
      <c r="I6567" s="1342"/>
      <c r="J6567" s="1342"/>
      <c r="K6567" s="1342"/>
    </row>
    <row r="6568" spans="2:11" ht="14" hidden="1">
      <c r="B6568" s="1342"/>
      <c r="C6568" s="1342"/>
      <c r="D6568" s="1342"/>
      <c r="E6568" s="1342"/>
      <c r="F6568" s="1342"/>
      <c r="G6568" s="1342"/>
      <c r="H6568" s="1342"/>
      <c r="I6568" s="1342"/>
      <c r="J6568" s="1342"/>
      <c r="K6568" s="1342"/>
    </row>
    <row r="6569" spans="2:11" ht="14" hidden="1">
      <c r="B6569" s="1342"/>
      <c r="C6569" s="1342"/>
      <c r="D6569" s="1342"/>
      <c r="E6569" s="1342"/>
      <c r="F6569" s="1342"/>
      <c r="G6569" s="1342"/>
      <c r="H6569" s="1342"/>
      <c r="I6569" s="1342"/>
      <c r="J6569" s="1342"/>
      <c r="K6569" s="1342"/>
    </row>
    <row r="6570" spans="2:11" ht="14" hidden="1">
      <c r="B6570" s="1342"/>
      <c r="C6570" s="1342"/>
      <c r="D6570" s="1342"/>
      <c r="E6570" s="1342"/>
      <c r="F6570" s="1342"/>
      <c r="G6570" s="1342"/>
      <c r="H6570" s="1342"/>
      <c r="I6570" s="1342"/>
      <c r="J6570" s="1342"/>
      <c r="K6570" s="1342"/>
    </row>
    <row r="6571" spans="2:11" ht="14" hidden="1">
      <c r="B6571" s="1342"/>
      <c r="C6571" s="1342"/>
      <c r="D6571" s="1342"/>
      <c r="E6571" s="1342"/>
      <c r="F6571" s="1342"/>
      <c r="G6571" s="1342"/>
      <c r="H6571" s="1342"/>
      <c r="I6571" s="1342"/>
      <c r="J6571" s="1342"/>
      <c r="K6571" s="1342"/>
    </row>
    <row r="6572" spans="2:11" ht="14" hidden="1">
      <c r="B6572" s="1342"/>
      <c r="C6572" s="1342"/>
      <c r="D6572" s="1342"/>
      <c r="E6572" s="1342"/>
      <c r="F6572" s="1342"/>
      <c r="G6572" s="1342"/>
      <c r="H6572" s="1342"/>
      <c r="I6572" s="1342"/>
      <c r="J6572" s="1342"/>
      <c r="K6572" s="1342"/>
    </row>
    <row r="6573" spans="2:11" ht="14" hidden="1">
      <c r="B6573" s="1342"/>
      <c r="C6573" s="1342"/>
      <c r="D6573" s="1342"/>
      <c r="E6573" s="1342"/>
      <c r="F6573" s="1342"/>
      <c r="G6573" s="1342"/>
      <c r="H6573" s="1342"/>
      <c r="I6573" s="1342"/>
      <c r="J6573" s="1342"/>
      <c r="K6573" s="1342"/>
    </row>
    <row r="6574" spans="2:11" ht="14" hidden="1">
      <c r="B6574" s="1342"/>
      <c r="C6574" s="1342"/>
      <c r="D6574" s="1342"/>
      <c r="E6574" s="1342"/>
      <c r="F6574" s="1342"/>
      <c r="G6574" s="1342"/>
      <c r="H6574" s="1342"/>
      <c r="I6574" s="1342"/>
      <c r="J6574" s="1342"/>
      <c r="K6574" s="1342"/>
    </row>
    <row r="6575" spans="2:11" ht="14" hidden="1">
      <c r="B6575" s="1342"/>
      <c r="C6575" s="1342"/>
      <c r="D6575" s="1342"/>
      <c r="E6575" s="1342"/>
      <c r="F6575" s="1342"/>
      <c r="G6575" s="1342"/>
      <c r="H6575" s="1342"/>
      <c r="I6575" s="1342"/>
      <c r="J6575" s="1342"/>
      <c r="K6575" s="1342"/>
    </row>
    <row r="6576" spans="2:11" ht="14" hidden="1">
      <c r="B6576" s="1342"/>
      <c r="C6576" s="1342"/>
      <c r="D6576" s="1342"/>
      <c r="E6576" s="1342"/>
      <c r="F6576" s="1342"/>
      <c r="G6576" s="1342"/>
      <c r="H6576" s="1342"/>
      <c r="I6576" s="1342"/>
      <c r="J6576" s="1342"/>
      <c r="K6576" s="1342"/>
    </row>
    <row r="6577" spans="2:11" ht="14" hidden="1">
      <c r="B6577" s="1342"/>
      <c r="C6577" s="1342"/>
      <c r="D6577" s="1342"/>
      <c r="E6577" s="1342"/>
      <c r="F6577" s="1342"/>
      <c r="G6577" s="1342"/>
      <c r="H6577" s="1342"/>
      <c r="I6577" s="1342"/>
      <c r="J6577" s="1342"/>
      <c r="K6577" s="1342"/>
    </row>
    <row r="6578" spans="2:11" ht="14" hidden="1">
      <c r="B6578" s="1342"/>
      <c r="C6578" s="1342"/>
      <c r="D6578" s="1342"/>
      <c r="E6578" s="1342"/>
      <c r="F6578" s="1342"/>
      <c r="G6578" s="1342"/>
      <c r="H6578" s="1342"/>
      <c r="I6578" s="1342"/>
      <c r="J6578" s="1342"/>
      <c r="K6578" s="1342"/>
    </row>
    <row r="6579" spans="2:11" ht="14" hidden="1">
      <c r="B6579" s="1342"/>
      <c r="C6579" s="1342"/>
      <c r="D6579" s="1342"/>
      <c r="E6579" s="1342"/>
      <c r="F6579" s="1342"/>
      <c r="G6579" s="1342"/>
      <c r="H6579" s="1342"/>
      <c r="I6579" s="1342"/>
      <c r="J6579" s="1342"/>
      <c r="K6579" s="1342"/>
    </row>
    <row r="6580" spans="2:11" ht="14" hidden="1">
      <c r="B6580" s="1342"/>
      <c r="C6580" s="1342"/>
      <c r="D6580" s="1342"/>
      <c r="E6580" s="1342"/>
      <c r="F6580" s="1342"/>
      <c r="G6580" s="1342"/>
      <c r="H6580" s="1342"/>
      <c r="I6580" s="1342"/>
      <c r="J6580" s="1342"/>
      <c r="K6580" s="1342"/>
    </row>
    <row r="6581" spans="2:11" ht="14" hidden="1">
      <c r="B6581" s="1342"/>
      <c r="C6581" s="1342"/>
      <c r="D6581" s="1342"/>
      <c r="E6581" s="1342"/>
      <c r="F6581" s="1342"/>
      <c r="G6581" s="1342"/>
      <c r="H6581" s="1342"/>
      <c r="I6581" s="1342"/>
      <c r="J6581" s="1342"/>
      <c r="K6581" s="1342"/>
    </row>
    <row r="6582" spans="2:11" ht="14" hidden="1">
      <c r="B6582" s="1342"/>
      <c r="C6582" s="1342"/>
      <c r="D6582" s="1342"/>
      <c r="E6582" s="1342"/>
      <c r="F6582" s="1342"/>
      <c r="G6582" s="1342"/>
      <c r="H6582" s="1342"/>
      <c r="I6582" s="1342"/>
      <c r="J6582" s="1342"/>
      <c r="K6582" s="1342"/>
    </row>
    <row r="6583" spans="2:11" ht="14" hidden="1">
      <c r="B6583" s="1342"/>
      <c r="C6583" s="1342"/>
      <c r="D6583" s="1342"/>
      <c r="E6583" s="1342"/>
      <c r="F6583" s="1342"/>
      <c r="G6583" s="1342"/>
      <c r="H6583" s="1342"/>
      <c r="I6583" s="1342"/>
      <c r="J6583" s="1342"/>
      <c r="K6583" s="1342"/>
    </row>
    <row r="6584" spans="2:11" ht="14" hidden="1">
      <c r="B6584" s="1342"/>
      <c r="C6584" s="1342"/>
      <c r="D6584" s="1342"/>
      <c r="E6584" s="1342"/>
      <c r="F6584" s="1342"/>
      <c r="G6584" s="1342"/>
      <c r="H6584" s="1342"/>
      <c r="I6584" s="1342"/>
      <c r="J6584" s="1342"/>
      <c r="K6584" s="1342"/>
    </row>
    <row r="6585" spans="2:11" ht="14" hidden="1">
      <c r="B6585" s="1342"/>
      <c r="C6585" s="1342"/>
      <c r="D6585" s="1342"/>
      <c r="E6585" s="1342"/>
      <c r="F6585" s="1342"/>
      <c r="G6585" s="1342"/>
      <c r="H6585" s="1342"/>
      <c r="I6585" s="1342"/>
      <c r="J6585" s="1342"/>
      <c r="K6585" s="1342"/>
    </row>
    <row r="6586" spans="2:11" ht="14" hidden="1">
      <c r="B6586" s="1342"/>
      <c r="C6586" s="1342"/>
      <c r="D6586" s="1342"/>
      <c r="E6586" s="1342"/>
      <c r="F6586" s="1342"/>
      <c r="G6586" s="1342"/>
      <c r="H6586" s="1342"/>
      <c r="I6586" s="1342"/>
      <c r="J6586" s="1342"/>
      <c r="K6586" s="1342"/>
    </row>
    <row r="6587" spans="2:11" ht="14" hidden="1">
      <c r="B6587" s="1342"/>
      <c r="C6587" s="1342"/>
      <c r="D6587" s="1342"/>
      <c r="E6587" s="1342"/>
      <c r="F6587" s="1342"/>
      <c r="G6587" s="1342"/>
      <c r="H6587" s="1342"/>
      <c r="I6587" s="1342"/>
      <c r="J6587" s="1342"/>
      <c r="K6587" s="1342"/>
    </row>
    <row r="6588" spans="2:11" ht="14" hidden="1">
      <c r="B6588" s="1342"/>
      <c r="C6588" s="1342"/>
      <c r="D6588" s="1342"/>
      <c r="E6588" s="1342"/>
      <c r="F6588" s="1342"/>
      <c r="G6588" s="1342"/>
      <c r="H6588" s="1342"/>
      <c r="I6588" s="1342"/>
      <c r="J6588" s="1342"/>
      <c r="K6588" s="1342"/>
    </row>
    <row r="6589" spans="2:11" ht="14" hidden="1">
      <c r="B6589" s="1342"/>
      <c r="C6589" s="1342"/>
      <c r="D6589" s="1342"/>
      <c r="E6589" s="1342"/>
      <c r="F6589" s="1342"/>
      <c r="G6589" s="1342"/>
      <c r="H6589" s="1342"/>
      <c r="I6589" s="1342"/>
      <c r="J6589" s="1342"/>
      <c r="K6589" s="1342"/>
    </row>
    <row r="6590" spans="2:11" ht="14" hidden="1">
      <c r="B6590" s="1342"/>
      <c r="C6590" s="1342"/>
      <c r="D6590" s="1342"/>
      <c r="E6590" s="1342"/>
      <c r="F6590" s="1342"/>
      <c r="G6590" s="1342"/>
      <c r="H6590" s="1342"/>
      <c r="I6590" s="1342"/>
      <c r="J6590" s="1342"/>
      <c r="K6590" s="1342"/>
    </row>
    <row r="6591" spans="2:11" ht="14" hidden="1">
      <c r="B6591" s="1342"/>
      <c r="C6591" s="1342"/>
      <c r="D6591" s="1342"/>
      <c r="E6591" s="1342"/>
      <c r="F6591" s="1342"/>
      <c r="G6591" s="1342"/>
      <c r="H6591" s="1342"/>
      <c r="I6591" s="1342"/>
      <c r="J6591" s="1342"/>
      <c r="K6591" s="1342"/>
    </row>
    <row r="6592" spans="2:11" ht="14" hidden="1">
      <c r="B6592" s="1342"/>
      <c r="C6592" s="1342"/>
      <c r="D6592" s="1342"/>
      <c r="E6592" s="1342"/>
      <c r="F6592" s="1342"/>
      <c r="G6592" s="1342"/>
      <c r="H6592" s="1342"/>
      <c r="I6592" s="1342"/>
      <c r="J6592" s="1342"/>
      <c r="K6592" s="1342"/>
    </row>
    <row r="6593" spans="2:11" ht="14" hidden="1">
      <c r="B6593" s="1342"/>
      <c r="C6593" s="1342"/>
      <c r="D6593" s="1342"/>
      <c r="E6593" s="1342"/>
      <c r="F6593" s="1342"/>
      <c r="G6593" s="1342"/>
      <c r="H6593" s="1342"/>
      <c r="I6593" s="1342"/>
      <c r="J6593" s="1342"/>
      <c r="K6593" s="1342"/>
    </row>
    <row r="6594" spans="2:11" ht="14" hidden="1">
      <c r="B6594" s="1342"/>
      <c r="C6594" s="1342"/>
      <c r="D6594" s="1342"/>
      <c r="E6594" s="1342"/>
      <c r="F6594" s="1342"/>
      <c r="G6594" s="1342"/>
      <c r="H6594" s="1342"/>
      <c r="I6594" s="1342"/>
      <c r="J6594" s="1342"/>
      <c r="K6594" s="1342"/>
    </row>
    <row r="6595" spans="2:11" ht="14" hidden="1">
      <c r="B6595" s="1342"/>
      <c r="C6595" s="1342"/>
      <c r="D6595" s="1342"/>
      <c r="E6595" s="1342"/>
      <c r="F6595" s="1342"/>
      <c r="G6595" s="1342"/>
      <c r="H6595" s="1342"/>
      <c r="I6595" s="1342"/>
      <c r="J6595" s="1342"/>
      <c r="K6595" s="1342"/>
    </row>
    <row r="6596" spans="2:11" ht="14" hidden="1">
      <c r="B6596" s="1342"/>
      <c r="C6596" s="1342"/>
      <c r="D6596" s="1342"/>
      <c r="E6596" s="1342"/>
      <c r="F6596" s="1342"/>
      <c r="G6596" s="1342"/>
      <c r="H6596" s="1342"/>
      <c r="I6596" s="1342"/>
      <c r="J6596" s="1342"/>
      <c r="K6596" s="1342"/>
    </row>
    <row r="6597" spans="2:11" ht="14" hidden="1">
      <c r="B6597" s="1342"/>
      <c r="C6597" s="1342"/>
      <c r="D6597" s="1342"/>
      <c r="E6597" s="1342"/>
      <c r="F6597" s="1342"/>
      <c r="G6597" s="1342"/>
      <c r="H6597" s="1342"/>
      <c r="I6597" s="1342"/>
      <c r="J6597" s="1342"/>
      <c r="K6597" s="1342"/>
    </row>
    <row r="6598" spans="2:11" ht="14" hidden="1">
      <c r="B6598" s="1342"/>
      <c r="C6598" s="1342"/>
      <c r="D6598" s="1342"/>
      <c r="E6598" s="1342"/>
      <c r="F6598" s="1342"/>
      <c r="G6598" s="1342"/>
      <c r="H6598" s="1342"/>
      <c r="I6598" s="1342"/>
      <c r="J6598" s="1342"/>
      <c r="K6598" s="1342"/>
    </row>
    <row r="6599" spans="2:11" ht="14" hidden="1">
      <c r="B6599" s="1342"/>
      <c r="C6599" s="1342"/>
      <c r="D6599" s="1342"/>
      <c r="E6599" s="1342"/>
      <c r="F6599" s="1342"/>
      <c r="G6599" s="1342"/>
      <c r="H6599" s="1342"/>
      <c r="I6599" s="1342"/>
      <c r="J6599" s="1342"/>
      <c r="K6599" s="1342"/>
    </row>
    <row r="6600" spans="2:11" ht="14" hidden="1">
      <c r="B6600" s="1342"/>
      <c r="C6600" s="1342"/>
      <c r="D6600" s="1342"/>
      <c r="E6600" s="1342"/>
      <c r="F6600" s="1342"/>
      <c r="G6600" s="1342"/>
      <c r="H6600" s="1342"/>
      <c r="I6600" s="1342"/>
      <c r="J6600" s="1342"/>
      <c r="K6600" s="1342"/>
    </row>
    <row r="6601" spans="2:11" ht="14" hidden="1">
      <c r="B6601" s="1342"/>
      <c r="C6601" s="1342"/>
      <c r="D6601" s="1342"/>
      <c r="E6601" s="1342"/>
      <c r="F6601" s="1342"/>
      <c r="G6601" s="1342"/>
      <c r="H6601" s="1342"/>
      <c r="I6601" s="1342"/>
      <c r="J6601" s="1342"/>
      <c r="K6601" s="1342"/>
    </row>
    <row r="6602" spans="2:11" ht="14" hidden="1">
      <c r="B6602" s="1342"/>
      <c r="C6602" s="1342"/>
      <c r="D6602" s="1342"/>
      <c r="E6602" s="1342"/>
      <c r="F6602" s="1342"/>
      <c r="G6602" s="1342"/>
      <c r="H6602" s="1342"/>
      <c r="I6602" s="1342"/>
      <c r="J6602" s="1342"/>
      <c r="K6602" s="1342"/>
    </row>
    <row r="6603" spans="2:11" ht="14" hidden="1">
      <c r="B6603" s="1342"/>
      <c r="C6603" s="1342"/>
      <c r="D6603" s="1342"/>
      <c r="E6603" s="1342"/>
      <c r="F6603" s="1342"/>
      <c r="G6603" s="1342"/>
      <c r="H6603" s="1342"/>
      <c r="I6603" s="1342"/>
      <c r="J6603" s="1342"/>
      <c r="K6603" s="1342"/>
    </row>
    <row r="6604" spans="2:11" ht="14" hidden="1">
      <c r="B6604" s="1342"/>
      <c r="C6604" s="1342"/>
      <c r="D6604" s="1342"/>
      <c r="E6604" s="1342"/>
      <c r="F6604" s="1342"/>
      <c r="G6604" s="1342"/>
      <c r="H6604" s="1342"/>
      <c r="I6604" s="1342"/>
      <c r="J6604" s="1342"/>
      <c r="K6604" s="1342"/>
    </row>
    <row r="6605" spans="2:11" ht="14" hidden="1">
      <c r="B6605" s="1342"/>
      <c r="C6605" s="1342"/>
      <c r="D6605" s="1342"/>
      <c r="E6605" s="1342"/>
      <c r="F6605" s="1342"/>
      <c r="G6605" s="1342"/>
      <c r="H6605" s="1342"/>
      <c r="I6605" s="1342"/>
      <c r="J6605" s="1342"/>
      <c r="K6605" s="1342"/>
    </row>
    <row r="6606" spans="2:11" ht="14" hidden="1">
      <c r="B6606" s="1342"/>
      <c r="C6606" s="1342"/>
      <c r="D6606" s="1342"/>
      <c r="E6606" s="1342"/>
      <c r="F6606" s="1342"/>
      <c r="G6606" s="1342"/>
      <c r="H6606" s="1342"/>
      <c r="I6606" s="1342"/>
      <c r="J6606" s="1342"/>
      <c r="K6606" s="1342"/>
    </row>
    <row r="6607" spans="2:11" ht="14" hidden="1">
      <c r="B6607" s="1342"/>
      <c r="C6607" s="1342"/>
      <c r="D6607" s="1342"/>
      <c r="E6607" s="1342"/>
      <c r="F6607" s="1342"/>
      <c r="G6607" s="1342"/>
      <c r="H6607" s="1342"/>
      <c r="I6607" s="1342"/>
      <c r="J6607" s="1342"/>
      <c r="K6607" s="1342"/>
    </row>
    <row r="6608" spans="2:11" ht="14" hidden="1">
      <c r="B6608" s="1342"/>
      <c r="C6608" s="1342"/>
      <c r="D6608" s="1342"/>
      <c r="E6608" s="1342"/>
      <c r="F6608" s="1342"/>
      <c r="G6608" s="1342"/>
      <c r="H6608" s="1342"/>
      <c r="I6608" s="1342"/>
      <c r="J6608" s="1342"/>
      <c r="K6608" s="1342"/>
    </row>
    <row r="6609" spans="2:11" ht="14" hidden="1">
      <c r="B6609" s="1342"/>
      <c r="C6609" s="1342"/>
      <c r="D6609" s="1342"/>
      <c r="E6609" s="1342"/>
      <c r="F6609" s="1342"/>
      <c r="G6609" s="1342"/>
      <c r="H6609" s="1342"/>
      <c r="I6609" s="1342"/>
      <c r="J6609" s="1342"/>
      <c r="K6609" s="1342"/>
    </row>
    <row r="6610" spans="2:11" ht="14" hidden="1">
      <c r="B6610" s="1342"/>
      <c r="C6610" s="1342"/>
      <c r="D6610" s="1342"/>
      <c r="E6610" s="1342"/>
      <c r="F6610" s="1342"/>
      <c r="G6610" s="1342"/>
      <c r="H6610" s="1342"/>
      <c r="I6610" s="1342"/>
      <c r="J6610" s="1342"/>
      <c r="K6610" s="1342"/>
    </row>
    <row r="6611" spans="2:11" ht="14" hidden="1">
      <c r="B6611" s="1342"/>
      <c r="C6611" s="1342"/>
      <c r="D6611" s="1342"/>
      <c r="E6611" s="1342"/>
      <c r="F6611" s="1342"/>
      <c r="G6611" s="1342"/>
      <c r="H6611" s="1342"/>
      <c r="I6611" s="1342"/>
      <c r="J6611" s="1342"/>
      <c r="K6611" s="1342"/>
    </row>
    <row r="6612" spans="2:11" ht="14" hidden="1">
      <c r="B6612" s="1342"/>
      <c r="C6612" s="1342"/>
      <c r="D6612" s="1342"/>
      <c r="E6612" s="1342"/>
      <c r="F6612" s="1342"/>
      <c r="G6612" s="1342"/>
      <c r="H6612" s="1342"/>
      <c r="I6612" s="1342"/>
      <c r="J6612" s="1342"/>
      <c r="K6612" s="1342"/>
    </row>
    <row r="6613" spans="2:11" ht="14" hidden="1">
      <c r="B6613" s="1342"/>
      <c r="C6613" s="1342"/>
      <c r="D6613" s="1342"/>
      <c r="E6613" s="1342"/>
      <c r="F6613" s="1342"/>
      <c r="G6613" s="1342"/>
      <c r="H6613" s="1342"/>
      <c r="I6613" s="1342"/>
      <c r="J6613" s="1342"/>
      <c r="K6613" s="1342"/>
    </row>
    <row r="6614" spans="2:11" ht="14" hidden="1">
      <c r="B6614" s="1342"/>
      <c r="C6614" s="1342"/>
      <c r="D6614" s="1342"/>
      <c r="E6614" s="1342"/>
      <c r="F6614" s="1342"/>
      <c r="G6614" s="1342"/>
      <c r="H6614" s="1342"/>
      <c r="I6614" s="1342"/>
      <c r="J6614" s="1342"/>
      <c r="K6614" s="1342"/>
    </row>
    <row r="6615" spans="2:11" ht="14" hidden="1">
      <c r="B6615" s="1342"/>
      <c r="C6615" s="1342"/>
      <c r="D6615" s="1342"/>
      <c r="E6615" s="1342"/>
      <c r="F6615" s="1342"/>
      <c r="G6615" s="1342"/>
      <c r="H6615" s="1342"/>
      <c r="I6615" s="1342"/>
      <c r="J6615" s="1342"/>
      <c r="K6615" s="1342"/>
    </row>
    <row r="6616" spans="2:11" ht="14" hidden="1">
      <c r="B6616" s="1342"/>
      <c r="C6616" s="1342"/>
      <c r="D6616" s="1342"/>
      <c r="E6616" s="1342"/>
      <c r="F6616" s="1342"/>
      <c r="G6616" s="1342"/>
      <c r="H6616" s="1342"/>
      <c r="I6616" s="1342"/>
      <c r="J6616" s="1342"/>
      <c r="K6616" s="1342"/>
    </row>
    <row r="6617" spans="2:11" ht="14" hidden="1">
      <c r="B6617" s="1342"/>
      <c r="C6617" s="1342"/>
      <c r="D6617" s="1342"/>
      <c r="E6617" s="1342"/>
      <c r="F6617" s="1342"/>
      <c r="G6617" s="1342"/>
      <c r="H6617" s="1342"/>
      <c r="I6617" s="1342"/>
      <c r="J6617" s="1342"/>
      <c r="K6617" s="1342"/>
    </row>
    <row r="6618" spans="2:11" ht="14" hidden="1">
      <c r="B6618" s="1342"/>
      <c r="C6618" s="1342"/>
      <c r="D6618" s="1342"/>
      <c r="E6618" s="1342"/>
      <c r="F6618" s="1342"/>
      <c r="G6618" s="1342"/>
      <c r="H6618" s="1342"/>
      <c r="I6618" s="1342"/>
      <c r="J6618" s="1342"/>
      <c r="K6618" s="1342"/>
    </row>
    <row r="6619" spans="2:11" ht="14" hidden="1">
      <c r="B6619" s="1342"/>
      <c r="C6619" s="1342"/>
      <c r="D6619" s="1342"/>
      <c r="E6619" s="1342"/>
      <c r="F6619" s="1342"/>
      <c r="G6619" s="1342"/>
      <c r="H6619" s="1342"/>
      <c r="I6619" s="1342"/>
      <c r="J6619" s="1342"/>
      <c r="K6619" s="1342"/>
    </row>
    <row r="6620" spans="2:11" ht="14" hidden="1">
      <c r="B6620" s="1342"/>
      <c r="C6620" s="1342"/>
      <c r="D6620" s="1342"/>
      <c r="E6620" s="1342"/>
      <c r="F6620" s="1342"/>
      <c r="G6620" s="1342"/>
      <c r="H6620" s="1342"/>
      <c r="I6620" s="1342"/>
      <c r="J6620" s="1342"/>
      <c r="K6620" s="1342"/>
    </row>
    <row r="6621" spans="2:11" ht="14" hidden="1">
      <c r="B6621" s="1342"/>
      <c r="C6621" s="1342"/>
      <c r="D6621" s="1342"/>
      <c r="E6621" s="1342"/>
      <c r="F6621" s="1342"/>
      <c r="G6621" s="1342"/>
      <c r="H6621" s="1342"/>
      <c r="I6621" s="1342"/>
      <c r="J6621" s="1342"/>
      <c r="K6621" s="1342"/>
    </row>
    <row r="6622" spans="2:11" ht="14" hidden="1">
      <c r="B6622" s="1342"/>
      <c r="C6622" s="1342"/>
      <c r="D6622" s="1342"/>
      <c r="E6622" s="1342"/>
      <c r="F6622" s="1342"/>
      <c r="G6622" s="1342"/>
      <c r="H6622" s="1342"/>
      <c r="I6622" s="1342"/>
      <c r="J6622" s="1342"/>
      <c r="K6622" s="1342"/>
    </row>
    <row r="6623" spans="2:11" ht="14" hidden="1">
      <c r="B6623" s="1342"/>
      <c r="C6623" s="1342"/>
      <c r="D6623" s="1342"/>
      <c r="E6623" s="1342"/>
      <c r="F6623" s="1342"/>
      <c r="G6623" s="1342"/>
      <c r="H6623" s="1342"/>
      <c r="I6623" s="1342"/>
      <c r="J6623" s="1342"/>
      <c r="K6623" s="1342"/>
    </row>
    <row r="6624" spans="2:11" ht="14" hidden="1">
      <c r="B6624" s="1342"/>
      <c r="C6624" s="1342"/>
      <c r="D6624" s="1342"/>
      <c r="E6624" s="1342"/>
      <c r="F6624" s="1342"/>
      <c r="G6624" s="1342"/>
      <c r="H6624" s="1342"/>
      <c r="I6624" s="1342"/>
      <c r="J6624" s="1342"/>
      <c r="K6624" s="1342"/>
    </row>
    <row r="6625" spans="2:11" ht="14" hidden="1">
      <c r="B6625" s="1342"/>
      <c r="C6625" s="1342"/>
      <c r="D6625" s="1342"/>
      <c r="E6625" s="1342"/>
      <c r="F6625" s="1342"/>
      <c r="G6625" s="1342"/>
      <c r="H6625" s="1342"/>
      <c r="I6625" s="1342"/>
      <c r="J6625" s="1342"/>
      <c r="K6625" s="1342"/>
    </row>
    <row r="6626" spans="2:11" ht="14" hidden="1">
      <c r="B6626" s="1342"/>
      <c r="C6626" s="1342"/>
      <c r="D6626" s="1342"/>
      <c r="E6626" s="1342"/>
      <c r="F6626" s="1342"/>
      <c r="G6626" s="1342"/>
      <c r="H6626" s="1342"/>
      <c r="I6626" s="1342"/>
      <c r="J6626" s="1342"/>
      <c r="K6626" s="1342"/>
    </row>
    <row r="6627" spans="2:11" ht="14" hidden="1">
      <c r="B6627" s="1342"/>
      <c r="C6627" s="1342"/>
      <c r="D6627" s="1342"/>
      <c r="E6627" s="1342"/>
      <c r="F6627" s="1342"/>
      <c r="G6627" s="1342"/>
      <c r="H6627" s="1342"/>
      <c r="I6627" s="1342"/>
      <c r="J6627" s="1342"/>
      <c r="K6627" s="1342"/>
    </row>
    <row r="6628" spans="2:11" ht="14" hidden="1">
      <c r="B6628" s="1342"/>
      <c r="C6628" s="1342"/>
      <c r="D6628" s="1342"/>
      <c r="E6628" s="1342"/>
      <c r="F6628" s="1342"/>
      <c r="G6628" s="1342"/>
      <c r="H6628" s="1342"/>
      <c r="I6628" s="1342"/>
      <c r="J6628" s="1342"/>
      <c r="K6628" s="1342"/>
    </row>
    <row r="6629" spans="2:11" ht="14" hidden="1">
      <c r="B6629" s="1342"/>
      <c r="C6629" s="1342"/>
      <c r="D6629" s="1342"/>
      <c r="E6629" s="1342"/>
      <c r="F6629" s="1342"/>
      <c r="G6629" s="1342"/>
      <c r="H6629" s="1342"/>
      <c r="I6629" s="1342"/>
      <c r="J6629" s="1342"/>
      <c r="K6629" s="1342"/>
    </row>
    <row r="6630" spans="2:11" ht="14" hidden="1">
      <c r="B6630" s="1342"/>
      <c r="C6630" s="1342"/>
      <c r="D6630" s="1342"/>
      <c r="E6630" s="1342"/>
      <c r="F6630" s="1342"/>
      <c r="G6630" s="1342"/>
      <c r="H6630" s="1342"/>
      <c r="I6630" s="1342"/>
      <c r="J6630" s="1342"/>
      <c r="K6630" s="1342"/>
    </row>
    <row r="6631" spans="2:11" ht="14" hidden="1">
      <c r="B6631" s="1342"/>
      <c r="C6631" s="1342"/>
      <c r="D6631" s="1342"/>
      <c r="E6631" s="1342"/>
      <c r="F6631" s="1342"/>
      <c r="G6631" s="1342"/>
      <c r="H6631" s="1342"/>
      <c r="I6631" s="1342"/>
      <c r="J6631" s="1342"/>
      <c r="K6631" s="1342"/>
    </row>
    <row r="6632" spans="2:11" ht="14" hidden="1">
      <c r="B6632" s="1342"/>
      <c r="C6632" s="1342"/>
      <c r="D6632" s="1342"/>
      <c r="E6632" s="1342"/>
      <c r="F6632" s="1342"/>
      <c r="G6632" s="1342"/>
      <c r="H6632" s="1342"/>
      <c r="I6632" s="1342"/>
      <c r="J6632" s="1342"/>
      <c r="K6632" s="1342"/>
    </row>
    <row r="6633" spans="2:11" ht="14" hidden="1">
      <c r="B6633" s="1342"/>
      <c r="C6633" s="1342"/>
      <c r="D6633" s="1342"/>
      <c r="E6633" s="1342"/>
      <c r="F6633" s="1342"/>
      <c r="G6633" s="1342"/>
      <c r="H6633" s="1342"/>
      <c r="I6633" s="1342"/>
      <c r="J6633" s="1342"/>
      <c r="K6633" s="1342"/>
    </row>
    <row r="6634" spans="2:11" ht="14" hidden="1">
      <c r="B6634" s="1342"/>
      <c r="C6634" s="1342"/>
      <c r="D6634" s="1342"/>
      <c r="E6634" s="1342"/>
      <c r="F6634" s="1342"/>
      <c r="G6634" s="1342"/>
      <c r="H6634" s="1342"/>
      <c r="I6634" s="1342"/>
      <c r="J6634" s="1342"/>
      <c r="K6634" s="1342"/>
    </row>
    <row r="6635" spans="2:11" ht="14" hidden="1">
      <c r="B6635" s="1342"/>
      <c r="C6635" s="1342"/>
      <c r="D6635" s="1342"/>
      <c r="E6635" s="1342"/>
      <c r="F6635" s="1342"/>
      <c r="G6635" s="1342"/>
      <c r="H6635" s="1342"/>
      <c r="I6635" s="1342"/>
      <c r="J6635" s="1342"/>
      <c r="K6635" s="1342"/>
    </row>
    <row r="6636" spans="2:11" ht="14" hidden="1">
      <c r="B6636" s="1342"/>
      <c r="C6636" s="1342"/>
      <c r="D6636" s="1342"/>
      <c r="E6636" s="1342"/>
      <c r="F6636" s="1342"/>
      <c r="G6636" s="1342"/>
      <c r="H6636" s="1342"/>
      <c r="I6636" s="1342"/>
      <c r="J6636" s="1342"/>
      <c r="K6636" s="1342"/>
    </row>
    <row r="6637" spans="2:11" ht="14" hidden="1">
      <c r="B6637" s="1342"/>
      <c r="C6637" s="1342"/>
      <c r="D6637" s="1342"/>
      <c r="E6637" s="1342"/>
      <c r="F6637" s="1342"/>
      <c r="G6637" s="1342"/>
      <c r="H6637" s="1342"/>
      <c r="I6637" s="1342"/>
      <c r="J6637" s="1342"/>
      <c r="K6637" s="1342"/>
    </row>
    <row r="6638" spans="2:11" ht="14" hidden="1">
      <c r="B6638" s="1342"/>
      <c r="C6638" s="1342"/>
      <c r="D6638" s="1342"/>
      <c r="E6638" s="1342"/>
      <c r="F6638" s="1342"/>
      <c r="G6638" s="1342"/>
      <c r="H6638" s="1342"/>
      <c r="I6638" s="1342"/>
      <c r="J6638" s="1342"/>
      <c r="K6638" s="1342"/>
    </row>
    <row r="6639" spans="2:11" ht="14" hidden="1">
      <c r="B6639" s="1342"/>
      <c r="C6639" s="1342"/>
      <c r="D6639" s="1342"/>
      <c r="E6639" s="1342"/>
      <c r="F6639" s="1342"/>
      <c r="G6639" s="1342"/>
      <c r="H6639" s="1342"/>
      <c r="I6639" s="1342"/>
      <c r="J6639" s="1342"/>
      <c r="K6639" s="1342"/>
    </row>
    <row r="6640" spans="2:11" ht="14" hidden="1">
      <c r="B6640" s="1342"/>
      <c r="C6640" s="1342"/>
      <c r="D6640" s="1342"/>
      <c r="E6640" s="1342"/>
      <c r="F6640" s="1342"/>
      <c r="G6640" s="1342"/>
      <c r="H6640" s="1342"/>
      <c r="I6640" s="1342"/>
      <c r="J6640" s="1342"/>
      <c r="K6640" s="1342"/>
    </row>
    <row r="6641" spans="2:11" ht="14" hidden="1">
      <c r="B6641" s="1342"/>
      <c r="C6641" s="1342"/>
      <c r="D6641" s="1342"/>
      <c r="E6641" s="1342"/>
      <c r="F6641" s="1342"/>
      <c r="G6641" s="1342"/>
      <c r="H6641" s="1342"/>
      <c r="I6641" s="1342"/>
      <c r="J6641" s="1342"/>
      <c r="K6641" s="1342"/>
    </row>
    <row r="6642" spans="2:11" ht="14" hidden="1">
      <c r="B6642" s="1342"/>
      <c r="C6642" s="1342"/>
      <c r="D6642" s="1342"/>
      <c r="E6642" s="1342"/>
      <c r="F6642" s="1342"/>
      <c r="G6642" s="1342"/>
      <c r="H6642" s="1342"/>
      <c r="I6642" s="1342"/>
      <c r="J6642" s="1342"/>
      <c r="K6642" s="1342"/>
    </row>
    <row r="6643" spans="2:11" ht="14" hidden="1">
      <c r="B6643" s="1342"/>
      <c r="C6643" s="1342"/>
      <c r="D6643" s="1342"/>
      <c r="E6643" s="1342"/>
      <c r="F6643" s="1342"/>
      <c r="G6643" s="1342"/>
      <c r="H6643" s="1342"/>
      <c r="I6643" s="1342"/>
      <c r="J6643" s="1342"/>
      <c r="K6643" s="1342"/>
    </row>
    <row r="6644" spans="2:11" ht="14" hidden="1">
      <c r="B6644" s="1342"/>
      <c r="C6644" s="1342"/>
      <c r="D6644" s="1342"/>
      <c r="E6644" s="1342"/>
      <c r="F6644" s="1342"/>
      <c r="G6644" s="1342"/>
      <c r="H6644" s="1342"/>
      <c r="I6644" s="1342"/>
      <c r="J6644" s="1342"/>
      <c r="K6644" s="1342"/>
    </row>
    <row r="6645" spans="2:11" ht="14" hidden="1">
      <c r="B6645" s="1342"/>
      <c r="C6645" s="1342"/>
      <c r="D6645" s="1342"/>
      <c r="E6645" s="1342"/>
      <c r="F6645" s="1342"/>
      <c r="G6645" s="1342"/>
      <c r="H6645" s="1342"/>
      <c r="I6645" s="1342"/>
      <c r="J6645" s="1342"/>
      <c r="K6645" s="1342"/>
    </row>
    <row r="6646" spans="2:11" ht="14" hidden="1">
      <c r="B6646" s="1342"/>
      <c r="C6646" s="1342"/>
      <c r="D6646" s="1342"/>
      <c r="E6646" s="1342"/>
      <c r="F6646" s="1342"/>
      <c r="G6646" s="1342"/>
      <c r="H6646" s="1342"/>
      <c r="I6646" s="1342"/>
      <c r="J6646" s="1342"/>
      <c r="K6646" s="1342"/>
    </row>
    <row r="6647" spans="2:11" ht="14" hidden="1">
      <c r="B6647" s="1342"/>
      <c r="C6647" s="1342"/>
      <c r="D6647" s="1342"/>
      <c r="E6647" s="1342"/>
      <c r="F6647" s="1342"/>
      <c r="G6647" s="1342"/>
      <c r="H6647" s="1342"/>
      <c r="I6647" s="1342"/>
      <c r="J6647" s="1342"/>
      <c r="K6647" s="1342"/>
    </row>
    <row r="6648" spans="2:11" ht="14" hidden="1">
      <c r="B6648" s="1342"/>
      <c r="C6648" s="1342"/>
      <c r="D6648" s="1342"/>
      <c r="E6648" s="1342"/>
      <c r="F6648" s="1342"/>
      <c r="G6648" s="1342"/>
      <c r="H6648" s="1342"/>
      <c r="I6648" s="1342"/>
      <c r="J6648" s="1342"/>
      <c r="K6648" s="1342"/>
    </row>
    <row r="6649" spans="2:11" ht="14" hidden="1">
      <c r="B6649" s="1342"/>
      <c r="C6649" s="1342"/>
      <c r="D6649" s="1342"/>
      <c r="E6649" s="1342"/>
      <c r="F6649" s="1342"/>
      <c r="G6649" s="1342"/>
      <c r="H6649" s="1342"/>
      <c r="I6649" s="1342"/>
      <c r="J6649" s="1342"/>
      <c r="K6649" s="1342"/>
    </row>
    <row r="6650" spans="2:11" ht="14" hidden="1">
      <c r="B6650" s="1342"/>
      <c r="C6650" s="1342"/>
      <c r="D6650" s="1342"/>
      <c r="E6650" s="1342"/>
      <c r="F6650" s="1342"/>
      <c r="G6650" s="1342"/>
      <c r="H6650" s="1342"/>
      <c r="I6650" s="1342"/>
      <c r="J6650" s="1342"/>
      <c r="K6650" s="1342"/>
    </row>
    <row r="6651" spans="2:11" ht="14" hidden="1">
      <c r="B6651" s="1342"/>
      <c r="C6651" s="1342"/>
      <c r="D6651" s="1342"/>
      <c r="E6651" s="1342"/>
      <c r="F6651" s="1342"/>
      <c r="G6651" s="1342"/>
      <c r="H6651" s="1342"/>
      <c r="I6651" s="1342"/>
      <c r="J6651" s="1342"/>
      <c r="K6651" s="1342"/>
    </row>
    <row r="6652" spans="2:11" ht="14" hidden="1">
      <c r="B6652" s="1342"/>
      <c r="C6652" s="1342"/>
      <c r="D6652" s="1342"/>
      <c r="E6652" s="1342"/>
      <c r="F6652" s="1342"/>
      <c r="G6652" s="1342"/>
      <c r="H6652" s="1342"/>
      <c r="I6652" s="1342"/>
      <c r="J6652" s="1342"/>
      <c r="K6652" s="1342"/>
    </row>
    <row r="6653" spans="2:11" ht="14" hidden="1">
      <c r="B6653" s="1342"/>
      <c r="C6653" s="1342"/>
      <c r="D6653" s="1342"/>
      <c r="E6653" s="1342"/>
      <c r="F6653" s="1342"/>
      <c r="G6653" s="1342"/>
      <c r="H6653" s="1342"/>
      <c r="I6653" s="1342"/>
      <c r="J6653" s="1342"/>
      <c r="K6653" s="1342"/>
    </row>
    <row r="6654" spans="2:11" ht="14" hidden="1">
      <c r="B6654" s="1342"/>
      <c r="C6654" s="1342"/>
      <c r="D6654" s="1342"/>
      <c r="E6654" s="1342"/>
      <c r="F6654" s="1342"/>
      <c r="G6654" s="1342"/>
      <c r="H6654" s="1342"/>
      <c r="I6654" s="1342"/>
      <c r="J6654" s="1342"/>
      <c r="K6654" s="1342"/>
    </row>
    <row r="6655" spans="2:11" ht="14" hidden="1">
      <c r="B6655" s="1342"/>
      <c r="C6655" s="1342"/>
      <c r="D6655" s="1342"/>
      <c r="E6655" s="1342"/>
      <c r="F6655" s="1342"/>
      <c r="G6655" s="1342"/>
      <c r="H6655" s="1342"/>
      <c r="I6655" s="1342"/>
      <c r="J6655" s="1342"/>
      <c r="K6655" s="1342"/>
    </row>
    <row r="6656" spans="2:11" ht="14" hidden="1">
      <c r="B6656" s="1342"/>
      <c r="C6656" s="1342"/>
      <c r="D6656" s="1342"/>
      <c r="E6656" s="1342"/>
      <c r="F6656" s="1342"/>
      <c r="G6656" s="1342"/>
      <c r="H6656" s="1342"/>
      <c r="I6656" s="1342"/>
      <c r="J6656" s="1342"/>
      <c r="K6656" s="1342"/>
    </row>
    <row r="6657" spans="2:11" ht="14" hidden="1">
      <c r="B6657" s="1342"/>
      <c r="C6657" s="1342"/>
      <c r="D6657" s="1342"/>
      <c r="E6657" s="1342"/>
      <c r="F6657" s="1342"/>
      <c r="G6657" s="1342"/>
      <c r="H6657" s="1342"/>
      <c r="I6657" s="1342"/>
      <c r="J6657" s="1342"/>
      <c r="K6657" s="1342"/>
    </row>
    <row r="6658" spans="2:11" ht="14" hidden="1">
      <c r="B6658" s="1342"/>
      <c r="C6658" s="1342"/>
      <c r="D6658" s="1342"/>
      <c r="E6658" s="1342"/>
      <c r="F6658" s="1342"/>
      <c r="G6658" s="1342"/>
      <c r="H6658" s="1342"/>
      <c r="I6658" s="1342"/>
      <c r="J6658" s="1342"/>
      <c r="K6658" s="1342"/>
    </row>
    <row r="6659" spans="2:11" ht="14" hidden="1">
      <c r="B6659" s="1342"/>
      <c r="C6659" s="1342"/>
      <c r="D6659" s="1342"/>
      <c r="E6659" s="1342"/>
      <c r="F6659" s="1342"/>
      <c r="G6659" s="1342"/>
      <c r="H6659" s="1342"/>
      <c r="I6659" s="1342"/>
      <c r="J6659" s="1342"/>
      <c r="K6659" s="1342"/>
    </row>
    <row r="6660" spans="2:11" ht="14" hidden="1">
      <c r="B6660" s="1342"/>
      <c r="C6660" s="1342"/>
      <c r="D6660" s="1342"/>
      <c r="E6660" s="1342"/>
      <c r="F6660" s="1342"/>
      <c r="G6660" s="1342"/>
      <c r="H6660" s="1342"/>
      <c r="I6660" s="1342"/>
      <c r="J6660" s="1342"/>
      <c r="K6660" s="1342"/>
    </row>
    <row r="6661" spans="2:11" ht="14" hidden="1">
      <c r="B6661" s="1342"/>
      <c r="C6661" s="1342"/>
      <c r="D6661" s="1342"/>
      <c r="E6661" s="1342"/>
      <c r="F6661" s="1342"/>
      <c r="G6661" s="1342"/>
      <c r="H6661" s="1342"/>
      <c r="I6661" s="1342"/>
      <c r="J6661" s="1342"/>
      <c r="K6661" s="1342"/>
    </row>
    <row r="6662" spans="2:11" ht="14" hidden="1">
      <c r="B6662" s="1342"/>
      <c r="C6662" s="1342"/>
      <c r="D6662" s="1342"/>
      <c r="E6662" s="1342"/>
      <c r="F6662" s="1342"/>
      <c r="G6662" s="1342"/>
      <c r="H6662" s="1342"/>
      <c r="I6662" s="1342"/>
      <c r="J6662" s="1342"/>
      <c r="K6662" s="1342"/>
    </row>
    <row r="6663" spans="2:11" ht="14" hidden="1">
      <c r="B6663" s="1342"/>
      <c r="C6663" s="1342"/>
      <c r="D6663" s="1342"/>
      <c r="E6663" s="1342"/>
      <c r="F6663" s="1342"/>
      <c r="G6663" s="1342"/>
      <c r="H6663" s="1342"/>
      <c r="I6663" s="1342"/>
      <c r="J6663" s="1342"/>
      <c r="K6663" s="1342"/>
    </row>
    <row r="6664" spans="2:11" ht="14" hidden="1">
      <c r="B6664" s="1342"/>
      <c r="C6664" s="1342"/>
      <c r="D6664" s="1342"/>
      <c r="E6664" s="1342"/>
      <c r="F6664" s="1342"/>
      <c r="G6664" s="1342"/>
      <c r="H6664" s="1342"/>
      <c r="I6664" s="1342"/>
      <c r="J6664" s="1342"/>
      <c r="K6664" s="1342"/>
    </row>
    <row r="6665" spans="2:11" ht="14" hidden="1">
      <c r="B6665" s="1342"/>
      <c r="C6665" s="1342"/>
      <c r="D6665" s="1342"/>
      <c r="E6665" s="1342"/>
      <c r="F6665" s="1342"/>
      <c r="G6665" s="1342"/>
      <c r="H6665" s="1342"/>
      <c r="I6665" s="1342"/>
      <c r="J6665" s="1342"/>
      <c r="K6665" s="1342"/>
    </row>
    <row r="6666" spans="2:11" ht="14" hidden="1">
      <c r="B6666" s="1342"/>
      <c r="C6666" s="1342"/>
      <c r="D6666" s="1342"/>
      <c r="E6666" s="1342"/>
      <c r="F6666" s="1342"/>
      <c r="G6666" s="1342"/>
      <c r="H6666" s="1342"/>
      <c r="I6666" s="1342"/>
      <c r="J6666" s="1342"/>
      <c r="K6666" s="1342"/>
    </row>
    <row r="6667" spans="2:11" ht="14" hidden="1">
      <c r="B6667" s="1342"/>
      <c r="C6667" s="1342"/>
      <c r="D6667" s="1342"/>
      <c r="E6667" s="1342"/>
      <c r="F6667" s="1342"/>
      <c r="G6667" s="1342"/>
      <c r="H6667" s="1342"/>
      <c r="I6667" s="1342"/>
      <c r="J6667" s="1342"/>
      <c r="K6667" s="1342"/>
    </row>
    <row r="6668" spans="2:11" ht="14" hidden="1">
      <c r="B6668" s="1342"/>
      <c r="C6668" s="1342"/>
      <c r="D6668" s="1342"/>
      <c r="E6668" s="1342"/>
      <c r="F6668" s="1342"/>
      <c r="G6668" s="1342"/>
      <c r="H6668" s="1342"/>
      <c r="I6668" s="1342"/>
      <c r="J6668" s="1342"/>
      <c r="K6668" s="1342"/>
    </row>
    <row r="6669" spans="2:11" ht="14" hidden="1">
      <c r="B6669" s="1342"/>
      <c r="C6669" s="1342"/>
      <c r="D6669" s="1342"/>
      <c r="E6669" s="1342"/>
      <c r="F6669" s="1342"/>
      <c r="G6669" s="1342"/>
      <c r="H6669" s="1342"/>
      <c r="I6669" s="1342"/>
      <c r="J6669" s="1342"/>
      <c r="K6669" s="1342"/>
    </row>
    <row r="6670" spans="2:11" ht="14" hidden="1">
      <c r="B6670" s="1342"/>
      <c r="C6670" s="1342"/>
      <c r="D6670" s="1342"/>
      <c r="E6670" s="1342"/>
      <c r="F6670" s="1342"/>
      <c r="G6670" s="1342"/>
      <c r="H6670" s="1342"/>
      <c r="I6670" s="1342"/>
      <c r="J6670" s="1342"/>
      <c r="K6670" s="1342"/>
    </row>
    <row r="6671" spans="2:11" ht="14" hidden="1">
      <c r="B6671" s="1342"/>
      <c r="C6671" s="1342"/>
      <c r="D6671" s="1342"/>
      <c r="E6671" s="1342"/>
      <c r="F6671" s="1342"/>
      <c r="G6671" s="1342"/>
      <c r="H6671" s="1342"/>
      <c r="I6671" s="1342"/>
      <c r="J6671" s="1342"/>
      <c r="K6671" s="1342"/>
    </row>
    <row r="6672" spans="2:11" ht="14" hidden="1">
      <c r="B6672" s="1342"/>
      <c r="C6672" s="1342"/>
      <c r="D6672" s="1342"/>
      <c r="E6672" s="1342"/>
      <c r="F6672" s="1342"/>
      <c r="G6672" s="1342"/>
      <c r="H6672" s="1342"/>
      <c r="I6672" s="1342"/>
      <c r="J6672" s="1342"/>
      <c r="K6672" s="1342"/>
    </row>
    <row r="6673" spans="2:11" ht="14" hidden="1">
      <c r="B6673" s="1342"/>
      <c r="C6673" s="1342"/>
      <c r="D6673" s="1342"/>
      <c r="E6673" s="1342"/>
      <c r="F6673" s="1342"/>
      <c r="G6673" s="1342"/>
      <c r="H6673" s="1342"/>
      <c r="I6673" s="1342"/>
      <c r="J6673" s="1342"/>
      <c r="K6673" s="1342"/>
    </row>
    <row r="6674" spans="2:11" ht="14" hidden="1">
      <c r="B6674" s="1342"/>
      <c r="C6674" s="1342"/>
      <c r="D6674" s="1342"/>
      <c r="E6674" s="1342"/>
      <c r="F6674" s="1342"/>
      <c r="G6674" s="1342"/>
      <c r="H6674" s="1342"/>
      <c r="I6674" s="1342"/>
      <c r="J6674" s="1342"/>
      <c r="K6674" s="1342"/>
    </row>
    <row r="6675" spans="2:11" ht="14" hidden="1">
      <c r="B6675" s="1342"/>
      <c r="C6675" s="1342"/>
      <c r="D6675" s="1342"/>
      <c r="E6675" s="1342"/>
      <c r="F6675" s="1342"/>
      <c r="G6675" s="1342"/>
      <c r="H6675" s="1342"/>
      <c r="I6675" s="1342"/>
      <c r="J6675" s="1342"/>
      <c r="K6675" s="1342"/>
    </row>
    <row r="6676" spans="2:11" ht="14" hidden="1">
      <c r="B6676" s="1342"/>
      <c r="C6676" s="1342"/>
      <c r="D6676" s="1342"/>
      <c r="E6676" s="1342"/>
      <c r="F6676" s="1342"/>
      <c r="G6676" s="1342"/>
      <c r="H6676" s="1342"/>
      <c r="I6676" s="1342"/>
      <c r="J6676" s="1342"/>
      <c r="K6676" s="1342"/>
    </row>
    <row r="6677" spans="2:11" ht="14" hidden="1">
      <c r="B6677" s="1342"/>
      <c r="C6677" s="1342"/>
      <c r="D6677" s="1342"/>
      <c r="E6677" s="1342"/>
      <c r="F6677" s="1342"/>
      <c r="G6677" s="1342"/>
      <c r="H6677" s="1342"/>
      <c r="I6677" s="1342"/>
      <c r="J6677" s="1342"/>
      <c r="K6677" s="1342"/>
    </row>
    <row r="6678" spans="2:11" ht="14" hidden="1">
      <c r="B6678" s="1342"/>
      <c r="C6678" s="1342"/>
      <c r="D6678" s="1342"/>
      <c r="E6678" s="1342"/>
      <c r="F6678" s="1342"/>
      <c r="G6678" s="1342"/>
      <c r="H6678" s="1342"/>
      <c r="I6678" s="1342"/>
      <c r="J6678" s="1342"/>
      <c r="K6678" s="1342"/>
    </row>
    <row r="6679" spans="2:11" ht="14" hidden="1">
      <c r="B6679" s="1342"/>
      <c r="C6679" s="1342"/>
      <c r="D6679" s="1342"/>
      <c r="E6679" s="1342"/>
      <c r="F6679" s="1342"/>
      <c r="G6679" s="1342"/>
      <c r="H6679" s="1342"/>
      <c r="I6679" s="1342"/>
      <c r="J6679" s="1342"/>
      <c r="K6679" s="1342"/>
    </row>
    <row r="6680" spans="2:11" ht="14" hidden="1">
      <c r="B6680" s="1342"/>
      <c r="C6680" s="1342"/>
      <c r="D6680" s="1342"/>
      <c r="E6680" s="1342"/>
      <c r="F6680" s="1342"/>
      <c r="G6680" s="1342"/>
      <c r="H6680" s="1342"/>
      <c r="I6680" s="1342"/>
      <c r="J6680" s="1342"/>
      <c r="K6680" s="1342"/>
    </row>
    <row r="6681" spans="2:11" ht="14" hidden="1">
      <c r="B6681" s="1342"/>
      <c r="C6681" s="1342"/>
      <c r="D6681" s="1342"/>
      <c r="E6681" s="1342"/>
      <c r="F6681" s="1342"/>
      <c r="G6681" s="1342"/>
      <c r="H6681" s="1342"/>
      <c r="I6681" s="1342"/>
      <c r="J6681" s="1342"/>
      <c r="K6681" s="1342"/>
    </row>
    <row r="6682" spans="2:11" ht="14" hidden="1">
      <c r="B6682" s="1342"/>
      <c r="C6682" s="1342"/>
      <c r="D6682" s="1342"/>
      <c r="E6682" s="1342"/>
      <c r="F6682" s="1342"/>
      <c r="G6682" s="1342"/>
      <c r="H6682" s="1342"/>
      <c r="I6682" s="1342"/>
      <c r="J6682" s="1342"/>
      <c r="K6682" s="1342"/>
    </row>
    <row r="6683" spans="2:11" ht="14" hidden="1">
      <c r="B6683" s="1342"/>
      <c r="C6683" s="1342"/>
      <c r="D6683" s="1342"/>
      <c r="E6683" s="1342"/>
      <c r="F6683" s="1342"/>
      <c r="G6683" s="1342"/>
      <c r="H6683" s="1342"/>
      <c r="I6683" s="1342"/>
      <c r="J6683" s="1342"/>
      <c r="K6683" s="1342"/>
    </row>
    <row r="6684" spans="2:11" ht="14" hidden="1">
      <c r="B6684" s="1342"/>
      <c r="C6684" s="1342"/>
      <c r="D6684" s="1342"/>
      <c r="E6684" s="1342"/>
      <c r="F6684" s="1342"/>
      <c r="G6684" s="1342"/>
      <c r="H6684" s="1342"/>
      <c r="I6684" s="1342"/>
      <c r="J6684" s="1342"/>
      <c r="K6684" s="1342"/>
    </row>
    <row r="6685" spans="2:11" ht="14" hidden="1">
      <c r="B6685" s="1342"/>
      <c r="C6685" s="1342"/>
      <c r="D6685" s="1342"/>
      <c r="E6685" s="1342"/>
      <c r="F6685" s="1342"/>
      <c r="G6685" s="1342"/>
      <c r="H6685" s="1342"/>
      <c r="I6685" s="1342"/>
      <c r="J6685" s="1342"/>
      <c r="K6685" s="1342"/>
    </row>
    <row r="6686" spans="2:11" ht="14" hidden="1">
      <c r="B6686" s="1342"/>
      <c r="C6686" s="1342"/>
      <c r="D6686" s="1342"/>
      <c r="E6686" s="1342"/>
      <c r="F6686" s="1342"/>
      <c r="G6686" s="1342"/>
      <c r="H6686" s="1342"/>
      <c r="I6686" s="1342"/>
      <c r="J6686" s="1342"/>
      <c r="K6686" s="1342"/>
    </row>
    <row r="6687" spans="2:11" ht="14" hidden="1">
      <c r="B6687" s="1342"/>
      <c r="C6687" s="1342"/>
      <c r="D6687" s="1342"/>
      <c r="E6687" s="1342"/>
      <c r="F6687" s="1342"/>
      <c r="G6687" s="1342"/>
      <c r="H6687" s="1342"/>
      <c r="I6687" s="1342"/>
      <c r="J6687" s="1342"/>
      <c r="K6687" s="1342"/>
    </row>
    <row r="6688" spans="2:11" ht="14" hidden="1">
      <c r="B6688" s="1342"/>
      <c r="C6688" s="1342"/>
      <c r="D6688" s="1342"/>
      <c r="E6688" s="1342"/>
      <c r="F6688" s="1342"/>
      <c r="G6688" s="1342"/>
      <c r="H6688" s="1342"/>
      <c r="I6688" s="1342"/>
      <c r="J6688" s="1342"/>
      <c r="K6688" s="1342"/>
    </row>
    <row r="6689" spans="2:11" ht="14" hidden="1">
      <c r="B6689" s="1342"/>
      <c r="C6689" s="1342"/>
      <c r="D6689" s="1342"/>
      <c r="E6689" s="1342"/>
      <c r="F6689" s="1342"/>
      <c r="G6689" s="1342"/>
      <c r="H6689" s="1342"/>
      <c r="I6689" s="1342"/>
      <c r="J6689" s="1342"/>
      <c r="K6689" s="1342"/>
    </row>
    <row r="6690" spans="2:11" ht="14" hidden="1">
      <c r="B6690" s="1342"/>
      <c r="C6690" s="1342"/>
      <c r="D6690" s="1342"/>
      <c r="E6690" s="1342"/>
      <c r="F6690" s="1342"/>
      <c r="G6690" s="1342"/>
      <c r="H6690" s="1342"/>
      <c r="I6690" s="1342"/>
      <c r="J6690" s="1342"/>
      <c r="K6690" s="1342"/>
    </row>
    <row r="6691" spans="2:11" ht="14" hidden="1">
      <c r="B6691" s="1342"/>
      <c r="C6691" s="1342"/>
      <c r="D6691" s="1342"/>
      <c r="E6691" s="1342"/>
      <c r="F6691" s="1342"/>
      <c r="G6691" s="1342"/>
      <c r="H6691" s="1342"/>
      <c r="I6691" s="1342"/>
      <c r="J6691" s="1342"/>
      <c r="K6691" s="1342"/>
    </row>
    <row r="6692" spans="2:11" ht="14" hidden="1">
      <c r="B6692" s="1342"/>
      <c r="C6692" s="1342"/>
      <c r="D6692" s="1342"/>
      <c r="E6692" s="1342"/>
      <c r="F6692" s="1342"/>
      <c r="G6692" s="1342"/>
      <c r="H6692" s="1342"/>
      <c r="I6692" s="1342"/>
      <c r="J6692" s="1342"/>
      <c r="K6692" s="1342"/>
    </row>
    <row r="6693" spans="2:11" ht="14" hidden="1">
      <c r="B6693" s="1342"/>
      <c r="C6693" s="1342"/>
      <c r="D6693" s="1342"/>
      <c r="E6693" s="1342"/>
      <c r="F6693" s="1342"/>
      <c r="G6693" s="1342"/>
      <c r="H6693" s="1342"/>
      <c r="I6693" s="1342"/>
      <c r="J6693" s="1342"/>
      <c r="K6693" s="1342"/>
    </row>
    <row r="6694" spans="2:11" ht="14" hidden="1">
      <c r="B6694" s="1342"/>
      <c r="C6694" s="1342"/>
      <c r="D6694" s="1342"/>
      <c r="E6694" s="1342"/>
      <c r="F6694" s="1342"/>
      <c r="G6694" s="1342"/>
      <c r="H6694" s="1342"/>
      <c r="I6694" s="1342"/>
      <c r="J6694" s="1342"/>
      <c r="K6694" s="1342"/>
    </row>
    <row r="6695" spans="2:11" ht="14" hidden="1">
      <c r="B6695" s="1342"/>
      <c r="C6695" s="1342"/>
      <c r="D6695" s="1342"/>
      <c r="E6695" s="1342"/>
      <c r="F6695" s="1342"/>
      <c r="G6695" s="1342"/>
      <c r="H6695" s="1342"/>
      <c r="I6695" s="1342"/>
      <c r="J6695" s="1342"/>
      <c r="K6695" s="1342"/>
    </row>
    <row r="6696" spans="2:11" ht="14" hidden="1">
      <c r="B6696" s="1342"/>
      <c r="C6696" s="1342"/>
      <c r="D6696" s="1342"/>
      <c r="E6696" s="1342"/>
      <c r="F6696" s="1342"/>
      <c r="G6696" s="1342"/>
      <c r="H6696" s="1342"/>
      <c r="I6696" s="1342"/>
      <c r="J6696" s="1342"/>
      <c r="K6696" s="1342"/>
    </row>
    <row r="6697" spans="2:11" ht="14" hidden="1">
      <c r="B6697" s="1342"/>
      <c r="C6697" s="1342"/>
      <c r="D6697" s="1342"/>
      <c r="E6697" s="1342"/>
      <c r="F6697" s="1342"/>
      <c r="G6697" s="1342"/>
      <c r="H6697" s="1342"/>
      <c r="I6697" s="1342"/>
      <c r="J6697" s="1342"/>
      <c r="K6697" s="1342"/>
    </row>
    <row r="6698" spans="2:11" ht="14" hidden="1">
      <c r="B6698" s="1342"/>
      <c r="C6698" s="1342"/>
      <c r="D6698" s="1342"/>
      <c r="E6698" s="1342"/>
      <c r="F6698" s="1342"/>
      <c r="G6698" s="1342"/>
      <c r="H6698" s="1342"/>
      <c r="I6698" s="1342"/>
      <c r="J6698" s="1342"/>
      <c r="K6698" s="1342"/>
    </row>
    <row r="6699" spans="2:11" ht="14" hidden="1">
      <c r="B6699" s="1342"/>
      <c r="C6699" s="1342"/>
      <c r="D6699" s="1342"/>
      <c r="E6699" s="1342"/>
      <c r="F6699" s="1342"/>
      <c r="G6699" s="1342"/>
      <c r="H6699" s="1342"/>
      <c r="I6699" s="1342"/>
      <c r="J6699" s="1342"/>
      <c r="K6699" s="1342"/>
    </row>
    <row r="6700" spans="2:11" ht="14" hidden="1">
      <c r="B6700" s="1342"/>
      <c r="C6700" s="1342"/>
      <c r="D6700" s="1342"/>
      <c r="E6700" s="1342"/>
      <c r="F6700" s="1342"/>
      <c r="G6700" s="1342"/>
      <c r="H6700" s="1342"/>
      <c r="I6700" s="1342"/>
      <c r="J6700" s="1342"/>
      <c r="K6700" s="1342"/>
    </row>
    <row r="6701" spans="2:11" ht="14" hidden="1">
      <c r="B6701" s="1342"/>
      <c r="C6701" s="1342"/>
      <c r="D6701" s="1342"/>
      <c r="E6701" s="1342"/>
      <c r="F6701" s="1342"/>
      <c r="G6701" s="1342"/>
      <c r="H6701" s="1342"/>
      <c r="I6701" s="1342"/>
      <c r="J6701" s="1342"/>
      <c r="K6701" s="1342"/>
    </row>
    <row r="6702" spans="2:11" ht="14" hidden="1">
      <c r="B6702" s="1342"/>
      <c r="C6702" s="1342"/>
      <c r="D6702" s="1342"/>
      <c r="E6702" s="1342"/>
      <c r="F6702" s="1342"/>
      <c r="G6702" s="1342"/>
      <c r="H6702" s="1342"/>
      <c r="I6702" s="1342"/>
      <c r="J6702" s="1342"/>
      <c r="K6702" s="1342"/>
    </row>
    <row r="6703" spans="2:11" ht="14" hidden="1">
      <c r="B6703" s="1342"/>
      <c r="C6703" s="1342"/>
      <c r="D6703" s="1342"/>
      <c r="E6703" s="1342"/>
      <c r="F6703" s="1342"/>
      <c r="G6703" s="1342"/>
      <c r="H6703" s="1342"/>
      <c r="I6703" s="1342"/>
      <c r="J6703" s="1342"/>
      <c r="K6703" s="1342"/>
    </row>
    <row r="6704" spans="2:11" ht="14" hidden="1">
      <c r="B6704" s="1342"/>
      <c r="C6704" s="1342"/>
      <c r="D6704" s="1342"/>
      <c r="E6704" s="1342"/>
      <c r="F6704" s="1342"/>
      <c r="G6704" s="1342"/>
      <c r="H6704" s="1342"/>
      <c r="I6704" s="1342"/>
      <c r="J6704" s="1342"/>
      <c r="K6704" s="1342"/>
    </row>
    <row r="6705" spans="2:11" ht="14" hidden="1">
      <c r="B6705" s="1342"/>
      <c r="C6705" s="1342"/>
      <c r="D6705" s="1342"/>
      <c r="E6705" s="1342"/>
      <c r="F6705" s="1342"/>
      <c r="G6705" s="1342"/>
      <c r="H6705" s="1342"/>
      <c r="I6705" s="1342"/>
      <c r="J6705" s="1342"/>
      <c r="K6705" s="1342"/>
    </row>
    <row r="6706" spans="2:11" ht="14" hidden="1">
      <c r="B6706" s="1342"/>
      <c r="C6706" s="1342"/>
      <c r="D6706" s="1342"/>
      <c r="E6706" s="1342"/>
      <c r="F6706" s="1342"/>
      <c r="G6706" s="1342"/>
      <c r="H6706" s="1342"/>
      <c r="I6706" s="1342"/>
      <c r="J6706" s="1342"/>
      <c r="K6706" s="1342"/>
    </row>
    <row r="6707" spans="2:11" ht="14" hidden="1">
      <c r="B6707" s="1342"/>
      <c r="C6707" s="1342"/>
      <c r="D6707" s="1342"/>
      <c r="E6707" s="1342"/>
      <c r="F6707" s="1342"/>
      <c r="G6707" s="1342"/>
      <c r="H6707" s="1342"/>
      <c r="I6707" s="1342"/>
      <c r="J6707" s="1342"/>
      <c r="K6707" s="1342"/>
    </row>
    <row r="6708" spans="2:11" ht="14" hidden="1">
      <c r="B6708" s="1342"/>
      <c r="C6708" s="1342"/>
      <c r="D6708" s="1342"/>
      <c r="E6708" s="1342"/>
      <c r="F6708" s="1342"/>
      <c r="G6708" s="1342"/>
      <c r="H6708" s="1342"/>
      <c r="I6708" s="1342"/>
      <c r="J6708" s="1342"/>
      <c r="K6708" s="1342"/>
    </row>
    <row r="6709" spans="2:11" ht="14" hidden="1">
      <c r="B6709" s="1342"/>
      <c r="C6709" s="1342"/>
      <c r="D6709" s="1342"/>
      <c r="E6709" s="1342"/>
      <c r="F6709" s="1342"/>
      <c r="G6709" s="1342"/>
      <c r="H6709" s="1342"/>
      <c r="I6709" s="1342"/>
      <c r="J6709" s="1342"/>
      <c r="K6709" s="1342"/>
    </row>
    <row r="6710" spans="2:11" ht="14" hidden="1">
      <c r="B6710" s="1342"/>
      <c r="C6710" s="1342"/>
      <c r="D6710" s="1342"/>
      <c r="E6710" s="1342"/>
      <c r="F6710" s="1342"/>
      <c r="G6710" s="1342"/>
      <c r="H6710" s="1342"/>
      <c r="I6710" s="1342"/>
      <c r="J6710" s="1342"/>
      <c r="K6710" s="1342"/>
    </row>
    <row r="6711" spans="2:11" ht="14" hidden="1">
      <c r="B6711" s="1342"/>
      <c r="C6711" s="1342"/>
      <c r="D6711" s="1342"/>
      <c r="E6711" s="1342"/>
      <c r="F6711" s="1342"/>
      <c r="G6711" s="1342"/>
      <c r="H6711" s="1342"/>
      <c r="I6711" s="1342"/>
      <c r="J6711" s="1342"/>
      <c r="K6711" s="1342"/>
    </row>
    <row r="6712" spans="2:11" ht="14" hidden="1">
      <c r="B6712" s="1342"/>
      <c r="C6712" s="1342"/>
      <c r="D6712" s="1342"/>
      <c r="E6712" s="1342"/>
      <c r="F6712" s="1342"/>
      <c r="G6712" s="1342"/>
      <c r="H6712" s="1342"/>
      <c r="I6712" s="1342"/>
      <c r="J6712" s="1342"/>
      <c r="K6712" s="1342"/>
    </row>
    <row r="6713" spans="2:11" ht="14" hidden="1">
      <c r="B6713" s="1342"/>
      <c r="C6713" s="1342"/>
      <c r="D6713" s="1342"/>
      <c r="E6713" s="1342"/>
      <c r="F6713" s="1342"/>
      <c r="G6713" s="1342"/>
      <c r="H6713" s="1342"/>
      <c r="I6713" s="1342"/>
      <c r="J6713" s="1342"/>
      <c r="K6713" s="1342"/>
    </row>
    <row r="6714" spans="2:11" ht="14" hidden="1">
      <c r="B6714" s="1342"/>
      <c r="C6714" s="1342"/>
      <c r="D6714" s="1342"/>
      <c r="E6714" s="1342"/>
      <c r="F6714" s="1342"/>
      <c r="G6714" s="1342"/>
      <c r="H6714" s="1342"/>
      <c r="I6714" s="1342"/>
      <c r="J6714" s="1342"/>
      <c r="K6714" s="1342"/>
    </row>
    <row r="6715" spans="2:11" ht="14" hidden="1">
      <c r="B6715" s="1342"/>
      <c r="C6715" s="1342"/>
      <c r="D6715" s="1342"/>
      <c r="E6715" s="1342"/>
      <c r="F6715" s="1342"/>
      <c r="G6715" s="1342"/>
      <c r="H6715" s="1342"/>
      <c r="I6715" s="1342"/>
      <c r="J6715" s="1342"/>
      <c r="K6715" s="1342"/>
    </row>
    <row r="6716" spans="2:11" ht="14" hidden="1">
      <c r="B6716" s="1342"/>
      <c r="C6716" s="1342"/>
      <c r="D6716" s="1342"/>
      <c r="E6716" s="1342"/>
      <c r="F6716" s="1342"/>
      <c r="G6716" s="1342"/>
      <c r="H6716" s="1342"/>
      <c r="I6716" s="1342"/>
      <c r="J6716" s="1342"/>
      <c r="K6716" s="1342"/>
    </row>
    <row r="6717" spans="2:11" ht="14" hidden="1">
      <c r="B6717" s="1342"/>
      <c r="C6717" s="1342"/>
      <c r="D6717" s="1342"/>
      <c r="E6717" s="1342"/>
      <c r="F6717" s="1342"/>
      <c r="G6717" s="1342"/>
      <c r="H6717" s="1342"/>
      <c r="I6717" s="1342"/>
      <c r="J6717" s="1342"/>
      <c r="K6717" s="1342"/>
    </row>
    <row r="6718" spans="2:11" ht="14" hidden="1">
      <c r="B6718" s="1342"/>
      <c r="C6718" s="1342"/>
      <c r="D6718" s="1342"/>
      <c r="E6718" s="1342"/>
      <c r="F6718" s="1342"/>
      <c r="G6718" s="1342"/>
      <c r="H6718" s="1342"/>
      <c r="I6718" s="1342"/>
      <c r="J6718" s="1342"/>
      <c r="K6718" s="1342"/>
    </row>
    <row r="6719" spans="2:11" ht="14" hidden="1">
      <c r="B6719" s="1342"/>
      <c r="C6719" s="1342"/>
      <c r="D6719" s="1342"/>
      <c r="E6719" s="1342"/>
      <c r="F6719" s="1342"/>
      <c r="G6719" s="1342"/>
      <c r="H6719" s="1342"/>
      <c r="I6719" s="1342"/>
      <c r="J6719" s="1342"/>
      <c r="K6719" s="1342"/>
    </row>
    <row r="6720" spans="2:11" ht="14" hidden="1">
      <c r="B6720" s="1342"/>
      <c r="C6720" s="1342"/>
      <c r="D6720" s="1342"/>
      <c r="E6720" s="1342"/>
      <c r="F6720" s="1342"/>
      <c r="G6720" s="1342"/>
      <c r="H6720" s="1342"/>
      <c r="I6720" s="1342"/>
      <c r="J6720" s="1342"/>
      <c r="K6720" s="1342"/>
    </row>
    <row r="6721" spans="2:11" ht="14" hidden="1">
      <c r="B6721" s="1342"/>
      <c r="C6721" s="1342"/>
      <c r="D6721" s="1342"/>
      <c r="E6721" s="1342"/>
      <c r="F6721" s="1342"/>
      <c r="G6721" s="1342"/>
      <c r="H6721" s="1342"/>
      <c r="I6721" s="1342"/>
      <c r="J6721" s="1342"/>
      <c r="K6721" s="1342"/>
    </row>
    <row r="6722" spans="2:11" ht="14" hidden="1">
      <c r="B6722" s="1342"/>
      <c r="C6722" s="1342"/>
      <c r="D6722" s="1342"/>
      <c r="E6722" s="1342"/>
      <c r="F6722" s="1342"/>
      <c r="G6722" s="1342"/>
      <c r="H6722" s="1342"/>
      <c r="I6722" s="1342"/>
      <c r="J6722" s="1342"/>
      <c r="K6722" s="1342"/>
    </row>
    <row r="6723" spans="2:11" ht="14" hidden="1">
      <c r="B6723" s="1342"/>
      <c r="C6723" s="1342"/>
      <c r="D6723" s="1342"/>
      <c r="E6723" s="1342"/>
      <c r="F6723" s="1342"/>
      <c r="G6723" s="1342"/>
      <c r="H6723" s="1342"/>
      <c r="I6723" s="1342"/>
      <c r="J6723" s="1342"/>
      <c r="K6723" s="1342"/>
    </row>
    <row r="6724" spans="2:11" ht="14" hidden="1">
      <c r="B6724" s="1342"/>
      <c r="C6724" s="1342"/>
      <c r="D6724" s="1342"/>
      <c r="E6724" s="1342"/>
      <c r="F6724" s="1342"/>
      <c r="G6724" s="1342"/>
      <c r="H6724" s="1342"/>
      <c r="I6724" s="1342"/>
      <c r="J6724" s="1342"/>
      <c r="K6724" s="1342"/>
    </row>
    <row r="6725" spans="2:11" ht="14" hidden="1">
      <c r="B6725" s="1342"/>
      <c r="C6725" s="1342"/>
      <c r="D6725" s="1342"/>
      <c r="E6725" s="1342"/>
      <c r="F6725" s="1342"/>
      <c r="G6725" s="1342"/>
      <c r="H6725" s="1342"/>
      <c r="I6725" s="1342"/>
      <c r="J6725" s="1342"/>
      <c r="K6725" s="1342"/>
    </row>
    <row r="6726" spans="2:11" ht="14" hidden="1">
      <c r="B6726" s="1342"/>
      <c r="C6726" s="1342"/>
      <c r="D6726" s="1342"/>
      <c r="E6726" s="1342"/>
      <c r="F6726" s="1342"/>
      <c r="G6726" s="1342"/>
      <c r="H6726" s="1342"/>
      <c r="I6726" s="1342"/>
      <c r="J6726" s="1342"/>
      <c r="K6726" s="1342"/>
    </row>
    <row r="6727" spans="2:11" ht="14" hidden="1">
      <c r="B6727" s="1342"/>
      <c r="C6727" s="1342"/>
      <c r="D6727" s="1342"/>
      <c r="E6727" s="1342"/>
      <c r="F6727" s="1342"/>
      <c r="G6727" s="1342"/>
      <c r="H6727" s="1342"/>
      <c r="I6727" s="1342"/>
      <c r="J6727" s="1342"/>
      <c r="K6727" s="1342"/>
    </row>
    <row r="6728" spans="2:11" ht="14" hidden="1">
      <c r="B6728" s="1342"/>
      <c r="C6728" s="1342"/>
      <c r="D6728" s="1342"/>
      <c r="E6728" s="1342"/>
      <c r="F6728" s="1342"/>
      <c r="G6728" s="1342"/>
      <c r="H6728" s="1342"/>
      <c r="I6728" s="1342"/>
      <c r="J6728" s="1342"/>
      <c r="K6728" s="1342"/>
    </row>
    <row r="6729" spans="2:11" ht="14" hidden="1">
      <c r="B6729" s="1342"/>
      <c r="C6729" s="1342"/>
      <c r="D6729" s="1342"/>
      <c r="E6729" s="1342"/>
      <c r="F6729" s="1342"/>
      <c r="G6729" s="1342"/>
      <c r="H6729" s="1342"/>
      <c r="I6729" s="1342"/>
      <c r="J6729" s="1342"/>
      <c r="K6729" s="1342"/>
    </row>
    <row r="6730" spans="2:11" ht="14" hidden="1">
      <c r="B6730" s="1342"/>
      <c r="C6730" s="1342"/>
      <c r="D6730" s="1342"/>
      <c r="E6730" s="1342"/>
      <c r="F6730" s="1342"/>
      <c r="G6730" s="1342"/>
      <c r="H6730" s="1342"/>
      <c r="I6730" s="1342"/>
      <c r="J6730" s="1342"/>
      <c r="K6730" s="1342"/>
    </row>
    <row r="6731" spans="2:11" ht="14" hidden="1">
      <c r="B6731" s="1342"/>
      <c r="C6731" s="1342"/>
      <c r="D6731" s="1342"/>
      <c r="E6731" s="1342"/>
      <c r="F6731" s="1342"/>
      <c r="G6731" s="1342"/>
      <c r="H6731" s="1342"/>
      <c r="I6731" s="1342"/>
      <c r="J6731" s="1342"/>
      <c r="K6731" s="1342"/>
    </row>
    <row r="6732" spans="2:11" ht="14" hidden="1">
      <c r="B6732" s="1342"/>
      <c r="C6732" s="1342"/>
      <c r="D6732" s="1342"/>
      <c r="E6732" s="1342"/>
      <c r="F6732" s="1342"/>
      <c r="G6732" s="1342"/>
      <c r="H6732" s="1342"/>
      <c r="I6732" s="1342"/>
      <c r="J6732" s="1342"/>
      <c r="K6732" s="1342"/>
    </row>
    <row r="6733" spans="2:11" ht="14" hidden="1">
      <c r="B6733" s="1342"/>
      <c r="C6733" s="1342"/>
      <c r="D6733" s="1342"/>
      <c r="E6733" s="1342"/>
      <c r="F6733" s="1342"/>
      <c r="G6733" s="1342"/>
      <c r="H6733" s="1342"/>
      <c r="I6733" s="1342"/>
      <c r="J6733" s="1342"/>
      <c r="K6733" s="1342"/>
    </row>
    <row r="6734" spans="2:11" ht="14" hidden="1">
      <c r="B6734" s="1342"/>
      <c r="C6734" s="1342"/>
      <c r="D6734" s="1342"/>
      <c r="E6734" s="1342"/>
      <c r="F6734" s="1342"/>
      <c r="G6734" s="1342"/>
      <c r="H6734" s="1342"/>
      <c r="I6734" s="1342"/>
      <c r="J6734" s="1342"/>
      <c r="K6734" s="1342"/>
    </row>
    <row r="6735" spans="2:11" ht="14" hidden="1">
      <c r="B6735" s="1342"/>
      <c r="C6735" s="1342"/>
      <c r="D6735" s="1342"/>
      <c r="E6735" s="1342"/>
      <c r="F6735" s="1342"/>
      <c r="G6735" s="1342"/>
      <c r="H6735" s="1342"/>
      <c r="I6735" s="1342"/>
      <c r="J6735" s="1342"/>
      <c r="K6735" s="1342"/>
    </row>
    <row r="6736" spans="2:11" ht="14" hidden="1">
      <c r="B6736" s="1342"/>
      <c r="C6736" s="1342"/>
      <c r="D6736" s="1342"/>
      <c r="E6736" s="1342"/>
      <c r="F6736" s="1342"/>
      <c r="G6736" s="1342"/>
      <c r="H6736" s="1342"/>
      <c r="I6736" s="1342"/>
      <c r="J6736" s="1342"/>
      <c r="K6736" s="1342"/>
    </row>
    <row r="6737" spans="2:11" ht="14" hidden="1">
      <c r="B6737" s="1342"/>
      <c r="C6737" s="1342"/>
      <c r="D6737" s="1342"/>
      <c r="E6737" s="1342"/>
      <c r="F6737" s="1342"/>
      <c r="G6737" s="1342"/>
      <c r="H6737" s="1342"/>
      <c r="I6737" s="1342"/>
      <c r="J6737" s="1342"/>
      <c r="K6737" s="1342"/>
    </row>
    <row r="6738" spans="2:11" ht="14" hidden="1">
      <c r="B6738" s="1342"/>
      <c r="C6738" s="1342"/>
      <c r="D6738" s="1342"/>
      <c r="E6738" s="1342"/>
      <c r="F6738" s="1342"/>
      <c r="G6738" s="1342"/>
      <c r="H6738" s="1342"/>
      <c r="I6738" s="1342"/>
      <c r="J6738" s="1342"/>
      <c r="K6738" s="1342"/>
    </row>
    <row r="6739" spans="2:11" ht="14" hidden="1">
      <c r="B6739" s="1342"/>
      <c r="C6739" s="1342"/>
      <c r="D6739" s="1342"/>
      <c r="E6739" s="1342"/>
      <c r="F6739" s="1342"/>
      <c r="G6739" s="1342"/>
      <c r="H6739" s="1342"/>
      <c r="I6739" s="1342"/>
      <c r="J6739" s="1342"/>
      <c r="K6739" s="1342"/>
    </row>
    <row r="6740" spans="2:11" ht="14" hidden="1">
      <c r="B6740" s="1342"/>
      <c r="C6740" s="1342"/>
      <c r="D6740" s="1342"/>
      <c r="E6740" s="1342"/>
      <c r="F6740" s="1342"/>
      <c r="G6740" s="1342"/>
      <c r="H6740" s="1342"/>
      <c r="I6740" s="1342"/>
      <c r="J6740" s="1342"/>
      <c r="K6740" s="1342"/>
    </row>
    <row r="6741" spans="2:11" ht="14" hidden="1">
      <c r="B6741" s="1342"/>
      <c r="C6741" s="1342"/>
      <c r="D6741" s="1342"/>
      <c r="E6741" s="1342"/>
      <c r="F6741" s="1342"/>
      <c r="G6741" s="1342"/>
      <c r="H6741" s="1342"/>
      <c r="I6741" s="1342"/>
      <c r="J6741" s="1342"/>
      <c r="K6741" s="1342"/>
    </row>
    <row r="6742" spans="2:11" ht="14" hidden="1">
      <c r="B6742" s="1342"/>
      <c r="C6742" s="1342"/>
      <c r="D6742" s="1342"/>
      <c r="E6742" s="1342"/>
      <c r="F6742" s="1342"/>
      <c r="G6742" s="1342"/>
      <c r="H6742" s="1342"/>
      <c r="I6742" s="1342"/>
      <c r="J6742" s="1342"/>
      <c r="K6742" s="1342"/>
    </row>
    <row r="6743" spans="2:11" ht="14" hidden="1">
      <c r="B6743" s="1342"/>
      <c r="C6743" s="1342"/>
      <c r="D6743" s="1342"/>
      <c r="E6743" s="1342"/>
      <c r="F6743" s="1342"/>
      <c r="G6743" s="1342"/>
      <c r="H6743" s="1342"/>
      <c r="I6743" s="1342"/>
      <c r="J6743" s="1342"/>
      <c r="K6743" s="1342"/>
    </row>
    <row r="6744" spans="2:11" ht="14" hidden="1">
      <c r="B6744" s="1342"/>
      <c r="C6744" s="1342"/>
      <c r="D6744" s="1342"/>
      <c r="E6744" s="1342"/>
      <c r="F6744" s="1342"/>
      <c r="G6744" s="1342"/>
      <c r="H6744" s="1342"/>
      <c r="I6744" s="1342"/>
      <c r="J6744" s="1342"/>
      <c r="K6744" s="1342"/>
    </row>
    <row r="6745" spans="2:11" ht="14" hidden="1">
      <c r="B6745" s="1342"/>
      <c r="C6745" s="1342"/>
      <c r="D6745" s="1342"/>
      <c r="E6745" s="1342"/>
      <c r="F6745" s="1342"/>
      <c r="G6745" s="1342"/>
      <c r="H6745" s="1342"/>
      <c r="I6745" s="1342"/>
      <c r="J6745" s="1342"/>
      <c r="K6745" s="1342"/>
    </row>
    <row r="6746" spans="2:11" ht="14" hidden="1">
      <c r="B6746" s="1342"/>
      <c r="C6746" s="1342"/>
      <c r="D6746" s="1342"/>
      <c r="E6746" s="1342"/>
      <c r="F6746" s="1342"/>
      <c r="G6746" s="1342"/>
      <c r="H6746" s="1342"/>
      <c r="I6746" s="1342"/>
      <c r="J6746" s="1342"/>
      <c r="K6746" s="1342"/>
    </row>
    <row r="6747" spans="2:11" ht="14" hidden="1">
      <c r="B6747" s="1342"/>
      <c r="C6747" s="1342"/>
      <c r="D6747" s="1342"/>
      <c r="E6747" s="1342"/>
      <c r="F6747" s="1342"/>
      <c r="G6747" s="1342"/>
      <c r="H6747" s="1342"/>
      <c r="I6747" s="1342"/>
      <c r="J6747" s="1342"/>
      <c r="K6747" s="1342"/>
    </row>
    <row r="6748" spans="2:11" ht="14" hidden="1">
      <c r="B6748" s="1342"/>
      <c r="C6748" s="1342"/>
      <c r="D6748" s="1342"/>
      <c r="E6748" s="1342"/>
      <c r="F6748" s="1342"/>
      <c r="G6748" s="1342"/>
      <c r="H6748" s="1342"/>
      <c r="I6748" s="1342"/>
      <c r="J6748" s="1342"/>
      <c r="K6748" s="1342"/>
    </row>
    <row r="6749" spans="2:11" ht="14" hidden="1">
      <c r="B6749" s="1342"/>
      <c r="C6749" s="1342"/>
      <c r="D6749" s="1342"/>
      <c r="E6749" s="1342"/>
      <c r="F6749" s="1342"/>
      <c r="G6749" s="1342"/>
      <c r="H6749" s="1342"/>
      <c r="I6749" s="1342"/>
      <c r="J6749" s="1342"/>
      <c r="K6749" s="1342"/>
    </row>
    <row r="6750" spans="2:11" ht="14" hidden="1">
      <c r="B6750" s="1342"/>
      <c r="C6750" s="1342"/>
      <c r="D6750" s="1342"/>
      <c r="E6750" s="1342"/>
      <c r="F6750" s="1342"/>
      <c r="G6750" s="1342"/>
      <c r="H6750" s="1342"/>
      <c r="I6750" s="1342"/>
      <c r="J6750" s="1342"/>
      <c r="K6750" s="1342"/>
    </row>
    <row r="6751" spans="2:11" ht="14" hidden="1">
      <c r="B6751" s="1342"/>
      <c r="C6751" s="1342"/>
      <c r="D6751" s="1342"/>
      <c r="E6751" s="1342"/>
      <c r="F6751" s="1342"/>
      <c r="G6751" s="1342"/>
      <c r="H6751" s="1342"/>
      <c r="I6751" s="1342"/>
      <c r="J6751" s="1342"/>
      <c r="K6751" s="1342"/>
    </row>
    <row r="6752" spans="2:11" ht="14" hidden="1">
      <c r="B6752" s="1342"/>
      <c r="C6752" s="1342"/>
      <c r="D6752" s="1342"/>
      <c r="E6752" s="1342"/>
      <c r="F6752" s="1342"/>
      <c r="G6752" s="1342"/>
      <c r="H6752" s="1342"/>
      <c r="I6752" s="1342"/>
      <c r="J6752" s="1342"/>
      <c r="K6752" s="1342"/>
    </row>
    <row r="6753" spans="2:11" ht="14" hidden="1">
      <c r="B6753" s="1342"/>
      <c r="C6753" s="1342"/>
      <c r="D6753" s="1342"/>
      <c r="E6753" s="1342"/>
      <c r="F6753" s="1342"/>
      <c r="G6753" s="1342"/>
      <c r="H6753" s="1342"/>
      <c r="I6753" s="1342"/>
      <c r="J6753" s="1342"/>
      <c r="K6753" s="1342"/>
    </row>
    <row r="6754" spans="2:11" ht="14" hidden="1">
      <c r="B6754" s="1342"/>
      <c r="C6754" s="1342"/>
      <c r="D6754" s="1342"/>
      <c r="E6754" s="1342"/>
      <c r="F6754" s="1342"/>
      <c r="G6754" s="1342"/>
      <c r="H6754" s="1342"/>
      <c r="I6754" s="1342"/>
      <c r="J6754" s="1342"/>
      <c r="K6754" s="1342"/>
    </row>
    <row r="6755" spans="2:11" ht="14" hidden="1">
      <c r="B6755" s="1342"/>
      <c r="C6755" s="1342"/>
      <c r="D6755" s="1342"/>
      <c r="E6755" s="1342"/>
      <c r="F6755" s="1342"/>
      <c r="G6755" s="1342"/>
      <c r="H6755" s="1342"/>
      <c r="I6755" s="1342"/>
      <c r="J6755" s="1342"/>
      <c r="K6755" s="1342"/>
    </row>
    <row r="6756" spans="2:11" ht="14" hidden="1">
      <c r="B6756" s="1342"/>
      <c r="C6756" s="1342"/>
      <c r="D6756" s="1342"/>
      <c r="E6756" s="1342"/>
      <c r="F6756" s="1342"/>
      <c r="G6756" s="1342"/>
      <c r="H6756" s="1342"/>
      <c r="I6756" s="1342"/>
      <c r="J6756" s="1342"/>
      <c r="K6756" s="1342"/>
    </row>
    <row r="6757" spans="2:11" ht="14" hidden="1">
      <c r="B6757" s="1342"/>
      <c r="C6757" s="1342"/>
      <c r="D6757" s="1342"/>
      <c r="E6757" s="1342"/>
      <c r="F6757" s="1342"/>
      <c r="G6757" s="1342"/>
      <c r="H6757" s="1342"/>
      <c r="I6757" s="1342"/>
      <c r="J6757" s="1342"/>
      <c r="K6757" s="1342"/>
    </row>
    <row r="6758" spans="2:11" ht="14" hidden="1">
      <c r="B6758" s="1342"/>
      <c r="C6758" s="1342"/>
      <c r="D6758" s="1342"/>
      <c r="E6758" s="1342"/>
      <c r="F6758" s="1342"/>
      <c r="G6758" s="1342"/>
      <c r="H6758" s="1342"/>
      <c r="I6758" s="1342"/>
      <c r="J6758" s="1342"/>
      <c r="K6758" s="1342"/>
    </row>
    <row r="6759" spans="2:11" ht="14" hidden="1">
      <c r="B6759" s="1342"/>
      <c r="C6759" s="1342"/>
      <c r="D6759" s="1342"/>
      <c r="E6759" s="1342"/>
      <c r="F6759" s="1342"/>
      <c r="G6759" s="1342"/>
      <c r="H6759" s="1342"/>
      <c r="I6759" s="1342"/>
      <c r="J6759" s="1342"/>
      <c r="K6759" s="1342"/>
    </row>
    <row r="6760" spans="2:11" ht="14" hidden="1">
      <c r="B6760" s="1342"/>
      <c r="C6760" s="1342"/>
      <c r="D6760" s="1342"/>
      <c r="E6760" s="1342"/>
      <c r="F6760" s="1342"/>
      <c r="G6760" s="1342"/>
      <c r="H6760" s="1342"/>
      <c r="I6760" s="1342"/>
      <c r="J6760" s="1342"/>
      <c r="K6760" s="1342"/>
    </row>
    <row r="6761" spans="2:11" ht="14" hidden="1">
      <c r="B6761" s="1342"/>
      <c r="C6761" s="1342"/>
      <c r="D6761" s="1342"/>
      <c r="E6761" s="1342"/>
      <c r="F6761" s="1342"/>
      <c r="G6761" s="1342"/>
      <c r="H6761" s="1342"/>
      <c r="I6761" s="1342"/>
      <c r="J6761" s="1342"/>
      <c r="K6761" s="1342"/>
    </row>
    <row r="6762" spans="2:11" ht="14" hidden="1">
      <c r="B6762" s="1342"/>
      <c r="C6762" s="1342"/>
      <c r="D6762" s="1342"/>
      <c r="E6762" s="1342"/>
      <c r="F6762" s="1342"/>
      <c r="G6762" s="1342"/>
      <c r="H6762" s="1342"/>
      <c r="I6762" s="1342"/>
      <c r="J6762" s="1342"/>
      <c r="K6762" s="1342"/>
    </row>
    <row r="6763" spans="2:11" ht="14" hidden="1">
      <c r="B6763" s="1342"/>
      <c r="C6763" s="1342"/>
      <c r="D6763" s="1342"/>
      <c r="E6763" s="1342"/>
      <c r="F6763" s="1342"/>
      <c r="G6763" s="1342"/>
      <c r="H6763" s="1342"/>
      <c r="I6763" s="1342"/>
      <c r="J6763" s="1342"/>
      <c r="K6763" s="1342"/>
    </row>
    <row r="6764" spans="2:11" ht="14" hidden="1">
      <c r="B6764" s="1342"/>
      <c r="C6764" s="1342"/>
      <c r="D6764" s="1342"/>
      <c r="E6764" s="1342"/>
      <c r="F6764" s="1342"/>
      <c r="G6764" s="1342"/>
      <c r="H6764" s="1342"/>
      <c r="I6764" s="1342"/>
      <c r="J6764" s="1342"/>
      <c r="K6764" s="1342"/>
    </row>
    <row r="6765" spans="2:11" ht="14" hidden="1">
      <c r="B6765" s="1342"/>
      <c r="C6765" s="1342"/>
      <c r="D6765" s="1342"/>
      <c r="E6765" s="1342"/>
      <c r="F6765" s="1342"/>
      <c r="G6765" s="1342"/>
      <c r="H6765" s="1342"/>
      <c r="I6765" s="1342"/>
      <c r="J6765" s="1342"/>
      <c r="K6765" s="1342"/>
    </row>
    <row r="6766" spans="2:11" ht="14" hidden="1">
      <c r="B6766" s="1342"/>
      <c r="C6766" s="1342"/>
      <c r="D6766" s="1342"/>
      <c r="E6766" s="1342"/>
      <c r="F6766" s="1342"/>
      <c r="G6766" s="1342"/>
      <c r="H6766" s="1342"/>
      <c r="I6766" s="1342"/>
      <c r="J6766" s="1342"/>
      <c r="K6766" s="1342"/>
    </row>
    <row r="6767" spans="2:11" ht="14" hidden="1">
      <c r="B6767" s="1342"/>
      <c r="C6767" s="1342"/>
      <c r="D6767" s="1342"/>
      <c r="E6767" s="1342"/>
      <c r="F6767" s="1342"/>
      <c r="G6767" s="1342"/>
      <c r="H6767" s="1342"/>
      <c r="I6767" s="1342"/>
      <c r="J6767" s="1342"/>
      <c r="K6767" s="1342"/>
    </row>
    <row r="6768" spans="2:11" ht="14" hidden="1">
      <c r="B6768" s="1342"/>
      <c r="C6768" s="1342"/>
      <c r="D6768" s="1342"/>
      <c r="E6768" s="1342"/>
      <c r="F6768" s="1342"/>
      <c r="G6768" s="1342"/>
      <c r="H6768" s="1342"/>
      <c r="I6768" s="1342"/>
      <c r="J6768" s="1342"/>
      <c r="K6768" s="1342"/>
    </row>
    <row r="6769" spans="2:11" ht="14" hidden="1">
      <c r="B6769" s="1342"/>
      <c r="C6769" s="1342"/>
      <c r="D6769" s="1342"/>
      <c r="E6769" s="1342"/>
      <c r="F6769" s="1342"/>
      <c r="G6769" s="1342"/>
      <c r="H6769" s="1342"/>
      <c r="I6769" s="1342"/>
      <c r="J6769" s="1342"/>
      <c r="K6769" s="1342"/>
    </row>
    <row r="6770" spans="2:11" ht="14" hidden="1">
      <c r="B6770" s="1342"/>
      <c r="C6770" s="1342"/>
      <c r="D6770" s="1342"/>
      <c r="E6770" s="1342"/>
      <c r="F6770" s="1342"/>
      <c r="G6770" s="1342"/>
      <c r="H6770" s="1342"/>
      <c r="I6770" s="1342"/>
      <c r="J6770" s="1342"/>
      <c r="K6770" s="1342"/>
    </row>
    <row r="6771" spans="2:11" ht="14" hidden="1">
      <c r="B6771" s="1342"/>
      <c r="C6771" s="1342"/>
      <c r="D6771" s="1342"/>
      <c r="E6771" s="1342"/>
      <c r="F6771" s="1342"/>
      <c r="G6771" s="1342"/>
      <c r="H6771" s="1342"/>
      <c r="I6771" s="1342"/>
      <c r="J6771" s="1342"/>
      <c r="K6771" s="1342"/>
    </row>
    <row r="6772" spans="2:11" ht="14" hidden="1">
      <c r="B6772" s="1342"/>
      <c r="C6772" s="1342"/>
      <c r="D6772" s="1342"/>
      <c r="E6772" s="1342"/>
      <c r="F6772" s="1342"/>
      <c r="G6772" s="1342"/>
      <c r="H6772" s="1342"/>
      <c r="I6772" s="1342"/>
      <c r="J6772" s="1342"/>
      <c r="K6772" s="1342"/>
    </row>
    <row r="6773" spans="2:11" ht="14" hidden="1">
      <c r="B6773" s="1342"/>
      <c r="C6773" s="1342"/>
      <c r="D6773" s="1342"/>
      <c r="E6773" s="1342"/>
      <c r="F6773" s="1342"/>
      <c r="G6773" s="1342"/>
      <c r="H6773" s="1342"/>
      <c r="I6773" s="1342"/>
      <c r="J6773" s="1342"/>
      <c r="K6773" s="1342"/>
    </row>
    <row r="6774" spans="2:11" ht="14" hidden="1">
      <c r="B6774" s="1342"/>
      <c r="C6774" s="1342"/>
      <c r="D6774" s="1342"/>
      <c r="E6774" s="1342"/>
      <c r="F6774" s="1342"/>
      <c r="G6774" s="1342"/>
      <c r="H6774" s="1342"/>
      <c r="I6774" s="1342"/>
      <c r="J6774" s="1342"/>
      <c r="K6774" s="1342"/>
    </row>
    <row r="6775" spans="2:11" ht="14" hidden="1">
      <c r="B6775" s="1342"/>
      <c r="C6775" s="1342"/>
      <c r="D6775" s="1342"/>
      <c r="E6775" s="1342"/>
      <c r="F6775" s="1342"/>
      <c r="G6775" s="1342"/>
      <c r="H6775" s="1342"/>
      <c r="I6775" s="1342"/>
      <c r="J6775" s="1342"/>
      <c r="K6775" s="1342"/>
    </row>
    <row r="6776" spans="2:11" ht="14" hidden="1">
      <c r="B6776" s="1342"/>
      <c r="C6776" s="1342"/>
      <c r="D6776" s="1342"/>
      <c r="E6776" s="1342"/>
      <c r="F6776" s="1342"/>
      <c r="G6776" s="1342"/>
      <c r="H6776" s="1342"/>
      <c r="I6776" s="1342"/>
      <c r="J6776" s="1342"/>
      <c r="K6776" s="1342"/>
    </row>
    <row r="6777" spans="2:11" ht="14" hidden="1">
      <c r="B6777" s="1342"/>
      <c r="C6777" s="1342"/>
      <c r="D6777" s="1342"/>
      <c r="E6777" s="1342"/>
      <c r="F6777" s="1342"/>
      <c r="G6777" s="1342"/>
      <c r="H6777" s="1342"/>
      <c r="I6777" s="1342"/>
      <c r="J6777" s="1342"/>
      <c r="K6777" s="1342"/>
    </row>
    <row r="6778" spans="2:11" ht="14" hidden="1">
      <c r="B6778" s="1342"/>
      <c r="C6778" s="1342"/>
      <c r="D6778" s="1342"/>
      <c r="E6778" s="1342"/>
      <c r="F6778" s="1342"/>
      <c r="G6778" s="1342"/>
      <c r="H6778" s="1342"/>
      <c r="I6778" s="1342"/>
      <c r="J6778" s="1342"/>
      <c r="K6778" s="1342"/>
    </row>
    <row r="6779" spans="2:11" ht="14" hidden="1">
      <c r="B6779" s="1342"/>
      <c r="C6779" s="1342"/>
      <c r="D6779" s="1342"/>
      <c r="E6779" s="1342"/>
      <c r="F6779" s="1342"/>
      <c r="G6779" s="1342"/>
      <c r="H6779" s="1342"/>
      <c r="I6779" s="1342"/>
      <c r="J6779" s="1342"/>
      <c r="K6779" s="1342"/>
    </row>
    <row r="6780" spans="2:11" ht="14" hidden="1">
      <c r="B6780" s="1342"/>
      <c r="C6780" s="1342"/>
      <c r="D6780" s="1342"/>
      <c r="E6780" s="1342"/>
      <c r="F6780" s="1342"/>
      <c r="G6780" s="1342"/>
      <c r="H6780" s="1342"/>
      <c r="I6780" s="1342"/>
      <c r="J6780" s="1342"/>
      <c r="K6780" s="1342"/>
    </row>
    <row r="6781" spans="2:11" ht="14" hidden="1">
      <c r="B6781" s="1342"/>
      <c r="C6781" s="1342"/>
      <c r="D6781" s="1342"/>
      <c r="E6781" s="1342"/>
      <c r="F6781" s="1342"/>
      <c r="G6781" s="1342"/>
      <c r="H6781" s="1342"/>
      <c r="I6781" s="1342"/>
      <c r="J6781" s="1342"/>
      <c r="K6781" s="1342"/>
    </row>
    <row r="6782" spans="2:11" ht="14" hidden="1">
      <c r="B6782" s="1342"/>
      <c r="C6782" s="1342"/>
      <c r="D6782" s="1342"/>
      <c r="E6782" s="1342"/>
      <c r="F6782" s="1342"/>
      <c r="G6782" s="1342"/>
      <c r="H6782" s="1342"/>
      <c r="I6782" s="1342"/>
      <c r="J6782" s="1342"/>
      <c r="K6782" s="1342"/>
    </row>
    <row r="6783" spans="2:11" ht="14" hidden="1">
      <c r="B6783" s="1342"/>
      <c r="C6783" s="1342"/>
      <c r="D6783" s="1342"/>
      <c r="E6783" s="1342"/>
      <c r="F6783" s="1342"/>
      <c r="G6783" s="1342"/>
      <c r="H6783" s="1342"/>
      <c r="I6783" s="1342"/>
      <c r="J6783" s="1342"/>
      <c r="K6783" s="1342"/>
    </row>
    <row r="6784" spans="2:11" ht="14" hidden="1">
      <c r="B6784" s="1342"/>
      <c r="C6784" s="1342"/>
      <c r="D6784" s="1342"/>
      <c r="E6784" s="1342"/>
      <c r="F6784" s="1342"/>
      <c r="G6784" s="1342"/>
      <c r="H6784" s="1342"/>
      <c r="I6784" s="1342"/>
      <c r="J6784" s="1342"/>
      <c r="K6784" s="1342"/>
    </row>
    <row r="6785" spans="2:11" ht="14" hidden="1">
      <c r="B6785" s="1342"/>
      <c r="C6785" s="1342"/>
      <c r="D6785" s="1342"/>
      <c r="E6785" s="1342"/>
      <c r="F6785" s="1342"/>
      <c r="G6785" s="1342"/>
      <c r="H6785" s="1342"/>
      <c r="I6785" s="1342"/>
      <c r="J6785" s="1342"/>
      <c r="K6785" s="1342"/>
    </row>
    <row r="6786" spans="2:11" ht="14" hidden="1">
      <c r="B6786" s="1342"/>
      <c r="C6786" s="1342"/>
      <c r="D6786" s="1342"/>
      <c r="E6786" s="1342"/>
      <c r="F6786" s="1342"/>
      <c r="G6786" s="1342"/>
      <c r="H6786" s="1342"/>
      <c r="I6786" s="1342"/>
      <c r="J6786" s="1342"/>
      <c r="K6786" s="1342"/>
    </row>
    <row r="6787" spans="2:11" ht="14" hidden="1">
      <c r="B6787" s="1342"/>
      <c r="C6787" s="1342"/>
      <c r="D6787" s="1342"/>
      <c r="E6787" s="1342"/>
      <c r="F6787" s="1342"/>
      <c r="G6787" s="1342"/>
      <c r="H6787" s="1342"/>
      <c r="I6787" s="1342"/>
      <c r="J6787" s="1342"/>
      <c r="K6787" s="1342"/>
    </row>
    <row r="6788" spans="2:11" ht="14" hidden="1">
      <c r="B6788" s="1342"/>
      <c r="C6788" s="1342"/>
      <c r="D6788" s="1342"/>
      <c r="E6788" s="1342"/>
      <c r="F6788" s="1342"/>
      <c r="G6788" s="1342"/>
      <c r="H6788" s="1342"/>
      <c r="I6788" s="1342"/>
      <c r="J6788" s="1342"/>
      <c r="K6788" s="1342"/>
    </row>
    <row r="6789" spans="2:11" ht="14" hidden="1">
      <c r="B6789" s="1342"/>
      <c r="C6789" s="1342"/>
      <c r="D6789" s="1342"/>
      <c r="E6789" s="1342"/>
      <c r="F6789" s="1342"/>
      <c r="G6789" s="1342"/>
      <c r="H6789" s="1342"/>
      <c r="I6789" s="1342"/>
      <c r="J6789" s="1342"/>
      <c r="K6789" s="1342"/>
    </row>
    <row r="6790" spans="2:11" ht="14" hidden="1">
      <c r="B6790" s="1342"/>
      <c r="C6790" s="1342"/>
      <c r="D6790" s="1342"/>
      <c r="E6790" s="1342"/>
      <c r="F6790" s="1342"/>
      <c r="G6790" s="1342"/>
      <c r="H6790" s="1342"/>
      <c r="I6790" s="1342"/>
      <c r="J6790" s="1342"/>
      <c r="K6790" s="1342"/>
    </row>
    <row r="6791" spans="2:11" ht="14" hidden="1">
      <c r="B6791" s="1342"/>
      <c r="C6791" s="1342"/>
      <c r="D6791" s="1342"/>
      <c r="E6791" s="1342"/>
      <c r="F6791" s="1342"/>
      <c r="G6791" s="1342"/>
      <c r="H6791" s="1342"/>
      <c r="I6791" s="1342"/>
      <c r="J6791" s="1342"/>
      <c r="K6791" s="1342"/>
    </row>
    <row r="6792" spans="2:11" ht="14" hidden="1">
      <c r="B6792" s="1342"/>
      <c r="C6792" s="1342"/>
      <c r="D6792" s="1342"/>
      <c r="E6792" s="1342"/>
      <c r="F6792" s="1342"/>
      <c r="G6792" s="1342"/>
      <c r="H6792" s="1342"/>
      <c r="I6792" s="1342"/>
      <c r="J6792" s="1342"/>
      <c r="K6792" s="1342"/>
    </row>
    <row r="6793" spans="2:11" ht="14" hidden="1">
      <c r="B6793" s="1342"/>
      <c r="C6793" s="1342"/>
      <c r="D6793" s="1342"/>
      <c r="E6793" s="1342"/>
      <c r="F6793" s="1342"/>
      <c r="G6793" s="1342"/>
      <c r="H6793" s="1342"/>
      <c r="I6793" s="1342"/>
      <c r="J6793" s="1342"/>
      <c r="K6793" s="1342"/>
    </row>
    <row r="6794" spans="2:11" ht="14" hidden="1">
      <c r="B6794" s="1342"/>
      <c r="C6794" s="1342"/>
      <c r="D6794" s="1342"/>
      <c r="E6794" s="1342"/>
      <c r="F6794" s="1342"/>
      <c r="G6794" s="1342"/>
      <c r="H6794" s="1342"/>
      <c r="I6794" s="1342"/>
      <c r="J6794" s="1342"/>
      <c r="K6794" s="1342"/>
    </row>
    <row r="6795" spans="2:11" ht="14" hidden="1">
      <c r="B6795" s="1342"/>
      <c r="C6795" s="1342"/>
      <c r="D6795" s="1342"/>
      <c r="E6795" s="1342"/>
      <c r="F6795" s="1342"/>
      <c r="G6795" s="1342"/>
      <c r="H6795" s="1342"/>
      <c r="I6795" s="1342"/>
      <c r="J6795" s="1342"/>
      <c r="K6795" s="1342"/>
    </row>
    <row r="6796" spans="2:11" ht="14" hidden="1">
      <c r="B6796" s="1342"/>
      <c r="C6796" s="1342"/>
      <c r="D6796" s="1342"/>
      <c r="E6796" s="1342"/>
      <c r="F6796" s="1342"/>
      <c r="G6796" s="1342"/>
      <c r="H6796" s="1342"/>
      <c r="I6796" s="1342"/>
      <c r="J6796" s="1342"/>
      <c r="K6796" s="1342"/>
    </row>
    <row r="6797" spans="2:11" ht="14" hidden="1">
      <c r="B6797" s="1342"/>
      <c r="C6797" s="1342"/>
      <c r="D6797" s="1342"/>
      <c r="E6797" s="1342"/>
      <c r="F6797" s="1342"/>
      <c r="G6797" s="1342"/>
      <c r="H6797" s="1342"/>
      <c r="I6797" s="1342"/>
      <c r="J6797" s="1342"/>
      <c r="K6797" s="1342"/>
    </row>
    <row r="6798" spans="2:11" ht="14" hidden="1">
      <c r="B6798" s="1342"/>
      <c r="C6798" s="1342"/>
      <c r="D6798" s="1342"/>
      <c r="E6798" s="1342"/>
      <c r="F6798" s="1342"/>
      <c r="G6798" s="1342"/>
      <c r="H6798" s="1342"/>
      <c r="I6798" s="1342"/>
      <c r="J6798" s="1342"/>
      <c r="K6798" s="1342"/>
    </row>
    <row r="6799" spans="2:11" ht="14" hidden="1">
      <c r="B6799" s="1342"/>
      <c r="C6799" s="1342"/>
      <c r="D6799" s="1342"/>
      <c r="E6799" s="1342"/>
      <c r="F6799" s="1342"/>
      <c r="G6799" s="1342"/>
      <c r="H6799" s="1342"/>
      <c r="I6799" s="1342"/>
      <c r="J6799" s="1342"/>
      <c r="K6799" s="1342"/>
    </row>
    <row r="6800" spans="2:11" ht="14" hidden="1">
      <c r="B6800" s="1342"/>
      <c r="C6800" s="1342"/>
      <c r="D6800" s="1342"/>
      <c r="E6800" s="1342"/>
      <c r="F6800" s="1342"/>
      <c r="G6800" s="1342"/>
      <c r="H6800" s="1342"/>
      <c r="I6800" s="1342"/>
      <c r="J6800" s="1342"/>
      <c r="K6800" s="1342"/>
    </row>
    <row r="6801" spans="2:11" ht="14" hidden="1">
      <c r="B6801" s="1342"/>
      <c r="C6801" s="1342"/>
      <c r="D6801" s="1342"/>
      <c r="E6801" s="1342"/>
      <c r="F6801" s="1342"/>
      <c r="G6801" s="1342"/>
      <c r="H6801" s="1342"/>
      <c r="I6801" s="1342"/>
      <c r="J6801" s="1342"/>
      <c r="K6801" s="1342"/>
    </row>
    <row r="6802" spans="2:11" ht="14" hidden="1">
      <c r="B6802" s="1342"/>
      <c r="C6802" s="1342"/>
      <c r="D6802" s="1342"/>
      <c r="E6802" s="1342"/>
      <c r="F6802" s="1342"/>
      <c r="G6802" s="1342"/>
      <c r="H6802" s="1342"/>
      <c r="I6802" s="1342"/>
      <c r="J6802" s="1342"/>
      <c r="K6802" s="1342"/>
    </row>
    <row r="6803" spans="2:11" ht="14" hidden="1">
      <c r="B6803" s="1342"/>
      <c r="C6803" s="1342"/>
      <c r="D6803" s="1342"/>
      <c r="E6803" s="1342"/>
      <c r="F6803" s="1342"/>
      <c r="G6803" s="1342"/>
      <c r="H6803" s="1342"/>
      <c r="I6803" s="1342"/>
      <c r="J6803" s="1342"/>
      <c r="K6803" s="1342"/>
    </row>
    <row r="6804" spans="2:11" ht="14" hidden="1">
      <c r="B6804" s="1342"/>
      <c r="C6804" s="1342"/>
      <c r="D6804" s="1342"/>
      <c r="E6804" s="1342"/>
      <c r="F6804" s="1342"/>
      <c r="G6804" s="1342"/>
      <c r="H6804" s="1342"/>
      <c r="I6804" s="1342"/>
      <c r="J6804" s="1342"/>
      <c r="K6804" s="1342"/>
    </row>
    <row r="6805" spans="2:11" ht="14" hidden="1">
      <c r="B6805" s="1342"/>
      <c r="C6805" s="1342"/>
      <c r="D6805" s="1342"/>
      <c r="E6805" s="1342"/>
      <c r="F6805" s="1342"/>
      <c r="G6805" s="1342"/>
      <c r="H6805" s="1342"/>
      <c r="I6805" s="1342"/>
      <c r="J6805" s="1342"/>
      <c r="K6805" s="1342"/>
    </row>
    <row r="6806" spans="2:11" ht="14" hidden="1">
      <c r="B6806" s="1342"/>
      <c r="C6806" s="1342"/>
      <c r="D6806" s="1342"/>
      <c r="E6806" s="1342"/>
      <c r="F6806" s="1342"/>
      <c r="G6806" s="1342"/>
      <c r="H6806" s="1342"/>
      <c r="I6806" s="1342"/>
      <c r="J6806" s="1342"/>
      <c r="K6806" s="1342"/>
    </row>
    <row r="6807" spans="2:11" ht="14" hidden="1">
      <c r="B6807" s="1342"/>
      <c r="C6807" s="1342"/>
      <c r="D6807" s="1342"/>
      <c r="E6807" s="1342"/>
      <c r="F6807" s="1342"/>
      <c r="G6807" s="1342"/>
      <c r="H6807" s="1342"/>
      <c r="I6807" s="1342"/>
      <c r="J6807" s="1342"/>
      <c r="K6807" s="1342"/>
    </row>
    <row r="6808" spans="2:11" ht="14" hidden="1">
      <c r="B6808" s="1342"/>
      <c r="C6808" s="1342"/>
      <c r="D6808" s="1342"/>
      <c r="E6808" s="1342"/>
      <c r="F6808" s="1342"/>
      <c r="G6808" s="1342"/>
      <c r="H6808" s="1342"/>
      <c r="I6808" s="1342"/>
      <c r="J6808" s="1342"/>
      <c r="K6808" s="1342"/>
    </row>
    <row r="6809" spans="2:11" ht="14" hidden="1">
      <c r="B6809" s="1342"/>
      <c r="C6809" s="1342"/>
      <c r="D6809" s="1342"/>
      <c r="E6809" s="1342"/>
      <c r="F6809" s="1342"/>
      <c r="G6809" s="1342"/>
      <c r="H6809" s="1342"/>
      <c r="I6809" s="1342"/>
      <c r="J6809" s="1342"/>
      <c r="K6809" s="1342"/>
    </row>
    <row r="6810" spans="2:11" ht="14" hidden="1">
      <c r="B6810" s="1342"/>
      <c r="C6810" s="1342"/>
      <c r="D6810" s="1342"/>
      <c r="E6810" s="1342"/>
      <c r="F6810" s="1342"/>
      <c r="G6810" s="1342"/>
      <c r="H6810" s="1342"/>
      <c r="I6810" s="1342"/>
      <c r="J6810" s="1342"/>
      <c r="K6810" s="1342"/>
    </row>
    <row r="6811" spans="2:11" ht="14" hidden="1">
      <c r="B6811" s="1342"/>
      <c r="C6811" s="1342"/>
      <c r="D6811" s="1342"/>
      <c r="E6811" s="1342"/>
      <c r="F6811" s="1342"/>
      <c r="G6811" s="1342"/>
      <c r="H6811" s="1342"/>
      <c r="I6811" s="1342"/>
      <c r="J6811" s="1342"/>
      <c r="K6811" s="1342"/>
    </row>
    <row r="6812" spans="2:11" ht="14" hidden="1">
      <c r="B6812" s="1342"/>
      <c r="C6812" s="1342"/>
      <c r="D6812" s="1342"/>
      <c r="E6812" s="1342"/>
      <c r="F6812" s="1342"/>
      <c r="G6812" s="1342"/>
      <c r="H6812" s="1342"/>
      <c r="I6812" s="1342"/>
      <c r="J6812" s="1342"/>
      <c r="K6812" s="1342"/>
    </row>
    <row r="6813" spans="2:11" ht="14" hidden="1">
      <c r="B6813" s="1342"/>
      <c r="C6813" s="1342"/>
      <c r="D6813" s="1342"/>
      <c r="E6813" s="1342"/>
      <c r="F6813" s="1342"/>
      <c r="G6813" s="1342"/>
      <c r="H6813" s="1342"/>
      <c r="I6813" s="1342"/>
      <c r="J6813" s="1342"/>
      <c r="K6813" s="1342"/>
    </row>
    <row r="6814" spans="2:11" ht="14" hidden="1">
      <c r="B6814" s="1342"/>
      <c r="C6814" s="1342"/>
      <c r="D6814" s="1342"/>
      <c r="E6814" s="1342"/>
      <c r="F6814" s="1342"/>
      <c r="G6814" s="1342"/>
      <c r="H6814" s="1342"/>
      <c r="I6814" s="1342"/>
      <c r="J6814" s="1342"/>
      <c r="K6814" s="1342"/>
    </row>
    <row r="6815" spans="2:11" ht="14" hidden="1">
      <c r="B6815" s="1342"/>
      <c r="C6815" s="1342"/>
      <c r="D6815" s="1342"/>
      <c r="E6815" s="1342"/>
      <c r="F6815" s="1342"/>
      <c r="G6815" s="1342"/>
      <c r="H6815" s="1342"/>
      <c r="I6815" s="1342"/>
      <c r="J6815" s="1342"/>
      <c r="K6815" s="1342"/>
    </row>
    <row r="6816" spans="2:11" ht="14" hidden="1">
      <c r="B6816" s="1342"/>
      <c r="C6816" s="1342"/>
      <c r="D6816" s="1342"/>
      <c r="E6816" s="1342"/>
      <c r="F6816" s="1342"/>
      <c r="G6816" s="1342"/>
      <c r="H6816" s="1342"/>
      <c r="I6816" s="1342"/>
      <c r="J6816" s="1342"/>
      <c r="K6816" s="1342"/>
    </row>
    <row r="6817" spans="2:11" ht="14" hidden="1">
      <c r="B6817" s="1342"/>
      <c r="C6817" s="1342"/>
      <c r="D6817" s="1342"/>
      <c r="E6817" s="1342"/>
      <c r="F6817" s="1342"/>
      <c r="G6817" s="1342"/>
      <c r="H6817" s="1342"/>
      <c r="I6817" s="1342"/>
      <c r="J6817" s="1342"/>
      <c r="K6817" s="1342"/>
    </row>
    <row r="6818" spans="2:11" ht="14" hidden="1">
      <c r="B6818" s="1342"/>
      <c r="C6818" s="1342"/>
      <c r="D6818" s="1342"/>
      <c r="E6818" s="1342"/>
      <c r="F6818" s="1342"/>
      <c r="G6818" s="1342"/>
      <c r="H6818" s="1342"/>
      <c r="I6818" s="1342"/>
      <c r="J6818" s="1342"/>
      <c r="K6818" s="1342"/>
    </row>
    <row r="6819" spans="2:11" ht="14" hidden="1">
      <c r="B6819" s="1342"/>
      <c r="C6819" s="1342"/>
      <c r="D6819" s="1342"/>
      <c r="E6819" s="1342"/>
      <c r="F6819" s="1342"/>
      <c r="G6819" s="1342"/>
      <c r="H6819" s="1342"/>
      <c r="I6819" s="1342"/>
      <c r="J6819" s="1342"/>
      <c r="K6819" s="1342"/>
    </row>
    <row r="6820" spans="2:11" ht="14" hidden="1">
      <c r="B6820" s="1342"/>
      <c r="C6820" s="1342"/>
      <c r="D6820" s="1342"/>
      <c r="E6820" s="1342"/>
      <c r="F6820" s="1342"/>
      <c r="G6820" s="1342"/>
      <c r="H6820" s="1342"/>
      <c r="I6820" s="1342"/>
      <c r="J6820" s="1342"/>
      <c r="K6820" s="1342"/>
    </row>
    <row r="6821" spans="2:11" ht="14" hidden="1">
      <c r="B6821" s="1342"/>
      <c r="C6821" s="1342"/>
      <c r="D6821" s="1342"/>
      <c r="E6821" s="1342"/>
      <c r="F6821" s="1342"/>
      <c r="G6821" s="1342"/>
      <c r="H6821" s="1342"/>
      <c r="I6821" s="1342"/>
      <c r="J6821" s="1342"/>
      <c r="K6821" s="1342"/>
    </row>
    <row r="6822" spans="2:11" ht="14" hidden="1">
      <c r="B6822" s="1342"/>
      <c r="C6822" s="1342"/>
      <c r="D6822" s="1342"/>
      <c r="E6822" s="1342"/>
      <c r="F6822" s="1342"/>
      <c r="G6822" s="1342"/>
      <c r="H6822" s="1342"/>
      <c r="I6822" s="1342"/>
      <c r="J6822" s="1342"/>
      <c r="K6822" s="1342"/>
    </row>
    <row r="6823" spans="2:11" ht="14" hidden="1">
      <c r="B6823" s="1342"/>
      <c r="C6823" s="1342"/>
      <c r="D6823" s="1342"/>
      <c r="E6823" s="1342"/>
      <c r="F6823" s="1342"/>
      <c r="G6823" s="1342"/>
      <c r="H6823" s="1342"/>
      <c r="I6823" s="1342"/>
      <c r="J6823" s="1342"/>
      <c r="K6823" s="1342"/>
    </row>
    <row r="6824" spans="2:11" ht="14" hidden="1">
      <c r="B6824" s="1342"/>
      <c r="C6824" s="1342"/>
      <c r="D6824" s="1342"/>
      <c r="E6824" s="1342"/>
      <c r="F6824" s="1342"/>
      <c r="G6824" s="1342"/>
      <c r="H6824" s="1342"/>
      <c r="I6824" s="1342"/>
      <c r="J6824" s="1342"/>
      <c r="K6824" s="1342"/>
    </row>
    <row r="6825" spans="2:11" ht="14" hidden="1">
      <c r="B6825" s="1342"/>
      <c r="C6825" s="1342"/>
      <c r="D6825" s="1342"/>
      <c r="E6825" s="1342"/>
      <c r="F6825" s="1342"/>
      <c r="G6825" s="1342"/>
      <c r="H6825" s="1342"/>
      <c r="I6825" s="1342"/>
      <c r="J6825" s="1342"/>
      <c r="K6825" s="1342"/>
    </row>
    <row r="6826" spans="2:11" ht="14" hidden="1">
      <c r="B6826" s="1342"/>
      <c r="C6826" s="1342"/>
      <c r="D6826" s="1342"/>
      <c r="E6826" s="1342"/>
      <c r="F6826" s="1342"/>
      <c r="G6826" s="1342"/>
      <c r="H6826" s="1342"/>
      <c r="I6826" s="1342"/>
      <c r="J6826" s="1342"/>
      <c r="K6826" s="1342"/>
    </row>
    <row r="6827" spans="2:11" ht="14" hidden="1">
      <c r="B6827" s="1342"/>
      <c r="C6827" s="1342"/>
      <c r="D6827" s="1342"/>
      <c r="E6827" s="1342"/>
      <c r="F6827" s="1342"/>
      <c r="G6827" s="1342"/>
      <c r="H6827" s="1342"/>
      <c r="I6827" s="1342"/>
      <c r="J6827" s="1342"/>
      <c r="K6827" s="1342"/>
    </row>
    <row r="6828" spans="2:11" ht="14" hidden="1">
      <c r="B6828" s="1342"/>
      <c r="C6828" s="1342"/>
      <c r="D6828" s="1342"/>
      <c r="E6828" s="1342"/>
      <c r="F6828" s="1342"/>
      <c r="G6828" s="1342"/>
      <c r="H6828" s="1342"/>
      <c r="I6828" s="1342"/>
      <c r="J6828" s="1342"/>
      <c r="K6828" s="1342"/>
    </row>
    <row r="6829" spans="2:11" ht="14" hidden="1">
      <c r="B6829" s="1342"/>
      <c r="C6829" s="1342"/>
      <c r="D6829" s="1342"/>
      <c r="E6829" s="1342"/>
      <c r="F6829" s="1342"/>
      <c r="G6829" s="1342"/>
      <c r="H6829" s="1342"/>
      <c r="I6829" s="1342"/>
      <c r="J6829" s="1342"/>
      <c r="K6829" s="1342"/>
    </row>
    <row r="6830" spans="2:11" ht="14" hidden="1">
      <c r="B6830" s="1342"/>
      <c r="C6830" s="1342"/>
      <c r="D6830" s="1342"/>
      <c r="E6830" s="1342"/>
      <c r="F6830" s="1342"/>
      <c r="G6830" s="1342"/>
      <c r="H6830" s="1342"/>
      <c r="I6830" s="1342"/>
      <c r="J6830" s="1342"/>
      <c r="K6830" s="1342"/>
    </row>
    <row r="6831" spans="2:11" ht="14" hidden="1">
      <c r="B6831" s="1342"/>
      <c r="C6831" s="1342"/>
      <c r="D6831" s="1342"/>
      <c r="E6831" s="1342"/>
      <c r="F6831" s="1342"/>
      <c r="G6831" s="1342"/>
      <c r="H6831" s="1342"/>
      <c r="I6831" s="1342"/>
      <c r="J6831" s="1342"/>
      <c r="K6831" s="1342"/>
    </row>
    <row r="6832" spans="2:11" ht="14" hidden="1">
      <c r="B6832" s="1342"/>
      <c r="C6832" s="1342"/>
      <c r="D6832" s="1342"/>
      <c r="E6832" s="1342"/>
      <c r="F6832" s="1342"/>
      <c r="G6832" s="1342"/>
      <c r="H6832" s="1342"/>
      <c r="I6832" s="1342"/>
      <c r="J6832" s="1342"/>
      <c r="K6832" s="1342"/>
    </row>
    <row r="6833" spans="2:11" ht="14" hidden="1">
      <c r="B6833" s="1342"/>
      <c r="C6833" s="1342"/>
      <c r="D6833" s="1342"/>
      <c r="E6833" s="1342"/>
      <c r="F6833" s="1342"/>
      <c r="G6833" s="1342"/>
      <c r="H6833" s="1342"/>
      <c r="I6833" s="1342"/>
      <c r="J6833" s="1342"/>
      <c r="K6833" s="1342"/>
    </row>
    <row r="6834" spans="2:11" ht="14" hidden="1">
      <c r="B6834" s="1342"/>
      <c r="C6834" s="1342"/>
      <c r="D6834" s="1342"/>
      <c r="E6834" s="1342"/>
      <c r="F6834" s="1342"/>
      <c r="G6834" s="1342"/>
      <c r="H6834" s="1342"/>
      <c r="I6834" s="1342"/>
      <c r="J6834" s="1342"/>
      <c r="K6834" s="1342"/>
    </row>
    <row r="6835" spans="2:11" ht="14" hidden="1">
      <c r="B6835" s="1342"/>
      <c r="C6835" s="1342"/>
      <c r="D6835" s="1342"/>
      <c r="E6835" s="1342"/>
      <c r="F6835" s="1342"/>
      <c r="G6835" s="1342"/>
      <c r="H6835" s="1342"/>
      <c r="I6835" s="1342"/>
      <c r="J6835" s="1342"/>
      <c r="K6835" s="1342"/>
    </row>
    <row r="6836" spans="2:11" ht="14" hidden="1">
      <c r="B6836" s="1342"/>
      <c r="C6836" s="1342"/>
      <c r="D6836" s="1342"/>
      <c r="E6836" s="1342"/>
      <c r="F6836" s="1342"/>
      <c r="G6836" s="1342"/>
      <c r="H6836" s="1342"/>
      <c r="I6836" s="1342"/>
      <c r="J6836" s="1342"/>
      <c r="K6836" s="1342"/>
    </row>
    <row r="6837" spans="2:11" ht="14" hidden="1">
      <c r="B6837" s="1342"/>
      <c r="C6837" s="1342"/>
      <c r="D6837" s="1342"/>
      <c r="E6837" s="1342"/>
      <c r="F6837" s="1342"/>
      <c r="G6837" s="1342"/>
      <c r="H6837" s="1342"/>
      <c r="I6837" s="1342"/>
      <c r="J6837" s="1342"/>
      <c r="K6837" s="1342"/>
    </row>
    <row r="6838" spans="2:11" ht="14" hidden="1">
      <c r="B6838" s="1342"/>
      <c r="C6838" s="1342"/>
      <c r="D6838" s="1342"/>
      <c r="E6838" s="1342"/>
      <c r="F6838" s="1342"/>
      <c r="G6838" s="1342"/>
      <c r="H6838" s="1342"/>
      <c r="I6838" s="1342"/>
      <c r="J6838" s="1342"/>
      <c r="K6838" s="1342"/>
    </row>
    <row r="6839" spans="2:11" ht="14" hidden="1">
      <c r="B6839" s="1342"/>
      <c r="C6839" s="1342"/>
      <c r="D6839" s="1342"/>
      <c r="E6839" s="1342"/>
      <c r="F6839" s="1342"/>
      <c r="G6839" s="1342"/>
      <c r="H6839" s="1342"/>
      <c r="I6839" s="1342"/>
      <c r="J6839" s="1342"/>
      <c r="K6839" s="1342"/>
    </row>
    <row r="6840" spans="2:11" ht="14" hidden="1">
      <c r="B6840" s="1342"/>
      <c r="C6840" s="1342"/>
      <c r="D6840" s="1342"/>
      <c r="E6840" s="1342"/>
      <c r="F6840" s="1342"/>
      <c r="G6840" s="1342"/>
      <c r="H6840" s="1342"/>
      <c r="I6840" s="1342"/>
      <c r="J6840" s="1342"/>
      <c r="K6840" s="1342"/>
    </row>
    <row r="6841" spans="2:11" ht="14" hidden="1">
      <c r="B6841" s="1342"/>
      <c r="C6841" s="1342"/>
      <c r="D6841" s="1342"/>
      <c r="E6841" s="1342"/>
      <c r="F6841" s="1342"/>
      <c r="G6841" s="1342"/>
      <c r="H6841" s="1342"/>
      <c r="I6841" s="1342"/>
      <c r="J6841" s="1342"/>
      <c r="K6841" s="1342"/>
    </row>
    <row r="6842" spans="2:11" ht="14" hidden="1">
      <c r="B6842" s="1342"/>
      <c r="C6842" s="1342"/>
      <c r="D6842" s="1342"/>
      <c r="E6842" s="1342"/>
      <c r="F6842" s="1342"/>
      <c r="G6842" s="1342"/>
      <c r="H6842" s="1342"/>
      <c r="I6842" s="1342"/>
      <c r="J6842" s="1342"/>
      <c r="K6842" s="1342"/>
    </row>
    <row r="6843" spans="2:11" ht="14" hidden="1">
      <c r="B6843" s="1342"/>
      <c r="C6843" s="1342"/>
      <c r="D6843" s="1342"/>
      <c r="E6843" s="1342"/>
      <c r="F6843" s="1342"/>
      <c r="G6843" s="1342"/>
      <c r="H6843" s="1342"/>
      <c r="I6843" s="1342"/>
      <c r="J6843" s="1342"/>
      <c r="K6843" s="1342"/>
    </row>
    <row r="6844" spans="2:11" ht="14" hidden="1">
      <c r="B6844" s="1342"/>
      <c r="C6844" s="1342"/>
      <c r="D6844" s="1342"/>
      <c r="E6844" s="1342"/>
      <c r="F6844" s="1342"/>
      <c r="G6844" s="1342"/>
      <c r="H6844" s="1342"/>
      <c r="I6844" s="1342"/>
      <c r="J6844" s="1342"/>
      <c r="K6844" s="1342"/>
    </row>
    <row r="6845" spans="2:11" ht="14" hidden="1">
      <c r="B6845" s="1342"/>
      <c r="C6845" s="1342"/>
      <c r="D6845" s="1342"/>
      <c r="E6845" s="1342"/>
      <c r="F6845" s="1342"/>
      <c r="G6845" s="1342"/>
      <c r="H6845" s="1342"/>
      <c r="I6845" s="1342"/>
      <c r="J6845" s="1342"/>
      <c r="K6845" s="1342"/>
    </row>
    <row r="6846" spans="2:11" ht="14" hidden="1">
      <c r="B6846" s="1342"/>
      <c r="C6846" s="1342"/>
      <c r="D6846" s="1342"/>
      <c r="E6846" s="1342"/>
      <c r="F6846" s="1342"/>
      <c r="G6846" s="1342"/>
      <c r="H6846" s="1342"/>
      <c r="I6846" s="1342"/>
      <c r="J6846" s="1342"/>
      <c r="K6846" s="1342"/>
    </row>
    <row r="6847" spans="2:11" ht="14" hidden="1">
      <c r="B6847" s="1342"/>
      <c r="C6847" s="1342"/>
      <c r="D6847" s="1342"/>
      <c r="E6847" s="1342"/>
      <c r="F6847" s="1342"/>
      <c r="G6847" s="1342"/>
      <c r="H6847" s="1342"/>
      <c r="I6847" s="1342"/>
      <c r="J6847" s="1342"/>
      <c r="K6847" s="1342"/>
    </row>
    <row r="6848" spans="2:11" ht="14" hidden="1">
      <c r="B6848" s="1342"/>
      <c r="C6848" s="1342"/>
      <c r="D6848" s="1342"/>
      <c r="E6848" s="1342"/>
      <c r="F6848" s="1342"/>
      <c r="G6848" s="1342"/>
      <c r="H6848" s="1342"/>
      <c r="I6848" s="1342"/>
      <c r="J6848" s="1342"/>
      <c r="K6848" s="1342"/>
    </row>
    <row r="6849" spans="2:11" ht="14" hidden="1">
      <c r="B6849" s="1342"/>
      <c r="C6849" s="1342"/>
      <c r="D6849" s="1342"/>
      <c r="E6849" s="1342"/>
      <c r="F6849" s="1342"/>
      <c r="G6849" s="1342"/>
      <c r="H6849" s="1342"/>
      <c r="I6849" s="1342"/>
      <c r="J6849" s="1342"/>
      <c r="K6849" s="1342"/>
    </row>
    <row r="6850" spans="2:11" ht="14" hidden="1">
      <c r="B6850" s="1342"/>
      <c r="C6850" s="1342"/>
      <c r="D6850" s="1342"/>
      <c r="E6850" s="1342"/>
      <c r="F6850" s="1342"/>
      <c r="G6850" s="1342"/>
      <c r="H6850" s="1342"/>
      <c r="I6850" s="1342"/>
      <c r="J6850" s="1342"/>
      <c r="K6850" s="1342"/>
    </row>
    <row r="6851" spans="2:11" ht="14" hidden="1">
      <c r="B6851" s="1342"/>
      <c r="C6851" s="1342"/>
      <c r="D6851" s="1342"/>
      <c r="E6851" s="1342"/>
      <c r="F6851" s="1342"/>
      <c r="G6851" s="1342"/>
      <c r="H6851" s="1342"/>
      <c r="I6851" s="1342"/>
      <c r="J6851" s="1342"/>
      <c r="K6851" s="1342"/>
    </row>
    <row r="6852" spans="2:11" ht="14" hidden="1">
      <c r="B6852" s="1342"/>
      <c r="C6852" s="1342"/>
      <c r="D6852" s="1342"/>
      <c r="E6852" s="1342"/>
      <c r="F6852" s="1342"/>
      <c r="G6852" s="1342"/>
      <c r="H6852" s="1342"/>
      <c r="I6852" s="1342"/>
      <c r="J6852" s="1342"/>
      <c r="K6852" s="1342"/>
    </row>
    <row r="6853" spans="2:11" ht="14" hidden="1">
      <c r="B6853" s="1342"/>
      <c r="C6853" s="1342"/>
      <c r="D6853" s="1342"/>
      <c r="E6853" s="1342"/>
      <c r="F6853" s="1342"/>
      <c r="G6853" s="1342"/>
      <c r="H6853" s="1342"/>
      <c r="I6853" s="1342"/>
      <c r="J6853" s="1342"/>
      <c r="K6853" s="1342"/>
    </row>
    <row r="6854" spans="2:11" ht="14" hidden="1">
      <c r="B6854" s="1342"/>
      <c r="C6854" s="1342"/>
      <c r="D6854" s="1342"/>
      <c r="E6854" s="1342"/>
      <c r="F6854" s="1342"/>
      <c r="G6854" s="1342"/>
      <c r="H6854" s="1342"/>
      <c r="I6854" s="1342"/>
      <c r="J6854" s="1342"/>
      <c r="K6854" s="1342"/>
    </row>
    <row r="6855" spans="2:11" ht="14" hidden="1">
      <c r="B6855" s="1342"/>
      <c r="C6855" s="1342"/>
      <c r="D6855" s="1342"/>
      <c r="E6855" s="1342"/>
      <c r="F6855" s="1342"/>
      <c r="G6855" s="1342"/>
      <c r="H6855" s="1342"/>
      <c r="I6855" s="1342"/>
      <c r="J6855" s="1342"/>
      <c r="K6855" s="1342"/>
    </row>
    <row r="6856" spans="2:11" ht="14" hidden="1">
      <c r="B6856" s="1342"/>
      <c r="C6856" s="1342"/>
      <c r="D6856" s="1342"/>
      <c r="E6856" s="1342"/>
      <c r="F6856" s="1342"/>
      <c r="G6856" s="1342"/>
      <c r="H6856" s="1342"/>
      <c r="I6856" s="1342"/>
      <c r="J6856" s="1342"/>
      <c r="K6856" s="1342"/>
    </row>
    <row r="6857" spans="2:11" ht="14" hidden="1">
      <c r="B6857" s="1342"/>
      <c r="C6857" s="1342"/>
      <c r="D6857" s="1342"/>
      <c r="E6857" s="1342"/>
      <c r="F6857" s="1342"/>
      <c r="G6857" s="1342"/>
      <c r="H6857" s="1342"/>
      <c r="I6857" s="1342"/>
      <c r="J6857" s="1342"/>
      <c r="K6857" s="1342"/>
    </row>
    <row r="6858" spans="2:11" ht="14" hidden="1">
      <c r="B6858" s="1342"/>
      <c r="C6858" s="1342"/>
      <c r="D6858" s="1342"/>
      <c r="E6858" s="1342"/>
      <c r="F6858" s="1342"/>
      <c r="G6858" s="1342"/>
      <c r="H6858" s="1342"/>
      <c r="I6858" s="1342"/>
      <c r="J6858" s="1342"/>
      <c r="K6858" s="1342"/>
    </row>
    <row r="6859" spans="2:11" ht="14" hidden="1">
      <c r="B6859" s="1342"/>
      <c r="C6859" s="1342"/>
      <c r="D6859" s="1342"/>
      <c r="E6859" s="1342"/>
      <c r="F6859" s="1342"/>
      <c r="G6859" s="1342"/>
      <c r="H6859" s="1342"/>
      <c r="I6859" s="1342"/>
      <c r="J6859" s="1342"/>
      <c r="K6859" s="1342"/>
    </row>
    <row r="6860" spans="2:11" ht="14" hidden="1">
      <c r="B6860" s="1342"/>
      <c r="C6860" s="1342"/>
      <c r="D6860" s="1342"/>
      <c r="E6860" s="1342"/>
      <c r="F6860" s="1342"/>
      <c r="G6860" s="1342"/>
      <c r="H6860" s="1342"/>
      <c r="I6860" s="1342"/>
      <c r="J6860" s="1342"/>
      <c r="K6860" s="1342"/>
    </row>
    <row r="6861" spans="2:11" ht="14" hidden="1">
      <c r="B6861" s="1342"/>
      <c r="C6861" s="1342"/>
      <c r="D6861" s="1342"/>
      <c r="E6861" s="1342"/>
      <c r="F6861" s="1342"/>
      <c r="G6861" s="1342"/>
      <c r="H6861" s="1342"/>
      <c r="I6861" s="1342"/>
      <c r="J6861" s="1342"/>
      <c r="K6861" s="1342"/>
    </row>
    <row r="6862" spans="2:11" ht="14" hidden="1">
      <c r="B6862" s="1342"/>
      <c r="C6862" s="1342"/>
      <c r="D6862" s="1342"/>
      <c r="E6862" s="1342"/>
      <c r="F6862" s="1342"/>
      <c r="G6862" s="1342"/>
      <c r="H6862" s="1342"/>
      <c r="I6862" s="1342"/>
      <c r="J6862" s="1342"/>
      <c r="K6862" s="1342"/>
    </row>
    <row r="6863" spans="2:11" ht="14" hidden="1">
      <c r="B6863" s="1342"/>
      <c r="C6863" s="1342"/>
      <c r="D6863" s="1342"/>
      <c r="E6863" s="1342"/>
      <c r="F6863" s="1342"/>
      <c r="G6863" s="1342"/>
      <c r="H6863" s="1342"/>
      <c r="I6863" s="1342"/>
      <c r="J6863" s="1342"/>
      <c r="K6863" s="1342"/>
    </row>
    <row r="6864" spans="2:11" ht="14" hidden="1">
      <c r="B6864" s="1342"/>
      <c r="C6864" s="1342"/>
      <c r="D6864" s="1342"/>
      <c r="E6864" s="1342"/>
      <c r="F6864" s="1342"/>
      <c r="G6864" s="1342"/>
      <c r="H6864" s="1342"/>
      <c r="I6864" s="1342"/>
      <c r="J6864" s="1342"/>
      <c r="K6864" s="1342"/>
    </row>
    <row r="6865" spans="2:11" ht="14" hidden="1">
      <c r="B6865" s="1342"/>
      <c r="C6865" s="1342"/>
      <c r="D6865" s="1342"/>
      <c r="E6865" s="1342"/>
      <c r="F6865" s="1342"/>
      <c r="G6865" s="1342"/>
      <c r="H6865" s="1342"/>
      <c r="I6865" s="1342"/>
      <c r="J6865" s="1342"/>
      <c r="K6865" s="1342"/>
    </row>
    <row r="6866" spans="2:11" ht="14" hidden="1">
      <c r="B6866" s="1342"/>
      <c r="C6866" s="1342"/>
      <c r="D6866" s="1342"/>
      <c r="E6866" s="1342"/>
      <c r="F6866" s="1342"/>
      <c r="G6866" s="1342"/>
      <c r="H6866" s="1342"/>
      <c r="I6866" s="1342"/>
      <c r="J6866" s="1342"/>
      <c r="K6866" s="1342"/>
    </row>
    <row r="6867" spans="2:11" ht="14" hidden="1">
      <c r="B6867" s="1342"/>
      <c r="C6867" s="1342"/>
      <c r="D6867" s="1342"/>
      <c r="E6867" s="1342"/>
      <c r="F6867" s="1342"/>
      <c r="G6867" s="1342"/>
      <c r="H6867" s="1342"/>
      <c r="I6867" s="1342"/>
      <c r="J6867" s="1342"/>
      <c r="K6867" s="1342"/>
    </row>
    <row r="6868" spans="2:11" ht="14" hidden="1">
      <c r="B6868" s="1342"/>
      <c r="C6868" s="1342"/>
      <c r="D6868" s="1342"/>
      <c r="E6868" s="1342"/>
      <c r="F6868" s="1342"/>
      <c r="G6868" s="1342"/>
      <c r="H6868" s="1342"/>
      <c r="I6868" s="1342"/>
      <c r="J6868" s="1342"/>
      <c r="K6868" s="1342"/>
    </row>
    <row r="6869" spans="2:11" ht="14" hidden="1">
      <c r="B6869" s="1342"/>
      <c r="C6869" s="1342"/>
      <c r="D6869" s="1342"/>
      <c r="E6869" s="1342"/>
      <c r="F6869" s="1342"/>
      <c r="G6869" s="1342"/>
      <c r="H6869" s="1342"/>
      <c r="I6869" s="1342"/>
      <c r="J6869" s="1342"/>
      <c r="K6869" s="1342"/>
    </row>
    <row r="6870" spans="2:11" ht="14" hidden="1">
      <c r="B6870" s="1342"/>
      <c r="C6870" s="1342"/>
      <c r="D6870" s="1342"/>
      <c r="E6870" s="1342"/>
      <c r="F6870" s="1342"/>
      <c r="G6870" s="1342"/>
      <c r="H6870" s="1342"/>
      <c r="I6870" s="1342"/>
      <c r="J6870" s="1342"/>
      <c r="K6870" s="1342"/>
    </row>
    <row r="6871" spans="2:11" ht="14" hidden="1">
      <c r="B6871" s="1342"/>
      <c r="C6871" s="1342"/>
      <c r="D6871" s="1342"/>
      <c r="E6871" s="1342"/>
      <c r="F6871" s="1342"/>
      <c r="G6871" s="1342"/>
      <c r="H6871" s="1342"/>
      <c r="I6871" s="1342"/>
      <c r="J6871" s="1342"/>
      <c r="K6871" s="1342"/>
    </row>
    <row r="6872" spans="2:11" ht="14" hidden="1">
      <c r="B6872" s="1342"/>
      <c r="C6872" s="1342"/>
      <c r="D6872" s="1342"/>
      <c r="E6872" s="1342"/>
      <c r="F6872" s="1342"/>
      <c r="G6872" s="1342"/>
      <c r="H6872" s="1342"/>
      <c r="I6872" s="1342"/>
      <c r="J6872" s="1342"/>
      <c r="K6872" s="1342"/>
    </row>
    <row r="6873" spans="2:11" ht="14" hidden="1">
      <c r="B6873" s="1342"/>
      <c r="C6873" s="1342"/>
      <c r="D6873" s="1342"/>
      <c r="E6873" s="1342"/>
      <c r="F6873" s="1342"/>
      <c r="G6873" s="1342"/>
      <c r="H6873" s="1342"/>
      <c r="I6873" s="1342"/>
      <c r="J6873" s="1342"/>
      <c r="K6873" s="1342"/>
    </row>
    <row r="6874" spans="2:11" ht="14" hidden="1">
      <c r="B6874" s="1342"/>
      <c r="C6874" s="1342"/>
      <c r="D6874" s="1342"/>
      <c r="E6874" s="1342"/>
      <c r="F6874" s="1342"/>
      <c r="G6874" s="1342"/>
      <c r="H6874" s="1342"/>
      <c r="I6874" s="1342"/>
      <c r="J6874" s="1342"/>
      <c r="K6874" s="1342"/>
    </row>
    <row r="6875" spans="2:11" ht="14" hidden="1">
      <c r="B6875" s="1342"/>
      <c r="C6875" s="1342"/>
      <c r="D6875" s="1342"/>
      <c r="E6875" s="1342"/>
      <c r="F6875" s="1342"/>
      <c r="G6875" s="1342"/>
      <c r="H6875" s="1342"/>
      <c r="I6875" s="1342"/>
      <c r="J6875" s="1342"/>
      <c r="K6875" s="1342"/>
    </row>
    <row r="6876" spans="2:11" ht="14" hidden="1">
      <c r="B6876" s="1342"/>
      <c r="C6876" s="1342"/>
      <c r="D6876" s="1342"/>
      <c r="E6876" s="1342"/>
      <c r="F6876" s="1342"/>
      <c r="G6876" s="1342"/>
      <c r="H6876" s="1342"/>
      <c r="I6876" s="1342"/>
      <c r="J6876" s="1342"/>
      <c r="K6876" s="1342"/>
    </row>
    <row r="6877" spans="2:11" ht="14" hidden="1">
      <c r="B6877" s="1342"/>
      <c r="C6877" s="1342"/>
      <c r="D6877" s="1342"/>
      <c r="E6877" s="1342"/>
      <c r="F6877" s="1342"/>
      <c r="G6877" s="1342"/>
      <c r="H6877" s="1342"/>
      <c r="I6877" s="1342"/>
      <c r="J6877" s="1342"/>
      <c r="K6877" s="1342"/>
    </row>
    <row r="6878" spans="2:11" ht="14" hidden="1">
      <c r="B6878" s="1342"/>
      <c r="C6878" s="1342"/>
      <c r="D6878" s="1342"/>
      <c r="E6878" s="1342"/>
      <c r="F6878" s="1342"/>
      <c r="G6878" s="1342"/>
      <c r="H6878" s="1342"/>
      <c r="I6878" s="1342"/>
      <c r="J6878" s="1342"/>
      <c r="K6878" s="1342"/>
    </row>
    <row r="6879" spans="2:11" ht="14" hidden="1">
      <c r="B6879" s="1342"/>
      <c r="C6879" s="1342"/>
      <c r="D6879" s="1342"/>
      <c r="E6879" s="1342"/>
      <c r="F6879" s="1342"/>
      <c r="G6879" s="1342"/>
      <c r="H6879" s="1342"/>
      <c r="I6879" s="1342"/>
      <c r="J6879" s="1342"/>
      <c r="K6879" s="1342"/>
    </row>
    <row r="6880" spans="2:11" ht="14" hidden="1">
      <c r="B6880" s="1342"/>
      <c r="C6880" s="1342"/>
      <c r="D6880" s="1342"/>
      <c r="E6880" s="1342"/>
      <c r="F6880" s="1342"/>
      <c r="G6880" s="1342"/>
      <c r="H6880" s="1342"/>
      <c r="I6880" s="1342"/>
      <c r="J6880" s="1342"/>
      <c r="K6880" s="1342"/>
    </row>
    <row r="6881" spans="2:11" ht="14" hidden="1">
      <c r="B6881" s="1342"/>
      <c r="C6881" s="1342"/>
      <c r="D6881" s="1342"/>
      <c r="E6881" s="1342"/>
      <c r="F6881" s="1342"/>
      <c r="G6881" s="1342"/>
      <c r="H6881" s="1342"/>
      <c r="I6881" s="1342"/>
      <c r="J6881" s="1342"/>
      <c r="K6881" s="1342"/>
    </row>
    <row r="6882" spans="2:11" ht="14" hidden="1">
      <c r="B6882" s="1342"/>
      <c r="C6882" s="1342"/>
      <c r="D6882" s="1342"/>
      <c r="E6882" s="1342"/>
      <c r="F6882" s="1342"/>
      <c r="G6882" s="1342"/>
      <c r="H6882" s="1342"/>
      <c r="I6882" s="1342"/>
      <c r="J6882" s="1342"/>
      <c r="K6882" s="1342"/>
    </row>
    <row r="6883" spans="2:11" ht="14" hidden="1">
      <c r="B6883" s="1342"/>
      <c r="C6883" s="1342"/>
      <c r="D6883" s="1342"/>
      <c r="E6883" s="1342"/>
      <c r="F6883" s="1342"/>
      <c r="G6883" s="1342"/>
      <c r="H6883" s="1342"/>
      <c r="I6883" s="1342"/>
      <c r="J6883" s="1342"/>
      <c r="K6883" s="1342"/>
    </row>
    <row r="6884" spans="2:11" ht="14" hidden="1">
      <c r="B6884" s="1342"/>
      <c r="C6884" s="1342"/>
      <c r="D6884" s="1342"/>
      <c r="E6884" s="1342"/>
      <c r="F6884" s="1342"/>
      <c r="G6884" s="1342"/>
      <c r="H6884" s="1342"/>
      <c r="I6884" s="1342"/>
      <c r="J6884" s="1342"/>
      <c r="K6884" s="1342"/>
    </row>
    <row r="6885" spans="2:11" ht="14" hidden="1">
      <c r="B6885" s="1342"/>
      <c r="C6885" s="1342"/>
      <c r="D6885" s="1342"/>
      <c r="E6885" s="1342"/>
      <c r="F6885" s="1342"/>
      <c r="G6885" s="1342"/>
      <c r="H6885" s="1342"/>
      <c r="I6885" s="1342"/>
      <c r="J6885" s="1342"/>
      <c r="K6885" s="1342"/>
    </row>
    <row r="6886" spans="2:11" ht="14" hidden="1">
      <c r="B6886" s="1342"/>
      <c r="C6886" s="1342"/>
      <c r="D6886" s="1342"/>
      <c r="E6886" s="1342"/>
      <c r="F6886" s="1342"/>
      <c r="G6886" s="1342"/>
      <c r="H6886" s="1342"/>
      <c r="I6886" s="1342"/>
      <c r="J6886" s="1342"/>
      <c r="K6886" s="1342"/>
    </row>
    <row r="6887" spans="2:11" ht="14" hidden="1">
      <c r="B6887" s="1342"/>
      <c r="C6887" s="1342"/>
      <c r="D6887" s="1342"/>
      <c r="E6887" s="1342"/>
      <c r="F6887" s="1342"/>
      <c r="G6887" s="1342"/>
      <c r="H6887" s="1342"/>
      <c r="I6887" s="1342"/>
      <c r="J6887" s="1342"/>
      <c r="K6887" s="1342"/>
    </row>
    <row r="6888" spans="2:11" ht="14" hidden="1">
      <c r="B6888" s="1342"/>
      <c r="C6888" s="1342"/>
      <c r="D6888" s="1342"/>
      <c r="E6888" s="1342"/>
      <c r="F6888" s="1342"/>
      <c r="G6888" s="1342"/>
      <c r="H6888" s="1342"/>
      <c r="I6888" s="1342"/>
      <c r="J6888" s="1342"/>
      <c r="K6888" s="1342"/>
    </row>
    <row r="6889" spans="2:11" ht="14" hidden="1">
      <c r="B6889" s="1342"/>
      <c r="C6889" s="1342"/>
      <c r="D6889" s="1342"/>
      <c r="E6889" s="1342"/>
      <c r="F6889" s="1342"/>
      <c r="G6889" s="1342"/>
      <c r="H6889" s="1342"/>
      <c r="I6889" s="1342"/>
      <c r="J6889" s="1342"/>
      <c r="K6889" s="1342"/>
    </row>
    <row r="6890" spans="2:11" ht="14" hidden="1">
      <c r="B6890" s="1342"/>
      <c r="C6890" s="1342"/>
      <c r="D6890" s="1342"/>
      <c r="E6890" s="1342"/>
      <c r="F6890" s="1342"/>
      <c r="G6890" s="1342"/>
      <c r="H6890" s="1342"/>
      <c r="I6890" s="1342"/>
      <c r="J6890" s="1342"/>
      <c r="K6890" s="1342"/>
    </row>
    <row r="6891" spans="2:11" ht="14" hidden="1">
      <c r="B6891" s="1342"/>
      <c r="C6891" s="1342"/>
      <c r="D6891" s="1342"/>
      <c r="E6891" s="1342"/>
      <c r="F6891" s="1342"/>
      <c r="G6891" s="1342"/>
      <c r="H6891" s="1342"/>
      <c r="I6891" s="1342"/>
      <c r="J6891" s="1342"/>
      <c r="K6891" s="1342"/>
    </row>
    <row r="6892" spans="2:11" ht="14" hidden="1">
      <c r="B6892" s="1342"/>
      <c r="C6892" s="1342"/>
      <c r="D6892" s="1342"/>
      <c r="E6892" s="1342"/>
      <c r="F6892" s="1342"/>
      <c r="G6892" s="1342"/>
      <c r="H6892" s="1342"/>
      <c r="I6892" s="1342"/>
      <c r="J6892" s="1342"/>
      <c r="K6892" s="1342"/>
    </row>
    <row r="6893" spans="2:11" ht="14" hidden="1">
      <c r="B6893" s="1342"/>
      <c r="C6893" s="1342"/>
      <c r="D6893" s="1342"/>
      <c r="E6893" s="1342"/>
      <c r="F6893" s="1342"/>
      <c r="G6893" s="1342"/>
      <c r="H6893" s="1342"/>
      <c r="I6893" s="1342"/>
      <c r="J6893" s="1342"/>
      <c r="K6893" s="1342"/>
    </row>
    <row r="6894" spans="2:11" ht="14" hidden="1">
      <c r="B6894" s="1342"/>
      <c r="C6894" s="1342"/>
      <c r="D6894" s="1342"/>
      <c r="E6894" s="1342"/>
      <c r="F6894" s="1342"/>
      <c r="G6894" s="1342"/>
      <c r="H6894" s="1342"/>
      <c r="I6894" s="1342"/>
      <c r="J6894" s="1342"/>
      <c r="K6894" s="1342"/>
    </row>
    <row r="6895" spans="2:11" ht="14" hidden="1">
      <c r="B6895" s="1342"/>
      <c r="C6895" s="1342"/>
      <c r="D6895" s="1342"/>
      <c r="E6895" s="1342"/>
      <c r="F6895" s="1342"/>
      <c r="G6895" s="1342"/>
      <c r="H6895" s="1342"/>
      <c r="I6895" s="1342"/>
      <c r="J6895" s="1342"/>
      <c r="K6895" s="1342"/>
    </row>
    <row r="6896" spans="2:11" ht="14" hidden="1">
      <c r="B6896" s="1342"/>
      <c r="C6896" s="1342"/>
      <c r="D6896" s="1342"/>
      <c r="E6896" s="1342"/>
      <c r="F6896" s="1342"/>
      <c r="G6896" s="1342"/>
      <c r="H6896" s="1342"/>
      <c r="I6896" s="1342"/>
      <c r="J6896" s="1342"/>
      <c r="K6896" s="1342"/>
    </row>
    <row r="6897" spans="2:11" ht="14" hidden="1">
      <c r="B6897" s="1342"/>
      <c r="C6897" s="1342"/>
      <c r="D6897" s="1342"/>
      <c r="E6897" s="1342"/>
      <c r="F6897" s="1342"/>
      <c r="G6897" s="1342"/>
      <c r="H6897" s="1342"/>
      <c r="I6897" s="1342"/>
      <c r="J6897" s="1342"/>
      <c r="K6897" s="1342"/>
    </row>
    <row r="6898" spans="2:11" ht="14" hidden="1">
      <c r="B6898" s="1342"/>
      <c r="C6898" s="1342"/>
      <c r="D6898" s="1342"/>
      <c r="E6898" s="1342"/>
      <c r="F6898" s="1342"/>
      <c r="G6898" s="1342"/>
      <c r="H6898" s="1342"/>
      <c r="I6898" s="1342"/>
      <c r="J6898" s="1342"/>
      <c r="K6898" s="1342"/>
    </row>
    <row r="6899" spans="2:11" ht="14" hidden="1">
      <c r="B6899" s="1342"/>
      <c r="C6899" s="1342"/>
      <c r="D6899" s="1342"/>
      <c r="E6899" s="1342"/>
      <c r="F6899" s="1342"/>
      <c r="G6899" s="1342"/>
      <c r="H6899" s="1342"/>
      <c r="I6899" s="1342"/>
      <c r="J6899" s="1342"/>
      <c r="K6899" s="1342"/>
    </row>
    <row r="6900" spans="2:11" ht="14" hidden="1">
      <c r="B6900" s="1342"/>
      <c r="C6900" s="1342"/>
      <c r="D6900" s="1342"/>
      <c r="E6900" s="1342"/>
      <c r="F6900" s="1342"/>
      <c r="G6900" s="1342"/>
      <c r="H6900" s="1342"/>
      <c r="I6900" s="1342"/>
      <c r="J6900" s="1342"/>
      <c r="K6900" s="1342"/>
    </row>
    <row r="6901" spans="2:11" ht="14" hidden="1">
      <c r="B6901" s="1342"/>
      <c r="C6901" s="1342"/>
      <c r="D6901" s="1342"/>
      <c r="E6901" s="1342"/>
      <c r="F6901" s="1342"/>
      <c r="G6901" s="1342"/>
      <c r="H6901" s="1342"/>
      <c r="I6901" s="1342"/>
      <c r="J6901" s="1342"/>
      <c r="K6901" s="1342"/>
    </row>
    <row r="6902" spans="2:11" ht="14" hidden="1">
      <c r="B6902" s="1342"/>
      <c r="C6902" s="1342"/>
      <c r="D6902" s="1342"/>
      <c r="E6902" s="1342"/>
      <c r="F6902" s="1342"/>
      <c r="G6902" s="1342"/>
      <c r="H6902" s="1342"/>
      <c r="I6902" s="1342"/>
      <c r="J6902" s="1342"/>
      <c r="K6902" s="1342"/>
    </row>
    <row r="6903" spans="2:11" ht="14" hidden="1">
      <c r="B6903" s="1342"/>
      <c r="C6903" s="1342"/>
      <c r="D6903" s="1342"/>
      <c r="E6903" s="1342"/>
      <c r="F6903" s="1342"/>
      <c r="G6903" s="1342"/>
      <c r="H6903" s="1342"/>
      <c r="I6903" s="1342"/>
      <c r="J6903" s="1342"/>
      <c r="K6903" s="1342"/>
    </row>
    <row r="6904" spans="2:11" ht="14" hidden="1">
      <c r="B6904" s="1342"/>
      <c r="C6904" s="1342"/>
      <c r="D6904" s="1342"/>
      <c r="E6904" s="1342"/>
      <c r="F6904" s="1342"/>
      <c r="G6904" s="1342"/>
      <c r="H6904" s="1342"/>
      <c r="I6904" s="1342"/>
      <c r="J6904" s="1342"/>
      <c r="K6904" s="1342"/>
    </row>
    <row r="6905" spans="2:11" ht="14" hidden="1">
      <c r="B6905" s="1342"/>
      <c r="C6905" s="1342"/>
      <c r="D6905" s="1342"/>
      <c r="E6905" s="1342"/>
      <c r="F6905" s="1342"/>
      <c r="G6905" s="1342"/>
      <c r="H6905" s="1342"/>
      <c r="I6905" s="1342"/>
      <c r="J6905" s="1342"/>
      <c r="K6905" s="1342"/>
    </row>
    <row r="6906" spans="2:11" ht="14" hidden="1">
      <c r="B6906" s="1342"/>
      <c r="C6906" s="1342"/>
      <c r="D6906" s="1342"/>
      <c r="E6906" s="1342"/>
      <c r="F6906" s="1342"/>
      <c r="G6906" s="1342"/>
      <c r="H6906" s="1342"/>
      <c r="I6906" s="1342"/>
      <c r="J6906" s="1342"/>
      <c r="K6906" s="1342"/>
    </row>
    <row r="6907" spans="2:11" ht="14" hidden="1">
      <c r="B6907" s="1342"/>
      <c r="C6907" s="1342"/>
      <c r="D6907" s="1342"/>
      <c r="E6907" s="1342"/>
      <c r="F6907" s="1342"/>
      <c r="G6907" s="1342"/>
      <c r="H6907" s="1342"/>
      <c r="I6907" s="1342"/>
      <c r="J6907" s="1342"/>
      <c r="K6907" s="1342"/>
    </row>
    <row r="6908" spans="2:11" ht="14" hidden="1">
      <c r="B6908" s="1342"/>
      <c r="C6908" s="1342"/>
      <c r="D6908" s="1342"/>
      <c r="E6908" s="1342"/>
      <c r="F6908" s="1342"/>
      <c r="G6908" s="1342"/>
      <c r="H6908" s="1342"/>
      <c r="I6908" s="1342"/>
      <c r="J6908" s="1342"/>
      <c r="K6908" s="1342"/>
    </row>
    <row r="6909" spans="2:11" ht="14" hidden="1">
      <c r="B6909" s="1342"/>
      <c r="C6909" s="1342"/>
      <c r="D6909" s="1342"/>
      <c r="E6909" s="1342"/>
      <c r="F6909" s="1342"/>
      <c r="G6909" s="1342"/>
      <c r="H6909" s="1342"/>
      <c r="I6909" s="1342"/>
      <c r="J6909" s="1342"/>
      <c r="K6909" s="1342"/>
    </row>
    <row r="6910" spans="2:11" ht="14" hidden="1">
      <c r="B6910" s="1342"/>
      <c r="C6910" s="1342"/>
      <c r="D6910" s="1342"/>
      <c r="E6910" s="1342"/>
      <c r="F6910" s="1342"/>
      <c r="G6910" s="1342"/>
      <c r="H6910" s="1342"/>
      <c r="I6910" s="1342"/>
      <c r="J6910" s="1342"/>
      <c r="K6910" s="1342"/>
    </row>
    <row r="6911" spans="2:11" ht="14" hidden="1">
      <c r="B6911" s="1342"/>
      <c r="C6911" s="1342"/>
      <c r="D6911" s="1342"/>
      <c r="E6911" s="1342"/>
      <c r="F6911" s="1342"/>
      <c r="G6911" s="1342"/>
      <c r="H6911" s="1342"/>
      <c r="I6911" s="1342"/>
      <c r="J6911" s="1342"/>
      <c r="K6911" s="1342"/>
    </row>
    <row r="6912" spans="2:11" ht="14" hidden="1">
      <c r="B6912" s="1342"/>
      <c r="C6912" s="1342"/>
      <c r="D6912" s="1342"/>
      <c r="E6912" s="1342"/>
      <c r="F6912" s="1342"/>
      <c r="G6912" s="1342"/>
      <c r="H6912" s="1342"/>
      <c r="I6912" s="1342"/>
      <c r="J6912" s="1342"/>
      <c r="K6912" s="1342"/>
    </row>
    <row r="6913" spans="2:11" ht="14" hidden="1">
      <c r="B6913" s="1342"/>
      <c r="C6913" s="1342"/>
      <c r="D6913" s="1342"/>
      <c r="E6913" s="1342"/>
      <c r="F6913" s="1342"/>
      <c r="G6913" s="1342"/>
      <c r="H6913" s="1342"/>
      <c r="I6913" s="1342"/>
      <c r="J6913" s="1342"/>
      <c r="K6913" s="1342"/>
    </row>
    <row r="6914" spans="2:11" ht="14" hidden="1">
      <c r="B6914" s="1342"/>
      <c r="C6914" s="1342"/>
      <c r="D6914" s="1342"/>
      <c r="E6914" s="1342"/>
      <c r="F6914" s="1342"/>
      <c r="G6914" s="1342"/>
      <c r="H6914" s="1342"/>
      <c r="I6914" s="1342"/>
      <c r="J6914" s="1342"/>
      <c r="K6914" s="1342"/>
    </row>
    <row r="6915" spans="2:11" ht="14" hidden="1">
      <c r="B6915" s="1342"/>
      <c r="C6915" s="1342"/>
      <c r="D6915" s="1342"/>
      <c r="E6915" s="1342"/>
      <c r="F6915" s="1342"/>
      <c r="G6915" s="1342"/>
      <c r="H6915" s="1342"/>
      <c r="I6915" s="1342"/>
      <c r="J6915" s="1342"/>
      <c r="K6915" s="1342"/>
    </row>
    <row r="6916" spans="2:11" ht="14" hidden="1">
      <c r="B6916" s="1342"/>
      <c r="C6916" s="1342"/>
      <c r="D6916" s="1342"/>
      <c r="E6916" s="1342"/>
      <c r="F6916" s="1342"/>
      <c r="G6916" s="1342"/>
      <c r="H6916" s="1342"/>
      <c r="I6916" s="1342"/>
      <c r="J6916" s="1342"/>
      <c r="K6916" s="1342"/>
    </row>
    <row r="6917" spans="2:11" ht="14" hidden="1">
      <c r="B6917" s="1342"/>
      <c r="C6917" s="1342"/>
      <c r="D6917" s="1342"/>
      <c r="E6917" s="1342"/>
      <c r="F6917" s="1342"/>
      <c r="G6917" s="1342"/>
      <c r="H6917" s="1342"/>
      <c r="I6917" s="1342"/>
      <c r="J6917" s="1342"/>
      <c r="K6917" s="1342"/>
    </row>
    <row r="6918" spans="2:11" ht="14" hidden="1">
      <c r="B6918" s="1342"/>
      <c r="C6918" s="1342"/>
      <c r="D6918" s="1342"/>
      <c r="E6918" s="1342"/>
      <c r="F6918" s="1342"/>
      <c r="G6918" s="1342"/>
      <c r="H6918" s="1342"/>
      <c r="I6918" s="1342"/>
      <c r="J6918" s="1342"/>
      <c r="K6918" s="1342"/>
    </row>
    <row r="6919" spans="2:11" ht="14" hidden="1">
      <c r="B6919" s="1342"/>
      <c r="C6919" s="1342"/>
      <c r="D6919" s="1342"/>
      <c r="E6919" s="1342"/>
      <c r="F6919" s="1342"/>
      <c r="G6919" s="1342"/>
      <c r="H6919" s="1342"/>
      <c r="I6919" s="1342"/>
      <c r="J6919" s="1342"/>
      <c r="K6919" s="1342"/>
    </row>
    <row r="6920" spans="2:11" ht="14" hidden="1">
      <c r="B6920" s="1342"/>
      <c r="C6920" s="1342"/>
      <c r="D6920" s="1342"/>
      <c r="E6920" s="1342"/>
      <c r="F6920" s="1342"/>
      <c r="G6920" s="1342"/>
      <c r="H6920" s="1342"/>
      <c r="I6920" s="1342"/>
      <c r="J6920" s="1342"/>
      <c r="K6920" s="1342"/>
    </row>
    <row r="6921" spans="2:11" ht="14" hidden="1">
      <c r="B6921" s="1342"/>
      <c r="C6921" s="1342"/>
      <c r="D6921" s="1342"/>
      <c r="E6921" s="1342"/>
      <c r="F6921" s="1342"/>
      <c r="G6921" s="1342"/>
      <c r="H6921" s="1342"/>
      <c r="I6921" s="1342"/>
      <c r="J6921" s="1342"/>
      <c r="K6921" s="1342"/>
    </row>
    <row r="6922" spans="2:11" ht="14" hidden="1">
      <c r="B6922" s="1342"/>
      <c r="C6922" s="1342"/>
      <c r="D6922" s="1342"/>
      <c r="E6922" s="1342"/>
      <c r="F6922" s="1342"/>
      <c r="G6922" s="1342"/>
      <c r="H6922" s="1342"/>
      <c r="I6922" s="1342"/>
      <c r="J6922" s="1342"/>
      <c r="K6922" s="1342"/>
    </row>
    <row r="6923" spans="2:11" ht="14" hidden="1">
      <c r="B6923" s="1342"/>
      <c r="C6923" s="1342"/>
      <c r="D6923" s="1342"/>
      <c r="E6923" s="1342"/>
      <c r="F6923" s="1342"/>
      <c r="G6923" s="1342"/>
      <c r="H6923" s="1342"/>
      <c r="I6923" s="1342"/>
      <c r="J6923" s="1342"/>
      <c r="K6923" s="1342"/>
    </row>
    <row r="6924" spans="2:11" ht="14" hidden="1">
      <c r="B6924" s="1342"/>
      <c r="C6924" s="1342"/>
      <c r="D6924" s="1342"/>
      <c r="E6924" s="1342"/>
      <c r="F6924" s="1342"/>
      <c r="G6924" s="1342"/>
      <c r="H6924" s="1342"/>
      <c r="I6924" s="1342"/>
      <c r="J6924" s="1342"/>
      <c r="K6924" s="1342"/>
    </row>
    <row r="6925" spans="2:11" ht="14" hidden="1">
      <c r="B6925" s="1342"/>
      <c r="C6925" s="1342"/>
      <c r="D6925" s="1342"/>
      <c r="E6925" s="1342"/>
      <c r="F6925" s="1342"/>
      <c r="G6925" s="1342"/>
      <c r="H6925" s="1342"/>
      <c r="I6925" s="1342"/>
      <c r="J6925" s="1342"/>
      <c r="K6925" s="1342"/>
    </row>
    <row r="6926" spans="2:11" ht="14" hidden="1">
      <c r="B6926" s="1342"/>
      <c r="C6926" s="1342"/>
      <c r="D6926" s="1342"/>
      <c r="E6926" s="1342"/>
      <c r="F6926" s="1342"/>
      <c r="G6926" s="1342"/>
      <c r="H6926" s="1342"/>
      <c r="I6926" s="1342"/>
      <c r="J6926" s="1342"/>
      <c r="K6926" s="1342"/>
    </row>
    <row r="6927" spans="2:11" ht="14" hidden="1">
      <c r="B6927" s="1342"/>
      <c r="C6927" s="1342"/>
      <c r="D6927" s="1342"/>
      <c r="E6927" s="1342"/>
      <c r="F6927" s="1342"/>
      <c r="G6927" s="1342"/>
      <c r="H6927" s="1342"/>
      <c r="I6927" s="1342"/>
      <c r="J6927" s="1342"/>
      <c r="K6927" s="1342"/>
    </row>
    <row r="6928" spans="2:11" ht="14" hidden="1">
      <c r="B6928" s="1342"/>
      <c r="C6928" s="1342"/>
      <c r="D6928" s="1342"/>
      <c r="E6928" s="1342"/>
      <c r="F6928" s="1342"/>
      <c r="G6928" s="1342"/>
      <c r="H6928" s="1342"/>
      <c r="I6928" s="1342"/>
      <c r="J6928" s="1342"/>
      <c r="K6928" s="1342"/>
    </row>
    <row r="6929" spans="2:11" ht="14" hidden="1">
      <c r="B6929" s="1342"/>
      <c r="C6929" s="1342"/>
      <c r="D6929" s="1342"/>
      <c r="E6929" s="1342"/>
      <c r="F6929" s="1342"/>
      <c r="G6929" s="1342"/>
      <c r="H6929" s="1342"/>
      <c r="I6929" s="1342"/>
      <c r="J6929" s="1342"/>
      <c r="K6929" s="1342"/>
    </row>
    <row r="6930" spans="2:11" ht="14" hidden="1">
      <c r="B6930" s="1342"/>
      <c r="C6930" s="1342"/>
      <c r="D6930" s="1342"/>
      <c r="E6930" s="1342"/>
      <c r="F6930" s="1342"/>
      <c r="G6930" s="1342"/>
      <c r="H6930" s="1342"/>
      <c r="I6930" s="1342"/>
      <c r="J6930" s="1342"/>
      <c r="K6930" s="1342"/>
    </row>
    <row r="6931" spans="2:11" ht="14" hidden="1">
      <c r="B6931" s="1342"/>
      <c r="C6931" s="1342"/>
      <c r="D6931" s="1342"/>
      <c r="E6931" s="1342"/>
      <c r="F6931" s="1342"/>
      <c r="G6931" s="1342"/>
      <c r="H6931" s="1342"/>
      <c r="I6931" s="1342"/>
      <c r="J6931" s="1342"/>
      <c r="K6931" s="1342"/>
    </row>
    <row r="6932" spans="2:11" ht="14" hidden="1">
      <c r="B6932" s="1342"/>
      <c r="C6932" s="1342"/>
      <c r="D6932" s="1342"/>
      <c r="E6932" s="1342"/>
      <c r="F6932" s="1342"/>
      <c r="G6932" s="1342"/>
      <c r="H6932" s="1342"/>
      <c r="I6932" s="1342"/>
      <c r="J6932" s="1342"/>
      <c r="K6932" s="1342"/>
    </row>
    <row r="6933" spans="2:11" ht="14" hidden="1">
      <c r="B6933" s="1342"/>
      <c r="C6933" s="1342"/>
      <c r="D6933" s="1342"/>
      <c r="E6933" s="1342"/>
      <c r="F6933" s="1342"/>
      <c r="G6933" s="1342"/>
      <c r="H6933" s="1342"/>
      <c r="I6933" s="1342"/>
      <c r="J6933" s="1342"/>
      <c r="K6933" s="1342"/>
    </row>
    <row r="6934" spans="2:11" ht="14" hidden="1">
      <c r="B6934" s="1342"/>
      <c r="C6934" s="1342"/>
      <c r="D6934" s="1342"/>
      <c r="E6934" s="1342"/>
      <c r="F6934" s="1342"/>
      <c r="G6934" s="1342"/>
      <c r="H6934" s="1342"/>
      <c r="I6934" s="1342"/>
      <c r="J6934" s="1342"/>
      <c r="K6934" s="1342"/>
    </row>
    <row r="6935" spans="2:11" ht="14" hidden="1">
      <c r="B6935" s="1342"/>
      <c r="C6935" s="1342"/>
      <c r="D6935" s="1342"/>
      <c r="E6935" s="1342"/>
      <c r="F6935" s="1342"/>
      <c r="G6935" s="1342"/>
      <c r="H6935" s="1342"/>
      <c r="I6935" s="1342"/>
      <c r="J6935" s="1342"/>
      <c r="K6935" s="1342"/>
    </row>
    <row r="6936" spans="2:11" ht="14" hidden="1">
      <c r="B6936" s="1342"/>
      <c r="C6936" s="1342"/>
      <c r="D6936" s="1342"/>
      <c r="E6936" s="1342"/>
      <c r="F6936" s="1342"/>
      <c r="G6936" s="1342"/>
      <c r="H6936" s="1342"/>
      <c r="I6936" s="1342"/>
      <c r="J6936" s="1342"/>
      <c r="K6936" s="1342"/>
    </row>
    <row r="6937" spans="2:11" ht="14" hidden="1">
      <c r="B6937" s="1342"/>
      <c r="C6937" s="1342"/>
      <c r="D6937" s="1342"/>
      <c r="E6937" s="1342"/>
      <c r="F6937" s="1342"/>
      <c r="G6937" s="1342"/>
      <c r="H6937" s="1342"/>
      <c r="I6937" s="1342"/>
      <c r="J6937" s="1342"/>
      <c r="K6937" s="1342"/>
    </row>
    <row r="6938" spans="2:11" ht="14" hidden="1">
      <c r="B6938" s="1342"/>
      <c r="C6938" s="1342"/>
      <c r="D6938" s="1342"/>
      <c r="E6938" s="1342"/>
      <c r="F6938" s="1342"/>
      <c r="G6938" s="1342"/>
      <c r="H6938" s="1342"/>
      <c r="I6938" s="1342"/>
      <c r="J6938" s="1342"/>
      <c r="K6938" s="1342"/>
    </row>
    <row r="6939" spans="2:11" ht="14" hidden="1">
      <c r="B6939" s="1342"/>
      <c r="C6939" s="1342"/>
      <c r="D6939" s="1342"/>
      <c r="E6939" s="1342"/>
      <c r="F6939" s="1342"/>
      <c r="G6939" s="1342"/>
      <c r="H6939" s="1342"/>
      <c r="I6939" s="1342"/>
      <c r="J6939" s="1342"/>
      <c r="K6939" s="1342"/>
    </row>
    <row r="6940" spans="2:11" ht="14" hidden="1">
      <c r="B6940" s="1342"/>
      <c r="C6940" s="1342"/>
      <c r="D6940" s="1342"/>
      <c r="E6940" s="1342"/>
      <c r="F6940" s="1342"/>
      <c r="G6940" s="1342"/>
      <c r="H6940" s="1342"/>
      <c r="I6940" s="1342"/>
      <c r="J6940" s="1342"/>
      <c r="K6940" s="1342"/>
    </row>
    <row r="6941" spans="2:11" ht="14" hidden="1">
      <c r="B6941" s="1342"/>
      <c r="C6941" s="1342"/>
      <c r="D6941" s="1342"/>
      <c r="E6941" s="1342"/>
      <c r="F6941" s="1342"/>
      <c r="G6941" s="1342"/>
      <c r="H6941" s="1342"/>
      <c r="I6941" s="1342"/>
      <c r="J6941" s="1342"/>
      <c r="K6941" s="1342"/>
    </row>
    <row r="6942" spans="2:11" ht="14" hidden="1">
      <c r="B6942" s="1342"/>
      <c r="C6942" s="1342"/>
      <c r="D6942" s="1342"/>
      <c r="E6942" s="1342"/>
      <c r="F6942" s="1342"/>
      <c r="G6942" s="1342"/>
      <c r="H6942" s="1342"/>
      <c r="I6942" s="1342"/>
      <c r="J6942" s="1342"/>
      <c r="K6942" s="1342"/>
    </row>
    <row r="6943" spans="2:11" ht="14" hidden="1">
      <c r="B6943" s="1342"/>
      <c r="C6943" s="1342"/>
      <c r="D6943" s="1342"/>
      <c r="E6943" s="1342"/>
      <c r="F6943" s="1342"/>
      <c r="G6943" s="1342"/>
      <c r="H6943" s="1342"/>
      <c r="I6943" s="1342"/>
      <c r="J6943" s="1342"/>
      <c r="K6943" s="1342"/>
    </row>
    <row r="6944" spans="2:11" ht="14" hidden="1">
      <c r="B6944" s="1342"/>
      <c r="C6944" s="1342"/>
      <c r="D6944" s="1342"/>
      <c r="E6944" s="1342"/>
      <c r="F6944" s="1342"/>
      <c r="G6944" s="1342"/>
      <c r="H6944" s="1342"/>
      <c r="I6944" s="1342"/>
      <c r="J6944" s="1342"/>
      <c r="K6944" s="1342"/>
    </row>
    <row r="6945" spans="2:11" ht="14" hidden="1">
      <c r="B6945" s="1342"/>
      <c r="C6945" s="1342"/>
      <c r="D6945" s="1342"/>
      <c r="E6945" s="1342"/>
      <c r="F6945" s="1342"/>
      <c r="G6945" s="1342"/>
      <c r="H6945" s="1342"/>
      <c r="I6945" s="1342"/>
      <c r="J6945" s="1342"/>
      <c r="K6945" s="1342"/>
    </row>
    <row r="6946" spans="2:11" ht="14" hidden="1">
      <c r="B6946" s="1342"/>
      <c r="C6946" s="1342"/>
      <c r="D6946" s="1342"/>
      <c r="E6946" s="1342"/>
      <c r="F6946" s="1342"/>
      <c r="G6946" s="1342"/>
      <c r="H6946" s="1342"/>
      <c r="I6946" s="1342"/>
      <c r="J6946" s="1342"/>
      <c r="K6946" s="1342"/>
    </row>
    <row r="6947" spans="2:11" ht="14" hidden="1">
      <c r="B6947" s="1342"/>
      <c r="C6947" s="1342"/>
      <c r="D6947" s="1342"/>
      <c r="E6947" s="1342"/>
      <c r="F6947" s="1342"/>
      <c r="G6947" s="1342"/>
      <c r="H6947" s="1342"/>
      <c r="I6947" s="1342"/>
      <c r="J6947" s="1342"/>
      <c r="K6947" s="1342"/>
    </row>
    <row r="6948" spans="2:11" ht="14" hidden="1">
      <c r="B6948" s="1342"/>
      <c r="C6948" s="1342"/>
      <c r="D6948" s="1342"/>
      <c r="E6948" s="1342"/>
      <c r="F6948" s="1342"/>
      <c r="G6948" s="1342"/>
      <c r="H6948" s="1342"/>
      <c r="I6948" s="1342"/>
      <c r="J6948" s="1342"/>
      <c r="K6948" s="1342"/>
    </row>
    <row r="6949" spans="2:11" ht="14" hidden="1">
      <c r="B6949" s="1342"/>
      <c r="C6949" s="1342"/>
      <c r="D6949" s="1342"/>
      <c r="E6949" s="1342"/>
      <c r="F6949" s="1342"/>
      <c r="G6949" s="1342"/>
      <c r="H6949" s="1342"/>
      <c r="I6949" s="1342"/>
      <c r="J6949" s="1342"/>
      <c r="K6949" s="1342"/>
    </row>
    <row r="6950" spans="2:11" ht="14" hidden="1">
      <c r="B6950" s="1342"/>
      <c r="C6950" s="1342"/>
      <c r="D6950" s="1342"/>
      <c r="E6950" s="1342"/>
      <c r="F6950" s="1342"/>
      <c r="G6950" s="1342"/>
      <c r="H6950" s="1342"/>
      <c r="I6950" s="1342"/>
      <c r="J6950" s="1342"/>
      <c r="K6950" s="1342"/>
    </row>
    <row r="6951" spans="2:11" ht="14" hidden="1">
      <c r="B6951" s="1342"/>
      <c r="C6951" s="1342"/>
      <c r="D6951" s="1342"/>
      <c r="E6951" s="1342"/>
      <c r="F6951" s="1342"/>
      <c r="G6951" s="1342"/>
      <c r="H6951" s="1342"/>
      <c r="I6951" s="1342"/>
      <c r="J6951" s="1342"/>
      <c r="K6951" s="1342"/>
    </row>
    <row r="6952" spans="2:11" ht="14" hidden="1">
      <c r="B6952" s="1342"/>
      <c r="C6952" s="1342"/>
      <c r="D6952" s="1342"/>
      <c r="E6952" s="1342"/>
      <c r="F6952" s="1342"/>
      <c r="G6952" s="1342"/>
      <c r="H6952" s="1342"/>
      <c r="I6952" s="1342"/>
      <c r="J6952" s="1342"/>
      <c r="K6952" s="1342"/>
    </row>
    <row r="6953" spans="2:11" ht="14" hidden="1">
      <c r="B6953" s="1342"/>
      <c r="C6953" s="1342"/>
      <c r="D6953" s="1342"/>
      <c r="E6953" s="1342"/>
      <c r="F6953" s="1342"/>
      <c r="G6953" s="1342"/>
      <c r="H6953" s="1342"/>
      <c r="I6953" s="1342"/>
      <c r="J6953" s="1342"/>
      <c r="K6953" s="1342"/>
    </row>
    <row r="6954" spans="2:11" ht="14" hidden="1">
      <c r="B6954" s="1342"/>
      <c r="C6954" s="1342"/>
      <c r="D6954" s="1342"/>
      <c r="E6954" s="1342"/>
      <c r="F6954" s="1342"/>
      <c r="G6954" s="1342"/>
      <c r="H6954" s="1342"/>
      <c r="I6954" s="1342"/>
      <c r="J6954" s="1342"/>
      <c r="K6954" s="1342"/>
    </row>
    <row r="6955" spans="2:11" ht="14" hidden="1">
      <c r="B6955" s="1342"/>
      <c r="C6955" s="1342"/>
      <c r="D6955" s="1342"/>
      <c r="E6955" s="1342"/>
      <c r="F6955" s="1342"/>
      <c r="G6955" s="1342"/>
      <c r="H6955" s="1342"/>
      <c r="I6955" s="1342"/>
      <c r="J6955" s="1342"/>
      <c r="K6955" s="1342"/>
    </row>
    <row r="6956" spans="2:11" ht="14" hidden="1">
      <c r="B6956" s="1342"/>
      <c r="C6956" s="1342"/>
      <c r="D6956" s="1342"/>
      <c r="E6956" s="1342"/>
      <c r="F6956" s="1342"/>
      <c r="G6956" s="1342"/>
      <c r="H6956" s="1342"/>
      <c r="I6956" s="1342"/>
      <c r="J6956" s="1342"/>
      <c r="K6956" s="1342"/>
    </row>
    <row r="6957" spans="2:11" ht="14" hidden="1">
      <c r="B6957" s="1342"/>
      <c r="C6957" s="1342"/>
      <c r="D6957" s="1342"/>
      <c r="E6957" s="1342"/>
      <c r="F6957" s="1342"/>
      <c r="G6957" s="1342"/>
      <c r="H6957" s="1342"/>
      <c r="I6957" s="1342"/>
      <c r="J6957" s="1342"/>
      <c r="K6957" s="1342"/>
    </row>
    <row r="6958" spans="2:11" ht="14" hidden="1">
      <c r="B6958" s="1342"/>
      <c r="C6958" s="1342"/>
      <c r="D6958" s="1342"/>
      <c r="E6958" s="1342"/>
      <c r="F6958" s="1342"/>
      <c r="G6958" s="1342"/>
      <c r="H6958" s="1342"/>
      <c r="I6958" s="1342"/>
      <c r="J6958" s="1342"/>
      <c r="K6958" s="1342"/>
    </row>
    <row r="6959" spans="2:11" ht="14" hidden="1">
      <c r="B6959" s="1342"/>
      <c r="C6959" s="1342"/>
      <c r="D6959" s="1342"/>
      <c r="E6959" s="1342"/>
      <c r="F6959" s="1342"/>
      <c r="G6959" s="1342"/>
      <c r="H6959" s="1342"/>
      <c r="I6959" s="1342"/>
      <c r="J6959" s="1342"/>
      <c r="K6959" s="1342"/>
    </row>
    <row r="6960" spans="2:11" ht="14" hidden="1">
      <c r="B6960" s="1342"/>
      <c r="C6960" s="1342"/>
      <c r="D6960" s="1342"/>
      <c r="E6960" s="1342"/>
      <c r="F6960" s="1342"/>
      <c r="G6960" s="1342"/>
      <c r="H6960" s="1342"/>
      <c r="I6960" s="1342"/>
      <c r="J6960" s="1342"/>
      <c r="K6960" s="1342"/>
    </row>
    <row r="6961" spans="2:11" ht="14" hidden="1">
      <c r="B6961" s="1342"/>
      <c r="C6961" s="1342"/>
      <c r="D6961" s="1342"/>
      <c r="E6961" s="1342"/>
      <c r="F6961" s="1342"/>
      <c r="G6961" s="1342"/>
      <c r="H6961" s="1342"/>
      <c r="I6961" s="1342"/>
      <c r="J6961" s="1342"/>
      <c r="K6961" s="1342"/>
    </row>
    <row r="6962" spans="2:11" ht="14" hidden="1">
      <c r="B6962" s="1342"/>
      <c r="C6962" s="1342"/>
      <c r="D6962" s="1342"/>
      <c r="E6962" s="1342"/>
      <c r="F6962" s="1342"/>
      <c r="G6962" s="1342"/>
      <c r="H6962" s="1342"/>
      <c r="I6962" s="1342"/>
      <c r="J6962" s="1342"/>
      <c r="K6962" s="1342"/>
    </row>
    <row r="6963" spans="2:11" ht="14" hidden="1">
      <c r="B6963" s="1342"/>
      <c r="C6963" s="1342"/>
      <c r="D6963" s="1342"/>
      <c r="E6963" s="1342"/>
      <c r="F6963" s="1342"/>
      <c r="G6963" s="1342"/>
      <c r="H6963" s="1342"/>
      <c r="I6963" s="1342"/>
      <c r="J6963" s="1342"/>
      <c r="K6963" s="1342"/>
    </row>
    <row r="6964" spans="2:11" ht="14" hidden="1">
      <c r="B6964" s="1342"/>
      <c r="C6964" s="1342"/>
      <c r="D6964" s="1342"/>
      <c r="E6964" s="1342"/>
      <c r="F6964" s="1342"/>
      <c r="G6964" s="1342"/>
      <c r="H6964" s="1342"/>
      <c r="I6964" s="1342"/>
      <c r="J6964" s="1342"/>
      <c r="K6964" s="1342"/>
    </row>
    <row r="6965" spans="2:11" ht="14" hidden="1">
      <c r="B6965" s="1342"/>
      <c r="C6965" s="1342"/>
      <c r="D6965" s="1342"/>
      <c r="E6965" s="1342"/>
      <c r="F6965" s="1342"/>
      <c r="G6965" s="1342"/>
      <c r="H6965" s="1342"/>
      <c r="I6965" s="1342"/>
      <c r="J6965" s="1342"/>
      <c r="K6965" s="1342"/>
    </row>
    <row r="6966" spans="2:11" ht="14" hidden="1">
      <c r="B6966" s="1342"/>
      <c r="C6966" s="1342"/>
      <c r="D6966" s="1342"/>
      <c r="E6966" s="1342"/>
      <c r="F6966" s="1342"/>
      <c r="G6966" s="1342"/>
      <c r="H6966" s="1342"/>
      <c r="I6966" s="1342"/>
      <c r="J6966" s="1342"/>
      <c r="K6966" s="1342"/>
    </row>
    <row r="6967" spans="2:11" ht="14" hidden="1">
      <c r="B6967" s="1342"/>
      <c r="C6967" s="1342"/>
      <c r="D6967" s="1342"/>
      <c r="E6967" s="1342"/>
      <c r="F6967" s="1342"/>
      <c r="G6967" s="1342"/>
      <c r="H6967" s="1342"/>
      <c r="I6967" s="1342"/>
      <c r="J6967" s="1342"/>
      <c r="K6967" s="1342"/>
    </row>
    <row r="6968" spans="2:11" ht="14" hidden="1">
      <c r="B6968" s="1342"/>
      <c r="C6968" s="1342"/>
      <c r="D6968" s="1342"/>
      <c r="E6968" s="1342"/>
      <c r="F6968" s="1342"/>
      <c r="G6968" s="1342"/>
      <c r="H6968" s="1342"/>
      <c r="I6968" s="1342"/>
      <c r="J6968" s="1342"/>
      <c r="K6968" s="1342"/>
    </row>
    <row r="6969" spans="2:11" ht="14" hidden="1">
      <c r="B6969" s="1342"/>
      <c r="C6969" s="1342"/>
      <c r="D6969" s="1342"/>
      <c r="E6969" s="1342"/>
      <c r="F6969" s="1342"/>
      <c r="G6969" s="1342"/>
      <c r="H6969" s="1342"/>
      <c r="I6969" s="1342"/>
      <c r="J6969" s="1342"/>
      <c r="K6969" s="1342"/>
    </row>
    <row r="6970" spans="2:11" ht="14" hidden="1">
      <c r="B6970" s="1342"/>
      <c r="C6970" s="1342"/>
      <c r="D6970" s="1342"/>
      <c r="E6970" s="1342"/>
      <c r="F6970" s="1342"/>
      <c r="G6970" s="1342"/>
      <c r="H6970" s="1342"/>
      <c r="I6970" s="1342"/>
      <c r="J6970" s="1342"/>
      <c r="K6970" s="1342"/>
    </row>
    <row r="6971" spans="2:11" ht="14" hidden="1">
      <c r="B6971" s="1342"/>
      <c r="C6971" s="1342"/>
      <c r="D6971" s="1342"/>
      <c r="E6971" s="1342"/>
      <c r="F6971" s="1342"/>
      <c r="G6971" s="1342"/>
      <c r="H6971" s="1342"/>
      <c r="I6971" s="1342"/>
      <c r="J6971" s="1342"/>
      <c r="K6971" s="1342"/>
    </row>
    <row r="6972" spans="2:11" ht="14" hidden="1">
      <c r="B6972" s="1342"/>
      <c r="C6972" s="1342"/>
      <c r="D6972" s="1342"/>
      <c r="E6972" s="1342"/>
      <c r="F6972" s="1342"/>
      <c r="G6972" s="1342"/>
      <c r="H6972" s="1342"/>
      <c r="I6972" s="1342"/>
      <c r="J6972" s="1342"/>
      <c r="K6972" s="1342"/>
    </row>
    <row r="6973" spans="2:11" ht="14" hidden="1">
      <c r="B6973" s="1342"/>
      <c r="C6973" s="1342"/>
      <c r="D6973" s="1342"/>
      <c r="E6973" s="1342"/>
      <c r="F6973" s="1342"/>
      <c r="G6973" s="1342"/>
      <c r="H6973" s="1342"/>
      <c r="I6973" s="1342"/>
      <c r="J6973" s="1342"/>
      <c r="K6973" s="1342"/>
    </row>
    <row r="6974" spans="2:11" ht="14" hidden="1">
      <c r="B6974" s="1342"/>
      <c r="C6974" s="1342"/>
      <c r="D6974" s="1342"/>
      <c r="E6974" s="1342"/>
      <c r="F6974" s="1342"/>
      <c r="G6974" s="1342"/>
      <c r="H6974" s="1342"/>
      <c r="I6974" s="1342"/>
      <c r="J6974" s="1342"/>
      <c r="K6974" s="1342"/>
    </row>
    <row r="6975" spans="2:11" ht="14" hidden="1">
      <c r="B6975" s="1342"/>
      <c r="C6975" s="1342"/>
      <c r="D6975" s="1342"/>
      <c r="E6975" s="1342"/>
      <c r="F6975" s="1342"/>
      <c r="G6975" s="1342"/>
      <c r="H6975" s="1342"/>
      <c r="I6975" s="1342"/>
      <c r="J6975" s="1342"/>
      <c r="K6975" s="1342"/>
    </row>
    <row r="6976" spans="2:11" ht="14" hidden="1">
      <c r="B6976" s="1342"/>
      <c r="C6976" s="1342"/>
      <c r="D6976" s="1342"/>
      <c r="E6976" s="1342"/>
      <c r="F6976" s="1342"/>
      <c r="G6976" s="1342"/>
      <c r="H6976" s="1342"/>
      <c r="I6976" s="1342"/>
      <c r="J6976" s="1342"/>
      <c r="K6976" s="1342"/>
    </row>
    <row r="6977" spans="2:11" ht="14" hidden="1">
      <c r="B6977" s="1342"/>
      <c r="C6977" s="1342"/>
      <c r="D6977" s="1342"/>
      <c r="E6977" s="1342"/>
      <c r="F6977" s="1342"/>
      <c r="G6977" s="1342"/>
      <c r="H6977" s="1342"/>
      <c r="I6977" s="1342"/>
      <c r="J6977" s="1342"/>
      <c r="K6977" s="1342"/>
    </row>
    <row r="6978" spans="2:11" ht="14" hidden="1">
      <c r="B6978" s="1342"/>
      <c r="C6978" s="1342"/>
      <c r="D6978" s="1342"/>
      <c r="E6978" s="1342"/>
      <c r="F6978" s="1342"/>
      <c r="G6978" s="1342"/>
      <c r="H6978" s="1342"/>
      <c r="I6978" s="1342"/>
      <c r="J6978" s="1342"/>
      <c r="K6978" s="1342"/>
    </row>
    <row r="6979" spans="2:11" ht="14" hidden="1">
      <c r="B6979" s="1342"/>
      <c r="C6979" s="1342"/>
      <c r="D6979" s="1342"/>
      <c r="E6979" s="1342"/>
      <c r="F6979" s="1342"/>
      <c r="G6979" s="1342"/>
      <c r="H6979" s="1342"/>
      <c r="I6979" s="1342"/>
      <c r="J6979" s="1342"/>
      <c r="K6979" s="1342"/>
    </row>
    <row r="6980" spans="2:11" ht="14" hidden="1">
      <c r="B6980" s="1342"/>
      <c r="C6980" s="1342"/>
      <c r="D6980" s="1342"/>
      <c r="E6980" s="1342"/>
      <c r="F6980" s="1342"/>
      <c r="G6980" s="1342"/>
      <c r="H6980" s="1342"/>
      <c r="I6980" s="1342"/>
      <c r="J6980" s="1342"/>
      <c r="K6980" s="1342"/>
    </row>
    <row r="6981" spans="2:11" ht="14" hidden="1">
      <c r="B6981" s="1342"/>
      <c r="C6981" s="1342"/>
      <c r="D6981" s="1342"/>
      <c r="E6981" s="1342"/>
      <c r="F6981" s="1342"/>
      <c r="G6981" s="1342"/>
      <c r="H6981" s="1342"/>
      <c r="I6981" s="1342"/>
      <c r="J6981" s="1342"/>
      <c r="K6981" s="1342"/>
    </row>
    <row r="6982" spans="2:11" ht="14" hidden="1">
      <c r="B6982" s="1342"/>
      <c r="C6982" s="1342"/>
      <c r="D6982" s="1342"/>
      <c r="E6982" s="1342"/>
      <c r="F6982" s="1342"/>
      <c r="G6982" s="1342"/>
      <c r="H6982" s="1342"/>
      <c r="I6982" s="1342"/>
      <c r="J6982" s="1342"/>
      <c r="K6982" s="1342"/>
    </row>
    <row r="6983" spans="2:11" ht="14" hidden="1">
      <c r="B6983" s="1342"/>
      <c r="C6983" s="1342"/>
      <c r="D6983" s="1342"/>
      <c r="E6983" s="1342"/>
      <c r="F6983" s="1342"/>
      <c r="G6983" s="1342"/>
      <c r="H6983" s="1342"/>
      <c r="I6983" s="1342"/>
      <c r="J6983" s="1342"/>
      <c r="K6983" s="1342"/>
    </row>
    <row r="6984" spans="2:11" ht="14" hidden="1">
      <c r="B6984" s="1342"/>
      <c r="C6984" s="1342"/>
      <c r="D6984" s="1342"/>
      <c r="E6984" s="1342"/>
      <c r="F6984" s="1342"/>
      <c r="G6984" s="1342"/>
      <c r="H6984" s="1342"/>
      <c r="I6984" s="1342"/>
      <c r="J6984" s="1342"/>
      <c r="K6984" s="1342"/>
    </row>
    <row r="6985" spans="2:11" ht="14" hidden="1">
      <c r="B6985" s="1342"/>
      <c r="C6985" s="1342"/>
      <c r="D6985" s="1342"/>
      <c r="E6985" s="1342"/>
      <c r="F6985" s="1342"/>
      <c r="G6985" s="1342"/>
      <c r="H6985" s="1342"/>
      <c r="I6985" s="1342"/>
      <c r="J6985" s="1342"/>
      <c r="K6985" s="1342"/>
    </row>
    <row r="6986" spans="2:11" ht="14" hidden="1">
      <c r="B6986" s="1342"/>
      <c r="C6986" s="1342"/>
      <c r="D6986" s="1342"/>
      <c r="E6986" s="1342"/>
      <c r="F6986" s="1342"/>
      <c r="G6986" s="1342"/>
      <c r="H6986" s="1342"/>
      <c r="I6986" s="1342"/>
      <c r="J6986" s="1342"/>
      <c r="K6986" s="1342"/>
    </row>
    <row r="6987" spans="2:11" ht="14" hidden="1">
      <c r="B6987" s="1342"/>
      <c r="C6987" s="1342"/>
      <c r="D6987" s="1342"/>
      <c r="E6987" s="1342"/>
      <c r="F6987" s="1342"/>
      <c r="G6987" s="1342"/>
      <c r="H6987" s="1342"/>
      <c r="I6987" s="1342"/>
      <c r="J6987" s="1342"/>
      <c r="K6987" s="1342"/>
    </row>
    <row r="6988" spans="2:11" ht="14" hidden="1">
      <c r="B6988" s="1342"/>
      <c r="C6988" s="1342"/>
      <c r="D6988" s="1342"/>
      <c r="E6988" s="1342"/>
      <c r="F6988" s="1342"/>
      <c r="G6988" s="1342"/>
      <c r="H6988" s="1342"/>
      <c r="I6988" s="1342"/>
      <c r="J6988" s="1342"/>
      <c r="K6988" s="1342"/>
    </row>
    <row r="6989" spans="2:11" ht="14" hidden="1">
      <c r="B6989" s="1342"/>
      <c r="C6989" s="1342"/>
      <c r="D6989" s="1342"/>
      <c r="E6989" s="1342"/>
      <c r="F6989" s="1342"/>
      <c r="G6989" s="1342"/>
      <c r="H6989" s="1342"/>
      <c r="I6989" s="1342"/>
      <c r="J6989" s="1342"/>
      <c r="K6989" s="1342"/>
    </row>
    <row r="6990" spans="2:11" ht="14" hidden="1">
      <c r="B6990" s="1342"/>
      <c r="C6990" s="1342"/>
      <c r="D6990" s="1342"/>
      <c r="E6990" s="1342"/>
      <c r="F6990" s="1342"/>
      <c r="G6990" s="1342"/>
      <c r="H6990" s="1342"/>
      <c r="I6990" s="1342"/>
      <c r="J6990" s="1342"/>
      <c r="K6990" s="1342"/>
    </row>
    <row r="6991" spans="2:11" ht="14" hidden="1">
      <c r="B6991" s="1342"/>
      <c r="C6991" s="1342"/>
      <c r="D6991" s="1342"/>
      <c r="E6991" s="1342"/>
      <c r="F6991" s="1342"/>
      <c r="G6991" s="1342"/>
      <c r="H6991" s="1342"/>
      <c r="I6991" s="1342"/>
      <c r="J6991" s="1342"/>
      <c r="K6991" s="1342"/>
    </row>
    <row r="6992" spans="2:11" ht="14" hidden="1">
      <c r="B6992" s="1342"/>
      <c r="C6992" s="1342"/>
      <c r="D6992" s="1342"/>
      <c r="E6992" s="1342"/>
      <c r="F6992" s="1342"/>
      <c r="G6992" s="1342"/>
      <c r="H6992" s="1342"/>
      <c r="I6992" s="1342"/>
      <c r="J6992" s="1342"/>
      <c r="K6992" s="1342"/>
    </row>
    <row r="6993" spans="2:11" ht="14" hidden="1">
      <c r="B6993" s="1342"/>
      <c r="C6993" s="1342"/>
      <c r="D6993" s="1342"/>
      <c r="E6993" s="1342"/>
      <c r="F6993" s="1342"/>
      <c r="G6993" s="1342"/>
      <c r="H6993" s="1342"/>
      <c r="I6993" s="1342"/>
      <c r="J6993" s="1342"/>
      <c r="K6993" s="1342"/>
    </row>
    <row r="6994" spans="2:11" ht="14" hidden="1">
      <c r="B6994" s="1342"/>
      <c r="C6994" s="1342"/>
      <c r="D6994" s="1342"/>
      <c r="E6994" s="1342"/>
      <c r="F6994" s="1342"/>
      <c r="G6994" s="1342"/>
      <c r="H6994" s="1342"/>
      <c r="I6994" s="1342"/>
      <c r="J6994" s="1342"/>
      <c r="K6994" s="1342"/>
    </row>
    <row r="6995" spans="2:11" ht="14" hidden="1">
      <c r="B6995" s="1342"/>
      <c r="C6995" s="1342"/>
      <c r="D6995" s="1342"/>
      <c r="E6995" s="1342"/>
      <c r="F6995" s="1342"/>
      <c r="G6995" s="1342"/>
      <c r="H6995" s="1342"/>
      <c r="I6995" s="1342"/>
      <c r="J6995" s="1342"/>
      <c r="K6995" s="1342"/>
    </row>
    <row r="6996" spans="2:11" ht="14" hidden="1">
      <c r="B6996" s="1342"/>
      <c r="C6996" s="1342"/>
      <c r="D6996" s="1342"/>
      <c r="E6996" s="1342"/>
      <c r="F6996" s="1342"/>
      <c r="G6996" s="1342"/>
      <c r="H6996" s="1342"/>
      <c r="I6996" s="1342"/>
      <c r="J6996" s="1342"/>
      <c r="K6996" s="1342"/>
    </row>
    <row r="6997" spans="2:11" ht="14" hidden="1">
      <c r="B6997" s="1342"/>
      <c r="C6997" s="1342"/>
      <c r="D6997" s="1342"/>
      <c r="E6997" s="1342"/>
      <c r="F6997" s="1342"/>
      <c r="G6997" s="1342"/>
      <c r="H6997" s="1342"/>
      <c r="I6997" s="1342"/>
      <c r="J6997" s="1342"/>
      <c r="K6997" s="1342"/>
    </row>
    <row r="6998" spans="2:11" ht="14" hidden="1">
      <c r="B6998" s="1342"/>
      <c r="C6998" s="1342"/>
      <c r="D6998" s="1342"/>
      <c r="E6998" s="1342"/>
      <c r="F6998" s="1342"/>
      <c r="G6998" s="1342"/>
      <c r="H6998" s="1342"/>
      <c r="I6998" s="1342"/>
      <c r="J6998" s="1342"/>
      <c r="K6998" s="1342"/>
    </row>
    <row r="6999" spans="2:11" ht="14" hidden="1">
      <c r="B6999" s="1342"/>
      <c r="C6999" s="1342"/>
      <c r="D6999" s="1342"/>
      <c r="E6999" s="1342"/>
      <c r="F6999" s="1342"/>
      <c r="G6999" s="1342"/>
      <c r="H6999" s="1342"/>
      <c r="I6999" s="1342"/>
      <c r="J6999" s="1342"/>
      <c r="K6999" s="1342"/>
    </row>
    <row r="7000" spans="2:11" ht="14" hidden="1">
      <c r="B7000" s="1342"/>
      <c r="C7000" s="1342"/>
      <c r="D7000" s="1342"/>
      <c r="E7000" s="1342"/>
      <c r="F7000" s="1342"/>
      <c r="G7000" s="1342"/>
      <c r="H7000" s="1342"/>
      <c r="I7000" s="1342"/>
      <c r="J7000" s="1342"/>
      <c r="K7000" s="1342"/>
    </row>
    <row r="7001" spans="2:11" ht="14" hidden="1">
      <c r="B7001" s="1342"/>
      <c r="C7001" s="1342"/>
      <c r="D7001" s="1342"/>
      <c r="E7001" s="1342"/>
      <c r="F7001" s="1342"/>
      <c r="G7001" s="1342"/>
      <c r="H7001" s="1342"/>
      <c r="I7001" s="1342"/>
      <c r="J7001" s="1342"/>
      <c r="K7001" s="1342"/>
    </row>
    <row r="7002" spans="2:11" ht="14" hidden="1">
      <c r="B7002" s="1342"/>
      <c r="C7002" s="1342"/>
      <c r="D7002" s="1342"/>
      <c r="E7002" s="1342"/>
      <c r="F7002" s="1342"/>
      <c r="G7002" s="1342"/>
      <c r="H7002" s="1342"/>
      <c r="I7002" s="1342"/>
      <c r="J7002" s="1342"/>
      <c r="K7002" s="1342"/>
    </row>
    <row r="7003" spans="2:11" ht="14" hidden="1">
      <c r="B7003" s="1342"/>
      <c r="C7003" s="1342"/>
      <c r="D7003" s="1342"/>
      <c r="E7003" s="1342"/>
      <c r="F7003" s="1342"/>
      <c r="G7003" s="1342"/>
      <c r="H7003" s="1342"/>
      <c r="I7003" s="1342"/>
      <c r="J7003" s="1342"/>
      <c r="K7003" s="1342"/>
    </row>
    <row r="7004" spans="2:11" ht="14" hidden="1">
      <c r="B7004" s="1342"/>
      <c r="C7004" s="1342"/>
      <c r="D7004" s="1342"/>
      <c r="E7004" s="1342"/>
      <c r="F7004" s="1342"/>
      <c r="G7004" s="1342"/>
      <c r="H7004" s="1342"/>
      <c r="I7004" s="1342"/>
      <c r="J7004" s="1342"/>
      <c r="K7004" s="1342"/>
    </row>
    <row r="7005" spans="2:11" ht="14" hidden="1">
      <c r="B7005" s="1342"/>
      <c r="C7005" s="1342"/>
      <c r="D7005" s="1342"/>
      <c r="E7005" s="1342"/>
      <c r="F7005" s="1342"/>
      <c r="G7005" s="1342"/>
      <c r="H7005" s="1342"/>
      <c r="I7005" s="1342"/>
      <c r="J7005" s="1342"/>
      <c r="K7005" s="1342"/>
    </row>
    <row r="7006" spans="2:11" ht="14" hidden="1">
      <c r="B7006" s="1342"/>
      <c r="C7006" s="1342"/>
      <c r="D7006" s="1342"/>
      <c r="E7006" s="1342"/>
      <c r="F7006" s="1342"/>
      <c r="G7006" s="1342"/>
      <c r="H7006" s="1342"/>
      <c r="I7006" s="1342"/>
      <c r="J7006" s="1342"/>
      <c r="K7006" s="1342"/>
    </row>
    <row r="7007" spans="2:11" ht="14" hidden="1">
      <c r="B7007" s="1342"/>
      <c r="C7007" s="1342"/>
      <c r="D7007" s="1342"/>
      <c r="E7007" s="1342"/>
      <c r="F7007" s="1342"/>
      <c r="G7007" s="1342"/>
      <c r="H7007" s="1342"/>
      <c r="I7007" s="1342"/>
      <c r="J7007" s="1342"/>
      <c r="K7007" s="1342"/>
    </row>
    <row r="7008" spans="2:11" ht="14" hidden="1">
      <c r="B7008" s="1342"/>
      <c r="C7008" s="1342"/>
      <c r="D7008" s="1342"/>
      <c r="E7008" s="1342"/>
      <c r="F7008" s="1342"/>
      <c r="G7008" s="1342"/>
      <c r="H7008" s="1342"/>
      <c r="I7008" s="1342"/>
      <c r="J7008" s="1342"/>
      <c r="K7008" s="1342"/>
    </row>
    <row r="7009" spans="2:11" ht="14" hidden="1">
      <c r="B7009" s="1342"/>
      <c r="C7009" s="1342"/>
      <c r="D7009" s="1342"/>
      <c r="E7009" s="1342"/>
      <c r="F7009" s="1342"/>
      <c r="G7009" s="1342"/>
      <c r="H7009" s="1342"/>
      <c r="I7009" s="1342"/>
      <c r="J7009" s="1342"/>
      <c r="K7009" s="1342"/>
    </row>
    <row r="7010" spans="2:11" ht="14" hidden="1">
      <c r="B7010" s="1342"/>
      <c r="C7010" s="1342"/>
      <c r="D7010" s="1342"/>
      <c r="E7010" s="1342"/>
      <c r="F7010" s="1342"/>
      <c r="G7010" s="1342"/>
      <c r="H7010" s="1342"/>
      <c r="I7010" s="1342"/>
      <c r="J7010" s="1342"/>
      <c r="K7010" s="1342"/>
    </row>
    <row r="7011" spans="2:11" ht="14" hidden="1">
      <c r="B7011" s="1342"/>
      <c r="C7011" s="1342"/>
      <c r="D7011" s="1342"/>
      <c r="E7011" s="1342"/>
      <c r="F7011" s="1342"/>
      <c r="G7011" s="1342"/>
      <c r="H7011" s="1342"/>
      <c r="I7011" s="1342"/>
      <c r="J7011" s="1342"/>
      <c r="K7011" s="1342"/>
    </row>
    <row r="7012" spans="2:11" ht="14" hidden="1">
      <c r="B7012" s="1342"/>
      <c r="C7012" s="1342"/>
      <c r="D7012" s="1342"/>
      <c r="E7012" s="1342"/>
      <c r="F7012" s="1342"/>
      <c r="G7012" s="1342"/>
      <c r="H7012" s="1342"/>
      <c r="I7012" s="1342"/>
      <c r="J7012" s="1342"/>
      <c r="K7012" s="1342"/>
    </row>
    <row r="7013" spans="2:11" ht="14" hidden="1">
      <c r="B7013" s="1342"/>
      <c r="C7013" s="1342"/>
      <c r="D7013" s="1342"/>
      <c r="E7013" s="1342"/>
      <c r="F7013" s="1342"/>
      <c r="G7013" s="1342"/>
      <c r="H7013" s="1342"/>
      <c r="I7013" s="1342"/>
      <c r="J7013" s="1342"/>
      <c r="K7013" s="1342"/>
    </row>
    <row r="7014" spans="2:11" ht="14" hidden="1">
      <c r="B7014" s="1342"/>
      <c r="C7014" s="1342"/>
      <c r="D7014" s="1342"/>
      <c r="E7014" s="1342"/>
      <c r="F7014" s="1342"/>
      <c r="G7014" s="1342"/>
      <c r="H7014" s="1342"/>
      <c r="I7014" s="1342"/>
      <c r="J7014" s="1342"/>
      <c r="K7014" s="1342"/>
    </row>
    <row r="7015" spans="2:11" ht="14" hidden="1">
      <c r="B7015" s="1342"/>
      <c r="C7015" s="1342"/>
      <c r="D7015" s="1342"/>
      <c r="E7015" s="1342"/>
      <c r="F7015" s="1342"/>
      <c r="G7015" s="1342"/>
      <c r="H7015" s="1342"/>
      <c r="I7015" s="1342"/>
      <c r="J7015" s="1342"/>
      <c r="K7015" s="1342"/>
    </row>
    <row r="7016" spans="2:11" ht="14" hidden="1">
      <c r="B7016" s="1342"/>
      <c r="C7016" s="1342"/>
      <c r="D7016" s="1342"/>
      <c r="E7016" s="1342"/>
      <c r="F7016" s="1342"/>
      <c r="G7016" s="1342"/>
      <c r="H7016" s="1342"/>
      <c r="I7016" s="1342"/>
      <c r="J7016" s="1342"/>
      <c r="K7016" s="1342"/>
    </row>
    <row r="7017" spans="2:11" ht="14" hidden="1">
      <c r="B7017" s="1342"/>
      <c r="C7017" s="1342"/>
      <c r="D7017" s="1342"/>
      <c r="E7017" s="1342"/>
      <c r="F7017" s="1342"/>
      <c r="G7017" s="1342"/>
      <c r="H7017" s="1342"/>
      <c r="I7017" s="1342"/>
      <c r="J7017" s="1342"/>
      <c r="K7017" s="1342"/>
    </row>
    <row r="7018" spans="2:11" ht="14" hidden="1">
      <c r="B7018" s="1342"/>
      <c r="C7018" s="1342"/>
      <c r="D7018" s="1342"/>
      <c r="E7018" s="1342"/>
      <c r="F7018" s="1342"/>
      <c r="G7018" s="1342"/>
      <c r="H7018" s="1342"/>
      <c r="I7018" s="1342"/>
      <c r="J7018" s="1342"/>
      <c r="K7018" s="1342"/>
    </row>
    <row r="7019" spans="2:11" ht="14" hidden="1">
      <c r="B7019" s="1342"/>
      <c r="C7019" s="1342"/>
      <c r="D7019" s="1342"/>
      <c r="E7019" s="1342"/>
      <c r="F7019" s="1342"/>
      <c r="G7019" s="1342"/>
      <c r="H7019" s="1342"/>
      <c r="I7019" s="1342"/>
      <c r="J7019" s="1342"/>
      <c r="K7019" s="1342"/>
    </row>
    <row r="7020" spans="2:11" ht="14" hidden="1">
      <c r="B7020" s="1342"/>
      <c r="C7020" s="1342"/>
      <c r="D7020" s="1342"/>
      <c r="E7020" s="1342"/>
      <c r="F7020" s="1342"/>
      <c r="G7020" s="1342"/>
      <c r="H7020" s="1342"/>
      <c r="I7020" s="1342"/>
      <c r="J7020" s="1342"/>
      <c r="K7020" s="1342"/>
    </row>
    <row r="7021" spans="2:11" ht="14" hidden="1">
      <c r="B7021" s="1342"/>
      <c r="C7021" s="1342"/>
      <c r="D7021" s="1342"/>
      <c r="E7021" s="1342"/>
      <c r="F7021" s="1342"/>
      <c r="G7021" s="1342"/>
      <c r="H7021" s="1342"/>
      <c r="I7021" s="1342"/>
      <c r="J7021" s="1342"/>
      <c r="K7021" s="1342"/>
    </row>
    <row r="7022" spans="2:11" ht="14" hidden="1">
      <c r="B7022" s="1342"/>
      <c r="C7022" s="1342"/>
      <c r="D7022" s="1342"/>
      <c r="E7022" s="1342"/>
      <c r="F7022" s="1342"/>
      <c r="G7022" s="1342"/>
      <c r="H7022" s="1342"/>
      <c r="I7022" s="1342"/>
      <c r="J7022" s="1342"/>
      <c r="K7022" s="1342"/>
    </row>
    <row r="7023" spans="2:11" ht="14" hidden="1">
      <c r="B7023" s="1342"/>
      <c r="C7023" s="1342"/>
      <c r="D7023" s="1342"/>
      <c r="E7023" s="1342"/>
      <c r="F7023" s="1342"/>
      <c r="G7023" s="1342"/>
      <c r="H7023" s="1342"/>
      <c r="I7023" s="1342"/>
      <c r="J7023" s="1342"/>
      <c r="K7023" s="1342"/>
    </row>
    <row r="7024" spans="2:11" ht="14" hidden="1">
      <c r="B7024" s="1342"/>
      <c r="C7024" s="1342"/>
      <c r="D7024" s="1342"/>
      <c r="E7024" s="1342"/>
      <c r="F7024" s="1342"/>
      <c r="G7024" s="1342"/>
      <c r="H7024" s="1342"/>
      <c r="I7024" s="1342"/>
      <c r="J7024" s="1342"/>
      <c r="K7024" s="1342"/>
    </row>
    <row r="7025" spans="2:11" ht="14" hidden="1">
      <c r="B7025" s="1342"/>
      <c r="C7025" s="1342"/>
      <c r="D7025" s="1342"/>
      <c r="E7025" s="1342"/>
      <c r="F7025" s="1342"/>
      <c r="G7025" s="1342"/>
      <c r="H7025" s="1342"/>
      <c r="I7025" s="1342"/>
      <c r="J7025" s="1342"/>
      <c r="K7025" s="1342"/>
    </row>
    <row r="7026" spans="2:11" ht="14" hidden="1">
      <c r="B7026" s="1342"/>
      <c r="C7026" s="1342"/>
      <c r="D7026" s="1342"/>
      <c r="E7026" s="1342"/>
      <c r="F7026" s="1342"/>
      <c r="G7026" s="1342"/>
      <c r="H7026" s="1342"/>
      <c r="I7026" s="1342"/>
      <c r="J7026" s="1342"/>
      <c r="K7026" s="1342"/>
    </row>
    <row r="7027" spans="2:11" ht="14" hidden="1">
      <c r="B7027" s="1342"/>
      <c r="C7027" s="1342"/>
      <c r="D7027" s="1342"/>
      <c r="E7027" s="1342"/>
      <c r="F7027" s="1342"/>
      <c r="G7027" s="1342"/>
      <c r="H7027" s="1342"/>
      <c r="I7027" s="1342"/>
      <c r="J7027" s="1342"/>
      <c r="K7027" s="1342"/>
    </row>
    <row r="7028" spans="2:11" ht="14" hidden="1">
      <c r="B7028" s="1342"/>
      <c r="C7028" s="1342"/>
      <c r="D7028" s="1342"/>
      <c r="E7028" s="1342"/>
      <c r="F7028" s="1342"/>
      <c r="G7028" s="1342"/>
      <c r="H7028" s="1342"/>
      <c r="I7028" s="1342"/>
      <c r="J7028" s="1342"/>
      <c r="K7028" s="1342"/>
    </row>
    <row r="7029" spans="2:11" ht="14" hidden="1">
      <c r="B7029" s="1342"/>
      <c r="C7029" s="1342"/>
      <c r="D7029" s="1342"/>
      <c r="E7029" s="1342"/>
      <c r="F7029" s="1342"/>
      <c r="G7029" s="1342"/>
      <c r="H7029" s="1342"/>
      <c r="I7029" s="1342"/>
      <c r="J7029" s="1342"/>
      <c r="K7029" s="1342"/>
    </row>
    <row r="7030" spans="2:11" ht="14" hidden="1">
      <c r="B7030" s="1342"/>
      <c r="C7030" s="1342"/>
      <c r="D7030" s="1342"/>
      <c r="E7030" s="1342"/>
      <c r="F7030" s="1342"/>
      <c r="G7030" s="1342"/>
      <c r="H7030" s="1342"/>
      <c r="I7030" s="1342"/>
      <c r="J7030" s="1342"/>
      <c r="K7030" s="1342"/>
    </row>
    <row r="7031" spans="2:11" ht="14" hidden="1">
      <c r="B7031" s="1342"/>
      <c r="C7031" s="1342"/>
      <c r="D7031" s="1342"/>
      <c r="E7031" s="1342"/>
      <c r="F7031" s="1342"/>
      <c r="G7031" s="1342"/>
      <c r="H7031" s="1342"/>
      <c r="I7031" s="1342"/>
      <c r="J7031" s="1342"/>
      <c r="K7031" s="1342"/>
    </row>
    <row r="7032" spans="2:11" ht="14" hidden="1">
      <c r="B7032" s="1342"/>
      <c r="C7032" s="1342"/>
      <c r="D7032" s="1342"/>
      <c r="E7032" s="1342"/>
      <c r="F7032" s="1342"/>
      <c r="G7032" s="1342"/>
      <c r="H7032" s="1342"/>
      <c r="I7032" s="1342"/>
      <c r="J7032" s="1342"/>
      <c r="K7032" s="1342"/>
    </row>
    <row r="7033" spans="2:11" ht="14" hidden="1">
      <c r="B7033" s="1342"/>
      <c r="C7033" s="1342"/>
      <c r="D7033" s="1342"/>
      <c r="E7033" s="1342"/>
      <c r="F7033" s="1342"/>
      <c r="G7033" s="1342"/>
      <c r="H7033" s="1342"/>
      <c r="I7033" s="1342"/>
      <c r="J7033" s="1342"/>
      <c r="K7033" s="1342"/>
    </row>
    <row r="7034" spans="2:11" ht="14" hidden="1">
      <c r="B7034" s="1342"/>
      <c r="C7034" s="1342"/>
      <c r="D7034" s="1342"/>
      <c r="E7034" s="1342"/>
      <c r="F7034" s="1342"/>
      <c r="G7034" s="1342"/>
      <c r="H7034" s="1342"/>
      <c r="I7034" s="1342"/>
      <c r="J7034" s="1342"/>
      <c r="K7034" s="1342"/>
    </row>
    <row r="7035" spans="2:11" ht="14" hidden="1">
      <c r="B7035" s="1342"/>
      <c r="C7035" s="1342"/>
      <c r="D7035" s="1342"/>
      <c r="E7035" s="1342"/>
      <c r="F7035" s="1342"/>
      <c r="G7035" s="1342"/>
      <c r="H7035" s="1342"/>
      <c r="I7035" s="1342"/>
      <c r="J7035" s="1342"/>
      <c r="K7035" s="1342"/>
    </row>
    <row r="7036" spans="2:11" ht="14" hidden="1">
      <c r="B7036" s="1342"/>
      <c r="C7036" s="1342"/>
      <c r="D7036" s="1342"/>
      <c r="E7036" s="1342"/>
      <c r="F7036" s="1342"/>
      <c r="G7036" s="1342"/>
      <c r="H7036" s="1342"/>
      <c r="I7036" s="1342"/>
      <c r="J7036" s="1342"/>
      <c r="K7036" s="1342"/>
    </row>
    <row r="7037" spans="2:11" ht="14" hidden="1">
      <c r="B7037" s="1342"/>
      <c r="C7037" s="1342"/>
      <c r="D7037" s="1342"/>
      <c r="E7037" s="1342"/>
      <c r="F7037" s="1342"/>
      <c r="G7037" s="1342"/>
      <c r="H7037" s="1342"/>
      <c r="I7037" s="1342"/>
      <c r="J7037" s="1342"/>
      <c r="K7037" s="1342"/>
    </row>
    <row r="7038" spans="2:11" ht="14" hidden="1">
      <c r="B7038" s="1342"/>
      <c r="C7038" s="1342"/>
      <c r="D7038" s="1342"/>
      <c r="E7038" s="1342"/>
      <c r="F7038" s="1342"/>
      <c r="G7038" s="1342"/>
      <c r="H7038" s="1342"/>
      <c r="I7038" s="1342"/>
      <c r="J7038" s="1342"/>
      <c r="K7038" s="1342"/>
    </row>
    <row r="7039" spans="2:11" ht="14" hidden="1">
      <c r="B7039" s="1342"/>
      <c r="C7039" s="1342"/>
      <c r="D7039" s="1342"/>
      <c r="E7039" s="1342"/>
      <c r="F7039" s="1342"/>
      <c r="G7039" s="1342"/>
      <c r="H7039" s="1342"/>
      <c r="I7039" s="1342"/>
      <c r="J7039" s="1342"/>
      <c r="K7039" s="1342"/>
    </row>
    <row r="7040" spans="2:11" ht="14" hidden="1">
      <c r="B7040" s="1342"/>
      <c r="C7040" s="1342"/>
      <c r="D7040" s="1342"/>
      <c r="E7040" s="1342"/>
      <c r="F7040" s="1342"/>
      <c r="G7040" s="1342"/>
      <c r="H7040" s="1342"/>
      <c r="I7040" s="1342"/>
      <c r="J7040" s="1342"/>
      <c r="K7040" s="1342"/>
    </row>
    <row r="7041" spans="2:11" ht="14" hidden="1">
      <c r="B7041" s="1342"/>
      <c r="C7041" s="1342"/>
      <c r="D7041" s="1342"/>
      <c r="E7041" s="1342"/>
      <c r="F7041" s="1342"/>
      <c r="G7041" s="1342"/>
      <c r="H7041" s="1342"/>
      <c r="I7041" s="1342"/>
      <c r="J7041" s="1342"/>
      <c r="K7041" s="1342"/>
    </row>
    <row r="7042" spans="2:11" ht="14" hidden="1">
      <c r="B7042" s="1342"/>
      <c r="C7042" s="1342"/>
      <c r="D7042" s="1342"/>
      <c r="E7042" s="1342"/>
      <c r="F7042" s="1342"/>
      <c r="G7042" s="1342"/>
      <c r="H7042" s="1342"/>
      <c r="I7042" s="1342"/>
      <c r="J7042" s="1342"/>
      <c r="K7042" s="1342"/>
    </row>
    <row r="7043" spans="2:11" ht="14" hidden="1">
      <c r="B7043" s="1342"/>
      <c r="C7043" s="1342"/>
      <c r="D7043" s="1342"/>
      <c r="E7043" s="1342"/>
      <c r="F7043" s="1342"/>
      <c r="G7043" s="1342"/>
      <c r="H7043" s="1342"/>
      <c r="I7043" s="1342"/>
      <c r="J7043" s="1342"/>
      <c r="K7043" s="1342"/>
    </row>
    <row r="7044" spans="2:11" ht="14" hidden="1">
      <c r="B7044" s="1342"/>
      <c r="C7044" s="1342"/>
      <c r="D7044" s="1342"/>
      <c r="E7044" s="1342"/>
      <c r="F7044" s="1342"/>
      <c r="G7044" s="1342"/>
      <c r="H7044" s="1342"/>
      <c r="I7044" s="1342"/>
      <c r="J7044" s="1342"/>
      <c r="K7044" s="1342"/>
    </row>
    <row r="7045" spans="2:11" ht="14" hidden="1">
      <c r="B7045" s="1342"/>
      <c r="C7045" s="1342"/>
      <c r="D7045" s="1342"/>
      <c r="E7045" s="1342"/>
      <c r="F7045" s="1342"/>
      <c r="G7045" s="1342"/>
      <c r="H7045" s="1342"/>
      <c r="I7045" s="1342"/>
      <c r="J7045" s="1342"/>
      <c r="K7045" s="1342"/>
    </row>
    <row r="7046" spans="2:11" ht="14" hidden="1">
      <c r="B7046" s="1342"/>
      <c r="C7046" s="1342"/>
      <c r="D7046" s="1342"/>
      <c r="E7046" s="1342"/>
      <c r="F7046" s="1342"/>
      <c r="G7046" s="1342"/>
      <c r="H7046" s="1342"/>
      <c r="I7046" s="1342"/>
      <c r="J7046" s="1342"/>
      <c r="K7046" s="1342"/>
    </row>
    <row r="7047" spans="2:11" ht="14" hidden="1">
      <c r="B7047" s="1342"/>
      <c r="C7047" s="1342"/>
      <c r="D7047" s="1342"/>
      <c r="E7047" s="1342"/>
      <c r="F7047" s="1342"/>
      <c r="G7047" s="1342"/>
      <c r="H7047" s="1342"/>
      <c r="I7047" s="1342"/>
      <c r="J7047" s="1342"/>
      <c r="K7047" s="1342"/>
    </row>
    <row r="7048" spans="2:11" ht="14" hidden="1">
      <c r="B7048" s="1342"/>
      <c r="C7048" s="1342"/>
      <c r="D7048" s="1342"/>
      <c r="E7048" s="1342"/>
      <c r="F7048" s="1342"/>
      <c r="G7048" s="1342"/>
      <c r="H7048" s="1342"/>
      <c r="I7048" s="1342"/>
      <c r="J7048" s="1342"/>
      <c r="K7048" s="1342"/>
    </row>
    <row r="7049" spans="2:11" ht="14" hidden="1">
      <c r="B7049" s="1342"/>
      <c r="C7049" s="1342"/>
      <c r="D7049" s="1342"/>
      <c r="E7049" s="1342"/>
      <c r="F7049" s="1342"/>
      <c r="G7049" s="1342"/>
      <c r="H7049" s="1342"/>
      <c r="I7049" s="1342"/>
      <c r="J7049" s="1342"/>
      <c r="K7049" s="1342"/>
    </row>
    <row r="7050" spans="2:11" ht="14" hidden="1">
      <c r="B7050" s="1342"/>
      <c r="C7050" s="1342"/>
      <c r="D7050" s="1342"/>
      <c r="E7050" s="1342"/>
      <c r="F7050" s="1342"/>
      <c r="G7050" s="1342"/>
      <c r="H7050" s="1342"/>
      <c r="I7050" s="1342"/>
      <c r="J7050" s="1342"/>
      <c r="K7050" s="1342"/>
    </row>
    <row r="7051" spans="2:11" ht="14" hidden="1">
      <c r="B7051" s="1342"/>
      <c r="C7051" s="1342"/>
      <c r="D7051" s="1342"/>
      <c r="E7051" s="1342"/>
      <c r="F7051" s="1342"/>
      <c r="G7051" s="1342"/>
      <c r="H7051" s="1342"/>
      <c r="I7051" s="1342"/>
      <c r="J7051" s="1342"/>
      <c r="K7051" s="1342"/>
    </row>
    <row r="7052" spans="2:11" ht="14" hidden="1">
      <c r="B7052" s="1342"/>
      <c r="C7052" s="1342"/>
      <c r="D7052" s="1342"/>
      <c r="E7052" s="1342"/>
      <c r="F7052" s="1342"/>
      <c r="G7052" s="1342"/>
      <c r="H7052" s="1342"/>
      <c r="I7052" s="1342"/>
      <c r="J7052" s="1342"/>
      <c r="K7052" s="1342"/>
    </row>
    <row r="7053" spans="2:11" ht="14" hidden="1">
      <c r="B7053" s="1342"/>
      <c r="C7053" s="1342"/>
      <c r="D7053" s="1342"/>
      <c r="E7053" s="1342"/>
      <c r="F7053" s="1342"/>
      <c r="G7053" s="1342"/>
      <c r="H7053" s="1342"/>
      <c r="I7053" s="1342"/>
      <c r="J7053" s="1342"/>
      <c r="K7053" s="1342"/>
    </row>
    <row r="7054" spans="2:11" ht="14" hidden="1">
      <c r="B7054" s="1342"/>
      <c r="C7054" s="1342"/>
      <c r="D7054" s="1342"/>
      <c r="E7054" s="1342"/>
      <c r="F7054" s="1342"/>
      <c r="G7054" s="1342"/>
      <c r="H7054" s="1342"/>
      <c r="I7054" s="1342"/>
      <c r="J7054" s="1342"/>
      <c r="K7054" s="1342"/>
    </row>
    <row r="7055" spans="2:11" ht="14" hidden="1">
      <c r="B7055" s="1342"/>
      <c r="C7055" s="1342"/>
      <c r="D7055" s="1342"/>
      <c r="E7055" s="1342"/>
      <c r="F7055" s="1342"/>
      <c r="G7055" s="1342"/>
      <c r="H7055" s="1342"/>
      <c r="I7055" s="1342"/>
      <c r="J7055" s="1342"/>
      <c r="K7055" s="1342"/>
    </row>
    <row r="7056" spans="2:11" ht="14" hidden="1">
      <c r="B7056" s="1342"/>
      <c r="C7056" s="1342"/>
      <c r="D7056" s="1342"/>
      <c r="E7056" s="1342"/>
      <c r="F7056" s="1342"/>
      <c r="G7056" s="1342"/>
      <c r="H7056" s="1342"/>
      <c r="I7056" s="1342"/>
      <c r="J7056" s="1342"/>
      <c r="K7056" s="1342"/>
    </row>
    <row r="7057" spans="2:11" ht="14" hidden="1">
      <c r="B7057" s="1342"/>
      <c r="C7057" s="1342"/>
      <c r="D7057" s="1342"/>
      <c r="E7057" s="1342"/>
      <c r="F7057" s="1342"/>
      <c r="G7057" s="1342"/>
      <c r="H7057" s="1342"/>
      <c r="I7057" s="1342"/>
      <c r="J7057" s="1342"/>
      <c r="K7057" s="1342"/>
    </row>
    <row r="7058" spans="2:11" ht="14" hidden="1">
      <c r="B7058" s="1342"/>
      <c r="C7058" s="1342"/>
      <c r="D7058" s="1342"/>
      <c r="E7058" s="1342"/>
      <c r="F7058" s="1342"/>
      <c r="G7058" s="1342"/>
      <c r="H7058" s="1342"/>
      <c r="I7058" s="1342"/>
      <c r="J7058" s="1342"/>
      <c r="K7058" s="1342"/>
    </row>
    <row r="7059" spans="2:11" ht="14" hidden="1">
      <c r="B7059" s="1342"/>
      <c r="C7059" s="1342"/>
      <c r="D7059" s="1342"/>
      <c r="E7059" s="1342"/>
      <c r="F7059" s="1342"/>
      <c r="G7059" s="1342"/>
      <c r="H7059" s="1342"/>
      <c r="I7059" s="1342"/>
      <c r="J7059" s="1342"/>
      <c r="K7059" s="1342"/>
    </row>
    <row r="7060" spans="2:11" ht="14" hidden="1">
      <c r="B7060" s="1342"/>
      <c r="C7060" s="1342"/>
      <c r="D7060" s="1342"/>
      <c r="E7060" s="1342"/>
      <c r="F7060" s="1342"/>
      <c r="G7060" s="1342"/>
      <c r="H7060" s="1342"/>
      <c r="I7060" s="1342"/>
      <c r="J7060" s="1342"/>
      <c r="K7060" s="1342"/>
    </row>
    <row r="7061" spans="2:11" ht="14" hidden="1">
      <c r="B7061" s="1342"/>
      <c r="C7061" s="1342"/>
      <c r="D7061" s="1342"/>
      <c r="E7061" s="1342"/>
      <c r="F7061" s="1342"/>
      <c r="G7061" s="1342"/>
      <c r="H7061" s="1342"/>
      <c r="I7061" s="1342"/>
      <c r="J7061" s="1342"/>
      <c r="K7061" s="1342"/>
    </row>
    <row r="7062" spans="2:11" ht="14" hidden="1">
      <c r="B7062" s="1342"/>
      <c r="C7062" s="1342"/>
      <c r="D7062" s="1342"/>
      <c r="E7062" s="1342"/>
      <c r="F7062" s="1342"/>
      <c r="G7062" s="1342"/>
      <c r="H7062" s="1342"/>
      <c r="I7062" s="1342"/>
      <c r="J7062" s="1342"/>
      <c r="K7062" s="1342"/>
    </row>
    <row r="7063" spans="2:11" ht="14" hidden="1">
      <c r="B7063" s="1342"/>
      <c r="C7063" s="1342"/>
      <c r="D7063" s="1342"/>
      <c r="E7063" s="1342"/>
      <c r="F7063" s="1342"/>
      <c r="G7063" s="1342"/>
      <c r="H7063" s="1342"/>
      <c r="I7063" s="1342"/>
      <c r="J7063" s="1342"/>
      <c r="K7063" s="1342"/>
    </row>
    <row r="7064" spans="2:11" ht="14" hidden="1">
      <c r="B7064" s="1342"/>
      <c r="C7064" s="1342"/>
      <c r="D7064" s="1342"/>
      <c r="E7064" s="1342"/>
      <c r="F7064" s="1342"/>
      <c r="G7064" s="1342"/>
      <c r="H7064" s="1342"/>
      <c r="I7064" s="1342"/>
      <c r="J7064" s="1342"/>
      <c r="K7064" s="1342"/>
    </row>
    <row r="7065" spans="2:11" ht="14" hidden="1">
      <c r="B7065" s="1342"/>
      <c r="C7065" s="1342"/>
      <c r="D7065" s="1342"/>
      <c r="E7065" s="1342"/>
      <c r="F7065" s="1342"/>
      <c r="G7065" s="1342"/>
      <c r="H7065" s="1342"/>
      <c r="I7065" s="1342"/>
      <c r="J7065" s="1342"/>
      <c r="K7065" s="1342"/>
    </row>
    <row r="7066" spans="2:11" ht="14" hidden="1">
      <c r="B7066" s="1342"/>
      <c r="C7066" s="1342"/>
      <c r="D7066" s="1342"/>
      <c r="E7066" s="1342"/>
      <c r="F7066" s="1342"/>
      <c r="G7066" s="1342"/>
      <c r="H7066" s="1342"/>
      <c r="I7066" s="1342"/>
      <c r="J7066" s="1342"/>
      <c r="K7066" s="1342"/>
    </row>
    <row r="7067" spans="2:11" ht="14" hidden="1">
      <c r="B7067" s="1342"/>
      <c r="C7067" s="1342"/>
      <c r="D7067" s="1342"/>
      <c r="E7067" s="1342"/>
      <c r="F7067" s="1342"/>
      <c r="G7067" s="1342"/>
      <c r="H7067" s="1342"/>
      <c r="I7067" s="1342"/>
      <c r="J7067" s="1342"/>
      <c r="K7067" s="1342"/>
    </row>
    <row r="7068" spans="2:11" ht="14" hidden="1">
      <c r="B7068" s="1342"/>
      <c r="C7068" s="1342"/>
      <c r="D7068" s="1342"/>
      <c r="E7068" s="1342"/>
      <c r="F7068" s="1342"/>
      <c r="G7068" s="1342"/>
      <c r="H7068" s="1342"/>
      <c r="I7068" s="1342"/>
      <c r="J7068" s="1342"/>
      <c r="K7068" s="1342"/>
    </row>
    <row r="7069" spans="2:11" ht="14" hidden="1">
      <c r="B7069" s="1342"/>
      <c r="C7069" s="1342"/>
      <c r="D7069" s="1342"/>
      <c r="E7069" s="1342"/>
      <c r="F7069" s="1342"/>
      <c r="G7069" s="1342"/>
      <c r="H7069" s="1342"/>
      <c r="I7069" s="1342"/>
      <c r="J7069" s="1342"/>
      <c r="K7069" s="1342"/>
    </row>
    <row r="7070" spans="2:11" ht="14" hidden="1">
      <c r="B7070" s="1342"/>
      <c r="C7070" s="1342"/>
      <c r="D7070" s="1342"/>
      <c r="E7070" s="1342"/>
      <c r="F7070" s="1342"/>
      <c r="G7070" s="1342"/>
      <c r="H7070" s="1342"/>
      <c r="I7070" s="1342"/>
      <c r="J7070" s="1342"/>
      <c r="K7070" s="1342"/>
    </row>
    <row r="7071" spans="2:11" ht="14" hidden="1">
      <c r="B7071" s="1342"/>
      <c r="C7071" s="1342"/>
      <c r="D7071" s="1342"/>
      <c r="E7071" s="1342"/>
      <c r="F7071" s="1342"/>
      <c r="G7071" s="1342"/>
      <c r="H7071" s="1342"/>
      <c r="I7071" s="1342"/>
      <c r="J7071" s="1342"/>
      <c r="K7071" s="1342"/>
    </row>
    <row r="7072" spans="2:11" ht="14" hidden="1">
      <c r="B7072" s="1342"/>
      <c r="C7072" s="1342"/>
      <c r="D7072" s="1342"/>
      <c r="E7072" s="1342"/>
      <c r="F7072" s="1342"/>
      <c r="G7072" s="1342"/>
      <c r="H7072" s="1342"/>
      <c r="I7072" s="1342"/>
      <c r="J7072" s="1342"/>
      <c r="K7072" s="1342"/>
    </row>
    <row r="7073" spans="2:11" ht="14" hidden="1">
      <c r="B7073" s="1342"/>
      <c r="C7073" s="1342"/>
      <c r="D7073" s="1342"/>
      <c r="E7073" s="1342"/>
      <c r="F7073" s="1342"/>
      <c r="G7073" s="1342"/>
      <c r="H7073" s="1342"/>
      <c r="I7073" s="1342"/>
      <c r="J7073" s="1342"/>
      <c r="K7073" s="1342"/>
    </row>
    <row r="7074" spans="2:11" ht="14" hidden="1">
      <c r="B7074" s="1342"/>
      <c r="C7074" s="1342"/>
      <c r="D7074" s="1342"/>
      <c r="E7074" s="1342"/>
      <c r="F7074" s="1342"/>
      <c r="G7074" s="1342"/>
      <c r="H7074" s="1342"/>
      <c r="I7074" s="1342"/>
      <c r="J7074" s="1342"/>
      <c r="K7074" s="1342"/>
    </row>
    <row r="7075" spans="2:11" ht="14" hidden="1">
      <c r="B7075" s="1342"/>
      <c r="C7075" s="1342"/>
      <c r="D7075" s="1342"/>
      <c r="E7075" s="1342"/>
      <c r="F7075" s="1342"/>
      <c r="G7075" s="1342"/>
      <c r="H7075" s="1342"/>
      <c r="I7075" s="1342"/>
      <c r="J7075" s="1342"/>
      <c r="K7075" s="1342"/>
    </row>
    <row r="7076" spans="2:11" ht="14" hidden="1">
      <c r="B7076" s="1342"/>
      <c r="C7076" s="1342"/>
      <c r="D7076" s="1342"/>
      <c r="E7076" s="1342"/>
      <c r="F7076" s="1342"/>
      <c r="G7076" s="1342"/>
      <c r="H7076" s="1342"/>
      <c r="I7076" s="1342"/>
      <c r="J7076" s="1342"/>
      <c r="K7076" s="1342"/>
    </row>
    <row r="7077" spans="2:11" ht="14" hidden="1">
      <c r="B7077" s="1342"/>
      <c r="C7077" s="1342"/>
      <c r="D7077" s="1342"/>
      <c r="E7077" s="1342"/>
      <c r="F7077" s="1342"/>
      <c r="G7077" s="1342"/>
      <c r="H7077" s="1342"/>
      <c r="I7077" s="1342"/>
      <c r="J7077" s="1342"/>
      <c r="K7077" s="1342"/>
    </row>
    <row r="7078" spans="2:11" ht="14" hidden="1">
      <c r="B7078" s="1342"/>
      <c r="C7078" s="1342"/>
      <c r="D7078" s="1342"/>
      <c r="E7078" s="1342"/>
      <c r="F7078" s="1342"/>
      <c r="G7078" s="1342"/>
      <c r="H7078" s="1342"/>
      <c r="I7078" s="1342"/>
      <c r="J7078" s="1342"/>
      <c r="K7078" s="1342"/>
    </row>
    <row r="7079" spans="2:11" ht="14" hidden="1">
      <c r="B7079" s="1342"/>
      <c r="C7079" s="1342"/>
      <c r="D7079" s="1342"/>
      <c r="E7079" s="1342"/>
      <c r="F7079" s="1342"/>
      <c r="G7079" s="1342"/>
      <c r="H7079" s="1342"/>
      <c r="I7079" s="1342"/>
      <c r="J7079" s="1342"/>
      <c r="K7079" s="1342"/>
    </row>
    <row r="7080" spans="2:11" ht="14" hidden="1">
      <c r="B7080" s="1342"/>
      <c r="C7080" s="1342"/>
      <c r="D7080" s="1342"/>
      <c r="E7080" s="1342"/>
      <c r="F7080" s="1342"/>
      <c r="G7080" s="1342"/>
      <c r="H7080" s="1342"/>
      <c r="I7080" s="1342"/>
      <c r="J7080" s="1342"/>
      <c r="K7080" s="1342"/>
    </row>
    <row r="7081" spans="2:11" ht="14" hidden="1">
      <c r="B7081" s="1342"/>
      <c r="C7081" s="1342"/>
      <c r="D7081" s="1342"/>
      <c r="E7081" s="1342"/>
      <c r="F7081" s="1342"/>
      <c r="G7081" s="1342"/>
      <c r="H7081" s="1342"/>
      <c r="I7081" s="1342"/>
      <c r="J7081" s="1342"/>
      <c r="K7081" s="1342"/>
    </row>
    <row r="7082" spans="2:11" ht="14" hidden="1">
      <c r="B7082" s="1342"/>
      <c r="C7082" s="1342"/>
      <c r="D7082" s="1342"/>
      <c r="E7082" s="1342"/>
      <c r="F7082" s="1342"/>
      <c r="G7082" s="1342"/>
      <c r="H7082" s="1342"/>
      <c r="I7082" s="1342"/>
      <c r="J7082" s="1342"/>
      <c r="K7082" s="1342"/>
    </row>
    <row r="7083" spans="2:11" ht="14" hidden="1">
      <c r="B7083" s="1342"/>
      <c r="C7083" s="1342"/>
      <c r="D7083" s="1342"/>
      <c r="E7083" s="1342"/>
      <c r="F7083" s="1342"/>
      <c r="G7083" s="1342"/>
      <c r="H7083" s="1342"/>
      <c r="I7083" s="1342"/>
      <c r="J7083" s="1342"/>
      <c r="K7083" s="1342"/>
    </row>
    <row r="7084" spans="2:11" ht="14" hidden="1">
      <c r="B7084" s="1342"/>
      <c r="C7084" s="1342"/>
      <c r="D7084" s="1342"/>
      <c r="E7084" s="1342"/>
      <c r="F7084" s="1342"/>
      <c r="G7084" s="1342"/>
      <c r="H7084" s="1342"/>
      <c r="I7084" s="1342"/>
      <c r="J7084" s="1342"/>
      <c r="K7084" s="1342"/>
    </row>
    <row r="7085" spans="2:11" ht="14" hidden="1">
      <c r="B7085" s="1342"/>
      <c r="C7085" s="1342"/>
      <c r="D7085" s="1342"/>
      <c r="E7085" s="1342"/>
      <c r="F7085" s="1342"/>
      <c r="G7085" s="1342"/>
      <c r="H7085" s="1342"/>
      <c r="I7085" s="1342"/>
      <c r="J7085" s="1342"/>
      <c r="K7085" s="1342"/>
    </row>
    <row r="7086" spans="2:11" ht="14" hidden="1">
      <c r="B7086" s="1342"/>
      <c r="C7086" s="1342"/>
      <c r="D7086" s="1342"/>
      <c r="E7086" s="1342"/>
      <c r="F7086" s="1342"/>
      <c r="G7086" s="1342"/>
      <c r="H7086" s="1342"/>
      <c r="I7086" s="1342"/>
      <c r="J7086" s="1342"/>
      <c r="K7086" s="1342"/>
    </row>
    <row r="7087" spans="2:11" ht="14" hidden="1">
      <c r="B7087" s="1342"/>
      <c r="C7087" s="1342"/>
      <c r="D7087" s="1342"/>
      <c r="E7087" s="1342"/>
      <c r="F7087" s="1342"/>
      <c r="G7087" s="1342"/>
      <c r="H7087" s="1342"/>
      <c r="I7087" s="1342"/>
      <c r="J7087" s="1342"/>
      <c r="K7087" s="1342"/>
    </row>
    <row r="7088" spans="2:11" ht="14" hidden="1">
      <c r="B7088" s="1342"/>
      <c r="C7088" s="1342"/>
      <c r="D7088" s="1342"/>
      <c r="E7088" s="1342"/>
      <c r="F7088" s="1342"/>
      <c r="G7088" s="1342"/>
      <c r="H7088" s="1342"/>
      <c r="I7088" s="1342"/>
      <c r="J7088" s="1342"/>
      <c r="K7088" s="1342"/>
    </row>
    <row r="7089" spans="2:11" ht="14" hidden="1">
      <c r="B7089" s="1342"/>
      <c r="C7089" s="1342"/>
      <c r="D7089" s="1342"/>
      <c r="E7089" s="1342"/>
      <c r="F7089" s="1342"/>
      <c r="G7089" s="1342"/>
      <c r="H7089" s="1342"/>
      <c r="I7089" s="1342"/>
      <c r="J7089" s="1342"/>
      <c r="K7089" s="1342"/>
    </row>
    <row r="7090" spans="2:11" ht="14" hidden="1">
      <c r="B7090" s="1342"/>
      <c r="C7090" s="1342"/>
      <c r="D7090" s="1342"/>
      <c r="E7090" s="1342"/>
      <c r="F7090" s="1342"/>
      <c r="G7090" s="1342"/>
      <c r="H7090" s="1342"/>
      <c r="I7090" s="1342"/>
      <c r="J7090" s="1342"/>
      <c r="K7090" s="1342"/>
    </row>
    <row r="7091" spans="2:11" ht="14" hidden="1">
      <c r="B7091" s="1342"/>
      <c r="C7091" s="1342"/>
      <c r="D7091" s="1342"/>
      <c r="E7091" s="1342"/>
      <c r="F7091" s="1342"/>
      <c r="G7091" s="1342"/>
      <c r="H7091" s="1342"/>
      <c r="I7091" s="1342"/>
      <c r="J7091" s="1342"/>
      <c r="K7091" s="1342"/>
    </row>
    <row r="7092" spans="2:11" ht="14" hidden="1">
      <c r="B7092" s="1342"/>
      <c r="C7092" s="1342"/>
      <c r="D7092" s="1342"/>
      <c r="E7092" s="1342"/>
      <c r="F7092" s="1342"/>
      <c r="G7092" s="1342"/>
      <c r="H7092" s="1342"/>
      <c r="I7092" s="1342"/>
      <c r="J7092" s="1342"/>
      <c r="K7092" s="1342"/>
    </row>
    <row r="7093" spans="2:11" ht="14" hidden="1">
      <c r="B7093" s="1342"/>
      <c r="C7093" s="1342"/>
      <c r="D7093" s="1342"/>
      <c r="E7093" s="1342"/>
      <c r="F7093" s="1342"/>
      <c r="G7093" s="1342"/>
      <c r="H7093" s="1342"/>
      <c r="I7093" s="1342"/>
      <c r="J7093" s="1342"/>
      <c r="K7093" s="1342"/>
    </row>
    <row r="7094" spans="2:11" ht="14" hidden="1">
      <c r="B7094" s="1342"/>
      <c r="C7094" s="1342"/>
      <c r="D7094" s="1342"/>
      <c r="E7094" s="1342"/>
      <c r="F7094" s="1342"/>
      <c r="G7094" s="1342"/>
      <c r="H7094" s="1342"/>
      <c r="I7094" s="1342"/>
      <c r="J7094" s="1342"/>
      <c r="K7094" s="1342"/>
    </row>
    <row r="7095" spans="2:11" ht="14" hidden="1">
      <c r="B7095" s="1342"/>
      <c r="C7095" s="1342"/>
      <c r="D7095" s="1342"/>
      <c r="E7095" s="1342"/>
      <c r="F7095" s="1342"/>
      <c r="G7095" s="1342"/>
      <c r="H7095" s="1342"/>
      <c r="I7095" s="1342"/>
      <c r="J7095" s="1342"/>
      <c r="K7095" s="1342"/>
    </row>
    <row r="7096" spans="2:11" ht="14" hidden="1">
      <c r="B7096" s="1342"/>
      <c r="C7096" s="1342"/>
      <c r="D7096" s="1342"/>
      <c r="E7096" s="1342"/>
      <c r="F7096" s="1342"/>
      <c r="G7096" s="1342"/>
      <c r="H7096" s="1342"/>
      <c r="I7096" s="1342"/>
      <c r="J7096" s="1342"/>
      <c r="K7096" s="1342"/>
    </row>
    <row r="7097" spans="2:11" ht="14" hidden="1">
      <c r="B7097" s="1342"/>
      <c r="C7097" s="1342"/>
      <c r="D7097" s="1342"/>
      <c r="E7097" s="1342"/>
      <c r="F7097" s="1342"/>
      <c r="G7097" s="1342"/>
      <c r="H7097" s="1342"/>
      <c r="I7097" s="1342"/>
      <c r="J7097" s="1342"/>
      <c r="K7097" s="1342"/>
    </row>
    <row r="7098" spans="2:11" ht="14" hidden="1">
      <c r="B7098" s="1342"/>
      <c r="C7098" s="1342"/>
      <c r="D7098" s="1342"/>
      <c r="E7098" s="1342"/>
      <c r="F7098" s="1342"/>
      <c r="G7098" s="1342"/>
      <c r="H7098" s="1342"/>
      <c r="I7098" s="1342"/>
      <c r="J7098" s="1342"/>
      <c r="K7098" s="1342"/>
    </row>
    <row r="7099" spans="2:11" ht="14" hidden="1">
      <c r="B7099" s="1342"/>
      <c r="C7099" s="1342"/>
      <c r="D7099" s="1342"/>
      <c r="E7099" s="1342"/>
      <c r="F7099" s="1342"/>
      <c r="G7099" s="1342"/>
      <c r="H7099" s="1342"/>
      <c r="I7099" s="1342"/>
      <c r="J7099" s="1342"/>
      <c r="K7099" s="1342"/>
    </row>
    <row r="7100" spans="2:11" ht="14" hidden="1">
      <c r="B7100" s="1342"/>
      <c r="C7100" s="1342"/>
      <c r="D7100" s="1342"/>
      <c r="E7100" s="1342"/>
      <c r="F7100" s="1342"/>
      <c r="G7100" s="1342"/>
      <c r="H7100" s="1342"/>
      <c r="I7100" s="1342"/>
      <c r="J7100" s="1342"/>
      <c r="K7100" s="1342"/>
    </row>
    <row r="7101" spans="2:11" ht="14" hidden="1">
      <c r="B7101" s="1342"/>
      <c r="C7101" s="1342"/>
      <c r="D7101" s="1342"/>
      <c r="E7101" s="1342"/>
      <c r="F7101" s="1342"/>
      <c r="G7101" s="1342"/>
      <c r="H7101" s="1342"/>
      <c r="I7101" s="1342"/>
      <c r="J7101" s="1342"/>
      <c r="K7101" s="1342"/>
    </row>
    <row r="7102" spans="2:11" ht="14" hidden="1">
      <c r="B7102" s="1342"/>
      <c r="C7102" s="1342"/>
      <c r="D7102" s="1342"/>
      <c r="E7102" s="1342"/>
      <c r="F7102" s="1342"/>
      <c r="G7102" s="1342"/>
      <c r="H7102" s="1342"/>
      <c r="I7102" s="1342"/>
      <c r="J7102" s="1342"/>
      <c r="K7102" s="1342"/>
    </row>
    <row r="7103" spans="2:11" ht="14" hidden="1">
      <c r="B7103" s="1342"/>
      <c r="C7103" s="1342"/>
      <c r="D7103" s="1342"/>
      <c r="E7103" s="1342"/>
      <c r="F7103" s="1342"/>
      <c r="G7103" s="1342"/>
      <c r="H7103" s="1342"/>
      <c r="I7103" s="1342"/>
      <c r="J7103" s="1342"/>
      <c r="K7103" s="1342"/>
    </row>
    <row r="7104" spans="2:11" ht="14" hidden="1">
      <c r="B7104" s="1342"/>
      <c r="C7104" s="1342"/>
      <c r="D7104" s="1342"/>
      <c r="E7104" s="1342"/>
      <c r="F7104" s="1342"/>
      <c r="G7104" s="1342"/>
      <c r="H7104" s="1342"/>
      <c r="I7104" s="1342"/>
      <c r="J7104" s="1342"/>
      <c r="K7104" s="1342"/>
    </row>
    <row r="7105" spans="2:11" ht="14" hidden="1">
      <c r="B7105" s="1342"/>
      <c r="C7105" s="1342"/>
      <c r="D7105" s="1342"/>
      <c r="E7105" s="1342"/>
      <c r="F7105" s="1342"/>
      <c r="G7105" s="1342"/>
      <c r="H7105" s="1342"/>
      <c r="I7105" s="1342"/>
      <c r="J7105" s="1342"/>
      <c r="K7105" s="1342"/>
    </row>
    <row r="7106" spans="2:11" ht="14" hidden="1">
      <c r="B7106" s="1342"/>
      <c r="C7106" s="1342"/>
      <c r="D7106" s="1342"/>
      <c r="E7106" s="1342"/>
      <c r="F7106" s="1342"/>
      <c r="G7106" s="1342"/>
      <c r="H7106" s="1342"/>
      <c r="I7106" s="1342"/>
      <c r="J7106" s="1342"/>
      <c r="K7106" s="1342"/>
    </row>
    <row r="7107" spans="2:11" ht="14" hidden="1">
      <c r="B7107" s="1342"/>
      <c r="C7107" s="1342"/>
      <c r="D7107" s="1342"/>
      <c r="E7107" s="1342"/>
      <c r="F7107" s="1342"/>
      <c r="G7107" s="1342"/>
      <c r="H7107" s="1342"/>
      <c r="I7107" s="1342"/>
      <c r="J7107" s="1342"/>
      <c r="K7107" s="1342"/>
    </row>
    <row r="7108" spans="2:11" ht="14" hidden="1">
      <c r="B7108" s="1342"/>
      <c r="C7108" s="1342"/>
      <c r="D7108" s="1342"/>
      <c r="E7108" s="1342"/>
      <c r="F7108" s="1342"/>
      <c r="G7108" s="1342"/>
      <c r="H7108" s="1342"/>
      <c r="I7108" s="1342"/>
      <c r="J7108" s="1342"/>
      <c r="K7108" s="1342"/>
    </row>
    <row r="7109" spans="2:11" ht="14" hidden="1">
      <c r="B7109" s="1342"/>
      <c r="C7109" s="1342"/>
      <c r="D7109" s="1342"/>
      <c r="E7109" s="1342"/>
      <c r="F7109" s="1342"/>
      <c r="G7109" s="1342"/>
      <c r="H7109" s="1342"/>
      <c r="I7109" s="1342"/>
      <c r="J7109" s="1342"/>
      <c r="K7109" s="1342"/>
    </row>
    <row r="7110" spans="2:11" ht="14" hidden="1">
      <c r="B7110" s="1342"/>
      <c r="C7110" s="1342"/>
      <c r="D7110" s="1342"/>
      <c r="E7110" s="1342"/>
      <c r="F7110" s="1342"/>
      <c r="G7110" s="1342"/>
      <c r="H7110" s="1342"/>
      <c r="I7110" s="1342"/>
      <c r="J7110" s="1342"/>
      <c r="K7110" s="1342"/>
    </row>
    <row r="7111" spans="2:11" ht="14" hidden="1">
      <c r="B7111" s="1342"/>
      <c r="C7111" s="1342"/>
      <c r="D7111" s="1342"/>
      <c r="E7111" s="1342"/>
      <c r="F7111" s="1342"/>
      <c r="G7111" s="1342"/>
      <c r="H7111" s="1342"/>
      <c r="I7111" s="1342"/>
      <c r="J7111" s="1342"/>
      <c r="K7111" s="1342"/>
    </row>
    <row r="7112" spans="2:11" ht="14" hidden="1">
      <c r="B7112" s="1342"/>
      <c r="C7112" s="1342"/>
      <c r="D7112" s="1342"/>
      <c r="E7112" s="1342"/>
      <c r="F7112" s="1342"/>
      <c r="G7112" s="1342"/>
      <c r="H7112" s="1342"/>
      <c r="I7112" s="1342"/>
      <c r="J7112" s="1342"/>
      <c r="K7112" s="1342"/>
    </row>
    <row r="7113" spans="2:11" ht="14" hidden="1">
      <c r="B7113" s="1342"/>
      <c r="C7113" s="1342"/>
      <c r="D7113" s="1342"/>
      <c r="E7113" s="1342"/>
      <c r="F7113" s="1342"/>
      <c r="G7113" s="1342"/>
      <c r="H7113" s="1342"/>
      <c r="I7113" s="1342"/>
      <c r="J7113" s="1342"/>
      <c r="K7113" s="1342"/>
    </row>
    <row r="7114" spans="2:11" ht="14" hidden="1">
      <c r="B7114" s="1342"/>
      <c r="C7114" s="1342"/>
      <c r="D7114" s="1342"/>
      <c r="E7114" s="1342"/>
      <c r="F7114" s="1342"/>
      <c r="G7114" s="1342"/>
      <c r="H7114" s="1342"/>
      <c r="I7114" s="1342"/>
      <c r="J7114" s="1342"/>
      <c r="K7114" s="1342"/>
    </row>
    <row r="7115" spans="2:11" ht="14" hidden="1">
      <c r="B7115" s="1342"/>
      <c r="C7115" s="1342"/>
      <c r="D7115" s="1342"/>
      <c r="E7115" s="1342"/>
      <c r="F7115" s="1342"/>
      <c r="G7115" s="1342"/>
      <c r="H7115" s="1342"/>
      <c r="I7115" s="1342"/>
      <c r="J7115" s="1342"/>
      <c r="K7115" s="1342"/>
    </row>
    <row r="7116" spans="2:11" ht="14" hidden="1">
      <c r="B7116" s="1342"/>
      <c r="C7116" s="1342"/>
      <c r="D7116" s="1342"/>
      <c r="E7116" s="1342"/>
      <c r="F7116" s="1342"/>
      <c r="G7116" s="1342"/>
      <c r="H7116" s="1342"/>
      <c r="I7116" s="1342"/>
      <c r="J7116" s="1342"/>
      <c r="K7116" s="1342"/>
    </row>
    <row r="7117" spans="2:11" ht="14" hidden="1">
      <c r="B7117" s="1342"/>
      <c r="C7117" s="1342"/>
      <c r="D7117" s="1342"/>
      <c r="E7117" s="1342"/>
      <c r="F7117" s="1342"/>
      <c r="G7117" s="1342"/>
      <c r="H7117" s="1342"/>
      <c r="I7117" s="1342"/>
      <c r="J7117" s="1342"/>
      <c r="K7117" s="1342"/>
    </row>
    <row r="7118" spans="2:11" ht="14" hidden="1">
      <c r="B7118" s="1342"/>
      <c r="C7118" s="1342"/>
      <c r="D7118" s="1342"/>
      <c r="E7118" s="1342"/>
      <c r="F7118" s="1342"/>
      <c r="G7118" s="1342"/>
      <c r="H7118" s="1342"/>
      <c r="I7118" s="1342"/>
      <c r="J7118" s="1342"/>
      <c r="K7118" s="1342"/>
    </row>
    <row r="7119" spans="2:11" ht="14" hidden="1">
      <c r="B7119" s="1342"/>
      <c r="C7119" s="1342"/>
      <c r="D7119" s="1342"/>
      <c r="E7119" s="1342"/>
      <c r="F7119" s="1342"/>
      <c r="G7119" s="1342"/>
      <c r="H7119" s="1342"/>
      <c r="I7119" s="1342"/>
      <c r="J7119" s="1342"/>
      <c r="K7119" s="1342"/>
    </row>
    <row r="7120" spans="2:11" ht="14" hidden="1">
      <c r="B7120" s="1342"/>
      <c r="C7120" s="1342"/>
      <c r="D7120" s="1342"/>
      <c r="E7120" s="1342"/>
      <c r="F7120" s="1342"/>
      <c r="G7120" s="1342"/>
      <c r="H7120" s="1342"/>
      <c r="I7120" s="1342"/>
      <c r="J7120" s="1342"/>
      <c r="K7120" s="1342"/>
    </row>
    <row r="7121" spans="2:11" ht="14" hidden="1">
      <c r="B7121" s="1342"/>
      <c r="C7121" s="1342"/>
      <c r="D7121" s="1342"/>
      <c r="E7121" s="1342"/>
      <c r="F7121" s="1342"/>
      <c r="G7121" s="1342"/>
      <c r="H7121" s="1342"/>
      <c r="I7121" s="1342"/>
      <c r="J7121" s="1342"/>
      <c r="K7121" s="1342"/>
    </row>
    <row r="7122" spans="2:11" ht="14" hidden="1">
      <c r="B7122" s="1342"/>
      <c r="C7122" s="1342"/>
      <c r="D7122" s="1342"/>
      <c r="E7122" s="1342"/>
      <c r="F7122" s="1342"/>
      <c r="G7122" s="1342"/>
      <c r="H7122" s="1342"/>
      <c r="I7122" s="1342"/>
      <c r="J7122" s="1342"/>
      <c r="K7122" s="1342"/>
    </row>
    <row r="7123" spans="2:11" ht="14" hidden="1">
      <c r="B7123" s="1342"/>
      <c r="C7123" s="1342"/>
      <c r="D7123" s="1342"/>
      <c r="E7123" s="1342"/>
      <c r="F7123" s="1342"/>
      <c r="G7123" s="1342"/>
      <c r="H7123" s="1342"/>
      <c r="I7123" s="1342"/>
      <c r="J7123" s="1342"/>
      <c r="K7123" s="1342"/>
    </row>
    <row r="7124" spans="2:11" ht="14" hidden="1">
      <c r="B7124" s="1342"/>
      <c r="C7124" s="1342"/>
      <c r="D7124" s="1342"/>
      <c r="E7124" s="1342"/>
      <c r="F7124" s="1342"/>
      <c r="G7124" s="1342"/>
      <c r="H7124" s="1342"/>
      <c r="I7124" s="1342"/>
      <c r="J7124" s="1342"/>
      <c r="K7124" s="1342"/>
    </row>
    <row r="7125" spans="2:11" ht="14" hidden="1">
      <c r="B7125" s="1342"/>
      <c r="C7125" s="1342"/>
      <c r="D7125" s="1342"/>
      <c r="E7125" s="1342"/>
      <c r="F7125" s="1342"/>
      <c r="G7125" s="1342"/>
      <c r="H7125" s="1342"/>
      <c r="I7125" s="1342"/>
      <c r="J7125" s="1342"/>
      <c r="K7125" s="1342"/>
    </row>
    <row r="7126" spans="2:11" ht="14" hidden="1">
      <c r="B7126" s="1342"/>
      <c r="C7126" s="1342"/>
      <c r="D7126" s="1342"/>
      <c r="E7126" s="1342"/>
      <c r="F7126" s="1342"/>
      <c r="G7126" s="1342"/>
      <c r="H7126" s="1342"/>
      <c r="I7126" s="1342"/>
      <c r="J7126" s="1342"/>
      <c r="K7126" s="1342"/>
    </row>
    <row r="7127" spans="2:11" ht="14" hidden="1">
      <c r="B7127" s="1342"/>
      <c r="C7127" s="1342"/>
      <c r="D7127" s="1342"/>
      <c r="E7127" s="1342"/>
      <c r="F7127" s="1342"/>
      <c r="G7127" s="1342"/>
      <c r="H7127" s="1342"/>
      <c r="I7127" s="1342"/>
      <c r="J7127" s="1342"/>
      <c r="K7127" s="1342"/>
    </row>
    <row r="7128" spans="2:11" ht="14" hidden="1">
      <c r="B7128" s="1342"/>
      <c r="C7128" s="1342"/>
      <c r="D7128" s="1342"/>
      <c r="E7128" s="1342"/>
      <c r="F7128" s="1342"/>
      <c r="G7128" s="1342"/>
      <c r="H7128" s="1342"/>
      <c r="I7128" s="1342"/>
      <c r="J7128" s="1342"/>
      <c r="K7128" s="1342"/>
    </row>
    <row r="7129" spans="2:11" ht="14" hidden="1">
      <c r="B7129" s="1342"/>
      <c r="C7129" s="1342"/>
      <c r="D7129" s="1342"/>
      <c r="E7129" s="1342"/>
      <c r="F7129" s="1342"/>
      <c r="G7129" s="1342"/>
      <c r="H7129" s="1342"/>
      <c r="I7129" s="1342"/>
      <c r="J7129" s="1342"/>
      <c r="K7129" s="1342"/>
    </row>
    <row r="7130" spans="2:11" ht="14" hidden="1">
      <c r="B7130" s="1342"/>
      <c r="C7130" s="1342"/>
      <c r="D7130" s="1342"/>
      <c r="E7130" s="1342"/>
      <c r="F7130" s="1342"/>
      <c r="G7130" s="1342"/>
      <c r="H7130" s="1342"/>
      <c r="I7130" s="1342"/>
      <c r="J7130" s="1342"/>
      <c r="K7130" s="1342"/>
    </row>
    <row r="7131" spans="2:11" ht="14" hidden="1">
      <c r="B7131" s="1342"/>
      <c r="C7131" s="1342"/>
      <c r="D7131" s="1342"/>
      <c r="E7131" s="1342"/>
      <c r="F7131" s="1342"/>
      <c r="G7131" s="1342"/>
      <c r="H7131" s="1342"/>
      <c r="I7131" s="1342"/>
      <c r="J7131" s="1342"/>
      <c r="K7131" s="1342"/>
    </row>
    <row r="7132" spans="2:11" ht="14" hidden="1">
      <c r="B7132" s="1342"/>
      <c r="C7132" s="1342"/>
      <c r="D7132" s="1342"/>
      <c r="E7132" s="1342"/>
      <c r="F7132" s="1342"/>
      <c r="G7132" s="1342"/>
      <c r="H7132" s="1342"/>
      <c r="I7132" s="1342"/>
      <c r="J7132" s="1342"/>
      <c r="K7132" s="1342"/>
    </row>
    <row r="7133" spans="2:11" ht="14" hidden="1">
      <c r="B7133" s="1342"/>
      <c r="C7133" s="1342"/>
      <c r="D7133" s="1342"/>
      <c r="E7133" s="1342"/>
      <c r="F7133" s="1342"/>
      <c r="G7133" s="1342"/>
      <c r="H7133" s="1342"/>
      <c r="I7133" s="1342"/>
      <c r="J7133" s="1342"/>
      <c r="K7133" s="1342"/>
    </row>
    <row r="7134" spans="2:11" ht="14" hidden="1">
      <c r="B7134" s="1342"/>
      <c r="C7134" s="1342"/>
      <c r="D7134" s="1342"/>
      <c r="E7134" s="1342"/>
      <c r="F7134" s="1342"/>
      <c r="G7134" s="1342"/>
      <c r="H7134" s="1342"/>
      <c r="I7134" s="1342"/>
      <c r="J7134" s="1342"/>
      <c r="K7134" s="1342"/>
    </row>
    <row r="7135" spans="2:11" ht="14" hidden="1">
      <c r="B7135" s="1342"/>
      <c r="C7135" s="1342"/>
      <c r="D7135" s="1342"/>
      <c r="E7135" s="1342"/>
      <c r="F7135" s="1342"/>
      <c r="G7135" s="1342"/>
      <c r="H7135" s="1342"/>
      <c r="I7135" s="1342"/>
      <c r="J7135" s="1342"/>
      <c r="K7135" s="1342"/>
    </row>
    <row r="7136" spans="2:11" ht="14" hidden="1">
      <c r="B7136" s="1342"/>
      <c r="C7136" s="1342"/>
      <c r="D7136" s="1342"/>
      <c r="E7136" s="1342"/>
      <c r="F7136" s="1342"/>
      <c r="G7136" s="1342"/>
      <c r="H7136" s="1342"/>
      <c r="I7136" s="1342"/>
      <c r="J7136" s="1342"/>
      <c r="K7136" s="1342"/>
    </row>
    <row r="7137" spans="2:11" ht="14" hidden="1">
      <c r="B7137" s="1342"/>
      <c r="C7137" s="1342"/>
      <c r="D7137" s="1342"/>
      <c r="E7137" s="1342"/>
      <c r="F7137" s="1342"/>
      <c r="G7137" s="1342"/>
      <c r="H7137" s="1342"/>
      <c r="I7137" s="1342"/>
      <c r="J7137" s="1342"/>
      <c r="K7137" s="1342"/>
    </row>
    <row r="7138" spans="2:11" ht="14" hidden="1">
      <c r="B7138" s="1342"/>
      <c r="C7138" s="1342"/>
      <c r="D7138" s="1342"/>
      <c r="E7138" s="1342"/>
      <c r="F7138" s="1342"/>
      <c r="G7138" s="1342"/>
      <c r="H7138" s="1342"/>
      <c r="I7138" s="1342"/>
      <c r="J7138" s="1342"/>
      <c r="K7138" s="1342"/>
    </row>
    <row r="7139" spans="2:11" ht="14" hidden="1">
      <c r="B7139" s="1342"/>
      <c r="C7139" s="1342"/>
      <c r="D7139" s="1342"/>
      <c r="E7139" s="1342"/>
      <c r="F7139" s="1342"/>
      <c r="G7139" s="1342"/>
      <c r="H7139" s="1342"/>
      <c r="I7139" s="1342"/>
      <c r="J7139" s="1342"/>
      <c r="K7139" s="1342"/>
    </row>
    <row r="7140" spans="2:11" ht="14" hidden="1">
      <c r="B7140" s="1342"/>
      <c r="C7140" s="1342"/>
      <c r="D7140" s="1342"/>
      <c r="E7140" s="1342"/>
      <c r="F7140" s="1342"/>
      <c r="G7140" s="1342"/>
      <c r="H7140" s="1342"/>
      <c r="I7140" s="1342"/>
      <c r="J7140" s="1342"/>
      <c r="K7140" s="1342"/>
    </row>
    <row r="7141" spans="2:11" ht="14" hidden="1">
      <c r="B7141" s="1342"/>
      <c r="C7141" s="1342"/>
      <c r="D7141" s="1342"/>
      <c r="E7141" s="1342"/>
      <c r="F7141" s="1342"/>
      <c r="G7141" s="1342"/>
      <c r="H7141" s="1342"/>
      <c r="I7141" s="1342"/>
      <c r="J7141" s="1342"/>
      <c r="K7141" s="1342"/>
    </row>
    <row r="7142" spans="2:11" ht="14" hidden="1">
      <c r="B7142" s="1342"/>
      <c r="C7142" s="1342"/>
      <c r="D7142" s="1342"/>
      <c r="E7142" s="1342"/>
      <c r="F7142" s="1342"/>
      <c r="G7142" s="1342"/>
      <c r="H7142" s="1342"/>
      <c r="I7142" s="1342"/>
      <c r="J7142" s="1342"/>
      <c r="K7142" s="1342"/>
    </row>
    <row r="7143" spans="2:11" ht="14" hidden="1">
      <c r="B7143" s="1342"/>
      <c r="C7143" s="1342"/>
      <c r="D7143" s="1342"/>
      <c r="E7143" s="1342"/>
      <c r="F7143" s="1342"/>
      <c r="G7143" s="1342"/>
      <c r="H7143" s="1342"/>
      <c r="I7143" s="1342"/>
      <c r="J7143" s="1342"/>
      <c r="K7143" s="1342"/>
    </row>
    <row r="7144" spans="2:11" ht="14" hidden="1">
      <c r="B7144" s="1342"/>
      <c r="C7144" s="1342"/>
      <c r="D7144" s="1342"/>
      <c r="E7144" s="1342"/>
      <c r="F7144" s="1342"/>
      <c r="G7144" s="1342"/>
      <c r="H7144" s="1342"/>
      <c r="I7144" s="1342"/>
      <c r="J7144" s="1342"/>
      <c r="K7144" s="1342"/>
    </row>
    <row r="7145" spans="2:11" ht="14" hidden="1">
      <c r="B7145" s="1342"/>
      <c r="C7145" s="1342"/>
      <c r="D7145" s="1342"/>
      <c r="E7145" s="1342"/>
      <c r="F7145" s="1342"/>
      <c r="G7145" s="1342"/>
      <c r="H7145" s="1342"/>
      <c r="I7145" s="1342"/>
      <c r="J7145" s="1342"/>
      <c r="K7145" s="1342"/>
    </row>
    <row r="7146" spans="2:11" ht="14" hidden="1">
      <c r="B7146" s="1342"/>
      <c r="C7146" s="1342"/>
      <c r="D7146" s="1342"/>
      <c r="E7146" s="1342"/>
      <c r="F7146" s="1342"/>
      <c r="G7146" s="1342"/>
      <c r="H7146" s="1342"/>
      <c r="I7146" s="1342"/>
      <c r="J7146" s="1342"/>
      <c r="K7146" s="1342"/>
    </row>
    <row r="7147" spans="2:11" ht="14" hidden="1">
      <c r="B7147" s="1342"/>
      <c r="C7147" s="1342"/>
      <c r="D7147" s="1342"/>
      <c r="E7147" s="1342"/>
      <c r="F7147" s="1342"/>
      <c r="G7147" s="1342"/>
      <c r="H7147" s="1342"/>
      <c r="I7147" s="1342"/>
      <c r="J7147" s="1342"/>
      <c r="K7147" s="1342"/>
    </row>
    <row r="7148" spans="2:11" ht="14" hidden="1">
      <c r="B7148" s="1342"/>
      <c r="C7148" s="1342"/>
      <c r="D7148" s="1342"/>
      <c r="E7148" s="1342"/>
      <c r="F7148" s="1342"/>
      <c r="G7148" s="1342"/>
      <c r="H7148" s="1342"/>
      <c r="I7148" s="1342"/>
      <c r="J7148" s="1342"/>
      <c r="K7148" s="1342"/>
    </row>
    <row r="7149" spans="2:11" ht="14" hidden="1">
      <c r="B7149" s="1342"/>
      <c r="C7149" s="1342"/>
      <c r="D7149" s="1342"/>
      <c r="E7149" s="1342"/>
      <c r="F7149" s="1342"/>
      <c r="G7149" s="1342"/>
      <c r="H7149" s="1342"/>
      <c r="I7149" s="1342"/>
      <c r="J7149" s="1342"/>
      <c r="K7149" s="1342"/>
    </row>
    <row r="7150" spans="2:11" ht="14" hidden="1">
      <c r="B7150" s="1342"/>
      <c r="C7150" s="1342"/>
      <c r="D7150" s="1342"/>
      <c r="E7150" s="1342"/>
      <c r="F7150" s="1342"/>
      <c r="G7150" s="1342"/>
      <c r="H7150" s="1342"/>
      <c r="I7150" s="1342"/>
      <c r="J7150" s="1342"/>
      <c r="K7150" s="1342"/>
    </row>
    <row r="7151" spans="2:11" ht="14" hidden="1">
      <c r="B7151" s="1342"/>
      <c r="C7151" s="1342"/>
      <c r="D7151" s="1342"/>
      <c r="E7151" s="1342"/>
      <c r="F7151" s="1342"/>
      <c r="G7151" s="1342"/>
      <c r="H7151" s="1342"/>
      <c r="I7151" s="1342"/>
      <c r="J7151" s="1342"/>
      <c r="K7151" s="1342"/>
    </row>
    <row r="7152" spans="2:11" ht="14" hidden="1">
      <c r="B7152" s="1342"/>
      <c r="C7152" s="1342"/>
      <c r="D7152" s="1342"/>
      <c r="E7152" s="1342"/>
      <c r="F7152" s="1342"/>
      <c r="G7152" s="1342"/>
      <c r="H7152" s="1342"/>
      <c r="I7152" s="1342"/>
      <c r="J7152" s="1342"/>
      <c r="K7152" s="1342"/>
    </row>
    <row r="7153" spans="2:11" ht="14" hidden="1">
      <c r="B7153" s="1342"/>
      <c r="C7153" s="1342"/>
      <c r="D7153" s="1342"/>
      <c r="E7153" s="1342"/>
      <c r="F7153" s="1342"/>
      <c r="G7153" s="1342"/>
      <c r="H7153" s="1342"/>
      <c r="I7153" s="1342"/>
      <c r="J7153" s="1342"/>
      <c r="K7153" s="1342"/>
    </row>
    <row r="7154" spans="2:11" ht="14" hidden="1">
      <c r="B7154" s="1342"/>
      <c r="C7154" s="1342"/>
      <c r="D7154" s="1342"/>
      <c r="E7154" s="1342"/>
      <c r="F7154" s="1342"/>
      <c r="G7154" s="1342"/>
      <c r="H7154" s="1342"/>
      <c r="I7154" s="1342"/>
      <c r="J7154" s="1342"/>
      <c r="K7154" s="1342"/>
    </row>
    <row r="7155" spans="2:11" ht="14" hidden="1">
      <c r="B7155" s="1342"/>
      <c r="C7155" s="1342"/>
      <c r="D7155" s="1342"/>
      <c r="E7155" s="1342"/>
      <c r="F7155" s="1342"/>
      <c r="G7155" s="1342"/>
      <c r="H7155" s="1342"/>
      <c r="I7155" s="1342"/>
      <c r="J7155" s="1342"/>
      <c r="K7155" s="1342"/>
    </row>
    <row r="7156" spans="2:11" ht="14" hidden="1">
      <c r="B7156" s="1342"/>
      <c r="C7156" s="1342"/>
      <c r="D7156" s="1342"/>
      <c r="E7156" s="1342"/>
      <c r="F7156" s="1342"/>
      <c r="G7156" s="1342"/>
      <c r="H7156" s="1342"/>
      <c r="I7156" s="1342"/>
      <c r="J7156" s="1342"/>
      <c r="K7156" s="1342"/>
    </row>
    <row r="7157" spans="2:11" ht="14" hidden="1">
      <c r="B7157" s="1342"/>
      <c r="C7157" s="1342"/>
      <c r="D7157" s="1342"/>
      <c r="E7157" s="1342"/>
      <c r="F7157" s="1342"/>
      <c r="G7157" s="1342"/>
      <c r="H7157" s="1342"/>
      <c r="I7157" s="1342"/>
      <c r="J7157" s="1342"/>
      <c r="K7157" s="1342"/>
    </row>
    <row r="7158" spans="2:11" ht="14" hidden="1">
      <c r="B7158" s="1342"/>
      <c r="C7158" s="1342"/>
      <c r="D7158" s="1342"/>
      <c r="E7158" s="1342"/>
      <c r="F7158" s="1342"/>
      <c r="G7158" s="1342"/>
      <c r="H7158" s="1342"/>
      <c r="I7158" s="1342"/>
      <c r="J7158" s="1342"/>
      <c r="K7158" s="1342"/>
    </row>
    <row r="7159" spans="2:11" ht="14" hidden="1">
      <c r="B7159" s="1342"/>
      <c r="C7159" s="1342"/>
      <c r="D7159" s="1342"/>
      <c r="E7159" s="1342"/>
      <c r="F7159" s="1342"/>
      <c r="G7159" s="1342"/>
      <c r="H7159" s="1342"/>
      <c r="I7159" s="1342"/>
      <c r="J7159" s="1342"/>
      <c r="K7159" s="1342"/>
    </row>
    <row r="7160" spans="2:11" ht="14" hidden="1">
      <c r="B7160" s="1342"/>
      <c r="C7160" s="1342"/>
      <c r="D7160" s="1342"/>
      <c r="E7160" s="1342"/>
      <c r="F7160" s="1342"/>
      <c r="G7160" s="1342"/>
      <c r="H7160" s="1342"/>
      <c r="I7160" s="1342"/>
      <c r="J7160" s="1342"/>
      <c r="K7160" s="1342"/>
    </row>
    <row r="7161" spans="2:11" ht="14" hidden="1">
      <c r="B7161" s="1342"/>
      <c r="C7161" s="1342"/>
      <c r="D7161" s="1342"/>
      <c r="E7161" s="1342"/>
      <c r="F7161" s="1342"/>
      <c r="G7161" s="1342"/>
      <c r="H7161" s="1342"/>
      <c r="I7161" s="1342"/>
      <c r="J7161" s="1342"/>
      <c r="K7161" s="1342"/>
    </row>
    <row r="7162" spans="2:11" ht="14" hidden="1">
      <c r="B7162" s="1342"/>
      <c r="C7162" s="1342"/>
      <c r="D7162" s="1342"/>
      <c r="E7162" s="1342"/>
      <c r="F7162" s="1342"/>
      <c r="G7162" s="1342"/>
      <c r="H7162" s="1342"/>
      <c r="I7162" s="1342"/>
      <c r="J7162" s="1342"/>
      <c r="K7162" s="1342"/>
    </row>
    <row r="7163" spans="2:11" ht="14" hidden="1">
      <c r="B7163" s="1342"/>
      <c r="C7163" s="1342"/>
      <c r="D7163" s="1342"/>
      <c r="E7163" s="1342"/>
      <c r="F7163" s="1342"/>
      <c r="G7163" s="1342"/>
      <c r="H7163" s="1342"/>
      <c r="I7163" s="1342"/>
      <c r="J7163" s="1342"/>
      <c r="K7163" s="1342"/>
    </row>
    <row r="7164" spans="2:11" ht="14" hidden="1">
      <c r="B7164" s="1342"/>
      <c r="C7164" s="1342"/>
      <c r="D7164" s="1342"/>
      <c r="E7164" s="1342"/>
      <c r="F7164" s="1342"/>
      <c r="G7164" s="1342"/>
      <c r="H7164" s="1342"/>
      <c r="I7164" s="1342"/>
      <c r="J7164" s="1342"/>
      <c r="K7164" s="1342"/>
    </row>
    <row r="7165" spans="2:11" ht="14" hidden="1">
      <c r="B7165" s="1342"/>
      <c r="C7165" s="1342"/>
      <c r="D7165" s="1342"/>
      <c r="E7165" s="1342"/>
      <c r="F7165" s="1342"/>
      <c r="G7165" s="1342"/>
      <c r="H7165" s="1342"/>
      <c r="I7165" s="1342"/>
      <c r="J7165" s="1342"/>
      <c r="K7165" s="1342"/>
    </row>
    <row r="7166" spans="2:11" ht="14" hidden="1">
      <c r="B7166" s="1342"/>
      <c r="C7166" s="1342"/>
      <c r="D7166" s="1342"/>
      <c r="E7166" s="1342"/>
      <c r="F7166" s="1342"/>
      <c r="G7166" s="1342"/>
      <c r="H7166" s="1342"/>
      <c r="I7166" s="1342"/>
      <c r="J7166" s="1342"/>
      <c r="K7166" s="1342"/>
    </row>
    <row r="7167" spans="2:11" ht="14" hidden="1">
      <c r="B7167" s="1342"/>
      <c r="C7167" s="1342"/>
      <c r="D7167" s="1342"/>
      <c r="E7167" s="1342"/>
      <c r="F7167" s="1342"/>
      <c r="G7167" s="1342"/>
      <c r="H7167" s="1342"/>
      <c r="I7167" s="1342"/>
      <c r="J7167" s="1342"/>
      <c r="K7167" s="1342"/>
    </row>
    <row r="7168" spans="2:11" ht="14" hidden="1">
      <c r="B7168" s="1342"/>
      <c r="C7168" s="1342"/>
      <c r="D7168" s="1342"/>
      <c r="E7168" s="1342"/>
      <c r="F7168" s="1342"/>
      <c r="G7168" s="1342"/>
      <c r="H7168" s="1342"/>
      <c r="I7168" s="1342"/>
      <c r="J7168" s="1342"/>
      <c r="K7168" s="1342"/>
    </row>
    <row r="7169" spans="2:11" ht="14" hidden="1">
      <c r="B7169" s="1342"/>
      <c r="C7169" s="1342"/>
      <c r="D7169" s="1342"/>
      <c r="E7169" s="1342"/>
      <c r="F7169" s="1342"/>
      <c r="G7169" s="1342"/>
      <c r="H7169" s="1342"/>
      <c r="I7169" s="1342"/>
      <c r="J7169" s="1342"/>
      <c r="K7169" s="1342"/>
    </row>
    <row r="7170" spans="2:11" ht="14" hidden="1">
      <c r="B7170" s="1342"/>
      <c r="C7170" s="1342"/>
      <c r="D7170" s="1342"/>
      <c r="E7170" s="1342"/>
      <c r="F7170" s="1342"/>
      <c r="G7170" s="1342"/>
      <c r="H7170" s="1342"/>
      <c r="I7170" s="1342"/>
      <c r="J7170" s="1342"/>
      <c r="K7170" s="1342"/>
    </row>
    <row r="7171" spans="2:11" ht="14" hidden="1">
      <c r="B7171" s="1342"/>
      <c r="C7171" s="1342"/>
      <c r="D7171" s="1342"/>
      <c r="E7171" s="1342"/>
      <c r="F7171" s="1342"/>
      <c r="G7171" s="1342"/>
      <c r="H7171" s="1342"/>
      <c r="I7171" s="1342"/>
      <c r="J7171" s="1342"/>
      <c r="K7171" s="1342"/>
    </row>
    <row r="7172" spans="2:11" ht="14" hidden="1">
      <c r="B7172" s="1342"/>
      <c r="C7172" s="1342"/>
      <c r="D7172" s="1342"/>
      <c r="E7172" s="1342"/>
      <c r="F7172" s="1342"/>
      <c r="G7172" s="1342"/>
      <c r="H7172" s="1342"/>
      <c r="I7172" s="1342"/>
      <c r="J7172" s="1342"/>
      <c r="K7172" s="1342"/>
    </row>
    <row r="7173" spans="2:11" ht="14" hidden="1">
      <c r="B7173" s="1342"/>
      <c r="C7173" s="1342"/>
      <c r="D7173" s="1342"/>
      <c r="E7173" s="1342"/>
      <c r="F7173" s="1342"/>
      <c r="G7173" s="1342"/>
      <c r="H7173" s="1342"/>
      <c r="I7173" s="1342"/>
      <c r="J7173" s="1342"/>
      <c r="K7173" s="1342"/>
    </row>
    <row r="7174" spans="2:11" ht="14" hidden="1">
      <c r="B7174" s="1342"/>
      <c r="C7174" s="1342"/>
      <c r="D7174" s="1342"/>
      <c r="E7174" s="1342"/>
      <c r="F7174" s="1342"/>
      <c r="G7174" s="1342"/>
      <c r="H7174" s="1342"/>
      <c r="I7174" s="1342"/>
      <c r="J7174" s="1342"/>
      <c r="K7174" s="1342"/>
    </row>
    <row r="7175" spans="2:11" ht="14" hidden="1">
      <c r="B7175" s="1342"/>
      <c r="C7175" s="1342"/>
      <c r="D7175" s="1342"/>
      <c r="E7175" s="1342"/>
      <c r="F7175" s="1342"/>
      <c r="G7175" s="1342"/>
      <c r="H7175" s="1342"/>
      <c r="I7175" s="1342"/>
      <c r="J7175" s="1342"/>
      <c r="K7175" s="1342"/>
    </row>
    <row r="7176" spans="2:11" ht="14" hidden="1">
      <c r="B7176" s="1342"/>
      <c r="C7176" s="1342"/>
      <c r="D7176" s="1342"/>
      <c r="E7176" s="1342"/>
      <c r="F7176" s="1342"/>
      <c r="G7176" s="1342"/>
      <c r="H7176" s="1342"/>
      <c r="I7176" s="1342"/>
      <c r="J7176" s="1342"/>
      <c r="K7176" s="1342"/>
    </row>
    <row r="7177" spans="2:11" ht="14" hidden="1">
      <c r="B7177" s="1342"/>
      <c r="C7177" s="1342"/>
      <c r="D7177" s="1342"/>
      <c r="E7177" s="1342"/>
      <c r="F7177" s="1342"/>
      <c r="G7177" s="1342"/>
      <c r="H7177" s="1342"/>
      <c r="I7177" s="1342"/>
      <c r="J7177" s="1342"/>
      <c r="K7177" s="1342"/>
    </row>
    <row r="7178" spans="2:11" ht="14" hidden="1">
      <c r="B7178" s="1342"/>
      <c r="C7178" s="1342"/>
      <c r="D7178" s="1342"/>
      <c r="E7178" s="1342"/>
      <c r="F7178" s="1342"/>
      <c r="G7178" s="1342"/>
      <c r="H7178" s="1342"/>
      <c r="I7178" s="1342"/>
      <c r="J7178" s="1342"/>
      <c r="K7178" s="1342"/>
    </row>
    <row r="7179" spans="2:11" ht="14" hidden="1">
      <c r="B7179" s="1342"/>
      <c r="C7179" s="1342"/>
      <c r="D7179" s="1342"/>
      <c r="E7179" s="1342"/>
      <c r="F7179" s="1342"/>
      <c r="G7179" s="1342"/>
      <c r="H7179" s="1342"/>
      <c r="I7179" s="1342"/>
      <c r="J7179" s="1342"/>
      <c r="K7179" s="1342"/>
    </row>
    <row r="7180" spans="2:11" ht="14" hidden="1">
      <c r="B7180" s="1342"/>
      <c r="C7180" s="1342"/>
      <c r="D7180" s="1342"/>
      <c r="E7180" s="1342"/>
      <c r="F7180" s="1342"/>
      <c r="G7180" s="1342"/>
      <c r="H7180" s="1342"/>
      <c r="I7180" s="1342"/>
      <c r="J7180" s="1342"/>
      <c r="K7180" s="1342"/>
    </row>
    <row r="7181" spans="2:11" ht="14" hidden="1">
      <c r="B7181" s="1342"/>
      <c r="C7181" s="1342"/>
      <c r="D7181" s="1342"/>
      <c r="E7181" s="1342"/>
      <c r="F7181" s="1342"/>
      <c r="G7181" s="1342"/>
      <c r="H7181" s="1342"/>
      <c r="I7181" s="1342"/>
      <c r="J7181" s="1342"/>
      <c r="K7181" s="1342"/>
    </row>
    <row r="7182" spans="2:11" ht="14" hidden="1">
      <c r="B7182" s="1342"/>
      <c r="C7182" s="1342"/>
      <c r="D7182" s="1342"/>
      <c r="E7182" s="1342"/>
      <c r="F7182" s="1342"/>
      <c r="G7182" s="1342"/>
      <c r="H7182" s="1342"/>
      <c r="I7182" s="1342"/>
      <c r="J7182" s="1342"/>
      <c r="K7182" s="1342"/>
    </row>
    <row r="7183" spans="2:11" ht="14" hidden="1">
      <c r="B7183" s="1342"/>
      <c r="C7183" s="1342"/>
      <c r="D7183" s="1342"/>
      <c r="E7183" s="1342"/>
      <c r="F7183" s="1342"/>
      <c r="G7183" s="1342"/>
      <c r="H7183" s="1342"/>
      <c r="I7183" s="1342"/>
      <c r="J7183" s="1342"/>
      <c r="K7183" s="1342"/>
    </row>
    <row r="7184" spans="2:11" ht="14" hidden="1">
      <c r="B7184" s="1342"/>
      <c r="C7184" s="1342"/>
      <c r="D7184" s="1342"/>
      <c r="E7184" s="1342"/>
      <c r="F7184" s="1342"/>
      <c r="G7184" s="1342"/>
      <c r="H7184" s="1342"/>
      <c r="I7184" s="1342"/>
      <c r="J7184" s="1342"/>
      <c r="K7184" s="1342"/>
    </row>
    <row r="7185" spans="2:11" ht="14" hidden="1">
      <c r="B7185" s="1342"/>
      <c r="C7185" s="1342"/>
      <c r="D7185" s="1342"/>
      <c r="E7185" s="1342"/>
      <c r="F7185" s="1342"/>
      <c r="G7185" s="1342"/>
      <c r="H7185" s="1342"/>
      <c r="I7185" s="1342"/>
      <c r="J7185" s="1342"/>
      <c r="K7185" s="1342"/>
    </row>
    <row r="7186" spans="2:11" ht="14" hidden="1">
      <c r="B7186" s="1342"/>
      <c r="C7186" s="1342"/>
      <c r="D7186" s="1342"/>
      <c r="E7186" s="1342"/>
      <c r="F7186" s="1342"/>
      <c r="G7186" s="1342"/>
      <c r="H7186" s="1342"/>
      <c r="I7186" s="1342"/>
      <c r="J7186" s="1342"/>
      <c r="K7186" s="1342"/>
    </row>
    <row r="7187" spans="2:11" ht="14" hidden="1">
      <c r="B7187" s="1342"/>
      <c r="C7187" s="1342"/>
      <c r="D7187" s="1342"/>
      <c r="E7187" s="1342"/>
      <c r="F7187" s="1342"/>
      <c r="G7187" s="1342"/>
      <c r="H7187" s="1342"/>
      <c r="I7187" s="1342"/>
      <c r="J7187" s="1342"/>
      <c r="K7187" s="1342"/>
    </row>
    <row r="7188" spans="2:11" ht="14" hidden="1">
      <c r="B7188" s="1342"/>
      <c r="C7188" s="1342"/>
      <c r="D7188" s="1342"/>
      <c r="E7188" s="1342"/>
      <c r="F7188" s="1342"/>
      <c r="G7188" s="1342"/>
      <c r="H7188" s="1342"/>
      <c r="I7188" s="1342"/>
      <c r="J7188" s="1342"/>
      <c r="K7188" s="1342"/>
    </row>
    <row r="7189" spans="2:11" ht="14" hidden="1">
      <c r="B7189" s="1342"/>
      <c r="C7189" s="1342"/>
      <c r="D7189" s="1342"/>
      <c r="E7189" s="1342"/>
      <c r="F7189" s="1342"/>
      <c r="G7189" s="1342"/>
      <c r="H7189" s="1342"/>
      <c r="I7189" s="1342"/>
      <c r="J7189" s="1342"/>
      <c r="K7189" s="1342"/>
    </row>
    <row r="7190" spans="2:11" ht="14" hidden="1">
      <c r="B7190" s="1342"/>
      <c r="C7190" s="1342"/>
      <c r="D7190" s="1342"/>
      <c r="E7190" s="1342"/>
      <c r="F7190" s="1342"/>
      <c r="G7190" s="1342"/>
      <c r="H7190" s="1342"/>
      <c r="I7190" s="1342"/>
      <c r="J7190" s="1342"/>
      <c r="K7190" s="1342"/>
    </row>
    <row r="7191" spans="2:11" ht="14" hidden="1">
      <c r="B7191" s="1342"/>
      <c r="C7191" s="1342"/>
      <c r="D7191" s="1342"/>
      <c r="E7191" s="1342"/>
      <c r="F7191" s="1342"/>
      <c r="G7191" s="1342"/>
      <c r="H7191" s="1342"/>
      <c r="I7191" s="1342"/>
      <c r="J7191" s="1342"/>
      <c r="K7191" s="1342"/>
    </row>
    <row r="7192" spans="2:11" ht="14" hidden="1">
      <c r="B7192" s="1342"/>
      <c r="C7192" s="1342"/>
      <c r="D7192" s="1342"/>
      <c r="E7192" s="1342"/>
      <c r="F7192" s="1342"/>
      <c r="G7192" s="1342"/>
      <c r="H7192" s="1342"/>
      <c r="I7192" s="1342"/>
      <c r="J7192" s="1342"/>
      <c r="K7192" s="1342"/>
    </row>
    <row r="7193" spans="2:11" ht="14" hidden="1">
      <c r="B7193" s="1342"/>
      <c r="C7193" s="1342"/>
      <c r="D7193" s="1342"/>
      <c r="E7193" s="1342"/>
      <c r="F7193" s="1342"/>
      <c r="G7193" s="1342"/>
      <c r="H7193" s="1342"/>
      <c r="I7193" s="1342"/>
      <c r="J7193" s="1342"/>
      <c r="K7193" s="1342"/>
    </row>
    <row r="7194" spans="2:11" ht="14" hidden="1">
      <c r="B7194" s="1342"/>
      <c r="C7194" s="1342"/>
      <c r="D7194" s="1342"/>
      <c r="E7194" s="1342"/>
      <c r="F7194" s="1342"/>
      <c r="G7194" s="1342"/>
      <c r="H7194" s="1342"/>
      <c r="I7194" s="1342"/>
      <c r="J7194" s="1342"/>
      <c r="K7194" s="1342"/>
    </row>
    <row r="7195" spans="2:11" ht="14" hidden="1">
      <c r="B7195" s="1342"/>
      <c r="C7195" s="1342"/>
      <c r="D7195" s="1342"/>
      <c r="E7195" s="1342"/>
      <c r="F7195" s="1342"/>
      <c r="G7195" s="1342"/>
      <c r="H7195" s="1342"/>
      <c r="I7195" s="1342"/>
      <c r="J7195" s="1342"/>
      <c r="K7195" s="1342"/>
    </row>
    <row r="7196" spans="2:11" ht="14" hidden="1">
      <c r="B7196" s="1342"/>
      <c r="C7196" s="1342"/>
      <c r="D7196" s="1342"/>
      <c r="E7196" s="1342"/>
      <c r="F7196" s="1342"/>
      <c r="G7196" s="1342"/>
      <c r="H7196" s="1342"/>
      <c r="I7196" s="1342"/>
      <c r="J7196" s="1342"/>
      <c r="K7196" s="1342"/>
    </row>
    <row r="7197" spans="2:11" ht="14" hidden="1">
      <c r="B7197" s="1342"/>
      <c r="C7197" s="1342"/>
      <c r="D7197" s="1342"/>
      <c r="E7197" s="1342"/>
      <c r="F7197" s="1342"/>
      <c r="G7197" s="1342"/>
      <c r="H7197" s="1342"/>
      <c r="I7197" s="1342"/>
      <c r="J7197" s="1342"/>
      <c r="K7197" s="1342"/>
    </row>
    <row r="7198" spans="2:11" ht="14" hidden="1">
      <c r="B7198" s="1342"/>
      <c r="C7198" s="1342"/>
      <c r="D7198" s="1342"/>
      <c r="E7198" s="1342"/>
      <c r="F7198" s="1342"/>
      <c r="G7198" s="1342"/>
      <c r="H7198" s="1342"/>
      <c r="I7198" s="1342"/>
      <c r="J7198" s="1342"/>
      <c r="K7198" s="1342"/>
    </row>
    <row r="7199" spans="2:11" ht="14" hidden="1">
      <c r="B7199" s="1342"/>
      <c r="C7199" s="1342"/>
      <c r="D7199" s="1342"/>
      <c r="E7199" s="1342"/>
      <c r="F7199" s="1342"/>
      <c r="G7199" s="1342"/>
      <c r="H7199" s="1342"/>
      <c r="I7199" s="1342"/>
      <c r="J7199" s="1342"/>
      <c r="K7199" s="1342"/>
    </row>
    <row r="7200" spans="2:11" ht="14" hidden="1">
      <c r="B7200" s="1342"/>
      <c r="C7200" s="1342"/>
      <c r="D7200" s="1342"/>
      <c r="E7200" s="1342"/>
      <c r="F7200" s="1342"/>
      <c r="G7200" s="1342"/>
      <c r="H7200" s="1342"/>
      <c r="I7200" s="1342"/>
      <c r="J7200" s="1342"/>
      <c r="K7200" s="1342"/>
    </row>
    <row r="7201" spans="2:11" ht="14" hidden="1">
      <c r="B7201" s="1342"/>
      <c r="C7201" s="1342"/>
      <c r="D7201" s="1342"/>
      <c r="E7201" s="1342"/>
      <c r="F7201" s="1342"/>
      <c r="G7201" s="1342"/>
      <c r="H7201" s="1342"/>
      <c r="I7201" s="1342"/>
      <c r="J7201" s="1342"/>
      <c r="K7201" s="1342"/>
    </row>
    <row r="7202" spans="2:11" ht="14" hidden="1">
      <c r="B7202" s="1342"/>
      <c r="C7202" s="1342"/>
      <c r="D7202" s="1342"/>
      <c r="E7202" s="1342"/>
      <c r="F7202" s="1342"/>
      <c r="G7202" s="1342"/>
      <c r="H7202" s="1342"/>
      <c r="I7202" s="1342"/>
      <c r="J7202" s="1342"/>
      <c r="K7202" s="1342"/>
    </row>
    <row r="7203" spans="2:11" ht="14" hidden="1">
      <c r="B7203" s="1342"/>
      <c r="C7203" s="1342"/>
      <c r="D7203" s="1342"/>
      <c r="E7203" s="1342"/>
      <c r="F7203" s="1342"/>
      <c r="G7203" s="1342"/>
      <c r="H7203" s="1342"/>
      <c r="I7203" s="1342"/>
      <c r="J7203" s="1342"/>
      <c r="K7203" s="1342"/>
    </row>
    <row r="7204" spans="2:11" ht="14" hidden="1">
      <c r="B7204" s="1342"/>
      <c r="C7204" s="1342"/>
      <c r="D7204" s="1342"/>
      <c r="E7204" s="1342"/>
      <c r="F7204" s="1342"/>
      <c r="G7204" s="1342"/>
      <c r="H7204" s="1342"/>
      <c r="I7204" s="1342"/>
      <c r="J7204" s="1342"/>
      <c r="K7204" s="1342"/>
    </row>
    <row r="7205" spans="2:11" ht="14" hidden="1">
      <c r="B7205" s="1342"/>
      <c r="C7205" s="1342"/>
      <c r="D7205" s="1342"/>
      <c r="E7205" s="1342"/>
      <c r="F7205" s="1342"/>
      <c r="G7205" s="1342"/>
      <c r="H7205" s="1342"/>
      <c r="I7205" s="1342"/>
      <c r="J7205" s="1342"/>
      <c r="K7205" s="1342"/>
    </row>
    <row r="7206" spans="2:11" ht="14" hidden="1">
      <c r="B7206" s="1342"/>
      <c r="C7206" s="1342"/>
      <c r="D7206" s="1342"/>
      <c r="E7206" s="1342"/>
      <c r="F7206" s="1342"/>
      <c r="G7206" s="1342"/>
      <c r="H7206" s="1342"/>
      <c r="I7206" s="1342"/>
      <c r="J7206" s="1342"/>
      <c r="K7206" s="1342"/>
    </row>
    <row r="7207" spans="2:11" ht="14" hidden="1">
      <c r="B7207" s="1342"/>
      <c r="C7207" s="1342"/>
      <c r="D7207" s="1342"/>
      <c r="E7207" s="1342"/>
      <c r="F7207" s="1342"/>
      <c r="G7207" s="1342"/>
      <c r="H7207" s="1342"/>
      <c r="I7207" s="1342"/>
      <c r="J7207" s="1342"/>
      <c r="K7207" s="1342"/>
    </row>
    <row r="7208" spans="2:11" ht="14" hidden="1">
      <c r="B7208" s="1342"/>
      <c r="C7208" s="1342"/>
      <c r="D7208" s="1342"/>
      <c r="E7208" s="1342"/>
      <c r="F7208" s="1342"/>
      <c r="G7208" s="1342"/>
      <c r="H7208" s="1342"/>
      <c r="I7208" s="1342"/>
      <c r="J7208" s="1342"/>
      <c r="K7208" s="1342"/>
    </row>
    <row r="7209" spans="2:11" ht="14" hidden="1">
      <c r="B7209" s="1342"/>
      <c r="C7209" s="1342"/>
      <c r="D7209" s="1342"/>
      <c r="E7209" s="1342"/>
      <c r="F7209" s="1342"/>
      <c r="G7209" s="1342"/>
      <c r="H7209" s="1342"/>
      <c r="I7209" s="1342"/>
      <c r="J7209" s="1342"/>
      <c r="K7209" s="1342"/>
    </row>
    <row r="7210" spans="2:11" ht="14" hidden="1">
      <c r="B7210" s="1342"/>
      <c r="C7210" s="1342"/>
      <c r="D7210" s="1342"/>
      <c r="E7210" s="1342"/>
      <c r="F7210" s="1342"/>
      <c r="G7210" s="1342"/>
      <c r="H7210" s="1342"/>
      <c r="I7210" s="1342"/>
      <c r="J7210" s="1342"/>
      <c r="K7210" s="1342"/>
    </row>
    <row r="7211" spans="2:11" ht="14" hidden="1">
      <c r="B7211" s="1342"/>
      <c r="C7211" s="1342"/>
      <c r="D7211" s="1342"/>
      <c r="E7211" s="1342"/>
      <c r="F7211" s="1342"/>
      <c r="G7211" s="1342"/>
      <c r="H7211" s="1342"/>
      <c r="I7211" s="1342"/>
      <c r="J7211" s="1342"/>
      <c r="K7211" s="1342"/>
    </row>
    <row r="7212" spans="2:11" ht="14" hidden="1">
      <c r="B7212" s="1342"/>
      <c r="C7212" s="1342"/>
      <c r="D7212" s="1342"/>
      <c r="E7212" s="1342"/>
      <c r="F7212" s="1342"/>
      <c r="G7212" s="1342"/>
      <c r="H7212" s="1342"/>
      <c r="I7212" s="1342"/>
      <c r="J7212" s="1342"/>
      <c r="K7212" s="1342"/>
    </row>
    <row r="7213" spans="2:11" ht="14" hidden="1">
      <c r="B7213" s="1342"/>
      <c r="C7213" s="1342"/>
      <c r="D7213" s="1342"/>
      <c r="E7213" s="1342"/>
      <c r="F7213" s="1342"/>
      <c r="G7213" s="1342"/>
      <c r="H7213" s="1342"/>
      <c r="I7213" s="1342"/>
      <c r="J7213" s="1342"/>
      <c r="K7213" s="1342"/>
    </row>
    <row r="7214" spans="2:11" ht="14" hidden="1">
      <c r="B7214" s="1342"/>
      <c r="C7214" s="1342"/>
      <c r="D7214" s="1342"/>
      <c r="E7214" s="1342"/>
      <c r="F7214" s="1342"/>
      <c r="G7214" s="1342"/>
      <c r="H7214" s="1342"/>
      <c r="I7214" s="1342"/>
      <c r="J7214" s="1342"/>
      <c r="K7214" s="1342"/>
    </row>
    <row r="7215" spans="2:11" ht="14" hidden="1">
      <c r="B7215" s="1342"/>
      <c r="C7215" s="1342"/>
      <c r="D7215" s="1342"/>
      <c r="E7215" s="1342"/>
      <c r="F7215" s="1342"/>
      <c r="G7215" s="1342"/>
      <c r="H7215" s="1342"/>
      <c r="I7215" s="1342"/>
      <c r="J7215" s="1342"/>
      <c r="K7215" s="1342"/>
    </row>
    <row r="7216" spans="2:11" ht="14" hidden="1">
      <c r="B7216" s="1342"/>
      <c r="C7216" s="1342"/>
      <c r="D7216" s="1342"/>
      <c r="E7216" s="1342"/>
      <c r="F7216" s="1342"/>
      <c r="G7216" s="1342"/>
      <c r="H7216" s="1342"/>
      <c r="I7216" s="1342"/>
      <c r="J7216" s="1342"/>
      <c r="K7216" s="1342"/>
    </row>
    <row r="7217" spans="2:11" ht="14" hidden="1">
      <c r="B7217" s="1342"/>
      <c r="C7217" s="1342"/>
      <c r="D7217" s="1342"/>
      <c r="E7217" s="1342"/>
      <c r="F7217" s="1342"/>
      <c r="G7217" s="1342"/>
      <c r="H7217" s="1342"/>
      <c r="I7217" s="1342"/>
      <c r="J7217" s="1342"/>
      <c r="K7217" s="1342"/>
    </row>
    <row r="7218" spans="2:11" ht="14" hidden="1">
      <c r="B7218" s="1342"/>
      <c r="C7218" s="1342"/>
      <c r="D7218" s="1342"/>
      <c r="E7218" s="1342"/>
      <c r="F7218" s="1342"/>
      <c r="G7218" s="1342"/>
      <c r="H7218" s="1342"/>
      <c r="I7218" s="1342"/>
      <c r="J7218" s="1342"/>
      <c r="K7218" s="1342"/>
    </row>
    <row r="7219" spans="2:11" ht="14" hidden="1">
      <c r="B7219" s="1342"/>
      <c r="C7219" s="1342"/>
      <c r="D7219" s="1342"/>
      <c r="E7219" s="1342"/>
      <c r="F7219" s="1342"/>
      <c r="G7219" s="1342"/>
      <c r="H7219" s="1342"/>
      <c r="I7219" s="1342"/>
      <c r="J7219" s="1342"/>
      <c r="K7219" s="1342"/>
    </row>
    <row r="7220" spans="2:11" ht="14" hidden="1">
      <c r="B7220" s="1342"/>
      <c r="C7220" s="1342"/>
      <c r="D7220" s="1342"/>
      <c r="E7220" s="1342"/>
      <c r="F7220" s="1342"/>
      <c r="G7220" s="1342"/>
      <c r="H7220" s="1342"/>
      <c r="I7220" s="1342"/>
      <c r="J7220" s="1342"/>
      <c r="K7220" s="1342"/>
    </row>
    <row r="7221" spans="2:11" ht="14" hidden="1">
      <c r="B7221" s="1342"/>
      <c r="C7221" s="1342"/>
      <c r="D7221" s="1342"/>
      <c r="E7221" s="1342"/>
      <c r="F7221" s="1342"/>
      <c r="G7221" s="1342"/>
      <c r="H7221" s="1342"/>
      <c r="I7221" s="1342"/>
      <c r="J7221" s="1342"/>
      <c r="K7221" s="1342"/>
    </row>
    <row r="7222" spans="2:11" ht="14" hidden="1">
      <c r="B7222" s="1342"/>
      <c r="C7222" s="1342"/>
      <c r="D7222" s="1342"/>
      <c r="E7222" s="1342"/>
      <c r="F7222" s="1342"/>
      <c r="G7222" s="1342"/>
      <c r="H7222" s="1342"/>
      <c r="I7222" s="1342"/>
      <c r="J7222" s="1342"/>
      <c r="K7222" s="1342"/>
    </row>
    <row r="7223" spans="2:11" ht="14" hidden="1">
      <c r="B7223" s="1342"/>
      <c r="C7223" s="1342"/>
      <c r="D7223" s="1342"/>
      <c r="E7223" s="1342"/>
      <c r="F7223" s="1342"/>
      <c r="G7223" s="1342"/>
      <c r="H7223" s="1342"/>
      <c r="I7223" s="1342"/>
      <c r="J7223" s="1342"/>
      <c r="K7223" s="1342"/>
    </row>
    <row r="7224" spans="2:11" ht="14" hidden="1">
      <c r="B7224" s="1342"/>
      <c r="C7224" s="1342"/>
      <c r="D7224" s="1342"/>
      <c r="E7224" s="1342"/>
      <c r="F7224" s="1342"/>
      <c r="G7224" s="1342"/>
      <c r="H7224" s="1342"/>
      <c r="I7224" s="1342"/>
      <c r="J7224" s="1342"/>
      <c r="K7224" s="1342"/>
    </row>
    <row r="7225" spans="2:11" ht="14" hidden="1">
      <c r="B7225" s="1342"/>
      <c r="C7225" s="1342"/>
      <c r="D7225" s="1342"/>
      <c r="E7225" s="1342"/>
      <c r="F7225" s="1342"/>
      <c r="G7225" s="1342"/>
      <c r="H7225" s="1342"/>
      <c r="I7225" s="1342"/>
      <c r="J7225" s="1342"/>
      <c r="K7225" s="1342"/>
    </row>
    <row r="7226" spans="2:11" ht="14" hidden="1">
      <c r="B7226" s="1342"/>
      <c r="C7226" s="1342"/>
      <c r="D7226" s="1342"/>
      <c r="E7226" s="1342"/>
      <c r="F7226" s="1342"/>
      <c r="G7226" s="1342"/>
      <c r="H7226" s="1342"/>
      <c r="I7226" s="1342"/>
      <c r="J7226" s="1342"/>
      <c r="K7226" s="1342"/>
    </row>
    <row r="7227" spans="2:11" ht="14" hidden="1">
      <c r="B7227" s="1342"/>
      <c r="C7227" s="1342"/>
      <c r="D7227" s="1342"/>
      <c r="E7227" s="1342"/>
      <c r="F7227" s="1342"/>
      <c r="G7227" s="1342"/>
      <c r="H7227" s="1342"/>
      <c r="I7227" s="1342"/>
      <c r="J7227" s="1342"/>
      <c r="K7227" s="1342"/>
    </row>
    <row r="7228" spans="2:11" ht="14" hidden="1">
      <c r="B7228" s="1342"/>
      <c r="C7228" s="1342"/>
      <c r="D7228" s="1342"/>
      <c r="E7228" s="1342"/>
      <c r="F7228" s="1342"/>
      <c r="G7228" s="1342"/>
      <c r="H7228" s="1342"/>
      <c r="I7228" s="1342"/>
      <c r="J7228" s="1342"/>
      <c r="K7228" s="1342"/>
    </row>
    <row r="7229" spans="2:11" ht="14" hidden="1">
      <c r="B7229" s="1342"/>
      <c r="C7229" s="1342"/>
      <c r="D7229" s="1342"/>
      <c r="E7229" s="1342"/>
      <c r="F7229" s="1342"/>
      <c r="G7229" s="1342"/>
      <c r="H7229" s="1342"/>
      <c r="I7229" s="1342"/>
      <c r="J7229" s="1342"/>
      <c r="K7229" s="1342"/>
    </row>
    <row r="7230" spans="2:11" ht="14" hidden="1">
      <c r="B7230" s="1342"/>
      <c r="C7230" s="1342"/>
      <c r="D7230" s="1342"/>
      <c r="E7230" s="1342"/>
      <c r="F7230" s="1342"/>
      <c r="G7230" s="1342"/>
      <c r="H7230" s="1342"/>
      <c r="I7230" s="1342"/>
      <c r="J7230" s="1342"/>
      <c r="K7230" s="1342"/>
    </row>
    <row r="7231" spans="2:11" ht="14" hidden="1">
      <c r="B7231" s="1342"/>
      <c r="C7231" s="1342"/>
      <c r="D7231" s="1342"/>
      <c r="E7231" s="1342"/>
      <c r="F7231" s="1342"/>
      <c r="G7231" s="1342"/>
      <c r="H7231" s="1342"/>
      <c r="I7231" s="1342"/>
      <c r="J7231" s="1342"/>
      <c r="K7231" s="1342"/>
    </row>
    <row r="7232" spans="2:11" ht="14" hidden="1">
      <c r="B7232" s="1342"/>
      <c r="C7232" s="1342"/>
      <c r="D7232" s="1342"/>
      <c r="E7232" s="1342"/>
      <c r="F7232" s="1342"/>
      <c r="G7232" s="1342"/>
      <c r="H7232" s="1342"/>
      <c r="I7232" s="1342"/>
      <c r="J7232" s="1342"/>
      <c r="K7232" s="1342"/>
    </row>
    <row r="7233" spans="2:11" ht="14" hidden="1">
      <c r="B7233" s="1342"/>
      <c r="C7233" s="1342"/>
      <c r="D7233" s="1342"/>
      <c r="E7233" s="1342"/>
      <c r="F7233" s="1342"/>
      <c r="G7233" s="1342"/>
      <c r="H7233" s="1342"/>
      <c r="I7233" s="1342"/>
      <c r="J7233" s="1342"/>
      <c r="K7233" s="1342"/>
    </row>
    <row r="7234" spans="2:11" ht="14" hidden="1">
      <c r="B7234" s="1342"/>
      <c r="C7234" s="1342"/>
      <c r="D7234" s="1342"/>
      <c r="E7234" s="1342"/>
      <c r="F7234" s="1342"/>
      <c r="G7234" s="1342"/>
      <c r="H7234" s="1342"/>
      <c r="I7234" s="1342"/>
      <c r="J7234" s="1342"/>
      <c r="K7234" s="1342"/>
    </row>
    <row r="7235" spans="2:11" ht="14" hidden="1">
      <c r="B7235" s="1342"/>
      <c r="C7235" s="1342"/>
      <c r="D7235" s="1342"/>
      <c r="E7235" s="1342"/>
      <c r="F7235" s="1342"/>
      <c r="G7235" s="1342"/>
      <c r="H7235" s="1342"/>
      <c r="I7235" s="1342"/>
      <c r="J7235" s="1342"/>
      <c r="K7235" s="1342"/>
    </row>
    <row r="7236" spans="2:11" ht="14" hidden="1">
      <c r="B7236" s="1342"/>
      <c r="C7236" s="1342"/>
      <c r="D7236" s="1342"/>
      <c r="E7236" s="1342"/>
      <c r="F7236" s="1342"/>
      <c r="G7236" s="1342"/>
      <c r="H7236" s="1342"/>
      <c r="I7236" s="1342"/>
      <c r="J7236" s="1342"/>
      <c r="K7236" s="1342"/>
    </row>
    <row r="7237" spans="2:11" ht="14" hidden="1">
      <c r="B7237" s="1342"/>
      <c r="C7237" s="1342"/>
      <c r="D7237" s="1342"/>
      <c r="E7237" s="1342"/>
      <c r="F7237" s="1342"/>
      <c r="G7237" s="1342"/>
      <c r="H7237" s="1342"/>
      <c r="I7237" s="1342"/>
      <c r="J7237" s="1342"/>
      <c r="K7237" s="1342"/>
    </row>
    <row r="7238" spans="2:11" ht="14" hidden="1">
      <c r="B7238" s="1342"/>
      <c r="C7238" s="1342"/>
      <c r="D7238" s="1342"/>
      <c r="E7238" s="1342"/>
      <c r="F7238" s="1342"/>
      <c r="G7238" s="1342"/>
      <c r="H7238" s="1342"/>
      <c r="I7238" s="1342"/>
      <c r="J7238" s="1342"/>
      <c r="K7238" s="1342"/>
    </row>
    <row r="7239" spans="2:11" ht="14" hidden="1">
      <c r="B7239" s="1342"/>
      <c r="C7239" s="1342"/>
      <c r="D7239" s="1342"/>
      <c r="E7239" s="1342"/>
      <c r="F7239" s="1342"/>
      <c r="G7239" s="1342"/>
      <c r="H7239" s="1342"/>
      <c r="I7239" s="1342"/>
      <c r="J7239" s="1342"/>
      <c r="K7239" s="1342"/>
    </row>
    <row r="7240" spans="2:11" ht="14" hidden="1">
      <c r="B7240" s="1342"/>
      <c r="C7240" s="1342"/>
      <c r="D7240" s="1342"/>
      <c r="E7240" s="1342"/>
      <c r="F7240" s="1342"/>
      <c r="G7240" s="1342"/>
      <c r="H7240" s="1342"/>
      <c r="I7240" s="1342"/>
      <c r="J7240" s="1342"/>
      <c r="K7240" s="1342"/>
    </row>
    <row r="7241" spans="2:11" ht="14" hidden="1">
      <c r="B7241" s="1342"/>
      <c r="C7241" s="1342"/>
      <c r="D7241" s="1342"/>
      <c r="E7241" s="1342"/>
      <c r="F7241" s="1342"/>
      <c r="G7241" s="1342"/>
      <c r="H7241" s="1342"/>
      <c r="I7241" s="1342"/>
      <c r="J7241" s="1342"/>
      <c r="K7241" s="1342"/>
    </row>
    <row r="7242" spans="2:11" ht="14" hidden="1">
      <c r="B7242" s="1342"/>
      <c r="C7242" s="1342"/>
      <c r="D7242" s="1342"/>
      <c r="E7242" s="1342"/>
      <c r="F7242" s="1342"/>
      <c r="G7242" s="1342"/>
      <c r="H7242" s="1342"/>
      <c r="I7242" s="1342"/>
      <c r="J7242" s="1342"/>
      <c r="K7242" s="1342"/>
    </row>
    <row r="7243" spans="2:11" ht="14" hidden="1">
      <c r="B7243" s="1342"/>
      <c r="C7243" s="1342"/>
      <c r="D7243" s="1342"/>
      <c r="E7243" s="1342"/>
      <c r="F7243" s="1342"/>
      <c r="G7243" s="1342"/>
      <c r="H7243" s="1342"/>
      <c r="I7243" s="1342"/>
      <c r="J7243" s="1342"/>
      <c r="K7243" s="1342"/>
    </row>
    <row r="7244" spans="2:11" ht="14" hidden="1">
      <c r="B7244" s="1342"/>
      <c r="C7244" s="1342"/>
      <c r="D7244" s="1342"/>
      <c r="E7244" s="1342"/>
      <c r="F7244" s="1342"/>
      <c r="G7244" s="1342"/>
      <c r="H7244" s="1342"/>
      <c r="I7244" s="1342"/>
      <c r="J7244" s="1342"/>
      <c r="K7244" s="1342"/>
    </row>
    <row r="7245" spans="2:11" ht="14" hidden="1">
      <c r="B7245" s="1342"/>
      <c r="C7245" s="1342"/>
      <c r="D7245" s="1342"/>
      <c r="E7245" s="1342"/>
      <c r="F7245" s="1342"/>
      <c r="G7245" s="1342"/>
      <c r="H7245" s="1342"/>
      <c r="I7245" s="1342"/>
      <c r="J7245" s="1342"/>
      <c r="K7245" s="1342"/>
    </row>
    <row r="7246" spans="2:11" ht="14" hidden="1">
      <c r="B7246" s="1342"/>
      <c r="C7246" s="1342"/>
      <c r="D7246" s="1342"/>
      <c r="E7246" s="1342"/>
      <c r="F7246" s="1342"/>
      <c r="G7246" s="1342"/>
      <c r="H7246" s="1342"/>
      <c r="I7246" s="1342"/>
      <c r="J7246" s="1342"/>
      <c r="K7246" s="1342"/>
    </row>
    <row r="7247" spans="2:11" ht="14" hidden="1">
      <c r="B7247" s="1342"/>
      <c r="C7247" s="1342"/>
      <c r="D7247" s="1342"/>
      <c r="E7247" s="1342"/>
      <c r="F7247" s="1342"/>
      <c r="G7247" s="1342"/>
      <c r="H7247" s="1342"/>
      <c r="I7247" s="1342"/>
      <c r="J7247" s="1342"/>
      <c r="K7247" s="1342"/>
    </row>
    <row r="7248" spans="2:11" ht="14" hidden="1">
      <c r="B7248" s="1342"/>
      <c r="C7248" s="1342"/>
      <c r="D7248" s="1342"/>
      <c r="E7248" s="1342"/>
      <c r="F7248" s="1342"/>
      <c r="G7248" s="1342"/>
      <c r="H7248" s="1342"/>
      <c r="I7248" s="1342"/>
      <c r="J7248" s="1342"/>
      <c r="K7248" s="1342"/>
    </row>
    <row r="7249" spans="2:11" ht="14" hidden="1">
      <c r="B7249" s="1342"/>
      <c r="C7249" s="1342"/>
      <c r="D7249" s="1342"/>
      <c r="E7249" s="1342"/>
      <c r="F7249" s="1342"/>
      <c r="G7249" s="1342"/>
      <c r="H7249" s="1342"/>
      <c r="I7249" s="1342"/>
      <c r="J7249" s="1342"/>
      <c r="K7249" s="1342"/>
    </row>
    <row r="7250" spans="2:11" ht="14" hidden="1">
      <c r="B7250" s="1342"/>
      <c r="C7250" s="1342"/>
      <c r="D7250" s="1342"/>
      <c r="E7250" s="1342"/>
      <c r="F7250" s="1342"/>
      <c r="G7250" s="1342"/>
      <c r="H7250" s="1342"/>
      <c r="I7250" s="1342"/>
      <c r="J7250" s="1342"/>
      <c r="K7250" s="1342"/>
    </row>
    <row r="7251" spans="2:11" ht="14" hidden="1">
      <c r="B7251" s="1342"/>
      <c r="C7251" s="1342"/>
      <c r="D7251" s="1342"/>
      <c r="E7251" s="1342"/>
      <c r="F7251" s="1342"/>
      <c r="G7251" s="1342"/>
      <c r="H7251" s="1342"/>
      <c r="I7251" s="1342"/>
      <c r="J7251" s="1342"/>
      <c r="K7251" s="1342"/>
    </row>
    <row r="7252" spans="2:11" ht="14" hidden="1">
      <c r="B7252" s="1342"/>
      <c r="C7252" s="1342"/>
      <c r="D7252" s="1342"/>
      <c r="E7252" s="1342"/>
      <c r="F7252" s="1342"/>
      <c r="G7252" s="1342"/>
      <c r="H7252" s="1342"/>
      <c r="I7252" s="1342"/>
      <c r="J7252" s="1342"/>
      <c r="K7252" s="1342"/>
    </row>
    <row r="7253" spans="2:11" ht="14" hidden="1">
      <c r="B7253" s="1342"/>
      <c r="C7253" s="1342"/>
      <c r="D7253" s="1342"/>
      <c r="E7253" s="1342"/>
      <c r="F7253" s="1342"/>
      <c r="G7253" s="1342"/>
      <c r="H7253" s="1342"/>
      <c r="I7253" s="1342"/>
      <c r="J7253" s="1342"/>
      <c r="K7253" s="1342"/>
    </row>
    <row r="7254" spans="2:11" ht="14" hidden="1">
      <c r="B7254" s="1342"/>
      <c r="C7254" s="1342"/>
      <c r="D7254" s="1342"/>
      <c r="E7254" s="1342"/>
      <c r="F7254" s="1342"/>
      <c r="G7254" s="1342"/>
      <c r="H7254" s="1342"/>
      <c r="I7254" s="1342"/>
      <c r="J7254" s="1342"/>
      <c r="K7254" s="1342"/>
    </row>
    <row r="7255" spans="2:11" ht="14" hidden="1">
      <c r="B7255" s="1342"/>
      <c r="C7255" s="1342"/>
      <c r="D7255" s="1342"/>
      <c r="E7255" s="1342"/>
      <c r="F7255" s="1342"/>
      <c r="G7255" s="1342"/>
      <c r="H7255" s="1342"/>
      <c r="I7255" s="1342"/>
      <c r="J7255" s="1342"/>
      <c r="K7255" s="1342"/>
    </row>
    <row r="7256" spans="2:11" ht="14" hidden="1">
      <c r="B7256" s="1342"/>
      <c r="C7256" s="1342"/>
      <c r="D7256" s="1342"/>
      <c r="E7256" s="1342"/>
      <c r="F7256" s="1342"/>
      <c r="G7256" s="1342"/>
      <c r="H7256" s="1342"/>
      <c r="I7256" s="1342"/>
      <c r="J7256" s="1342"/>
      <c r="K7256" s="1342"/>
    </row>
    <row r="7257" spans="2:11" ht="14" hidden="1">
      <c r="B7257" s="1342"/>
      <c r="C7257" s="1342"/>
      <c r="D7257" s="1342"/>
      <c r="E7257" s="1342"/>
      <c r="F7257" s="1342"/>
      <c r="G7257" s="1342"/>
      <c r="H7257" s="1342"/>
      <c r="I7257" s="1342"/>
      <c r="J7257" s="1342"/>
      <c r="K7257" s="1342"/>
    </row>
    <row r="7258" spans="2:11" ht="14" hidden="1">
      <c r="B7258" s="1342"/>
      <c r="C7258" s="1342"/>
      <c r="D7258" s="1342"/>
      <c r="E7258" s="1342"/>
      <c r="F7258" s="1342"/>
      <c r="G7258" s="1342"/>
      <c r="H7258" s="1342"/>
      <c r="I7258" s="1342"/>
      <c r="J7258" s="1342"/>
      <c r="K7258" s="1342"/>
    </row>
    <row r="7259" spans="2:11" ht="14" hidden="1">
      <c r="B7259" s="1342"/>
      <c r="C7259" s="1342"/>
      <c r="D7259" s="1342"/>
      <c r="E7259" s="1342"/>
      <c r="F7259" s="1342"/>
      <c r="G7259" s="1342"/>
      <c r="H7259" s="1342"/>
      <c r="I7259" s="1342"/>
      <c r="J7259" s="1342"/>
      <c r="K7259" s="1342"/>
    </row>
    <row r="7260" spans="2:11" ht="14" hidden="1">
      <c r="B7260" s="1342"/>
      <c r="C7260" s="1342"/>
      <c r="D7260" s="1342"/>
      <c r="E7260" s="1342"/>
      <c r="F7260" s="1342"/>
      <c r="G7260" s="1342"/>
      <c r="H7260" s="1342"/>
      <c r="I7260" s="1342"/>
      <c r="J7260" s="1342"/>
      <c r="K7260" s="1342"/>
    </row>
    <row r="7261" spans="2:11" ht="14" hidden="1">
      <c r="B7261" s="1342"/>
      <c r="C7261" s="1342"/>
      <c r="D7261" s="1342"/>
      <c r="E7261" s="1342"/>
      <c r="F7261" s="1342"/>
      <c r="G7261" s="1342"/>
      <c r="H7261" s="1342"/>
      <c r="I7261" s="1342"/>
      <c r="J7261" s="1342"/>
      <c r="K7261" s="1342"/>
    </row>
    <row r="7262" spans="2:11" ht="14" hidden="1">
      <c r="B7262" s="1342"/>
      <c r="C7262" s="1342"/>
      <c r="D7262" s="1342"/>
      <c r="E7262" s="1342"/>
      <c r="F7262" s="1342"/>
      <c r="G7262" s="1342"/>
      <c r="H7262" s="1342"/>
      <c r="I7262" s="1342"/>
      <c r="J7262" s="1342"/>
      <c r="K7262" s="1342"/>
    </row>
    <row r="7263" spans="2:11" ht="14" hidden="1">
      <c r="B7263" s="1342"/>
      <c r="C7263" s="1342"/>
      <c r="D7263" s="1342"/>
      <c r="E7263" s="1342"/>
      <c r="F7263" s="1342"/>
      <c r="G7263" s="1342"/>
      <c r="H7263" s="1342"/>
      <c r="I7263" s="1342"/>
      <c r="J7263" s="1342"/>
      <c r="K7263" s="1342"/>
    </row>
    <row r="7264" spans="2:11" ht="14" hidden="1">
      <c r="B7264" s="1342"/>
      <c r="C7264" s="1342"/>
      <c r="D7264" s="1342"/>
      <c r="E7264" s="1342"/>
      <c r="F7264" s="1342"/>
      <c r="G7264" s="1342"/>
      <c r="H7264" s="1342"/>
      <c r="I7264" s="1342"/>
      <c r="J7264" s="1342"/>
      <c r="K7264" s="1342"/>
    </row>
    <row r="7265" spans="2:11" ht="14" hidden="1">
      <c r="B7265" s="1342"/>
      <c r="C7265" s="1342"/>
      <c r="D7265" s="1342"/>
      <c r="E7265" s="1342"/>
      <c r="F7265" s="1342"/>
      <c r="G7265" s="1342"/>
      <c r="H7265" s="1342"/>
      <c r="I7265" s="1342"/>
      <c r="J7265" s="1342"/>
      <c r="K7265" s="1342"/>
    </row>
    <row r="7266" spans="2:11" ht="14" hidden="1">
      <c r="B7266" s="1342"/>
      <c r="C7266" s="1342"/>
      <c r="D7266" s="1342"/>
      <c r="E7266" s="1342"/>
      <c r="F7266" s="1342"/>
      <c r="G7266" s="1342"/>
      <c r="H7266" s="1342"/>
      <c r="I7266" s="1342"/>
      <c r="J7266" s="1342"/>
      <c r="K7266" s="1342"/>
    </row>
    <row r="7267" spans="2:11" ht="14" hidden="1">
      <c r="B7267" s="1342"/>
      <c r="C7267" s="1342"/>
      <c r="D7267" s="1342"/>
      <c r="E7267" s="1342"/>
      <c r="F7267" s="1342"/>
      <c r="G7267" s="1342"/>
      <c r="H7267" s="1342"/>
      <c r="I7267" s="1342"/>
      <c r="J7267" s="1342"/>
      <c r="K7267" s="1342"/>
    </row>
    <row r="7268" spans="2:11" ht="14" hidden="1">
      <c r="B7268" s="1342"/>
      <c r="C7268" s="1342"/>
      <c r="D7268" s="1342"/>
      <c r="E7268" s="1342"/>
      <c r="F7268" s="1342"/>
      <c r="G7268" s="1342"/>
      <c r="H7268" s="1342"/>
      <c r="I7268" s="1342"/>
      <c r="J7268" s="1342"/>
      <c r="K7268" s="1342"/>
    </row>
    <row r="7269" spans="2:11" ht="14" hidden="1">
      <c r="B7269" s="1342"/>
      <c r="C7269" s="1342"/>
      <c r="D7269" s="1342"/>
      <c r="E7269" s="1342"/>
      <c r="F7269" s="1342"/>
      <c r="G7269" s="1342"/>
      <c r="H7269" s="1342"/>
      <c r="I7269" s="1342"/>
      <c r="J7269" s="1342"/>
      <c r="K7269" s="1342"/>
    </row>
    <row r="7270" spans="2:11" ht="14" hidden="1">
      <c r="B7270" s="1342"/>
      <c r="C7270" s="1342"/>
      <c r="D7270" s="1342"/>
      <c r="E7270" s="1342"/>
      <c r="F7270" s="1342"/>
      <c r="G7270" s="1342"/>
      <c r="H7270" s="1342"/>
      <c r="I7270" s="1342"/>
      <c r="J7270" s="1342"/>
      <c r="K7270" s="1342"/>
    </row>
    <row r="7271" spans="2:11" ht="14" hidden="1">
      <c r="B7271" s="1342"/>
      <c r="C7271" s="1342"/>
      <c r="D7271" s="1342"/>
      <c r="E7271" s="1342"/>
      <c r="F7271" s="1342"/>
      <c r="G7271" s="1342"/>
      <c r="H7271" s="1342"/>
      <c r="I7271" s="1342"/>
      <c r="J7271" s="1342"/>
      <c r="K7271" s="1342"/>
    </row>
    <row r="7272" spans="2:11" ht="14" hidden="1">
      <c r="B7272" s="1342"/>
      <c r="C7272" s="1342"/>
      <c r="D7272" s="1342"/>
      <c r="E7272" s="1342"/>
      <c r="F7272" s="1342"/>
      <c r="G7272" s="1342"/>
      <c r="H7272" s="1342"/>
      <c r="I7272" s="1342"/>
      <c r="J7272" s="1342"/>
      <c r="K7272" s="1342"/>
    </row>
    <row r="7273" spans="2:11" ht="14" hidden="1">
      <c r="B7273" s="1342"/>
      <c r="C7273" s="1342"/>
      <c r="D7273" s="1342"/>
      <c r="E7273" s="1342"/>
      <c r="F7273" s="1342"/>
      <c r="G7273" s="1342"/>
      <c r="H7273" s="1342"/>
      <c r="I7273" s="1342"/>
      <c r="J7273" s="1342"/>
      <c r="K7273" s="1342"/>
    </row>
    <row r="7274" spans="2:11" ht="14" hidden="1">
      <c r="B7274" s="1342"/>
      <c r="C7274" s="1342"/>
      <c r="D7274" s="1342"/>
      <c r="E7274" s="1342"/>
      <c r="F7274" s="1342"/>
      <c r="G7274" s="1342"/>
      <c r="H7274" s="1342"/>
      <c r="I7274" s="1342"/>
      <c r="J7274" s="1342"/>
      <c r="K7274" s="1342"/>
    </row>
    <row r="7275" spans="2:11" ht="14" hidden="1">
      <c r="B7275" s="1342"/>
      <c r="C7275" s="1342"/>
      <c r="D7275" s="1342"/>
      <c r="E7275" s="1342"/>
      <c r="F7275" s="1342"/>
      <c r="G7275" s="1342"/>
      <c r="H7275" s="1342"/>
      <c r="I7275" s="1342"/>
      <c r="J7275" s="1342"/>
      <c r="K7275" s="1342"/>
    </row>
    <row r="7276" spans="2:11" ht="14" hidden="1">
      <c r="B7276" s="1342"/>
      <c r="C7276" s="1342"/>
      <c r="D7276" s="1342"/>
      <c r="E7276" s="1342"/>
      <c r="F7276" s="1342"/>
      <c r="G7276" s="1342"/>
      <c r="H7276" s="1342"/>
      <c r="I7276" s="1342"/>
      <c r="J7276" s="1342"/>
      <c r="K7276" s="1342"/>
    </row>
    <row r="7277" spans="2:11" ht="14" hidden="1">
      <c r="B7277" s="1342"/>
      <c r="C7277" s="1342"/>
      <c r="D7277" s="1342"/>
      <c r="E7277" s="1342"/>
      <c r="F7277" s="1342"/>
      <c r="G7277" s="1342"/>
      <c r="H7277" s="1342"/>
      <c r="I7277" s="1342"/>
      <c r="J7277" s="1342"/>
      <c r="K7277" s="1342"/>
    </row>
    <row r="7278" spans="2:11" ht="14" hidden="1">
      <c r="B7278" s="1342"/>
      <c r="C7278" s="1342"/>
      <c r="D7278" s="1342"/>
      <c r="E7278" s="1342"/>
      <c r="F7278" s="1342"/>
      <c r="G7278" s="1342"/>
      <c r="H7278" s="1342"/>
      <c r="I7278" s="1342"/>
      <c r="J7278" s="1342"/>
      <c r="K7278" s="1342"/>
    </row>
    <row r="7279" spans="2:11" ht="14" hidden="1">
      <c r="B7279" s="1342"/>
      <c r="C7279" s="1342"/>
      <c r="D7279" s="1342"/>
      <c r="E7279" s="1342"/>
      <c r="F7279" s="1342"/>
      <c r="G7279" s="1342"/>
      <c r="H7279" s="1342"/>
      <c r="I7279" s="1342"/>
      <c r="J7279" s="1342"/>
      <c r="K7279" s="1342"/>
    </row>
    <row r="7280" spans="2:11" ht="14" hidden="1">
      <c r="B7280" s="1342"/>
      <c r="C7280" s="1342"/>
      <c r="D7280" s="1342"/>
      <c r="E7280" s="1342"/>
      <c r="F7280" s="1342"/>
      <c r="G7280" s="1342"/>
      <c r="H7280" s="1342"/>
      <c r="I7280" s="1342"/>
      <c r="J7280" s="1342"/>
      <c r="K7280" s="1342"/>
    </row>
    <row r="7281" spans="2:11" ht="14" hidden="1">
      <c r="B7281" s="1342"/>
      <c r="C7281" s="1342"/>
      <c r="D7281" s="1342"/>
      <c r="E7281" s="1342"/>
      <c r="F7281" s="1342"/>
      <c r="G7281" s="1342"/>
      <c r="H7281" s="1342"/>
      <c r="I7281" s="1342"/>
      <c r="J7281" s="1342"/>
      <c r="K7281" s="1342"/>
    </row>
    <row r="7282" spans="2:11" ht="14" hidden="1">
      <c r="B7282" s="1342"/>
      <c r="C7282" s="1342"/>
      <c r="D7282" s="1342"/>
      <c r="E7282" s="1342"/>
      <c r="F7282" s="1342"/>
      <c r="G7282" s="1342"/>
      <c r="H7282" s="1342"/>
      <c r="I7282" s="1342"/>
      <c r="J7282" s="1342"/>
      <c r="K7282" s="1342"/>
    </row>
    <row r="7283" spans="2:11" ht="14" hidden="1">
      <c r="B7283" s="1342"/>
      <c r="C7283" s="1342"/>
      <c r="D7283" s="1342"/>
      <c r="E7283" s="1342"/>
      <c r="F7283" s="1342"/>
      <c r="G7283" s="1342"/>
      <c r="H7283" s="1342"/>
      <c r="I7283" s="1342"/>
      <c r="J7283" s="1342"/>
      <c r="K7283" s="1342"/>
    </row>
    <row r="7284" spans="2:11" ht="14" hidden="1">
      <c r="B7284" s="1342"/>
      <c r="C7284" s="1342"/>
      <c r="D7284" s="1342"/>
      <c r="E7284" s="1342"/>
      <c r="F7284" s="1342"/>
      <c r="G7284" s="1342"/>
      <c r="H7284" s="1342"/>
      <c r="I7284" s="1342"/>
      <c r="J7284" s="1342"/>
      <c r="K7284" s="1342"/>
    </row>
    <row r="7285" spans="2:11" ht="14" hidden="1">
      <c r="B7285" s="1342"/>
      <c r="C7285" s="1342"/>
      <c r="D7285" s="1342"/>
      <c r="E7285" s="1342"/>
      <c r="F7285" s="1342"/>
      <c r="G7285" s="1342"/>
      <c r="H7285" s="1342"/>
      <c r="I7285" s="1342"/>
      <c r="J7285" s="1342"/>
      <c r="K7285" s="1342"/>
    </row>
    <row r="7286" spans="2:11" ht="14" hidden="1">
      <c r="B7286" s="1342"/>
      <c r="C7286" s="1342"/>
      <c r="D7286" s="1342"/>
      <c r="E7286" s="1342"/>
      <c r="F7286" s="1342"/>
      <c r="G7286" s="1342"/>
      <c r="H7286" s="1342"/>
      <c r="I7286" s="1342"/>
      <c r="J7286" s="1342"/>
      <c r="K7286" s="1342"/>
    </row>
    <row r="7287" spans="2:11" ht="14" hidden="1">
      <c r="B7287" s="1342"/>
      <c r="C7287" s="1342"/>
      <c r="D7287" s="1342"/>
      <c r="E7287" s="1342"/>
      <c r="F7287" s="1342"/>
      <c r="G7287" s="1342"/>
      <c r="H7287" s="1342"/>
      <c r="I7287" s="1342"/>
      <c r="J7287" s="1342"/>
      <c r="K7287" s="1342"/>
    </row>
    <row r="7288" spans="2:11" ht="14" hidden="1">
      <c r="B7288" s="1342"/>
      <c r="C7288" s="1342"/>
      <c r="D7288" s="1342"/>
      <c r="E7288" s="1342"/>
      <c r="F7288" s="1342"/>
      <c r="G7288" s="1342"/>
      <c r="H7288" s="1342"/>
      <c r="I7288" s="1342"/>
      <c r="J7288" s="1342"/>
      <c r="K7288" s="1342"/>
    </row>
    <row r="7289" spans="2:11" ht="14" hidden="1">
      <c r="B7289" s="1342"/>
      <c r="C7289" s="1342"/>
      <c r="D7289" s="1342"/>
      <c r="E7289" s="1342"/>
      <c r="F7289" s="1342"/>
      <c r="G7289" s="1342"/>
      <c r="H7289" s="1342"/>
      <c r="I7289" s="1342"/>
      <c r="J7289" s="1342"/>
      <c r="K7289" s="1342"/>
    </row>
    <row r="7290" spans="2:11" ht="14" hidden="1">
      <c r="B7290" s="1342"/>
      <c r="C7290" s="1342"/>
      <c r="D7290" s="1342"/>
      <c r="E7290" s="1342"/>
      <c r="F7290" s="1342"/>
      <c r="G7290" s="1342"/>
      <c r="H7290" s="1342"/>
      <c r="I7290" s="1342"/>
      <c r="J7290" s="1342"/>
      <c r="K7290" s="1342"/>
    </row>
    <row r="7291" spans="2:11" ht="14" hidden="1">
      <c r="B7291" s="1342"/>
      <c r="C7291" s="1342"/>
      <c r="D7291" s="1342"/>
      <c r="E7291" s="1342"/>
      <c r="F7291" s="1342"/>
      <c r="G7291" s="1342"/>
      <c r="H7291" s="1342"/>
      <c r="I7291" s="1342"/>
      <c r="J7291" s="1342"/>
      <c r="K7291" s="1342"/>
    </row>
    <row r="7292" spans="2:11" ht="14" hidden="1">
      <c r="B7292" s="1342"/>
      <c r="C7292" s="1342"/>
      <c r="D7292" s="1342"/>
      <c r="E7292" s="1342"/>
      <c r="F7292" s="1342"/>
      <c r="G7292" s="1342"/>
      <c r="H7292" s="1342"/>
      <c r="I7292" s="1342"/>
      <c r="J7292" s="1342"/>
      <c r="K7292" s="1342"/>
    </row>
    <row r="7293" spans="2:11" ht="14" hidden="1">
      <c r="B7293" s="1342"/>
      <c r="C7293" s="1342"/>
      <c r="D7293" s="1342"/>
      <c r="E7293" s="1342"/>
      <c r="F7293" s="1342"/>
      <c r="G7293" s="1342"/>
      <c r="H7293" s="1342"/>
      <c r="I7293" s="1342"/>
      <c r="J7293" s="1342"/>
      <c r="K7293" s="1342"/>
    </row>
    <row r="7294" spans="2:11" ht="14" hidden="1">
      <c r="B7294" s="1342"/>
      <c r="C7294" s="1342"/>
      <c r="D7294" s="1342"/>
      <c r="E7294" s="1342"/>
      <c r="F7294" s="1342"/>
      <c r="G7294" s="1342"/>
      <c r="H7294" s="1342"/>
      <c r="I7294" s="1342"/>
      <c r="J7294" s="1342"/>
      <c r="K7294" s="1342"/>
    </row>
    <row r="7295" spans="2:11" ht="14" hidden="1">
      <c r="B7295" s="1342"/>
      <c r="C7295" s="1342"/>
      <c r="D7295" s="1342"/>
      <c r="E7295" s="1342"/>
      <c r="F7295" s="1342"/>
      <c r="G7295" s="1342"/>
      <c r="H7295" s="1342"/>
      <c r="I7295" s="1342"/>
      <c r="J7295" s="1342"/>
      <c r="K7295" s="1342"/>
    </row>
    <row r="7296" spans="2:11" ht="14" hidden="1">
      <c r="B7296" s="1342"/>
      <c r="C7296" s="1342"/>
      <c r="D7296" s="1342"/>
      <c r="E7296" s="1342"/>
      <c r="F7296" s="1342"/>
      <c r="G7296" s="1342"/>
      <c r="H7296" s="1342"/>
      <c r="I7296" s="1342"/>
      <c r="J7296" s="1342"/>
      <c r="K7296" s="1342"/>
    </row>
    <row r="7297" spans="2:11" ht="14" hidden="1">
      <c r="B7297" s="1342"/>
      <c r="C7297" s="1342"/>
      <c r="D7297" s="1342"/>
      <c r="E7297" s="1342"/>
      <c r="F7297" s="1342"/>
      <c r="G7297" s="1342"/>
      <c r="H7297" s="1342"/>
      <c r="I7297" s="1342"/>
      <c r="J7297" s="1342"/>
      <c r="K7297" s="1342"/>
    </row>
    <row r="7298" spans="2:11" ht="14" hidden="1">
      <c r="B7298" s="1342"/>
      <c r="C7298" s="1342"/>
      <c r="D7298" s="1342"/>
      <c r="E7298" s="1342"/>
      <c r="F7298" s="1342"/>
      <c r="G7298" s="1342"/>
      <c r="H7298" s="1342"/>
      <c r="I7298" s="1342"/>
      <c r="J7298" s="1342"/>
      <c r="K7298" s="1342"/>
    </row>
    <row r="7299" spans="2:11" ht="14" hidden="1">
      <c r="B7299" s="1342"/>
      <c r="C7299" s="1342"/>
      <c r="D7299" s="1342"/>
      <c r="E7299" s="1342"/>
      <c r="F7299" s="1342"/>
      <c r="G7299" s="1342"/>
      <c r="H7299" s="1342"/>
      <c r="I7299" s="1342"/>
      <c r="J7299" s="1342"/>
      <c r="K7299" s="1342"/>
    </row>
    <row r="7300" spans="2:11" ht="14" hidden="1">
      <c r="B7300" s="1342"/>
      <c r="C7300" s="1342"/>
      <c r="D7300" s="1342"/>
      <c r="E7300" s="1342"/>
      <c r="F7300" s="1342"/>
      <c r="G7300" s="1342"/>
      <c r="H7300" s="1342"/>
      <c r="I7300" s="1342"/>
      <c r="J7300" s="1342"/>
      <c r="K7300" s="1342"/>
    </row>
    <row r="7301" spans="2:11" ht="14" hidden="1">
      <c r="B7301" s="1342"/>
      <c r="C7301" s="1342"/>
      <c r="D7301" s="1342"/>
      <c r="E7301" s="1342"/>
      <c r="F7301" s="1342"/>
      <c r="G7301" s="1342"/>
      <c r="H7301" s="1342"/>
      <c r="I7301" s="1342"/>
      <c r="J7301" s="1342"/>
      <c r="K7301" s="1342"/>
    </row>
    <row r="7302" spans="2:11" ht="14" hidden="1">
      <c r="B7302" s="1342"/>
      <c r="C7302" s="1342"/>
      <c r="D7302" s="1342"/>
      <c r="E7302" s="1342"/>
      <c r="F7302" s="1342"/>
      <c r="G7302" s="1342"/>
      <c r="H7302" s="1342"/>
      <c r="I7302" s="1342"/>
      <c r="J7302" s="1342"/>
      <c r="K7302" s="1342"/>
    </row>
    <row r="7303" spans="2:11" ht="14" hidden="1">
      <c r="B7303" s="1342"/>
      <c r="C7303" s="1342"/>
      <c r="D7303" s="1342"/>
      <c r="E7303" s="1342"/>
      <c r="F7303" s="1342"/>
      <c r="G7303" s="1342"/>
      <c r="H7303" s="1342"/>
      <c r="I7303" s="1342"/>
      <c r="J7303" s="1342"/>
      <c r="K7303" s="1342"/>
    </row>
    <row r="7304" spans="2:11" ht="14" hidden="1">
      <c r="B7304" s="1342"/>
      <c r="C7304" s="1342"/>
      <c r="D7304" s="1342"/>
      <c r="E7304" s="1342"/>
      <c r="F7304" s="1342"/>
      <c r="G7304" s="1342"/>
      <c r="H7304" s="1342"/>
      <c r="I7304" s="1342"/>
      <c r="J7304" s="1342"/>
      <c r="K7304" s="1342"/>
    </row>
    <row r="7305" spans="2:11" ht="14" hidden="1">
      <c r="B7305" s="1342"/>
      <c r="C7305" s="1342"/>
      <c r="D7305" s="1342"/>
      <c r="E7305" s="1342"/>
      <c r="F7305" s="1342"/>
      <c r="G7305" s="1342"/>
      <c r="H7305" s="1342"/>
      <c r="I7305" s="1342"/>
      <c r="J7305" s="1342"/>
      <c r="K7305" s="1342"/>
    </row>
    <row r="7306" spans="2:11" ht="14" hidden="1">
      <c r="B7306" s="1342"/>
      <c r="C7306" s="1342"/>
      <c r="D7306" s="1342"/>
      <c r="E7306" s="1342"/>
      <c r="F7306" s="1342"/>
      <c r="G7306" s="1342"/>
      <c r="H7306" s="1342"/>
      <c r="I7306" s="1342"/>
      <c r="J7306" s="1342"/>
      <c r="K7306" s="1342"/>
    </row>
    <row r="7307" spans="2:11" ht="14" hidden="1">
      <c r="B7307" s="1342"/>
      <c r="C7307" s="1342"/>
      <c r="D7307" s="1342"/>
      <c r="E7307" s="1342"/>
      <c r="F7307" s="1342"/>
      <c r="G7307" s="1342"/>
      <c r="H7307" s="1342"/>
      <c r="I7307" s="1342"/>
      <c r="J7307" s="1342"/>
      <c r="K7307" s="1342"/>
    </row>
    <row r="7308" spans="2:11" ht="14" hidden="1">
      <c r="B7308" s="1342"/>
      <c r="C7308" s="1342"/>
      <c r="D7308" s="1342"/>
      <c r="E7308" s="1342"/>
      <c r="F7308" s="1342"/>
      <c r="G7308" s="1342"/>
      <c r="H7308" s="1342"/>
      <c r="I7308" s="1342"/>
      <c r="J7308" s="1342"/>
      <c r="K7308" s="1342"/>
    </row>
    <row r="7309" spans="2:11" ht="14" hidden="1">
      <c r="B7309" s="1342"/>
      <c r="C7309" s="1342"/>
      <c r="D7309" s="1342"/>
      <c r="E7309" s="1342"/>
      <c r="F7309" s="1342"/>
      <c r="G7309" s="1342"/>
      <c r="H7309" s="1342"/>
      <c r="I7309" s="1342"/>
      <c r="J7309" s="1342"/>
      <c r="K7309" s="1342"/>
    </row>
    <row r="7310" spans="2:11" ht="14" hidden="1">
      <c r="B7310" s="1342"/>
      <c r="C7310" s="1342"/>
      <c r="D7310" s="1342"/>
      <c r="E7310" s="1342"/>
      <c r="F7310" s="1342"/>
      <c r="G7310" s="1342"/>
      <c r="H7310" s="1342"/>
      <c r="I7310" s="1342"/>
      <c r="J7310" s="1342"/>
      <c r="K7310" s="1342"/>
    </row>
    <row r="7311" spans="2:11" ht="14" hidden="1">
      <c r="B7311" s="1342"/>
      <c r="C7311" s="1342"/>
      <c r="D7311" s="1342"/>
      <c r="E7311" s="1342"/>
      <c r="F7311" s="1342"/>
      <c r="G7311" s="1342"/>
      <c r="H7311" s="1342"/>
      <c r="I7311" s="1342"/>
      <c r="J7311" s="1342"/>
      <c r="K7311" s="1342"/>
    </row>
    <row r="7312" spans="2:11" ht="14" hidden="1">
      <c r="B7312" s="1342"/>
      <c r="C7312" s="1342"/>
      <c r="D7312" s="1342"/>
      <c r="E7312" s="1342"/>
      <c r="F7312" s="1342"/>
      <c r="G7312" s="1342"/>
      <c r="H7312" s="1342"/>
      <c r="I7312" s="1342"/>
      <c r="J7312" s="1342"/>
      <c r="K7312" s="1342"/>
    </row>
    <row r="7313" spans="2:11" ht="14" hidden="1">
      <c r="B7313" s="1342"/>
      <c r="C7313" s="1342"/>
      <c r="D7313" s="1342"/>
      <c r="E7313" s="1342"/>
      <c r="F7313" s="1342"/>
      <c r="G7313" s="1342"/>
      <c r="H7313" s="1342"/>
      <c r="I7313" s="1342"/>
      <c r="J7313" s="1342"/>
      <c r="K7313" s="1342"/>
    </row>
    <row r="7314" spans="2:11" ht="14" hidden="1">
      <c r="B7314" s="1342"/>
      <c r="C7314" s="1342"/>
      <c r="D7314" s="1342"/>
      <c r="E7314" s="1342"/>
      <c r="F7314" s="1342"/>
      <c r="G7314" s="1342"/>
      <c r="H7314" s="1342"/>
      <c r="I7314" s="1342"/>
      <c r="J7314" s="1342"/>
      <c r="K7314" s="1342"/>
    </row>
    <row r="7315" spans="2:11" ht="14" hidden="1">
      <c r="B7315" s="1342"/>
      <c r="C7315" s="1342"/>
      <c r="D7315" s="1342"/>
      <c r="E7315" s="1342"/>
      <c r="F7315" s="1342"/>
      <c r="G7315" s="1342"/>
      <c r="H7315" s="1342"/>
      <c r="I7315" s="1342"/>
      <c r="J7315" s="1342"/>
      <c r="K7315" s="1342"/>
    </row>
    <row r="7316" spans="2:11" ht="14" hidden="1">
      <c r="B7316" s="1342"/>
      <c r="C7316" s="1342"/>
      <c r="D7316" s="1342"/>
      <c r="E7316" s="1342"/>
      <c r="F7316" s="1342"/>
      <c r="G7316" s="1342"/>
      <c r="H7316" s="1342"/>
      <c r="I7316" s="1342"/>
      <c r="J7316" s="1342"/>
      <c r="K7316" s="1342"/>
    </row>
    <row r="7317" spans="2:11" ht="14" hidden="1">
      <c r="B7317" s="1342"/>
      <c r="C7317" s="1342"/>
      <c r="D7317" s="1342"/>
      <c r="E7317" s="1342"/>
      <c r="F7317" s="1342"/>
      <c r="G7317" s="1342"/>
      <c r="H7317" s="1342"/>
      <c r="I7317" s="1342"/>
      <c r="J7317" s="1342"/>
      <c r="K7317" s="1342"/>
    </row>
    <row r="7318" spans="2:11" ht="14" hidden="1">
      <c r="B7318" s="1342"/>
      <c r="C7318" s="1342"/>
      <c r="D7318" s="1342"/>
      <c r="E7318" s="1342"/>
      <c r="F7318" s="1342"/>
      <c r="G7318" s="1342"/>
      <c r="H7318" s="1342"/>
      <c r="I7318" s="1342"/>
      <c r="J7318" s="1342"/>
      <c r="K7318" s="1342"/>
    </row>
    <row r="7319" spans="2:11" ht="14" hidden="1">
      <c r="B7319" s="1342"/>
      <c r="C7319" s="1342"/>
      <c r="D7319" s="1342"/>
      <c r="E7319" s="1342"/>
      <c r="F7319" s="1342"/>
      <c r="G7319" s="1342"/>
      <c r="H7319" s="1342"/>
      <c r="I7319" s="1342"/>
      <c r="J7319" s="1342"/>
      <c r="K7319" s="1342"/>
    </row>
    <row r="7320" spans="2:11" ht="14" hidden="1">
      <c r="B7320" s="1342"/>
      <c r="C7320" s="1342"/>
      <c r="D7320" s="1342"/>
      <c r="E7320" s="1342"/>
      <c r="F7320" s="1342"/>
      <c r="G7320" s="1342"/>
      <c r="H7320" s="1342"/>
      <c r="I7320" s="1342"/>
      <c r="J7320" s="1342"/>
      <c r="K7320" s="1342"/>
    </row>
    <row r="7321" spans="2:11" ht="14" hidden="1">
      <c r="B7321" s="1342"/>
      <c r="C7321" s="1342"/>
      <c r="D7321" s="1342"/>
      <c r="E7321" s="1342"/>
      <c r="F7321" s="1342"/>
      <c r="G7321" s="1342"/>
      <c r="H7321" s="1342"/>
      <c r="I7321" s="1342"/>
      <c r="J7321" s="1342"/>
      <c r="K7321" s="1342"/>
    </row>
    <row r="7322" spans="2:11" ht="14" hidden="1">
      <c r="B7322" s="1342"/>
      <c r="C7322" s="1342"/>
      <c r="D7322" s="1342"/>
      <c r="E7322" s="1342"/>
      <c r="F7322" s="1342"/>
      <c r="G7322" s="1342"/>
      <c r="H7322" s="1342"/>
      <c r="I7322" s="1342"/>
      <c r="J7322" s="1342"/>
      <c r="K7322" s="1342"/>
    </row>
    <row r="7323" spans="2:11" ht="14" hidden="1">
      <c r="B7323" s="1342"/>
      <c r="C7323" s="1342"/>
      <c r="D7323" s="1342"/>
      <c r="E7323" s="1342"/>
      <c r="F7323" s="1342"/>
      <c r="G7323" s="1342"/>
      <c r="H7323" s="1342"/>
      <c r="I7323" s="1342"/>
      <c r="J7323" s="1342"/>
      <c r="K7323" s="1342"/>
    </row>
    <row r="7324" spans="2:11" ht="14" hidden="1">
      <c r="B7324" s="1342"/>
      <c r="C7324" s="1342"/>
      <c r="D7324" s="1342"/>
      <c r="E7324" s="1342"/>
      <c r="F7324" s="1342"/>
      <c r="G7324" s="1342"/>
      <c r="H7324" s="1342"/>
      <c r="I7324" s="1342"/>
      <c r="J7324" s="1342"/>
      <c r="K7324" s="1342"/>
    </row>
    <row r="7325" spans="2:11" ht="14" hidden="1">
      <c r="B7325" s="1342"/>
      <c r="C7325" s="1342"/>
      <c r="D7325" s="1342"/>
      <c r="E7325" s="1342"/>
      <c r="F7325" s="1342"/>
      <c r="G7325" s="1342"/>
      <c r="H7325" s="1342"/>
      <c r="I7325" s="1342"/>
      <c r="J7325" s="1342"/>
      <c r="K7325" s="1342"/>
    </row>
    <row r="7326" spans="2:11" ht="14" hidden="1">
      <c r="B7326" s="1342"/>
      <c r="C7326" s="1342"/>
      <c r="D7326" s="1342"/>
      <c r="E7326" s="1342"/>
      <c r="F7326" s="1342"/>
      <c r="G7326" s="1342"/>
      <c r="H7326" s="1342"/>
      <c r="I7326" s="1342"/>
      <c r="J7326" s="1342"/>
      <c r="K7326" s="1342"/>
    </row>
    <row r="7327" spans="2:11" ht="14" hidden="1">
      <c r="B7327" s="1342"/>
      <c r="C7327" s="1342"/>
      <c r="D7327" s="1342"/>
      <c r="E7327" s="1342"/>
      <c r="F7327" s="1342"/>
      <c r="G7327" s="1342"/>
      <c r="H7327" s="1342"/>
      <c r="I7327" s="1342"/>
      <c r="J7327" s="1342"/>
      <c r="K7327" s="1342"/>
    </row>
    <row r="7328" spans="2:11" ht="14" hidden="1">
      <c r="B7328" s="1342"/>
      <c r="C7328" s="1342"/>
      <c r="D7328" s="1342"/>
      <c r="E7328" s="1342"/>
      <c r="F7328" s="1342"/>
      <c r="G7328" s="1342"/>
      <c r="H7328" s="1342"/>
      <c r="I7328" s="1342"/>
      <c r="J7328" s="1342"/>
      <c r="K7328" s="1342"/>
    </row>
    <row r="7329" spans="2:11" ht="14" hidden="1">
      <c r="B7329" s="1342"/>
      <c r="C7329" s="1342"/>
      <c r="D7329" s="1342"/>
      <c r="E7329" s="1342"/>
      <c r="F7329" s="1342"/>
      <c r="G7329" s="1342"/>
      <c r="H7329" s="1342"/>
      <c r="I7329" s="1342"/>
      <c r="J7329" s="1342"/>
      <c r="K7329" s="1342"/>
    </row>
    <row r="7330" spans="2:11" ht="14" hidden="1">
      <c r="B7330" s="1342"/>
      <c r="C7330" s="1342"/>
      <c r="D7330" s="1342"/>
      <c r="E7330" s="1342"/>
      <c r="F7330" s="1342"/>
      <c r="G7330" s="1342"/>
      <c r="H7330" s="1342"/>
      <c r="I7330" s="1342"/>
      <c r="J7330" s="1342"/>
      <c r="K7330" s="1342"/>
    </row>
    <row r="7331" spans="2:11" ht="14" hidden="1">
      <c r="B7331" s="1342"/>
      <c r="C7331" s="1342"/>
      <c r="D7331" s="1342"/>
      <c r="E7331" s="1342"/>
      <c r="F7331" s="1342"/>
      <c r="G7331" s="1342"/>
      <c r="H7331" s="1342"/>
      <c r="I7331" s="1342"/>
      <c r="J7331" s="1342"/>
      <c r="K7331" s="1342"/>
    </row>
    <row r="7332" spans="2:11" ht="14" hidden="1">
      <c r="B7332" s="1342"/>
      <c r="C7332" s="1342"/>
      <c r="D7332" s="1342"/>
      <c r="E7332" s="1342"/>
      <c r="F7332" s="1342"/>
      <c r="G7332" s="1342"/>
      <c r="H7332" s="1342"/>
      <c r="I7332" s="1342"/>
      <c r="J7332" s="1342"/>
      <c r="K7332" s="1342"/>
    </row>
    <row r="7333" spans="2:11" ht="14" hidden="1">
      <c r="B7333" s="1342"/>
      <c r="C7333" s="1342"/>
      <c r="D7333" s="1342"/>
      <c r="E7333" s="1342"/>
      <c r="F7333" s="1342"/>
      <c r="G7333" s="1342"/>
      <c r="H7333" s="1342"/>
      <c r="I7333" s="1342"/>
      <c r="J7333" s="1342"/>
      <c r="K7333" s="1342"/>
    </row>
    <row r="7334" spans="2:11" ht="14" hidden="1">
      <c r="B7334" s="1342"/>
      <c r="C7334" s="1342"/>
      <c r="D7334" s="1342"/>
      <c r="E7334" s="1342"/>
      <c r="F7334" s="1342"/>
      <c r="G7334" s="1342"/>
      <c r="H7334" s="1342"/>
      <c r="I7334" s="1342"/>
      <c r="J7334" s="1342"/>
      <c r="K7334" s="1342"/>
    </row>
    <row r="7335" spans="2:11" ht="14" hidden="1">
      <c r="B7335" s="1342"/>
      <c r="C7335" s="1342"/>
      <c r="D7335" s="1342"/>
      <c r="E7335" s="1342"/>
      <c r="F7335" s="1342"/>
      <c r="G7335" s="1342"/>
      <c r="H7335" s="1342"/>
      <c r="I7335" s="1342"/>
      <c r="J7335" s="1342"/>
      <c r="K7335" s="1342"/>
    </row>
    <row r="7336" spans="2:11" ht="14" hidden="1">
      <c r="B7336" s="1342"/>
      <c r="C7336" s="1342"/>
      <c r="D7336" s="1342"/>
      <c r="E7336" s="1342"/>
      <c r="F7336" s="1342"/>
      <c r="G7336" s="1342"/>
      <c r="H7336" s="1342"/>
      <c r="I7336" s="1342"/>
      <c r="J7336" s="1342"/>
      <c r="K7336" s="1342"/>
    </row>
    <row r="7337" spans="2:11" ht="14" hidden="1">
      <c r="B7337" s="1342"/>
      <c r="C7337" s="1342"/>
      <c r="D7337" s="1342"/>
      <c r="E7337" s="1342"/>
      <c r="F7337" s="1342"/>
      <c r="G7337" s="1342"/>
      <c r="H7337" s="1342"/>
      <c r="I7337" s="1342"/>
      <c r="J7337" s="1342"/>
      <c r="K7337" s="1342"/>
    </row>
    <row r="7338" spans="2:11" ht="14" hidden="1">
      <c r="B7338" s="1342"/>
      <c r="C7338" s="1342"/>
      <c r="D7338" s="1342"/>
      <c r="E7338" s="1342"/>
      <c r="F7338" s="1342"/>
      <c r="G7338" s="1342"/>
      <c r="H7338" s="1342"/>
      <c r="I7338" s="1342"/>
      <c r="J7338" s="1342"/>
      <c r="K7338" s="1342"/>
    </row>
    <row r="7339" spans="2:11" ht="14" hidden="1">
      <c r="B7339" s="1342"/>
      <c r="C7339" s="1342"/>
      <c r="D7339" s="1342"/>
      <c r="E7339" s="1342"/>
      <c r="F7339" s="1342"/>
      <c r="G7339" s="1342"/>
      <c r="H7339" s="1342"/>
      <c r="I7339" s="1342"/>
      <c r="J7339" s="1342"/>
      <c r="K7339" s="1342"/>
    </row>
    <row r="7340" spans="2:11" ht="14" hidden="1">
      <c r="B7340" s="1342"/>
      <c r="C7340" s="1342"/>
      <c r="D7340" s="1342"/>
      <c r="E7340" s="1342"/>
      <c r="F7340" s="1342"/>
      <c r="G7340" s="1342"/>
      <c r="H7340" s="1342"/>
      <c r="I7340" s="1342"/>
      <c r="J7340" s="1342"/>
      <c r="K7340" s="1342"/>
    </row>
    <row r="7341" spans="2:11" ht="14" hidden="1">
      <c r="B7341" s="1342"/>
      <c r="C7341" s="1342"/>
      <c r="D7341" s="1342"/>
      <c r="E7341" s="1342"/>
      <c r="F7341" s="1342"/>
      <c r="G7341" s="1342"/>
      <c r="H7341" s="1342"/>
      <c r="I7341" s="1342"/>
      <c r="J7341" s="1342"/>
      <c r="K7341" s="1342"/>
    </row>
    <row r="7342" spans="2:11" ht="14" hidden="1">
      <c r="B7342" s="1342"/>
      <c r="C7342" s="1342"/>
      <c r="D7342" s="1342"/>
      <c r="E7342" s="1342"/>
      <c r="F7342" s="1342"/>
      <c r="G7342" s="1342"/>
      <c r="H7342" s="1342"/>
      <c r="I7342" s="1342"/>
      <c r="J7342" s="1342"/>
      <c r="K7342" s="1342"/>
    </row>
    <row r="7343" spans="2:11" ht="14" hidden="1">
      <c r="B7343" s="1342"/>
      <c r="C7343" s="1342"/>
      <c r="D7343" s="1342"/>
      <c r="E7343" s="1342"/>
      <c r="F7343" s="1342"/>
      <c r="G7343" s="1342"/>
      <c r="H7343" s="1342"/>
      <c r="I7343" s="1342"/>
      <c r="J7343" s="1342"/>
      <c r="K7343" s="1342"/>
    </row>
    <row r="7344" spans="2:11" ht="14" hidden="1">
      <c r="B7344" s="1342"/>
      <c r="C7344" s="1342"/>
      <c r="D7344" s="1342"/>
      <c r="E7344" s="1342"/>
      <c r="F7344" s="1342"/>
      <c r="G7344" s="1342"/>
      <c r="H7344" s="1342"/>
      <c r="I7344" s="1342"/>
      <c r="J7344" s="1342"/>
      <c r="K7344" s="1342"/>
    </row>
    <row r="7345" spans="2:11" ht="14" hidden="1">
      <c r="B7345" s="1342"/>
      <c r="C7345" s="1342"/>
      <c r="D7345" s="1342"/>
      <c r="E7345" s="1342"/>
      <c r="F7345" s="1342"/>
      <c r="G7345" s="1342"/>
      <c r="H7345" s="1342"/>
      <c r="I7345" s="1342"/>
      <c r="J7345" s="1342"/>
      <c r="K7345" s="1342"/>
    </row>
    <row r="7346" spans="2:11" ht="14" hidden="1">
      <c r="B7346" s="1342"/>
      <c r="C7346" s="1342"/>
      <c r="D7346" s="1342"/>
      <c r="E7346" s="1342"/>
      <c r="F7346" s="1342"/>
      <c r="G7346" s="1342"/>
      <c r="H7346" s="1342"/>
      <c r="I7346" s="1342"/>
      <c r="J7346" s="1342"/>
      <c r="K7346" s="1342"/>
    </row>
    <row r="7347" spans="2:11" ht="14" hidden="1">
      <c r="B7347" s="1342"/>
      <c r="C7347" s="1342"/>
      <c r="D7347" s="1342"/>
      <c r="E7347" s="1342"/>
      <c r="F7347" s="1342"/>
      <c r="G7347" s="1342"/>
      <c r="H7347" s="1342"/>
      <c r="I7347" s="1342"/>
      <c r="J7347" s="1342"/>
      <c r="K7347" s="1342"/>
    </row>
    <row r="7348" spans="2:11" ht="14" hidden="1">
      <c r="B7348" s="1342"/>
      <c r="C7348" s="1342"/>
      <c r="D7348" s="1342"/>
      <c r="E7348" s="1342"/>
      <c r="F7348" s="1342"/>
      <c r="G7348" s="1342"/>
      <c r="H7348" s="1342"/>
      <c r="I7348" s="1342"/>
      <c r="J7348" s="1342"/>
      <c r="K7348" s="1342"/>
    </row>
    <row r="7349" spans="2:11" ht="14" hidden="1">
      <c r="B7349" s="1342"/>
      <c r="C7349" s="1342"/>
      <c r="D7349" s="1342"/>
      <c r="E7349" s="1342"/>
      <c r="F7349" s="1342"/>
      <c r="G7349" s="1342"/>
      <c r="H7349" s="1342"/>
      <c r="I7349" s="1342"/>
      <c r="J7349" s="1342"/>
      <c r="K7349" s="1342"/>
    </row>
    <row r="7350" spans="2:11" ht="14" hidden="1">
      <c r="B7350" s="1342"/>
      <c r="C7350" s="1342"/>
      <c r="D7350" s="1342"/>
      <c r="E7350" s="1342"/>
      <c r="F7350" s="1342"/>
      <c r="G7350" s="1342"/>
      <c r="H7350" s="1342"/>
      <c r="I7350" s="1342"/>
      <c r="J7350" s="1342"/>
      <c r="K7350" s="1342"/>
    </row>
    <row r="7351" spans="2:11" ht="14" hidden="1">
      <c r="B7351" s="1342"/>
      <c r="C7351" s="1342"/>
      <c r="D7351" s="1342"/>
      <c r="E7351" s="1342"/>
      <c r="F7351" s="1342"/>
      <c r="G7351" s="1342"/>
      <c r="H7351" s="1342"/>
      <c r="I7351" s="1342"/>
      <c r="J7351" s="1342"/>
      <c r="K7351" s="1342"/>
    </row>
    <row r="7352" spans="2:11" ht="14" hidden="1">
      <c r="B7352" s="1342"/>
      <c r="C7352" s="1342"/>
      <c r="D7352" s="1342"/>
      <c r="E7352" s="1342"/>
      <c r="F7352" s="1342"/>
      <c r="G7352" s="1342"/>
      <c r="H7352" s="1342"/>
      <c r="I7352" s="1342"/>
      <c r="J7352" s="1342"/>
      <c r="K7352" s="1342"/>
    </row>
    <row r="7353" spans="2:11" ht="14" hidden="1">
      <c r="B7353" s="1342"/>
      <c r="C7353" s="1342"/>
      <c r="D7353" s="1342"/>
      <c r="E7353" s="1342"/>
      <c r="F7353" s="1342"/>
      <c r="G7353" s="1342"/>
      <c r="H7353" s="1342"/>
      <c r="I7353" s="1342"/>
      <c r="J7353" s="1342"/>
      <c r="K7353" s="1342"/>
    </row>
    <row r="7354" spans="2:11" ht="14" hidden="1">
      <c r="B7354" s="1342"/>
      <c r="C7354" s="1342"/>
      <c r="D7354" s="1342"/>
      <c r="E7354" s="1342"/>
      <c r="F7354" s="1342"/>
      <c r="G7354" s="1342"/>
      <c r="H7354" s="1342"/>
      <c r="I7354" s="1342"/>
      <c r="J7354" s="1342"/>
      <c r="K7354" s="1342"/>
    </row>
    <row r="7355" spans="2:11" ht="14" hidden="1">
      <c r="B7355" s="1342"/>
      <c r="C7355" s="1342"/>
      <c r="D7355" s="1342"/>
      <c r="E7355" s="1342"/>
      <c r="F7355" s="1342"/>
      <c r="G7355" s="1342"/>
      <c r="H7355" s="1342"/>
      <c r="I7355" s="1342"/>
      <c r="J7355" s="1342"/>
      <c r="K7355" s="1342"/>
    </row>
    <row r="7356" spans="2:11" ht="14" hidden="1">
      <c r="B7356" s="1342"/>
      <c r="C7356" s="1342"/>
      <c r="D7356" s="1342"/>
      <c r="E7356" s="1342"/>
      <c r="F7356" s="1342"/>
      <c r="G7356" s="1342"/>
      <c r="H7356" s="1342"/>
      <c r="I7356" s="1342"/>
      <c r="J7356" s="1342"/>
      <c r="K7356" s="1342"/>
    </row>
    <row r="7357" spans="2:11" ht="14" hidden="1">
      <c r="B7357" s="1342"/>
      <c r="C7357" s="1342"/>
      <c r="D7357" s="1342"/>
      <c r="E7357" s="1342"/>
      <c r="F7357" s="1342"/>
      <c r="G7357" s="1342"/>
      <c r="H7357" s="1342"/>
      <c r="I7357" s="1342"/>
      <c r="J7357" s="1342"/>
      <c r="K7357" s="1342"/>
    </row>
    <row r="7358" spans="2:11" ht="14" hidden="1">
      <c r="B7358" s="1342"/>
      <c r="C7358" s="1342"/>
      <c r="D7358" s="1342"/>
      <c r="E7358" s="1342"/>
      <c r="F7358" s="1342"/>
      <c r="G7358" s="1342"/>
      <c r="H7358" s="1342"/>
      <c r="I7358" s="1342"/>
      <c r="J7358" s="1342"/>
      <c r="K7358" s="1342"/>
    </row>
    <row r="7359" spans="2:11" ht="14" hidden="1">
      <c r="B7359" s="1342"/>
      <c r="C7359" s="1342"/>
      <c r="D7359" s="1342"/>
      <c r="E7359" s="1342"/>
      <c r="F7359" s="1342"/>
      <c r="G7359" s="1342"/>
      <c r="H7359" s="1342"/>
      <c r="I7359" s="1342"/>
      <c r="J7359" s="1342"/>
      <c r="K7359" s="1342"/>
    </row>
    <row r="7360" spans="2:11" ht="14" hidden="1">
      <c r="B7360" s="1342"/>
      <c r="C7360" s="1342"/>
      <c r="D7360" s="1342"/>
      <c r="E7360" s="1342"/>
      <c r="F7360" s="1342"/>
      <c r="G7360" s="1342"/>
      <c r="H7360" s="1342"/>
      <c r="I7360" s="1342"/>
      <c r="J7360" s="1342"/>
      <c r="K7360" s="1342"/>
    </row>
    <row r="7361" spans="2:11" ht="14" hidden="1">
      <c r="B7361" s="1342"/>
      <c r="C7361" s="1342"/>
      <c r="D7361" s="1342"/>
      <c r="E7361" s="1342"/>
      <c r="F7361" s="1342"/>
      <c r="G7361" s="1342"/>
      <c r="H7361" s="1342"/>
      <c r="I7361" s="1342"/>
      <c r="J7361" s="1342"/>
      <c r="K7361" s="1342"/>
    </row>
    <row r="7362" spans="2:11" ht="14" hidden="1">
      <c r="B7362" s="1342"/>
      <c r="C7362" s="1342"/>
      <c r="D7362" s="1342"/>
      <c r="E7362" s="1342"/>
      <c r="F7362" s="1342"/>
      <c r="G7362" s="1342"/>
      <c r="H7362" s="1342"/>
      <c r="I7362" s="1342"/>
      <c r="J7362" s="1342"/>
      <c r="K7362" s="1342"/>
    </row>
    <row r="7363" spans="2:11" ht="14" hidden="1">
      <c r="B7363" s="1342"/>
      <c r="C7363" s="1342"/>
      <c r="D7363" s="1342"/>
      <c r="E7363" s="1342"/>
      <c r="F7363" s="1342"/>
      <c r="G7363" s="1342"/>
      <c r="H7363" s="1342"/>
      <c r="I7363" s="1342"/>
      <c r="J7363" s="1342"/>
      <c r="K7363" s="1342"/>
    </row>
    <row r="7364" spans="2:11" ht="14" hidden="1">
      <c r="B7364" s="1342"/>
      <c r="C7364" s="1342"/>
      <c r="D7364" s="1342"/>
      <c r="E7364" s="1342"/>
      <c r="F7364" s="1342"/>
      <c r="G7364" s="1342"/>
      <c r="H7364" s="1342"/>
      <c r="I7364" s="1342"/>
      <c r="J7364" s="1342"/>
      <c r="K7364" s="1342"/>
    </row>
    <row r="7365" spans="2:11" ht="14" hidden="1">
      <c r="B7365" s="1342"/>
      <c r="C7365" s="1342"/>
      <c r="D7365" s="1342"/>
      <c r="E7365" s="1342"/>
      <c r="F7365" s="1342"/>
      <c r="G7365" s="1342"/>
      <c r="H7365" s="1342"/>
      <c r="I7365" s="1342"/>
      <c r="J7365" s="1342"/>
      <c r="K7365" s="1342"/>
    </row>
    <row r="7366" spans="2:11" ht="14" hidden="1">
      <c r="B7366" s="1342"/>
      <c r="C7366" s="1342"/>
      <c r="D7366" s="1342"/>
      <c r="E7366" s="1342"/>
      <c r="F7366" s="1342"/>
      <c r="G7366" s="1342"/>
      <c r="H7366" s="1342"/>
      <c r="I7366" s="1342"/>
      <c r="J7366" s="1342"/>
      <c r="K7366" s="1342"/>
    </row>
    <row r="7367" spans="2:11" ht="14" hidden="1">
      <c r="B7367" s="1342"/>
      <c r="C7367" s="1342"/>
      <c r="D7367" s="1342"/>
      <c r="E7367" s="1342"/>
      <c r="F7367" s="1342"/>
      <c r="G7367" s="1342"/>
      <c r="H7367" s="1342"/>
      <c r="I7367" s="1342"/>
      <c r="J7367" s="1342"/>
      <c r="K7367" s="1342"/>
    </row>
    <row r="7368" spans="2:11" ht="14" hidden="1">
      <c r="B7368" s="1342"/>
      <c r="C7368" s="1342"/>
      <c r="D7368" s="1342"/>
      <c r="E7368" s="1342"/>
      <c r="F7368" s="1342"/>
      <c r="G7368" s="1342"/>
      <c r="H7368" s="1342"/>
      <c r="I7368" s="1342"/>
      <c r="J7368" s="1342"/>
      <c r="K7368" s="1342"/>
    </row>
    <row r="7369" spans="2:11" ht="14" hidden="1">
      <c r="B7369" s="1342"/>
      <c r="C7369" s="1342"/>
      <c r="D7369" s="1342"/>
      <c r="E7369" s="1342"/>
      <c r="F7369" s="1342"/>
      <c r="G7369" s="1342"/>
      <c r="H7369" s="1342"/>
      <c r="I7369" s="1342"/>
      <c r="J7369" s="1342"/>
      <c r="K7369" s="1342"/>
    </row>
    <row r="7370" spans="2:11" ht="14" hidden="1">
      <c r="B7370" s="1342"/>
      <c r="C7370" s="1342"/>
      <c r="D7370" s="1342"/>
      <c r="E7370" s="1342"/>
      <c r="F7370" s="1342"/>
      <c r="G7370" s="1342"/>
      <c r="H7370" s="1342"/>
      <c r="I7370" s="1342"/>
      <c r="J7370" s="1342"/>
      <c r="K7370" s="1342"/>
    </row>
    <row r="7371" spans="2:11" ht="14" hidden="1">
      <c r="B7371" s="1342"/>
      <c r="C7371" s="1342"/>
      <c r="D7371" s="1342"/>
      <c r="E7371" s="1342"/>
      <c r="F7371" s="1342"/>
      <c r="G7371" s="1342"/>
      <c r="H7371" s="1342"/>
      <c r="I7371" s="1342"/>
      <c r="J7371" s="1342"/>
      <c r="K7371" s="1342"/>
    </row>
    <row r="7372" spans="2:11" ht="14" hidden="1">
      <c r="B7372" s="1342"/>
      <c r="C7372" s="1342"/>
      <c r="D7372" s="1342"/>
      <c r="E7372" s="1342"/>
      <c r="F7372" s="1342"/>
      <c r="G7372" s="1342"/>
      <c r="H7372" s="1342"/>
      <c r="I7372" s="1342"/>
      <c r="J7372" s="1342"/>
      <c r="K7372" s="1342"/>
    </row>
    <row r="7373" spans="2:11" ht="14" hidden="1">
      <c r="B7373" s="1342"/>
      <c r="C7373" s="1342"/>
      <c r="D7373" s="1342"/>
      <c r="E7373" s="1342"/>
      <c r="F7373" s="1342"/>
      <c r="G7373" s="1342"/>
      <c r="H7373" s="1342"/>
      <c r="I7373" s="1342"/>
      <c r="J7373" s="1342"/>
      <c r="K7373" s="1342"/>
    </row>
    <row r="7374" spans="2:11" ht="14" hidden="1">
      <c r="B7374" s="1342"/>
      <c r="C7374" s="1342"/>
      <c r="D7374" s="1342"/>
      <c r="E7374" s="1342"/>
      <c r="F7374" s="1342"/>
      <c r="G7374" s="1342"/>
      <c r="H7374" s="1342"/>
      <c r="I7374" s="1342"/>
      <c r="J7374" s="1342"/>
      <c r="K7374" s="1342"/>
    </row>
    <row r="7375" spans="2:11" ht="14" hidden="1">
      <c r="B7375" s="1342"/>
      <c r="C7375" s="1342"/>
      <c r="D7375" s="1342"/>
      <c r="E7375" s="1342"/>
      <c r="F7375" s="1342"/>
      <c r="G7375" s="1342"/>
      <c r="H7375" s="1342"/>
      <c r="I7375" s="1342"/>
      <c r="J7375" s="1342"/>
      <c r="K7375" s="1342"/>
    </row>
    <row r="7376" spans="2:11" ht="14" hidden="1">
      <c r="B7376" s="1342"/>
      <c r="C7376" s="1342"/>
      <c r="D7376" s="1342"/>
      <c r="E7376" s="1342"/>
      <c r="F7376" s="1342"/>
      <c r="G7376" s="1342"/>
      <c r="H7376" s="1342"/>
      <c r="I7376" s="1342"/>
      <c r="J7376" s="1342"/>
      <c r="K7376" s="1342"/>
    </row>
    <row r="7377" spans="2:11" ht="14" hidden="1">
      <c r="B7377" s="1342"/>
      <c r="C7377" s="1342"/>
      <c r="D7377" s="1342"/>
      <c r="E7377" s="1342"/>
      <c r="F7377" s="1342"/>
      <c r="G7377" s="1342"/>
      <c r="H7377" s="1342"/>
      <c r="I7377" s="1342"/>
      <c r="J7377" s="1342"/>
      <c r="K7377" s="1342"/>
    </row>
    <row r="7378" spans="2:11" ht="14" hidden="1">
      <c r="B7378" s="1342"/>
      <c r="C7378" s="1342"/>
      <c r="D7378" s="1342"/>
      <c r="E7378" s="1342"/>
      <c r="F7378" s="1342"/>
      <c r="G7378" s="1342"/>
      <c r="H7378" s="1342"/>
      <c r="I7378" s="1342"/>
      <c r="J7378" s="1342"/>
      <c r="K7378" s="1342"/>
    </row>
    <row r="7379" spans="2:11" ht="14" hidden="1">
      <c r="B7379" s="1342"/>
      <c r="C7379" s="1342"/>
      <c r="D7379" s="1342"/>
      <c r="E7379" s="1342"/>
      <c r="F7379" s="1342"/>
      <c r="G7379" s="1342"/>
      <c r="H7379" s="1342"/>
      <c r="I7379" s="1342"/>
      <c r="J7379" s="1342"/>
      <c r="K7379" s="1342"/>
    </row>
    <row r="7380" spans="2:11" ht="14" hidden="1">
      <c r="B7380" s="1342"/>
      <c r="C7380" s="1342"/>
      <c r="D7380" s="1342"/>
      <c r="E7380" s="1342"/>
      <c r="F7380" s="1342"/>
      <c r="G7380" s="1342"/>
      <c r="H7380" s="1342"/>
      <c r="I7380" s="1342"/>
      <c r="J7380" s="1342"/>
      <c r="K7380" s="1342"/>
    </row>
    <row r="7381" spans="2:11" ht="14" hidden="1">
      <c r="B7381" s="1342"/>
      <c r="C7381" s="1342"/>
      <c r="D7381" s="1342"/>
      <c r="E7381" s="1342"/>
      <c r="F7381" s="1342"/>
      <c r="G7381" s="1342"/>
      <c r="H7381" s="1342"/>
      <c r="I7381" s="1342"/>
      <c r="J7381" s="1342"/>
      <c r="K7381" s="1342"/>
    </row>
    <row r="7382" spans="2:11" ht="14" hidden="1">
      <c r="B7382" s="1342"/>
      <c r="C7382" s="1342"/>
      <c r="D7382" s="1342"/>
      <c r="E7382" s="1342"/>
      <c r="F7382" s="1342"/>
      <c r="G7382" s="1342"/>
      <c r="H7382" s="1342"/>
      <c r="I7382" s="1342"/>
      <c r="J7382" s="1342"/>
      <c r="K7382" s="1342"/>
    </row>
    <row r="7383" spans="2:11" ht="14" hidden="1">
      <c r="B7383" s="1342"/>
      <c r="C7383" s="1342"/>
      <c r="D7383" s="1342"/>
      <c r="E7383" s="1342"/>
      <c r="F7383" s="1342"/>
      <c r="G7383" s="1342"/>
      <c r="H7383" s="1342"/>
      <c r="I7383" s="1342"/>
      <c r="J7383" s="1342"/>
      <c r="K7383" s="1342"/>
    </row>
    <row r="7384" spans="2:11" ht="14" hidden="1">
      <c r="B7384" s="1342"/>
      <c r="C7384" s="1342"/>
      <c r="D7384" s="1342"/>
      <c r="E7384" s="1342"/>
      <c r="F7384" s="1342"/>
      <c r="G7384" s="1342"/>
      <c r="H7384" s="1342"/>
      <c r="I7384" s="1342"/>
      <c r="J7384" s="1342"/>
      <c r="K7384" s="1342"/>
    </row>
    <row r="7385" spans="2:11" ht="14" hidden="1">
      <c r="B7385" s="1342"/>
      <c r="C7385" s="1342"/>
      <c r="D7385" s="1342"/>
      <c r="E7385" s="1342"/>
      <c r="F7385" s="1342"/>
      <c r="G7385" s="1342"/>
      <c r="H7385" s="1342"/>
      <c r="I7385" s="1342"/>
      <c r="J7385" s="1342"/>
      <c r="K7385" s="1342"/>
    </row>
    <row r="7386" spans="2:11" ht="14" hidden="1">
      <c r="B7386" s="1342"/>
      <c r="C7386" s="1342"/>
      <c r="D7386" s="1342"/>
      <c r="E7386" s="1342"/>
      <c r="F7386" s="1342"/>
      <c r="G7386" s="1342"/>
      <c r="H7386" s="1342"/>
      <c r="I7386" s="1342"/>
      <c r="J7386" s="1342"/>
      <c r="K7386" s="1342"/>
    </row>
    <row r="7387" spans="2:11" ht="14" hidden="1">
      <c r="B7387" s="1342"/>
      <c r="C7387" s="1342"/>
      <c r="D7387" s="1342"/>
      <c r="E7387" s="1342"/>
      <c r="F7387" s="1342"/>
      <c r="G7387" s="1342"/>
      <c r="H7387" s="1342"/>
      <c r="I7387" s="1342"/>
      <c r="J7387" s="1342"/>
      <c r="K7387" s="1342"/>
    </row>
    <row r="7388" spans="2:11" ht="14" hidden="1">
      <c r="B7388" s="1342"/>
      <c r="C7388" s="1342"/>
      <c r="D7388" s="1342"/>
      <c r="E7388" s="1342"/>
      <c r="F7388" s="1342"/>
      <c r="G7388" s="1342"/>
      <c r="H7388" s="1342"/>
      <c r="I7388" s="1342"/>
      <c r="J7388" s="1342"/>
      <c r="K7388" s="1342"/>
    </row>
    <row r="7389" spans="2:11" ht="14" hidden="1">
      <c r="B7389" s="1342"/>
      <c r="C7389" s="1342"/>
      <c r="D7389" s="1342"/>
      <c r="E7389" s="1342"/>
      <c r="F7389" s="1342"/>
      <c r="G7389" s="1342"/>
      <c r="H7389" s="1342"/>
      <c r="I7389" s="1342"/>
      <c r="J7389" s="1342"/>
      <c r="K7389" s="1342"/>
    </row>
    <row r="7390" spans="2:11" ht="14" hidden="1">
      <c r="B7390" s="1342"/>
      <c r="C7390" s="1342"/>
      <c r="D7390" s="1342"/>
      <c r="E7390" s="1342"/>
      <c r="F7390" s="1342"/>
      <c r="G7390" s="1342"/>
      <c r="H7390" s="1342"/>
      <c r="I7390" s="1342"/>
      <c r="J7390" s="1342"/>
      <c r="K7390" s="1342"/>
    </row>
    <row r="7391" spans="2:11" ht="14" hidden="1">
      <c r="B7391" s="1342"/>
      <c r="C7391" s="1342"/>
      <c r="D7391" s="1342"/>
      <c r="E7391" s="1342"/>
      <c r="F7391" s="1342"/>
      <c r="G7391" s="1342"/>
      <c r="H7391" s="1342"/>
      <c r="I7391" s="1342"/>
      <c r="J7391" s="1342"/>
      <c r="K7391" s="1342"/>
    </row>
    <row r="7392" spans="2:11" ht="14" hidden="1">
      <c r="B7392" s="1342"/>
      <c r="C7392" s="1342"/>
      <c r="D7392" s="1342"/>
      <c r="E7392" s="1342"/>
      <c r="F7392" s="1342"/>
      <c r="G7392" s="1342"/>
      <c r="H7392" s="1342"/>
      <c r="I7392" s="1342"/>
      <c r="J7392" s="1342"/>
      <c r="K7392" s="1342"/>
    </row>
    <row r="7393" spans="2:11" ht="14" hidden="1">
      <c r="B7393" s="1342"/>
      <c r="C7393" s="1342"/>
      <c r="D7393" s="1342"/>
      <c r="E7393" s="1342"/>
      <c r="F7393" s="1342"/>
      <c r="G7393" s="1342"/>
      <c r="H7393" s="1342"/>
      <c r="I7393" s="1342"/>
      <c r="J7393" s="1342"/>
      <c r="K7393" s="1342"/>
    </row>
    <row r="7394" spans="2:11" ht="14" hidden="1">
      <c r="B7394" s="1342"/>
      <c r="C7394" s="1342"/>
      <c r="D7394" s="1342"/>
      <c r="E7394" s="1342"/>
      <c r="F7394" s="1342"/>
      <c r="G7394" s="1342"/>
      <c r="H7394" s="1342"/>
      <c r="I7394" s="1342"/>
      <c r="J7394" s="1342"/>
      <c r="K7394" s="1342"/>
    </row>
    <row r="7395" spans="2:11" ht="14" hidden="1">
      <c r="B7395" s="1342"/>
      <c r="C7395" s="1342"/>
      <c r="D7395" s="1342"/>
      <c r="E7395" s="1342"/>
      <c r="F7395" s="1342"/>
      <c r="G7395" s="1342"/>
      <c r="H7395" s="1342"/>
      <c r="I7395" s="1342"/>
      <c r="J7395" s="1342"/>
      <c r="K7395" s="1342"/>
    </row>
    <row r="7396" spans="2:11" ht="14" hidden="1">
      <c r="B7396" s="1342"/>
      <c r="C7396" s="1342"/>
      <c r="D7396" s="1342"/>
      <c r="E7396" s="1342"/>
      <c r="F7396" s="1342"/>
      <c r="G7396" s="1342"/>
      <c r="H7396" s="1342"/>
      <c r="I7396" s="1342"/>
      <c r="J7396" s="1342"/>
      <c r="K7396" s="1342"/>
    </row>
    <row r="7397" spans="2:11" ht="14" hidden="1">
      <c r="B7397" s="1342"/>
      <c r="C7397" s="1342"/>
      <c r="D7397" s="1342"/>
      <c r="E7397" s="1342"/>
      <c r="F7397" s="1342"/>
      <c r="G7397" s="1342"/>
      <c r="H7397" s="1342"/>
      <c r="I7397" s="1342"/>
      <c r="J7397" s="1342"/>
      <c r="K7397" s="1342"/>
    </row>
    <row r="7398" spans="2:11" ht="14" hidden="1">
      <c r="B7398" s="1342"/>
      <c r="C7398" s="1342"/>
      <c r="D7398" s="1342"/>
      <c r="E7398" s="1342"/>
      <c r="F7398" s="1342"/>
      <c r="G7398" s="1342"/>
      <c r="H7398" s="1342"/>
      <c r="I7398" s="1342"/>
      <c r="J7398" s="1342"/>
      <c r="K7398" s="1342"/>
    </row>
    <row r="7399" spans="2:11" ht="14" hidden="1">
      <c r="B7399" s="1342"/>
      <c r="C7399" s="1342"/>
      <c r="D7399" s="1342"/>
      <c r="E7399" s="1342"/>
      <c r="F7399" s="1342"/>
      <c r="G7399" s="1342"/>
      <c r="H7399" s="1342"/>
      <c r="I7399" s="1342"/>
      <c r="J7399" s="1342"/>
      <c r="K7399" s="1342"/>
    </row>
    <row r="7400" spans="2:11" ht="14" hidden="1">
      <c r="B7400" s="1342"/>
      <c r="C7400" s="1342"/>
      <c r="D7400" s="1342"/>
      <c r="E7400" s="1342"/>
      <c r="F7400" s="1342"/>
      <c r="G7400" s="1342"/>
      <c r="H7400" s="1342"/>
      <c r="I7400" s="1342"/>
      <c r="J7400" s="1342"/>
      <c r="K7400" s="1342"/>
    </row>
    <row r="7401" spans="2:11" ht="14" hidden="1">
      <c r="B7401" s="1342"/>
      <c r="C7401" s="1342"/>
      <c r="D7401" s="1342"/>
      <c r="E7401" s="1342"/>
      <c r="F7401" s="1342"/>
      <c r="G7401" s="1342"/>
      <c r="H7401" s="1342"/>
      <c r="I7401" s="1342"/>
      <c r="J7401" s="1342"/>
      <c r="K7401" s="1342"/>
    </row>
    <row r="7402" spans="2:11" ht="14" hidden="1">
      <c r="B7402" s="1342"/>
      <c r="C7402" s="1342"/>
      <c r="D7402" s="1342"/>
      <c r="E7402" s="1342"/>
      <c r="F7402" s="1342"/>
      <c r="G7402" s="1342"/>
      <c r="H7402" s="1342"/>
      <c r="I7402" s="1342"/>
      <c r="J7402" s="1342"/>
      <c r="K7402" s="1342"/>
    </row>
    <row r="7403" spans="2:11" ht="14" hidden="1">
      <c r="B7403" s="1342"/>
      <c r="C7403" s="1342"/>
      <c r="D7403" s="1342"/>
      <c r="E7403" s="1342"/>
      <c r="F7403" s="1342"/>
      <c r="G7403" s="1342"/>
      <c r="H7403" s="1342"/>
      <c r="I7403" s="1342"/>
      <c r="J7403" s="1342"/>
      <c r="K7403" s="1342"/>
    </row>
    <row r="7404" spans="2:11" ht="14" hidden="1">
      <c r="B7404" s="1342"/>
      <c r="C7404" s="1342"/>
      <c r="D7404" s="1342"/>
      <c r="E7404" s="1342"/>
      <c r="F7404" s="1342"/>
      <c r="G7404" s="1342"/>
      <c r="H7404" s="1342"/>
      <c r="I7404" s="1342"/>
      <c r="J7404" s="1342"/>
      <c r="K7404" s="1342"/>
    </row>
    <row r="7405" spans="2:11" ht="14" hidden="1">
      <c r="B7405" s="1342"/>
      <c r="C7405" s="1342"/>
      <c r="D7405" s="1342"/>
      <c r="E7405" s="1342"/>
      <c r="F7405" s="1342"/>
      <c r="G7405" s="1342"/>
      <c r="H7405" s="1342"/>
      <c r="I7405" s="1342"/>
      <c r="J7405" s="1342"/>
      <c r="K7405" s="1342"/>
    </row>
    <row r="7406" spans="2:11" ht="14" hidden="1">
      <c r="B7406" s="1342"/>
      <c r="C7406" s="1342"/>
      <c r="D7406" s="1342"/>
      <c r="E7406" s="1342"/>
      <c r="F7406" s="1342"/>
      <c r="G7406" s="1342"/>
      <c r="H7406" s="1342"/>
      <c r="I7406" s="1342"/>
      <c r="J7406" s="1342"/>
      <c r="K7406" s="1342"/>
    </row>
    <row r="7407" spans="2:11" ht="14" hidden="1">
      <c r="B7407" s="1342"/>
      <c r="C7407" s="1342"/>
      <c r="D7407" s="1342"/>
      <c r="E7407" s="1342"/>
      <c r="F7407" s="1342"/>
      <c r="G7407" s="1342"/>
      <c r="H7407" s="1342"/>
      <c r="I7407" s="1342"/>
      <c r="J7407" s="1342"/>
      <c r="K7407" s="1342"/>
    </row>
    <row r="7408" spans="2:11" ht="14" hidden="1">
      <c r="B7408" s="1342"/>
      <c r="C7408" s="1342"/>
      <c r="D7408" s="1342"/>
      <c r="E7408" s="1342"/>
      <c r="F7408" s="1342"/>
      <c r="G7408" s="1342"/>
      <c r="H7408" s="1342"/>
      <c r="I7408" s="1342"/>
      <c r="J7408" s="1342"/>
      <c r="K7408" s="1342"/>
    </row>
    <row r="7409" spans="2:11" ht="14" hidden="1">
      <c r="B7409" s="1342"/>
      <c r="C7409" s="1342"/>
      <c r="D7409" s="1342"/>
      <c r="E7409" s="1342"/>
      <c r="F7409" s="1342"/>
      <c r="G7409" s="1342"/>
      <c r="H7409" s="1342"/>
      <c r="I7409" s="1342"/>
      <c r="J7409" s="1342"/>
      <c r="K7409" s="1342"/>
    </row>
    <row r="7410" spans="2:11" ht="14" hidden="1">
      <c r="B7410" s="1342"/>
      <c r="C7410" s="1342"/>
      <c r="D7410" s="1342"/>
      <c r="E7410" s="1342"/>
      <c r="F7410" s="1342"/>
      <c r="G7410" s="1342"/>
      <c r="H7410" s="1342"/>
      <c r="I7410" s="1342"/>
      <c r="J7410" s="1342"/>
      <c r="K7410" s="1342"/>
    </row>
    <row r="7411" spans="2:11" ht="14" hidden="1">
      <c r="B7411" s="1342"/>
      <c r="C7411" s="1342"/>
      <c r="D7411" s="1342"/>
      <c r="E7411" s="1342"/>
      <c r="F7411" s="1342"/>
      <c r="G7411" s="1342"/>
      <c r="H7411" s="1342"/>
      <c r="I7411" s="1342"/>
      <c r="J7411" s="1342"/>
      <c r="K7411" s="1342"/>
    </row>
    <row r="7412" spans="2:11" ht="14" hidden="1">
      <c r="B7412" s="1342"/>
      <c r="C7412" s="1342"/>
      <c r="D7412" s="1342"/>
      <c r="E7412" s="1342"/>
      <c r="F7412" s="1342"/>
      <c r="G7412" s="1342"/>
      <c r="H7412" s="1342"/>
      <c r="I7412" s="1342"/>
      <c r="J7412" s="1342"/>
      <c r="K7412" s="1342"/>
    </row>
    <row r="7413" spans="2:11" ht="14" hidden="1">
      <c r="B7413" s="1342"/>
      <c r="C7413" s="1342"/>
      <c r="D7413" s="1342"/>
      <c r="E7413" s="1342"/>
      <c r="F7413" s="1342"/>
      <c r="G7413" s="1342"/>
      <c r="H7413" s="1342"/>
      <c r="I7413" s="1342"/>
      <c r="J7413" s="1342"/>
      <c r="K7413" s="1342"/>
    </row>
    <row r="7414" spans="2:11" ht="14" hidden="1">
      <c r="B7414" s="1342"/>
      <c r="C7414" s="1342"/>
      <c r="D7414" s="1342"/>
      <c r="E7414" s="1342"/>
      <c r="F7414" s="1342"/>
      <c r="G7414" s="1342"/>
      <c r="H7414" s="1342"/>
      <c r="I7414" s="1342"/>
      <c r="J7414" s="1342"/>
      <c r="K7414" s="1342"/>
    </row>
    <row r="7415" spans="2:11" ht="14" hidden="1">
      <c r="B7415" s="1342"/>
      <c r="C7415" s="1342"/>
      <c r="D7415" s="1342"/>
      <c r="E7415" s="1342"/>
      <c r="F7415" s="1342"/>
      <c r="G7415" s="1342"/>
      <c r="H7415" s="1342"/>
      <c r="I7415" s="1342"/>
      <c r="J7415" s="1342"/>
      <c r="K7415" s="1342"/>
    </row>
    <row r="7416" spans="2:11" ht="14" hidden="1">
      <c r="B7416" s="1342"/>
      <c r="C7416" s="1342"/>
      <c r="D7416" s="1342"/>
      <c r="E7416" s="1342"/>
      <c r="F7416" s="1342"/>
      <c r="G7416" s="1342"/>
      <c r="H7416" s="1342"/>
      <c r="I7416" s="1342"/>
      <c r="J7416" s="1342"/>
      <c r="K7416" s="1342"/>
    </row>
    <row r="7417" spans="2:11" ht="14" hidden="1">
      <c r="B7417" s="1342"/>
      <c r="C7417" s="1342"/>
      <c r="D7417" s="1342"/>
      <c r="E7417" s="1342"/>
      <c r="F7417" s="1342"/>
      <c r="G7417" s="1342"/>
      <c r="H7417" s="1342"/>
      <c r="I7417" s="1342"/>
      <c r="J7417" s="1342"/>
      <c r="K7417" s="1342"/>
    </row>
    <row r="7418" spans="2:11" ht="14" hidden="1">
      <c r="B7418" s="1342"/>
      <c r="C7418" s="1342"/>
      <c r="D7418" s="1342"/>
      <c r="E7418" s="1342"/>
      <c r="F7418" s="1342"/>
      <c r="G7418" s="1342"/>
      <c r="H7418" s="1342"/>
      <c r="I7418" s="1342"/>
      <c r="J7418" s="1342"/>
      <c r="K7418" s="1342"/>
    </row>
    <row r="7419" spans="2:11" ht="14" hidden="1">
      <c r="B7419" s="1342"/>
      <c r="C7419" s="1342"/>
      <c r="D7419" s="1342"/>
      <c r="E7419" s="1342"/>
      <c r="F7419" s="1342"/>
      <c r="G7419" s="1342"/>
      <c r="H7419" s="1342"/>
      <c r="I7419" s="1342"/>
      <c r="J7419" s="1342"/>
      <c r="K7419" s="1342"/>
    </row>
    <row r="7420" spans="2:11" ht="14" hidden="1">
      <c r="B7420" s="1342"/>
      <c r="C7420" s="1342"/>
      <c r="D7420" s="1342"/>
      <c r="E7420" s="1342"/>
      <c r="F7420" s="1342"/>
      <c r="G7420" s="1342"/>
      <c r="H7420" s="1342"/>
      <c r="I7420" s="1342"/>
      <c r="J7420" s="1342"/>
      <c r="K7420" s="1342"/>
    </row>
    <row r="7421" spans="2:11" ht="14" hidden="1">
      <c r="B7421" s="1342"/>
      <c r="C7421" s="1342"/>
      <c r="D7421" s="1342"/>
      <c r="E7421" s="1342"/>
      <c r="F7421" s="1342"/>
      <c r="G7421" s="1342"/>
      <c r="H7421" s="1342"/>
      <c r="I7421" s="1342"/>
      <c r="J7421" s="1342"/>
      <c r="K7421" s="1342"/>
    </row>
    <row r="7422" spans="2:11" ht="14" hidden="1">
      <c r="B7422" s="1342"/>
      <c r="C7422" s="1342"/>
      <c r="D7422" s="1342"/>
      <c r="E7422" s="1342"/>
      <c r="F7422" s="1342"/>
      <c r="G7422" s="1342"/>
      <c r="H7422" s="1342"/>
      <c r="I7422" s="1342"/>
      <c r="J7422" s="1342"/>
      <c r="K7422" s="1342"/>
    </row>
    <row r="7423" spans="2:11" ht="14" hidden="1">
      <c r="B7423" s="1342"/>
      <c r="C7423" s="1342"/>
      <c r="D7423" s="1342"/>
      <c r="E7423" s="1342"/>
      <c r="F7423" s="1342"/>
      <c r="G7423" s="1342"/>
      <c r="H7423" s="1342"/>
      <c r="I7423" s="1342"/>
      <c r="J7423" s="1342"/>
      <c r="K7423" s="1342"/>
    </row>
    <row r="7424" spans="2:11" ht="14" hidden="1">
      <c r="B7424" s="1342"/>
      <c r="C7424" s="1342"/>
      <c r="D7424" s="1342"/>
      <c r="E7424" s="1342"/>
      <c r="F7424" s="1342"/>
      <c r="G7424" s="1342"/>
      <c r="H7424" s="1342"/>
      <c r="I7424" s="1342"/>
      <c r="J7424" s="1342"/>
      <c r="K7424" s="1342"/>
    </row>
    <row r="7425" spans="2:11" ht="14" hidden="1">
      <c r="B7425" s="1342"/>
      <c r="C7425" s="1342"/>
      <c r="D7425" s="1342"/>
      <c r="E7425" s="1342"/>
      <c r="F7425" s="1342"/>
      <c r="G7425" s="1342"/>
      <c r="H7425" s="1342"/>
      <c r="I7425" s="1342"/>
      <c r="J7425" s="1342"/>
      <c r="K7425" s="1342"/>
    </row>
    <row r="7426" spans="2:11" ht="14" hidden="1">
      <c r="B7426" s="1342"/>
      <c r="C7426" s="1342"/>
      <c r="D7426" s="1342"/>
      <c r="E7426" s="1342"/>
      <c r="F7426" s="1342"/>
      <c r="G7426" s="1342"/>
      <c r="H7426" s="1342"/>
      <c r="I7426" s="1342"/>
      <c r="J7426" s="1342"/>
      <c r="K7426" s="1342"/>
    </row>
    <row r="7427" spans="2:11" ht="14" hidden="1">
      <c r="B7427" s="1342"/>
      <c r="C7427" s="1342"/>
      <c r="D7427" s="1342"/>
      <c r="E7427" s="1342"/>
      <c r="F7427" s="1342"/>
      <c r="G7427" s="1342"/>
      <c r="H7427" s="1342"/>
      <c r="I7427" s="1342"/>
      <c r="J7427" s="1342"/>
      <c r="K7427" s="1342"/>
    </row>
    <row r="7428" spans="2:11" ht="14" hidden="1">
      <c r="B7428" s="1342"/>
      <c r="C7428" s="1342"/>
      <c r="D7428" s="1342"/>
      <c r="E7428" s="1342"/>
      <c r="F7428" s="1342"/>
      <c r="G7428" s="1342"/>
      <c r="H7428" s="1342"/>
      <c r="I7428" s="1342"/>
      <c r="J7428" s="1342"/>
      <c r="K7428" s="1342"/>
    </row>
    <row r="7429" spans="2:11" ht="14" hidden="1">
      <c r="B7429" s="1342"/>
      <c r="C7429" s="1342"/>
      <c r="D7429" s="1342"/>
      <c r="E7429" s="1342"/>
      <c r="F7429" s="1342"/>
      <c r="G7429" s="1342"/>
      <c r="H7429" s="1342"/>
      <c r="I7429" s="1342"/>
      <c r="J7429" s="1342"/>
      <c r="K7429" s="1342"/>
    </row>
    <row r="7430" spans="2:11" ht="14" hidden="1">
      <c r="B7430" s="1342"/>
      <c r="C7430" s="1342"/>
      <c r="D7430" s="1342"/>
      <c r="E7430" s="1342"/>
      <c r="F7430" s="1342"/>
      <c r="G7430" s="1342"/>
      <c r="H7430" s="1342"/>
      <c r="I7430" s="1342"/>
      <c r="J7430" s="1342"/>
      <c r="K7430" s="1342"/>
    </row>
    <row r="7431" spans="2:11" ht="14" hidden="1">
      <c r="B7431" s="1342"/>
      <c r="C7431" s="1342"/>
      <c r="D7431" s="1342"/>
      <c r="E7431" s="1342"/>
      <c r="F7431" s="1342"/>
      <c r="G7431" s="1342"/>
      <c r="H7431" s="1342"/>
      <c r="I7431" s="1342"/>
      <c r="J7431" s="1342"/>
      <c r="K7431" s="1342"/>
    </row>
    <row r="7432" spans="2:11" ht="14" hidden="1">
      <c r="B7432" s="1342"/>
      <c r="C7432" s="1342"/>
      <c r="D7432" s="1342"/>
      <c r="E7432" s="1342"/>
      <c r="F7432" s="1342"/>
      <c r="G7432" s="1342"/>
      <c r="H7432" s="1342"/>
      <c r="I7432" s="1342"/>
      <c r="J7432" s="1342"/>
      <c r="K7432" s="1342"/>
    </row>
    <row r="7433" spans="2:11" ht="14" hidden="1">
      <c r="B7433" s="1342"/>
      <c r="C7433" s="1342"/>
      <c r="D7433" s="1342"/>
      <c r="E7433" s="1342"/>
      <c r="F7433" s="1342"/>
      <c r="G7433" s="1342"/>
      <c r="H7433" s="1342"/>
      <c r="I7433" s="1342"/>
      <c r="J7433" s="1342"/>
      <c r="K7433" s="1342"/>
    </row>
    <row r="7434" spans="2:11" ht="14" hidden="1">
      <c r="B7434" s="1342"/>
      <c r="C7434" s="1342"/>
      <c r="D7434" s="1342"/>
      <c r="E7434" s="1342"/>
      <c r="F7434" s="1342"/>
      <c r="G7434" s="1342"/>
      <c r="H7434" s="1342"/>
      <c r="I7434" s="1342"/>
      <c r="J7434" s="1342"/>
      <c r="K7434" s="1342"/>
    </row>
    <row r="7435" spans="2:11" ht="14" hidden="1">
      <c r="B7435" s="1342"/>
      <c r="C7435" s="1342"/>
      <c r="D7435" s="1342"/>
      <c r="E7435" s="1342"/>
      <c r="F7435" s="1342"/>
      <c r="G7435" s="1342"/>
      <c r="H7435" s="1342"/>
      <c r="I7435" s="1342"/>
      <c r="J7435" s="1342"/>
      <c r="K7435" s="1342"/>
    </row>
    <row r="7436" spans="2:11" ht="14" hidden="1">
      <c r="B7436" s="1342"/>
      <c r="C7436" s="1342"/>
      <c r="D7436" s="1342"/>
      <c r="E7436" s="1342"/>
      <c r="F7436" s="1342"/>
      <c r="G7436" s="1342"/>
      <c r="H7436" s="1342"/>
      <c r="I7436" s="1342"/>
      <c r="J7436" s="1342"/>
      <c r="K7436" s="1342"/>
    </row>
    <row r="7437" spans="2:11" ht="14" hidden="1">
      <c r="B7437" s="1342"/>
      <c r="C7437" s="1342"/>
      <c r="D7437" s="1342"/>
      <c r="E7437" s="1342"/>
      <c r="F7437" s="1342"/>
      <c r="G7437" s="1342"/>
      <c r="H7437" s="1342"/>
      <c r="I7437" s="1342"/>
      <c r="J7437" s="1342"/>
      <c r="K7437" s="1342"/>
    </row>
    <row r="7438" spans="2:11" ht="14" hidden="1">
      <c r="B7438" s="1342"/>
      <c r="C7438" s="1342"/>
      <c r="D7438" s="1342"/>
      <c r="E7438" s="1342"/>
      <c r="F7438" s="1342"/>
      <c r="G7438" s="1342"/>
      <c r="H7438" s="1342"/>
      <c r="I7438" s="1342"/>
      <c r="J7438" s="1342"/>
      <c r="K7438" s="1342"/>
    </row>
    <row r="7439" spans="2:11" ht="14" hidden="1">
      <c r="B7439" s="1342"/>
      <c r="C7439" s="1342"/>
      <c r="D7439" s="1342"/>
      <c r="E7439" s="1342"/>
      <c r="F7439" s="1342"/>
      <c r="G7439" s="1342"/>
      <c r="H7439" s="1342"/>
      <c r="I7439" s="1342"/>
      <c r="J7439" s="1342"/>
      <c r="K7439" s="1342"/>
    </row>
    <row r="7440" spans="2:11" ht="14" hidden="1">
      <c r="B7440" s="1342"/>
      <c r="C7440" s="1342"/>
      <c r="D7440" s="1342"/>
      <c r="E7440" s="1342"/>
      <c r="F7440" s="1342"/>
      <c r="G7440" s="1342"/>
      <c r="H7440" s="1342"/>
      <c r="I7440" s="1342"/>
      <c r="J7440" s="1342"/>
      <c r="K7440" s="1342"/>
    </row>
    <row r="7441" spans="2:11" ht="14" hidden="1">
      <c r="B7441" s="1342"/>
      <c r="C7441" s="1342"/>
      <c r="D7441" s="1342"/>
      <c r="E7441" s="1342"/>
      <c r="F7441" s="1342"/>
      <c r="G7441" s="1342"/>
      <c r="H7441" s="1342"/>
      <c r="I7441" s="1342"/>
      <c r="J7441" s="1342"/>
      <c r="K7441" s="1342"/>
    </row>
    <row r="7442" spans="2:11" ht="14" hidden="1">
      <c r="B7442" s="1342"/>
      <c r="C7442" s="1342"/>
      <c r="D7442" s="1342"/>
      <c r="E7442" s="1342"/>
      <c r="F7442" s="1342"/>
      <c r="G7442" s="1342"/>
      <c r="H7442" s="1342"/>
      <c r="I7442" s="1342"/>
      <c r="J7442" s="1342"/>
      <c r="K7442" s="1342"/>
    </row>
    <row r="7443" spans="2:11" ht="14" hidden="1">
      <c r="B7443" s="1342"/>
      <c r="C7443" s="1342"/>
      <c r="D7443" s="1342"/>
      <c r="E7443" s="1342"/>
      <c r="F7443" s="1342"/>
      <c r="G7443" s="1342"/>
      <c r="H7443" s="1342"/>
      <c r="I7443" s="1342"/>
      <c r="J7443" s="1342"/>
      <c r="K7443" s="1342"/>
    </row>
    <row r="7444" spans="2:11" ht="14" hidden="1">
      <c r="B7444" s="1342"/>
      <c r="C7444" s="1342"/>
      <c r="D7444" s="1342"/>
      <c r="E7444" s="1342"/>
      <c r="F7444" s="1342"/>
      <c r="G7444" s="1342"/>
      <c r="H7444" s="1342"/>
      <c r="I7444" s="1342"/>
      <c r="J7444" s="1342"/>
      <c r="K7444" s="1342"/>
    </row>
    <row r="7445" spans="2:11" ht="14" hidden="1">
      <c r="B7445" s="1342"/>
      <c r="C7445" s="1342"/>
      <c r="D7445" s="1342"/>
      <c r="E7445" s="1342"/>
      <c r="F7445" s="1342"/>
      <c r="G7445" s="1342"/>
      <c r="H7445" s="1342"/>
      <c r="I7445" s="1342"/>
      <c r="J7445" s="1342"/>
      <c r="K7445" s="1342"/>
    </row>
    <row r="7446" spans="2:11" ht="14" hidden="1">
      <c r="B7446" s="1342"/>
      <c r="C7446" s="1342"/>
      <c r="D7446" s="1342"/>
      <c r="E7446" s="1342"/>
      <c r="F7446" s="1342"/>
      <c r="G7446" s="1342"/>
      <c r="H7446" s="1342"/>
      <c r="I7446" s="1342"/>
      <c r="J7446" s="1342"/>
      <c r="K7446" s="1342"/>
    </row>
    <row r="7447" spans="2:11" ht="14" hidden="1">
      <c r="B7447" s="1342"/>
      <c r="C7447" s="1342"/>
      <c r="D7447" s="1342"/>
      <c r="E7447" s="1342"/>
      <c r="F7447" s="1342"/>
      <c r="G7447" s="1342"/>
      <c r="H7447" s="1342"/>
      <c r="I7447" s="1342"/>
      <c r="J7447" s="1342"/>
      <c r="K7447" s="1342"/>
    </row>
    <row r="7448" spans="2:11" ht="14" hidden="1">
      <c r="B7448" s="1342"/>
      <c r="C7448" s="1342"/>
      <c r="D7448" s="1342"/>
      <c r="E7448" s="1342"/>
      <c r="F7448" s="1342"/>
      <c r="G7448" s="1342"/>
      <c r="H7448" s="1342"/>
      <c r="I7448" s="1342"/>
      <c r="J7448" s="1342"/>
      <c r="K7448" s="1342"/>
    </row>
    <row r="7449" spans="2:11" ht="14" hidden="1">
      <c r="B7449" s="1342"/>
      <c r="C7449" s="1342"/>
      <c r="D7449" s="1342"/>
      <c r="E7449" s="1342"/>
      <c r="F7449" s="1342"/>
      <c r="G7449" s="1342"/>
      <c r="H7449" s="1342"/>
      <c r="I7449" s="1342"/>
      <c r="J7449" s="1342"/>
      <c r="K7449" s="1342"/>
    </row>
    <row r="7450" spans="2:11" ht="14" hidden="1">
      <c r="B7450" s="1342"/>
      <c r="C7450" s="1342"/>
      <c r="D7450" s="1342"/>
      <c r="E7450" s="1342"/>
      <c r="F7450" s="1342"/>
      <c r="G7450" s="1342"/>
      <c r="H7450" s="1342"/>
      <c r="I7450" s="1342"/>
      <c r="J7450" s="1342"/>
      <c r="K7450" s="1342"/>
    </row>
    <row r="7451" spans="2:11" ht="14" hidden="1">
      <c r="B7451" s="1342"/>
      <c r="C7451" s="1342"/>
      <c r="D7451" s="1342"/>
      <c r="E7451" s="1342"/>
      <c r="F7451" s="1342"/>
      <c r="G7451" s="1342"/>
      <c r="H7451" s="1342"/>
      <c r="I7451" s="1342"/>
      <c r="J7451" s="1342"/>
      <c r="K7451" s="1342"/>
    </row>
    <row r="7452" spans="2:11" ht="14" hidden="1">
      <c r="B7452" s="1342"/>
      <c r="C7452" s="1342"/>
      <c r="D7452" s="1342"/>
      <c r="E7452" s="1342"/>
      <c r="F7452" s="1342"/>
      <c r="G7452" s="1342"/>
      <c r="H7452" s="1342"/>
      <c r="I7452" s="1342"/>
      <c r="J7452" s="1342"/>
      <c r="K7452" s="1342"/>
    </row>
    <row r="7453" spans="2:11" ht="14" hidden="1">
      <c r="B7453" s="1342"/>
      <c r="C7453" s="1342"/>
      <c r="D7453" s="1342"/>
      <c r="E7453" s="1342"/>
      <c r="F7453" s="1342"/>
      <c r="G7453" s="1342"/>
      <c r="H7453" s="1342"/>
      <c r="I7453" s="1342"/>
      <c r="J7453" s="1342"/>
      <c r="K7453" s="1342"/>
    </row>
    <row r="7454" spans="2:11" ht="14" hidden="1">
      <c r="B7454" s="1342"/>
      <c r="C7454" s="1342"/>
      <c r="D7454" s="1342"/>
      <c r="E7454" s="1342"/>
      <c r="F7454" s="1342"/>
      <c r="G7454" s="1342"/>
      <c r="H7454" s="1342"/>
      <c r="I7454" s="1342"/>
      <c r="J7454" s="1342"/>
      <c r="K7454" s="1342"/>
    </row>
    <row r="7455" spans="2:11" ht="14" hidden="1">
      <c r="B7455" s="1342"/>
      <c r="C7455" s="1342"/>
      <c r="D7455" s="1342"/>
      <c r="E7455" s="1342"/>
      <c r="F7455" s="1342"/>
      <c r="G7455" s="1342"/>
      <c r="H7455" s="1342"/>
      <c r="I7455" s="1342"/>
      <c r="J7455" s="1342"/>
      <c r="K7455" s="1342"/>
    </row>
    <row r="7456" spans="2:11" ht="14" hidden="1">
      <c r="B7456" s="1342"/>
      <c r="C7456" s="1342"/>
      <c r="D7456" s="1342"/>
      <c r="E7456" s="1342"/>
      <c r="F7456" s="1342"/>
      <c r="G7456" s="1342"/>
      <c r="H7456" s="1342"/>
      <c r="I7456" s="1342"/>
      <c r="J7456" s="1342"/>
      <c r="K7456" s="1342"/>
    </row>
    <row r="7457" spans="2:11" ht="14" hidden="1">
      <c r="B7457" s="1342"/>
      <c r="C7457" s="1342"/>
      <c r="D7457" s="1342"/>
      <c r="E7457" s="1342"/>
      <c r="F7457" s="1342"/>
      <c r="G7457" s="1342"/>
      <c r="H7457" s="1342"/>
      <c r="I7457" s="1342"/>
      <c r="J7457" s="1342"/>
      <c r="K7457" s="1342"/>
    </row>
    <row r="7458" spans="2:11" ht="14" hidden="1">
      <c r="B7458" s="1342"/>
      <c r="C7458" s="1342"/>
      <c r="D7458" s="1342"/>
      <c r="E7458" s="1342"/>
      <c r="F7458" s="1342"/>
      <c r="G7458" s="1342"/>
      <c r="H7458" s="1342"/>
      <c r="I7458" s="1342"/>
      <c r="J7458" s="1342"/>
      <c r="K7458" s="1342"/>
    </row>
    <row r="7459" spans="2:11" ht="14" hidden="1">
      <c r="B7459" s="1342"/>
      <c r="C7459" s="1342"/>
      <c r="D7459" s="1342"/>
      <c r="E7459" s="1342"/>
      <c r="F7459" s="1342"/>
      <c r="G7459" s="1342"/>
      <c r="H7459" s="1342"/>
      <c r="I7459" s="1342"/>
      <c r="J7459" s="1342"/>
      <c r="K7459" s="1342"/>
    </row>
    <row r="7460" spans="2:11" ht="14" hidden="1">
      <c r="B7460" s="1342"/>
      <c r="C7460" s="1342"/>
      <c r="D7460" s="1342"/>
      <c r="E7460" s="1342"/>
      <c r="F7460" s="1342"/>
      <c r="G7460" s="1342"/>
      <c r="H7460" s="1342"/>
      <c r="I7460" s="1342"/>
      <c r="J7460" s="1342"/>
      <c r="K7460" s="1342"/>
    </row>
    <row r="7461" spans="2:11" ht="14" hidden="1">
      <c r="B7461" s="1342"/>
      <c r="C7461" s="1342"/>
      <c r="D7461" s="1342"/>
      <c r="E7461" s="1342"/>
      <c r="F7461" s="1342"/>
      <c r="G7461" s="1342"/>
      <c r="H7461" s="1342"/>
      <c r="I7461" s="1342"/>
      <c r="J7461" s="1342"/>
      <c r="K7461" s="1342"/>
    </row>
    <row r="7462" spans="2:11" ht="14" hidden="1">
      <c r="B7462" s="1342"/>
      <c r="C7462" s="1342"/>
      <c r="D7462" s="1342"/>
      <c r="E7462" s="1342"/>
      <c r="F7462" s="1342"/>
      <c r="G7462" s="1342"/>
      <c r="H7462" s="1342"/>
      <c r="I7462" s="1342"/>
      <c r="J7462" s="1342"/>
      <c r="K7462" s="1342"/>
    </row>
    <row r="7463" spans="2:11" ht="14" hidden="1">
      <c r="B7463" s="1342"/>
      <c r="C7463" s="1342"/>
      <c r="D7463" s="1342"/>
      <c r="E7463" s="1342"/>
      <c r="F7463" s="1342"/>
      <c r="G7463" s="1342"/>
      <c r="H7463" s="1342"/>
      <c r="I7463" s="1342"/>
      <c r="J7463" s="1342"/>
      <c r="K7463" s="1342"/>
    </row>
    <row r="7464" spans="2:11" ht="14" hidden="1">
      <c r="B7464" s="1342"/>
      <c r="C7464" s="1342"/>
      <c r="D7464" s="1342"/>
      <c r="E7464" s="1342"/>
      <c r="F7464" s="1342"/>
      <c r="G7464" s="1342"/>
      <c r="H7464" s="1342"/>
      <c r="I7464" s="1342"/>
      <c r="J7464" s="1342"/>
      <c r="K7464" s="1342"/>
    </row>
    <row r="7465" spans="2:11" ht="14" hidden="1">
      <c r="B7465" s="1342"/>
      <c r="C7465" s="1342"/>
      <c r="D7465" s="1342"/>
      <c r="E7465" s="1342"/>
      <c r="F7465" s="1342"/>
      <c r="G7465" s="1342"/>
      <c r="H7465" s="1342"/>
      <c r="I7465" s="1342"/>
      <c r="J7465" s="1342"/>
      <c r="K7465" s="1342"/>
    </row>
    <row r="7466" spans="2:11" ht="14" hidden="1">
      <c r="B7466" s="1342"/>
      <c r="C7466" s="1342"/>
      <c r="D7466" s="1342"/>
      <c r="E7466" s="1342"/>
      <c r="F7466" s="1342"/>
      <c r="G7466" s="1342"/>
      <c r="H7466" s="1342"/>
      <c r="I7466" s="1342"/>
      <c r="J7466" s="1342"/>
      <c r="K7466" s="1342"/>
    </row>
    <row r="7467" spans="2:11" ht="14" hidden="1">
      <c r="B7467" s="1342"/>
      <c r="C7467" s="1342"/>
      <c r="D7467" s="1342"/>
      <c r="E7467" s="1342"/>
      <c r="F7467" s="1342"/>
      <c r="G7467" s="1342"/>
      <c r="H7467" s="1342"/>
      <c r="I7467" s="1342"/>
      <c r="J7467" s="1342"/>
      <c r="K7467" s="1342"/>
    </row>
    <row r="7468" spans="2:11" ht="14" hidden="1">
      <c r="B7468" s="1342"/>
      <c r="C7468" s="1342"/>
      <c r="D7468" s="1342"/>
      <c r="E7468" s="1342"/>
      <c r="F7468" s="1342"/>
      <c r="G7468" s="1342"/>
      <c r="H7468" s="1342"/>
      <c r="I7468" s="1342"/>
      <c r="J7468" s="1342"/>
      <c r="K7468" s="1342"/>
    </row>
    <row r="7469" spans="2:11" ht="14" hidden="1">
      <c r="B7469" s="1342"/>
      <c r="C7469" s="1342"/>
      <c r="D7469" s="1342"/>
      <c r="E7469" s="1342"/>
      <c r="F7469" s="1342"/>
      <c r="G7469" s="1342"/>
      <c r="H7469" s="1342"/>
      <c r="I7469" s="1342"/>
      <c r="J7469" s="1342"/>
      <c r="K7469" s="1342"/>
    </row>
    <row r="7470" spans="2:11" ht="14" hidden="1">
      <c r="B7470" s="1342"/>
      <c r="C7470" s="1342"/>
      <c r="D7470" s="1342"/>
      <c r="E7470" s="1342"/>
      <c r="F7470" s="1342"/>
      <c r="G7470" s="1342"/>
      <c r="H7470" s="1342"/>
      <c r="I7470" s="1342"/>
      <c r="J7470" s="1342"/>
      <c r="K7470" s="1342"/>
    </row>
    <row r="7471" spans="2:11" ht="14" hidden="1">
      <c r="B7471" s="1342"/>
      <c r="C7471" s="1342"/>
      <c r="D7471" s="1342"/>
      <c r="E7471" s="1342"/>
      <c r="F7471" s="1342"/>
      <c r="G7471" s="1342"/>
      <c r="H7471" s="1342"/>
      <c r="I7471" s="1342"/>
      <c r="J7471" s="1342"/>
      <c r="K7471" s="1342"/>
    </row>
    <row r="7472" spans="2:11" ht="14" hidden="1">
      <c r="B7472" s="1342"/>
      <c r="C7472" s="1342"/>
      <c r="D7472" s="1342"/>
      <c r="E7472" s="1342"/>
      <c r="F7472" s="1342"/>
      <c r="G7472" s="1342"/>
      <c r="H7472" s="1342"/>
      <c r="I7472" s="1342"/>
      <c r="J7472" s="1342"/>
      <c r="K7472" s="1342"/>
    </row>
    <row r="7473" spans="2:11" ht="14" hidden="1">
      <c r="B7473" s="1342"/>
      <c r="C7473" s="1342"/>
      <c r="D7473" s="1342"/>
      <c r="E7473" s="1342"/>
      <c r="F7473" s="1342"/>
      <c r="G7473" s="1342"/>
      <c r="H7473" s="1342"/>
      <c r="I7473" s="1342"/>
      <c r="J7473" s="1342"/>
      <c r="K7473" s="1342"/>
    </row>
    <row r="7474" spans="2:11" ht="14" hidden="1">
      <c r="B7474" s="1342"/>
      <c r="C7474" s="1342"/>
      <c r="D7474" s="1342"/>
      <c r="E7474" s="1342"/>
      <c r="F7474" s="1342"/>
      <c r="G7474" s="1342"/>
      <c r="H7474" s="1342"/>
      <c r="I7474" s="1342"/>
      <c r="J7474" s="1342"/>
      <c r="K7474" s="1342"/>
    </row>
    <row r="7475" spans="2:11" ht="14" hidden="1">
      <c r="B7475" s="1342"/>
      <c r="C7475" s="1342"/>
      <c r="D7475" s="1342"/>
      <c r="E7475" s="1342"/>
      <c r="F7475" s="1342"/>
      <c r="G7475" s="1342"/>
      <c r="H7475" s="1342"/>
      <c r="I7475" s="1342"/>
      <c r="J7475" s="1342"/>
      <c r="K7475" s="1342"/>
    </row>
    <row r="7476" spans="2:11" ht="14" hidden="1">
      <c r="B7476" s="1342"/>
      <c r="C7476" s="1342"/>
      <c r="D7476" s="1342"/>
      <c r="E7476" s="1342"/>
      <c r="F7476" s="1342"/>
      <c r="G7476" s="1342"/>
      <c r="H7476" s="1342"/>
      <c r="I7476" s="1342"/>
      <c r="J7476" s="1342"/>
      <c r="K7476" s="1342"/>
    </row>
    <row r="7477" spans="2:11" ht="14" hidden="1">
      <c r="B7477" s="1342"/>
      <c r="C7477" s="1342"/>
      <c r="D7477" s="1342"/>
      <c r="E7477" s="1342"/>
      <c r="F7477" s="1342"/>
      <c r="G7477" s="1342"/>
      <c r="H7477" s="1342"/>
      <c r="I7477" s="1342"/>
      <c r="J7477" s="1342"/>
      <c r="K7477" s="1342"/>
    </row>
    <row r="7478" spans="2:11" ht="14" hidden="1">
      <c r="B7478" s="1342"/>
      <c r="C7478" s="1342"/>
      <c r="D7478" s="1342"/>
      <c r="E7478" s="1342"/>
      <c r="F7478" s="1342"/>
      <c r="G7478" s="1342"/>
      <c r="H7478" s="1342"/>
      <c r="I7478" s="1342"/>
      <c r="J7478" s="1342"/>
      <c r="K7478" s="1342"/>
    </row>
    <row r="7479" spans="2:11" ht="14" hidden="1">
      <c r="B7479" s="1342"/>
      <c r="C7479" s="1342"/>
      <c r="D7479" s="1342"/>
      <c r="E7479" s="1342"/>
      <c r="F7479" s="1342"/>
      <c r="G7479" s="1342"/>
      <c r="H7479" s="1342"/>
      <c r="I7479" s="1342"/>
      <c r="J7479" s="1342"/>
      <c r="K7479" s="1342"/>
    </row>
    <row r="7480" spans="2:11" ht="14" hidden="1">
      <c r="B7480" s="1342"/>
      <c r="C7480" s="1342"/>
      <c r="D7480" s="1342"/>
      <c r="E7480" s="1342"/>
      <c r="F7480" s="1342"/>
      <c r="G7480" s="1342"/>
      <c r="H7480" s="1342"/>
      <c r="I7480" s="1342"/>
      <c r="J7480" s="1342"/>
      <c r="K7480" s="1342"/>
    </row>
    <row r="7481" spans="2:11" ht="14" hidden="1">
      <c r="B7481" s="1342"/>
      <c r="C7481" s="1342"/>
      <c r="D7481" s="1342"/>
      <c r="E7481" s="1342"/>
      <c r="F7481" s="1342"/>
      <c r="G7481" s="1342"/>
      <c r="H7481" s="1342"/>
      <c r="I7481" s="1342"/>
      <c r="J7481" s="1342"/>
      <c r="K7481" s="1342"/>
    </row>
    <row r="7482" spans="2:11" ht="14" hidden="1">
      <c r="B7482" s="1342"/>
      <c r="C7482" s="1342"/>
      <c r="D7482" s="1342"/>
      <c r="E7482" s="1342"/>
      <c r="F7482" s="1342"/>
      <c r="G7482" s="1342"/>
      <c r="H7482" s="1342"/>
      <c r="I7482" s="1342"/>
      <c r="J7482" s="1342"/>
      <c r="K7482" s="1342"/>
    </row>
    <row r="7483" spans="2:11" ht="14" hidden="1">
      <c r="B7483" s="1342"/>
      <c r="C7483" s="1342"/>
      <c r="D7483" s="1342"/>
      <c r="E7483" s="1342"/>
      <c r="F7483" s="1342"/>
      <c r="G7483" s="1342"/>
      <c r="H7483" s="1342"/>
      <c r="I7483" s="1342"/>
      <c r="J7483" s="1342"/>
      <c r="K7483" s="1342"/>
    </row>
    <row r="7484" spans="2:11" ht="14" hidden="1">
      <c r="B7484" s="1342"/>
      <c r="C7484" s="1342"/>
      <c r="D7484" s="1342"/>
      <c r="E7484" s="1342"/>
      <c r="F7484" s="1342"/>
      <c r="G7484" s="1342"/>
      <c r="H7484" s="1342"/>
      <c r="I7484" s="1342"/>
      <c r="J7484" s="1342"/>
      <c r="K7484" s="1342"/>
    </row>
    <row r="7485" spans="2:11" ht="14" hidden="1">
      <c r="B7485" s="1342"/>
      <c r="C7485" s="1342"/>
      <c r="D7485" s="1342"/>
      <c r="E7485" s="1342"/>
      <c r="F7485" s="1342"/>
      <c r="G7485" s="1342"/>
      <c r="H7485" s="1342"/>
      <c r="I7485" s="1342"/>
      <c r="J7485" s="1342"/>
      <c r="K7485" s="1342"/>
    </row>
    <row r="7486" spans="2:11" ht="14" hidden="1">
      <c r="B7486" s="1342"/>
      <c r="C7486" s="1342"/>
      <c r="D7486" s="1342"/>
      <c r="E7486" s="1342"/>
      <c r="F7486" s="1342"/>
      <c r="G7486" s="1342"/>
      <c r="H7486" s="1342"/>
      <c r="I7486" s="1342"/>
      <c r="J7486" s="1342"/>
      <c r="K7486" s="1342"/>
    </row>
    <row r="7487" spans="2:11" ht="14" hidden="1">
      <c r="B7487" s="1342"/>
      <c r="C7487" s="1342"/>
      <c r="D7487" s="1342"/>
      <c r="E7487" s="1342"/>
      <c r="F7487" s="1342"/>
      <c r="G7487" s="1342"/>
      <c r="H7487" s="1342"/>
      <c r="I7487" s="1342"/>
      <c r="J7487" s="1342"/>
      <c r="K7487" s="1342"/>
    </row>
    <row r="7488" spans="2:11" ht="14" hidden="1">
      <c r="B7488" s="1342"/>
      <c r="C7488" s="1342"/>
      <c r="D7488" s="1342"/>
      <c r="E7488" s="1342"/>
      <c r="F7488" s="1342"/>
      <c r="G7488" s="1342"/>
      <c r="H7488" s="1342"/>
      <c r="I7488" s="1342"/>
      <c r="J7488" s="1342"/>
      <c r="K7488" s="1342"/>
    </row>
    <row r="7489" spans="2:11" ht="14" hidden="1">
      <c r="B7489" s="1342"/>
      <c r="C7489" s="1342"/>
      <c r="D7489" s="1342"/>
      <c r="E7489" s="1342"/>
      <c r="F7489" s="1342"/>
      <c r="G7489" s="1342"/>
      <c r="H7489" s="1342"/>
      <c r="I7489" s="1342"/>
      <c r="J7489" s="1342"/>
      <c r="K7489" s="1342"/>
    </row>
    <row r="7490" spans="2:11" ht="14" hidden="1">
      <c r="B7490" s="1342"/>
      <c r="C7490" s="1342"/>
      <c r="D7490" s="1342"/>
      <c r="E7490" s="1342"/>
      <c r="F7490" s="1342"/>
      <c r="G7490" s="1342"/>
      <c r="H7490" s="1342"/>
      <c r="I7490" s="1342"/>
      <c r="J7490" s="1342"/>
      <c r="K7490" s="1342"/>
    </row>
    <row r="7491" spans="2:11" ht="14" hidden="1">
      <c r="B7491" s="1342"/>
      <c r="C7491" s="1342"/>
      <c r="D7491" s="1342"/>
      <c r="E7491" s="1342"/>
      <c r="F7491" s="1342"/>
      <c r="G7491" s="1342"/>
      <c r="H7491" s="1342"/>
      <c r="I7491" s="1342"/>
      <c r="J7491" s="1342"/>
      <c r="K7491" s="1342"/>
    </row>
    <row r="7492" spans="2:11" ht="14" hidden="1">
      <c r="B7492" s="1342"/>
      <c r="C7492" s="1342"/>
      <c r="D7492" s="1342"/>
      <c r="E7492" s="1342"/>
      <c r="F7492" s="1342"/>
      <c r="G7492" s="1342"/>
      <c r="H7492" s="1342"/>
      <c r="I7492" s="1342"/>
      <c r="J7492" s="1342"/>
      <c r="K7492" s="1342"/>
    </row>
    <row r="7493" spans="2:11" ht="14" hidden="1">
      <c r="B7493" s="1342"/>
      <c r="C7493" s="1342"/>
      <c r="D7493" s="1342"/>
      <c r="E7493" s="1342"/>
      <c r="F7493" s="1342"/>
      <c r="G7493" s="1342"/>
      <c r="H7493" s="1342"/>
      <c r="I7493" s="1342"/>
      <c r="J7493" s="1342"/>
      <c r="K7493" s="1342"/>
    </row>
    <row r="7494" spans="2:11" ht="14" hidden="1">
      <c r="B7494" s="1342"/>
      <c r="C7494" s="1342"/>
      <c r="D7494" s="1342"/>
      <c r="E7494" s="1342"/>
      <c r="F7494" s="1342"/>
      <c r="G7494" s="1342"/>
      <c r="H7494" s="1342"/>
      <c r="I7494" s="1342"/>
      <c r="J7494" s="1342"/>
      <c r="K7494" s="1342"/>
    </row>
    <row r="7495" spans="2:11" ht="14" hidden="1">
      <c r="B7495" s="1342"/>
      <c r="C7495" s="1342"/>
      <c r="D7495" s="1342"/>
      <c r="E7495" s="1342"/>
      <c r="F7495" s="1342"/>
      <c r="G7495" s="1342"/>
      <c r="H7495" s="1342"/>
      <c r="I7495" s="1342"/>
      <c r="J7495" s="1342"/>
      <c r="K7495" s="1342"/>
    </row>
    <row r="7496" spans="2:11" ht="14" hidden="1">
      <c r="B7496" s="1342"/>
      <c r="C7496" s="1342"/>
      <c r="D7496" s="1342"/>
      <c r="E7496" s="1342"/>
      <c r="F7496" s="1342"/>
      <c r="G7496" s="1342"/>
      <c r="H7496" s="1342"/>
      <c r="I7496" s="1342"/>
      <c r="J7496" s="1342"/>
      <c r="K7496" s="1342"/>
    </row>
    <row r="7497" spans="2:11" ht="14" hidden="1">
      <c r="B7497" s="1342"/>
      <c r="C7497" s="1342"/>
      <c r="D7497" s="1342"/>
      <c r="E7497" s="1342"/>
      <c r="F7497" s="1342"/>
      <c r="G7497" s="1342"/>
      <c r="H7497" s="1342"/>
      <c r="I7497" s="1342"/>
      <c r="J7497" s="1342"/>
      <c r="K7497" s="1342"/>
    </row>
    <row r="7498" spans="2:11" ht="14" hidden="1">
      <c r="B7498" s="1342"/>
      <c r="C7498" s="1342"/>
      <c r="D7498" s="1342"/>
      <c r="E7498" s="1342"/>
      <c r="F7498" s="1342"/>
      <c r="G7498" s="1342"/>
      <c r="H7498" s="1342"/>
      <c r="I7498" s="1342"/>
      <c r="J7498" s="1342"/>
      <c r="K7498" s="1342"/>
    </row>
    <row r="7499" spans="2:11" ht="14" hidden="1">
      <c r="B7499" s="1342"/>
      <c r="C7499" s="1342"/>
      <c r="D7499" s="1342"/>
      <c r="E7499" s="1342"/>
      <c r="F7499" s="1342"/>
      <c r="G7499" s="1342"/>
      <c r="H7499" s="1342"/>
      <c r="I7499" s="1342"/>
      <c r="J7499" s="1342"/>
      <c r="K7499" s="1342"/>
    </row>
    <row r="7500" spans="2:11" ht="14" hidden="1">
      <c r="B7500" s="1342"/>
      <c r="C7500" s="1342"/>
      <c r="D7500" s="1342"/>
      <c r="E7500" s="1342"/>
      <c r="F7500" s="1342"/>
      <c r="G7500" s="1342"/>
      <c r="H7500" s="1342"/>
      <c r="I7500" s="1342"/>
      <c r="J7500" s="1342"/>
      <c r="K7500" s="1342"/>
    </row>
    <row r="7501" spans="2:11" ht="14" hidden="1">
      <c r="B7501" s="1342"/>
      <c r="C7501" s="1342"/>
      <c r="D7501" s="1342"/>
      <c r="E7501" s="1342"/>
      <c r="F7501" s="1342"/>
      <c r="G7501" s="1342"/>
      <c r="H7501" s="1342"/>
      <c r="I7501" s="1342"/>
      <c r="J7501" s="1342"/>
      <c r="K7501" s="1342"/>
    </row>
    <row r="7502" spans="2:11" ht="14" hidden="1">
      <c r="B7502" s="1342"/>
      <c r="C7502" s="1342"/>
      <c r="D7502" s="1342"/>
      <c r="E7502" s="1342"/>
      <c r="F7502" s="1342"/>
      <c r="G7502" s="1342"/>
      <c r="H7502" s="1342"/>
      <c r="I7502" s="1342"/>
      <c r="J7502" s="1342"/>
      <c r="K7502" s="1342"/>
    </row>
    <row r="7503" spans="2:11" ht="14" hidden="1">
      <c r="B7503" s="1342"/>
      <c r="C7503" s="1342"/>
      <c r="D7503" s="1342"/>
      <c r="E7503" s="1342"/>
      <c r="F7503" s="1342"/>
      <c r="G7503" s="1342"/>
      <c r="H7503" s="1342"/>
      <c r="I7503" s="1342"/>
      <c r="J7503" s="1342"/>
      <c r="K7503" s="1342"/>
    </row>
    <row r="7504" spans="2:11" ht="14" hidden="1">
      <c r="B7504" s="1342"/>
      <c r="C7504" s="1342"/>
      <c r="D7504" s="1342"/>
      <c r="E7504" s="1342"/>
      <c r="F7504" s="1342"/>
      <c r="G7504" s="1342"/>
      <c r="H7504" s="1342"/>
      <c r="I7504" s="1342"/>
      <c r="J7504" s="1342"/>
      <c r="K7504" s="1342"/>
    </row>
    <row r="7505" spans="2:11" ht="14" hidden="1">
      <c r="B7505" s="1342"/>
      <c r="C7505" s="1342"/>
      <c r="D7505" s="1342"/>
      <c r="E7505" s="1342"/>
      <c r="F7505" s="1342"/>
      <c r="G7505" s="1342"/>
      <c r="H7505" s="1342"/>
      <c r="I7505" s="1342"/>
      <c r="J7505" s="1342"/>
      <c r="K7505" s="1342"/>
    </row>
    <row r="7506" spans="2:11" ht="14" hidden="1">
      <c r="B7506" s="1342"/>
      <c r="C7506" s="1342"/>
      <c r="D7506" s="1342"/>
      <c r="E7506" s="1342"/>
      <c r="F7506" s="1342"/>
      <c r="G7506" s="1342"/>
      <c r="H7506" s="1342"/>
      <c r="I7506" s="1342"/>
      <c r="J7506" s="1342"/>
      <c r="K7506" s="1342"/>
    </row>
    <row r="7507" spans="2:11" ht="14" hidden="1">
      <c r="B7507" s="1342"/>
      <c r="C7507" s="1342"/>
      <c r="D7507" s="1342"/>
      <c r="E7507" s="1342"/>
      <c r="F7507" s="1342"/>
      <c r="G7507" s="1342"/>
      <c r="H7507" s="1342"/>
      <c r="I7507" s="1342"/>
      <c r="J7507" s="1342"/>
      <c r="K7507" s="1342"/>
    </row>
    <row r="7508" spans="2:11" ht="14" hidden="1">
      <c r="B7508" s="1342"/>
      <c r="C7508" s="1342"/>
      <c r="D7508" s="1342"/>
      <c r="E7508" s="1342"/>
      <c r="F7508" s="1342"/>
      <c r="G7508" s="1342"/>
      <c r="H7508" s="1342"/>
      <c r="I7508" s="1342"/>
      <c r="J7508" s="1342"/>
      <c r="K7508" s="1342"/>
    </row>
    <row r="7509" spans="2:11" ht="14" hidden="1">
      <c r="B7509" s="1342"/>
      <c r="C7509" s="1342"/>
      <c r="D7509" s="1342"/>
      <c r="E7509" s="1342"/>
      <c r="F7509" s="1342"/>
      <c r="G7509" s="1342"/>
      <c r="H7509" s="1342"/>
      <c r="I7509" s="1342"/>
      <c r="J7509" s="1342"/>
      <c r="K7509" s="1342"/>
    </row>
    <row r="7510" spans="2:11" ht="14" hidden="1">
      <c r="B7510" s="1342"/>
      <c r="C7510" s="1342"/>
      <c r="D7510" s="1342"/>
      <c r="E7510" s="1342"/>
      <c r="F7510" s="1342"/>
      <c r="G7510" s="1342"/>
      <c r="H7510" s="1342"/>
      <c r="I7510" s="1342"/>
      <c r="J7510" s="1342"/>
      <c r="K7510" s="1342"/>
    </row>
    <row r="7511" spans="2:11" ht="14" hidden="1">
      <c r="B7511" s="1342"/>
      <c r="C7511" s="1342"/>
      <c r="D7511" s="1342"/>
      <c r="E7511" s="1342"/>
      <c r="F7511" s="1342"/>
      <c r="G7511" s="1342"/>
      <c r="H7511" s="1342"/>
      <c r="I7511" s="1342"/>
      <c r="J7511" s="1342"/>
      <c r="K7511" s="1342"/>
    </row>
    <row r="7512" spans="2:11" ht="14" hidden="1">
      <c r="B7512" s="1342"/>
      <c r="C7512" s="1342"/>
      <c r="D7512" s="1342"/>
      <c r="E7512" s="1342"/>
      <c r="F7512" s="1342"/>
      <c r="G7512" s="1342"/>
      <c r="H7512" s="1342"/>
      <c r="I7512" s="1342"/>
      <c r="J7512" s="1342"/>
      <c r="K7512" s="1342"/>
    </row>
    <row r="7513" spans="2:11" ht="14" hidden="1">
      <c r="B7513" s="1342"/>
      <c r="C7513" s="1342"/>
      <c r="D7513" s="1342"/>
      <c r="E7513" s="1342"/>
      <c r="F7513" s="1342"/>
      <c r="G7513" s="1342"/>
      <c r="H7513" s="1342"/>
      <c r="I7513" s="1342"/>
      <c r="J7513" s="1342"/>
      <c r="K7513" s="1342"/>
    </row>
    <row r="7514" spans="2:11" ht="14" hidden="1">
      <c r="B7514" s="1342"/>
      <c r="C7514" s="1342"/>
      <c r="D7514" s="1342"/>
      <c r="E7514" s="1342"/>
      <c r="F7514" s="1342"/>
      <c r="G7514" s="1342"/>
      <c r="H7514" s="1342"/>
      <c r="I7514" s="1342"/>
      <c r="J7514" s="1342"/>
      <c r="K7514" s="1342"/>
    </row>
    <row r="7515" spans="2:11" ht="14" hidden="1">
      <c r="B7515" s="1342"/>
      <c r="C7515" s="1342"/>
      <c r="D7515" s="1342"/>
      <c r="E7515" s="1342"/>
      <c r="F7515" s="1342"/>
      <c r="G7515" s="1342"/>
      <c r="H7515" s="1342"/>
      <c r="I7515" s="1342"/>
      <c r="J7515" s="1342"/>
      <c r="K7515" s="1342"/>
    </row>
    <row r="7516" spans="2:11" ht="14" hidden="1">
      <c r="B7516" s="1342"/>
      <c r="C7516" s="1342"/>
      <c r="D7516" s="1342"/>
      <c r="E7516" s="1342"/>
      <c r="F7516" s="1342"/>
      <c r="G7516" s="1342"/>
      <c r="H7516" s="1342"/>
      <c r="I7516" s="1342"/>
      <c r="J7516" s="1342"/>
      <c r="K7516" s="1342"/>
    </row>
    <row r="7517" spans="2:11" ht="14" hidden="1">
      <c r="B7517" s="1342"/>
      <c r="C7517" s="1342"/>
      <c r="D7517" s="1342"/>
      <c r="E7517" s="1342"/>
      <c r="F7517" s="1342"/>
      <c r="G7517" s="1342"/>
      <c r="H7517" s="1342"/>
      <c r="I7517" s="1342"/>
      <c r="J7517" s="1342"/>
      <c r="K7517" s="1342"/>
    </row>
    <row r="7518" spans="2:11" ht="14" hidden="1">
      <c r="B7518" s="1342"/>
      <c r="C7518" s="1342"/>
      <c r="D7518" s="1342"/>
      <c r="E7518" s="1342"/>
      <c r="F7518" s="1342"/>
      <c r="G7518" s="1342"/>
      <c r="H7518" s="1342"/>
      <c r="I7518" s="1342"/>
      <c r="J7518" s="1342"/>
      <c r="K7518" s="1342"/>
    </row>
    <row r="7519" spans="2:11" ht="14" hidden="1">
      <c r="B7519" s="1342"/>
      <c r="C7519" s="1342"/>
      <c r="D7519" s="1342"/>
      <c r="E7519" s="1342"/>
      <c r="F7519" s="1342"/>
      <c r="G7519" s="1342"/>
      <c r="H7519" s="1342"/>
      <c r="I7519" s="1342"/>
      <c r="J7519" s="1342"/>
      <c r="K7519" s="1342"/>
    </row>
    <row r="7520" spans="2:11" ht="14" hidden="1">
      <c r="B7520" s="1342"/>
      <c r="C7520" s="1342"/>
      <c r="D7520" s="1342"/>
      <c r="E7520" s="1342"/>
      <c r="F7520" s="1342"/>
      <c r="G7520" s="1342"/>
      <c r="H7520" s="1342"/>
      <c r="I7520" s="1342"/>
      <c r="J7520" s="1342"/>
      <c r="K7520" s="1342"/>
    </row>
    <row r="7521" spans="2:11" ht="14" hidden="1">
      <c r="B7521" s="1342"/>
      <c r="C7521" s="1342"/>
      <c r="D7521" s="1342"/>
      <c r="E7521" s="1342"/>
      <c r="F7521" s="1342"/>
      <c r="G7521" s="1342"/>
      <c r="H7521" s="1342"/>
      <c r="I7521" s="1342"/>
      <c r="J7521" s="1342"/>
      <c r="K7521" s="1342"/>
    </row>
    <row r="7522" spans="2:11" ht="14" hidden="1">
      <c r="B7522" s="1342"/>
      <c r="C7522" s="1342"/>
      <c r="D7522" s="1342"/>
      <c r="E7522" s="1342"/>
      <c r="F7522" s="1342"/>
      <c r="G7522" s="1342"/>
      <c r="H7522" s="1342"/>
      <c r="I7522" s="1342"/>
      <c r="J7522" s="1342"/>
      <c r="K7522" s="1342"/>
    </row>
    <row r="7523" spans="2:11" ht="14" hidden="1">
      <c r="B7523" s="1342"/>
      <c r="C7523" s="1342"/>
      <c r="D7523" s="1342"/>
      <c r="E7523" s="1342"/>
      <c r="F7523" s="1342"/>
      <c r="G7523" s="1342"/>
      <c r="H7523" s="1342"/>
      <c r="I7523" s="1342"/>
      <c r="J7523" s="1342"/>
      <c r="K7523" s="1342"/>
    </row>
    <row r="7524" spans="2:11" ht="14" hidden="1">
      <c r="B7524" s="1342"/>
      <c r="C7524" s="1342"/>
      <c r="D7524" s="1342"/>
      <c r="E7524" s="1342"/>
      <c r="F7524" s="1342"/>
      <c r="G7524" s="1342"/>
      <c r="H7524" s="1342"/>
      <c r="I7524" s="1342"/>
      <c r="J7524" s="1342"/>
      <c r="K7524" s="1342"/>
    </row>
    <row r="7525" spans="2:11" ht="14" hidden="1">
      <c r="B7525" s="1342"/>
      <c r="C7525" s="1342"/>
      <c r="D7525" s="1342"/>
      <c r="E7525" s="1342"/>
      <c r="F7525" s="1342"/>
      <c r="G7525" s="1342"/>
      <c r="H7525" s="1342"/>
      <c r="I7525" s="1342"/>
      <c r="J7525" s="1342"/>
      <c r="K7525" s="1342"/>
    </row>
    <row r="7526" spans="2:11" ht="14" hidden="1">
      <c r="B7526" s="1342"/>
      <c r="C7526" s="1342"/>
      <c r="D7526" s="1342"/>
      <c r="E7526" s="1342"/>
      <c r="F7526" s="1342"/>
      <c r="G7526" s="1342"/>
      <c r="H7526" s="1342"/>
      <c r="I7526" s="1342"/>
      <c r="J7526" s="1342"/>
      <c r="K7526" s="1342"/>
    </row>
    <row r="7527" spans="2:11" ht="14" hidden="1">
      <c r="B7527" s="1342"/>
      <c r="C7527" s="1342"/>
      <c r="D7527" s="1342"/>
      <c r="E7527" s="1342"/>
      <c r="F7527" s="1342"/>
      <c r="G7527" s="1342"/>
      <c r="H7527" s="1342"/>
      <c r="I7527" s="1342"/>
      <c r="J7527" s="1342"/>
      <c r="K7527" s="1342"/>
    </row>
    <row r="7528" spans="2:11" ht="14" hidden="1">
      <c r="B7528" s="1342"/>
      <c r="C7528" s="1342"/>
      <c r="D7528" s="1342"/>
      <c r="E7528" s="1342"/>
      <c r="F7528" s="1342"/>
      <c r="G7528" s="1342"/>
      <c r="H7528" s="1342"/>
      <c r="I7528" s="1342"/>
      <c r="J7528" s="1342"/>
      <c r="K7528" s="1342"/>
    </row>
    <row r="7529" spans="2:11" ht="14" hidden="1">
      <c r="B7529" s="1342"/>
      <c r="C7529" s="1342"/>
      <c r="D7529" s="1342"/>
      <c r="E7529" s="1342"/>
      <c r="F7529" s="1342"/>
      <c r="G7529" s="1342"/>
      <c r="H7529" s="1342"/>
      <c r="I7529" s="1342"/>
      <c r="J7529" s="1342"/>
      <c r="K7529" s="1342"/>
    </row>
    <row r="7530" spans="2:11" ht="14" hidden="1">
      <c r="B7530" s="1342"/>
      <c r="C7530" s="1342"/>
      <c r="D7530" s="1342"/>
      <c r="E7530" s="1342"/>
      <c r="F7530" s="1342"/>
      <c r="G7530" s="1342"/>
      <c r="H7530" s="1342"/>
      <c r="I7530" s="1342"/>
      <c r="J7530" s="1342"/>
      <c r="K7530" s="1342"/>
    </row>
    <row r="7531" spans="2:11" ht="14" hidden="1">
      <c r="B7531" s="1342"/>
      <c r="C7531" s="1342"/>
      <c r="D7531" s="1342"/>
      <c r="E7531" s="1342"/>
      <c r="F7531" s="1342"/>
      <c r="G7531" s="1342"/>
      <c r="H7531" s="1342"/>
      <c r="I7531" s="1342"/>
      <c r="J7531" s="1342"/>
      <c r="K7531" s="1342"/>
    </row>
    <row r="7532" spans="2:11" ht="14" hidden="1">
      <c r="B7532" s="1342"/>
      <c r="C7532" s="1342"/>
      <c r="D7532" s="1342"/>
      <c r="E7532" s="1342"/>
      <c r="F7532" s="1342"/>
      <c r="G7532" s="1342"/>
      <c r="H7532" s="1342"/>
      <c r="I7532" s="1342"/>
      <c r="J7532" s="1342"/>
      <c r="K7532" s="1342"/>
    </row>
    <row r="7533" spans="2:11" ht="14" hidden="1">
      <c r="B7533" s="1342"/>
      <c r="C7533" s="1342"/>
      <c r="D7533" s="1342"/>
      <c r="E7533" s="1342"/>
      <c r="F7533" s="1342"/>
      <c r="G7533" s="1342"/>
      <c r="H7533" s="1342"/>
      <c r="I7533" s="1342"/>
      <c r="J7533" s="1342"/>
      <c r="K7533" s="1342"/>
    </row>
    <row r="7534" spans="2:11" ht="14" hidden="1">
      <c r="B7534" s="1342"/>
      <c r="C7534" s="1342"/>
      <c r="D7534" s="1342"/>
      <c r="E7534" s="1342"/>
      <c r="F7534" s="1342"/>
      <c r="G7534" s="1342"/>
      <c r="H7534" s="1342"/>
      <c r="I7534" s="1342"/>
      <c r="J7534" s="1342"/>
      <c r="K7534" s="1342"/>
    </row>
    <row r="7535" spans="2:11" ht="14" hidden="1">
      <c r="B7535" s="1342"/>
      <c r="C7535" s="1342"/>
      <c r="D7535" s="1342"/>
      <c r="E7535" s="1342"/>
      <c r="F7535" s="1342"/>
      <c r="G7535" s="1342"/>
      <c r="H7535" s="1342"/>
      <c r="I7535" s="1342"/>
      <c r="J7535" s="1342"/>
      <c r="K7535" s="1342"/>
    </row>
    <row r="7536" spans="2:11" ht="14" hidden="1">
      <c r="B7536" s="1342"/>
      <c r="C7536" s="1342"/>
      <c r="D7536" s="1342"/>
      <c r="E7536" s="1342"/>
      <c r="F7536" s="1342"/>
      <c r="G7536" s="1342"/>
      <c r="H7536" s="1342"/>
      <c r="I7536" s="1342"/>
      <c r="J7536" s="1342"/>
      <c r="K7536" s="1342"/>
    </row>
    <row r="7537" spans="2:11" ht="14" hidden="1">
      <c r="B7537" s="1342"/>
      <c r="C7537" s="1342"/>
      <c r="D7537" s="1342"/>
      <c r="E7537" s="1342"/>
      <c r="F7537" s="1342"/>
      <c r="G7537" s="1342"/>
      <c r="H7537" s="1342"/>
      <c r="I7537" s="1342"/>
      <c r="J7537" s="1342"/>
      <c r="K7537" s="1342"/>
    </row>
    <row r="7538" spans="2:11" ht="14" hidden="1">
      <c r="B7538" s="1342"/>
      <c r="C7538" s="1342"/>
      <c r="D7538" s="1342"/>
      <c r="E7538" s="1342"/>
      <c r="F7538" s="1342"/>
      <c r="G7538" s="1342"/>
      <c r="H7538" s="1342"/>
      <c r="I7538" s="1342"/>
      <c r="J7538" s="1342"/>
      <c r="K7538" s="1342"/>
    </row>
    <row r="7539" spans="2:11" ht="14" hidden="1">
      <c r="B7539" s="1342"/>
      <c r="C7539" s="1342"/>
      <c r="D7539" s="1342"/>
      <c r="E7539" s="1342"/>
      <c r="F7539" s="1342"/>
      <c r="G7539" s="1342"/>
      <c r="H7539" s="1342"/>
      <c r="I7539" s="1342"/>
      <c r="J7539" s="1342"/>
      <c r="K7539" s="1342"/>
    </row>
    <row r="7540" spans="2:11" ht="14" hidden="1">
      <c r="B7540" s="1342"/>
      <c r="C7540" s="1342"/>
      <c r="D7540" s="1342"/>
      <c r="E7540" s="1342"/>
      <c r="F7540" s="1342"/>
      <c r="G7540" s="1342"/>
      <c r="H7540" s="1342"/>
      <c r="I7540" s="1342"/>
      <c r="J7540" s="1342"/>
      <c r="K7540" s="1342"/>
    </row>
    <row r="7541" spans="2:11" ht="14" hidden="1">
      <c r="B7541" s="1342"/>
      <c r="C7541" s="1342"/>
      <c r="D7541" s="1342"/>
      <c r="E7541" s="1342"/>
      <c r="F7541" s="1342"/>
      <c r="G7541" s="1342"/>
      <c r="H7541" s="1342"/>
      <c r="I7541" s="1342"/>
      <c r="J7541" s="1342"/>
      <c r="K7541" s="1342"/>
    </row>
    <row r="7542" spans="2:11" ht="14" hidden="1">
      <c r="B7542" s="1342"/>
      <c r="C7542" s="1342"/>
      <c r="D7542" s="1342"/>
      <c r="E7542" s="1342"/>
      <c r="F7542" s="1342"/>
      <c r="G7542" s="1342"/>
      <c r="H7542" s="1342"/>
      <c r="I7542" s="1342"/>
      <c r="J7542" s="1342"/>
      <c r="K7542" s="1342"/>
    </row>
    <row r="7543" spans="2:11" ht="14" hidden="1">
      <c r="B7543" s="1342"/>
      <c r="C7543" s="1342"/>
      <c r="D7543" s="1342"/>
      <c r="E7543" s="1342"/>
      <c r="F7543" s="1342"/>
      <c r="G7543" s="1342"/>
      <c r="H7543" s="1342"/>
      <c r="I7543" s="1342"/>
      <c r="J7543" s="1342"/>
      <c r="K7543" s="1342"/>
    </row>
    <row r="7544" spans="2:11" ht="14" hidden="1">
      <c r="B7544" s="1342"/>
      <c r="C7544" s="1342"/>
      <c r="D7544" s="1342"/>
      <c r="E7544" s="1342"/>
      <c r="F7544" s="1342"/>
      <c r="G7544" s="1342"/>
      <c r="H7544" s="1342"/>
      <c r="I7544" s="1342"/>
      <c r="J7544" s="1342"/>
      <c r="K7544" s="1342"/>
    </row>
    <row r="7545" spans="2:11" ht="14" hidden="1">
      <c r="B7545" s="1342"/>
      <c r="C7545" s="1342"/>
      <c r="D7545" s="1342"/>
      <c r="E7545" s="1342"/>
      <c r="F7545" s="1342"/>
      <c r="G7545" s="1342"/>
      <c r="H7545" s="1342"/>
      <c r="I7545" s="1342"/>
      <c r="J7545" s="1342"/>
      <c r="K7545" s="1342"/>
    </row>
    <row r="7546" spans="2:11" ht="14" hidden="1">
      <c r="B7546" s="1342"/>
      <c r="C7546" s="1342"/>
      <c r="D7546" s="1342"/>
      <c r="E7546" s="1342"/>
      <c r="F7546" s="1342"/>
      <c r="G7546" s="1342"/>
      <c r="H7546" s="1342"/>
      <c r="I7546" s="1342"/>
      <c r="J7546" s="1342"/>
      <c r="K7546" s="1342"/>
    </row>
    <row r="7547" spans="2:11" ht="14" hidden="1">
      <c r="B7547" s="1342"/>
      <c r="C7547" s="1342"/>
      <c r="D7547" s="1342"/>
      <c r="E7547" s="1342"/>
      <c r="F7547" s="1342"/>
      <c r="G7547" s="1342"/>
      <c r="H7547" s="1342"/>
      <c r="I7547" s="1342"/>
      <c r="J7547" s="1342"/>
      <c r="K7547" s="1342"/>
    </row>
    <row r="7548" spans="2:11" ht="14" hidden="1">
      <c r="B7548" s="1342"/>
      <c r="C7548" s="1342"/>
      <c r="D7548" s="1342"/>
      <c r="E7548" s="1342"/>
      <c r="F7548" s="1342"/>
      <c r="G7548" s="1342"/>
      <c r="H7548" s="1342"/>
      <c r="I7548" s="1342"/>
      <c r="J7548" s="1342"/>
      <c r="K7548" s="1342"/>
    </row>
    <row r="7549" spans="2:11" ht="14" hidden="1">
      <c r="B7549" s="1342"/>
      <c r="C7549" s="1342"/>
      <c r="D7549" s="1342"/>
      <c r="E7549" s="1342"/>
      <c r="F7549" s="1342"/>
      <c r="G7549" s="1342"/>
      <c r="H7549" s="1342"/>
      <c r="I7549" s="1342"/>
      <c r="J7549" s="1342"/>
      <c r="K7549" s="1342"/>
    </row>
    <row r="7550" spans="2:11" ht="14" hidden="1">
      <c r="B7550" s="1342"/>
      <c r="C7550" s="1342"/>
      <c r="D7550" s="1342"/>
      <c r="E7550" s="1342"/>
      <c r="F7550" s="1342"/>
      <c r="G7550" s="1342"/>
      <c r="H7550" s="1342"/>
      <c r="I7550" s="1342"/>
      <c r="J7550" s="1342"/>
      <c r="K7550" s="1342"/>
    </row>
    <row r="7551" spans="2:11" ht="14" hidden="1">
      <c r="B7551" s="1342"/>
      <c r="C7551" s="1342"/>
      <c r="D7551" s="1342"/>
      <c r="E7551" s="1342"/>
      <c r="F7551" s="1342"/>
      <c r="G7551" s="1342"/>
      <c r="H7551" s="1342"/>
      <c r="I7551" s="1342"/>
      <c r="J7551" s="1342"/>
      <c r="K7551" s="1342"/>
    </row>
    <row r="7552" spans="2:11" ht="14" hidden="1">
      <c r="B7552" s="1342"/>
      <c r="C7552" s="1342"/>
      <c r="D7552" s="1342"/>
      <c r="E7552" s="1342"/>
      <c r="F7552" s="1342"/>
      <c r="G7552" s="1342"/>
      <c r="H7552" s="1342"/>
      <c r="I7552" s="1342"/>
      <c r="J7552" s="1342"/>
      <c r="K7552" s="1342"/>
    </row>
    <row r="7553" spans="2:11" ht="14" hidden="1">
      <c r="B7553" s="1342"/>
      <c r="C7553" s="1342"/>
      <c r="D7553" s="1342"/>
      <c r="E7553" s="1342"/>
      <c r="F7553" s="1342"/>
      <c r="G7553" s="1342"/>
      <c r="H7553" s="1342"/>
      <c r="I7553" s="1342"/>
      <c r="J7553" s="1342"/>
      <c r="K7553" s="1342"/>
    </row>
    <row r="7554" spans="2:11" ht="14" hidden="1">
      <c r="B7554" s="1342"/>
      <c r="C7554" s="1342"/>
      <c r="D7554" s="1342"/>
      <c r="E7554" s="1342"/>
      <c r="F7554" s="1342"/>
      <c r="G7554" s="1342"/>
      <c r="H7554" s="1342"/>
      <c r="I7554" s="1342"/>
      <c r="J7554" s="1342"/>
      <c r="K7554" s="1342"/>
    </row>
    <row r="7555" spans="2:11" ht="14" hidden="1">
      <c r="B7555" s="1342"/>
      <c r="C7555" s="1342"/>
      <c r="D7555" s="1342"/>
      <c r="E7555" s="1342"/>
      <c r="F7555" s="1342"/>
      <c r="G7555" s="1342"/>
      <c r="H7555" s="1342"/>
      <c r="I7555" s="1342"/>
      <c r="J7555" s="1342"/>
      <c r="K7555" s="1342"/>
    </row>
    <row r="7556" spans="2:11" ht="14" hidden="1">
      <c r="B7556" s="1342"/>
      <c r="C7556" s="1342"/>
      <c r="D7556" s="1342"/>
      <c r="E7556" s="1342"/>
      <c r="F7556" s="1342"/>
      <c r="G7556" s="1342"/>
      <c r="H7556" s="1342"/>
      <c r="I7556" s="1342"/>
      <c r="J7556" s="1342"/>
      <c r="K7556" s="1342"/>
    </row>
    <row r="7557" spans="2:11" ht="14" hidden="1">
      <c r="B7557" s="1342"/>
      <c r="C7557" s="1342"/>
      <c r="D7557" s="1342"/>
      <c r="E7557" s="1342"/>
      <c r="F7557" s="1342"/>
      <c r="G7557" s="1342"/>
      <c r="H7557" s="1342"/>
      <c r="I7557" s="1342"/>
      <c r="J7557" s="1342"/>
      <c r="K7557" s="1342"/>
    </row>
    <row r="7558" spans="2:11" ht="14" hidden="1">
      <c r="B7558" s="1342"/>
      <c r="C7558" s="1342"/>
      <c r="D7558" s="1342"/>
      <c r="E7558" s="1342"/>
      <c r="F7558" s="1342"/>
      <c r="G7558" s="1342"/>
      <c r="H7558" s="1342"/>
      <c r="I7558" s="1342"/>
      <c r="J7558" s="1342"/>
      <c r="K7558" s="1342"/>
    </row>
    <row r="7559" spans="2:11" ht="14" hidden="1">
      <c r="B7559" s="1342"/>
      <c r="C7559" s="1342"/>
      <c r="D7559" s="1342"/>
      <c r="E7559" s="1342"/>
      <c r="F7559" s="1342"/>
      <c r="G7559" s="1342"/>
      <c r="H7559" s="1342"/>
      <c r="I7559" s="1342"/>
      <c r="J7559" s="1342"/>
      <c r="K7559" s="1342"/>
    </row>
    <row r="7560" spans="2:11" ht="14" hidden="1">
      <c r="B7560" s="1342"/>
      <c r="C7560" s="1342"/>
      <c r="D7560" s="1342"/>
      <c r="E7560" s="1342"/>
      <c r="F7560" s="1342"/>
      <c r="G7560" s="1342"/>
      <c r="H7560" s="1342"/>
      <c r="I7560" s="1342"/>
      <c r="J7560" s="1342"/>
      <c r="K7560" s="1342"/>
    </row>
    <row r="7561" spans="2:11" ht="14" hidden="1">
      <c r="B7561" s="1342"/>
      <c r="C7561" s="1342"/>
      <c r="D7561" s="1342"/>
      <c r="E7561" s="1342"/>
      <c r="F7561" s="1342"/>
      <c r="G7561" s="1342"/>
      <c r="H7561" s="1342"/>
      <c r="I7561" s="1342"/>
      <c r="J7561" s="1342"/>
      <c r="K7561" s="1342"/>
    </row>
    <row r="7562" spans="2:11" ht="14" hidden="1">
      <c r="B7562" s="1342"/>
      <c r="C7562" s="1342"/>
      <c r="D7562" s="1342"/>
      <c r="E7562" s="1342"/>
      <c r="F7562" s="1342"/>
      <c r="G7562" s="1342"/>
      <c r="H7562" s="1342"/>
      <c r="I7562" s="1342"/>
      <c r="J7562" s="1342"/>
      <c r="K7562" s="1342"/>
    </row>
    <row r="7563" spans="2:11" ht="14" hidden="1">
      <c r="B7563" s="1342"/>
      <c r="C7563" s="1342"/>
      <c r="D7563" s="1342"/>
      <c r="E7563" s="1342"/>
      <c r="F7563" s="1342"/>
      <c r="G7563" s="1342"/>
      <c r="H7563" s="1342"/>
      <c r="I7563" s="1342"/>
      <c r="J7563" s="1342"/>
      <c r="K7563" s="1342"/>
    </row>
    <row r="7564" spans="2:11" ht="14" hidden="1">
      <c r="B7564" s="1342"/>
      <c r="C7564" s="1342"/>
      <c r="D7564" s="1342"/>
      <c r="E7564" s="1342"/>
      <c r="F7564" s="1342"/>
      <c r="G7564" s="1342"/>
      <c r="H7564" s="1342"/>
      <c r="I7564" s="1342"/>
      <c r="J7564" s="1342"/>
      <c r="K7564" s="1342"/>
    </row>
    <row r="7565" spans="2:11" ht="14" hidden="1">
      <c r="B7565" s="1342"/>
      <c r="C7565" s="1342"/>
      <c r="D7565" s="1342"/>
      <c r="E7565" s="1342"/>
      <c r="F7565" s="1342"/>
      <c r="G7565" s="1342"/>
      <c r="H7565" s="1342"/>
      <c r="I7565" s="1342"/>
      <c r="J7565" s="1342"/>
      <c r="K7565" s="1342"/>
    </row>
    <row r="7566" spans="2:11" ht="14" hidden="1">
      <c r="B7566" s="1342"/>
      <c r="C7566" s="1342"/>
      <c r="D7566" s="1342"/>
      <c r="E7566" s="1342"/>
      <c r="F7566" s="1342"/>
      <c r="G7566" s="1342"/>
      <c r="H7566" s="1342"/>
      <c r="I7566" s="1342"/>
      <c r="J7566" s="1342"/>
      <c r="K7566" s="1342"/>
    </row>
    <row r="7567" spans="2:11" ht="14" hidden="1">
      <c r="B7567" s="1342"/>
      <c r="C7567" s="1342"/>
      <c r="D7567" s="1342"/>
      <c r="E7567" s="1342"/>
      <c r="F7567" s="1342"/>
      <c r="G7567" s="1342"/>
      <c r="H7567" s="1342"/>
      <c r="I7567" s="1342"/>
      <c r="J7567" s="1342"/>
      <c r="K7567" s="1342"/>
    </row>
    <row r="7568" spans="2:11" ht="14" hidden="1">
      <c r="B7568" s="1342"/>
      <c r="C7568" s="1342"/>
      <c r="D7568" s="1342"/>
      <c r="E7568" s="1342"/>
      <c r="F7568" s="1342"/>
      <c r="G7568" s="1342"/>
      <c r="H7568" s="1342"/>
      <c r="I7568" s="1342"/>
      <c r="J7568" s="1342"/>
      <c r="K7568" s="1342"/>
    </row>
    <row r="7569" spans="2:11" ht="14" hidden="1">
      <c r="B7569" s="1342"/>
      <c r="C7569" s="1342"/>
      <c r="D7569" s="1342"/>
      <c r="E7569" s="1342"/>
      <c r="F7569" s="1342"/>
      <c r="G7569" s="1342"/>
      <c r="H7569" s="1342"/>
      <c r="I7569" s="1342"/>
      <c r="J7569" s="1342"/>
      <c r="K7569" s="1342"/>
    </row>
    <row r="7570" spans="2:11" ht="14" hidden="1">
      <c r="B7570" s="1342"/>
      <c r="C7570" s="1342"/>
      <c r="D7570" s="1342"/>
      <c r="E7570" s="1342"/>
      <c r="F7570" s="1342"/>
      <c r="G7570" s="1342"/>
      <c r="H7570" s="1342"/>
      <c r="I7570" s="1342"/>
      <c r="J7570" s="1342"/>
      <c r="K7570" s="1342"/>
    </row>
    <row r="7571" spans="2:11" ht="14" hidden="1">
      <c r="B7571" s="1342"/>
      <c r="C7571" s="1342"/>
      <c r="D7571" s="1342"/>
      <c r="E7571" s="1342"/>
      <c r="F7571" s="1342"/>
      <c r="G7571" s="1342"/>
      <c r="H7571" s="1342"/>
      <c r="I7571" s="1342"/>
      <c r="J7571" s="1342"/>
      <c r="K7571" s="1342"/>
    </row>
    <row r="7572" spans="2:11" ht="14" hidden="1">
      <c r="B7572" s="1342"/>
      <c r="C7572" s="1342"/>
      <c r="D7572" s="1342"/>
      <c r="E7572" s="1342"/>
      <c r="F7572" s="1342"/>
      <c r="G7572" s="1342"/>
      <c r="H7572" s="1342"/>
      <c r="I7572" s="1342"/>
      <c r="J7572" s="1342"/>
      <c r="K7572" s="1342"/>
    </row>
    <row r="7573" spans="2:11" ht="14" hidden="1">
      <c r="B7573" s="1342"/>
      <c r="C7573" s="1342"/>
      <c r="D7573" s="1342"/>
      <c r="E7573" s="1342"/>
      <c r="F7573" s="1342"/>
      <c r="G7573" s="1342"/>
      <c r="H7573" s="1342"/>
      <c r="I7573" s="1342"/>
      <c r="J7573" s="1342"/>
      <c r="K7573" s="1342"/>
    </row>
    <row r="7574" spans="2:11" ht="14" hidden="1">
      <c r="B7574" s="1342"/>
      <c r="C7574" s="1342"/>
      <c r="D7574" s="1342"/>
      <c r="E7574" s="1342"/>
      <c r="F7574" s="1342"/>
      <c r="G7574" s="1342"/>
      <c r="H7574" s="1342"/>
      <c r="I7574" s="1342"/>
      <c r="J7574" s="1342"/>
      <c r="K7574" s="1342"/>
    </row>
    <row r="7575" spans="2:11" ht="14" hidden="1">
      <c r="B7575" s="1342"/>
      <c r="C7575" s="1342"/>
      <c r="D7575" s="1342"/>
      <c r="E7575" s="1342"/>
      <c r="F7575" s="1342"/>
      <c r="G7575" s="1342"/>
      <c r="H7575" s="1342"/>
      <c r="I7575" s="1342"/>
      <c r="J7575" s="1342"/>
      <c r="K7575" s="1342"/>
    </row>
    <row r="7576" spans="2:11" ht="14" hidden="1">
      <c r="B7576" s="1342"/>
      <c r="C7576" s="1342"/>
      <c r="D7576" s="1342"/>
      <c r="E7576" s="1342"/>
      <c r="F7576" s="1342"/>
      <c r="G7576" s="1342"/>
      <c r="H7576" s="1342"/>
      <c r="I7576" s="1342"/>
      <c r="J7576" s="1342"/>
      <c r="K7576" s="1342"/>
    </row>
    <row r="7577" spans="2:11" ht="14" hidden="1">
      <c r="B7577" s="1342"/>
      <c r="C7577" s="1342"/>
      <c r="D7577" s="1342"/>
      <c r="E7577" s="1342"/>
      <c r="F7577" s="1342"/>
      <c r="G7577" s="1342"/>
      <c r="H7577" s="1342"/>
      <c r="I7577" s="1342"/>
      <c r="J7577" s="1342"/>
      <c r="K7577" s="1342"/>
    </row>
    <row r="7578" spans="2:11" ht="14" hidden="1">
      <c r="B7578" s="1342"/>
      <c r="C7578" s="1342"/>
      <c r="D7578" s="1342"/>
      <c r="E7578" s="1342"/>
      <c r="F7578" s="1342"/>
      <c r="G7578" s="1342"/>
      <c r="H7578" s="1342"/>
      <c r="I7578" s="1342"/>
      <c r="J7578" s="1342"/>
      <c r="K7578" s="1342"/>
    </row>
    <row r="7579" spans="2:11" ht="14" hidden="1">
      <c r="B7579" s="1342"/>
      <c r="C7579" s="1342"/>
      <c r="D7579" s="1342"/>
      <c r="E7579" s="1342"/>
      <c r="F7579" s="1342"/>
      <c r="G7579" s="1342"/>
      <c r="H7579" s="1342"/>
      <c r="I7579" s="1342"/>
      <c r="J7579" s="1342"/>
      <c r="K7579" s="1342"/>
    </row>
    <row r="7580" spans="2:11" ht="14" hidden="1">
      <c r="B7580" s="1342"/>
      <c r="C7580" s="1342"/>
      <c r="D7580" s="1342"/>
      <c r="E7580" s="1342"/>
      <c r="F7580" s="1342"/>
      <c r="G7580" s="1342"/>
      <c r="H7580" s="1342"/>
      <c r="I7580" s="1342"/>
      <c r="J7580" s="1342"/>
      <c r="K7580" s="1342"/>
    </row>
    <row r="7581" spans="2:11" ht="14" hidden="1">
      <c r="B7581" s="1342"/>
      <c r="C7581" s="1342"/>
      <c r="D7581" s="1342"/>
      <c r="E7581" s="1342"/>
      <c r="F7581" s="1342"/>
      <c r="G7581" s="1342"/>
      <c r="H7581" s="1342"/>
      <c r="I7581" s="1342"/>
      <c r="J7581" s="1342"/>
      <c r="K7581" s="1342"/>
    </row>
    <row r="7582" spans="2:11" ht="14" hidden="1">
      <c r="B7582" s="1342"/>
      <c r="C7582" s="1342"/>
      <c r="D7582" s="1342"/>
      <c r="E7582" s="1342"/>
      <c r="F7582" s="1342"/>
      <c r="G7582" s="1342"/>
      <c r="H7582" s="1342"/>
      <c r="I7582" s="1342"/>
      <c r="J7582" s="1342"/>
      <c r="K7582" s="1342"/>
    </row>
    <row r="7583" spans="2:11" ht="14" hidden="1">
      <c r="B7583" s="1342"/>
      <c r="C7583" s="1342"/>
      <c r="D7583" s="1342"/>
      <c r="E7583" s="1342"/>
      <c r="F7583" s="1342"/>
      <c r="G7583" s="1342"/>
      <c r="H7583" s="1342"/>
      <c r="I7583" s="1342"/>
      <c r="J7583" s="1342"/>
      <c r="K7583" s="1342"/>
    </row>
    <row r="7584" spans="2:11" ht="14" hidden="1">
      <c r="B7584" s="1342"/>
      <c r="C7584" s="1342"/>
      <c r="D7584" s="1342"/>
      <c r="E7584" s="1342"/>
      <c r="F7584" s="1342"/>
      <c r="G7584" s="1342"/>
      <c r="H7584" s="1342"/>
      <c r="I7584" s="1342"/>
      <c r="J7584" s="1342"/>
      <c r="K7584" s="1342"/>
    </row>
    <row r="7585" spans="2:11" ht="14" hidden="1">
      <c r="B7585" s="1342"/>
      <c r="C7585" s="1342"/>
      <c r="D7585" s="1342"/>
      <c r="E7585" s="1342"/>
      <c r="F7585" s="1342"/>
      <c r="G7585" s="1342"/>
      <c r="H7585" s="1342"/>
      <c r="I7585" s="1342"/>
      <c r="J7585" s="1342"/>
      <c r="K7585" s="1342"/>
    </row>
    <row r="7586" spans="2:11" ht="14" hidden="1">
      <c r="B7586" s="1342"/>
      <c r="C7586" s="1342"/>
      <c r="D7586" s="1342"/>
      <c r="E7586" s="1342"/>
      <c r="F7586" s="1342"/>
      <c r="G7586" s="1342"/>
      <c r="H7586" s="1342"/>
      <c r="I7586" s="1342"/>
      <c r="J7586" s="1342"/>
      <c r="K7586" s="1342"/>
    </row>
    <row r="7587" spans="2:11" ht="14" hidden="1">
      <c r="B7587" s="1342"/>
      <c r="C7587" s="1342"/>
      <c r="D7587" s="1342"/>
      <c r="E7587" s="1342"/>
      <c r="F7587" s="1342"/>
      <c r="G7587" s="1342"/>
      <c r="H7587" s="1342"/>
      <c r="I7587" s="1342"/>
      <c r="J7587" s="1342"/>
      <c r="K7587" s="1342"/>
    </row>
    <row r="7588" spans="2:11" ht="14" hidden="1">
      <c r="B7588" s="1342"/>
      <c r="C7588" s="1342"/>
      <c r="D7588" s="1342"/>
      <c r="E7588" s="1342"/>
      <c r="F7588" s="1342"/>
      <c r="G7588" s="1342"/>
      <c r="H7588" s="1342"/>
      <c r="I7588" s="1342"/>
      <c r="J7588" s="1342"/>
      <c r="K7588" s="1342"/>
    </row>
    <row r="7589" spans="2:11" ht="14" hidden="1">
      <c r="B7589" s="1342"/>
      <c r="C7589" s="1342"/>
      <c r="D7589" s="1342"/>
      <c r="E7589" s="1342"/>
      <c r="F7589" s="1342"/>
      <c r="G7589" s="1342"/>
      <c r="H7589" s="1342"/>
      <c r="I7589" s="1342"/>
      <c r="J7589" s="1342"/>
      <c r="K7589" s="1342"/>
    </row>
    <row r="7590" spans="2:11" ht="14" hidden="1">
      <c r="B7590" s="1342"/>
      <c r="C7590" s="1342"/>
      <c r="D7590" s="1342"/>
      <c r="E7590" s="1342"/>
      <c r="F7590" s="1342"/>
      <c r="G7590" s="1342"/>
      <c r="H7590" s="1342"/>
      <c r="I7590" s="1342"/>
      <c r="J7590" s="1342"/>
      <c r="K7590" s="1342"/>
    </row>
    <row r="7591" spans="2:11" ht="14" hidden="1">
      <c r="B7591" s="1342"/>
      <c r="C7591" s="1342"/>
      <c r="D7591" s="1342"/>
      <c r="E7591" s="1342"/>
      <c r="F7591" s="1342"/>
      <c r="G7591" s="1342"/>
      <c r="H7591" s="1342"/>
      <c r="I7591" s="1342"/>
      <c r="J7591" s="1342"/>
      <c r="K7591" s="1342"/>
    </row>
    <row r="7592" spans="2:11" ht="14" hidden="1">
      <c r="B7592" s="1342"/>
      <c r="C7592" s="1342"/>
      <c r="D7592" s="1342"/>
      <c r="E7592" s="1342"/>
      <c r="F7592" s="1342"/>
      <c r="G7592" s="1342"/>
      <c r="H7592" s="1342"/>
      <c r="I7592" s="1342"/>
      <c r="J7592" s="1342"/>
      <c r="K7592" s="1342"/>
    </row>
    <row r="7593" spans="2:11" ht="14" hidden="1">
      <c r="B7593" s="1342"/>
      <c r="C7593" s="1342"/>
      <c r="D7593" s="1342"/>
      <c r="E7593" s="1342"/>
      <c r="F7593" s="1342"/>
      <c r="G7593" s="1342"/>
      <c r="H7593" s="1342"/>
      <c r="I7593" s="1342"/>
      <c r="J7593" s="1342"/>
      <c r="K7593" s="1342"/>
    </row>
    <row r="7594" spans="2:11" ht="14" hidden="1">
      <c r="B7594" s="1342"/>
      <c r="C7594" s="1342"/>
      <c r="D7594" s="1342"/>
      <c r="E7594" s="1342"/>
      <c r="F7594" s="1342"/>
      <c r="G7594" s="1342"/>
      <c r="H7594" s="1342"/>
      <c r="I7594" s="1342"/>
      <c r="J7594" s="1342"/>
      <c r="K7594" s="1342"/>
    </row>
    <row r="7595" spans="2:11" ht="14" hidden="1">
      <c r="B7595" s="1342"/>
      <c r="C7595" s="1342"/>
      <c r="D7595" s="1342"/>
      <c r="E7595" s="1342"/>
      <c r="F7595" s="1342"/>
      <c r="G7595" s="1342"/>
      <c r="H7595" s="1342"/>
      <c r="I7595" s="1342"/>
      <c r="J7595" s="1342"/>
      <c r="K7595" s="1342"/>
    </row>
    <row r="7596" spans="2:11" ht="14" hidden="1">
      <c r="B7596" s="1342"/>
      <c r="C7596" s="1342"/>
      <c r="D7596" s="1342"/>
      <c r="E7596" s="1342"/>
      <c r="F7596" s="1342"/>
      <c r="G7596" s="1342"/>
      <c r="H7596" s="1342"/>
      <c r="I7596" s="1342"/>
      <c r="J7596" s="1342"/>
      <c r="K7596" s="1342"/>
    </row>
    <row r="7597" spans="2:11" ht="14" hidden="1">
      <c r="B7597" s="1342"/>
      <c r="C7597" s="1342"/>
      <c r="D7597" s="1342"/>
      <c r="E7597" s="1342"/>
      <c r="F7597" s="1342"/>
      <c r="G7597" s="1342"/>
      <c r="H7597" s="1342"/>
      <c r="I7597" s="1342"/>
      <c r="J7597" s="1342"/>
      <c r="K7597" s="1342"/>
    </row>
    <row r="7598" spans="2:11" ht="14" hidden="1">
      <c r="B7598" s="1342"/>
      <c r="C7598" s="1342"/>
      <c r="D7598" s="1342"/>
      <c r="E7598" s="1342"/>
      <c r="F7598" s="1342"/>
      <c r="G7598" s="1342"/>
      <c r="H7598" s="1342"/>
      <c r="I7598" s="1342"/>
      <c r="J7598" s="1342"/>
      <c r="K7598" s="1342"/>
    </row>
    <row r="7599" spans="2:11" ht="14" hidden="1">
      <c r="B7599" s="1342"/>
      <c r="C7599" s="1342"/>
      <c r="D7599" s="1342"/>
      <c r="E7599" s="1342"/>
      <c r="F7599" s="1342"/>
      <c r="G7599" s="1342"/>
      <c r="H7599" s="1342"/>
      <c r="I7599" s="1342"/>
      <c r="J7599" s="1342"/>
      <c r="K7599" s="1342"/>
    </row>
    <row r="7600" spans="2:11" ht="14" hidden="1">
      <c r="B7600" s="1342"/>
      <c r="C7600" s="1342"/>
      <c r="D7600" s="1342"/>
      <c r="E7600" s="1342"/>
      <c r="F7600" s="1342"/>
      <c r="G7600" s="1342"/>
      <c r="H7600" s="1342"/>
      <c r="I7600" s="1342"/>
      <c r="J7600" s="1342"/>
      <c r="K7600" s="1342"/>
    </row>
    <row r="7601" spans="2:11" ht="14" hidden="1">
      <c r="B7601" s="1342"/>
      <c r="C7601" s="1342"/>
      <c r="D7601" s="1342"/>
      <c r="E7601" s="1342"/>
      <c r="F7601" s="1342"/>
      <c r="G7601" s="1342"/>
      <c r="H7601" s="1342"/>
      <c r="I7601" s="1342"/>
      <c r="J7601" s="1342"/>
      <c r="K7601" s="1342"/>
    </row>
    <row r="7602" spans="2:11" ht="14" hidden="1">
      <c r="B7602" s="1342"/>
      <c r="C7602" s="1342"/>
      <c r="D7602" s="1342"/>
      <c r="E7602" s="1342"/>
      <c r="F7602" s="1342"/>
      <c r="G7602" s="1342"/>
      <c r="H7602" s="1342"/>
      <c r="I7602" s="1342"/>
      <c r="J7602" s="1342"/>
      <c r="K7602" s="1342"/>
    </row>
    <row r="7603" spans="2:11" ht="14" hidden="1">
      <c r="B7603" s="1342"/>
      <c r="C7603" s="1342"/>
      <c r="D7603" s="1342"/>
      <c r="E7603" s="1342"/>
      <c r="F7603" s="1342"/>
      <c r="G7603" s="1342"/>
      <c r="H7603" s="1342"/>
      <c r="I7603" s="1342"/>
      <c r="J7603" s="1342"/>
      <c r="K7603" s="1342"/>
    </row>
    <row r="7604" spans="2:11" ht="14" hidden="1">
      <c r="B7604" s="1342"/>
      <c r="C7604" s="1342"/>
      <c r="D7604" s="1342"/>
      <c r="E7604" s="1342"/>
      <c r="F7604" s="1342"/>
      <c r="G7604" s="1342"/>
      <c r="H7604" s="1342"/>
      <c r="I7604" s="1342"/>
      <c r="J7604" s="1342"/>
      <c r="K7604" s="1342"/>
    </row>
    <row r="7605" spans="2:11" ht="14" hidden="1">
      <c r="B7605" s="1342"/>
      <c r="C7605" s="1342"/>
      <c r="D7605" s="1342"/>
      <c r="E7605" s="1342"/>
      <c r="F7605" s="1342"/>
      <c r="G7605" s="1342"/>
      <c r="H7605" s="1342"/>
      <c r="I7605" s="1342"/>
      <c r="J7605" s="1342"/>
      <c r="K7605" s="1342"/>
    </row>
    <row r="7606" spans="2:11" ht="14" hidden="1">
      <c r="B7606" s="1342"/>
      <c r="C7606" s="1342"/>
      <c r="D7606" s="1342"/>
      <c r="E7606" s="1342"/>
      <c r="F7606" s="1342"/>
      <c r="G7606" s="1342"/>
      <c r="H7606" s="1342"/>
      <c r="I7606" s="1342"/>
      <c r="J7606" s="1342"/>
      <c r="K7606" s="1342"/>
    </row>
    <row r="7607" spans="2:11" ht="14" hidden="1">
      <c r="B7607" s="1342"/>
      <c r="C7607" s="1342"/>
      <c r="D7607" s="1342"/>
      <c r="E7607" s="1342"/>
      <c r="F7607" s="1342"/>
      <c r="G7607" s="1342"/>
      <c r="H7607" s="1342"/>
      <c r="I7607" s="1342"/>
      <c r="J7607" s="1342"/>
      <c r="K7607" s="1342"/>
    </row>
    <row r="7608" spans="2:11" ht="14" hidden="1">
      <c r="B7608" s="1342"/>
      <c r="C7608" s="1342"/>
      <c r="D7608" s="1342"/>
      <c r="E7608" s="1342"/>
      <c r="F7608" s="1342"/>
      <c r="G7608" s="1342"/>
      <c r="H7608" s="1342"/>
      <c r="I7608" s="1342"/>
      <c r="J7608" s="1342"/>
      <c r="K7608" s="1342"/>
    </row>
    <row r="7609" spans="2:11" ht="14" hidden="1">
      <c r="B7609" s="1342"/>
      <c r="C7609" s="1342"/>
      <c r="D7609" s="1342"/>
      <c r="E7609" s="1342"/>
      <c r="F7609" s="1342"/>
      <c r="G7609" s="1342"/>
      <c r="H7609" s="1342"/>
      <c r="I7609" s="1342"/>
      <c r="J7609" s="1342"/>
      <c r="K7609" s="1342"/>
    </row>
    <row r="7610" spans="2:11" ht="14" hidden="1">
      <c r="B7610" s="1342"/>
      <c r="C7610" s="1342"/>
      <c r="D7610" s="1342"/>
      <c r="E7610" s="1342"/>
      <c r="F7610" s="1342"/>
      <c r="G7610" s="1342"/>
      <c r="H7610" s="1342"/>
      <c r="I7610" s="1342"/>
      <c r="J7610" s="1342"/>
      <c r="K7610" s="1342"/>
    </row>
    <row r="7611" spans="2:11" ht="14" hidden="1">
      <c r="B7611" s="1342"/>
      <c r="C7611" s="1342"/>
      <c r="D7611" s="1342"/>
      <c r="E7611" s="1342"/>
      <c r="F7611" s="1342"/>
      <c r="G7611" s="1342"/>
      <c r="H7611" s="1342"/>
      <c r="I7611" s="1342"/>
      <c r="J7611" s="1342"/>
      <c r="K7611" s="1342"/>
    </row>
    <row r="7612" spans="2:11" ht="14" hidden="1">
      <c r="B7612" s="1342"/>
      <c r="C7612" s="1342"/>
      <c r="D7612" s="1342"/>
      <c r="E7612" s="1342"/>
      <c r="F7612" s="1342"/>
      <c r="G7612" s="1342"/>
      <c r="H7612" s="1342"/>
      <c r="I7612" s="1342"/>
      <c r="J7612" s="1342"/>
      <c r="K7612" s="1342"/>
    </row>
    <row r="7613" spans="2:11" ht="14" hidden="1">
      <c r="B7613" s="1342"/>
      <c r="C7613" s="1342"/>
      <c r="D7613" s="1342"/>
      <c r="E7613" s="1342"/>
      <c r="F7613" s="1342"/>
      <c r="G7613" s="1342"/>
      <c r="H7613" s="1342"/>
      <c r="I7613" s="1342"/>
      <c r="J7613" s="1342"/>
      <c r="K7613" s="1342"/>
    </row>
    <row r="7614" spans="2:11" ht="14" hidden="1">
      <c r="B7614" s="1342"/>
      <c r="C7614" s="1342"/>
      <c r="D7614" s="1342"/>
      <c r="E7614" s="1342"/>
      <c r="F7614" s="1342"/>
      <c r="G7614" s="1342"/>
      <c r="H7614" s="1342"/>
      <c r="I7614" s="1342"/>
      <c r="J7614" s="1342"/>
      <c r="K7614" s="1342"/>
    </row>
    <row r="7615" spans="2:11" ht="14" hidden="1">
      <c r="B7615" s="1342"/>
      <c r="C7615" s="1342"/>
      <c r="D7615" s="1342"/>
      <c r="E7615" s="1342"/>
      <c r="F7615" s="1342"/>
      <c r="G7615" s="1342"/>
      <c r="H7615" s="1342"/>
      <c r="I7615" s="1342"/>
      <c r="J7615" s="1342"/>
      <c r="K7615" s="1342"/>
    </row>
    <row r="7616" spans="2:11" ht="14" hidden="1">
      <c r="B7616" s="1342"/>
      <c r="C7616" s="1342"/>
      <c r="D7616" s="1342"/>
      <c r="E7616" s="1342"/>
      <c r="F7616" s="1342"/>
      <c r="G7616" s="1342"/>
      <c r="H7616" s="1342"/>
      <c r="I7616" s="1342"/>
      <c r="J7616" s="1342"/>
      <c r="K7616" s="1342"/>
    </row>
    <row r="7617" spans="2:11" ht="14" hidden="1">
      <c r="B7617" s="1342"/>
      <c r="C7617" s="1342"/>
      <c r="D7617" s="1342"/>
      <c r="E7617" s="1342"/>
      <c r="F7617" s="1342"/>
      <c r="G7617" s="1342"/>
      <c r="H7617" s="1342"/>
      <c r="I7617" s="1342"/>
      <c r="J7617" s="1342"/>
      <c r="K7617" s="1342"/>
    </row>
    <row r="7618" spans="2:11" ht="14" hidden="1">
      <c r="B7618" s="1342"/>
      <c r="C7618" s="1342"/>
      <c r="D7618" s="1342"/>
      <c r="E7618" s="1342"/>
      <c r="F7618" s="1342"/>
      <c r="G7618" s="1342"/>
      <c r="H7618" s="1342"/>
      <c r="I7618" s="1342"/>
      <c r="J7618" s="1342"/>
      <c r="K7618" s="1342"/>
    </row>
    <row r="7619" spans="2:11" ht="14" hidden="1">
      <c r="B7619" s="1342"/>
      <c r="C7619" s="1342"/>
      <c r="D7619" s="1342"/>
      <c r="E7619" s="1342"/>
      <c r="F7619" s="1342"/>
      <c r="G7619" s="1342"/>
      <c r="H7619" s="1342"/>
      <c r="I7619" s="1342"/>
      <c r="J7619" s="1342"/>
      <c r="K7619" s="1342"/>
    </row>
    <row r="7620" spans="2:11" ht="14" hidden="1">
      <c r="B7620" s="1342"/>
      <c r="C7620" s="1342"/>
      <c r="D7620" s="1342"/>
      <c r="E7620" s="1342"/>
      <c r="F7620" s="1342"/>
      <c r="G7620" s="1342"/>
      <c r="H7620" s="1342"/>
      <c r="I7620" s="1342"/>
      <c r="J7620" s="1342"/>
      <c r="K7620" s="1342"/>
    </row>
    <row r="7621" spans="2:11" ht="14" hidden="1">
      <c r="B7621" s="1342"/>
      <c r="C7621" s="1342"/>
      <c r="D7621" s="1342"/>
      <c r="E7621" s="1342"/>
      <c r="F7621" s="1342"/>
      <c r="G7621" s="1342"/>
      <c r="H7621" s="1342"/>
      <c r="I7621" s="1342"/>
      <c r="J7621" s="1342"/>
      <c r="K7621" s="1342"/>
    </row>
    <row r="7622" spans="2:11" ht="14" hidden="1">
      <c r="B7622" s="1342"/>
      <c r="C7622" s="1342"/>
      <c r="D7622" s="1342"/>
      <c r="E7622" s="1342"/>
      <c r="F7622" s="1342"/>
      <c r="G7622" s="1342"/>
      <c r="H7622" s="1342"/>
      <c r="I7622" s="1342"/>
      <c r="J7622" s="1342"/>
      <c r="K7622" s="1342"/>
    </row>
    <row r="7623" spans="2:11" ht="14" hidden="1">
      <c r="B7623" s="1342"/>
      <c r="C7623" s="1342"/>
      <c r="D7623" s="1342"/>
      <c r="E7623" s="1342"/>
      <c r="F7623" s="1342"/>
      <c r="G7623" s="1342"/>
      <c r="H7623" s="1342"/>
      <c r="I7623" s="1342"/>
      <c r="J7623" s="1342"/>
      <c r="K7623" s="1342"/>
    </row>
    <row r="7624" spans="2:11" ht="14" hidden="1">
      <c r="B7624" s="1342"/>
      <c r="C7624" s="1342"/>
      <c r="D7624" s="1342"/>
      <c r="E7624" s="1342"/>
      <c r="F7624" s="1342"/>
      <c r="G7624" s="1342"/>
      <c r="H7624" s="1342"/>
      <c r="I7624" s="1342"/>
      <c r="J7624" s="1342"/>
      <c r="K7624" s="1342"/>
    </row>
    <row r="7625" spans="2:11" ht="14" hidden="1">
      <c r="B7625" s="1342"/>
      <c r="C7625" s="1342"/>
      <c r="D7625" s="1342"/>
      <c r="E7625" s="1342"/>
      <c r="F7625" s="1342"/>
      <c r="G7625" s="1342"/>
      <c r="H7625" s="1342"/>
      <c r="I7625" s="1342"/>
      <c r="J7625" s="1342"/>
      <c r="K7625" s="1342"/>
    </row>
    <row r="7626" spans="2:11" ht="14" hidden="1">
      <c r="B7626" s="1342"/>
      <c r="C7626" s="1342"/>
      <c r="D7626" s="1342"/>
      <c r="E7626" s="1342"/>
      <c r="F7626" s="1342"/>
      <c r="G7626" s="1342"/>
      <c r="H7626" s="1342"/>
      <c r="I7626" s="1342"/>
      <c r="J7626" s="1342"/>
      <c r="K7626" s="1342"/>
    </row>
    <row r="7627" spans="2:11" ht="14" hidden="1">
      <c r="B7627" s="1342"/>
      <c r="C7627" s="1342"/>
      <c r="D7627" s="1342"/>
      <c r="E7627" s="1342"/>
      <c r="F7627" s="1342"/>
      <c r="G7627" s="1342"/>
      <c r="H7627" s="1342"/>
      <c r="I7627" s="1342"/>
      <c r="J7627" s="1342"/>
      <c r="K7627" s="1342"/>
    </row>
    <row r="7628" spans="2:11" ht="14" hidden="1">
      <c r="B7628" s="1342"/>
      <c r="C7628" s="1342"/>
      <c r="D7628" s="1342"/>
      <c r="E7628" s="1342"/>
      <c r="F7628" s="1342"/>
      <c r="G7628" s="1342"/>
      <c r="H7628" s="1342"/>
      <c r="I7628" s="1342"/>
      <c r="J7628" s="1342"/>
      <c r="K7628" s="1342"/>
    </row>
    <row r="7629" spans="2:11" ht="14" hidden="1">
      <c r="B7629" s="1342"/>
      <c r="C7629" s="1342"/>
      <c r="D7629" s="1342"/>
      <c r="E7629" s="1342"/>
      <c r="F7629" s="1342"/>
      <c r="G7629" s="1342"/>
      <c r="H7629" s="1342"/>
      <c r="I7629" s="1342"/>
      <c r="J7629" s="1342"/>
      <c r="K7629" s="1342"/>
    </row>
    <row r="7630" spans="2:11" ht="14" hidden="1">
      <c r="B7630" s="1342"/>
      <c r="C7630" s="1342"/>
      <c r="D7630" s="1342"/>
      <c r="E7630" s="1342"/>
      <c r="F7630" s="1342"/>
      <c r="G7630" s="1342"/>
      <c r="H7630" s="1342"/>
      <c r="I7630" s="1342"/>
      <c r="J7630" s="1342"/>
      <c r="K7630" s="1342"/>
    </row>
    <row r="7631" spans="2:11" ht="14" hidden="1">
      <c r="B7631" s="1342"/>
      <c r="C7631" s="1342"/>
      <c r="D7631" s="1342"/>
      <c r="E7631" s="1342"/>
      <c r="F7631" s="1342"/>
      <c r="G7631" s="1342"/>
      <c r="H7631" s="1342"/>
      <c r="I7631" s="1342"/>
      <c r="J7631" s="1342"/>
      <c r="K7631" s="1342"/>
    </row>
    <row r="7632" spans="2:11" ht="14" hidden="1">
      <c r="B7632" s="1342"/>
      <c r="C7632" s="1342"/>
      <c r="D7632" s="1342"/>
      <c r="E7632" s="1342"/>
      <c r="F7632" s="1342"/>
      <c r="G7632" s="1342"/>
      <c r="H7632" s="1342"/>
      <c r="I7632" s="1342"/>
      <c r="J7632" s="1342"/>
      <c r="K7632" s="1342"/>
    </row>
    <row r="7633" spans="2:11" ht="14" hidden="1">
      <c r="B7633" s="1342"/>
      <c r="C7633" s="1342"/>
      <c r="D7633" s="1342"/>
      <c r="E7633" s="1342"/>
      <c r="F7633" s="1342"/>
      <c r="G7633" s="1342"/>
      <c r="H7633" s="1342"/>
      <c r="I7633" s="1342"/>
      <c r="J7633" s="1342"/>
      <c r="K7633" s="1342"/>
    </row>
    <row r="7634" spans="2:11" ht="14" hidden="1">
      <c r="B7634" s="1342"/>
      <c r="C7634" s="1342"/>
      <c r="D7634" s="1342"/>
      <c r="E7634" s="1342"/>
      <c r="F7634" s="1342"/>
      <c r="G7634" s="1342"/>
      <c r="H7634" s="1342"/>
      <c r="I7634" s="1342"/>
      <c r="J7634" s="1342"/>
      <c r="K7634" s="1342"/>
    </row>
    <row r="7635" spans="2:11" ht="14" hidden="1">
      <c r="B7635" s="1342"/>
      <c r="C7635" s="1342"/>
      <c r="D7635" s="1342"/>
      <c r="E7635" s="1342"/>
      <c r="F7635" s="1342"/>
      <c r="G7635" s="1342"/>
      <c r="H7635" s="1342"/>
      <c r="I7635" s="1342"/>
      <c r="J7635" s="1342"/>
      <c r="K7635" s="1342"/>
    </row>
    <row r="7636" spans="2:11" ht="14" hidden="1">
      <c r="B7636" s="1342"/>
      <c r="C7636" s="1342"/>
      <c r="D7636" s="1342"/>
      <c r="E7636" s="1342"/>
      <c r="F7636" s="1342"/>
      <c r="G7636" s="1342"/>
      <c r="H7636" s="1342"/>
      <c r="I7636" s="1342"/>
      <c r="J7636" s="1342"/>
      <c r="K7636" s="1342"/>
    </row>
    <row r="7637" spans="2:11" ht="14" hidden="1">
      <c r="B7637" s="1342"/>
      <c r="C7637" s="1342"/>
      <c r="D7637" s="1342"/>
      <c r="E7637" s="1342"/>
      <c r="F7637" s="1342"/>
      <c r="G7637" s="1342"/>
      <c r="H7637" s="1342"/>
      <c r="I7637" s="1342"/>
      <c r="J7637" s="1342"/>
      <c r="K7637" s="1342"/>
    </row>
    <row r="7638" spans="2:11" ht="14" hidden="1">
      <c r="B7638" s="1342"/>
      <c r="C7638" s="1342"/>
      <c r="D7638" s="1342"/>
      <c r="E7638" s="1342"/>
      <c r="F7638" s="1342"/>
      <c r="G7638" s="1342"/>
      <c r="H7638" s="1342"/>
      <c r="I7638" s="1342"/>
      <c r="J7638" s="1342"/>
      <c r="K7638" s="1342"/>
    </row>
    <row r="7639" spans="2:11" ht="14" hidden="1">
      <c r="B7639" s="1342"/>
      <c r="C7639" s="1342"/>
      <c r="D7639" s="1342"/>
      <c r="E7639" s="1342"/>
      <c r="F7639" s="1342"/>
      <c r="G7639" s="1342"/>
      <c r="H7639" s="1342"/>
      <c r="I7639" s="1342"/>
      <c r="J7639" s="1342"/>
      <c r="K7639" s="1342"/>
    </row>
    <row r="7640" spans="2:11" ht="14" hidden="1">
      <c r="B7640" s="1342"/>
      <c r="C7640" s="1342"/>
      <c r="D7640" s="1342"/>
      <c r="E7640" s="1342"/>
      <c r="F7640" s="1342"/>
      <c r="G7640" s="1342"/>
      <c r="H7640" s="1342"/>
      <c r="I7640" s="1342"/>
      <c r="J7640" s="1342"/>
      <c r="K7640" s="1342"/>
    </row>
    <row r="7641" spans="2:11" ht="14" hidden="1">
      <c r="B7641" s="1342"/>
      <c r="C7641" s="1342"/>
      <c r="D7641" s="1342"/>
      <c r="E7641" s="1342"/>
      <c r="F7641" s="1342"/>
      <c r="G7641" s="1342"/>
      <c r="H7641" s="1342"/>
      <c r="I7641" s="1342"/>
      <c r="J7641" s="1342"/>
      <c r="K7641" s="1342"/>
    </row>
    <row r="7642" spans="2:11" ht="14" hidden="1">
      <c r="B7642" s="1342"/>
      <c r="C7642" s="1342"/>
      <c r="D7642" s="1342"/>
      <c r="E7642" s="1342"/>
      <c r="F7642" s="1342"/>
      <c r="G7642" s="1342"/>
      <c r="H7642" s="1342"/>
      <c r="I7642" s="1342"/>
      <c r="J7642" s="1342"/>
      <c r="K7642" s="1342"/>
    </row>
    <row r="7643" spans="2:11" ht="14" hidden="1">
      <c r="B7643" s="1342"/>
      <c r="C7643" s="1342"/>
      <c r="D7643" s="1342"/>
      <c r="E7643" s="1342"/>
      <c r="F7643" s="1342"/>
      <c r="G7643" s="1342"/>
      <c r="H7643" s="1342"/>
      <c r="I7643" s="1342"/>
      <c r="J7643" s="1342"/>
      <c r="K7643" s="1342"/>
    </row>
    <row r="7644" spans="2:11" ht="14" hidden="1">
      <c r="B7644" s="1342"/>
      <c r="C7644" s="1342"/>
      <c r="D7644" s="1342"/>
      <c r="E7644" s="1342"/>
      <c r="F7644" s="1342"/>
      <c r="G7644" s="1342"/>
      <c r="H7644" s="1342"/>
      <c r="I7644" s="1342"/>
      <c r="J7644" s="1342"/>
      <c r="K7644" s="1342"/>
    </row>
    <row r="7645" spans="2:11" ht="14" hidden="1">
      <c r="B7645" s="1342"/>
      <c r="C7645" s="1342"/>
      <c r="D7645" s="1342"/>
      <c r="E7645" s="1342"/>
      <c r="F7645" s="1342"/>
      <c r="G7645" s="1342"/>
      <c r="H7645" s="1342"/>
      <c r="I7645" s="1342"/>
      <c r="J7645" s="1342"/>
      <c r="K7645" s="1342"/>
    </row>
    <row r="7646" spans="2:11" ht="14" hidden="1">
      <c r="B7646" s="1342"/>
      <c r="C7646" s="1342"/>
      <c r="D7646" s="1342"/>
      <c r="E7646" s="1342"/>
      <c r="F7646" s="1342"/>
      <c r="G7646" s="1342"/>
      <c r="H7646" s="1342"/>
      <c r="I7646" s="1342"/>
      <c r="J7646" s="1342"/>
      <c r="K7646" s="1342"/>
    </row>
    <row r="7647" spans="2:11" ht="14" hidden="1">
      <c r="B7647" s="1342"/>
      <c r="C7647" s="1342"/>
      <c r="D7647" s="1342"/>
      <c r="E7647" s="1342"/>
      <c r="F7647" s="1342"/>
      <c r="G7647" s="1342"/>
      <c r="H7647" s="1342"/>
      <c r="I7647" s="1342"/>
      <c r="J7647" s="1342"/>
      <c r="K7647" s="1342"/>
    </row>
    <row r="7648" spans="2:11" ht="14" hidden="1">
      <c r="B7648" s="1342"/>
      <c r="C7648" s="1342"/>
      <c r="D7648" s="1342"/>
      <c r="E7648" s="1342"/>
      <c r="F7648" s="1342"/>
      <c r="G7648" s="1342"/>
      <c r="H7648" s="1342"/>
      <c r="I7648" s="1342"/>
      <c r="J7648" s="1342"/>
      <c r="K7648" s="1342"/>
    </row>
    <row r="7649" spans="2:11" ht="14" hidden="1">
      <c r="B7649" s="1342"/>
      <c r="C7649" s="1342"/>
      <c r="D7649" s="1342"/>
      <c r="E7649" s="1342"/>
      <c r="F7649" s="1342"/>
      <c r="G7649" s="1342"/>
      <c r="H7649" s="1342"/>
      <c r="I7649" s="1342"/>
      <c r="J7649" s="1342"/>
      <c r="K7649" s="1342"/>
    </row>
    <row r="7650" spans="2:11" ht="14" hidden="1">
      <c r="B7650" s="1342"/>
      <c r="C7650" s="1342"/>
      <c r="D7650" s="1342"/>
      <c r="E7650" s="1342"/>
      <c r="F7650" s="1342"/>
      <c r="G7650" s="1342"/>
      <c r="H7650" s="1342"/>
      <c r="I7650" s="1342"/>
      <c r="J7650" s="1342"/>
      <c r="K7650" s="1342"/>
    </row>
    <row r="7651" spans="2:11" ht="14" hidden="1">
      <c r="B7651" s="1342"/>
      <c r="C7651" s="1342"/>
      <c r="D7651" s="1342"/>
      <c r="E7651" s="1342"/>
      <c r="F7651" s="1342"/>
      <c r="G7651" s="1342"/>
      <c r="H7651" s="1342"/>
      <c r="I7651" s="1342"/>
      <c r="J7651" s="1342"/>
      <c r="K7651" s="1342"/>
    </row>
    <row r="7652" spans="2:11" ht="14" hidden="1">
      <c r="B7652" s="1342"/>
      <c r="C7652" s="1342"/>
      <c r="D7652" s="1342"/>
      <c r="E7652" s="1342"/>
      <c r="F7652" s="1342"/>
      <c r="G7652" s="1342"/>
      <c r="H7652" s="1342"/>
      <c r="I7652" s="1342"/>
      <c r="J7652" s="1342"/>
      <c r="K7652" s="1342"/>
    </row>
    <row r="7653" spans="2:11" ht="14" hidden="1">
      <c r="B7653" s="1342"/>
      <c r="C7653" s="1342"/>
      <c r="D7653" s="1342"/>
      <c r="E7653" s="1342"/>
      <c r="F7653" s="1342"/>
      <c r="G7653" s="1342"/>
      <c r="H7653" s="1342"/>
      <c r="I7653" s="1342"/>
      <c r="J7653" s="1342"/>
      <c r="K7653" s="1342"/>
    </row>
    <row r="7654" spans="2:11" ht="14" hidden="1">
      <c r="B7654" s="1342"/>
      <c r="C7654" s="1342"/>
      <c r="D7654" s="1342"/>
      <c r="E7654" s="1342"/>
      <c r="F7654" s="1342"/>
      <c r="G7654" s="1342"/>
      <c r="H7654" s="1342"/>
      <c r="I7654" s="1342"/>
      <c r="J7654" s="1342"/>
      <c r="K7654" s="1342"/>
    </row>
    <row r="7655" spans="2:11" ht="14" hidden="1">
      <c r="B7655" s="1342"/>
      <c r="C7655" s="1342"/>
      <c r="D7655" s="1342"/>
      <c r="E7655" s="1342"/>
      <c r="F7655" s="1342"/>
      <c r="G7655" s="1342"/>
      <c r="H7655" s="1342"/>
      <c r="I7655" s="1342"/>
      <c r="J7655" s="1342"/>
      <c r="K7655" s="1342"/>
    </row>
    <row r="7656" spans="2:11" ht="14" hidden="1">
      <c r="B7656" s="1342"/>
      <c r="C7656" s="1342"/>
      <c r="D7656" s="1342"/>
      <c r="E7656" s="1342"/>
      <c r="F7656" s="1342"/>
      <c r="G7656" s="1342"/>
      <c r="H7656" s="1342"/>
      <c r="I7656" s="1342"/>
      <c r="J7656" s="1342"/>
      <c r="K7656" s="1342"/>
    </row>
    <row r="7657" spans="2:11" ht="14" hidden="1">
      <c r="B7657" s="1342"/>
      <c r="C7657" s="1342"/>
      <c r="D7657" s="1342"/>
      <c r="E7657" s="1342"/>
      <c r="F7657" s="1342"/>
      <c r="G7657" s="1342"/>
      <c r="H7657" s="1342"/>
      <c r="I7657" s="1342"/>
      <c r="J7657" s="1342"/>
      <c r="K7657" s="1342"/>
    </row>
    <row r="7658" spans="2:11" ht="14" hidden="1">
      <c r="B7658" s="1342"/>
      <c r="C7658" s="1342"/>
      <c r="D7658" s="1342"/>
      <c r="E7658" s="1342"/>
      <c r="F7658" s="1342"/>
      <c r="G7658" s="1342"/>
      <c r="H7658" s="1342"/>
      <c r="I7658" s="1342"/>
      <c r="J7658" s="1342"/>
      <c r="K7658" s="1342"/>
    </row>
    <row r="7659" spans="2:11" ht="14" hidden="1">
      <c r="B7659" s="1342"/>
      <c r="C7659" s="1342"/>
      <c r="D7659" s="1342"/>
      <c r="E7659" s="1342"/>
      <c r="F7659" s="1342"/>
      <c r="G7659" s="1342"/>
      <c r="H7659" s="1342"/>
      <c r="I7659" s="1342"/>
      <c r="J7659" s="1342"/>
      <c r="K7659" s="1342"/>
    </row>
    <row r="7660" spans="2:11" ht="14" hidden="1">
      <c r="B7660" s="1342"/>
      <c r="C7660" s="1342"/>
      <c r="D7660" s="1342"/>
      <c r="E7660" s="1342"/>
      <c r="F7660" s="1342"/>
      <c r="G7660" s="1342"/>
      <c r="H7660" s="1342"/>
      <c r="I7660" s="1342"/>
      <c r="J7660" s="1342"/>
      <c r="K7660" s="1342"/>
    </row>
    <row r="7661" spans="2:11" ht="14" hidden="1">
      <c r="B7661" s="1342"/>
      <c r="C7661" s="1342"/>
      <c r="D7661" s="1342"/>
      <c r="E7661" s="1342"/>
      <c r="F7661" s="1342"/>
      <c r="G7661" s="1342"/>
      <c r="H7661" s="1342"/>
      <c r="I7661" s="1342"/>
      <c r="J7661" s="1342"/>
      <c r="K7661" s="1342"/>
    </row>
    <row r="7662" spans="2:11" ht="14" hidden="1">
      <c r="B7662" s="1342"/>
      <c r="C7662" s="1342"/>
      <c r="D7662" s="1342"/>
      <c r="E7662" s="1342"/>
      <c r="F7662" s="1342"/>
      <c r="G7662" s="1342"/>
      <c r="H7662" s="1342"/>
      <c r="I7662" s="1342"/>
      <c r="J7662" s="1342"/>
      <c r="K7662" s="1342"/>
    </row>
    <row r="7663" spans="2:11" ht="14" hidden="1">
      <c r="B7663" s="1342"/>
      <c r="C7663" s="1342"/>
      <c r="D7663" s="1342"/>
      <c r="E7663" s="1342"/>
      <c r="F7663" s="1342"/>
      <c r="G7663" s="1342"/>
      <c r="H7663" s="1342"/>
      <c r="I7663" s="1342"/>
      <c r="J7663" s="1342"/>
      <c r="K7663" s="1342"/>
    </row>
    <row r="7664" spans="2:11" ht="14" hidden="1">
      <c r="B7664" s="1342"/>
      <c r="C7664" s="1342"/>
      <c r="D7664" s="1342"/>
      <c r="E7664" s="1342"/>
      <c r="F7664" s="1342"/>
      <c r="G7664" s="1342"/>
      <c r="H7664" s="1342"/>
      <c r="I7664" s="1342"/>
      <c r="J7664" s="1342"/>
      <c r="K7664" s="1342"/>
    </row>
    <row r="7665" spans="2:11" ht="14" hidden="1">
      <c r="B7665" s="1342"/>
      <c r="C7665" s="1342"/>
      <c r="D7665" s="1342"/>
      <c r="E7665" s="1342"/>
      <c r="F7665" s="1342"/>
      <c r="G7665" s="1342"/>
      <c r="H7665" s="1342"/>
      <c r="I7665" s="1342"/>
      <c r="J7665" s="1342"/>
      <c r="K7665" s="1342"/>
    </row>
    <row r="7666" spans="2:11" ht="14" hidden="1">
      <c r="B7666" s="1342"/>
      <c r="C7666" s="1342"/>
      <c r="D7666" s="1342"/>
      <c r="E7666" s="1342"/>
      <c r="F7666" s="1342"/>
      <c r="G7666" s="1342"/>
      <c r="H7666" s="1342"/>
      <c r="I7666" s="1342"/>
      <c r="J7666" s="1342"/>
      <c r="K7666" s="1342"/>
    </row>
    <row r="7667" spans="2:11" ht="14" hidden="1">
      <c r="B7667" s="1342"/>
      <c r="C7667" s="1342"/>
      <c r="D7667" s="1342"/>
      <c r="E7667" s="1342"/>
      <c r="F7667" s="1342"/>
      <c r="G7667" s="1342"/>
      <c r="H7667" s="1342"/>
      <c r="I7667" s="1342"/>
      <c r="J7667" s="1342"/>
      <c r="K7667" s="1342"/>
    </row>
    <row r="7668" spans="2:11" ht="14" hidden="1">
      <c r="B7668" s="1342"/>
      <c r="C7668" s="1342"/>
      <c r="D7668" s="1342"/>
      <c r="E7668" s="1342"/>
      <c r="F7668" s="1342"/>
      <c r="G7668" s="1342"/>
      <c r="H7668" s="1342"/>
      <c r="I7668" s="1342"/>
      <c r="J7668" s="1342"/>
      <c r="K7668" s="1342"/>
    </row>
    <row r="7669" spans="2:11" ht="14" hidden="1">
      <c r="B7669" s="1342"/>
      <c r="C7669" s="1342"/>
      <c r="D7669" s="1342"/>
      <c r="E7669" s="1342"/>
      <c r="F7669" s="1342"/>
      <c r="G7669" s="1342"/>
      <c r="H7669" s="1342"/>
      <c r="I7669" s="1342"/>
      <c r="J7669" s="1342"/>
      <c r="K7669" s="1342"/>
    </row>
    <row r="7670" spans="2:11" ht="14" hidden="1">
      <c r="B7670" s="1342"/>
      <c r="C7670" s="1342"/>
      <c r="D7670" s="1342"/>
      <c r="E7670" s="1342"/>
      <c r="F7670" s="1342"/>
      <c r="G7670" s="1342"/>
      <c r="H7670" s="1342"/>
      <c r="I7670" s="1342"/>
      <c r="J7670" s="1342"/>
      <c r="K7670" s="1342"/>
    </row>
    <row r="7671" spans="2:11" ht="14" hidden="1">
      <c r="B7671" s="1342"/>
      <c r="C7671" s="1342"/>
      <c r="D7671" s="1342"/>
      <c r="E7671" s="1342"/>
      <c r="F7671" s="1342"/>
      <c r="G7671" s="1342"/>
      <c r="H7671" s="1342"/>
      <c r="I7671" s="1342"/>
      <c r="J7671" s="1342"/>
      <c r="K7671" s="1342"/>
    </row>
    <row r="7672" spans="2:11" ht="14" hidden="1">
      <c r="B7672" s="1342"/>
      <c r="C7672" s="1342"/>
      <c r="D7672" s="1342"/>
      <c r="E7672" s="1342"/>
      <c r="F7672" s="1342"/>
      <c r="G7672" s="1342"/>
      <c r="H7672" s="1342"/>
      <c r="I7672" s="1342"/>
      <c r="J7672" s="1342"/>
      <c r="K7672" s="1342"/>
    </row>
    <row r="7673" spans="2:11" ht="14" hidden="1">
      <c r="B7673" s="1342"/>
      <c r="C7673" s="1342"/>
      <c r="D7673" s="1342"/>
      <c r="E7673" s="1342"/>
      <c r="F7673" s="1342"/>
      <c r="G7673" s="1342"/>
      <c r="H7673" s="1342"/>
      <c r="I7673" s="1342"/>
      <c r="J7673" s="1342"/>
      <c r="K7673" s="1342"/>
    </row>
    <row r="7674" spans="2:11" ht="14" hidden="1">
      <c r="B7674" s="1342"/>
      <c r="C7674" s="1342"/>
      <c r="D7674" s="1342"/>
      <c r="E7674" s="1342"/>
      <c r="F7674" s="1342"/>
      <c r="G7674" s="1342"/>
      <c r="H7674" s="1342"/>
      <c r="I7674" s="1342"/>
      <c r="J7674" s="1342"/>
      <c r="K7674" s="1342"/>
    </row>
    <row r="7675" spans="2:11" ht="14" hidden="1">
      <c r="B7675" s="1342"/>
      <c r="C7675" s="1342"/>
      <c r="D7675" s="1342"/>
      <c r="E7675" s="1342"/>
      <c r="F7675" s="1342"/>
      <c r="G7675" s="1342"/>
      <c r="H7675" s="1342"/>
      <c r="I7675" s="1342"/>
      <c r="J7675" s="1342"/>
      <c r="K7675" s="1342"/>
    </row>
    <row r="7676" spans="2:11" ht="14" hidden="1">
      <c r="B7676" s="1342"/>
      <c r="C7676" s="1342"/>
      <c r="D7676" s="1342"/>
      <c r="E7676" s="1342"/>
      <c r="F7676" s="1342"/>
      <c r="G7676" s="1342"/>
      <c r="H7676" s="1342"/>
      <c r="I7676" s="1342"/>
      <c r="J7676" s="1342"/>
      <c r="K7676" s="1342"/>
    </row>
    <row r="7677" spans="2:11" ht="14" hidden="1">
      <c r="B7677" s="1342"/>
      <c r="C7677" s="1342"/>
      <c r="D7677" s="1342"/>
      <c r="E7677" s="1342"/>
      <c r="F7677" s="1342"/>
      <c r="G7677" s="1342"/>
      <c r="H7677" s="1342"/>
      <c r="I7677" s="1342"/>
      <c r="J7677" s="1342"/>
      <c r="K7677" s="1342"/>
    </row>
    <row r="7678" spans="2:11" ht="14" hidden="1">
      <c r="B7678" s="1342"/>
      <c r="C7678" s="1342"/>
      <c r="D7678" s="1342"/>
      <c r="E7678" s="1342"/>
      <c r="F7678" s="1342"/>
      <c r="G7678" s="1342"/>
      <c r="H7678" s="1342"/>
      <c r="I7678" s="1342"/>
      <c r="J7678" s="1342"/>
      <c r="K7678" s="1342"/>
    </row>
    <row r="7679" spans="2:11" ht="14" hidden="1">
      <c r="B7679" s="1342"/>
      <c r="C7679" s="1342"/>
      <c r="D7679" s="1342"/>
      <c r="E7679" s="1342"/>
      <c r="F7679" s="1342"/>
      <c r="G7679" s="1342"/>
      <c r="H7679" s="1342"/>
      <c r="I7679" s="1342"/>
      <c r="J7679" s="1342"/>
      <c r="K7679" s="1342"/>
    </row>
    <row r="7680" spans="2:11" ht="14" hidden="1">
      <c r="B7680" s="1342"/>
      <c r="C7680" s="1342"/>
      <c r="D7680" s="1342"/>
      <c r="E7680" s="1342"/>
      <c r="F7680" s="1342"/>
      <c r="G7680" s="1342"/>
      <c r="H7680" s="1342"/>
      <c r="I7680" s="1342"/>
      <c r="J7680" s="1342"/>
      <c r="K7680" s="1342"/>
    </row>
    <row r="7681" spans="2:11" ht="14" hidden="1">
      <c r="B7681" s="1342"/>
      <c r="C7681" s="1342"/>
      <c r="D7681" s="1342"/>
      <c r="E7681" s="1342"/>
      <c r="F7681" s="1342"/>
      <c r="G7681" s="1342"/>
      <c r="H7681" s="1342"/>
      <c r="I7681" s="1342"/>
      <c r="J7681" s="1342"/>
      <c r="K7681" s="1342"/>
    </row>
    <row r="7682" spans="2:11" ht="14" hidden="1">
      <c r="B7682" s="1342"/>
      <c r="C7682" s="1342"/>
      <c r="D7682" s="1342"/>
      <c r="E7682" s="1342"/>
      <c r="F7682" s="1342"/>
      <c r="G7682" s="1342"/>
      <c r="H7682" s="1342"/>
      <c r="I7682" s="1342"/>
      <c r="J7682" s="1342"/>
      <c r="K7682" s="1342"/>
    </row>
    <row r="7683" spans="2:11" ht="14" hidden="1">
      <c r="B7683" s="1342"/>
      <c r="C7683" s="1342"/>
      <c r="D7683" s="1342"/>
      <c r="E7683" s="1342"/>
      <c r="F7683" s="1342"/>
      <c r="G7683" s="1342"/>
      <c r="H7683" s="1342"/>
      <c r="I7683" s="1342"/>
      <c r="J7683" s="1342"/>
      <c r="K7683" s="1342"/>
    </row>
    <row r="7684" spans="2:11" ht="14" hidden="1">
      <c r="B7684" s="1342"/>
      <c r="C7684" s="1342"/>
      <c r="D7684" s="1342"/>
      <c r="E7684" s="1342"/>
      <c r="F7684" s="1342"/>
      <c r="G7684" s="1342"/>
      <c r="H7684" s="1342"/>
      <c r="I7684" s="1342"/>
      <c r="J7684" s="1342"/>
      <c r="K7684" s="1342"/>
    </row>
    <row r="7685" spans="2:11" ht="14" hidden="1">
      <c r="B7685" s="1342"/>
      <c r="C7685" s="1342"/>
      <c r="D7685" s="1342"/>
      <c r="E7685" s="1342"/>
      <c r="F7685" s="1342"/>
      <c r="G7685" s="1342"/>
      <c r="H7685" s="1342"/>
      <c r="I7685" s="1342"/>
      <c r="J7685" s="1342"/>
      <c r="K7685" s="1342"/>
    </row>
    <row r="7686" spans="2:11" ht="14" hidden="1">
      <c r="B7686" s="1342"/>
      <c r="C7686" s="1342"/>
      <c r="D7686" s="1342"/>
      <c r="E7686" s="1342"/>
      <c r="F7686" s="1342"/>
      <c r="G7686" s="1342"/>
      <c r="H7686" s="1342"/>
      <c r="I7686" s="1342"/>
      <c r="J7686" s="1342"/>
      <c r="K7686" s="1342"/>
    </row>
    <row r="7687" spans="2:11" ht="14" hidden="1">
      <c r="B7687" s="1342"/>
      <c r="C7687" s="1342"/>
      <c r="D7687" s="1342"/>
      <c r="E7687" s="1342"/>
      <c r="F7687" s="1342"/>
      <c r="G7687" s="1342"/>
      <c r="H7687" s="1342"/>
      <c r="I7687" s="1342"/>
      <c r="J7687" s="1342"/>
      <c r="K7687" s="1342"/>
    </row>
    <row r="7688" spans="2:11" ht="14" hidden="1">
      <c r="B7688" s="1342"/>
      <c r="C7688" s="1342"/>
      <c r="D7688" s="1342"/>
      <c r="E7688" s="1342"/>
      <c r="F7688" s="1342"/>
      <c r="G7688" s="1342"/>
      <c r="H7688" s="1342"/>
      <c r="I7688" s="1342"/>
      <c r="J7688" s="1342"/>
      <c r="K7688" s="1342"/>
    </row>
    <row r="7689" spans="2:11" ht="14" hidden="1">
      <c r="B7689" s="1342"/>
      <c r="C7689" s="1342"/>
      <c r="D7689" s="1342"/>
      <c r="E7689" s="1342"/>
      <c r="F7689" s="1342"/>
      <c r="G7689" s="1342"/>
      <c r="H7689" s="1342"/>
      <c r="I7689" s="1342"/>
      <c r="J7689" s="1342"/>
      <c r="K7689" s="1342"/>
    </row>
    <row r="7690" spans="2:11" ht="14" hidden="1">
      <c r="B7690" s="1342"/>
      <c r="C7690" s="1342"/>
      <c r="D7690" s="1342"/>
      <c r="E7690" s="1342"/>
      <c r="F7690" s="1342"/>
      <c r="G7690" s="1342"/>
      <c r="H7690" s="1342"/>
      <c r="I7690" s="1342"/>
      <c r="J7690" s="1342"/>
      <c r="K7690" s="1342"/>
    </row>
    <row r="7691" spans="2:11" ht="14" hidden="1">
      <c r="B7691" s="1342"/>
      <c r="C7691" s="1342"/>
      <c r="D7691" s="1342"/>
      <c r="E7691" s="1342"/>
      <c r="F7691" s="1342"/>
      <c r="G7691" s="1342"/>
      <c r="H7691" s="1342"/>
      <c r="I7691" s="1342"/>
      <c r="J7691" s="1342"/>
      <c r="K7691" s="1342"/>
    </row>
    <row r="7692" spans="2:11" ht="14" hidden="1">
      <c r="B7692" s="1342"/>
      <c r="C7692" s="1342"/>
      <c r="D7692" s="1342"/>
      <c r="E7692" s="1342"/>
      <c r="F7692" s="1342"/>
      <c r="G7692" s="1342"/>
      <c r="H7692" s="1342"/>
      <c r="I7692" s="1342"/>
      <c r="J7692" s="1342"/>
      <c r="K7692" s="1342"/>
    </row>
    <row r="7693" spans="2:11" ht="14" hidden="1">
      <c r="B7693" s="1342"/>
      <c r="C7693" s="1342"/>
      <c r="D7693" s="1342"/>
      <c r="E7693" s="1342"/>
      <c r="F7693" s="1342"/>
      <c r="G7693" s="1342"/>
      <c r="H7693" s="1342"/>
      <c r="I7693" s="1342"/>
      <c r="J7693" s="1342"/>
      <c r="K7693" s="1342"/>
    </row>
    <row r="7694" spans="2:11" ht="14" hidden="1">
      <c r="B7694" s="1342"/>
      <c r="C7694" s="1342"/>
      <c r="D7694" s="1342"/>
      <c r="E7694" s="1342"/>
      <c r="F7694" s="1342"/>
      <c r="G7694" s="1342"/>
      <c r="H7694" s="1342"/>
      <c r="I7694" s="1342"/>
      <c r="J7694" s="1342"/>
      <c r="K7694" s="1342"/>
    </row>
    <row r="7695" spans="2:11" ht="14" hidden="1">
      <c r="B7695" s="1342"/>
      <c r="C7695" s="1342"/>
      <c r="D7695" s="1342"/>
      <c r="E7695" s="1342"/>
      <c r="F7695" s="1342"/>
      <c r="G7695" s="1342"/>
      <c r="H7695" s="1342"/>
      <c r="I7695" s="1342"/>
      <c r="J7695" s="1342"/>
      <c r="K7695" s="1342"/>
    </row>
    <row r="7696" spans="2:11" ht="14" hidden="1">
      <c r="B7696" s="1342"/>
      <c r="C7696" s="1342"/>
      <c r="D7696" s="1342"/>
      <c r="E7696" s="1342"/>
      <c r="F7696" s="1342"/>
      <c r="G7696" s="1342"/>
      <c r="H7696" s="1342"/>
      <c r="I7696" s="1342"/>
      <c r="J7696" s="1342"/>
      <c r="K7696" s="1342"/>
    </row>
    <row r="7697" spans="2:11" ht="14" hidden="1">
      <c r="B7697" s="1342"/>
      <c r="C7697" s="1342"/>
      <c r="D7697" s="1342"/>
      <c r="E7697" s="1342"/>
      <c r="F7697" s="1342"/>
      <c r="G7697" s="1342"/>
      <c r="H7697" s="1342"/>
      <c r="I7697" s="1342"/>
      <c r="J7697" s="1342"/>
      <c r="K7697" s="1342"/>
    </row>
    <row r="7698" spans="2:11" ht="14" hidden="1">
      <c r="B7698" s="1342"/>
      <c r="C7698" s="1342"/>
      <c r="D7698" s="1342"/>
      <c r="E7698" s="1342"/>
      <c r="F7698" s="1342"/>
      <c r="G7698" s="1342"/>
      <c r="H7698" s="1342"/>
      <c r="I7698" s="1342"/>
      <c r="J7698" s="1342"/>
      <c r="K7698" s="1342"/>
    </row>
    <row r="7699" spans="2:11" ht="14" hidden="1">
      <c r="B7699" s="1342"/>
      <c r="C7699" s="1342"/>
      <c r="D7699" s="1342"/>
      <c r="E7699" s="1342"/>
      <c r="F7699" s="1342"/>
      <c r="G7699" s="1342"/>
      <c r="H7699" s="1342"/>
      <c r="I7699" s="1342"/>
      <c r="J7699" s="1342"/>
      <c r="K7699" s="1342"/>
    </row>
    <row r="7700" spans="2:11" ht="14" hidden="1">
      <c r="B7700" s="1342"/>
      <c r="C7700" s="1342"/>
      <c r="D7700" s="1342"/>
      <c r="E7700" s="1342"/>
      <c r="F7700" s="1342"/>
      <c r="G7700" s="1342"/>
      <c r="H7700" s="1342"/>
      <c r="I7700" s="1342"/>
      <c r="J7700" s="1342"/>
      <c r="K7700" s="1342"/>
    </row>
    <row r="7701" spans="2:11" ht="14" hidden="1">
      <c r="B7701" s="1342"/>
      <c r="C7701" s="1342"/>
      <c r="D7701" s="1342"/>
      <c r="E7701" s="1342"/>
      <c r="F7701" s="1342"/>
      <c r="G7701" s="1342"/>
      <c r="H7701" s="1342"/>
      <c r="I7701" s="1342"/>
      <c r="J7701" s="1342"/>
      <c r="K7701" s="1342"/>
    </row>
    <row r="7702" spans="2:11" ht="14" hidden="1">
      <c r="B7702" s="1342"/>
      <c r="C7702" s="1342"/>
      <c r="D7702" s="1342"/>
      <c r="E7702" s="1342"/>
      <c r="F7702" s="1342"/>
      <c r="G7702" s="1342"/>
      <c r="H7702" s="1342"/>
      <c r="I7702" s="1342"/>
      <c r="J7702" s="1342"/>
      <c r="K7702" s="1342"/>
    </row>
    <row r="7703" spans="2:11" ht="14" hidden="1">
      <c r="B7703" s="1342"/>
      <c r="C7703" s="1342"/>
      <c r="D7703" s="1342"/>
      <c r="E7703" s="1342"/>
      <c r="F7703" s="1342"/>
      <c r="G7703" s="1342"/>
      <c r="H7703" s="1342"/>
      <c r="I7703" s="1342"/>
      <c r="J7703" s="1342"/>
      <c r="K7703" s="1342"/>
    </row>
    <row r="7704" spans="2:11" ht="14" hidden="1">
      <c r="B7704" s="1342"/>
      <c r="C7704" s="1342"/>
      <c r="D7704" s="1342"/>
      <c r="E7704" s="1342"/>
      <c r="F7704" s="1342"/>
      <c r="G7704" s="1342"/>
      <c r="H7704" s="1342"/>
      <c r="I7704" s="1342"/>
      <c r="J7704" s="1342"/>
      <c r="K7704" s="1342"/>
    </row>
    <row r="7705" spans="2:11" ht="14" hidden="1">
      <c r="B7705" s="1342"/>
      <c r="C7705" s="1342"/>
      <c r="D7705" s="1342"/>
      <c r="E7705" s="1342"/>
      <c r="F7705" s="1342"/>
      <c r="G7705" s="1342"/>
      <c r="H7705" s="1342"/>
      <c r="I7705" s="1342"/>
      <c r="J7705" s="1342"/>
      <c r="K7705" s="1342"/>
    </row>
    <row r="7706" spans="2:11" ht="14" hidden="1">
      <c r="B7706" s="1342"/>
      <c r="C7706" s="1342"/>
      <c r="D7706" s="1342"/>
      <c r="E7706" s="1342"/>
      <c r="F7706" s="1342"/>
      <c r="G7706" s="1342"/>
      <c r="H7706" s="1342"/>
      <c r="I7706" s="1342"/>
      <c r="J7706" s="1342"/>
      <c r="K7706" s="1342"/>
    </row>
    <row r="7707" spans="2:11" ht="14" hidden="1">
      <c r="B7707" s="1342"/>
      <c r="C7707" s="1342"/>
      <c r="D7707" s="1342"/>
      <c r="E7707" s="1342"/>
      <c r="F7707" s="1342"/>
      <c r="G7707" s="1342"/>
      <c r="H7707" s="1342"/>
      <c r="I7707" s="1342"/>
      <c r="J7707" s="1342"/>
      <c r="K7707" s="1342"/>
    </row>
    <row r="7708" spans="2:11" ht="14" hidden="1">
      <c r="B7708" s="1342"/>
      <c r="C7708" s="1342"/>
      <c r="D7708" s="1342"/>
      <c r="E7708" s="1342"/>
      <c r="F7708" s="1342"/>
      <c r="G7708" s="1342"/>
      <c r="H7708" s="1342"/>
      <c r="I7708" s="1342"/>
      <c r="J7708" s="1342"/>
      <c r="K7708" s="1342"/>
    </row>
    <row r="7709" spans="2:11" ht="14" hidden="1">
      <c r="B7709" s="1342"/>
      <c r="C7709" s="1342"/>
      <c r="D7709" s="1342"/>
      <c r="E7709" s="1342"/>
      <c r="F7709" s="1342"/>
      <c r="G7709" s="1342"/>
      <c r="H7709" s="1342"/>
      <c r="I7709" s="1342"/>
      <c r="J7709" s="1342"/>
      <c r="K7709" s="1342"/>
    </row>
    <row r="7710" spans="2:11" ht="14" hidden="1">
      <c r="B7710" s="1342"/>
      <c r="C7710" s="1342"/>
      <c r="D7710" s="1342"/>
      <c r="E7710" s="1342"/>
      <c r="F7710" s="1342"/>
      <c r="G7710" s="1342"/>
      <c r="H7710" s="1342"/>
      <c r="I7710" s="1342"/>
      <c r="J7710" s="1342"/>
      <c r="K7710" s="1342"/>
    </row>
    <row r="7711" spans="2:11" ht="14" hidden="1">
      <c r="B7711" s="1342"/>
      <c r="C7711" s="1342"/>
      <c r="D7711" s="1342"/>
      <c r="E7711" s="1342"/>
      <c r="F7711" s="1342"/>
      <c r="G7711" s="1342"/>
      <c r="H7711" s="1342"/>
      <c r="I7711" s="1342"/>
      <c r="J7711" s="1342"/>
      <c r="K7711" s="1342"/>
    </row>
    <row r="7712" spans="2:11" ht="14" hidden="1">
      <c r="B7712" s="1342"/>
      <c r="C7712" s="1342"/>
      <c r="D7712" s="1342"/>
      <c r="E7712" s="1342"/>
      <c r="F7712" s="1342"/>
      <c r="G7712" s="1342"/>
      <c r="H7712" s="1342"/>
      <c r="I7712" s="1342"/>
      <c r="J7712" s="1342"/>
      <c r="K7712" s="1342"/>
    </row>
    <row r="7713" spans="2:11" ht="14" hidden="1">
      <c r="B7713" s="1342"/>
      <c r="C7713" s="1342"/>
      <c r="D7713" s="1342"/>
      <c r="E7713" s="1342"/>
      <c r="F7713" s="1342"/>
      <c r="G7713" s="1342"/>
      <c r="H7713" s="1342"/>
      <c r="I7713" s="1342"/>
      <c r="J7713" s="1342"/>
      <c r="K7713" s="1342"/>
    </row>
    <row r="7714" spans="2:11" ht="14" hidden="1">
      <c r="B7714" s="1342"/>
      <c r="C7714" s="1342"/>
      <c r="D7714" s="1342"/>
      <c r="E7714" s="1342"/>
      <c r="F7714" s="1342"/>
      <c r="G7714" s="1342"/>
      <c r="H7714" s="1342"/>
      <c r="I7714" s="1342"/>
      <c r="J7714" s="1342"/>
      <c r="K7714" s="1342"/>
    </row>
    <row r="7715" spans="2:11" ht="14" hidden="1">
      <c r="B7715" s="1342"/>
      <c r="C7715" s="1342"/>
      <c r="D7715" s="1342"/>
      <c r="E7715" s="1342"/>
      <c r="F7715" s="1342"/>
      <c r="G7715" s="1342"/>
      <c r="H7715" s="1342"/>
      <c r="I7715" s="1342"/>
      <c r="J7715" s="1342"/>
      <c r="K7715" s="1342"/>
    </row>
    <row r="7716" spans="2:11" ht="14" hidden="1">
      <c r="B7716" s="1342"/>
      <c r="C7716" s="1342"/>
      <c r="D7716" s="1342"/>
      <c r="E7716" s="1342"/>
      <c r="F7716" s="1342"/>
      <c r="G7716" s="1342"/>
      <c r="H7716" s="1342"/>
      <c r="I7716" s="1342"/>
      <c r="J7716" s="1342"/>
      <c r="K7716" s="1342"/>
    </row>
    <row r="7717" spans="2:11" ht="14" hidden="1">
      <c r="B7717" s="1342"/>
      <c r="C7717" s="1342"/>
      <c r="D7717" s="1342"/>
      <c r="E7717" s="1342"/>
      <c r="F7717" s="1342"/>
      <c r="G7717" s="1342"/>
      <c r="H7717" s="1342"/>
      <c r="I7717" s="1342"/>
      <c r="J7717" s="1342"/>
      <c r="K7717" s="1342"/>
    </row>
    <row r="7718" spans="2:11" ht="14" hidden="1">
      <c r="B7718" s="1342"/>
      <c r="C7718" s="1342"/>
      <c r="D7718" s="1342"/>
      <c r="E7718" s="1342"/>
      <c r="F7718" s="1342"/>
      <c r="G7718" s="1342"/>
      <c r="H7718" s="1342"/>
      <c r="I7718" s="1342"/>
      <c r="J7718" s="1342"/>
      <c r="K7718" s="1342"/>
    </row>
    <row r="7719" spans="2:11" ht="14" hidden="1">
      <c r="B7719" s="1342"/>
      <c r="C7719" s="1342"/>
      <c r="D7719" s="1342"/>
      <c r="E7719" s="1342"/>
      <c r="F7719" s="1342"/>
      <c r="G7719" s="1342"/>
      <c r="H7719" s="1342"/>
      <c r="I7719" s="1342"/>
      <c r="J7719" s="1342"/>
      <c r="K7719" s="1342"/>
    </row>
    <row r="7720" spans="2:11" ht="14" hidden="1">
      <c r="B7720" s="1342"/>
      <c r="C7720" s="1342"/>
      <c r="D7720" s="1342"/>
      <c r="E7720" s="1342"/>
      <c r="F7720" s="1342"/>
      <c r="G7720" s="1342"/>
      <c r="H7720" s="1342"/>
      <c r="I7720" s="1342"/>
      <c r="J7720" s="1342"/>
      <c r="K7720" s="1342"/>
    </row>
    <row r="7721" spans="2:11" ht="14" hidden="1">
      <c r="B7721" s="1342"/>
      <c r="C7721" s="1342"/>
      <c r="D7721" s="1342"/>
      <c r="E7721" s="1342"/>
      <c r="F7721" s="1342"/>
      <c r="G7721" s="1342"/>
      <c r="H7721" s="1342"/>
      <c r="I7721" s="1342"/>
      <c r="J7721" s="1342"/>
      <c r="K7721" s="1342"/>
    </row>
    <row r="7722" spans="2:11" ht="14" hidden="1">
      <c r="B7722" s="1342"/>
      <c r="C7722" s="1342"/>
      <c r="D7722" s="1342"/>
      <c r="E7722" s="1342"/>
      <c r="F7722" s="1342"/>
      <c r="G7722" s="1342"/>
      <c r="H7722" s="1342"/>
      <c r="I7722" s="1342"/>
      <c r="J7722" s="1342"/>
      <c r="K7722" s="1342"/>
    </row>
    <row r="7723" spans="2:11" ht="14" hidden="1">
      <c r="B7723" s="1342"/>
      <c r="C7723" s="1342"/>
      <c r="D7723" s="1342"/>
      <c r="E7723" s="1342"/>
      <c r="F7723" s="1342"/>
      <c r="G7723" s="1342"/>
      <c r="H7723" s="1342"/>
      <c r="I7723" s="1342"/>
      <c r="J7723" s="1342"/>
      <c r="K7723" s="1342"/>
    </row>
    <row r="7724" spans="2:11" ht="14" hidden="1">
      <c r="B7724" s="1342"/>
      <c r="C7724" s="1342"/>
      <c r="D7724" s="1342"/>
      <c r="E7724" s="1342"/>
      <c r="F7724" s="1342"/>
      <c r="G7724" s="1342"/>
      <c r="H7724" s="1342"/>
      <c r="I7724" s="1342"/>
      <c r="J7724" s="1342"/>
      <c r="K7724" s="1342"/>
    </row>
    <row r="7725" spans="2:11" ht="14" hidden="1">
      <c r="B7725" s="1342"/>
      <c r="C7725" s="1342"/>
      <c r="D7725" s="1342"/>
      <c r="E7725" s="1342"/>
      <c r="F7725" s="1342"/>
      <c r="G7725" s="1342"/>
      <c r="H7725" s="1342"/>
      <c r="I7725" s="1342"/>
      <c r="J7725" s="1342"/>
      <c r="K7725" s="1342"/>
    </row>
    <row r="7726" spans="2:11" ht="14" hidden="1">
      <c r="B7726" s="1342"/>
      <c r="C7726" s="1342"/>
      <c r="D7726" s="1342"/>
      <c r="E7726" s="1342"/>
      <c r="F7726" s="1342"/>
      <c r="G7726" s="1342"/>
      <c r="H7726" s="1342"/>
      <c r="I7726" s="1342"/>
      <c r="J7726" s="1342"/>
      <c r="K7726" s="1342"/>
    </row>
    <row r="7727" spans="2:11" ht="14" hidden="1">
      <c r="B7727" s="1342"/>
      <c r="C7727" s="1342"/>
      <c r="D7727" s="1342"/>
      <c r="E7727" s="1342"/>
      <c r="F7727" s="1342"/>
      <c r="G7727" s="1342"/>
      <c r="H7727" s="1342"/>
      <c r="I7727" s="1342"/>
      <c r="J7727" s="1342"/>
      <c r="K7727" s="1342"/>
    </row>
    <row r="7728" spans="2:11" ht="14" hidden="1">
      <c r="B7728" s="1342"/>
      <c r="C7728" s="1342"/>
      <c r="D7728" s="1342"/>
      <c r="E7728" s="1342"/>
      <c r="F7728" s="1342"/>
      <c r="G7728" s="1342"/>
      <c r="H7728" s="1342"/>
      <c r="I7728" s="1342"/>
      <c r="J7728" s="1342"/>
      <c r="K7728" s="1342"/>
    </row>
    <row r="7729" spans="2:11" ht="14" hidden="1">
      <c r="B7729" s="1342"/>
      <c r="C7729" s="1342"/>
      <c r="D7729" s="1342"/>
      <c r="E7729" s="1342"/>
      <c r="F7729" s="1342"/>
      <c r="G7729" s="1342"/>
      <c r="H7729" s="1342"/>
      <c r="I7729" s="1342"/>
      <c r="J7729" s="1342"/>
      <c r="K7729" s="1342"/>
    </row>
    <row r="7730" spans="2:11" ht="14" hidden="1">
      <c r="B7730" s="1342"/>
      <c r="C7730" s="1342"/>
      <c r="D7730" s="1342"/>
      <c r="E7730" s="1342"/>
      <c r="F7730" s="1342"/>
      <c r="G7730" s="1342"/>
      <c r="H7730" s="1342"/>
      <c r="I7730" s="1342"/>
      <c r="J7730" s="1342"/>
      <c r="K7730" s="1342"/>
    </row>
    <row r="7731" spans="2:11" ht="14" hidden="1">
      <c r="B7731" s="1342"/>
      <c r="C7731" s="1342"/>
      <c r="D7731" s="1342"/>
      <c r="E7731" s="1342"/>
      <c r="F7731" s="1342"/>
      <c r="G7731" s="1342"/>
      <c r="H7731" s="1342"/>
      <c r="I7731" s="1342"/>
      <c r="J7731" s="1342"/>
      <c r="K7731" s="1342"/>
    </row>
    <row r="7732" spans="2:11" ht="14" hidden="1">
      <c r="B7732" s="1342"/>
      <c r="C7732" s="1342"/>
      <c r="D7732" s="1342"/>
      <c r="E7732" s="1342"/>
      <c r="F7732" s="1342"/>
      <c r="G7732" s="1342"/>
      <c r="H7732" s="1342"/>
      <c r="I7732" s="1342"/>
      <c r="J7732" s="1342"/>
      <c r="K7732" s="1342"/>
    </row>
    <row r="7733" spans="2:11" ht="14" hidden="1">
      <c r="B7733" s="1342"/>
      <c r="C7733" s="1342"/>
      <c r="D7733" s="1342"/>
      <c r="E7733" s="1342"/>
      <c r="F7733" s="1342"/>
      <c r="G7733" s="1342"/>
      <c r="H7733" s="1342"/>
      <c r="I7733" s="1342"/>
      <c r="J7733" s="1342"/>
      <c r="K7733" s="1342"/>
    </row>
    <row r="7734" spans="2:11" ht="14" hidden="1">
      <c r="B7734" s="1342"/>
      <c r="C7734" s="1342"/>
      <c r="D7734" s="1342"/>
      <c r="E7734" s="1342"/>
      <c r="F7734" s="1342"/>
      <c r="G7734" s="1342"/>
      <c r="H7734" s="1342"/>
      <c r="I7734" s="1342"/>
      <c r="J7734" s="1342"/>
      <c r="K7734" s="1342"/>
    </row>
    <row r="7735" spans="2:11" ht="14" hidden="1">
      <c r="B7735" s="1342"/>
      <c r="C7735" s="1342"/>
      <c r="D7735" s="1342"/>
      <c r="E7735" s="1342"/>
      <c r="F7735" s="1342"/>
      <c r="G7735" s="1342"/>
      <c r="H7735" s="1342"/>
      <c r="I7735" s="1342"/>
      <c r="J7735" s="1342"/>
      <c r="K7735" s="1342"/>
    </row>
    <row r="7736" spans="2:11" ht="14" hidden="1">
      <c r="B7736" s="1342"/>
      <c r="C7736" s="1342"/>
      <c r="D7736" s="1342"/>
      <c r="E7736" s="1342"/>
      <c r="F7736" s="1342"/>
      <c r="G7736" s="1342"/>
      <c r="H7736" s="1342"/>
      <c r="I7736" s="1342"/>
      <c r="J7736" s="1342"/>
      <c r="K7736" s="1342"/>
    </row>
    <row r="7737" spans="2:11" ht="14" hidden="1">
      <c r="B7737" s="1342"/>
      <c r="C7737" s="1342"/>
      <c r="D7737" s="1342"/>
      <c r="E7737" s="1342"/>
      <c r="F7737" s="1342"/>
      <c r="G7737" s="1342"/>
      <c r="H7737" s="1342"/>
      <c r="I7737" s="1342"/>
      <c r="J7737" s="1342"/>
      <c r="K7737" s="1342"/>
    </row>
    <row r="7738" spans="2:11" ht="14" hidden="1">
      <c r="B7738" s="1342"/>
      <c r="C7738" s="1342"/>
      <c r="D7738" s="1342"/>
      <c r="E7738" s="1342"/>
      <c r="F7738" s="1342"/>
      <c r="G7738" s="1342"/>
      <c r="H7738" s="1342"/>
      <c r="I7738" s="1342"/>
      <c r="J7738" s="1342"/>
      <c r="K7738" s="1342"/>
    </row>
    <row r="7739" spans="2:11" ht="14" hidden="1">
      <c r="B7739" s="1342"/>
      <c r="C7739" s="1342"/>
      <c r="D7739" s="1342"/>
      <c r="E7739" s="1342"/>
      <c r="F7739" s="1342"/>
      <c r="G7739" s="1342"/>
      <c r="H7739" s="1342"/>
      <c r="I7739" s="1342"/>
      <c r="J7739" s="1342"/>
      <c r="K7739" s="1342"/>
    </row>
    <row r="7740" spans="2:11" ht="14" hidden="1">
      <c r="B7740" s="1342"/>
      <c r="C7740" s="1342"/>
      <c r="D7740" s="1342"/>
      <c r="E7740" s="1342"/>
      <c r="F7740" s="1342"/>
      <c r="G7740" s="1342"/>
      <c r="H7740" s="1342"/>
      <c r="I7740" s="1342"/>
      <c r="J7740" s="1342"/>
      <c r="K7740" s="1342"/>
    </row>
    <row r="7741" spans="2:11" ht="14" hidden="1">
      <c r="B7741" s="1342"/>
      <c r="C7741" s="1342"/>
      <c r="D7741" s="1342"/>
      <c r="E7741" s="1342"/>
      <c r="F7741" s="1342"/>
      <c r="G7741" s="1342"/>
      <c r="H7741" s="1342"/>
      <c r="I7741" s="1342"/>
      <c r="J7741" s="1342"/>
      <c r="K7741" s="1342"/>
    </row>
    <row r="7742" spans="2:11" ht="14" hidden="1">
      <c r="B7742" s="1342"/>
      <c r="C7742" s="1342"/>
      <c r="D7742" s="1342"/>
      <c r="E7742" s="1342"/>
      <c r="F7742" s="1342"/>
      <c r="G7742" s="1342"/>
      <c r="H7742" s="1342"/>
      <c r="I7742" s="1342"/>
      <c r="J7742" s="1342"/>
      <c r="K7742" s="1342"/>
    </row>
    <row r="7743" spans="2:11" ht="14" hidden="1">
      <c r="B7743" s="1342"/>
      <c r="C7743" s="1342"/>
      <c r="D7743" s="1342"/>
      <c r="E7743" s="1342"/>
      <c r="F7743" s="1342"/>
      <c r="G7743" s="1342"/>
      <c r="H7743" s="1342"/>
      <c r="I7743" s="1342"/>
      <c r="J7743" s="1342"/>
      <c r="K7743" s="1342"/>
    </row>
    <row r="7744" spans="2:11" ht="14" hidden="1">
      <c r="B7744" s="1342"/>
      <c r="C7744" s="1342"/>
      <c r="D7744" s="1342"/>
      <c r="E7744" s="1342"/>
      <c r="F7744" s="1342"/>
      <c r="G7744" s="1342"/>
      <c r="H7744" s="1342"/>
      <c r="I7744" s="1342"/>
      <c r="J7744" s="1342"/>
      <c r="K7744" s="1342"/>
    </row>
    <row r="7745" spans="2:11" ht="14" hidden="1">
      <c r="B7745" s="1342"/>
      <c r="C7745" s="1342"/>
      <c r="D7745" s="1342"/>
      <c r="E7745" s="1342"/>
      <c r="F7745" s="1342"/>
      <c r="G7745" s="1342"/>
      <c r="H7745" s="1342"/>
      <c r="I7745" s="1342"/>
      <c r="J7745" s="1342"/>
      <c r="K7745" s="1342"/>
    </row>
    <row r="7746" spans="2:11" ht="14" hidden="1">
      <c r="B7746" s="1342"/>
      <c r="C7746" s="1342"/>
      <c r="D7746" s="1342"/>
      <c r="E7746" s="1342"/>
      <c r="F7746" s="1342"/>
      <c r="G7746" s="1342"/>
      <c r="H7746" s="1342"/>
      <c r="I7746" s="1342"/>
      <c r="J7746" s="1342"/>
      <c r="K7746" s="1342"/>
    </row>
    <row r="7747" spans="2:11" ht="14" hidden="1">
      <c r="B7747" s="1342"/>
      <c r="C7747" s="1342"/>
      <c r="D7747" s="1342"/>
      <c r="E7747" s="1342"/>
      <c r="F7747" s="1342"/>
      <c r="G7747" s="1342"/>
      <c r="H7747" s="1342"/>
      <c r="I7747" s="1342"/>
      <c r="J7747" s="1342"/>
      <c r="K7747" s="1342"/>
    </row>
    <row r="7748" spans="2:11" ht="14" hidden="1">
      <c r="B7748" s="1342"/>
      <c r="C7748" s="1342"/>
      <c r="D7748" s="1342"/>
      <c r="E7748" s="1342"/>
      <c r="F7748" s="1342"/>
      <c r="G7748" s="1342"/>
      <c r="H7748" s="1342"/>
      <c r="I7748" s="1342"/>
      <c r="J7748" s="1342"/>
      <c r="K7748" s="1342"/>
    </row>
    <row r="7749" spans="2:11" ht="14" hidden="1">
      <c r="B7749" s="1342"/>
      <c r="C7749" s="1342"/>
      <c r="D7749" s="1342"/>
      <c r="E7749" s="1342"/>
      <c r="F7749" s="1342"/>
      <c r="G7749" s="1342"/>
      <c r="H7749" s="1342"/>
      <c r="I7749" s="1342"/>
      <c r="J7749" s="1342"/>
      <c r="K7749" s="1342"/>
    </row>
    <row r="7750" spans="2:11" ht="14" hidden="1">
      <c r="B7750" s="1342"/>
      <c r="C7750" s="1342"/>
      <c r="D7750" s="1342"/>
      <c r="E7750" s="1342"/>
      <c r="F7750" s="1342"/>
      <c r="G7750" s="1342"/>
      <c r="H7750" s="1342"/>
      <c r="I7750" s="1342"/>
      <c r="J7750" s="1342"/>
      <c r="K7750" s="1342"/>
    </row>
    <row r="7751" spans="2:11" ht="14" hidden="1">
      <c r="B7751" s="1342"/>
      <c r="C7751" s="1342"/>
      <c r="D7751" s="1342"/>
      <c r="E7751" s="1342"/>
      <c r="F7751" s="1342"/>
      <c r="G7751" s="1342"/>
      <c r="H7751" s="1342"/>
      <c r="I7751" s="1342"/>
      <c r="J7751" s="1342"/>
      <c r="K7751" s="1342"/>
    </row>
    <row r="7752" spans="2:11" ht="14" hidden="1">
      <c r="B7752" s="1342"/>
      <c r="C7752" s="1342"/>
      <c r="D7752" s="1342"/>
      <c r="E7752" s="1342"/>
      <c r="F7752" s="1342"/>
      <c r="G7752" s="1342"/>
      <c r="H7752" s="1342"/>
      <c r="I7752" s="1342"/>
      <c r="J7752" s="1342"/>
      <c r="K7752" s="1342"/>
    </row>
    <row r="7753" spans="2:11" ht="14" hidden="1">
      <c r="B7753" s="1342"/>
      <c r="C7753" s="1342"/>
      <c r="D7753" s="1342"/>
      <c r="E7753" s="1342"/>
      <c r="F7753" s="1342"/>
      <c r="G7753" s="1342"/>
      <c r="H7753" s="1342"/>
      <c r="I7753" s="1342"/>
      <c r="J7753" s="1342"/>
      <c r="K7753" s="1342"/>
    </row>
    <row r="7754" spans="2:11" ht="14" hidden="1">
      <c r="B7754" s="1342"/>
      <c r="C7754" s="1342"/>
      <c r="D7754" s="1342"/>
      <c r="E7754" s="1342"/>
      <c r="F7754" s="1342"/>
      <c r="G7754" s="1342"/>
      <c r="H7754" s="1342"/>
      <c r="I7754" s="1342"/>
      <c r="J7754" s="1342"/>
      <c r="K7754" s="1342"/>
    </row>
    <row r="7755" spans="2:11" ht="14" hidden="1">
      <c r="B7755" s="1342"/>
      <c r="C7755" s="1342"/>
      <c r="D7755" s="1342"/>
      <c r="E7755" s="1342"/>
      <c r="F7755" s="1342"/>
      <c r="G7755" s="1342"/>
      <c r="H7755" s="1342"/>
      <c r="I7755" s="1342"/>
      <c r="J7755" s="1342"/>
      <c r="K7755" s="1342"/>
    </row>
    <row r="7756" spans="2:11" ht="14" hidden="1">
      <c r="B7756" s="1342"/>
      <c r="C7756" s="1342"/>
      <c r="D7756" s="1342"/>
      <c r="E7756" s="1342"/>
      <c r="F7756" s="1342"/>
      <c r="G7756" s="1342"/>
      <c r="H7756" s="1342"/>
      <c r="I7756" s="1342"/>
      <c r="J7756" s="1342"/>
      <c r="K7756" s="1342"/>
    </row>
    <row r="7757" spans="2:11" ht="14" hidden="1">
      <c r="B7757" s="1342"/>
      <c r="C7757" s="1342"/>
      <c r="D7757" s="1342"/>
      <c r="E7757" s="1342"/>
      <c r="F7757" s="1342"/>
      <c r="G7757" s="1342"/>
      <c r="H7757" s="1342"/>
      <c r="I7757" s="1342"/>
      <c r="J7757" s="1342"/>
      <c r="K7757" s="1342"/>
    </row>
    <row r="7758" spans="2:11" ht="14" hidden="1">
      <c r="B7758" s="1342"/>
      <c r="C7758" s="1342"/>
      <c r="D7758" s="1342"/>
      <c r="E7758" s="1342"/>
      <c r="F7758" s="1342"/>
      <c r="G7758" s="1342"/>
      <c r="H7758" s="1342"/>
      <c r="I7758" s="1342"/>
      <c r="J7758" s="1342"/>
      <c r="K7758" s="1342"/>
    </row>
    <row r="7759" spans="2:11" ht="14" hidden="1">
      <c r="B7759" s="1342"/>
      <c r="C7759" s="1342"/>
      <c r="D7759" s="1342"/>
      <c r="E7759" s="1342"/>
      <c r="F7759" s="1342"/>
      <c r="G7759" s="1342"/>
      <c r="H7759" s="1342"/>
      <c r="I7759" s="1342"/>
      <c r="J7759" s="1342"/>
      <c r="K7759" s="1342"/>
    </row>
    <row r="7760" spans="2:11" ht="14" hidden="1">
      <c r="B7760" s="1342"/>
      <c r="C7760" s="1342"/>
      <c r="D7760" s="1342"/>
      <c r="E7760" s="1342"/>
      <c r="F7760" s="1342"/>
      <c r="G7760" s="1342"/>
      <c r="H7760" s="1342"/>
      <c r="I7760" s="1342"/>
      <c r="J7760" s="1342"/>
      <c r="K7760" s="1342"/>
    </row>
    <row r="7761" spans="2:11" ht="14" hidden="1">
      <c r="B7761" s="1342"/>
      <c r="C7761" s="1342"/>
      <c r="D7761" s="1342"/>
      <c r="E7761" s="1342"/>
      <c r="F7761" s="1342"/>
      <c r="G7761" s="1342"/>
      <c r="H7761" s="1342"/>
      <c r="I7761" s="1342"/>
      <c r="J7761" s="1342"/>
      <c r="K7761" s="1342"/>
    </row>
    <row r="7762" spans="2:11" ht="14" hidden="1">
      <c r="B7762" s="1342"/>
      <c r="C7762" s="1342"/>
      <c r="D7762" s="1342"/>
      <c r="E7762" s="1342"/>
      <c r="F7762" s="1342"/>
      <c r="G7762" s="1342"/>
      <c r="H7762" s="1342"/>
      <c r="I7762" s="1342"/>
      <c r="J7762" s="1342"/>
      <c r="K7762" s="1342"/>
    </row>
    <row r="7763" spans="2:11" ht="14" hidden="1">
      <c r="B7763" s="1342"/>
      <c r="C7763" s="1342"/>
      <c r="D7763" s="1342"/>
      <c r="E7763" s="1342"/>
      <c r="F7763" s="1342"/>
      <c r="G7763" s="1342"/>
      <c r="H7763" s="1342"/>
      <c r="I7763" s="1342"/>
      <c r="J7763" s="1342"/>
      <c r="K7763" s="1342"/>
    </row>
    <row r="7764" spans="2:11" ht="14" hidden="1">
      <c r="B7764" s="1342"/>
      <c r="C7764" s="1342"/>
      <c r="D7764" s="1342"/>
      <c r="E7764" s="1342"/>
      <c r="F7764" s="1342"/>
      <c r="G7764" s="1342"/>
      <c r="H7764" s="1342"/>
      <c r="I7764" s="1342"/>
      <c r="J7764" s="1342"/>
      <c r="K7764" s="1342"/>
    </row>
    <row r="7765" spans="2:11" ht="14" hidden="1">
      <c r="B7765" s="1342"/>
      <c r="C7765" s="1342"/>
      <c r="D7765" s="1342"/>
      <c r="E7765" s="1342"/>
      <c r="F7765" s="1342"/>
      <c r="G7765" s="1342"/>
      <c r="H7765" s="1342"/>
      <c r="I7765" s="1342"/>
      <c r="J7765" s="1342"/>
      <c r="K7765" s="1342"/>
    </row>
    <row r="7766" spans="2:11" ht="14" hidden="1">
      <c r="B7766" s="1342"/>
      <c r="C7766" s="1342"/>
      <c r="D7766" s="1342"/>
      <c r="E7766" s="1342"/>
      <c r="F7766" s="1342"/>
      <c r="G7766" s="1342"/>
      <c r="H7766" s="1342"/>
      <c r="I7766" s="1342"/>
      <c r="J7766" s="1342"/>
      <c r="K7766" s="1342"/>
    </row>
    <row r="7767" spans="2:11" ht="14" hidden="1">
      <c r="B7767" s="1342"/>
      <c r="C7767" s="1342"/>
      <c r="D7767" s="1342"/>
      <c r="E7767" s="1342"/>
      <c r="F7767" s="1342"/>
      <c r="G7767" s="1342"/>
      <c r="H7767" s="1342"/>
      <c r="I7767" s="1342"/>
      <c r="J7767" s="1342"/>
      <c r="K7767" s="1342"/>
    </row>
    <row r="7768" spans="2:11" ht="14" hidden="1">
      <c r="B7768" s="1342"/>
      <c r="C7768" s="1342"/>
      <c r="D7768" s="1342"/>
      <c r="E7768" s="1342"/>
      <c r="F7768" s="1342"/>
      <c r="G7768" s="1342"/>
      <c r="H7768" s="1342"/>
      <c r="I7768" s="1342"/>
      <c r="J7768" s="1342"/>
      <c r="K7768" s="1342"/>
    </row>
    <row r="7769" spans="2:11" ht="14" hidden="1">
      <c r="B7769" s="1342"/>
      <c r="C7769" s="1342"/>
      <c r="D7769" s="1342"/>
      <c r="E7769" s="1342"/>
      <c r="F7769" s="1342"/>
      <c r="G7769" s="1342"/>
      <c r="H7769" s="1342"/>
      <c r="I7769" s="1342"/>
      <c r="J7769" s="1342"/>
      <c r="K7769" s="1342"/>
    </row>
    <row r="7770" spans="2:11" ht="14" hidden="1">
      <c r="B7770" s="1342"/>
      <c r="C7770" s="1342"/>
      <c r="D7770" s="1342"/>
      <c r="E7770" s="1342"/>
      <c r="F7770" s="1342"/>
      <c r="G7770" s="1342"/>
      <c r="H7770" s="1342"/>
      <c r="I7770" s="1342"/>
      <c r="J7770" s="1342"/>
      <c r="K7770" s="1342"/>
    </row>
    <row r="7771" spans="2:11" ht="14" hidden="1">
      <c r="B7771" s="1342"/>
      <c r="C7771" s="1342"/>
      <c r="D7771" s="1342"/>
      <c r="E7771" s="1342"/>
      <c r="F7771" s="1342"/>
      <c r="G7771" s="1342"/>
      <c r="H7771" s="1342"/>
      <c r="I7771" s="1342"/>
      <c r="J7771" s="1342"/>
      <c r="K7771" s="1342"/>
    </row>
    <row r="7772" spans="2:11" ht="14" hidden="1">
      <c r="B7772" s="1342"/>
      <c r="C7772" s="1342"/>
      <c r="D7772" s="1342"/>
      <c r="E7772" s="1342"/>
      <c r="F7772" s="1342"/>
      <c r="G7772" s="1342"/>
      <c r="H7772" s="1342"/>
      <c r="I7772" s="1342"/>
      <c r="J7772" s="1342"/>
      <c r="K7772" s="1342"/>
    </row>
    <row r="7773" spans="2:11" ht="14" hidden="1">
      <c r="B7773" s="1342"/>
      <c r="C7773" s="1342"/>
      <c r="D7773" s="1342"/>
      <c r="E7773" s="1342"/>
      <c r="F7773" s="1342"/>
      <c r="G7773" s="1342"/>
      <c r="H7773" s="1342"/>
      <c r="I7773" s="1342"/>
      <c r="J7773" s="1342"/>
      <c r="K7773" s="1342"/>
    </row>
    <row r="7774" spans="2:11" ht="14" hidden="1">
      <c r="B7774" s="1342"/>
      <c r="C7774" s="1342"/>
      <c r="D7774" s="1342"/>
      <c r="E7774" s="1342"/>
      <c r="F7774" s="1342"/>
      <c r="G7774" s="1342"/>
      <c r="H7774" s="1342"/>
      <c r="I7774" s="1342"/>
      <c r="J7774" s="1342"/>
      <c r="K7774" s="1342"/>
    </row>
    <row r="7775" spans="2:11" ht="14" hidden="1">
      <c r="B7775" s="1342"/>
      <c r="C7775" s="1342"/>
      <c r="D7775" s="1342"/>
      <c r="E7775" s="1342"/>
      <c r="F7775" s="1342"/>
      <c r="G7775" s="1342"/>
      <c r="H7775" s="1342"/>
      <c r="I7775" s="1342"/>
      <c r="J7775" s="1342"/>
      <c r="K7775" s="1342"/>
    </row>
    <row r="7776" spans="2:11" ht="14" hidden="1">
      <c r="B7776" s="1342"/>
      <c r="C7776" s="1342"/>
      <c r="D7776" s="1342"/>
      <c r="E7776" s="1342"/>
      <c r="F7776" s="1342"/>
      <c r="G7776" s="1342"/>
      <c r="H7776" s="1342"/>
      <c r="I7776" s="1342"/>
      <c r="J7776" s="1342"/>
      <c r="K7776" s="1342"/>
    </row>
    <row r="7777" spans="2:11" ht="14" hidden="1">
      <c r="B7777" s="1342"/>
      <c r="C7777" s="1342"/>
      <c r="D7777" s="1342"/>
      <c r="E7777" s="1342"/>
      <c r="F7777" s="1342"/>
      <c r="G7777" s="1342"/>
      <c r="H7777" s="1342"/>
      <c r="I7777" s="1342"/>
      <c r="J7777" s="1342"/>
      <c r="K7777" s="1342"/>
    </row>
    <row r="7778" spans="2:11" ht="14" hidden="1">
      <c r="B7778" s="1342"/>
      <c r="C7778" s="1342"/>
      <c r="D7778" s="1342"/>
      <c r="E7778" s="1342"/>
      <c r="F7778" s="1342"/>
      <c r="G7778" s="1342"/>
      <c r="H7778" s="1342"/>
      <c r="I7778" s="1342"/>
      <c r="J7778" s="1342"/>
      <c r="K7778" s="1342"/>
    </row>
    <row r="7779" spans="2:11" ht="14" hidden="1">
      <c r="B7779" s="1342"/>
      <c r="C7779" s="1342"/>
      <c r="D7779" s="1342"/>
      <c r="E7779" s="1342"/>
      <c r="F7779" s="1342"/>
      <c r="G7779" s="1342"/>
      <c r="H7779" s="1342"/>
      <c r="I7779" s="1342"/>
      <c r="J7779" s="1342"/>
      <c r="K7779" s="1342"/>
    </row>
    <row r="7780" spans="2:11" ht="14" hidden="1">
      <c r="B7780" s="1342"/>
      <c r="C7780" s="1342"/>
      <c r="D7780" s="1342"/>
      <c r="E7780" s="1342"/>
      <c r="F7780" s="1342"/>
      <c r="G7780" s="1342"/>
      <c r="H7780" s="1342"/>
      <c r="I7780" s="1342"/>
      <c r="J7780" s="1342"/>
      <c r="K7780" s="1342"/>
    </row>
    <row r="7781" spans="2:11" ht="14" hidden="1">
      <c r="B7781" s="1342"/>
      <c r="C7781" s="1342"/>
      <c r="D7781" s="1342"/>
      <c r="E7781" s="1342"/>
      <c r="F7781" s="1342"/>
      <c r="G7781" s="1342"/>
      <c r="H7781" s="1342"/>
      <c r="I7781" s="1342"/>
      <c r="J7781" s="1342"/>
      <c r="K7781" s="1342"/>
    </row>
    <row r="7782" spans="2:11" ht="14" hidden="1">
      <c r="B7782" s="1342"/>
      <c r="C7782" s="1342"/>
      <c r="D7782" s="1342"/>
      <c r="E7782" s="1342"/>
      <c r="F7782" s="1342"/>
      <c r="G7782" s="1342"/>
      <c r="H7782" s="1342"/>
      <c r="I7782" s="1342"/>
      <c r="J7782" s="1342"/>
      <c r="K7782" s="1342"/>
    </row>
    <row r="7783" spans="2:11" ht="14" hidden="1">
      <c r="B7783" s="1342"/>
      <c r="C7783" s="1342"/>
      <c r="D7783" s="1342"/>
      <c r="E7783" s="1342"/>
      <c r="F7783" s="1342"/>
      <c r="G7783" s="1342"/>
      <c r="H7783" s="1342"/>
      <c r="I7783" s="1342"/>
      <c r="J7783" s="1342"/>
      <c r="K7783" s="1342"/>
    </row>
    <row r="7784" spans="2:11" ht="14" hidden="1">
      <c r="B7784" s="1342"/>
      <c r="C7784" s="1342"/>
      <c r="D7784" s="1342"/>
      <c r="E7784" s="1342"/>
      <c r="F7784" s="1342"/>
      <c r="G7784" s="1342"/>
      <c r="H7784" s="1342"/>
      <c r="I7784" s="1342"/>
      <c r="J7784" s="1342"/>
      <c r="K7784" s="1342"/>
    </row>
    <row r="7785" spans="2:11" ht="14" hidden="1">
      <c r="B7785" s="1342"/>
      <c r="C7785" s="1342"/>
      <c r="D7785" s="1342"/>
      <c r="E7785" s="1342"/>
      <c r="F7785" s="1342"/>
      <c r="G7785" s="1342"/>
      <c r="H7785" s="1342"/>
      <c r="I7785" s="1342"/>
      <c r="J7785" s="1342"/>
      <c r="K7785" s="1342"/>
    </row>
    <row r="7786" spans="2:11" ht="14" hidden="1">
      <c r="B7786" s="1342"/>
      <c r="C7786" s="1342"/>
      <c r="D7786" s="1342"/>
      <c r="E7786" s="1342"/>
      <c r="F7786" s="1342"/>
      <c r="G7786" s="1342"/>
      <c r="H7786" s="1342"/>
      <c r="I7786" s="1342"/>
      <c r="J7786" s="1342"/>
      <c r="K7786" s="1342"/>
    </row>
    <row r="7787" spans="2:11" ht="14" hidden="1">
      <c r="B7787" s="1342"/>
      <c r="C7787" s="1342"/>
      <c r="D7787" s="1342"/>
      <c r="E7787" s="1342"/>
      <c r="F7787" s="1342"/>
      <c r="G7787" s="1342"/>
      <c r="H7787" s="1342"/>
      <c r="I7787" s="1342"/>
      <c r="J7787" s="1342"/>
      <c r="K7787" s="1342"/>
    </row>
    <row r="7788" spans="2:11" ht="14" hidden="1">
      <c r="B7788" s="1342"/>
      <c r="C7788" s="1342"/>
      <c r="D7788" s="1342"/>
      <c r="E7788" s="1342"/>
      <c r="F7788" s="1342"/>
      <c r="G7788" s="1342"/>
      <c r="H7788" s="1342"/>
      <c r="I7788" s="1342"/>
      <c r="J7788" s="1342"/>
      <c r="K7788" s="1342"/>
    </row>
    <row r="7789" spans="2:11" ht="14" hidden="1">
      <c r="B7789" s="1342"/>
      <c r="C7789" s="1342"/>
      <c r="D7789" s="1342"/>
      <c r="E7789" s="1342"/>
      <c r="F7789" s="1342"/>
      <c r="G7789" s="1342"/>
      <c r="H7789" s="1342"/>
      <c r="I7789" s="1342"/>
      <c r="J7789" s="1342"/>
      <c r="K7789" s="1342"/>
    </row>
    <row r="7790" spans="2:11" ht="14" hidden="1">
      <c r="B7790" s="1342"/>
      <c r="C7790" s="1342"/>
      <c r="D7790" s="1342"/>
      <c r="E7790" s="1342"/>
      <c r="F7790" s="1342"/>
      <c r="G7790" s="1342"/>
      <c r="H7790" s="1342"/>
      <c r="I7790" s="1342"/>
      <c r="J7790" s="1342"/>
      <c r="K7790" s="1342"/>
    </row>
    <row r="7791" spans="2:11" ht="14" hidden="1">
      <c r="B7791" s="1342"/>
      <c r="C7791" s="1342"/>
      <c r="D7791" s="1342"/>
      <c r="E7791" s="1342"/>
      <c r="F7791" s="1342"/>
      <c r="G7791" s="1342"/>
      <c r="H7791" s="1342"/>
      <c r="I7791" s="1342"/>
      <c r="J7791" s="1342"/>
      <c r="K7791" s="1342"/>
    </row>
    <row r="7792" spans="2:11" ht="14" hidden="1">
      <c r="B7792" s="1342"/>
      <c r="C7792" s="1342"/>
      <c r="D7792" s="1342"/>
      <c r="E7792" s="1342"/>
      <c r="F7792" s="1342"/>
      <c r="G7792" s="1342"/>
      <c r="H7792" s="1342"/>
      <c r="I7792" s="1342"/>
      <c r="J7792" s="1342"/>
      <c r="K7792" s="1342"/>
    </row>
    <row r="7793" spans="2:11" ht="14" hidden="1">
      <c r="B7793" s="1342"/>
      <c r="C7793" s="1342"/>
      <c r="D7793" s="1342"/>
      <c r="E7793" s="1342"/>
      <c r="F7793" s="1342"/>
      <c r="G7793" s="1342"/>
      <c r="H7793" s="1342"/>
      <c r="I7793" s="1342"/>
      <c r="J7793" s="1342"/>
      <c r="K7793" s="1342"/>
    </row>
    <row r="7794" spans="2:11" ht="14" hidden="1">
      <c r="B7794" s="1342"/>
      <c r="C7794" s="1342"/>
      <c r="D7794" s="1342"/>
      <c r="E7794" s="1342"/>
      <c r="F7794" s="1342"/>
      <c r="G7794" s="1342"/>
      <c r="H7794" s="1342"/>
      <c r="I7794" s="1342"/>
      <c r="J7794" s="1342"/>
      <c r="K7794" s="1342"/>
    </row>
    <row r="7795" spans="2:11" ht="14" hidden="1">
      <c r="B7795" s="1342"/>
      <c r="C7795" s="1342"/>
      <c r="D7795" s="1342"/>
      <c r="E7795" s="1342"/>
      <c r="F7795" s="1342"/>
      <c r="G7795" s="1342"/>
      <c r="H7795" s="1342"/>
      <c r="I7795" s="1342"/>
      <c r="J7795" s="1342"/>
      <c r="K7795" s="1342"/>
    </row>
    <row r="7796" spans="2:11" ht="14" hidden="1">
      <c r="B7796" s="1342"/>
      <c r="C7796" s="1342"/>
      <c r="D7796" s="1342"/>
      <c r="E7796" s="1342"/>
      <c r="F7796" s="1342"/>
      <c r="G7796" s="1342"/>
      <c r="H7796" s="1342"/>
      <c r="I7796" s="1342"/>
      <c r="J7796" s="1342"/>
      <c r="K7796" s="1342"/>
    </row>
    <row r="7797" spans="2:11" ht="14" hidden="1">
      <c r="B7797" s="1342"/>
      <c r="C7797" s="1342"/>
      <c r="D7797" s="1342"/>
      <c r="E7797" s="1342"/>
      <c r="F7797" s="1342"/>
      <c r="G7797" s="1342"/>
      <c r="H7797" s="1342"/>
      <c r="I7797" s="1342"/>
      <c r="J7797" s="1342"/>
      <c r="K7797" s="1342"/>
    </row>
    <row r="7798" spans="2:11" ht="14" hidden="1">
      <c r="B7798" s="1342"/>
      <c r="C7798" s="1342"/>
      <c r="D7798" s="1342"/>
      <c r="E7798" s="1342"/>
      <c r="F7798" s="1342"/>
      <c r="G7798" s="1342"/>
      <c r="H7798" s="1342"/>
      <c r="I7798" s="1342"/>
      <c r="J7798" s="1342"/>
      <c r="K7798" s="1342"/>
    </row>
    <row r="7799" spans="2:11" ht="14" hidden="1">
      <c r="B7799" s="1342"/>
      <c r="C7799" s="1342"/>
      <c r="D7799" s="1342"/>
      <c r="E7799" s="1342"/>
      <c r="F7799" s="1342"/>
      <c r="G7799" s="1342"/>
      <c r="H7799" s="1342"/>
      <c r="I7799" s="1342"/>
      <c r="J7799" s="1342"/>
      <c r="K7799" s="1342"/>
    </row>
    <row r="7800" spans="2:11" ht="14" hidden="1">
      <c r="B7800" s="1342"/>
      <c r="C7800" s="1342"/>
      <c r="D7800" s="1342"/>
      <c r="E7800" s="1342"/>
      <c r="F7800" s="1342"/>
      <c r="G7800" s="1342"/>
      <c r="H7800" s="1342"/>
      <c r="I7800" s="1342"/>
      <c r="J7800" s="1342"/>
      <c r="K7800" s="1342"/>
    </row>
    <row r="7801" spans="2:11" ht="14" hidden="1">
      <c r="B7801" s="1342"/>
      <c r="C7801" s="1342"/>
      <c r="D7801" s="1342"/>
      <c r="E7801" s="1342"/>
      <c r="F7801" s="1342"/>
      <c r="G7801" s="1342"/>
      <c r="H7801" s="1342"/>
      <c r="I7801" s="1342"/>
      <c r="J7801" s="1342"/>
      <c r="K7801" s="1342"/>
    </row>
    <row r="7802" spans="2:11" ht="14" hidden="1">
      <c r="B7802" s="1342"/>
      <c r="C7802" s="1342"/>
      <c r="D7802" s="1342"/>
      <c r="E7802" s="1342"/>
      <c r="F7802" s="1342"/>
      <c r="G7802" s="1342"/>
      <c r="H7802" s="1342"/>
      <c r="I7802" s="1342"/>
      <c r="J7802" s="1342"/>
      <c r="K7802" s="1342"/>
    </row>
    <row r="7803" spans="2:11" ht="14" hidden="1">
      <c r="B7803" s="1342"/>
      <c r="C7803" s="1342"/>
      <c r="D7803" s="1342"/>
      <c r="E7803" s="1342"/>
      <c r="F7803" s="1342"/>
      <c r="G7803" s="1342"/>
      <c r="H7803" s="1342"/>
      <c r="I7803" s="1342"/>
      <c r="J7803" s="1342"/>
      <c r="K7803" s="1342"/>
    </row>
    <row r="7804" spans="2:11" ht="14" hidden="1">
      <c r="B7804" s="1342"/>
      <c r="C7804" s="1342"/>
      <c r="D7804" s="1342"/>
      <c r="E7804" s="1342"/>
      <c r="F7804" s="1342"/>
      <c r="G7804" s="1342"/>
      <c r="H7804" s="1342"/>
      <c r="I7804" s="1342"/>
      <c r="J7804" s="1342"/>
      <c r="K7804" s="1342"/>
    </row>
    <row r="7805" spans="2:11" ht="14" hidden="1">
      <c r="B7805" s="1342"/>
      <c r="C7805" s="1342"/>
      <c r="D7805" s="1342"/>
      <c r="E7805" s="1342"/>
      <c r="F7805" s="1342"/>
      <c r="G7805" s="1342"/>
      <c r="H7805" s="1342"/>
      <c r="I7805" s="1342"/>
      <c r="J7805" s="1342"/>
      <c r="K7805" s="1342"/>
    </row>
    <row r="7806" spans="2:11" ht="14" hidden="1">
      <c r="B7806" s="1342"/>
      <c r="C7806" s="1342"/>
      <c r="D7806" s="1342"/>
      <c r="E7806" s="1342"/>
      <c r="F7806" s="1342"/>
      <c r="G7806" s="1342"/>
      <c r="H7806" s="1342"/>
      <c r="I7806" s="1342"/>
      <c r="J7806" s="1342"/>
      <c r="K7806" s="1342"/>
    </row>
    <row r="7807" spans="2:11" ht="14" hidden="1">
      <c r="B7807" s="1342"/>
      <c r="C7807" s="1342"/>
      <c r="D7807" s="1342"/>
      <c r="E7807" s="1342"/>
      <c r="F7807" s="1342"/>
      <c r="G7807" s="1342"/>
      <c r="H7807" s="1342"/>
      <c r="I7807" s="1342"/>
      <c r="J7807" s="1342"/>
      <c r="K7807" s="1342"/>
    </row>
    <row r="7808" spans="2:11" ht="14" hidden="1">
      <c r="B7808" s="1342"/>
      <c r="C7808" s="1342"/>
      <c r="D7808" s="1342"/>
      <c r="E7808" s="1342"/>
      <c r="F7808" s="1342"/>
      <c r="G7808" s="1342"/>
      <c r="H7808" s="1342"/>
      <c r="I7808" s="1342"/>
      <c r="J7808" s="1342"/>
      <c r="K7808" s="1342"/>
    </row>
    <row r="7809" spans="2:11" ht="14" hidden="1">
      <c r="B7809" s="1342"/>
      <c r="C7809" s="1342"/>
      <c r="D7809" s="1342"/>
      <c r="E7809" s="1342"/>
      <c r="F7809" s="1342"/>
      <c r="G7809" s="1342"/>
      <c r="H7809" s="1342"/>
      <c r="I7809" s="1342"/>
      <c r="J7809" s="1342"/>
      <c r="K7809" s="1342"/>
    </row>
    <row r="7810" spans="2:11" ht="14" hidden="1">
      <c r="B7810" s="1342"/>
      <c r="C7810" s="1342"/>
      <c r="D7810" s="1342"/>
      <c r="E7810" s="1342"/>
      <c r="F7810" s="1342"/>
      <c r="G7810" s="1342"/>
      <c r="H7810" s="1342"/>
      <c r="I7810" s="1342"/>
      <c r="J7810" s="1342"/>
      <c r="K7810" s="1342"/>
    </row>
    <row r="7811" spans="2:11" ht="14" hidden="1">
      <c r="B7811" s="1342"/>
      <c r="C7811" s="1342"/>
      <c r="D7811" s="1342"/>
      <c r="E7811" s="1342"/>
      <c r="F7811" s="1342"/>
      <c r="G7811" s="1342"/>
      <c r="H7811" s="1342"/>
      <c r="I7811" s="1342"/>
      <c r="J7811" s="1342"/>
      <c r="K7811" s="1342"/>
    </row>
    <row r="7812" spans="2:11" ht="14" hidden="1">
      <c r="B7812" s="1342"/>
      <c r="C7812" s="1342"/>
      <c r="D7812" s="1342"/>
      <c r="E7812" s="1342"/>
      <c r="F7812" s="1342"/>
      <c r="G7812" s="1342"/>
      <c r="H7812" s="1342"/>
      <c r="I7812" s="1342"/>
      <c r="J7812" s="1342"/>
      <c r="K7812" s="1342"/>
    </row>
    <row r="7813" spans="2:11" ht="14" hidden="1">
      <c r="B7813" s="1342"/>
      <c r="C7813" s="1342"/>
      <c r="D7813" s="1342"/>
      <c r="E7813" s="1342"/>
      <c r="F7813" s="1342"/>
      <c r="G7813" s="1342"/>
      <c r="H7813" s="1342"/>
      <c r="I7813" s="1342"/>
      <c r="J7813" s="1342"/>
      <c r="K7813" s="1342"/>
    </row>
    <row r="7814" spans="2:11" ht="14" hidden="1">
      <c r="B7814" s="1342"/>
      <c r="C7814" s="1342"/>
      <c r="D7814" s="1342"/>
      <c r="E7814" s="1342"/>
      <c r="F7814" s="1342"/>
      <c r="G7814" s="1342"/>
      <c r="H7814" s="1342"/>
      <c r="I7814" s="1342"/>
      <c r="J7814" s="1342"/>
      <c r="K7814" s="1342"/>
    </row>
    <row r="7815" spans="2:11" ht="14" hidden="1">
      <c r="B7815" s="1342"/>
      <c r="C7815" s="1342"/>
      <c r="D7815" s="1342"/>
      <c r="E7815" s="1342"/>
      <c r="F7815" s="1342"/>
      <c r="G7815" s="1342"/>
      <c r="H7815" s="1342"/>
      <c r="I7815" s="1342"/>
      <c r="J7815" s="1342"/>
      <c r="K7815" s="1342"/>
    </row>
    <row r="7816" spans="2:11" ht="14" hidden="1">
      <c r="B7816" s="1342"/>
      <c r="C7816" s="1342"/>
      <c r="D7816" s="1342"/>
      <c r="E7816" s="1342"/>
      <c r="F7816" s="1342"/>
      <c r="G7816" s="1342"/>
      <c r="H7816" s="1342"/>
      <c r="I7816" s="1342"/>
      <c r="J7816" s="1342"/>
      <c r="K7816" s="1342"/>
    </row>
    <row r="7817" spans="2:11" ht="14" hidden="1">
      <c r="B7817" s="1342"/>
      <c r="C7817" s="1342"/>
      <c r="D7817" s="1342"/>
      <c r="E7817" s="1342"/>
      <c r="F7817" s="1342"/>
      <c r="G7817" s="1342"/>
      <c r="H7817" s="1342"/>
      <c r="I7817" s="1342"/>
      <c r="J7817" s="1342"/>
      <c r="K7817" s="1342"/>
    </row>
    <row r="7818" spans="2:11" ht="14" hidden="1">
      <c r="B7818" s="1342"/>
      <c r="C7818" s="1342"/>
      <c r="D7818" s="1342"/>
      <c r="E7818" s="1342"/>
      <c r="F7818" s="1342"/>
      <c r="G7818" s="1342"/>
      <c r="H7818" s="1342"/>
      <c r="I7818" s="1342"/>
      <c r="J7818" s="1342"/>
      <c r="K7818" s="1342"/>
    </row>
    <row r="7819" spans="2:11" ht="14" hidden="1">
      <c r="B7819" s="1342"/>
      <c r="C7819" s="1342"/>
      <c r="D7819" s="1342"/>
      <c r="E7819" s="1342"/>
      <c r="F7819" s="1342"/>
      <c r="G7819" s="1342"/>
      <c r="H7819" s="1342"/>
      <c r="I7819" s="1342"/>
      <c r="J7819" s="1342"/>
      <c r="K7819" s="1342"/>
    </row>
    <row r="7820" spans="2:11" ht="14" hidden="1">
      <c r="B7820" s="1342"/>
      <c r="C7820" s="1342"/>
      <c r="D7820" s="1342"/>
      <c r="E7820" s="1342"/>
      <c r="F7820" s="1342"/>
      <c r="G7820" s="1342"/>
      <c r="H7820" s="1342"/>
      <c r="I7820" s="1342"/>
      <c r="J7820" s="1342"/>
      <c r="K7820" s="1342"/>
    </row>
    <row r="7821" spans="2:11" ht="14" hidden="1">
      <c r="B7821" s="1342"/>
      <c r="C7821" s="1342"/>
      <c r="D7821" s="1342"/>
      <c r="E7821" s="1342"/>
      <c r="F7821" s="1342"/>
      <c r="G7821" s="1342"/>
      <c r="H7821" s="1342"/>
      <c r="I7821" s="1342"/>
      <c r="J7821" s="1342"/>
      <c r="K7821" s="1342"/>
    </row>
    <row r="7822" spans="2:11" ht="14" hidden="1">
      <c r="B7822" s="1342"/>
      <c r="C7822" s="1342"/>
      <c r="D7822" s="1342"/>
      <c r="E7822" s="1342"/>
      <c r="F7822" s="1342"/>
      <c r="G7822" s="1342"/>
      <c r="H7822" s="1342"/>
      <c r="I7822" s="1342"/>
      <c r="J7822" s="1342"/>
      <c r="K7822" s="1342"/>
    </row>
    <row r="7823" spans="2:11" ht="14" hidden="1">
      <c r="B7823" s="1342"/>
      <c r="C7823" s="1342"/>
      <c r="D7823" s="1342"/>
      <c r="E7823" s="1342"/>
      <c r="F7823" s="1342"/>
      <c r="G7823" s="1342"/>
      <c r="H7823" s="1342"/>
      <c r="I7823" s="1342"/>
      <c r="J7823" s="1342"/>
      <c r="K7823" s="1342"/>
    </row>
    <row r="7824" spans="2:11" ht="14" hidden="1">
      <c r="B7824" s="1342"/>
      <c r="C7824" s="1342"/>
      <c r="D7824" s="1342"/>
      <c r="E7824" s="1342"/>
      <c r="F7824" s="1342"/>
      <c r="G7824" s="1342"/>
      <c r="H7824" s="1342"/>
      <c r="I7824" s="1342"/>
      <c r="J7824" s="1342"/>
      <c r="K7824" s="1342"/>
    </row>
    <row r="7825" spans="2:11" ht="14" hidden="1">
      <c r="B7825" s="1342"/>
      <c r="C7825" s="1342"/>
      <c r="D7825" s="1342"/>
      <c r="E7825" s="1342"/>
      <c r="F7825" s="1342"/>
      <c r="G7825" s="1342"/>
      <c r="H7825" s="1342"/>
      <c r="I7825" s="1342"/>
      <c r="J7825" s="1342"/>
      <c r="K7825" s="1342"/>
    </row>
    <row r="7826" spans="2:11" ht="14" hidden="1">
      <c r="B7826" s="1342"/>
      <c r="C7826" s="1342"/>
      <c r="D7826" s="1342"/>
      <c r="E7826" s="1342"/>
      <c r="F7826" s="1342"/>
      <c r="G7826" s="1342"/>
      <c r="H7826" s="1342"/>
      <c r="I7826" s="1342"/>
      <c r="J7826" s="1342"/>
      <c r="K7826" s="1342"/>
    </row>
    <row r="7827" spans="2:11" ht="14" hidden="1">
      <c r="B7827" s="1342"/>
      <c r="C7827" s="1342"/>
      <c r="D7827" s="1342"/>
      <c r="E7827" s="1342"/>
      <c r="F7827" s="1342"/>
      <c r="G7827" s="1342"/>
      <c r="H7827" s="1342"/>
      <c r="I7827" s="1342"/>
      <c r="J7827" s="1342"/>
      <c r="K7827" s="1342"/>
    </row>
    <row r="7828" spans="2:11" ht="14" hidden="1">
      <c r="B7828" s="1342"/>
      <c r="C7828" s="1342"/>
      <c r="D7828" s="1342"/>
      <c r="E7828" s="1342"/>
      <c r="F7828" s="1342"/>
      <c r="G7828" s="1342"/>
      <c r="H7828" s="1342"/>
      <c r="I7828" s="1342"/>
      <c r="J7828" s="1342"/>
      <c r="K7828" s="1342"/>
    </row>
    <row r="7829" spans="2:11" ht="14" hidden="1">
      <c r="B7829" s="1342"/>
      <c r="C7829" s="1342"/>
      <c r="D7829" s="1342"/>
      <c r="E7829" s="1342"/>
      <c r="F7829" s="1342"/>
      <c r="G7829" s="1342"/>
      <c r="H7829" s="1342"/>
      <c r="I7829" s="1342"/>
      <c r="J7829" s="1342"/>
      <c r="K7829" s="1342"/>
    </row>
    <row r="7830" spans="2:11" ht="14" hidden="1">
      <c r="B7830" s="1342"/>
      <c r="C7830" s="1342"/>
      <c r="D7830" s="1342"/>
      <c r="E7830" s="1342"/>
      <c r="F7830" s="1342"/>
      <c r="G7830" s="1342"/>
      <c r="H7830" s="1342"/>
      <c r="I7830" s="1342"/>
      <c r="J7830" s="1342"/>
      <c r="K7830" s="1342"/>
    </row>
    <row r="7831" spans="2:11" ht="14" hidden="1">
      <c r="B7831" s="1342"/>
      <c r="C7831" s="1342"/>
      <c r="D7831" s="1342"/>
      <c r="E7831" s="1342"/>
      <c r="F7831" s="1342"/>
      <c r="G7831" s="1342"/>
      <c r="H7831" s="1342"/>
      <c r="I7831" s="1342"/>
      <c r="J7831" s="1342"/>
      <c r="K7831" s="1342"/>
    </row>
    <row r="7832" spans="2:11" ht="14" hidden="1">
      <c r="B7832" s="1342"/>
      <c r="C7832" s="1342"/>
      <c r="D7832" s="1342"/>
      <c r="E7832" s="1342"/>
      <c r="F7832" s="1342"/>
      <c r="G7832" s="1342"/>
      <c r="H7832" s="1342"/>
      <c r="I7832" s="1342"/>
      <c r="J7832" s="1342"/>
      <c r="K7832" s="1342"/>
    </row>
    <row r="7833" spans="2:11" ht="14" hidden="1">
      <c r="B7833" s="1342"/>
      <c r="C7833" s="1342"/>
      <c r="D7833" s="1342"/>
      <c r="E7833" s="1342"/>
      <c r="F7833" s="1342"/>
      <c r="G7833" s="1342"/>
      <c r="H7833" s="1342"/>
      <c r="I7833" s="1342"/>
      <c r="J7833" s="1342"/>
      <c r="K7833" s="1342"/>
    </row>
    <row r="7834" spans="2:11" ht="14" hidden="1">
      <c r="B7834" s="1342"/>
      <c r="C7834" s="1342"/>
      <c r="D7834" s="1342"/>
      <c r="E7834" s="1342"/>
      <c r="F7834" s="1342"/>
      <c r="G7834" s="1342"/>
      <c r="H7834" s="1342"/>
      <c r="I7834" s="1342"/>
      <c r="J7834" s="1342"/>
      <c r="K7834" s="1342"/>
    </row>
    <row r="7835" spans="2:11" ht="14" hidden="1">
      <c r="B7835" s="1342"/>
      <c r="C7835" s="1342"/>
      <c r="D7835" s="1342"/>
      <c r="E7835" s="1342"/>
      <c r="F7835" s="1342"/>
      <c r="G7835" s="1342"/>
      <c r="H7835" s="1342"/>
      <c r="I7835" s="1342"/>
      <c r="J7835" s="1342"/>
      <c r="K7835" s="1342"/>
    </row>
    <row r="7836" spans="2:11" ht="14" hidden="1">
      <c r="B7836" s="1342"/>
      <c r="C7836" s="1342"/>
      <c r="D7836" s="1342"/>
      <c r="E7836" s="1342"/>
      <c r="F7836" s="1342"/>
      <c r="G7836" s="1342"/>
      <c r="H7836" s="1342"/>
      <c r="I7836" s="1342"/>
      <c r="J7836" s="1342"/>
      <c r="K7836" s="1342"/>
    </row>
    <row r="7837" spans="2:11" ht="14" hidden="1">
      <c r="B7837" s="1342"/>
      <c r="C7837" s="1342"/>
      <c r="D7837" s="1342"/>
      <c r="E7837" s="1342"/>
      <c r="F7837" s="1342"/>
      <c r="G7837" s="1342"/>
      <c r="H7837" s="1342"/>
      <c r="I7837" s="1342"/>
      <c r="J7837" s="1342"/>
      <c r="K7837" s="1342"/>
    </row>
    <row r="7838" spans="2:11" ht="14" hidden="1">
      <c r="B7838" s="1342"/>
      <c r="C7838" s="1342"/>
      <c r="D7838" s="1342"/>
      <c r="E7838" s="1342"/>
      <c r="F7838" s="1342"/>
      <c r="G7838" s="1342"/>
      <c r="H7838" s="1342"/>
      <c r="I7838" s="1342"/>
      <c r="J7838" s="1342"/>
      <c r="K7838" s="1342"/>
    </row>
    <row r="7839" spans="2:11" ht="14" hidden="1">
      <c r="B7839" s="1342"/>
      <c r="C7839" s="1342"/>
      <c r="D7839" s="1342"/>
      <c r="E7839" s="1342"/>
      <c r="F7839" s="1342"/>
      <c r="G7839" s="1342"/>
      <c r="H7839" s="1342"/>
      <c r="I7839" s="1342"/>
      <c r="J7839" s="1342"/>
      <c r="K7839" s="1342"/>
    </row>
    <row r="7840" spans="2:11" ht="14" hidden="1">
      <c r="B7840" s="1342"/>
      <c r="C7840" s="1342"/>
      <c r="D7840" s="1342"/>
      <c r="E7840" s="1342"/>
      <c r="F7840" s="1342"/>
      <c r="G7840" s="1342"/>
      <c r="H7840" s="1342"/>
      <c r="I7840" s="1342"/>
      <c r="J7840" s="1342"/>
      <c r="K7840" s="1342"/>
    </row>
    <row r="7841" spans="2:11" ht="14" hidden="1">
      <c r="B7841" s="1342"/>
      <c r="C7841" s="1342"/>
      <c r="D7841" s="1342"/>
      <c r="E7841" s="1342"/>
      <c r="F7841" s="1342"/>
      <c r="G7841" s="1342"/>
      <c r="H7841" s="1342"/>
      <c r="I7841" s="1342"/>
      <c r="J7841" s="1342"/>
      <c r="K7841" s="1342"/>
    </row>
    <row r="7842" spans="2:11" ht="14" hidden="1">
      <c r="B7842" s="1342"/>
      <c r="C7842" s="1342"/>
      <c r="D7842" s="1342"/>
      <c r="E7842" s="1342"/>
      <c r="F7842" s="1342"/>
      <c r="G7842" s="1342"/>
      <c r="H7842" s="1342"/>
      <c r="I7842" s="1342"/>
      <c r="J7842" s="1342"/>
      <c r="K7842" s="1342"/>
    </row>
    <row r="7843" spans="2:11" ht="14" hidden="1">
      <c r="B7843" s="1342"/>
      <c r="C7843" s="1342"/>
      <c r="D7843" s="1342"/>
      <c r="E7843" s="1342"/>
      <c r="F7843" s="1342"/>
      <c r="G7843" s="1342"/>
      <c r="H7843" s="1342"/>
      <c r="I7843" s="1342"/>
      <c r="J7843" s="1342"/>
      <c r="K7843" s="1342"/>
    </row>
    <row r="7844" spans="2:11" ht="14" hidden="1">
      <c r="B7844" s="1342"/>
      <c r="C7844" s="1342"/>
      <c r="D7844" s="1342"/>
      <c r="E7844" s="1342"/>
      <c r="F7844" s="1342"/>
      <c r="G7844" s="1342"/>
      <c r="H7844" s="1342"/>
      <c r="I7844" s="1342"/>
      <c r="J7844" s="1342"/>
      <c r="K7844" s="1342"/>
    </row>
    <row r="7845" spans="2:11" ht="14" hidden="1">
      <c r="B7845" s="1342"/>
      <c r="C7845" s="1342"/>
      <c r="D7845" s="1342"/>
      <c r="E7845" s="1342"/>
      <c r="F7845" s="1342"/>
      <c r="G7845" s="1342"/>
      <c r="H7845" s="1342"/>
      <c r="I7845" s="1342"/>
      <c r="J7845" s="1342"/>
      <c r="K7845" s="1342"/>
    </row>
    <row r="7846" spans="2:11" ht="14" hidden="1">
      <c r="B7846" s="1342"/>
      <c r="C7846" s="1342"/>
      <c r="D7846" s="1342"/>
      <c r="E7846" s="1342"/>
      <c r="F7846" s="1342"/>
      <c r="G7846" s="1342"/>
      <c r="H7846" s="1342"/>
      <c r="I7846" s="1342"/>
      <c r="J7846" s="1342"/>
      <c r="K7846" s="1342"/>
    </row>
    <row r="7847" spans="2:11" ht="14" hidden="1">
      <c r="B7847" s="1342"/>
      <c r="C7847" s="1342"/>
      <c r="D7847" s="1342"/>
      <c r="E7847" s="1342"/>
      <c r="F7847" s="1342"/>
      <c r="G7847" s="1342"/>
      <c r="H7847" s="1342"/>
      <c r="I7847" s="1342"/>
      <c r="J7847" s="1342"/>
      <c r="K7847" s="1342"/>
    </row>
    <row r="7848" spans="2:11" ht="14" hidden="1">
      <c r="B7848" s="1342"/>
      <c r="C7848" s="1342"/>
      <c r="D7848" s="1342"/>
      <c r="E7848" s="1342"/>
      <c r="F7848" s="1342"/>
      <c r="G7848" s="1342"/>
      <c r="H7848" s="1342"/>
      <c r="I7848" s="1342"/>
      <c r="J7848" s="1342"/>
      <c r="K7848" s="1342"/>
    </row>
    <row r="7849" spans="2:11" ht="14" hidden="1">
      <c r="B7849" s="1342"/>
      <c r="C7849" s="1342"/>
      <c r="D7849" s="1342"/>
      <c r="E7849" s="1342"/>
      <c r="F7849" s="1342"/>
      <c r="G7849" s="1342"/>
      <c r="H7849" s="1342"/>
      <c r="I7849" s="1342"/>
      <c r="J7849" s="1342"/>
      <c r="K7849" s="1342"/>
    </row>
    <row r="7850" spans="2:11" ht="14" hidden="1">
      <c r="B7850" s="1342"/>
      <c r="C7850" s="1342"/>
      <c r="D7850" s="1342"/>
      <c r="E7850" s="1342"/>
      <c r="F7850" s="1342"/>
      <c r="G7850" s="1342"/>
      <c r="H7850" s="1342"/>
      <c r="I7850" s="1342"/>
      <c r="J7850" s="1342"/>
      <c r="K7850" s="1342"/>
    </row>
    <row r="7851" spans="2:11" ht="14" hidden="1">
      <c r="B7851" s="1342"/>
      <c r="C7851" s="1342"/>
      <c r="D7851" s="1342"/>
      <c r="E7851" s="1342"/>
      <c r="F7851" s="1342"/>
      <c r="G7851" s="1342"/>
      <c r="H7851" s="1342"/>
      <c r="I7851" s="1342"/>
      <c r="J7851" s="1342"/>
      <c r="K7851" s="1342"/>
    </row>
    <row r="7852" spans="2:11" ht="14" hidden="1">
      <c r="B7852" s="1342"/>
      <c r="C7852" s="1342"/>
      <c r="D7852" s="1342"/>
      <c r="E7852" s="1342"/>
      <c r="F7852" s="1342"/>
      <c r="G7852" s="1342"/>
      <c r="H7852" s="1342"/>
      <c r="I7852" s="1342"/>
      <c r="J7852" s="1342"/>
      <c r="K7852" s="1342"/>
    </row>
    <row r="7853" spans="2:11" ht="14" hidden="1">
      <c r="B7853" s="1342"/>
      <c r="C7853" s="1342"/>
      <c r="D7853" s="1342"/>
      <c r="E7853" s="1342"/>
      <c r="F7853" s="1342"/>
      <c r="G7853" s="1342"/>
      <c r="H7853" s="1342"/>
      <c r="I7853" s="1342"/>
      <c r="J7853" s="1342"/>
      <c r="K7853" s="1342"/>
    </row>
    <row r="7854" spans="2:11" ht="14" hidden="1">
      <c r="B7854" s="1342"/>
      <c r="C7854" s="1342"/>
      <c r="D7854" s="1342"/>
      <c r="E7854" s="1342"/>
      <c r="F7854" s="1342"/>
      <c r="G7854" s="1342"/>
      <c r="H7854" s="1342"/>
      <c r="I7854" s="1342"/>
      <c r="J7854" s="1342"/>
      <c r="K7854" s="1342"/>
    </row>
    <row r="7855" spans="2:11" ht="14" hidden="1">
      <c r="B7855" s="1342"/>
      <c r="C7855" s="1342"/>
      <c r="D7855" s="1342"/>
      <c r="E7855" s="1342"/>
      <c r="F7855" s="1342"/>
      <c r="G7855" s="1342"/>
      <c r="H7855" s="1342"/>
      <c r="I7855" s="1342"/>
      <c r="J7855" s="1342"/>
      <c r="K7855" s="1342"/>
    </row>
    <row r="7856" spans="2:11" ht="14" hidden="1">
      <c r="B7856" s="1342"/>
      <c r="C7856" s="1342"/>
      <c r="D7856" s="1342"/>
      <c r="E7856" s="1342"/>
      <c r="F7856" s="1342"/>
      <c r="G7856" s="1342"/>
      <c r="H7856" s="1342"/>
      <c r="I7856" s="1342"/>
      <c r="J7856" s="1342"/>
      <c r="K7856" s="1342"/>
    </row>
    <row r="7857" spans="2:11" ht="14" hidden="1">
      <c r="B7857" s="1342"/>
      <c r="C7857" s="1342"/>
      <c r="D7857" s="1342"/>
      <c r="E7857" s="1342"/>
      <c r="F7857" s="1342"/>
      <c r="G7857" s="1342"/>
      <c r="H7857" s="1342"/>
      <c r="I7857" s="1342"/>
      <c r="J7857" s="1342"/>
      <c r="K7857" s="1342"/>
    </row>
    <row r="7858" spans="2:11" ht="14" hidden="1">
      <c r="B7858" s="1342"/>
      <c r="C7858" s="1342"/>
      <c r="D7858" s="1342"/>
      <c r="E7858" s="1342"/>
      <c r="F7858" s="1342"/>
      <c r="G7858" s="1342"/>
      <c r="H7858" s="1342"/>
      <c r="I7858" s="1342"/>
      <c r="J7858" s="1342"/>
      <c r="K7858" s="1342"/>
    </row>
    <row r="7859" spans="2:11" ht="14" hidden="1">
      <c r="B7859" s="1342"/>
      <c r="C7859" s="1342"/>
      <c r="D7859" s="1342"/>
      <c r="E7859" s="1342"/>
      <c r="F7859" s="1342"/>
      <c r="G7859" s="1342"/>
      <c r="H7859" s="1342"/>
      <c r="I7859" s="1342"/>
      <c r="J7859" s="1342"/>
      <c r="K7859" s="1342"/>
    </row>
    <row r="7860" spans="2:11" ht="14" hidden="1">
      <c r="B7860" s="1342"/>
      <c r="C7860" s="1342"/>
      <c r="D7860" s="1342"/>
      <c r="E7860" s="1342"/>
      <c r="F7860" s="1342"/>
      <c r="G7860" s="1342"/>
      <c r="H7860" s="1342"/>
      <c r="I7860" s="1342"/>
      <c r="J7860" s="1342"/>
      <c r="K7860" s="1342"/>
    </row>
    <row r="7861" spans="2:11" ht="14" hidden="1">
      <c r="B7861" s="1342"/>
      <c r="C7861" s="1342"/>
      <c r="D7861" s="1342"/>
      <c r="E7861" s="1342"/>
      <c r="F7861" s="1342"/>
      <c r="G7861" s="1342"/>
      <c r="H7861" s="1342"/>
      <c r="I7861" s="1342"/>
      <c r="J7861" s="1342"/>
      <c r="K7861" s="1342"/>
    </row>
    <row r="7862" spans="2:11" ht="14" hidden="1">
      <c r="B7862" s="1342"/>
      <c r="C7862" s="1342"/>
      <c r="D7862" s="1342"/>
      <c r="E7862" s="1342"/>
      <c r="F7862" s="1342"/>
      <c r="G7862" s="1342"/>
      <c r="H7862" s="1342"/>
      <c r="I7862" s="1342"/>
      <c r="J7862" s="1342"/>
      <c r="K7862" s="1342"/>
    </row>
    <row r="7863" spans="2:11" ht="14" hidden="1">
      <c r="B7863" s="1342"/>
      <c r="C7863" s="1342"/>
      <c r="D7863" s="1342"/>
      <c r="E7863" s="1342"/>
      <c r="F7863" s="1342"/>
      <c r="G7863" s="1342"/>
      <c r="H7863" s="1342"/>
      <c r="I7863" s="1342"/>
      <c r="J7863" s="1342"/>
      <c r="K7863" s="1342"/>
    </row>
    <row r="7864" spans="2:11" ht="14" hidden="1">
      <c r="B7864" s="1342"/>
      <c r="C7864" s="1342"/>
      <c r="D7864" s="1342"/>
      <c r="E7864" s="1342"/>
      <c r="F7864" s="1342"/>
      <c r="G7864" s="1342"/>
      <c r="H7864" s="1342"/>
      <c r="I7864" s="1342"/>
      <c r="J7864" s="1342"/>
      <c r="K7864" s="1342"/>
    </row>
    <row r="7865" spans="2:11" ht="14" hidden="1">
      <c r="B7865" s="1342"/>
      <c r="C7865" s="1342"/>
      <c r="D7865" s="1342"/>
      <c r="E7865" s="1342"/>
      <c r="F7865" s="1342"/>
      <c r="G7865" s="1342"/>
      <c r="H7865" s="1342"/>
      <c r="I7865" s="1342"/>
      <c r="J7865" s="1342"/>
      <c r="K7865" s="1342"/>
    </row>
    <row r="7866" spans="2:11" ht="14" hidden="1">
      <c r="B7866" s="1342"/>
      <c r="C7866" s="1342"/>
      <c r="D7866" s="1342"/>
      <c r="E7866" s="1342"/>
      <c r="F7866" s="1342"/>
      <c r="G7866" s="1342"/>
      <c r="H7866" s="1342"/>
      <c r="I7866" s="1342"/>
      <c r="J7866" s="1342"/>
      <c r="K7866" s="1342"/>
    </row>
    <row r="7867" spans="2:11" ht="14" hidden="1">
      <c r="B7867" s="1342"/>
      <c r="C7867" s="1342"/>
      <c r="D7867" s="1342"/>
      <c r="E7867" s="1342"/>
      <c r="F7867" s="1342"/>
      <c r="G7867" s="1342"/>
      <c r="H7867" s="1342"/>
      <c r="I7867" s="1342"/>
      <c r="J7867" s="1342"/>
      <c r="K7867" s="1342"/>
    </row>
    <row r="7868" spans="2:11" ht="14" hidden="1">
      <c r="B7868" s="1342"/>
      <c r="C7868" s="1342"/>
      <c r="D7868" s="1342"/>
      <c r="E7868" s="1342"/>
      <c r="F7868" s="1342"/>
      <c r="G7868" s="1342"/>
      <c r="H7868" s="1342"/>
      <c r="I7868" s="1342"/>
      <c r="J7868" s="1342"/>
      <c r="K7868" s="1342"/>
    </row>
    <row r="7869" spans="2:11" ht="14" hidden="1">
      <c r="B7869" s="1342"/>
      <c r="C7869" s="1342"/>
      <c r="D7869" s="1342"/>
      <c r="E7869" s="1342"/>
      <c r="F7869" s="1342"/>
      <c r="G7869" s="1342"/>
      <c r="H7869" s="1342"/>
      <c r="I7869" s="1342"/>
      <c r="J7869" s="1342"/>
      <c r="K7869" s="1342"/>
    </row>
    <row r="7870" spans="2:11" ht="14" hidden="1">
      <c r="B7870" s="1342"/>
      <c r="C7870" s="1342"/>
      <c r="D7870" s="1342"/>
      <c r="E7870" s="1342"/>
      <c r="F7870" s="1342"/>
      <c r="G7870" s="1342"/>
      <c r="H7870" s="1342"/>
      <c r="I7870" s="1342"/>
      <c r="J7870" s="1342"/>
      <c r="K7870" s="1342"/>
    </row>
    <row r="7871" spans="2:11" ht="14" hidden="1">
      <c r="B7871" s="1342"/>
      <c r="C7871" s="1342"/>
      <c r="D7871" s="1342"/>
      <c r="E7871" s="1342"/>
      <c r="F7871" s="1342"/>
      <c r="G7871" s="1342"/>
      <c r="H7871" s="1342"/>
      <c r="I7871" s="1342"/>
      <c r="J7871" s="1342"/>
      <c r="K7871" s="1342"/>
    </row>
    <row r="7872" spans="2:11" ht="14" hidden="1">
      <c r="B7872" s="1342"/>
      <c r="C7872" s="1342"/>
      <c r="D7872" s="1342"/>
      <c r="E7872" s="1342"/>
      <c r="F7872" s="1342"/>
      <c r="G7872" s="1342"/>
      <c r="H7872" s="1342"/>
      <c r="I7872" s="1342"/>
      <c r="J7872" s="1342"/>
      <c r="K7872" s="1342"/>
    </row>
    <row r="7873" spans="2:11" ht="14" hidden="1">
      <c r="B7873" s="1342"/>
      <c r="C7873" s="1342"/>
      <c r="D7873" s="1342"/>
      <c r="E7873" s="1342"/>
      <c r="F7873" s="1342"/>
      <c r="G7873" s="1342"/>
      <c r="H7873" s="1342"/>
      <c r="I7873" s="1342"/>
      <c r="J7873" s="1342"/>
      <c r="K7873" s="1342"/>
    </row>
    <row r="7874" spans="2:11" ht="14" hidden="1">
      <c r="B7874" s="1342"/>
      <c r="C7874" s="1342"/>
      <c r="D7874" s="1342"/>
      <c r="E7874" s="1342"/>
      <c r="F7874" s="1342"/>
      <c r="G7874" s="1342"/>
      <c r="H7874" s="1342"/>
      <c r="I7874" s="1342"/>
      <c r="J7874" s="1342"/>
      <c r="K7874" s="1342"/>
    </row>
    <row r="7875" spans="2:11" ht="14" hidden="1">
      <c r="B7875" s="1342"/>
      <c r="C7875" s="1342"/>
      <c r="D7875" s="1342"/>
      <c r="E7875" s="1342"/>
      <c r="F7875" s="1342"/>
      <c r="G7875" s="1342"/>
      <c r="H7875" s="1342"/>
      <c r="I7875" s="1342"/>
      <c r="J7875" s="1342"/>
      <c r="K7875" s="1342"/>
    </row>
    <row r="7876" spans="2:11" ht="14" hidden="1">
      <c r="B7876" s="1342"/>
      <c r="C7876" s="1342"/>
      <c r="D7876" s="1342"/>
      <c r="E7876" s="1342"/>
      <c r="F7876" s="1342"/>
      <c r="G7876" s="1342"/>
      <c r="H7876" s="1342"/>
      <c r="I7876" s="1342"/>
      <c r="J7876" s="1342"/>
      <c r="K7876" s="1342"/>
    </row>
    <row r="7877" spans="2:11" ht="14" hidden="1">
      <c r="B7877" s="1342"/>
      <c r="C7877" s="1342"/>
      <c r="D7877" s="1342"/>
      <c r="E7877" s="1342"/>
      <c r="F7877" s="1342"/>
      <c r="G7877" s="1342"/>
      <c r="H7877" s="1342"/>
      <c r="I7877" s="1342"/>
      <c r="J7877" s="1342"/>
      <c r="K7877" s="1342"/>
    </row>
    <row r="7878" spans="2:11" ht="14" hidden="1">
      <c r="B7878" s="1342"/>
      <c r="C7878" s="1342"/>
      <c r="D7878" s="1342"/>
      <c r="E7878" s="1342"/>
      <c r="F7878" s="1342"/>
      <c r="G7878" s="1342"/>
      <c r="H7878" s="1342"/>
      <c r="I7878" s="1342"/>
      <c r="J7878" s="1342"/>
      <c r="K7878" s="1342"/>
    </row>
    <row r="7879" spans="2:11" ht="14" hidden="1">
      <c r="B7879" s="1342"/>
      <c r="C7879" s="1342"/>
      <c r="D7879" s="1342"/>
      <c r="E7879" s="1342"/>
      <c r="F7879" s="1342"/>
      <c r="G7879" s="1342"/>
      <c r="H7879" s="1342"/>
      <c r="I7879" s="1342"/>
      <c r="J7879" s="1342"/>
      <c r="K7879" s="1342"/>
    </row>
    <row r="7880" spans="2:11" ht="14" hidden="1">
      <c r="B7880" s="1342"/>
      <c r="C7880" s="1342"/>
      <c r="D7880" s="1342"/>
      <c r="E7880" s="1342"/>
      <c r="F7880" s="1342"/>
      <c r="G7880" s="1342"/>
      <c r="H7880" s="1342"/>
      <c r="I7880" s="1342"/>
      <c r="J7880" s="1342"/>
      <c r="K7880" s="1342"/>
    </row>
    <row r="7881" spans="2:11" ht="14" hidden="1">
      <c r="B7881" s="1342"/>
      <c r="C7881" s="1342"/>
      <c r="D7881" s="1342"/>
      <c r="E7881" s="1342"/>
      <c r="F7881" s="1342"/>
      <c r="G7881" s="1342"/>
      <c r="H7881" s="1342"/>
      <c r="I7881" s="1342"/>
      <c r="J7881" s="1342"/>
      <c r="K7881" s="1342"/>
    </row>
    <row r="7882" spans="2:11" ht="14" hidden="1">
      <c r="B7882" s="1342"/>
      <c r="C7882" s="1342"/>
      <c r="D7882" s="1342"/>
      <c r="E7882" s="1342"/>
      <c r="F7882" s="1342"/>
      <c r="G7882" s="1342"/>
      <c r="H7882" s="1342"/>
      <c r="I7882" s="1342"/>
      <c r="J7882" s="1342"/>
      <c r="K7882" s="1342"/>
    </row>
    <row r="7883" spans="2:11" ht="14" hidden="1">
      <c r="B7883" s="1342"/>
      <c r="C7883" s="1342"/>
      <c r="D7883" s="1342"/>
      <c r="E7883" s="1342"/>
      <c r="F7883" s="1342"/>
      <c r="G7883" s="1342"/>
      <c r="H7883" s="1342"/>
      <c r="I7883" s="1342"/>
      <c r="J7883" s="1342"/>
      <c r="K7883" s="1342"/>
    </row>
    <row r="7884" spans="2:11" ht="14" hidden="1">
      <c r="B7884" s="1342"/>
      <c r="C7884" s="1342"/>
      <c r="D7884" s="1342"/>
      <c r="E7884" s="1342"/>
      <c r="F7884" s="1342"/>
      <c r="G7884" s="1342"/>
      <c r="H7884" s="1342"/>
      <c r="I7884" s="1342"/>
      <c r="J7884" s="1342"/>
      <c r="K7884" s="1342"/>
    </row>
    <row r="7885" spans="2:11" ht="14" hidden="1">
      <c r="B7885" s="1342"/>
      <c r="C7885" s="1342"/>
      <c r="D7885" s="1342"/>
      <c r="E7885" s="1342"/>
      <c r="F7885" s="1342"/>
      <c r="G7885" s="1342"/>
      <c r="H7885" s="1342"/>
      <c r="I7885" s="1342"/>
      <c r="J7885" s="1342"/>
      <c r="K7885" s="1342"/>
    </row>
    <row r="7886" spans="2:11" ht="14" hidden="1">
      <c r="B7886" s="1342"/>
      <c r="C7886" s="1342"/>
      <c r="D7886" s="1342"/>
      <c r="E7886" s="1342"/>
      <c r="F7886" s="1342"/>
      <c r="G7886" s="1342"/>
      <c r="H7886" s="1342"/>
      <c r="I7886" s="1342"/>
      <c r="J7886" s="1342"/>
      <c r="K7886" s="1342"/>
    </row>
    <row r="7887" spans="2:11" ht="14" hidden="1">
      <c r="B7887" s="1342"/>
      <c r="C7887" s="1342"/>
      <c r="D7887" s="1342"/>
      <c r="E7887" s="1342"/>
      <c r="F7887" s="1342"/>
      <c r="G7887" s="1342"/>
      <c r="H7887" s="1342"/>
      <c r="I7887" s="1342"/>
      <c r="J7887" s="1342"/>
      <c r="K7887" s="1342"/>
    </row>
    <row r="7888" spans="2:11" ht="14" hidden="1">
      <c r="B7888" s="1342"/>
      <c r="C7888" s="1342"/>
      <c r="D7888" s="1342"/>
      <c r="E7888" s="1342"/>
      <c r="F7888" s="1342"/>
      <c r="G7888" s="1342"/>
      <c r="H7888" s="1342"/>
      <c r="I7888" s="1342"/>
      <c r="J7888" s="1342"/>
      <c r="K7888" s="1342"/>
    </row>
    <row r="7889" spans="2:11" ht="14" hidden="1">
      <c r="B7889" s="1342"/>
      <c r="C7889" s="1342"/>
      <c r="D7889" s="1342"/>
      <c r="E7889" s="1342"/>
      <c r="F7889" s="1342"/>
      <c r="G7889" s="1342"/>
      <c r="H7889" s="1342"/>
      <c r="I7889" s="1342"/>
      <c r="J7889" s="1342"/>
      <c r="K7889" s="1342"/>
    </row>
    <row r="7890" spans="2:11" ht="14" hidden="1">
      <c r="B7890" s="1342"/>
      <c r="C7890" s="1342"/>
      <c r="D7890" s="1342"/>
      <c r="E7890" s="1342"/>
      <c r="F7890" s="1342"/>
      <c r="G7890" s="1342"/>
      <c r="H7890" s="1342"/>
      <c r="I7890" s="1342"/>
      <c r="J7890" s="1342"/>
      <c r="K7890" s="1342"/>
    </row>
    <row r="7891" spans="2:11" ht="14" hidden="1">
      <c r="B7891" s="1342"/>
      <c r="C7891" s="1342"/>
      <c r="D7891" s="1342"/>
      <c r="E7891" s="1342"/>
      <c r="F7891" s="1342"/>
      <c r="G7891" s="1342"/>
      <c r="H7891" s="1342"/>
      <c r="I7891" s="1342"/>
      <c r="J7891" s="1342"/>
      <c r="K7891" s="1342"/>
    </row>
    <row r="7892" spans="2:11" ht="14" hidden="1">
      <c r="B7892" s="1342"/>
      <c r="C7892" s="1342"/>
      <c r="D7892" s="1342"/>
      <c r="E7892" s="1342"/>
      <c r="F7892" s="1342"/>
      <c r="G7892" s="1342"/>
      <c r="H7892" s="1342"/>
      <c r="I7892" s="1342"/>
      <c r="J7892" s="1342"/>
      <c r="K7892" s="1342"/>
    </row>
    <row r="7893" spans="2:11" ht="14" hidden="1">
      <c r="B7893" s="1342"/>
      <c r="C7893" s="1342"/>
      <c r="D7893" s="1342"/>
      <c r="E7893" s="1342"/>
      <c r="F7893" s="1342"/>
      <c r="G7893" s="1342"/>
      <c r="H7893" s="1342"/>
      <c r="I7893" s="1342"/>
      <c r="J7893" s="1342"/>
      <c r="K7893" s="1342"/>
    </row>
    <row r="7894" spans="2:11" ht="14" hidden="1">
      <c r="B7894" s="1342"/>
      <c r="C7894" s="1342"/>
      <c r="D7894" s="1342"/>
      <c r="E7894" s="1342"/>
      <c r="F7894" s="1342"/>
      <c r="G7894" s="1342"/>
      <c r="H7894" s="1342"/>
      <c r="I7894" s="1342"/>
      <c r="J7894" s="1342"/>
      <c r="K7894" s="1342"/>
    </row>
    <row r="7895" spans="2:11" ht="14" hidden="1">
      <c r="B7895" s="1342"/>
      <c r="C7895" s="1342"/>
      <c r="D7895" s="1342"/>
      <c r="E7895" s="1342"/>
      <c r="F7895" s="1342"/>
      <c r="G7895" s="1342"/>
      <c r="H7895" s="1342"/>
      <c r="I7895" s="1342"/>
      <c r="J7895" s="1342"/>
      <c r="K7895" s="1342"/>
    </row>
    <row r="7896" spans="2:11" ht="14" hidden="1">
      <c r="B7896" s="1342"/>
      <c r="C7896" s="1342"/>
      <c r="D7896" s="1342"/>
      <c r="E7896" s="1342"/>
      <c r="F7896" s="1342"/>
      <c r="G7896" s="1342"/>
      <c r="H7896" s="1342"/>
      <c r="I7896" s="1342"/>
      <c r="J7896" s="1342"/>
      <c r="K7896" s="1342"/>
    </row>
    <row r="7897" spans="2:11" ht="14" hidden="1">
      <c r="B7897" s="1342"/>
      <c r="C7897" s="1342"/>
      <c r="D7897" s="1342"/>
      <c r="E7897" s="1342"/>
      <c r="F7897" s="1342"/>
      <c r="G7897" s="1342"/>
      <c r="H7897" s="1342"/>
      <c r="I7897" s="1342"/>
      <c r="J7897" s="1342"/>
      <c r="K7897" s="1342"/>
    </row>
    <row r="7898" spans="2:11" ht="14" hidden="1">
      <c r="B7898" s="1342"/>
      <c r="C7898" s="1342"/>
      <c r="D7898" s="1342"/>
      <c r="E7898" s="1342"/>
      <c r="F7898" s="1342"/>
      <c r="G7898" s="1342"/>
      <c r="H7898" s="1342"/>
      <c r="I7898" s="1342"/>
      <c r="J7898" s="1342"/>
      <c r="K7898" s="1342"/>
    </row>
    <row r="7899" spans="2:11" ht="14" hidden="1">
      <c r="B7899" s="1342"/>
      <c r="C7899" s="1342"/>
      <c r="D7899" s="1342"/>
      <c r="E7899" s="1342"/>
      <c r="F7899" s="1342"/>
      <c r="G7899" s="1342"/>
      <c r="H7899" s="1342"/>
      <c r="I7899" s="1342"/>
      <c r="J7899" s="1342"/>
      <c r="K7899" s="1342"/>
    </row>
    <row r="7900" spans="2:11" ht="14" hidden="1">
      <c r="B7900" s="1342"/>
      <c r="C7900" s="1342"/>
      <c r="D7900" s="1342"/>
      <c r="E7900" s="1342"/>
      <c r="F7900" s="1342"/>
      <c r="G7900" s="1342"/>
      <c r="H7900" s="1342"/>
      <c r="I7900" s="1342"/>
      <c r="J7900" s="1342"/>
      <c r="K7900" s="1342"/>
    </row>
    <row r="7901" spans="2:11" ht="14" hidden="1">
      <c r="B7901" s="1342"/>
      <c r="C7901" s="1342"/>
      <c r="D7901" s="1342"/>
      <c r="E7901" s="1342"/>
      <c r="F7901" s="1342"/>
      <c r="G7901" s="1342"/>
      <c r="H7901" s="1342"/>
      <c r="I7901" s="1342"/>
      <c r="J7901" s="1342"/>
      <c r="K7901" s="1342"/>
    </row>
    <row r="7902" spans="2:11" ht="14" hidden="1">
      <c r="B7902" s="1342"/>
      <c r="C7902" s="1342"/>
      <c r="D7902" s="1342"/>
      <c r="E7902" s="1342"/>
      <c r="F7902" s="1342"/>
      <c r="G7902" s="1342"/>
      <c r="H7902" s="1342"/>
      <c r="I7902" s="1342"/>
      <c r="J7902" s="1342"/>
      <c r="K7902" s="1342"/>
    </row>
    <row r="7903" spans="2:11" ht="14" hidden="1">
      <c r="B7903" s="1342"/>
      <c r="C7903" s="1342"/>
      <c r="D7903" s="1342"/>
      <c r="E7903" s="1342"/>
      <c r="F7903" s="1342"/>
      <c r="G7903" s="1342"/>
      <c r="H7903" s="1342"/>
      <c r="I7903" s="1342"/>
      <c r="J7903" s="1342"/>
      <c r="K7903" s="1342"/>
    </row>
    <row r="7904" spans="2:11" ht="14" hidden="1">
      <c r="B7904" s="1342"/>
      <c r="C7904" s="1342"/>
      <c r="D7904" s="1342"/>
      <c r="E7904" s="1342"/>
      <c r="F7904" s="1342"/>
      <c r="G7904" s="1342"/>
      <c r="H7904" s="1342"/>
      <c r="I7904" s="1342"/>
      <c r="J7904" s="1342"/>
      <c r="K7904" s="1342"/>
    </row>
    <row r="7905" spans="2:11" ht="14" hidden="1">
      <c r="B7905" s="1342"/>
      <c r="C7905" s="1342"/>
      <c r="D7905" s="1342"/>
      <c r="E7905" s="1342"/>
      <c r="F7905" s="1342"/>
      <c r="G7905" s="1342"/>
      <c r="H7905" s="1342"/>
      <c r="I7905" s="1342"/>
      <c r="J7905" s="1342"/>
      <c r="K7905" s="1342"/>
    </row>
    <row r="7906" spans="2:11" ht="14" hidden="1">
      <c r="B7906" s="1342"/>
      <c r="C7906" s="1342"/>
      <c r="D7906" s="1342"/>
      <c r="E7906" s="1342"/>
      <c r="F7906" s="1342"/>
      <c r="G7906" s="1342"/>
      <c r="H7906" s="1342"/>
      <c r="I7906" s="1342"/>
      <c r="J7906" s="1342"/>
      <c r="K7906" s="1342"/>
    </row>
    <row r="7907" spans="2:11" ht="14" hidden="1">
      <c r="B7907" s="1342"/>
      <c r="C7907" s="1342"/>
      <c r="D7907" s="1342"/>
      <c r="E7907" s="1342"/>
      <c r="F7907" s="1342"/>
      <c r="G7907" s="1342"/>
      <c r="H7907" s="1342"/>
      <c r="I7907" s="1342"/>
      <c r="J7907" s="1342"/>
      <c r="K7907" s="1342"/>
    </row>
    <row r="7908" spans="2:11" ht="14" hidden="1">
      <c r="B7908" s="1342"/>
      <c r="C7908" s="1342"/>
      <c r="D7908" s="1342"/>
      <c r="E7908" s="1342"/>
      <c r="F7908" s="1342"/>
      <c r="G7908" s="1342"/>
      <c r="H7908" s="1342"/>
      <c r="I7908" s="1342"/>
      <c r="J7908" s="1342"/>
      <c r="K7908" s="1342"/>
    </row>
    <row r="7909" spans="2:11" ht="14" hidden="1">
      <c r="B7909" s="1342"/>
      <c r="C7909" s="1342"/>
      <c r="D7909" s="1342"/>
      <c r="E7909" s="1342"/>
      <c r="F7909" s="1342"/>
      <c r="G7909" s="1342"/>
      <c r="H7909" s="1342"/>
      <c r="I7909" s="1342"/>
      <c r="J7909" s="1342"/>
      <c r="K7909" s="1342"/>
    </row>
    <row r="7910" spans="2:11" ht="14" hidden="1">
      <c r="B7910" s="1342"/>
      <c r="C7910" s="1342"/>
      <c r="D7910" s="1342"/>
      <c r="E7910" s="1342"/>
      <c r="F7910" s="1342"/>
      <c r="G7910" s="1342"/>
      <c r="H7910" s="1342"/>
      <c r="I7910" s="1342"/>
      <c r="J7910" s="1342"/>
      <c r="K7910" s="1342"/>
    </row>
    <row r="7911" spans="2:11" ht="14" hidden="1">
      <c r="B7911" s="1342"/>
      <c r="C7911" s="1342"/>
      <c r="D7911" s="1342"/>
      <c r="E7911" s="1342"/>
      <c r="F7911" s="1342"/>
      <c r="G7911" s="1342"/>
      <c r="H7911" s="1342"/>
      <c r="I7911" s="1342"/>
      <c r="J7911" s="1342"/>
      <c r="K7911" s="1342"/>
    </row>
    <row r="7912" spans="2:11" ht="14" hidden="1">
      <c r="B7912" s="1342"/>
      <c r="C7912" s="1342"/>
      <c r="D7912" s="1342"/>
      <c r="E7912" s="1342"/>
      <c r="F7912" s="1342"/>
      <c r="G7912" s="1342"/>
      <c r="H7912" s="1342"/>
      <c r="I7912" s="1342"/>
      <c r="J7912" s="1342"/>
      <c r="K7912" s="1342"/>
    </row>
    <row r="7913" spans="2:11" ht="14" hidden="1">
      <c r="B7913" s="1342"/>
      <c r="C7913" s="1342"/>
      <c r="D7913" s="1342"/>
      <c r="E7913" s="1342"/>
      <c r="F7913" s="1342"/>
      <c r="G7913" s="1342"/>
      <c r="H7913" s="1342"/>
      <c r="I7913" s="1342"/>
      <c r="J7913" s="1342"/>
      <c r="K7913" s="1342"/>
    </row>
    <row r="7914" spans="2:11" ht="14" hidden="1">
      <c r="B7914" s="1342"/>
      <c r="C7914" s="1342"/>
      <c r="D7914" s="1342"/>
      <c r="E7914" s="1342"/>
      <c r="F7914" s="1342"/>
      <c r="G7914" s="1342"/>
      <c r="H7914" s="1342"/>
      <c r="I7914" s="1342"/>
      <c r="J7914" s="1342"/>
      <c r="K7914" s="1342"/>
    </row>
    <row r="7915" spans="2:11" ht="14" hidden="1">
      <c r="B7915" s="1342"/>
      <c r="C7915" s="1342"/>
      <c r="D7915" s="1342"/>
      <c r="E7915" s="1342"/>
      <c r="F7915" s="1342"/>
      <c r="G7915" s="1342"/>
      <c r="H7915" s="1342"/>
      <c r="I7915" s="1342"/>
      <c r="J7915" s="1342"/>
      <c r="K7915" s="1342"/>
    </row>
    <row r="7916" spans="2:11" ht="14" hidden="1">
      <c r="B7916" s="1342"/>
      <c r="C7916" s="1342"/>
      <c r="D7916" s="1342"/>
      <c r="E7916" s="1342"/>
      <c r="F7916" s="1342"/>
      <c r="G7916" s="1342"/>
      <c r="H7916" s="1342"/>
      <c r="I7916" s="1342"/>
      <c r="J7916" s="1342"/>
      <c r="K7916" s="1342"/>
    </row>
    <row r="7917" spans="2:11" ht="14" hidden="1">
      <c r="B7917" s="1342"/>
      <c r="C7917" s="1342"/>
      <c r="D7917" s="1342"/>
      <c r="E7917" s="1342"/>
      <c r="F7917" s="1342"/>
      <c r="G7917" s="1342"/>
      <c r="H7917" s="1342"/>
      <c r="I7917" s="1342"/>
      <c r="J7917" s="1342"/>
      <c r="K7917" s="1342"/>
    </row>
    <row r="7918" spans="2:11" ht="14" hidden="1">
      <c r="B7918" s="1342"/>
      <c r="C7918" s="1342"/>
      <c r="D7918" s="1342"/>
      <c r="E7918" s="1342"/>
      <c r="F7918" s="1342"/>
      <c r="G7918" s="1342"/>
      <c r="H7918" s="1342"/>
      <c r="I7918" s="1342"/>
      <c r="J7918" s="1342"/>
      <c r="K7918" s="1342"/>
    </row>
    <row r="7919" spans="2:11" ht="14" hidden="1">
      <c r="B7919" s="1342"/>
      <c r="C7919" s="1342"/>
      <c r="D7919" s="1342"/>
      <c r="E7919" s="1342"/>
      <c r="F7919" s="1342"/>
      <c r="G7919" s="1342"/>
      <c r="H7919" s="1342"/>
      <c r="I7919" s="1342"/>
      <c r="J7919" s="1342"/>
      <c r="K7919" s="1342"/>
    </row>
    <row r="7920" spans="2:11" ht="14" hidden="1">
      <c r="B7920" s="1342"/>
      <c r="C7920" s="1342"/>
      <c r="D7920" s="1342"/>
      <c r="E7920" s="1342"/>
      <c r="F7920" s="1342"/>
      <c r="G7920" s="1342"/>
      <c r="H7920" s="1342"/>
      <c r="I7920" s="1342"/>
      <c r="J7920" s="1342"/>
      <c r="K7920" s="1342"/>
    </row>
    <row r="7921" spans="2:11" ht="14" hidden="1">
      <c r="B7921" s="1342"/>
      <c r="C7921" s="1342"/>
      <c r="D7921" s="1342"/>
      <c r="E7921" s="1342"/>
      <c r="F7921" s="1342"/>
      <c r="G7921" s="1342"/>
      <c r="H7921" s="1342"/>
      <c r="I7921" s="1342"/>
      <c r="J7921" s="1342"/>
      <c r="K7921" s="1342"/>
    </row>
    <row r="7922" spans="2:11" ht="14" hidden="1">
      <c r="B7922" s="1342"/>
      <c r="C7922" s="1342"/>
      <c r="D7922" s="1342"/>
      <c r="E7922" s="1342"/>
      <c r="F7922" s="1342"/>
      <c r="G7922" s="1342"/>
      <c r="H7922" s="1342"/>
      <c r="I7922" s="1342"/>
      <c r="J7922" s="1342"/>
      <c r="K7922" s="1342"/>
    </row>
    <row r="7923" spans="2:11" ht="14" hidden="1">
      <c r="B7923" s="1342"/>
      <c r="C7923" s="1342"/>
      <c r="D7923" s="1342"/>
      <c r="E7923" s="1342"/>
      <c r="F7923" s="1342"/>
      <c r="G7923" s="1342"/>
      <c r="H7923" s="1342"/>
      <c r="I7923" s="1342"/>
      <c r="J7923" s="1342"/>
      <c r="K7923" s="1342"/>
    </row>
    <row r="7924" spans="2:11" ht="14" hidden="1">
      <c r="B7924" s="1342"/>
      <c r="C7924" s="1342"/>
      <c r="D7924" s="1342"/>
      <c r="E7924" s="1342"/>
      <c r="F7924" s="1342"/>
      <c r="G7924" s="1342"/>
      <c r="H7924" s="1342"/>
      <c r="I7924" s="1342"/>
      <c r="J7924" s="1342"/>
      <c r="K7924" s="1342"/>
    </row>
    <row r="7925" spans="2:11" ht="14" hidden="1">
      <c r="B7925" s="1342"/>
      <c r="C7925" s="1342"/>
      <c r="D7925" s="1342"/>
      <c r="E7925" s="1342"/>
      <c r="F7925" s="1342"/>
      <c r="G7925" s="1342"/>
      <c r="H7925" s="1342"/>
      <c r="I7925" s="1342"/>
      <c r="J7925" s="1342"/>
      <c r="K7925" s="1342"/>
    </row>
    <row r="7926" spans="2:11" ht="14" hidden="1">
      <c r="B7926" s="1342"/>
      <c r="C7926" s="1342"/>
      <c r="D7926" s="1342"/>
      <c r="E7926" s="1342"/>
      <c r="F7926" s="1342"/>
      <c r="G7926" s="1342"/>
      <c r="H7926" s="1342"/>
      <c r="I7926" s="1342"/>
      <c r="J7926" s="1342"/>
      <c r="K7926" s="1342"/>
    </row>
    <row r="7927" spans="2:11" ht="14" hidden="1">
      <c r="B7927" s="1342"/>
      <c r="C7927" s="1342"/>
      <c r="D7927" s="1342"/>
      <c r="E7927" s="1342"/>
      <c r="F7927" s="1342"/>
      <c r="G7927" s="1342"/>
      <c r="H7927" s="1342"/>
      <c r="I7927" s="1342"/>
      <c r="J7927" s="1342"/>
      <c r="K7927" s="1342"/>
    </row>
    <row r="7928" spans="2:11" ht="14" hidden="1">
      <c r="B7928" s="1342"/>
      <c r="C7928" s="1342"/>
      <c r="D7928" s="1342"/>
      <c r="E7928" s="1342"/>
      <c r="F7928" s="1342"/>
      <c r="G7928" s="1342"/>
      <c r="H7928" s="1342"/>
      <c r="I7928" s="1342"/>
      <c r="J7928" s="1342"/>
      <c r="K7928" s="1342"/>
    </row>
    <row r="7929" spans="2:11" ht="14" hidden="1">
      <c r="B7929" s="1342"/>
      <c r="C7929" s="1342"/>
      <c r="D7929" s="1342"/>
      <c r="E7929" s="1342"/>
      <c r="F7929" s="1342"/>
      <c r="G7929" s="1342"/>
      <c r="H7929" s="1342"/>
      <c r="I7929" s="1342"/>
      <c r="J7929" s="1342"/>
      <c r="K7929" s="1342"/>
    </row>
    <row r="7930" spans="2:11" ht="14" hidden="1">
      <c r="B7930" s="1342"/>
      <c r="C7930" s="1342"/>
      <c r="D7930" s="1342"/>
      <c r="E7930" s="1342"/>
      <c r="F7930" s="1342"/>
      <c r="G7930" s="1342"/>
      <c r="H7930" s="1342"/>
      <c r="I7930" s="1342"/>
      <c r="J7930" s="1342"/>
      <c r="K7930" s="1342"/>
    </row>
    <row r="7931" spans="2:11" ht="14" hidden="1">
      <c r="B7931" s="1342"/>
      <c r="C7931" s="1342"/>
      <c r="D7931" s="1342"/>
      <c r="E7931" s="1342"/>
      <c r="F7931" s="1342"/>
      <c r="G7931" s="1342"/>
      <c r="H7931" s="1342"/>
      <c r="I7931" s="1342"/>
      <c r="J7931" s="1342"/>
      <c r="K7931" s="1342"/>
    </row>
    <row r="7932" spans="2:11" ht="14" hidden="1">
      <c r="B7932" s="1342"/>
      <c r="C7932" s="1342"/>
      <c r="D7932" s="1342"/>
      <c r="E7932" s="1342"/>
      <c r="F7932" s="1342"/>
      <c r="G7932" s="1342"/>
      <c r="H7932" s="1342"/>
      <c r="I7932" s="1342"/>
      <c r="J7932" s="1342"/>
      <c r="K7932" s="1342"/>
    </row>
    <row r="7933" spans="2:11" ht="14" hidden="1">
      <c r="B7933" s="1342"/>
      <c r="C7933" s="1342"/>
      <c r="D7933" s="1342"/>
      <c r="E7933" s="1342"/>
      <c r="F7933" s="1342"/>
      <c r="G7933" s="1342"/>
      <c r="H7933" s="1342"/>
      <c r="I7933" s="1342"/>
      <c r="J7933" s="1342"/>
      <c r="K7933" s="1342"/>
    </row>
    <row r="7934" spans="2:11" ht="14" hidden="1">
      <c r="B7934" s="1342"/>
      <c r="C7934" s="1342"/>
      <c r="D7934" s="1342"/>
      <c r="E7934" s="1342"/>
      <c r="F7934" s="1342"/>
      <c r="G7934" s="1342"/>
      <c r="H7934" s="1342"/>
      <c r="I7934" s="1342"/>
      <c r="J7934" s="1342"/>
      <c r="K7934" s="1342"/>
    </row>
    <row r="7935" spans="2:11" ht="14" hidden="1">
      <c r="B7935" s="1342"/>
      <c r="C7935" s="1342"/>
      <c r="D7935" s="1342"/>
      <c r="E7935" s="1342"/>
      <c r="F7935" s="1342"/>
      <c r="G7935" s="1342"/>
      <c r="H7935" s="1342"/>
      <c r="I7935" s="1342"/>
      <c r="J7935" s="1342"/>
      <c r="K7935" s="1342"/>
    </row>
    <row r="7936" spans="2:11" ht="14" hidden="1">
      <c r="B7936" s="1342"/>
      <c r="C7936" s="1342"/>
      <c r="D7936" s="1342"/>
      <c r="E7936" s="1342"/>
      <c r="F7936" s="1342"/>
      <c r="G7936" s="1342"/>
      <c r="H7936" s="1342"/>
      <c r="I7936" s="1342"/>
      <c r="J7936" s="1342"/>
      <c r="K7936" s="1342"/>
    </row>
    <row r="7937" spans="2:11" ht="14" hidden="1">
      <c r="B7937" s="1342"/>
      <c r="C7937" s="1342"/>
      <c r="D7937" s="1342"/>
      <c r="E7937" s="1342"/>
      <c r="F7937" s="1342"/>
      <c r="G7937" s="1342"/>
      <c r="H7937" s="1342"/>
      <c r="I7937" s="1342"/>
      <c r="J7937" s="1342"/>
      <c r="K7937" s="1342"/>
    </row>
    <row r="7938" spans="2:11" ht="14" hidden="1">
      <c r="B7938" s="1342"/>
      <c r="C7938" s="1342"/>
      <c r="D7938" s="1342"/>
      <c r="E7938" s="1342"/>
      <c r="F7938" s="1342"/>
      <c r="G7938" s="1342"/>
      <c r="H7938" s="1342"/>
      <c r="I7938" s="1342"/>
      <c r="J7938" s="1342"/>
      <c r="K7938" s="1342"/>
    </row>
    <row r="7939" spans="2:11" ht="14" hidden="1">
      <c r="B7939" s="1342"/>
      <c r="C7939" s="1342"/>
      <c r="D7939" s="1342"/>
      <c r="E7939" s="1342"/>
      <c r="F7939" s="1342"/>
      <c r="G7939" s="1342"/>
      <c r="H7939" s="1342"/>
      <c r="I7939" s="1342"/>
      <c r="J7939" s="1342"/>
      <c r="K7939" s="1342"/>
    </row>
    <row r="7940" spans="2:11" ht="14" hidden="1">
      <c r="B7940" s="1342"/>
      <c r="C7940" s="1342"/>
      <c r="D7940" s="1342"/>
      <c r="E7940" s="1342"/>
      <c r="F7940" s="1342"/>
      <c r="G7940" s="1342"/>
      <c r="H7940" s="1342"/>
      <c r="I7940" s="1342"/>
      <c r="J7940" s="1342"/>
      <c r="K7940" s="1342"/>
    </row>
    <row r="7941" spans="2:11" ht="14" hidden="1">
      <c r="B7941" s="1342"/>
      <c r="C7941" s="1342"/>
      <c r="D7941" s="1342"/>
      <c r="E7941" s="1342"/>
      <c r="F7941" s="1342"/>
      <c r="G7941" s="1342"/>
      <c r="H7941" s="1342"/>
      <c r="I7941" s="1342"/>
      <c r="J7941" s="1342"/>
      <c r="K7941" s="1342"/>
    </row>
    <row r="7942" spans="2:11" ht="14" hidden="1">
      <c r="B7942" s="1342"/>
      <c r="C7942" s="1342"/>
      <c r="D7942" s="1342"/>
      <c r="E7942" s="1342"/>
      <c r="F7942" s="1342"/>
      <c r="G7942" s="1342"/>
      <c r="H7942" s="1342"/>
      <c r="I7942" s="1342"/>
      <c r="J7942" s="1342"/>
      <c r="K7942" s="1342"/>
    </row>
    <row r="7943" spans="2:11" ht="14" hidden="1">
      <c r="B7943" s="1342"/>
      <c r="C7943" s="1342"/>
      <c r="D7943" s="1342"/>
      <c r="E7943" s="1342"/>
      <c r="F7943" s="1342"/>
      <c r="G7943" s="1342"/>
      <c r="H7943" s="1342"/>
      <c r="I7943" s="1342"/>
      <c r="J7943" s="1342"/>
      <c r="K7943" s="1342"/>
    </row>
    <row r="7944" spans="2:11" ht="14" hidden="1">
      <c r="B7944" s="1342"/>
      <c r="C7944" s="1342"/>
      <c r="D7944" s="1342"/>
      <c r="E7944" s="1342"/>
      <c r="F7944" s="1342"/>
      <c r="G7944" s="1342"/>
      <c r="H7944" s="1342"/>
      <c r="I7944" s="1342"/>
      <c r="J7944" s="1342"/>
      <c r="K7944" s="1342"/>
    </row>
    <row r="7945" spans="2:11" ht="14" hidden="1">
      <c r="B7945" s="1342"/>
      <c r="C7945" s="1342"/>
      <c r="D7945" s="1342"/>
      <c r="E7945" s="1342"/>
      <c r="F7945" s="1342"/>
      <c r="G7945" s="1342"/>
      <c r="H7945" s="1342"/>
      <c r="I7945" s="1342"/>
      <c r="J7945" s="1342"/>
      <c r="K7945" s="1342"/>
    </row>
    <row r="7946" spans="2:11" ht="14" hidden="1">
      <c r="B7946" s="1342"/>
      <c r="C7946" s="1342"/>
      <c r="D7946" s="1342"/>
      <c r="E7946" s="1342"/>
      <c r="F7946" s="1342"/>
      <c r="G7946" s="1342"/>
      <c r="H7946" s="1342"/>
      <c r="I7946" s="1342"/>
      <c r="J7946" s="1342"/>
      <c r="K7946" s="1342"/>
    </row>
    <row r="7947" spans="2:11" ht="14" hidden="1">
      <c r="B7947" s="1342"/>
      <c r="C7947" s="1342"/>
      <c r="D7947" s="1342"/>
      <c r="E7947" s="1342"/>
      <c r="F7947" s="1342"/>
      <c r="G7947" s="1342"/>
      <c r="H7947" s="1342"/>
      <c r="I7947" s="1342"/>
      <c r="J7947" s="1342"/>
      <c r="K7947" s="1342"/>
    </row>
    <row r="7948" spans="2:11" ht="14" hidden="1">
      <c r="B7948" s="1342"/>
      <c r="C7948" s="1342"/>
      <c r="D7948" s="1342"/>
      <c r="E7948" s="1342"/>
      <c r="F7948" s="1342"/>
      <c r="G7948" s="1342"/>
      <c r="H7948" s="1342"/>
      <c r="I7948" s="1342"/>
      <c r="J7948" s="1342"/>
      <c r="K7948" s="1342"/>
    </row>
    <row r="7949" spans="2:11" ht="14" hidden="1">
      <c r="B7949" s="1342"/>
      <c r="C7949" s="1342"/>
      <c r="D7949" s="1342"/>
      <c r="E7949" s="1342"/>
      <c r="F7949" s="1342"/>
      <c r="G7949" s="1342"/>
      <c r="H7949" s="1342"/>
      <c r="I7949" s="1342"/>
      <c r="J7949" s="1342"/>
      <c r="K7949" s="1342"/>
    </row>
    <row r="7950" spans="2:11" ht="14" hidden="1">
      <c r="B7950" s="1342"/>
      <c r="C7950" s="1342"/>
      <c r="D7950" s="1342"/>
      <c r="E7950" s="1342"/>
      <c r="F7950" s="1342"/>
      <c r="G7950" s="1342"/>
      <c r="H7950" s="1342"/>
      <c r="I7950" s="1342"/>
      <c r="J7950" s="1342"/>
      <c r="K7950" s="1342"/>
    </row>
    <row r="7951" spans="2:11" ht="14" hidden="1">
      <c r="B7951" s="1342"/>
      <c r="C7951" s="1342"/>
      <c r="D7951" s="1342"/>
      <c r="E7951" s="1342"/>
      <c r="F7951" s="1342"/>
      <c r="G7951" s="1342"/>
      <c r="H7951" s="1342"/>
      <c r="I7951" s="1342"/>
      <c r="J7951" s="1342"/>
      <c r="K7951" s="1342"/>
    </row>
    <row r="7952" spans="2:11" ht="14" hidden="1">
      <c r="B7952" s="1342"/>
      <c r="C7952" s="1342"/>
      <c r="D7952" s="1342"/>
      <c r="E7952" s="1342"/>
      <c r="F7952" s="1342"/>
      <c r="G7952" s="1342"/>
      <c r="H7952" s="1342"/>
      <c r="I7952" s="1342"/>
      <c r="J7952" s="1342"/>
      <c r="K7952" s="1342"/>
    </row>
    <row r="7953" spans="2:11" ht="14" hidden="1">
      <c r="B7953" s="1342"/>
      <c r="C7953" s="1342"/>
      <c r="D7953" s="1342"/>
      <c r="E7953" s="1342"/>
      <c r="F7953" s="1342"/>
      <c r="G7953" s="1342"/>
      <c r="H7953" s="1342"/>
      <c r="I7953" s="1342"/>
      <c r="J7953" s="1342"/>
      <c r="K7953" s="1342"/>
    </row>
    <row r="7954" spans="2:11" ht="14" hidden="1">
      <c r="B7954" s="1342"/>
      <c r="C7954" s="1342"/>
      <c r="D7954" s="1342"/>
      <c r="E7954" s="1342"/>
      <c r="F7954" s="1342"/>
      <c r="G7954" s="1342"/>
      <c r="H7954" s="1342"/>
      <c r="I7954" s="1342"/>
      <c r="J7954" s="1342"/>
      <c r="K7954" s="1342"/>
    </row>
    <row r="7955" spans="2:11" ht="14" hidden="1">
      <c r="B7955" s="1342"/>
      <c r="C7955" s="1342"/>
      <c r="D7955" s="1342"/>
      <c r="E7955" s="1342"/>
      <c r="F7955" s="1342"/>
      <c r="G7955" s="1342"/>
      <c r="H7955" s="1342"/>
      <c r="I7955" s="1342"/>
      <c r="J7955" s="1342"/>
      <c r="K7955" s="1342"/>
    </row>
    <row r="7956" spans="2:11" ht="14" hidden="1">
      <c r="B7956" s="1342"/>
      <c r="C7956" s="1342"/>
      <c r="D7956" s="1342"/>
      <c r="E7956" s="1342"/>
      <c r="F7956" s="1342"/>
      <c r="G7956" s="1342"/>
      <c r="H7956" s="1342"/>
      <c r="I7956" s="1342"/>
      <c r="J7956" s="1342"/>
      <c r="K7956" s="1342"/>
    </row>
    <row r="7957" spans="2:11" ht="14" hidden="1">
      <c r="B7957" s="1342"/>
      <c r="C7957" s="1342"/>
      <c r="D7957" s="1342"/>
      <c r="E7957" s="1342"/>
      <c r="F7957" s="1342"/>
      <c r="G7957" s="1342"/>
      <c r="H7957" s="1342"/>
      <c r="I7957" s="1342"/>
      <c r="J7957" s="1342"/>
      <c r="K7957" s="1342"/>
    </row>
    <row r="7958" spans="2:11" ht="14" hidden="1">
      <c r="B7958" s="1342"/>
      <c r="C7958" s="1342"/>
      <c r="D7958" s="1342"/>
      <c r="E7958" s="1342"/>
      <c r="F7958" s="1342"/>
      <c r="G7958" s="1342"/>
      <c r="H7958" s="1342"/>
      <c r="I7958" s="1342"/>
      <c r="J7958" s="1342"/>
      <c r="K7958" s="1342"/>
    </row>
    <row r="7959" spans="2:11" ht="14" hidden="1">
      <c r="B7959" s="1342"/>
      <c r="C7959" s="1342"/>
      <c r="D7959" s="1342"/>
      <c r="E7959" s="1342"/>
      <c r="F7959" s="1342"/>
      <c r="G7959" s="1342"/>
      <c r="H7959" s="1342"/>
      <c r="I7959" s="1342"/>
      <c r="J7959" s="1342"/>
      <c r="K7959" s="1342"/>
    </row>
    <row r="7960" spans="2:11" ht="14" hidden="1">
      <c r="B7960" s="1342"/>
      <c r="C7960" s="1342"/>
      <c r="D7960" s="1342"/>
      <c r="E7960" s="1342"/>
      <c r="F7960" s="1342"/>
      <c r="G7960" s="1342"/>
      <c r="H7960" s="1342"/>
      <c r="I7960" s="1342"/>
      <c r="J7960" s="1342"/>
      <c r="K7960" s="1342"/>
    </row>
    <row r="7961" spans="2:11" ht="14" hidden="1">
      <c r="B7961" s="1342"/>
      <c r="C7961" s="1342"/>
      <c r="D7961" s="1342"/>
      <c r="E7961" s="1342"/>
      <c r="F7961" s="1342"/>
      <c r="G7961" s="1342"/>
      <c r="H7961" s="1342"/>
      <c r="I7961" s="1342"/>
      <c r="J7961" s="1342"/>
      <c r="K7961" s="1342"/>
    </row>
    <row r="7962" spans="2:11" ht="14" hidden="1">
      <c r="B7962" s="1342"/>
      <c r="C7962" s="1342"/>
      <c r="D7962" s="1342"/>
      <c r="E7962" s="1342"/>
      <c r="F7962" s="1342"/>
      <c r="G7962" s="1342"/>
      <c r="H7962" s="1342"/>
      <c r="I7962" s="1342"/>
      <c r="J7962" s="1342"/>
      <c r="K7962" s="1342"/>
    </row>
    <row r="7963" spans="2:11" ht="14" hidden="1">
      <c r="B7963" s="1342"/>
      <c r="C7963" s="1342"/>
      <c r="D7963" s="1342"/>
      <c r="E7963" s="1342"/>
      <c r="F7963" s="1342"/>
      <c r="G7963" s="1342"/>
      <c r="H7963" s="1342"/>
      <c r="I7963" s="1342"/>
      <c r="J7963" s="1342"/>
      <c r="K7963" s="1342"/>
    </row>
    <row r="7964" spans="2:11" ht="14" hidden="1">
      <c r="B7964" s="1342"/>
      <c r="C7964" s="1342"/>
      <c r="D7964" s="1342"/>
      <c r="E7964" s="1342"/>
      <c r="F7964" s="1342"/>
      <c r="G7964" s="1342"/>
      <c r="H7964" s="1342"/>
      <c r="I7964" s="1342"/>
      <c r="J7964" s="1342"/>
      <c r="K7964" s="1342"/>
    </row>
    <row r="7965" spans="2:11" ht="14" hidden="1">
      <c r="B7965" s="1342"/>
      <c r="C7965" s="1342"/>
      <c r="D7965" s="1342"/>
      <c r="E7965" s="1342"/>
      <c r="F7965" s="1342"/>
      <c r="G7965" s="1342"/>
      <c r="H7965" s="1342"/>
      <c r="I7965" s="1342"/>
      <c r="J7965" s="1342"/>
      <c r="K7965" s="1342"/>
    </row>
    <row r="7966" spans="2:11" ht="14" hidden="1">
      <c r="B7966" s="1342"/>
      <c r="C7966" s="1342"/>
      <c r="D7966" s="1342"/>
      <c r="E7966" s="1342"/>
      <c r="F7966" s="1342"/>
      <c r="G7966" s="1342"/>
      <c r="H7966" s="1342"/>
      <c r="I7966" s="1342"/>
      <c r="J7966" s="1342"/>
      <c r="K7966" s="1342"/>
    </row>
    <row r="7967" spans="2:11" ht="14" hidden="1">
      <c r="B7967" s="1342"/>
      <c r="C7967" s="1342"/>
      <c r="D7967" s="1342"/>
      <c r="E7967" s="1342"/>
      <c r="F7967" s="1342"/>
      <c r="G7967" s="1342"/>
      <c r="H7967" s="1342"/>
      <c r="I7967" s="1342"/>
      <c r="J7967" s="1342"/>
      <c r="K7967" s="1342"/>
    </row>
    <row r="7968" spans="2:11" ht="14" hidden="1">
      <c r="B7968" s="1342"/>
      <c r="C7968" s="1342"/>
      <c r="D7968" s="1342"/>
      <c r="E7968" s="1342"/>
      <c r="F7968" s="1342"/>
      <c r="G7968" s="1342"/>
      <c r="H7968" s="1342"/>
      <c r="I7968" s="1342"/>
      <c r="J7968" s="1342"/>
      <c r="K7968" s="1342"/>
    </row>
    <row r="7969" spans="2:11" ht="14" hidden="1">
      <c r="B7969" s="1342"/>
      <c r="C7969" s="1342"/>
      <c r="D7969" s="1342"/>
      <c r="E7969" s="1342"/>
      <c r="F7969" s="1342"/>
      <c r="G7969" s="1342"/>
      <c r="H7969" s="1342"/>
      <c r="I7969" s="1342"/>
      <c r="J7969" s="1342"/>
      <c r="K7969" s="1342"/>
    </row>
    <row r="7970" spans="2:11" ht="14" hidden="1">
      <c r="B7970" s="1342"/>
      <c r="C7970" s="1342"/>
      <c r="D7970" s="1342"/>
      <c r="E7970" s="1342"/>
      <c r="F7970" s="1342"/>
      <c r="G7970" s="1342"/>
      <c r="H7970" s="1342"/>
      <c r="I7970" s="1342"/>
      <c r="J7970" s="1342"/>
      <c r="K7970" s="1342"/>
    </row>
    <row r="7971" spans="2:11" ht="14" hidden="1">
      <c r="B7971" s="1342"/>
      <c r="C7971" s="1342"/>
      <c r="D7971" s="1342"/>
      <c r="E7971" s="1342"/>
      <c r="F7971" s="1342"/>
      <c r="G7971" s="1342"/>
      <c r="H7971" s="1342"/>
      <c r="I7971" s="1342"/>
      <c r="J7971" s="1342"/>
      <c r="K7971" s="1342"/>
    </row>
    <row r="7972" spans="2:11" ht="14" hidden="1">
      <c r="B7972" s="1342"/>
      <c r="C7972" s="1342"/>
      <c r="D7972" s="1342"/>
      <c r="E7972" s="1342"/>
      <c r="F7972" s="1342"/>
      <c r="G7972" s="1342"/>
      <c r="H7972" s="1342"/>
      <c r="I7972" s="1342"/>
      <c r="J7972" s="1342"/>
      <c r="K7972" s="1342"/>
    </row>
    <row r="7973" spans="2:11" ht="14" hidden="1">
      <c r="B7973" s="1342"/>
      <c r="C7973" s="1342"/>
      <c r="D7973" s="1342"/>
      <c r="E7973" s="1342"/>
      <c r="F7973" s="1342"/>
      <c r="G7973" s="1342"/>
      <c r="H7973" s="1342"/>
      <c r="I7973" s="1342"/>
      <c r="J7973" s="1342"/>
      <c r="K7973" s="1342"/>
    </row>
    <row r="7974" spans="2:11" ht="14" hidden="1">
      <c r="B7974" s="1342"/>
      <c r="C7974" s="1342"/>
      <c r="D7974" s="1342"/>
      <c r="E7974" s="1342"/>
      <c r="F7974" s="1342"/>
      <c r="G7974" s="1342"/>
      <c r="H7974" s="1342"/>
      <c r="I7974" s="1342"/>
      <c r="J7974" s="1342"/>
      <c r="K7974" s="1342"/>
    </row>
    <row r="7975" spans="2:11" ht="14" hidden="1">
      <c r="B7975" s="1342"/>
      <c r="C7975" s="1342"/>
      <c r="D7975" s="1342"/>
      <c r="E7975" s="1342"/>
      <c r="F7975" s="1342"/>
      <c r="G7975" s="1342"/>
      <c r="H7975" s="1342"/>
      <c r="I7975" s="1342"/>
      <c r="J7975" s="1342"/>
      <c r="K7975" s="1342"/>
    </row>
    <row r="7976" spans="2:11" ht="14" hidden="1">
      <c r="B7976" s="1342"/>
      <c r="C7976" s="1342"/>
      <c r="D7976" s="1342"/>
      <c r="E7976" s="1342"/>
      <c r="F7976" s="1342"/>
      <c r="G7976" s="1342"/>
      <c r="H7976" s="1342"/>
      <c r="I7976" s="1342"/>
      <c r="J7976" s="1342"/>
      <c r="K7976" s="1342"/>
    </row>
    <row r="7977" spans="2:11" ht="14" hidden="1">
      <c r="B7977" s="1342"/>
      <c r="C7977" s="1342"/>
      <c r="D7977" s="1342"/>
      <c r="E7977" s="1342"/>
      <c r="F7977" s="1342"/>
      <c r="G7977" s="1342"/>
      <c r="H7977" s="1342"/>
      <c r="I7977" s="1342"/>
      <c r="J7977" s="1342"/>
      <c r="K7977" s="1342"/>
    </row>
    <row r="7978" spans="2:11" ht="14" hidden="1">
      <c r="B7978" s="1342"/>
      <c r="C7978" s="1342"/>
      <c r="D7978" s="1342"/>
      <c r="E7978" s="1342"/>
      <c r="F7978" s="1342"/>
      <c r="G7978" s="1342"/>
      <c r="H7978" s="1342"/>
      <c r="I7978" s="1342"/>
      <c r="J7978" s="1342"/>
      <c r="K7978" s="1342"/>
    </row>
    <row r="7979" spans="2:11" ht="14" hidden="1">
      <c r="B7979" s="1342"/>
      <c r="C7979" s="1342"/>
      <c r="D7979" s="1342"/>
      <c r="E7979" s="1342"/>
      <c r="F7979" s="1342"/>
      <c r="G7979" s="1342"/>
      <c r="H7979" s="1342"/>
      <c r="I7979" s="1342"/>
      <c r="J7979" s="1342"/>
      <c r="K7979" s="1342"/>
    </row>
    <row r="7980" spans="2:11" ht="14" hidden="1">
      <c r="B7980" s="1342"/>
      <c r="C7980" s="1342"/>
      <c r="D7980" s="1342"/>
      <c r="E7980" s="1342"/>
      <c r="F7980" s="1342"/>
      <c r="G7980" s="1342"/>
      <c r="H7980" s="1342"/>
      <c r="I7980" s="1342"/>
      <c r="J7980" s="1342"/>
      <c r="K7980" s="1342"/>
    </row>
    <row r="7981" spans="2:11" ht="14" hidden="1">
      <c r="B7981" s="1342"/>
      <c r="C7981" s="1342"/>
      <c r="D7981" s="1342"/>
      <c r="E7981" s="1342"/>
      <c r="F7981" s="1342"/>
      <c r="G7981" s="1342"/>
      <c r="H7981" s="1342"/>
      <c r="I7981" s="1342"/>
      <c r="J7981" s="1342"/>
      <c r="K7981" s="1342"/>
    </row>
    <row r="7982" spans="2:11" ht="14" hidden="1">
      <c r="B7982" s="1342"/>
      <c r="C7982" s="1342"/>
      <c r="D7982" s="1342"/>
      <c r="E7982" s="1342"/>
      <c r="F7982" s="1342"/>
      <c r="G7982" s="1342"/>
      <c r="H7982" s="1342"/>
      <c r="I7982" s="1342"/>
      <c r="J7982" s="1342"/>
      <c r="K7982" s="1342"/>
    </row>
    <row r="7983" spans="2:11" ht="14" hidden="1">
      <c r="B7983" s="1342"/>
      <c r="C7983" s="1342"/>
      <c r="D7983" s="1342"/>
      <c r="E7983" s="1342"/>
      <c r="F7983" s="1342"/>
      <c r="G7983" s="1342"/>
      <c r="H7983" s="1342"/>
      <c r="I7983" s="1342"/>
      <c r="J7983" s="1342"/>
      <c r="K7983" s="1342"/>
    </row>
    <row r="7984" spans="2:11" ht="14" hidden="1">
      <c r="B7984" s="1342"/>
      <c r="C7984" s="1342"/>
      <c r="D7984" s="1342"/>
      <c r="E7984" s="1342"/>
      <c r="F7984" s="1342"/>
      <c r="G7984" s="1342"/>
      <c r="H7984" s="1342"/>
      <c r="I7984" s="1342"/>
      <c r="J7984" s="1342"/>
      <c r="K7984" s="1342"/>
    </row>
    <row r="7985" spans="2:11" ht="14" hidden="1">
      <c r="B7985" s="1342"/>
      <c r="C7985" s="1342"/>
      <c r="D7985" s="1342"/>
      <c r="E7985" s="1342"/>
      <c r="F7985" s="1342"/>
      <c r="G7985" s="1342"/>
      <c r="H7985" s="1342"/>
      <c r="I7985" s="1342"/>
      <c r="J7985" s="1342"/>
      <c r="K7985" s="1342"/>
    </row>
    <row r="7986" spans="2:11" ht="14" hidden="1">
      <c r="B7986" s="1342"/>
      <c r="C7986" s="1342"/>
      <c r="D7986" s="1342"/>
      <c r="E7986" s="1342"/>
      <c r="F7986" s="1342"/>
      <c r="G7986" s="1342"/>
      <c r="H7986" s="1342"/>
      <c r="I7986" s="1342"/>
      <c r="J7986" s="1342"/>
      <c r="K7986" s="1342"/>
    </row>
    <row r="7987" spans="2:11" ht="14" hidden="1">
      <c r="B7987" s="1342"/>
      <c r="C7987" s="1342"/>
      <c r="D7987" s="1342"/>
      <c r="E7987" s="1342"/>
      <c r="F7987" s="1342"/>
      <c r="G7987" s="1342"/>
      <c r="H7987" s="1342"/>
      <c r="I7987" s="1342"/>
      <c r="J7987" s="1342"/>
      <c r="K7987" s="1342"/>
    </row>
    <row r="7988" spans="2:11" ht="14" hidden="1">
      <c r="B7988" s="1342"/>
      <c r="C7988" s="1342"/>
      <c r="D7988" s="1342"/>
      <c r="E7988" s="1342"/>
      <c r="F7988" s="1342"/>
      <c r="G7988" s="1342"/>
      <c r="H7988" s="1342"/>
      <c r="I7988" s="1342"/>
      <c r="J7988" s="1342"/>
      <c r="K7988" s="1342"/>
    </row>
    <row r="7989" spans="2:11" ht="14" hidden="1">
      <c r="B7989" s="1342"/>
      <c r="C7989" s="1342"/>
      <c r="D7989" s="1342"/>
      <c r="E7989" s="1342"/>
      <c r="F7989" s="1342"/>
      <c r="G7989" s="1342"/>
      <c r="H7989" s="1342"/>
      <c r="I7989" s="1342"/>
      <c r="J7989" s="1342"/>
      <c r="K7989" s="1342"/>
    </row>
    <row r="7990" spans="2:11" ht="14" hidden="1">
      <c r="B7990" s="1342"/>
      <c r="C7990" s="1342"/>
      <c r="D7990" s="1342"/>
      <c r="E7990" s="1342"/>
      <c r="F7990" s="1342"/>
      <c r="G7990" s="1342"/>
      <c r="H7990" s="1342"/>
      <c r="I7990" s="1342"/>
      <c r="J7990" s="1342"/>
      <c r="K7990" s="1342"/>
    </row>
    <row r="7991" spans="2:11" ht="14" hidden="1">
      <c r="B7991" s="1342"/>
      <c r="C7991" s="1342"/>
      <c r="D7991" s="1342"/>
      <c r="E7991" s="1342"/>
      <c r="F7991" s="1342"/>
      <c r="G7991" s="1342"/>
      <c r="H7991" s="1342"/>
      <c r="I7991" s="1342"/>
      <c r="J7991" s="1342"/>
      <c r="K7991" s="1342"/>
    </row>
    <row r="7992" spans="2:11" ht="14" hidden="1">
      <c r="B7992" s="1342"/>
      <c r="C7992" s="1342"/>
      <c r="D7992" s="1342"/>
      <c r="E7992" s="1342"/>
      <c r="F7992" s="1342"/>
      <c r="G7992" s="1342"/>
      <c r="H7992" s="1342"/>
      <c r="I7992" s="1342"/>
      <c r="J7992" s="1342"/>
      <c r="K7992" s="1342"/>
    </row>
    <row r="7993" spans="2:11" ht="14" hidden="1">
      <c r="B7993" s="1342"/>
      <c r="C7993" s="1342"/>
      <c r="D7993" s="1342"/>
      <c r="E7993" s="1342"/>
      <c r="F7993" s="1342"/>
      <c r="G7993" s="1342"/>
      <c r="H7993" s="1342"/>
      <c r="I7993" s="1342"/>
      <c r="J7993" s="1342"/>
      <c r="K7993" s="1342"/>
    </row>
    <row r="7994" spans="2:11" ht="14" hidden="1">
      <c r="B7994" s="1342"/>
      <c r="C7994" s="1342"/>
      <c r="D7994" s="1342"/>
      <c r="E7994" s="1342"/>
      <c r="F7994" s="1342"/>
      <c r="G7994" s="1342"/>
      <c r="H7994" s="1342"/>
      <c r="I7994" s="1342"/>
      <c r="J7994" s="1342"/>
      <c r="K7994" s="1342"/>
    </row>
    <row r="7995" spans="2:11" ht="14" hidden="1">
      <c r="B7995" s="1342"/>
      <c r="C7995" s="1342"/>
      <c r="D7995" s="1342"/>
      <c r="E7995" s="1342"/>
      <c r="F7995" s="1342"/>
      <c r="G7995" s="1342"/>
      <c r="H7995" s="1342"/>
      <c r="I7995" s="1342"/>
      <c r="J7995" s="1342"/>
      <c r="K7995" s="1342"/>
    </row>
    <row r="7996" spans="2:11" ht="14" hidden="1">
      <c r="B7996" s="1342"/>
      <c r="C7996" s="1342"/>
      <c r="D7996" s="1342"/>
      <c r="E7996" s="1342"/>
      <c r="F7996" s="1342"/>
      <c r="G7996" s="1342"/>
      <c r="H7996" s="1342"/>
      <c r="I7996" s="1342"/>
      <c r="J7996" s="1342"/>
      <c r="K7996" s="1342"/>
    </row>
    <row r="7997" spans="2:11" ht="14" hidden="1">
      <c r="B7997" s="1342"/>
      <c r="C7997" s="1342"/>
      <c r="D7997" s="1342"/>
      <c r="E7997" s="1342"/>
      <c r="F7997" s="1342"/>
      <c r="G7997" s="1342"/>
      <c r="H7997" s="1342"/>
      <c r="I7997" s="1342"/>
      <c r="J7997" s="1342"/>
      <c r="K7997" s="1342"/>
    </row>
    <row r="7998" spans="2:11" ht="14" hidden="1">
      <c r="B7998" s="1342"/>
      <c r="C7998" s="1342"/>
      <c r="D7998" s="1342"/>
      <c r="E7998" s="1342"/>
      <c r="F7998" s="1342"/>
      <c r="G7998" s="1342"/>
      <c r="H7998" s="1342"/>
      <c r="I7998" s="1342"/>
      <c r="J7998" s="1342"/>
      <c r="K7998" s="1342"/>
    </row>
    <row r="7999" spans="2:11" ht="14" hidden="1">
      <c r="B7999" s="1342"/>
      <c r="C7999" s="1342"/>
      <c r="D7999" s="1342"/>
      <c r="E7999" s="1342"/>
      <c r="F7999" s="1342"/>
      <c r="G7999" s="1342"/>
      <c r="H7999" s="1342"/>
      <c r="I7999" s="1342"/>
      <c r="J7999" s="1342"/>
      <c r="K7999" s="1342"/>
    </row>
    <row r="8000" spans="2:11" ht="14" hidden="1">
      <c r="B8000" s="1342"/>
      <c r="C8000" s="1342"/>
      <c r="D8000" s="1342"/>
      <c r="E8000" s="1342"/>
      <c r="F8000" s="1342"/>
      <c r="G8000" s="1342"/>
      <c r="H8000" s="1342"/>
      <c r="I8000" s="1342"/>
      <c r="J8000" s="1342"/>
      <c r="K8000" s="1342"/>
    </row>
    <row r="8001" spans="2:11" ht="14" hidden="1">
      <c r="B8001" s="1342"/>
      <c r="C8001" s="1342"/>
      <c r="D8001" s="1342"/>
      <c r="E8001" s="1342"/>
      <c r="F8001" s="1342"/>
      <c r="G8001" s="1342"/>
      <c r="H8001" s="1342"/>
      <c r="I8001" s="1342"/>
      <c r="J8001" s="1342"/>
      <c r="K8001" s="1342"/>
    </row>
    <row r="8002" spans="2:11" ht="14" hidden="1">
      <c r="B8002" s="1342"/>
      <c r="C8002" s="1342"/>
      <c r="D8002" s="1342"/>
      <c r="E8002" s="1342"/>
      <c r="F8002" s="1342"/>
      <c r="G8002" s="1342"/>
      <c r="H8002" s="1342"/>
      <c r="I8002" s="1342"/>
      <c r="J8002" s="1342"/>
      <c r="K8002" s="1342"/>
    </row>
    <row r="8003" spans="2:11" ht="14" hidden="1">
      <c r="B8003" s="1342"/>
      <c r="C8003" s="1342"/>
      <c r="D8003" s="1342"/>
      <c r="E8003" s="1342"/>
      <c r="F8003" s="1342"/>
      <c r="G8003" s="1342"/>
      <c r="H8003" s="1342"/>
      <c r="I8003" s="1342"/>
      <c r="J8003" s="1342"/>
      <c r="K8003" s="1342"/>
    </row>
    <row r="8004" spans="2:11" ht="14" hidden="1">
      <c r="B8004" s="1342"/>
      <c r="C8004" s="1342"/>
      <c r="D8004" s="1342"/>
      <c r="E8004" s="1342"/>
      <c r="F8004" s="1342"/>
      <c r="G8004" s="1342"/>
      <c r="H8004" s="1342"/>
      <c r="I8004" s="1342"/>
      <c r="J8004" s="1342"/>
      <c r="K8004" s="1342"/>
    </row>
    <row r="8005" spans="2:11" ht="14" hidden="1">
      <c r="B8005" s="1342"/>
      <c r="C8005" s="1342"/>
      <c r="D8005" s="1342"/>
      <c r="E8005" s="1342"/>
      <c r="F8005" s="1342"/>
      <c r="G8005" s="1342"/>
      <c r="H8005" s="1342"/>
      <c r="I8005" s="1342"/>
      <c r="J8005" s="1342"/>
      <c r="K8005" s="1342"/>
    </row>
    <row r="8006" spans="2:11" ht="14" hidden="1">
      <c r="B8006" s="1342"/>
      <c r="C8006" s="1342"/>
      <c r="D8006" s="1342"/>
      <c r="E8006" s="1342"/>
      <c r="F8006" s="1342"/>
      <c r="G8006" s="1342"/>
      <c r="H8006" s="1342"/>
      <c r="I8006" s="1342"/>
      <c r="J8006" s="1342"/>
      <c r="K8006" s="1342"/>
    </row>
    <row r="8007" spans="2:11" ht="14" hidden="1">
      <c r="B8007" s="1342"/>
      <c r="C8007" s="1342"/>
      <c r="D8007" s="1342"/>
      <c r="E8007" s="1342"/>
      <c r="F8007" s="1342"/>
      <c r="G8007" s="1342"/>
      <c r="H8007" s="1342"/>
      <c r="I8007" s="1342"/>
      <c r="J8007" s="1342"/>
      <c r="K8007" s="1342"/>
    </row>
    <row r="8008" spans="2:11" ht="14" hidden="1">
      <c r="B8008" s="1342"/>
      <c r="C8008" s="1342"/>
      <c r="D8008" s="1342"/>
      <c r="E8008" s="1342"/>
      <c r="F8008" s="1342"/>
      <c r="G8008" s="1342"/>
      <c r="H8008" s="1342"/>
      <c r="I8008" s="1342"/>
      <c r="J8008" s="1342"/>
      <c r="K8008" s="1342"/>
    </row>
    <row r="8009" spans="2:11" ht="14" hidden="1">
      <c r="B8009" s="1342"/>
      <c r="C8009" s="1342"/>
      <c r="D8009" s="1342"/>
      <c r="E8009" s="1342"/>
      <c r="F8009" s="1342"/>
      <c r="G8009" s="1342"/>
      <c r="H8009" s="1342"/>
      <c r="I8009" s="1342"/>
      <c r="J8009" s="1342"/>
      <c r="K8009" s="1342"/>
    </row>
    <row r="8010" spans="2:11" ht="14" hidden="1">
      <c r="B8010" s="1342"/>
      <c r="C8010" s="1342"/>
      <c r="D8010" s="1342"/>
      <c r="E8010" s="1342"/>
      <c r="F8010" s="1342"/>
      <c r="G8010" s="1342"/>
      <c r="H8010" s="1342"/>
      <c r="I8010" s="1342"/>
      <c r="J8010" s="1342"/>
      <c r="K8010" s="1342"/>
    </row>
    <row r="8011" spans="2:11" ht="14" hidden="1">
      <c r="B8011" s="1342"/>
      <c r="C8011" s="1342"/>
      <c r="D8011" s="1342"/>
      <c r="E8011" s="1342"/>
      <c r="F8011" s="1342"/>
      <c r="G8011" s="1342"/>
      <c r="H8011" s="1342"/>
      <c r="I8011" s="1342"/>
      <c r="J8011" s="1342"/>
      <c r="K8011" s="1342"/>
    </row>
    <row r="8012" spans="2:11" ht="14" hidden="1">
      <c r="B8012" s="1342"/>
      <c r="C8012" s="1342"/>
      <c r="D8012" s="1342"/>
      <c r="E8012" s="1342"/>
      <c r="F8012" s="1342"/>
      <c r="G8012" s="1342"/>
      <c r="H8012" s="1342"/>
      <c r="I8012" s="1342"/>
      <c r="J8012" s="1342"/>
      <c r="K8012" s="1342"/>
    </row>
    <row r="8013" spans="2:11" ht="14" hidden="1">
      <c r="B8013" s="1342"/>
      <c r="C8013" s="1342"/>
      <c r="D8013" s="1342"/>
      <c r="E8013" s="1342"/>
      <c r="F8013" s="1342"/>
      <c r="G8013" s="1342"/>
      <c r="H8013" s="1342"/>
      <c r="I8013" s="1342"/>
      <c r="J8013" s="1342"/>
      <c r="K8013" s="1342"/>
    </row>
    <row r="8014" spans="2:11" ht="14" hidden="1">
      <c r="B8014" s="1342"/>
      <c r="C8014" s="1342"/>
      <c r="D8014" s="1342"/>
      <c r="E8014" s="1342"/>
      <c r="F8014" s="1342"/>
      <c r="G8014" s="1342"/>
      <c r="H8014" s="1342"/>
      <c r="I8014" s="1342"/>
      <c r="J8014" s="1342"/>
      <c r="K8014" s="1342"/>
    </row>
    <row r="8015" spans="2:11" ht="14" hidden="1">
      <c r="B8015" s="1342"/>
      <c r="C8015" s="1342"/>
      <c r="D8015" s="1342"/>
      <c r="E8015" s="1342"/>
      <c r="F8015" s="1342"/>
      <c r="G8015" s="1342"/>
      <c r="H8015" s="1342"/>
      <c r="I8015" s="1342"/>
      <c r="J8015" s="1342"/>
      <c r="K8015" s="1342"/>
    </row>
    <row r="8016" spans="2:11" ht="14" hidden="1">
      <c r="B8016" s="1342"/>
      <c r="C8016" s="1342"/>
      <c r="D8016" s="1342"/>
      <c r="E8016" s="1342"/>
      <c r="F8016" s="1342"/>
      <c r="G8016" s="1342"/>
      <c r="H8016" s="1342"/>
      <c r="I8016" s="1342"/>
      <c r="J8016" s="1342"/>
      <c r="K8016" s="1342"/>
    </row>
    <row r="8017" spans="2:11" ht="14" hidden="1">
      <c r="B8017" s="1342"/>
      <c r="C8017" s="1342"/>
      <c r="D8017" s="1342"/>
      <c r="E8017" s="1342"/>
      <c r="F8017" s="1342"/>
      <c r="G8017" s="1342"/>
      <c r="H8017" s="1342"/>
      <c r="I8017" s="1342"/>
      <c r="J8017" s="1342"/>
      <c r="K8017" s="1342"/>
    </row>
    <row r="8018" spans="2:11" ht="14" hidden="1">
      <c r="B8018" s="1342"/>
      <c r="C8018" s="1342"/>
      <c r="D8018" s="1342"/>
      <c r="E8018" s="1342"/>
      <c r="F8018" s="1342"/>
      <c r="G8018" s="1342"/>
      <c r="H8018" s="1342"/>
      <c r="I8018" s="1342"/>
      <c r="J8018" s="1342"/>
      <c r="K8018" s="1342"/>
    </row>
    <row r="8019" spans="2:11" ht="14" hidden="1">
      <c r="B8019" s="1342"/>
      <c r="C8019" s="1342"/>
      <c r="D8019" s="1342"/>
      <c r="E8019" s="1342"/>
      <c r="F8019" s="1342"/>
      <c r="G8019" s="1342"/>
      <c r="H8019" s="1342"/>
      <c r="I8019" s="1342"/>
      <c r="J8019" s="1342"/>
      <c r="K8019" s="1342"/>
    </row>
    <row r="8020" spans="2:11" ht="14" hidden="1">
      <c r="B8020" s="1342"/>
      <c r="C8020" s="1342"/>
      <c r="D8020" s="1342"/>
      <c r="E8020" s="1342"/>
      <c r="F8020" s="1342"/>
      <c r="G8020" s="1342"/>
      <c r="H8020" s="1342"/>
      <c r="I8020" s="1342"/>
      <c r="J8020" s="1342"/>
      <c r="K8020" s="1342"/>
    </row>
    <row r="8021" spans="2:11" ht="14" hidden="1">
      <c r="B8021" s="1342"/>
      <c r="C8021" s="1342"/>
      <c r="D8021" s="1342"/>
      <c r="E8021" s="1342"/>
      <c r="F8021" s="1342"/>
      <c r="G8021" s="1342"/>
      <c r="H8021" s="1342"/>
      <c r="I8021" s="1342"/>
      <c r="J8021" s="1342"/>
      <c r="K8021" s="1342"/>
    </row>
    <row r="8022" spans="2:11" ht="14" hidden="1">
      <c r="B8022" s="1342"/>
      <c r="C8022" s="1342"/>
      <c r="D8022" s="1342"/>
      <c r="E8022" s="1342"/>
      <c r="F8022" s="1342"/>
      <c r="G8022" s="1342"/>
      <c r="H8022" s="1342"/>
      <c r="I8022" s="1342"/>
      <c r="J8022" s="1342"/>
      <c r="K8022" s="1342"/>
    </row>
    <row r="8023" spans="2:11" ht="14" hidden="1">
      <c r="B8023" s="1342"/>
      <c r="C8023" s="1342"/>
      <c r="D8023" s="1342"/>
      <c r="E8023" s="1342"/>
      <c r="F8023" s="1342"/>
      <c r="G8023" s="1342"/>
      <c r="H8023" s="1342"/>
      <c r="I8023" s="1342"/>
      <c r="J8023" s="1342"/>
      <c r="K8023" s="1342"/>
    </row>
    <row r="8024" spans="2:11" ht="14" hidden="1">
      <c r="B8024" s="1342"/>
      <c r="C8024" s="1342"/>
      <c r="D8024" s="1342"/>
      <c r="E8024" s="1342"/>
      <c r="F8024" s="1342"/>
      <c r="G8024" s="1342"/>
      <c r="H8024" s="1342"/>
      <c r="I8024" s="1342"/>
      <c r="J8024" s="1342"/>
      <c r="K8024" s="1342"/>
    </row>
    <row r="8025" spans="2:11" ht="14" hidden="1">
      <c r="B8025" s="1342"/>
      <c r="C8025" s="1342"/>
      <c r="D8025" s="1342"/>
      <c r="E8025" s="1342"/>
      <c r="F8025" s="1342"/>
      <c r="G8025" s="1342"/>
      <c r="H8025" s="1342"/>
      <c r="I8025" s="1342"/>
      <c r="J8025" s="1342"/>
      <c r="K8025" s="1342"/>
    </row>
    <row r="8026" spans="2:11" ht="14" hidden="1">
      <c r="B8026" s="1342"/>
      <c r="C8026" s="1342"/>
      <c r="D8026" s="1342"/>
      <c r="E8026" s="1342"/>
      <c r="F8026" s="1342"/>
      <c r="G8026" s="1342"/>
      <c r="H8026" s="1342"/>
      <c r="I8026" s="1342"/>
      <c r="J8026" s="1342"/>
      <c r="K8026" s="1342"/>
    </row>
    <row r="8027" spans="2:11" ht="14" hidden="1">
      <c r="B8027" s="1342"/>
      <c r="C8027" s="1342"/>
      <c r="D8027" s="1342"/>
      <c r="E8027" s="1342"/>
      <c r="F8027" s="1342"/>
      <c r="G8027" s="1342"/>
      <c r="H8027" s="1342"/>
      <c r="I8027" s="1342"/>
      <c r="J8027" s="1342"/>
      <c r="K8027" s="1342"/>
    </row>
    <row r="8028" spans="2:11" ht="14" hidden="1">
      <c r="B8028" s="1342"/>
      <c r="C8028" s="1342"/>
      <c r="D8028" s="1342"/>
      <c r="E8028" s="1342"/>
      <c r="F8028" s="1342"/>
      <c r="G8028" s="1342"/>
      <c r="H8028" s="1342"/>
      <c r="I8028" s="1342"/>
      <c r="J8028" s="1342"/>
      <c r="K8028" s="1342"/>
    </row>
    <row r="8029" spans="2:11" ht="14" hidden="1">
      <c r="B8029" s="1342"/>
      <c r="C8029" s="1342"/>
      <c r="D8029" s="1342"/>
      <c r="E8029" s="1342"/>
      <c r="F8029" s="1342"/>
      <c r="G8029" s="1342"/>
      <c r="H8029" s="1342"/>
      <c r="I8029" s="1342"/>
      <c r="J8029" s="1342"/>
      <c r="K8029" s="1342"/>
    </row>
    <row r="8030" spans="2:11" ht="14" hidden="1">
      <c r="B8030" s="1342"/>
      <c r="C8030" s="1342"/>
      <c r="D8030" s="1342"/>
      <c r="E8030" s="1342"/>
      <c r="F8030" s="1342"/>
      <c r="G8030" s="1342"/>
      <c r="H8030" s="1342"/>
      <c r="I8030" s="1342"/>
      <c r="J8030" s="1342"/>
      <c r="K8030" s="1342"/>
    </row>
    <row r="8031" spans="2:11" ht="14" hidden="1">
      <c r="B8031" s="1342"/>
      <c r="C8031" s="1342"/>
      <c r="D8031" s="1342"/>
      <c r="E8031" s="1342"/>
      <c r="F8031" s="1342"/>
      <c r="G8031" s="1342"/>
      <c r="H8031" s="1342"/>
      <c r="I8031" s="1342"/>
      <c r="J8031" s="1342"/>
      <c r="K8031" s="1342"/>
    </row>
    <row r="8032" spans="2:11" ht="14" hidden="1">
      <c r="B8032" s="1342"/>
      <c r="C8032" s="1342"/>
      <c r="D8032" s="1342"/>
      <c r="E8032" s="1342"/>
      <c r="F8032" s="1342"/>
      <c r="G8032" s="1342"/>
      <c r="H8032" s="1342"/>
      <c r="I8032" s="1342"/>
      <c r="J8032" s="1342"/>
      <c r="K8032" s="1342"/>
    </row>
    <row r="8033" spans="2:11" ht="14" hidden="1">
      <c r="B8033" s="1342"/>
      <c r="C8033" s="1342"/>
      <c r="D8033" s="1342"/>
      <c r="E8033" s="1342"/>
      <c r="F8033" s="1342"/>
      <c r="G8033" s="1342"/>
      <c r="H8033" s="1342"/>
      <c r="I8033" s="1342"/>
      <c r="J8033" s="1342"/>
      <c r="K8033" s="1342"/>
    </row>
    <row r="8034" spans="2:11" ht="14" hidden="1">
      <c r="B8034" s="1342"/>
      <c r="C8034" s="1342"/>
      <c r="D8034" s="1342"/>
      <c r="E8034" s="1342"/>
      <c r="F8034" s="1342"/>
      <c r="G8034" s="1342"/>
      <c r="H8034" s="1342"/>
      <c r="I8034" s="1342"/>
      <c r="J8034" s="1342"/>
      <c r="K8034" s="1342"/>
    </row>
    <row r="8035" spans="2:11" ht="14" hidden="1">
      <c r="B8035" s="1342"/>
      <c r="C8035" s="1342"/>
      <c r="D8035" s="1342"/>
      <c r="E8035" s="1342"/>
      <c r="F8035" s="1342"/>
      <c r="G8035" s="1342"/>
      <c r="H8035" s="1342"/>
      <c r="I8035" s="1342"/>
      <c r="J8035" s="1342"/>
      <c r="K8035" s="1342"/>
    </row>
    <row r="8036" spans="2:11" ht="14" hidden="1">
      <c r="B8036" s="1342"/>
      <c r="C8036" s="1342"/>
      <c r="D8036" s="1342"/>
      <c r="E8036" s="1342"/>
      <c r="F8036" s="1342"/>
      <c r="G8036" s="1342"/>
      <c r="H8036" s="1342"/>
      <c r="I8036" s="1342"/>
      <c r="J8036" s="1342"/>
      <c r="K8036" s="1342"/>
    </row>
    <row r="8037" spans="2:11" ht="14" hidden="1">
      <c r="B8037" s="1342"/>
      <c r="C8037" s="1342"/>
      <c r="D8037" s="1342"/>
      <c r="E8037" s="1342"/>
      <c r="F8037" s="1342"/>
      <c r="G8037" s="1342"/>
      <c r="H8037" s="1342"/>
      <c r="I8037" s="1342"/>
      <c r="J8037" s="1342"/>
      <c r="K8037" s="1342"/>
    </row>
    <row r="8038" spans="2:11" ht="14" hidden="1">
      <c r="B8038" s="1342"/>
      <c r="C8038" s="1342"/>
      <c r="D8038" s="1342"/>
      <c r="E8038" s="1342"/>
      <c r="F8038" s="1342"/>
      <c r="G8038" s="1342"/>
      <c r="H8038" s="1342"/>
      <c r="I8038" s="1342"/>
      <c r="J8038" s="1342"/>
      <c r="K8038" s="1342"/>
    </row>
    <row r="8039" spans="2:11" ht="14" hidden="1">
      <c r="B8039" s="1342"/>
      <c r="C8039" s="1342"/>
      <c r="D8039" s="1342"/>
      <c r="E8039" s="1342"/>
      <c r="F8039" s="1342"/>
      <c r="G8039" s="1342"/>
      <c r="H8039" s="1342"/>
      <c r="I8039" s="1342"/>
      <c r="J8039" s="1342"/>
      <c r="K8039" s="1342"/>
    </row>
    <row r="8040" spans="2:11" ht="14" hidden="1">
      <c r="B8040" s="1342"/>
      <c r="C8040" s="1342"/>
      <c r="D8040" s="1342"/>
      <c r="E8040" s="1342"/>
      <c r="F8040" s="1342"/>
      <c r="G8040" s="1342"/>
      <c r="H8040" s="1342"/>
      <c r="I8040" s="1342"/>
      <c r="J8040" s="1342"/>
      <c r="K8040" s="1342"/>
    </row>
    <row r="8041" spans="2:11" ht="14" hidden="1">
      <c r="B8041" s="1342"/>
      <c r="C8041" s="1342"/>
      <c r="D8041" s="1342"/>
      <c r="E8041" s="1342"/>
      <c r="F8041" s="1342"/>
      <c r="G8041" s="1342"/>
      <c r="H8041" s="1342"/>
      <c r="I8041" s="1342"/>
      <c r="J8041" s="1342"/>
      <c r="K8041" s="1342"/>
    </row>
    <row r="8042" spans="2:11" ht="14" hidden="1">
      <c r="B8042" s="1342"/>
      <c r="C8042" s="1342"/>
      <c r="D8042" s="1342"/>
      <c r="E8042" s="1342"/>
      <c r="F8042" s="1342"/>
      <c r="G8042" s="1342"/>
      <c r="H8042" s="1342"/>
      <c r="I8042" s="1342"/>
      <c r="J8042" s="1342"/>
      <c r="K8042" s="1342"/>
    </row>
    <row r="8043" spans="2:11" ht="14" hidden="1">
      <c r="B8043" s="1342"/>
      <c r="C8043" s="1342"/>
      <c r="D8043" s="1342"/>
      <c r="E8043" s="1342"/>
      <c r="F8043" s="1342"/>
      <c r="G8043" s="1342"/>
      <c r="H8043" s="1342"/>
      <c r="I8043" s="1342"/>
      <c r="J8043" s="1342"/>
      <c r="K8043" s="1342"/>
    </row>
    <row r="8044" spans="2:11" ht="14" hidden="1">
      <c r="B8044" s="1342"/>
      <c r="C8044" s="1342"/>
      <c r="D8044" s="1342"/>
      <c r="E8044" s="1342"/>
      <c r="F8044" s="1342"/>
      <c r="G8044" s="1342"/>
      <c r="H8044" s="1342"/>
      <c r="I8044" s="1342"/>
      <c r="J8044" s="1342"/>
      <c r="K8044" s="1342"/>
    </row>
    <row r="8045" spans="2:11" ht="14" hidden="1">
      <c r="B8045" s="1342"/>
      <c r="C8045" s="1342"/>
      <c r="D8045" s="1342"/>
      <c r="E8045" s="1342"/>
      <c r="F8045" s="1342"/>
      <c r="G8045" s="1342"/>
      <c r="H8045" s="1342"/>
      <c r="I8045" s="1342"/>
      <c r="J8045" s="1342"/>
      <c r="K8045" s="1342"/>
    </row>
    <row r="8046" spans="2:11" ht="14" hidden="1">
      <c r="B8046" s="1342"/>
      <c r="C8046" s="1342"/>
      <c r="D8046" s="1342"/>
      <c r="E8046" s="1342"/>
      <c r="F8046" s="1342"/>
      <c r="G8046" s="1342"/>
      <c r="H8046" s="1342"/>
      <c r="I8046" s="1342"/>
      <c r="J8046" s="1342"/>
      <c r="K8046" s="1342"/>
    </row>
    <row r="8047" spans="2:11" ht="14" hidden="1">
      <c r="B8047" s="1342"/>
      <c r="C8047" s="1342"/>
      <c r="D8047" s="1342"/>
      <c r="E8047" s="1342"/>
      <c r="F8047" s="1342"/>
      <c r="G8047" s="1342"/>
      <c r="H8047" s="1342"/>
      <c r="I8047" s="1342"/>
      <c r="J8047" s="1342"/>
      <c r="K8047" s="1342"/>
    </row>
    <row r="8048" spans="2:11" ht="14" hidden="1">
      <c r="B8048" s="1342"/>
      <c r="C8048" s="1342"/>
      <c r="D8048" s="1342"/>
      <c r="E8048" s="1342"/>
      <c r="F8048" s="1342"/>
      <c r="G8048" s="1342"/>
      <c r="H8048" s="1342"/>
      <c r="I8048" s="1342"/>
      <c r="J8048" s="1342"/>
      <c r="K8048" s="1342"/>
    </row>
    <row r="8049" spans="2:11" ht="14" hidden="1">
      <c r="B8049" s="1342"/>
      <c r="C8049" s="1342"/>
      <c r="D8049" s="1342"/>
      <c r="E8049" s="1342"/>
      <c r="F8049" s="1342"/>
      <c r="G8049" s="1342"/>
      <c r="H8049" s="1342"/>
      <c r="I8049" s="1342"/>
      <c r="J8049" s="1342"/>
      <c r="K8049" s="1342"/>
    </row>
    <row r="8050" spans="2:11" ht="14" hidden="1">
      <c r="B8050" s="1342"/>
      <c r="C8050" s="1342"/>
      <c r="D8050" s="1342"/>
      <c r="E8050" s="1342"/>
      <c r="F8050" s="1342"/>
      <c r="G8050" s="1342"/>
      <c r="H8050" s="1342"/>
      <c r="I8050" s="1342"/>
      <c r="J8050" s="1342"/>
      <c r="K8050" s="1342"/>
    </row>
    <row r="8051" spans="2:11" ht="14" hidden="1">
      <c r="B8051" s="1342"/>
      <c r="C8051" s="1342"/>
      <c r="D8051" s="1342"/>
      <c r="E8051" s="1342"/>
      <c r="F8051" s="1342"/>
      <c r="G8051" s="1342"/>
      <c r="H8051" s="1342"/>
      <c r="I8051" s="1342"/>
      <c r="J8051" s="1342"/>
      <c r="K8051" s="1342"/>
    </row>
    <row r="8052" spans="2:11" ht="14" hidden="1">
      <c r="B8052" s="1342"/>
      <c r="C8052" s="1342"/>
      <c r="D8052" s="1342"/>
      <c r="E8052" s="1342"/>
      <c r="F8052" s="1342"/>
      <c r="G8052" s="1342"/>
      <c r="H8052" s="1342"/>
      <c r="I8052" s="1342"/>
      <c r="J8052" s="1342"/>
      <c r="K8052" s="1342"/>
    </row>
    <row r="8053" spans="2:11" ht="14" hidden="1">
      <c r="B8053" s="1342"/>
      <c r="C8053" s="1342"/>
      <c r="D8053" s="1342"/>
      <c r="E8053" s="1342"/>
      <c r="F8053" s="1342"/>
      <c r="G8053" s="1342"/>
      <c r="H8053" s="1342"/>
      <c r="I8053" s="1342"/>
      <c r="J8053" s="1342"/>
      <c r="K8053" s="1342"/>
    </row>
    <row r="8054" spans="2:11" ht="14" hidden="1">
      <c r="B8054" s="1342"/>
      <c r="C8054" s="1342"/>
      <c r="D8054" s="1342"/>
      <c r="E8054" s="1342"/>
      <c r="F8054" s="1342"/>
      <c r="G8054" s="1342"/>
      <c r="H8054" s="1342"/>
      <c r="I8054" s="1342"/>
      <c r="J8054" s="1342"/>
      <c r="K8054" s="1342"/>
    </row>
    <row r="8055" spans="2:11" ht="14" hidden="1">
      <c r="B8055" s="1342"/>
      <c r="C8055" s="1342"/>
      <c r="D8055" s="1342"/>
      <c r="E8055" s="1342"/>
      <c r="F8055" s="1342"/>
      <c r="G8055" s="1342"/>
      <c r="H8055" s="1342"/>
      <c r="I8055" s="1342"/>
      <c r="J8055" s="1342"/>
      <c r="K8055" s="1342"/>
    </row>
    <row r="8056" spans="2:11" ht="14" hidden="1">
      <c r="B8056" s="1342"/>
      <c r="C8056" s="1342"/>
      <c r="D8056" s="1342"/>
      <c r="E8056" s="1342"/>
      <c r="F8056" s="1342"/>
      <c r="G8056" s="1342"/>
      <c r="H8056" s="1342"/>
      <c r="I8056" s="1342"/>
      <c r="J8056" s="1342"/>
      <c r="K8056" s="1342"/>
    </row>
    <row r="8057" spans="2:11" ht="14" hidden="1">
      <c r="B8057" s="1342"/>
      <c r="C8057" s="1342"/>
      <c r="D8057" s="1342"/>
      <c r="E8057" s="1342"/>
      <c r="F8057" s="1342"/>
      <c r="G8057" s="1342"/>
      <c r="H8057" s="1342"/>
      <c r="I8057" s="1342"/>
      <c r="J8057" s="1342"/>
      <c r="K8057" s="1342"/>
    </row>
    <row r="8058" spans="2:11" ht="14" hidden="1">
      <c r="B8058" s="1342"/>
      <c r="C8058" s="1342"/>
      <c r="D8058" s="1342"/>
      <c r="E8058" s="1342"/>
      <c r="F8058" s="1342"/>
      <c r="G8058" s="1342"/>
      <c r="H8058" s="1342"/>
      <c r="I8058" s="1342"/>
      <c r="J8058" s="1342"/>
      <c r="K8058" s="1342"/>
    </row>
    <row r="8059" spans="2:11" ht="14" hidden="1">
      <c r="B8059" s="1342"/>
      <c r="C8059" s="1342"/>
      <c r="D8059" s="1342"/>
      <c r="E8059" s="1342"/>
      <c r="F8059" s="1342"/>
      <c r="G8059" s="1342"/>
      <c r="H8059" s="1342"/>
      <c r="I8059" s="1342"/>
      <c r="J8059" s="1342"/>
      <c r="K8059" s="1342"/>
    </row>
    <row r="8060" spans="2:11" ht="14" hidden="1">
      <c r="B8060" s="1342"/>
      <c r="C8060" s="1342"/>
      <c r="D8060" s="1342"/>
      <c r="E8060" s="1342"/>
      <c r="F8060" s="1342"/>
      <c r="G8060" s="1342"/>
      <c r="H8060" s="1342"/>
      <c r="I8060" s="1342"/>
      <c r="J8060" s="1342"/>
      <c r="K8060" s="1342"/>
    </row>
    <row r="8061" spans="2:11" ht="14" hidden="1">
      <c r="B8061" s="1342"/>
      <c r="C8061" s="1342"/>
      <c r="D8061" s="1342"/>
      <c r="E8061" s="1342"/>
      <c r="F8061" s="1342"/>
      <c r="G8061" s="1342"/>
      <c r="H8061" s="1342"/>
      <c r="I8061" s="1342"/>
      <c r="J8061" s="1342"/>
      <c r="K8061" s="1342"/>
    </row>
    <row r="8062" spans="2:11" ht="14" hidden="1">
      <c r="B8062" s="1342"/>
      <c r="C8062" s="1342"/>
      <c r="D8062" s="1342"/>
      <c r="E8062" s="1342"/>
      <c r="F8062" s="1342"/>
      <c r="G8062" s="1342"/>
      <c r="H8062" s="1342"/>
      <c r="I8062" s="1342"/>
      <c r="J8062" s="1342"/>
      <c r="K8062" s="1342"/>
    </row>
    <row r="8063" spans="2:11" ht="14" hidden="1">
      <c r="B8063" s="1342"/>
      <c r="C8063" s="1342"/>
      <c r="D8063" s="1342"/>
      <c r="E8063" s="1342"/>
      <c r="F8063" s="1342"/>
      <c r="G8063" s="1342"/>
      <c r="H8063" s="1342"/>
      <c r="I8063" s="1342"/>
      <c r="J8063" s="1342"/>
      <c r="K8063" s="1342"/>
    </row>
    <row r="8064" spans="2:11" ht="14" hidden="1">
      <c r="B8064" s="1342"/>
      <c r="C8064" s="1342"/>
      <c r="D8064" s="1342"/>
      <c r="E8064" s="1342"/>
      <c r="F8064" s="1342"/>
      <c r="G8064" s="1342"/>
      <c r="H8064" s="1342"/>
      <c r="I8064" s="1342"/>
      <c r="J8064" s="1342"/>
      <c r="K8064" s="1342"/>
    </row>
    <row r="8065" spans="2:11" ht="14" hidden="1">
      <c r="B8065" s="1342"/>
      <c r="C8065" s="1342"/>
      <c r="D8065" s="1342"/>
      <c r="E8065" s="1342"/>
      <c r="F8065" s="1342"/>
      <c r="G8065" s="1342"/>
      <c r="H8065" s="1342"/>
      <c r="I8065" s="1342"/>
      <c r="J8065" s="1342"/>
      <c r="K8065" s="1342"/>
    </row>
    <row r="8066" spans="2:11" ht="14" hidden="1">
      <c r="B8066" s="1342"/>
      <c r="C8066" s="1342"/>
      <c r="D8066" s="1342"/>
      <c r="E8066" s="1342"/>
      <c r="F8066" s="1342"/>
      <c r="G8066" s="1342"/>
      <c r="H8066" s="1342"/>
      <c r="I8066" s="1342"/>
      <c r="J8066" s="1342"/>
      <c r="K8066" s="1342"/>
    </row>
    <row r="8067" spans="2:11" ht="14" hidden="1">
      <c r="B8067" s="1342"/>
      <c r="C8067" s="1342"/>
      <c r="D8067" s="1342"/>
      <c r="E8067" s="1342"/>
      <c r="F8067" s="1342"/>
      <c r="G8067" s="1342"/>
      <c r="H8067" s="1342"/>
      <c r="I8067" s="1342"/>
      <c r="J8067" s="1342"/>
      <c r="K8067" s="1342"/>
    </row>
    <row r="8068" spans="2:11" ht="14" hidden="1">
      <c r="B8068" s="1342"/>
      <c r="C8068" s="1342"/>
      <c r="D8068" s="1342"/>
      <c r="E8068" s="1342"/>
      <c r="F8068" s="1342"/>
      <c r="G8068" s="1342"/>
      <c r="H8068" s="1342"/>
      <c r="I8068" s="1342"/>
      <c r="J8068" s="1342"/>
      <c r="K8068" s="1342"/>
    </row>
    <row r="8069" spans="2:11" ht="14" hidden="1">
      <c r="B8069" s="1342"/>
      <c r="C8069" s="1342"/>
      <c r="D8069" s="1342"/>
      <c r="E8069" s="1342"/>
      <c r="F8069" s="1342"/>
      <c r="G8069" s="1342"/>
      <c r="H8069" s="1342"/>
      <c r="I8069" s="1342"/>
      <c r="J8069" s="1342"/>
      <c r="K8069" s="1342"/>
    </row>
    <row r="8070" spans="2:11" ht="14" hidden="1">
      <c r="B8070" s="1342"/>
      <c r="C8070" s="1342"/>
      <c r="D8070" s="1342"/>
      <c r="E8070" s="1342"/>
      <c r="F8070" s="1342"/>
      <c r="G8070" s="1342"/>
      <c r="H8070" s="1342"/>
      <c r="I8070" s="1342"/>
      <c r="J8070" s="1342"/>
      <c r="K8070" s="1342"/>
    </row>
    <row r="8071" spans="2:11" ht="14" hidden="1">
      <c r="B8071" s="1342"/>
      <c r="C8071" s="1342"/>
      <c r="D8071" s="1342"/>
      <c r="E8071" s="1342"/>
      <c r="F8071" s="1342"/>
      <c r="G8071" s="1342"/>
      <c r="H8071" s="1342"/>
      <c r="I8071" s="1342"/>
      <c r="J8071" s="1342"/>
      <c r="K8071" s="1342"/>
    </row>
    <row r="8072" spans="2:11" ht="14" hidden="1">
      <c r="B8072" s="1342"/>
      <c r="C8072" s="1342"/>
      <c r="D8072" s="1342"/>
      <c r="E8072" s="1342"/>
      <c r="F8072" s="1342"/>
      <c r="G8072" s="1342"/>
      <c r="H8072" s="1342"/>
      <c r="I8072" s="1342"/>
      <c r="J8072" s="1342"/>
      <c r="K8072" s="1342"/>
    </row>
    <row r="8073" spans="2:11" ht="14" hidden="1">
      <c r="B8073" s="1342"/>
      <c r="C8073" s="1342"/>
      <c r="D8073" s="1342"/>
      <c r="E8073" s="1342"/>
      <c r="F8073" s="1342"/>
      <c r="G8073" s="1342"/>
      <c r="H8073" s="1342"/>
      <c r="I8073" s="1342"/>
      <c r="J8073" s="1342"/>
      <c r="K8073" s="1342"/>
    </row>
    <row r="8074" spans="2:11" ht="14" hidden="1">
      <c r="B8074" s="1342"/>
      <c r="C8074" s="1342"/>
      <c r="D8074" s="1342"/>
      <c r="E8074" s="1342"/>
      <c r="F8074" s="1342"/>
      <c r="G8074" s="1342"/>
      <c r="H8074" s="1342"/>
      <c r="I8074" s="1342"/>
      <c r="J8074" s="1342"/>
      <c r="K8074" s="1342"/>
    </row>
    <row r="8075" spans="2:11" ht="14" hidden="1">
      <c r="B8075" s="1342"/>
      <c r="C8075" s="1342"/>
      <c r="D8075" s="1342"/>
      <c r="E8075" s="1342"/>
      <c r="F8075" s="1342"/>
      <c r="G8075" s="1342"/>
      <c r="H8075" s="1342"/>
      <c r="I8075" s="1342"/>
      <c r="J8075" s="1342"/>
      <c r="K8075" s="1342"/>
    </row>
    <row r="8076" spans="2:11" ht="14" hidden="1">
      <c r="B8076" s="1342"/>
      <c r="C8076" s="1342"/>
      <c r="D8076" s="1342"/>
      <c r="E8076" s="1342"/>
      <c r="F8076" s="1342"/>
      <c r="G8076" s="1342"/>
      <c r="H8076" s="1342"/>
      <c r="I8076" s="1342"/>
      <c r="J8076" s="1342"/>
      <c r="K8076" s="1342"/>
    </row>
    <row r="8077" spans="2:11" ht="14" hidden="1">
      <c r="B8077" s="1342"/>
      <c r="C8077" s="1342"/>
      <c r="D8077" s="1342"/>
      <c r="E8077" s="1342"/>
      <c r="F8077" s="1342"/>
      <c r="G8077" s="1342"/>
      <c r="H8077" s="1342"/>
      <c r="I8077" s="1342"/>
      <c r="J8077" s="1342"/>
      <c r="K8077" s="1342"/>
    </row>
    <row r="8078" spans="2:11" ht="14" hidden="1">
      <c r="B8078" s="1342"/>
      <c r="C8078" s="1342"/>
      <c r="D8078" s="1342"/>
      <c r="E8078" s="1342"/>
      <c r="F8078" s="1342"/>
      <c r="G8078" s="1342"/>
      <c r="H8078" s="1342"/>
      <c r="I8078" s="1342"/>
      <c r="J8078" s="1342"/>
      <c r="K8078" s="1342"/>
    </row>
    <row r="8079" spans="2:11" ht="14" hidden="1">
      <c r="B8079" s="1342"/>
      <c r="C8079" s="1342"/>
      <c r="D8079" s="1342"/>
      <c r="E8079" s="1342"/>
      <c r="F8079" s="1342"/>
      <c r="G8079" s="1342"/>
      <c r="H8079" s="1342"/>
      <c r="I8079" s="1342"/>
      <c r="J8079" s="1342"/>
      <c r="K8079" s="1342"/>
    </row>
    <row r="8080" spans="2:11" ht="14" hidden="1">
      <c r="B8080" s="1342"/>
      <c r="C8080" s="1342"/>
      <c r="D8080" s="1342"/>
      <c r="E8080" s="1342"/>
      <c r="F8080" s="1342"/>
      <c r="G8080" s="1342"/>
      <c r="H8080" s="1342"/>
      <c r="I8080" s="1342"/>
      <c r="J8080" s="1342"/>
      <c r="K8080" s="1342"/>
    </row>
    <row r="8081" spans="2:11" ht="14" hidden="1">
      <c r="B8081" s="1342"/>
      <c r="C8081" s="1342"/>
      <c r="D8081" s="1342"/>
      <c r="E8081" s="1342"/>
      <c r="F8081" s="1342"/>
      <c r="G8081" s="1342"/>
      <c r="H8081" s="1342"/>
      <c r="I8081" s="1342"/>
      <c r="J8081" s="1342"/>
      <c r="K8081" s="1342"/>
    </row>
    <row r="8082" spans="2:11" ht="14" hidden="1">
      <c r="B8082" s="1342"/>
      <c r="C8082" s="1342"/>
      <c r="D8082" s="1342"/>
      <c r="E8082" s="1342"/>
      <c r="F8082" s="1342"/>
      <c r="G8082" s="1342"/>
      <c r="H8082" s="1342"/>
      <c r="I8082" s="1342"/>
      <c r="J8082" s="1342"/>
      <c r="K8082" s="1342"/>
    </row>
    <row r="8083" spans="2:11" ht="14" hidden="1">
      <c r="B8083" s="1342"/>
      <c r="C8083" s="1342"/>
      <c r="D8083" s="1342"/>
      <c r="E8083" s="1342"/>
      <c r="F8083" s="1342"/>
      <c r="G8083" s="1342"/>
      <c r="H8083" s="1342"/>
      <c r="I8083" s="1342"/>
      <c r="J8083" s="1342"/>
      <c r="K8083" s="1342"/>
    </row>
    <row r="8084" spans="2:11" ht="14" hidden="1">
      <c r="B8084" s="1342"/>
      <c r="C8084" s="1342"/>
      <c r="D8084" s="1342"/>
      <c r="E8084" s="1342"/>
      <c r="F8084" s="1342"/>
      <c r="G8084" s="1342"/>
      <c r="H8084" s="1342"/>
      <c r="I8084" s="1342"/>
      <c r="J8084" s="1342"/>
      <c r="K8084" s="1342"/>
    </row>
    <row r="8085" spans="2:11" ht="14" hidden="1">
      <c r="B8085" s="1342"/>
      <c r="C8085" s="1342"/>
      <c r="D8085" s="1342"/>
      <c r="E8085" s="1342"/>
      <c r="F8085" s="1342"/>
      <c r="G8085" s="1342"/>
      <c r="H8085" s="1342"/>
      <c r="I8085" s="1342"/>
      <c r="J8085" s="1342"/>
      <c r="K8085" s="1342"/>
    </row>
    <row r="8086" spans="2:11" ht="14" hidden="1">
      <c r="B8086" s="1342"/>
      <c r="C8086" s="1342"/>
      <c r="D8086" s="1342"/>
      <c r="E8086" s="1342"/>
      <c r="F8086" s="1342"/>
      <c r="G8086" s="1342"/>
      <c r="H8086" s="1342"/>
      <c r="I8086" s="1342"/>
      <c r="J8086" s="1342"/>
      <c r="K8086" s="1342"/>
    </row>
    <row r="8087" spans="2:11" ht="14" hidden="1">
      <c r="B8087" s="1342"/>
      <c r="C8087" s="1342"/>
      <c r="D8087" s="1342"/>
      <c r="E8087" s="1342"/>
      <c r="F8087" s="1342"/>
      <c r="G8087" s="1342"/>
      <c r="H8087" s="1342"/>
      <c r="I8087" s="1342"/>
      <c r="J8087" s="1342"/>
      <c r="K8087" s="1342"/>
    </row>
    <row r="8088" spans="2:11" ht="14" hidden="1">
      <c r="B8088" s="1342"/>
      <c r="C8088" s="1342"/>
      <c r="D8088" s="1342"/>
      <c r="E8088" s="1342"/>
      <c r="F8088" s="1342"/>
      <c r="G8088" s="1342"/>
      <c r="H8088" s="1342"/>
      <c r="I8088" s="1342"/>
      <c r="J8088" s="1342"/>
      <c r="K8088" s="1342"/>
    </row>
    <row r="8089" spans="2:11" ht="14" hidden="1">
      <c r="B8089" s="1342"/>
      <c r="C8089" s="1342"/>
      <c r="D8089" s="1342"/>
      <c r="E8089" s="1342"/>
      <c r="F8089" s="1342"/>
      <c r="G8089" s="1342"/>
      <c r="H8089" s="1342"/>
      <c r="I8089" s="1342"/>
      <c r="J8089" s="1342"/>
      <c r="K8089" s="1342"/>
    </row>
    <row r="8090" spans="2:11" ht="14" hidden="1">
      <c r="B8090" s="1342"/>
      <c r="C8090" s="1342"/>
      <c r="D8090" s="1342"/>
      <c r="E8090" s="1342"/>
      <c r="F8090" s="1342"/>
      <c r="G8090" s="1342"/>
      <c r="H8090" s="1342"/>
      <c r="I8090" s="1342"/>
      <c r="J8090" s="1342"/>
      <c r="K8090" s="1342"/>
    </row>
    <row r="8091" spans="2:11" ht="14" hidden="1">
      <c r="B8091" s="1342"/>
      <c r="C8091" s="1342"/>
      <c r="D8091" s="1342"/>
      <c r="E8091" s="1342"/>
      <c r="F8091" s="1342"/>
      <c r="G8091" s="1342"/>
      <c r="H8091" s="1342"/>
      <c r="I8091" s="1342"/>
      <c r="J8091" s="1342"/>
      <c r="K8091" s="1342"/>
    </row>
    <row r="8092" spans="2:11" ht="14" hidden="1">
      <c r="B8092" s="1342"/>
      <c r="C8092" s="1342"/>
      <c r="D8092" s="1342"/>
      <c r="E8092" s="1342"/>
      <c r="F8092" s="1342"/>
      <c r="G8092" s="1342"/>
      <c r="H8092" s="1342"/>
      <c r="I8092" s="1342"/>
      <c r="J8092" s="1342"/>
      <c r="K8092" s="1342"/>
    </row>
    <row r="8093" spans="2:11" ht="14" hidden="1">
      <c r="B8093" s="1342"/>
      <c r="C8093" s="1342"/>
      <c r="D8093" s="1342"/>
      <c r="E8093" s="1342"/>
      <c r="F8093" s="1342"/>
      <c r="G8093" s="1342"/>
      <c r="H8093" s="1342"/>
      <c r="I8093" s="1342"/>
      <c r="J8093" s="1342"/>
      <c r="K8093" s="1342"/>
    </row>
    <row r="8094" spans="2:11" ht="14" hidden="1">
      <c r="B8094" s="1342"/>
      <c r="C8094" s="1342"/>
      <c r="D8094" s="1342"/>
      <c r="E8094" s="1342"/>
      <c r="F8094" s="1342"/>
      <c r="G8094" s="1342"/>
      <c r="H8094" s="1342"/>
      <c r="I8094" s="1342"/>
      <c r="J8094" s="1342"/>
      <c r="K8094" s="1342"/>
    </row>
    <row r="8095" spans="2:11" ht="14" hidden="1">
      <c r="B8095" s="1342"/>
      <c r="C8095" s="1342"/>
      <c r="D8095" s="1342"/>
      <c r="E8095" s="1342"/>
      <c r="F8095" s="1342"/>
      <c r="G8095" s="1342"/>
      <c r="H8095" s="1342"/>
      <c r="I8095" s="1342"/>
      <c r="J8095" s="1342"/>
      <c r="K8095" s="1342"/>
    </row>
    <row r="8096" spans="2:11" ht="14" hidden="1">
      <c r="B8096" s="1342"/>
      <c r="C8096" s="1342"/>
      <c r="D8096" s="1342"/>
      <c r="E8096" s="1342"/>
      <c r="F8096" s="1342"/>
      <c r="G8096" s="1342"/>
      <c r="H8096" s="1342"/>
      <c r="I8096" s="1342"/>
      <c r="J8096" s="1342"/>
      <c r="K8096" s="1342"/>
    </row>
    <row r="8097" spans="2:11" ht="14" hidden="1">
      <c r="B8097" s="1342"/>
      <c r="C8097" s="1342"/>
      <c r="D8097" s="1342"/>
      <c r="E8097" s="1342"/>
      <c r="F8097" s="1342"/>
      <c r="G8097" s="1342"/>
      <c r="H8097" s="1342"/>
      <c r="I8097" s="1342"/>
      <c r="J8097" s="1342"/>
      <c r="K8097" s="1342"/>
    </row>
    <row r="8098" spans="2:11" ht="14" hidden="1">
      <c r="B8098" s="1342"/>
      <c r="C8098" s="1342"/>
      <c r="D8098" s="1342"/>
      <c r="E8098" s="1342"/>
      <c r="F8098" s="1342"/>
      <c r="G8098" s="1342"/>
      <c r="H8098" s="1342"/>
      <c r="I8098" s="1342"/>
      <c r="J8098" s="1342"/>
      <c r="K8098" s="1342"/>
    </row>
    <row r="8099" spans="2:11" ht="14" hidden="1">
      <c r="B8099" s="1342"/>
      <c r="C8099" s="1342"/>
      <c r="D8099" s="1342"/>
      <c r="E8099" s="1342"/>
      <c r="F8099" s="1342"/>
      <c r="G8099" s="1342"/>
      <c r="H8099" s="1342"/>
      <c r="I8099" s="1342"/>
      <c r="J8099" s="1342"/>
      <c r="K8099" s="1342"/>
    </row>
    <row r="8100" spans="2:11" ht="14" hidden="1">
      <c r="B8100" s="1342"/>
      <c r="C8100" s="1342"/>
      <c r="D8100" s="1342"/>
      <c r="E8100" s="1342"/>
      <c r="F8100" s="1342"/>
      <c r="G8100" s="1342"/>
      <c r="H8100" s="1342"/>
      <c r="I8100" s="1342"/>
      <c r="J8100" s="1342"/>
      <c r="K8100" s="1342"/>
    </row>
    <row r="8101" spans="2:11" ht="14" hidden="1">
      <c r="B8101" s="1342"/>
      <c r="C8101" s="1342"/>
      <c r="D8101" s="1342"/>
      <c r="E8101" s="1342"/>
      <c r="F8101" s="1342"/>
      <c r="G8101" s="1342"/>
      <c r="H8101" s="1342"/>
      <c r="I8101" s="1342"/>
      <c r="J8101" s="1342"/>
      <c r="K8101" s="1342"/>
    </row>
    <row r="8102" spans="2:11" ht="14" hidden="1">
      <c r="B8102" s="1342"/>
      <c r="C8102" s="1342"/>
      <c r="D8102" s="1342"/>
      <c r="E8102" s="1342"/>
      <c r="F8102" s="1342"/>
      <c r="G8102" s="1342"/>
      <c r="H8102" s="1342"/>
      <c r="I8102" s="1342"/>
      <c r="J8102" s="1342"/>
      <c r="K8102" s="1342"/>
    </row>
    <row r="8103" spans="2:11" ht="14" hidden="1">
      <c r="B8103" s="1342"/>
      <c r="C8103" s="1342"/>
      <c r="D8103" s="1342"/>
      <c r="E8103" s="1342"/>
      <c r="F8103" s="1342"/>
      <c r="G8103" s="1342"/>
      <c r="H8103" s="1342"/>
      <c r="I8103" s="1342"/>
      <c r="J8103" s="1342"/>
      <c r="K8103" s="1342"/>
    </row>
    <row r="8104" spans="2:11" ht="14" hidden="1">
      <c r="B8104" s="1342"/>
      <c r="C8104" s="1342"/>
      <c r="D8104" s="1342"/>
      <c r="E8104" s="1342"/>
      <c r="F8104" s="1342"/>
      <c r="G8104" s="1342"/>
      <c r="H8104" s="1342"/>
      <c r="I8104" s="1342"/>
      <c r="J8104" s="1342"/>
      <c r="K8104" s="1342"/>
    </row>
    <row r="8105" spans="2:11" ht="14" hidden="1">
      <c r="B8105" s="1342"/>
      <c r="C8105" s="1342"/>
      <c r="D8105" s="1342"/>
      <c r="E8105" s="1342"/>
      <c r="F8105" s="1342"/>
      <c r="G8105" s="1342"/>
      <c r="H8105" s="1342"/>
      <c r="I8105" s="1342"/>
      <c r="J8105" s="1342"/>
      <c r="K8105" s="1342"/>
    </row>
    <row r="8106" spans="2:11" ht="14" hidden="1">
      <c r="B8106" s="1342"/>
      <c r="C8106" s="1342"/>
      <c r="D8106" s="1342"/>
      <c r="E8106" s="1342"/>
      <c r="F8106" s="1342"/>
      <c r="G8106" s="1342"/>
      <c r="H8106" s="1342"/>
      <c r="I8106" s="1342"/>
      <c r="J8106" s="1342"/>
      <c r="K8106" s="1342"/>
    </row>
    <row r="8107" spans="2:11" ht="14" hidden="1">
      <c r="B8107" s="1342"/>
      <c r="C8107" s="1342"/>
      <c r="D8107" s="1342"/>
      <c r="E8107" s="1342"/>
      <c r="F8107" s="1342"/>
      <c r="G8107" s="1342"/>
      <c r="H8107" s="1342"/>
      <c r="I8107" s="1342"/>
      <c r="J8107" s="1342"/>
      <c r="K8107" s="1342"/>
    </row>
    <row r="8108" spans="2:11" ht="14" hidden="1">
      <c r="B8108" s="1342"/>
      <c r="C8108" s="1342"/>
      <c r="D8108" s="1342"/>
      <c r="E8108" s="1342"/>
      <c r="F8108" s="1342"/>
      <c r="G8108" s="1342"/>
      <c r="H8108" s="1342"/>
      <c r="I8108" s="1342"/>
      <c r="J8108" s="1342"/>
      <c r="K8108" s="1342"/>
    </row>
    <row r="8109" spans="2:11" ht="14" hidden="1">
      <c r="B8109" s="1342"/>
      <c r="C8109" s="1342"/>
      <c r="D8109" s="1342"/>
      <c r="E8109" s="1342"/>
      <c r="F8109" s="1342"/>
      <c r="G8109" s="1342"/>
      <c r="H8109" s="1342"/>
      <c r="I8109" s="1342"/>
      <c r="J8109" s="1342"/>
      <c r="K8109" s="1342"/>
    </row>
    <row r="8110" spans="2:11" ht="14" hidden="1">
      <c r="B8110" s="1342"/>
      <c r="C8110" s="1342"/>
      <c r="D8110" s="1342"/>
      <c r="E8110" s="1342"/>
      <c r="F8110" s="1342"/>
      <c r="G8110" s="1342"/>
      <c r="H8110" s="1342"/>
      <c r="I8110" s="1342"/>
      <c r="J8110" s="1342"/>
      <c r="K8110" s="1342"/>
    </row>
    <row r="8111" spans="2:11" ht="14" hidden="1">
      <c r="B8111" s="1342"/>
      <c r="C8111" s="1342"/>
      <c r="D8111" s="1342"/>
      <c r="E8111" s="1342"/>
      <c r="F8111" s="1342"/>
      <c r="G8111" s="1342"/>
      <c r="H8111" s="1342"/>
      <c r="I8111" s="1342"/>
      <c r="J8111" s="1342"/>
      <c r="K8111" s="1342"/>
    </row>
    <row r="8112" spans="2:11" ht="14" hidden="1">
      <c r="B8112" s="1342"/>
      <c r="C8112" s="1342"/>
      <c r="D8112" s="1342"/>
      <c r="E8112" s="1342"/>
      <c r="F8112" s="1342"/>
      <c r="G8112" s="1342"/>
      <c r="H8112" s="1342"/>
      <c r="I8112" s="1342"/>
      <c r="J8112" s="1342"/>
      <c r="K8112" s="1342"/>
    </row>
    <row r="8113" spans="2:11" ht="14" hidden="1">
      <c r="B8113" s="1342"/>
      <c r="C8113" s="1342"/>
      <c r="D8113" s="1342"/>
      <c r="E8113" s="1342"/>
      <c r="F8113" s="1342"/>
      <c r="G8113" s="1342"/>
      <c r="H8113" s="1342"/>
      <c r="I8113" s="1342"/>
      <c r="J8113" s="1342"/>
      <c r="K8113" s="1342"/>
    </row>
    <row r="8114" spans="2:11" ht="14" hidden="1">
      <c r="B8114" s="1342"/>
      <c r="C8114" s="1342"/>
      <c r="D8114" s="1342"/>
      <c r="E8114" s="1342"/>
      <c r="F8114" s="1342"/>
      <c r="G8114" s="1342"/>
      <c r="H8114" s="1342"/>
      <c r="I8114" s="1342"/>
      <c r="J8114" s="1342"/>
      <c r="K8114" s="1342"/>
    </row>
    <row r="8115" spans="2:11" ht="14" hidden="1">
      <c r="B8115" s="1342"/>
      <c r="C8115" s="1342"/>
      <c r="D8115" s="1342"/>
      <c r="E8115" s="1342"/>
      <c r="F8115" s="1342"/>
      <c r="G8115" s="1342"/>
      <c r="H8115" s="1342"/>
      <c r="I8115" s="1342"/>
      <c r="J8115" s="1342"/>
      <c r="K8115" s="1342"/>
    </row>
    <row r="8116" spans="2:11" ht="14" hidden="1">
      <c r="B8116" s="1342"/>
      <c r="C8116" s="1342"/>
      <c r="D8116" s="1342"/>
      <c r="E8116" s="1342"/>
      <c r="F8116" s="1342"/>
      <c r="G8116" s="1342"/>
      <c r="H8116" s="1342"/>
      <c r="I8116" s="1342"/>
      <c r="J8116" s="1342"/>
      <c r="K8116" s="1342"/>
    </row>
    <row r="8117" spans="2:11" ht="14" hidden="1">
      <c r="B8117" s="1342"/>
      <c r="C8117" s="1342"/>
      <c r="D8117" s="1342"/>
      <c r="E8117" s="1342"/>
      <c r="F8117" s="1342"/>
      <c r="G8117" s="1342"/>
      <c r="H8117" s="1342"/>
      <c r="I8117" s="1342"/>
      <c r="J8117" s="1342"/>
      <c r="K8117" s="1342"/>
    </row>
    <row r="8118" spans="2:11" ht="14" hidden="1">
      <c r="B8118" s="1342"/>
      <c r="C8118" s="1342"/>
      <c r="D8118" s="1342"/>
      <c r="E8118" s="1342"/>
      <c r="F8118" s="1342"/>
      <c r="G8118" s="1342"/>
      <c r="H8118" s="1342"/>
      <c r="I8118" s="1342"/>
      <c r="J8118" s="1342"/>
      <c r="K8118" s="1342"/>
    </row>
    <row r="8119" spans="2:11" ht="14" hidden="1">
      <c r="B8119" s="1342"/>
      <c r="C8119" s="1342"/>
      <c r="D8119" s="1342"/>
      <c r="E8119" s="1342"/>
      <c r="F8119" s="1342"/>
      <c r="G8119" s="1342"/>
      <c r="H8119" s="1342"/>
      <c r="I8119" s="1342"/>
      <c r="J8119" s="1342"/>
      <c r="K8119" s="1342"/>
    </row>
    <row r="8120" spans="2:11" ht="14" hidden="1">
      <c r="B8120" s="1342"/>
      <c r="C8120" s="1342"/>
      <c r="D8120" s="1342"/>
      <c r="E8120" s="1342"/>
      <c r="F8120" s="1342"/>
      <c r="G8120" s="1342"/>
      <c r="H8120" s="1342"/>
      <c r="I8120" s="1342"/>
      <c r="J8120" s="1342"/>
      <c r="K8120" s="1342"/>
    </row>
    <row r="8121" spans="2:11" ht="14" hidden="1">
      <c r="B8121" s="1342"/>
      <c r="C8121" s="1342"/>
      <c r="D8121" s="1342"/>
      <c r="E8121" s="1342"/>
      <c r="F8121" s="1342"/>
      <c r="G8121" s="1342"/>
      <c r="H8121" s="1342"/>
      <c r="I8121" s="1342"/>
      <c r="J8121" s="1342"/>
      <c r="K8121" s="1342"/>
    </row>
    <row r="8122" spans="2:11" ht="14" hidden="1">
      <c r="B8122" s="1342"/>
      <c r="C8122" s="1342"/>
      <c r="D8122" s="1342"/>
      <c r="E8122" s="1342"/>
      <c r="F8122" s="1342"/>
      <c r="G8122" s="1342"/>
      <c r="H8122" s="1342"/>
      <c r="I8122" s="1342"/>
      <c r="J8122" s="1342"/>
      <c r="K8122" s="1342"/>
    </row>
    <row r="8123" spans="2:11" ht="14" hidden="1">
      <c r="B8123" s="1342"/>
      <c r="C8123" s="1342"/>
      <c r="D8123" s="1342"/>
      <c r="E8123" s="1342"/>
      <c r="F8123" s="1342"/>
      <c r="G8123" s="1342"/>
      <c r="H8123" s="1342"/>
      <c r="I8123" s="1342"/>
      <c r="J8123" s="1342"/>
      <c r="K8123" s="1342"/>
    </row>
    <row r="8124" spans="2:11" ht="14" hidden="1">
      <c r="B8124" s="1342"/>
      <c r="C8124" s="1342"/>
      <c r="D8124" s="1342"/>
      <c r="E8124" s="1342"/>
      <c r="F8124" s="1342"/>
      <c r="G8124" s="1342"/>
      <c r="H8124" s="1342"/>
      <c r="I8124" s="1342"/>
      <c r="J8124" s="1342"/>
      <c r="K8124" s="1342"/>
    </row>
    <row r="8125" spans="2:11" ht="14" hidden="1">
      <c r="B8125" s="1342"/>
      <c r="C8125" s="1342"/>
      <c r="D8125" s="1342"/>
      <c r="E8125" s="1342"/>
      <c r="F8125" s="1342"/>
      <c r="G8125" s="1342"/>
      <c r="H8125" s="1342"/>
      <c r="I8125" s="1342"/>
      <c r="J8125" s="1342"/>
      <c r="K8125" s="1342"/>
    </row>
    <row r="8126" spans="2:11" ht="14" hidden="1">
      <c r="B8126" s="1342"/>
      <c r="C8126" s="1342"/>
      <c r="D8126" s="1342"/>
      <c r="E8126" s="1342"/>
      <c r="F8126" s="1342"/>
      <c r="G8126" s="1342"/>
      <c r="H8126" s="1342"/>
      <c r="I8126" s="1342"/>
      <c r="J8126" s="1342"/>
      <c r="K8126" s="1342"/>
    </row>
    <row r="8127" spans="2:11" ht="14" hidden="1">
      <c r="B8127" s="1342"/>
      <c r="C8127" s="1342"/>
      <c r="D8127" s="1342"/>
      <c r="E8127" s="1342"/>
      <c r="F8127" s="1342"/>
      <c r="G8127" s="1342"/>
      <c r="H8127" s="1342"/>
      <c r="I8127" s="1342"/>
      <c r="J8127" s="1342"/>
      <c r="K8127" s="1342"/>
    </row>
    <row r="8128" spans="2:11" ht="14" hidden="1">
      <c r="B8128" s="1342"/>
      <c r="C8128" s="1342"/>
      <c r="D8128" s="1342"/>
      <c r="E8128" s="1342"/>
      <c r="F8128" s="1342"/>
      <c r="G8128" s="1342"/>
      <c r="H8128" s="1342"/>
      <c r="I8128" s="1342"/>
      <c r="J8128" s="1342"/>
      <c r="K8128" s="1342"/>
    </row>
    <row r="8129" spans="2:11" ht="14" hidden="1">
      <c r="B8129" s="1342"/>
      <c r="C8129" s="1342"/>
      <c r="D8129" s="1342"/>
      <c r="E8129" s="1342"/>
      <c r="F8129" s="1342"/>
      <c r="G8129" s="1342"/>
      <c r="H8129" s="1342"/>
      <c r="I8129" s="1342"/>
      <c r="J8129" s="1342"/>
      <c r="K8129" s="1342"/>
    </row>
    <row r="8130" spans="2:11" ht="14" hidden="1">
      <c r="B8130" s="1342"/>
      <c r="C8130" s="1342"/>
      <c r="D8130" s="1342"/>
      <c r="E8130" s="1342"/>
      <c r="F8130" s="1342"/>
      <c r="G8130" s="1342"/>
      <c r="H8130" s="1342"/>
      <c r="I8130" s="1342"/>
      <c r="J8130" s="1342"/>
      <c r="K8130" s="1342"/>
    </row>
    <row r="8131" spans="2:11" ht="14" hidden="1">
      <c r="B8131" s="1342"/>
      <c r="C8131" s="1342"/>
      <c r="D8131" s="1342"/>
      <c r="E8131" s="1342"/>
      <c r="F8131" s="1342"/>
      <c r="G8131" s="1342"/>
      <c r="H8131" s="1342"/>
      <c r="I8131" s="1342"/>
      <c r="J8131" s="1342"/>
      <c r="K8131" s="1342"/>
    </row>
    <row r="8132" spans="2:11" ht="14" hidden="1">
      <c r="B8132" s="1342"/>
      <c r="C8132" s="1342"/>
      <c r="D8132" s="1342"/>
      <c r="E8132" s="1342"/>
      <c r="F8132" s="1342"/>
      <c r="G8132" s="1342"/>
      <c r="H8132" s="1342"/>
      <c r="I8132" s="1342"/>
      <c r="J8132" s="1342"/>
      <c r="K8132" s="1342"/>
    </row>
    <row r="8133" spans="2:11" ht="14" hidden="1">
      <c r="B8133" s="1342"/>
      <c r="C8133" s="1342"/>
      <c r="D8133" s="1342"/>
      <c r="E8133" s="1342"/>
      <c r="F8133" s="1342"/>
      <c r="G8133" s="1342"/>
      <c r="H8133" s="1342"/>
      <c r="I8133" s="1342"/>
      <c r="J8133" s="1342"/>
      <c r="K8133" s="1342"/>
    </row>
    <row r="8134" spans="2:11" ht="14" hidden="1">
      <c r="B8134" s="1342"/>
      <c r="C8134" s="1342"/>
      <c r="D8134" s="1342"/>
      <c r="E8134" s="1342"/>
      <c r="F8134" s="1342"/>
      <c r="G8134" s="1342"/>
      <c r="H8134" s="1342"/>
      <c r="I8134" s="1342"/>
      <c r="J8134" s="1342"/>
      <c r="K8134" s="1342"/>
    </row>
    <row r="8135" spans="2:11" ht="14" hidden="1">
      <c r="B8135" s="1342"/>
      <c r="C8135" s="1342"/>
      <c r="D8135" s="1342"/>
      <c r="E8135" s="1342"/>
      <c r="F8135" s="1342"/>
      <c r="G8135" s="1342"/>
      <c r="H8135" s="1342"/>
      <c r="I8135" s="1342"/>
      <c r="J8135" s="1342"/>
      <c r="K8135" s="1342"/>
    </row>
    <row r="8136" spans="2:11" ht="14" hidden="1">
      <c r="B8136" s="1342"/>
      <c r="C8136" s="1342"/>
      <c r="D8136" s="1342"/>
      <c r="E8136" s="1342"/>
      <c r="F8136" s="1342"/>
      <c r="G8136" s="1342"/>
      <c r="H8136" s="1342"/>
      <c r="I8136" s="1342"/>
      <c r="J8136" s="1342"/>
      <c r="K8136" s="1342"/>
    </row>
    <row r="8137" spans="2:11" ht="14" hidden="1">
      <c r="B8137" s="1342"/>
      <c r="C8137" s="1342"/>
      <c r="D8137" s="1342"/>
      <c r="E8137" s="1342"/>
      <c r="F8137" s="1342"/>
      <c r="G8137" s="1342"/>
      <c r="H8137" s="1342"/>
      <c r="I8137" s="1342"/>
      <c r="J8137" s="1342"/>
      <c r="K8137" s="1342"/>
    </row>
    <row r="8138" spans="2:11" ht="14" hidden="1">
      <c r="B8138" s="1342"/>
      <c r="C8138" s="1342"/>
      <c r="D8138" s="1342"/>
      <c r="E8138" s="1342"/>
      <c r="F8138" s="1342"/>
      <c r="G8138" s="1342"/>
      <c r="H8138" s="1342"/>
      <c r="I8138" s="1342"/>
      <c r="J8138" s="1342"/>
      <c r="K8138" s="1342"/>
    </row>
    <row r="8139" spans="2:11" ht="14" hidden="1">
      <c r="B8139" s="1342"/>
      <c r="C8139" s="1342"/>
      <c r="D8139" s="1342"/>
      <c r="E8139" s="1342"/>
      <c r="F8139" s="1342"/>
      <c r="G8139" s="1342"/>
      <c r="H8139" s="1342"/>
      <c r="I8139" s="1342"/>
      <c r="J8139" s="1342"/>
      <c r="K8139" s="1342"/>
    </row>
    <row r="8140" spans="2:11" ht="14" hidden="1">
      <c r="B8140" s="1342"/>
      <c r="C8140" s="1342"/>
      <c r="D8140" s="1342"/>
      <c r="E8140" s="1342"/>
      <c r="F8140" s="1342"/>
      <c r="G8140" s="1342"/>
      <c r="H8140" s="1342"/>
      <c r="I8140" s="1342"/>
      <c r="J8140" s="1342"/>
      <c r="K8140" s="1342"/>
    </row>
    <row r="8141" spans="2:11" ht="14" hidden="1">
      <c r="B8141" s="1342"/>
      <c r="C8141" s="1342"/>
      <c r="D8141" s="1342"/>
      <c r="E8141" s="1342"/>
      <c r="F8141" s="1342"/>
      <c r="G8141" s="1342"/>
      <c r="H8141" s="1342"/>
      <c r="I8141" s="1342"/>
      <c r="J8141" s="1342"/>
      <c r="K8141" s="1342"/>
    </row>
    <row r="8142" spans="2:11" ht="14" hidden="1">
      <c r="B8142" s="1342"/>
      <c r="C8142" s="1342"/>
      <c r="D8142" s="1342"/>
      <c r="E8142" s="1342"/>
      <c r="F8142" s="1342"/>
      <c r="G8142" s="1342"/>
      <c r="H8142" s="1342"/>
      <c r="I8142" s="1342"/>
      <c r="J8142" s="1342"/>
      <c r="K8142" s="1342"/>
    </row>
    <row r="8143" spans="2:11" ht="14" hidden="1">
      <c r="B8143" s="1342"/>
      <c r="C8143" s="1342"/>
      <c r="D8143" s="1342"/>
      <c r="E8143" s="1342"/>
      <c r="F8143" s="1342"/>
      <c r="G8143" s="1342"/>
      <c r="H8143" s="1342"/>
      <c r="I8143" s="1342"/>
      <c r="J8143" s="1342"/>
      <c r="K8143" s="1342"/>
    </row>
    <row r="8144" spans="2:11" ht="14" hidden="1">
      <c r="B8144" s="1342"/>
      <c r="C8144" s="1342"/>
      <c r="D8144" s="1342"/>
      <c r="E8144" s="1342"/>
      <c r="F8144" s="1342"/>
      <c r="G8144" s="1342"/>
      <c r="H8144" s="1342"/>
      <c r="I8144" s="1342"/>
      <c r="J8144" s="1342"/>
      <c r="K8144" s="1342"/>
    </row>
    <row r="8145" spans="2:11" ht="14" hidden="1">
      <c r="B8145" s="1342"/>
      <c r="C8145" s="1342"/>
      <c r="D8145" s="1342"/>
      <c r="E8145" s="1342"/>
      <c r="F8145" s="1342"/>
      <c r="G8145" s="1342"/>
      <c r="H8145" s="1342"/>
      <c r="I8145" s="1342"/>
      <c r="J8145" s="1342"/>
      <c r="K8145" s="1342"/>
    </row>
    <row r="8146" spans="2:11" ht="14" hidden="1">
      <c r="B8146" s="1342"/>
      <c r="C8146" s="1342"/>
      <c r="D8146" s="1342"/>
      <c r="E8146" s="1342"/>
      <c r="F8146" s="1342"/>
      <c r="G8146" s="1342"/>
      <c r="H8146" s="1342"/>
      <c r="I8146" s="1342"/>
      <c r="J8146" s="1342"/>
      <c r="K8146" s="1342"/>
    </row>
    <row r="8147" spans="2:11" ht="14" hidden="1">
      <c r="B8147" s="1342"/>
      <c r="C8147" s="1342"/>
      <c r="D8147" s="1342"/>
      <c r="E8147" s="1342"/>
      <c r="F8147" s="1342"/>
      <c r="G8147" s="1342"/>
      <c r="H8147" s="1342"/>
      <c r="I8147" s="1342"/>
      <c r="J8147" s="1342"/>
      <c r="K8147" s="1342"/>
    </row>
    <row r="8148" spans="2:11" ht="14" hidden="1">
      <c r="B8148" s="1342"/>
      <c r="C8148" s="1342"/>
      <c r="D8148" s="1342"/>
      <c r="E8148" s="1342"/>
      <c r="F8148" s="1342"/>
      <c r="G8148" s="1342"/>
      <c r="H8148" s="1342"/>
      <c r="I8148" s="1342"/>
      <c r="J8148" s="1342"/>
      <c r="K8148" s="1342"/>
    </row>
    <row r="8149" spans="2:11" ht="14" hidden="1">
      <c r="B8149" s="1342"/>
      <c r="C8149" s="1342"/>
      <c r="D8149" s="1342"/>
      <c r="E8149" s="1342"/>
      <c r="F8149" s="1342"/>
      <c r="G8149" s="1342"/>
      <c r="H8149" s="1342"/>
      <c r="I8149" s="1342"/>
      <c r="J8149" s="1342"/>
      <c r="K8149" s="1342"/>
    </row>
    <row r="8150" spans="2:11" ht="14" hidden="1">
      <c r="B8150" s="1342"/>
      <c r="C8150" s="1342"/>
      <c r="D8150" s="1342"/>
      <c r="E8150" s="1342"/>
      <c r="F8150" s="1342"/>
      <c r="G8150" s="1342"/>
      <c r="H8150" s="1342"/>
      <c r="I8150" s="1342"/>
      <c r="J8150" s="1342"/>
      <c r="K8150" s="1342"/>
    </row>
    <row r="8151" spans="2:11" ht="14" hidden="1">
      <c r="B8151" s="1342"/>
      <c r="C8151" s="1342"/>
      <c r="D8151" s="1342"/>
      <c r="E8151" s="1342"/>
      <c r="F8151" s="1342"/>
      <c r="G8151" s="1342"/>
      <c r="H8151" s="1342"/>
      <c r="I8151" s="1342"/>
      <c r="J8151" s="1342"/>
      <c r="K8151" s="1342"/>
    </row>
    <row r="8152" spans="2:11" ht="14" hidden="1">
      <c r="B8152" s="1342"/>
      <c r="C8152" s="1342"/>
      <c r="D8152" s="1342"/>
      <c r="E8152" s="1342"/>
      <c r="F8152" s="1342"/>
      <c r="G8152" s="1342"/>
      <c r="H8152" s="1342"/>
      <c r="I8152" s="1342"/>
      <c r="J8152" s="1342"/>
      <c r="K8152" s="1342"/>
    </row>
    <row r="8153" spans="2:11" ht="14" hidden="1">
      <c r="B8153" s="1342"/>
      <c r="C8153" s="1342"/>
      <c r="D8153" s="1342"/>
      <c r="E8153" s="1342"/>
      <c r="F8153" s="1342"/>
      <c r="G8153" s="1342"/>
      <c r="H8153" s="1342"/>
      <c r="I8153" s="1342"/>
      <c r="J8153" s="1342"/>
      <c r="K8153" s="1342"/>
    </row>
    <row r="8154" spans="2:11" ht="14" hidden="1">
      <c r="B8154" s="1342"/>
      <c r="C8154" s="1342"/>
      <c r="D8154" s="1342"/>
      <c r="E8154" s="1342"/>
      <c r="F8154" s="1342"/>
      <c r="G8154" s="1342"/>
      <c r="H8154" s="1342"/>
      <c r="I8154" s="1342"/>
      <c r="J8154" s="1342"/>
      <c r="K8154" s="1342"/>
    </row>
    <row r="8155" spans="2:11" ht="14" hidden="1">
      <c r="B8155" s="1342"/>
      <c r="C8155" s="1342"/>
      <c r="D8155" s="1342"/>
      <c r="E8155" s="1342"/>
      <c r="F8155" s="1342"/>
      <c r="G8155" s="1342"/>
      <c r="H8155" s="1342"/>
      <c r="I8155" s="1342"/>
      <c r="J8155" s="1342"/>
      <c r="K8155" s="1342"/>
    </row>
    <row r="8156" spans="2:11" ht="14" hidden="1">
      <c r="B8156" s="1342"/>
      <c r="C8156" s="1342"/>
      <c r="D8156" s="1342"/>
      <c r="E8156" s="1342"/>
      <c r="F8156" s="1342"/>
      <c r="G8156" s="1342"/>
      <c r="H8156" s="1342"/>
      <c r="I8156" s="1342"/>
      <c r="J8156" s="1342"/>
      <c r="K8156" s="1342"/>
    </row>
    <row r="8157" spans="2:11" ht="14" hidden="1">
      <c r="B8157" s="1342"/>
      <c r="C8157" s="1342"/>
      <c r="D8157" s="1342"/>
      <c r="E8157" s="1342"/>
      <c r="F8157" s="1342"/>
      <c r="G8157" s="1342"/>
      <c r="H8157" s="1342"/>
      <c r="I8157" s="1342"/>
      <c r="J8157" s="1342"/>
      <c r="K8157" s="1342"/>
    </row>
    <row r="8158" spans="2:11" ht="14" hidden="1">
      <c r="B8158" s="1342"/>
      <c r="C8158" s="1342"/>
      <c r="D8158" s="1342"/>
      <c r="E8158" s="1342"/>
      <c r="F8158" s="1342"/>
      <c r="G8158" s="1342"/>
      <c r="H8158" s="1342"/>
      <c r="I8158" s="1342"/>
      <c r="J8158" s="1342"/>
      <c r="K8158" s="1342"/>
    </row>
    <row r="8159" spans="2:11" ht="14" hidden="1">
      <c r="B8159" s="1342"/>
      <c r="C8159" s="1342"/>
      <c r="D8159" s="1342"/>
      <c r="E8159" s="1342"/>
      <c r="F8159" s="1342"/>
      <c r="G8159" s="1342"/>
      <c r="H8159" s="1342"/>
      <c r="I8159" s="1342"/>
      <c r="J8159" s="1342"/>
      <c r="K8159" s="1342"/>
    </row>
    <row r="8160" spans="2:11" ht="14" hidden="1">
      <c r="B8160" s="1342"/>
      <c r="C8160" s="1342"/>
      <c r="D8160" s="1342"/>
      <c r="E8160" s="1342"/>
      <c r="F8160" s="1342"/>
      <c r="G8160" s="1342"/>
      <c r="H8160" s="1342"/>
      <c r="I8160" s="1342"/>
      <c r="J8160" s="1342"/>
      <c r="K8160" s="1342"/>
    </row>
    <row r="8161" spans="2:11" ht="14" hidden="1">
      <c r="B8161" s="1342"/>
      <c r="C8161" s="1342"/>
      <c r="D8161" s="1342"/>
      <c r="E8161" s="1342"/>
      <c r="F8161" s="1342"/>
      <c r="G8161" s="1342"/>
      <c r="H8161" s="1342"/>
      <c r="I8161" s="1342"/>
      <c r="J8161" s="1342"/>
      <c r="K8161" s="1342"/>
    </row>
    <row r="8162" spans="2:11" ht="14" hidden="1">
      <c r="B8162" s="1342"/>
      <c r="C8162" s="1342"/>
      <c r="D8162" s="1342"/>
      <c r="E8162" s="1342"/>
      <c r="F8162" s="1342"/>
      <c r="G8162" s="1342"/>
      <c r="H8162" s="1342"/>
      <c r="I8162" s="1342"/>
      <c r="J8162" s="1342"/>
      <c r="K8162" s="1342"/>
    </row>
    <row r="8163" spans="2:11" ht="14" hidden="1">
      <c r="B8163" s="1342"/>
      <c r="C8163" s="1342"/>
      <c r="D8163" s="1342"/>
      <c r="E8163" s="1342"/>
      <c r="F8163" s="1342"/>
      <c r="G8163" s="1342"/>
      <c r="H8163" s="1342"/>
      <c r="I8163" s="1342"/>
      <c r="J8163" s="1342"/>
      <c r="K8163" s="1342"/>
    </row>
    <row r="8164" spans="2:11" ht="14" hidden="1">
      <c r="B8164" s="1342"/>
      <c r="C8164" s="1342"/>
      <c r="D8164" s="1342"/>
      <c r="E8164" s="1342"/>
      <c r="F8164" s="1342"/>
      <c r="G8164" s="1342"/>
      <c r="H8164" s="1342"/>
      <c r="I8164" s="1342"/>
      <c r="J8164" s="1342"/>
      <c r="K8164" s="1342"/>
    </row>
    <row r="8165" spans="2:11" ht="14" hidden="1">
      <c r="B8165" s="1342"/>
      <c r="C8165" s="1342"/>
      <c r="D8165" s="1342"/>
      <c r="E8165" s="1342"/>
      <c r="F8165" s="1342"/>
      <c r="G8165" s="1342"/>
      <c r="H8165" s="1342"/>
      <c r="I8165" s="1342"/>
      <c r="J8165" s="1342"/>
      <c r="K8165" s="1342"/>
    </row>
    <row r="8166" spans="2:11" ht="14" hidden="1">
      <c r="B8166" s="1342"/>
      <c r="C8166" s="1342"/>
      <c r="D8166" s="1342"/>
      <c r="E8166" s="1342"/>
      <c r="F8166" s="1342"/>
      <c r="G8166" s="1342"/>
      <c r="H8166" s="1342"/>
      <c r="I8166" s="1342"/>
      <c r="J8166" s="1342"/>
      <c r="K8166" s="1342"/>
    </row>
    <row r="8167" spans="2:11" ht="14" hidden="1">
      <c r="B8167" s="1342"/>
      <c r="C8167" s="1342"/>
      <c r="D8167" s="1342"/>
      <c r="E8167" s="1342"/>
      <c r="F8167" s="1342"/>
      <c r="G8167" s="1342"/>
      <c r="H8167" s="1342"/>
      <c r="I8167" s="1342"/>
      <c r="J8167" s="1342"/>
      <c r="K8167" s="1342"/>
    </row>
    <row r="8168" spans="2:11" ht="14" hidden="1">
      <c r="B8168" s="1342"/>
      <c r="C8168" s="1342"/>
      <c r="D8168" s="1342"/>
      <c r="E8168" s="1342"/>
      <c r="F8168" s="1342"/>
      <c r="G8168" s="1342"/>
      <c r="H8168" s="1342"/>
      <c r="I8168" s="1342"/>
      <c r="J8168" s="1342"/>
      <c r="K8168" s="1342"/>
    </row>
    <row r="8169" spans="2:11" ht="14" hidden="1">
      <c r="B8169" s="1342"/>
      <c r="C8169" s="1342"/>
      <c r="D8169" s="1342"/>
      <c r="E8169" s="1342"/>
      <c r="F8169" s="1342"/>
      <c r="G8169" s="1342"/>
      <c r="H8169" s="1342"/>
      <c r="I8169" s="1342"/>
      <c r="J8169" s="1342"/>
      <c r="K8169" s="1342"/>
    </row>
    <row r="8170" spans="2:11" ht="14" hidden="1">
      <c r="B8170" s="1342"/>
      <c r="C8170" s="1342"/>
      <c r="D8170" s="1342"/>
      <c r="E8170" s="1342"/>
      <c r="F8170" s="1342"/>
      <c r="G8170" s="1342"/>
      <c r="H8170" s="1342"/>
      <c r="I8170" s="1342"/>
      <c r="J8170" s="1342"/>
      <c r="K8170" s="1342"/>
    </row>
    <row r="8171" spans="2:11" ht="14" hidden="1">
      <c r="B8171" s="1342"/>
      <c r="C8171" s="1342"/>
      <c r="D8171" s="1342"/>
      <c r="E8171" s="1342"/>
      <c r="F8171" s="1342"/>
      <c r="G8171" s="1342"/>
      <c r="H8171" s="1342"/>
      <c r="I8171" s="1342"/>
      <c r="J8171" s="1342"/>
      <c r="K8171" s="1342"/>
    </row>
    <row r="8172" spans="2:11" ht="14" hidden="1">
      <c r="B8172" s="1342"/>
      <c r="C8172" s="1342"/>
      <c r="D8172" s="1342"/>
      <c r="E8172" s="1342"/>
      <c r="F8172" s="1342"/>
      <c r="G8172" s="1342"/>
      <c r="H8172" s="1342"/>
      <c r="I8172" s="1342"/>
      <c r="J8172" s="1342"/>
      <c r="K8172" s="1342"/>
    </row>
    <row r="8173" spans="2:11" ht="14" hidden="1">
      <c r="B8173" s="1342"/>
      <c r="C8173" s="1342"/>
      <c r="D8173" s="1342"/>
      <c r="E8173" s="1342"/>
      <c r="F8173" s="1342"/>
      <c r="G8173" s="1342"/>
      <c r="H8173" s="1342"/>
      <c r="I8173" s="1342"/>
      <c r="J8173" s="1342"/>
      <c r="K8173" s="1342"/>
    </row>
    <row r="8174" spans="2:11" ht="14" hidden="1">
      <c r="B8174" s="1342"/>
      <c r="C8174" s="1342"/>
      <c r="D8174" s="1342"/>
      <c r="E8174" s="1342"/>
      <c r="F8174" s="1342"/>
      <c r="G8174" s="1342"/>
      <c r="H8174" s="1342"/>
      <c r="I8174" s="1342"/>
      <c r="J8174" s="1342"/>
      <c r="K8174" s="1342"/>
    </row>
    <row r="8175" spans="2:11" ht="14" hidden="1">
      <c r="B8175" s="1342"/>
      <c r="C8175" s="1342"/>
      <c r="D8175" s="1342"/>
      <c r="E8175" s="1342"/>
      <c r="F8175" s="1342"/>
      <c r="G8175" s="1342"/>
      <c r="H8175" s="1342"/>
      <c r="I8175" s="1342"/>
      <c r="J8175" s="1342"/>
      <c r="K8175" s="1342"/>
    </row>
    <row r="8176" spans="2:11" ht="14" hidden="1">
      <c r="B8176" s="1342"/>
      <c r="C8176" s="1342"/>
      <c r="D8176" s="1342"/>
      <c r="E8176" s="1342"/>
      <c r="F8176" s="1342"/>
      <c r="G8176" s="1342"/>
      <c r="H8176" s="1342"/>
      <c r="I8176" s="1342"/>
      <c r="J8176" s="1342"/>
      <c r="K8176" s="1342"/>
    </row>
    <row r="8177" spans="2:11" ht="14" hidden="1">
      <c r="B8177" s="1342"/>
      <c r="C8177" s="1342"/>
      <c r="D8177" s="1342"/>
      <c r="E8177" s="1342"/>
      <c r="F8177" s="1342"/>
      <c r="G8177" s="1342"/>
      <c r="H8177" s="1342"/>
      <c r="I8177" s="1342"/>
      <c r="J8177" s="1342"/>
      <c r="K8177" s="1342"/>
    </row>
    <row r="8178" spans="2:11" ht="14" hidden="1">
      <c r="B8178" s="1342"/>
      <c r="C8178" s="1342"/>
      <c r="D8178" s="1342"/>
      <c r="E8178" s="1342"/>
      <c r="F8178" s="1342"/>
      <c r="G8178" s="1342"/>
      <c r="H8178" s="1342"/>
      <c r="I8178" s="1342"/>
      <c r="J8178" s="1342"/>
      <c r="K8178" s="1342"/>
    </row>
    <row r="8179" spans="2:11" ht="14" hidden="1">
      <c r="B8179" s="1342"/>
      <c r="C8179" s="1342"/>
      <c r="D8179" s="1342"/>
      <c r="E8179" s="1342"/>
      <c r="F8179" s="1342"/>
      <c r="G8179" s="1342"/>
      <c r="H8179" s="1342"/>
      <c r="I8179" s="1342"/>
      <c r="J8179" s="1342"/>
      <c r="K8179" s="1342"/>
    </row>
    <row r="8180" spans="2:11" ht="14" hidden="1">
      <c r="B8180" s="1342"/>
      <c r="C8180" s="1342"/>
      <c r="D8180" s="1342"/>
      <c r="E8180" s="1342"/>
      <c r="F8180" s="1342"/>
      <c r="G8180" s="1342"/>
      <c r="H8180" s="1342"/>
      <c r="I8180" s="1342"/>
      <c r="J8180" s="1342"/>
      <c r="K8180" s="1342"/>
    </row>
    <row r="8181" spans="2:11" ht="14" hidden="1">
      <c r="B8181" s="1342"/>
      <c r="C8181" s="1342"/>
      <c r="D8181" s="1342"/>
      <c r="E8181" s="1342"/>
      <c r="F8181" s="1342"/>
      <c r="G8181" s="1342"/>
      <c r="H8181" s="1342"/>
      <c r="I8181" s="1342"/>
      <c r="J8181" s="1342"/>
      <c r="K8181" s="1342"/>
    </row>
    <row r="8182" spans="2:11" ht="14" hidden="1">
      <c r="B8182" s="1342"/>
      <c r="C8182" s="1342"/>
      <c r="D8182" s="1342"/>
      <c r="E8182" s="1342"/>
      <c r="F8182" s="1342"/>
      <c r="G8182" s="1342"/>
      <c r="H8182" s="1342"/>
      <c r="I8182" s="1342"/>
      <c r="J8182" s="1342"/>
      <c r="K8182" s="1342"/>
    </row>
    <row r="8183" spans="2:11" ht="14" hidden="1">
      <c r="B8183" s="1342"/>
      <c r="C8183" s="1342"/>
      <c r="D8183" s="1342"/>
      <c r="E8183" s="1342"/>
      <c r="F8183" s="1342"/>
      <c r="G8183" s="1342"/>
      <c r="H8183" s="1342"/>
      <c r="I8183" s="1342"/>
      <c r="J8183" s="1342"/>
      <c r="K8183" s="1342"/>
    </row>
    <row r="8184" spans="2:11" ht="14" hidden="1">
      <c r="B8184" s="1342"/>
      <c r="C8184" s="1342"/>
      <c r="D8184" s="1342"/>
      <c r="E8184" s="1342"/>
      <c r="F8184" s="1342"/>
      <c r="G8184" s="1342"/>
      <c r="H8184" s="1342"/>
      <c r="I8184" s="1342"/>
      <c r="J8184" s="1342"/>
      <c r="K8184" s="1342"/>
    </row>
    <row r="8185" spans="2:11" ht="14" hidden="1">
      <c r="B8185" s="1342"/>
      <c r="C8185" s="1342"/>
      <c r="D8185" s="1342"/>
      <c r="E8185" s="1342"/>
      <c r="F8185" s="1342"/>
      <c r="G8185" s="1342"/>
      <c r="H8185" s="1342"/>
      <c r="I8185" s="1342"/>
      <c r="J8185" s="1342"/>
      <c r="K8185" s="1342"/>
    </row>
    <row r="8186" spans="2:11" ht="14" hidden="1">
      <c r="B8186" s="1342"/>
      <c r="C8186" s="1342"/>
      <c r="D8186" s="1342"/>
      <c r="E8186" s="1342"/>
      <c r="F8186" s="1342"/>
      <c r="G8186" s="1342"/>
      <c r="H8186" s="1342"/>
      <c r="I8186" s="1342"/>
      <c r="J8186" s="1342"/>
      <c r="K8186" s="1342"/>
    </row>
    <row r="8187" spans="2:11" ht="14" hidden="1">
      <c r="B8187" s="1342"/>
      <c r="C8187" s="1342"/>
      <c r="D8187" s="1342"/>
      <c r="E8187" s="1342"/>
      <c r="F8187" s="1342"/>
      <c r="G8187" s="1342"/>
      <c r="H8187" s="1342"/>
      <c r="I8187" s="1342"/>
      <c r="J8187" s="1342"/>
      <c r="K8187" s="1342"/>
    </row>
    <row r="8188" spans="2:11" ht="14" hidden="1">
      <c r="B8188" s="1342"/>
      <c r="C8188" s="1342"/>
      <c r="D8188" s="1342"/>
      <c r="E8188" s="1342"/>
      <c r="F8188" s="1342"/>
      <c r="G8188" s="1342"/>
      <c r="H8188" s="1342"/>
      <c r="I8188" s="1342"/>
      <c r="J8188" s="1342"/>
      <c r="K8188" s="1342"/>
    </row>
    <row r="8189" spans="2:11" ht="14" hidden="1">
      <c r="B8189" s="1342"/>
      <c r="C8189" s="1342"/>
      <c r="D8189" s="1342"/>
      <c r="E8189" s="1342"/>
      <c r="F8189" s="1342"/>
      <c r="G8189" s="1342"/>
      <c r="H8189" s="1342"/>
      <c r="I8189" s="1342"/>
      <c r="J8189" s="1342"/>
      <c r="K8189" s="1342"/>
    </row>
    <row r="8190" spans="2:11" ht="14" hidden="1">
      <c r="B8190" s="1342"/>
      <c r="C8190" s="1342"/>
      <c r="D8190" s="1342"/>
      <c r="E8190" s="1342"/>
      <c r="F8190" s="1342"/>
      <c r="G8190" s="1342"/>
      <c r="H8190" s="1342"/>
      <c r="I8190" s="1342"/>
      <c r="J8190" s="1342"/>
      <c r="K8190" s="1342"/>
    </row>
    <row r="8191" spans="2:11" ht="14" hidden="1">
      <c r="B8191" s="1342"/>
      <c r="C8191" s="1342"/>
      <c r="D8191" s="1342"/>
      <c r="E8191" s="1342"/>
      <c r="F8191" s="1342"/>
      <c r="G8191" s="1342"/>
      <c r="H8191" s="1342"/>
      <c r="I8191" s="1342"/>
      <c r="J8191" s="1342"/>
      <c r="K8191" s="1342"/>
    </row>
    <row r="8192" spans="2:11" ht="14" hidden="1">
      <c r="B8192" s="1342"/>
      <c r="C8192" s="1342"/>
      <c r="D8192" s="1342"/>
      <c r="E8192" s="1342"/>
      <c r="F8192" s="1342"/>
      <c r="G8192" s="1342"/>
      <c r="H8192" s="1342"/>
      <c r="I8192" s="1342"/>
      <c r="J8192" s="1342"/>
      <c r="K8192" s="1342"/>
    </row>
    <row r="8193" spans="2:11" ht="14" hidden="1">
      <c r="B8193" s="1342"/>
      <c r="C8193" s="1342"/>
      <c r="D8193" s="1342"/>
      <c r="E8193" s="1342"/>
      <c r="F8193" s="1342"/>
      <c r="G8193" s="1342"/>
      <c r="H8193" s="1342"/>
      <c r="I8193" s="1342"/>
      <c r="J8193" s="1342"/>
      <c r="K8193" s="1342"/>
    </row>
    <row r="8194" spans="2:11" ht="14" hidden="1">
      <c r="B8194" s="1342"/>
      <c r="C8194" s="1342"/>
      <c r="D8194" s="1342"/>
      <c r="E8194" s="1342"/>
      <c r="F8194" s="1342"/>
      <c r="G8194" s="1342"/>
      <c r="H8194" s="1342"/>
      <c r="I8194" s="1342"/>
      <c r="J8194" s="1342"/>
      <c r="K8194" s="1342"/>
    </row>
    <row r="8195" spans="2:11" ht="14" hidden="1">
      <c r="B8195" s="1342"/>
      <c r="C8195" s="1342"/>
      <c r="D8195" s="1342"/>
      <c r="E8195" s="1342"/>
      <c r="F8195" s="1342"/>
      <c r="G8195" s="1342"/>
      <c r="H8195" s="1342"/>
      <c r="I8195" s="1342"/>
      <c r="J8195" s="1342"/>
      <c r="K8195" s="1342"/>
    </row>
    <row r="8196" spans="2:11" ht="14" hidden="1">
      <c r="B8196" s="1342"/>
      <c r="C8196" s="1342"/>
      <c r="D8196" s="1342"/>
      <c r="E8196" s="1342"/>
      <c r="F8196" s="1342"/>
      <c r="G8196" s="1342"/>
      <c r="H8196" s="1342"/>
      <c r="I8196" s="1342"/>
      <c r="J8196" s="1342"/>
      <c r="K8196" s="1342"/>
    </row>
    <row r="8197" spans="2:11" ht="14" hidden="1">
      <c r="B8197" s="1342"/>
      <c r="C8197" s="1342"/>
      <c r="D8197" s="1342"/>
      <c r="E8197" s="1342"/>
      <c r="F8197" s="1342"/>
      <c r="G8197" s="1342"/>
      <c r="H8197" s="1342"/>
      <c r="I8197" s="1342"/>
      <c r="J8197" s="1342"/>
      <c r="K8197" s="1342"/>
    </row>
    <row r="8198" spans="2:11" ht="14" hidden="1">
      <c r="B8198" s="1342"/>
      <c r="C8198" s="1342"/>
      <c r="D8198" s="1342"/>
      <c r="E8198" s="1342"/>
      <c r="F8198" s="1342"/>
      <c r="G8198" s="1342"/>
      <c r="H8198" s="1342"/>
      <c r="I8198" s="1342"/>
      <c r="J8198" s="1342"/>
      <c r="K8198" s="1342"/>
    </row>
    <row r="8199" spans="2:11" ht="14" hidden="1">
      <c r="B8199" s="1342"/>
      <c r="C8199" s="1342"/>
      <c r="D8199" s="1342"/>
      <c r="E8199" s="1342"/>
      <c r="F8199" s="1342"/>
      <c r="G8199" s="1342"/>
      <c r="H8199" s="1342"/>
      <c r="I8199" s="1342"/>
      <c r="J8199" s="1342"/>
      <c r="K8199" s="1342"/>
    </row>
    <row r="8200" spans="2:11" ht="14" hidden="1">
      <c r="B8200" s="1342"/>
      <c r="C8200" s="1342"/>
      <c r="D8200" s="1342"/>
      <c r="E8200" s="1342"/>
      <c r="F8200" s="1342"/>
      <c r="G8200" s="1342"/>
      <c r="H8200" s="1342"/>
      <c r="I8200" s="1342"/>
      <c r="J8200" s="1342"/>
      <c r="K8200" s="1342"/>
    </row>
    <row r="8201" spans="2:11" ht="14" hidden="1">
      <c r="B8201" s="1342"/>
      <c r="C8201" s="1342"/>
      <c r="D8201" s="1342"/>
      <c r="E8201" s="1342"/>
      <c r="F8201" s="1342"/>
      <c r="G8201" s="1342"/>
      <c r="H8201" s="1342"/>
      <c r="I8201" s="1342"/>
      <c r="J8201" s="1342"/>
      <c r="K8201" s="1342"/>
    </row>
    <row r="8202" spans="2:11" ht="14" hidden="1">
      <c r="B8202" s="1342"/>
      <c r="C8202" s="1342"/>
      <c r="D8202" s="1342"/>
      <c r="E8202" s="1342"/>
      <c r="F8202" s="1342"/>
      <c r="G8202" s="1342"/>
      <c r="H8202" s="1342"/>
      <c r="I8202" s="1342"/>
      <c r="J8202" s="1342"/>
      <c r="K8202" s="1342"/>
    </row>
    <row r="8203" spans="2:11" ht="14" hidden="1">
      <c r="B8203" s="1342"/>
      <c r="C8203" s="1342"/>
      <c r="D8203" s="1342"/>
      <c r="E8203" s="1342"/>
      <c r="F8203" s="1342"/>
      <c r="G8203" s="1342"/>
      <c r="H8203" s="1342"/>
      <c r="I8203" s="1342"/>
      <c r="J8203" s="1342"/>
      <c r="K8203" s="1342"/>
    </row>
    <row r="8204" spans="2:11" ht="14" hidden="1">
      <c r="B8204" s="1342"/>
      <c r="C8204" s="1342"/>
      <c r="D8204" s="1342"/>
      <c r="E8204" s="1342"/>
      <c r="F8204" s="1342"/>
      <c r="G8204" s="1342"/>
      <c r="H8204" s="1342"/>
      <c r="I8204" s="1342"/>
      <c r="J8204" s="1342"/>
      <c r="K8204" s="1342"/>
    </row>
    <row r="8205" spans="2:11" ht="14" hidden="1">
      <c r="B8205" s="1342"/>
      <c r="C8205" s="1342"/>
      <c r="D8205" s="1342"/>
      <c r="E8205" s="1342"/>
      <c r="F8205" s="1342"/>
      <c r="G8205" s="1342"/>
      <c r="H8205" s="1342"/>
      <c r="I8205" s="1342"/>
      <c r="J8205" s="1342"/>
      <c r="K8205" s="1342"/>
    </row>
    <row r="8206" spans="2:11" ht="14" hidden="1">
      <c r="B8206" s="1342"/>
      <c r="C8206" s="1342"/>
      <c r="D8206" s="1342"/>
      <c r="E8206" s="1342"/>
      <c r="F8206" s="1342"/>
      <c r="G8206" s="1342"/>
      <c r="H8206" s="1342"/>
      <c r="I8206" s="1342"/>
      <c r="J8206" s="1342"/>
      <c r="K8206" s="1342"/>
    </row>
    <row r="8207" spans="2:11" ht="14" hidden="1">
      <c r="B8207" s="1342"/>
      <c r="C8207" s="1342"/>
      <c r="D8207" s="1342"/>
      <c r="E8207" s="1342"/>
      <c r="F8207" s="1342"/>
      <c r="G8207" s="1342"/>
      <c r="H8207" s="1342"/>
      <c r="I8207" s="1342"/>
      <c r="J8207" s="1342"/>
      <c r="K8207" s="1342"/>
    </row>
    <row r="8208" spans="2:11" ht="14" hidden="1">
      <c r="B8208" s="1342"/>
      <c r="C8208" s="1342"/>
      <c r="D8208" s="1342"/>
      <c r="E8208" s="1342"/>
      <c r="F8208" s="1342"/>
      <c r="G8208" s="1342"/>
      <c r="H8208" s="1342"/>
      <c r="I8208" s="1342"/>
      <c r="J8208" s="1342"/>
      <c r="K8208" s="1342"/>
    </row>
    <row r="8209" spans="2:11" ht="14" hidden="1">
      <c r="B8209" s="1342"/>
      <c r="C8209" s="1342"/>
      <c r="D8209" s="1342"/>
      <c r="E8209" s="1342"/>
      <c r="F8209" s="1342"/>
      <c r="G8209" s="1342"/>
      <c r="H8209" s="1342"/>
      <c r="I8209" s="1342"/>
      <c r="J8209" s="1342"/>
      <c r="K8209" s="1342"/>
    </row>
    <row r="8210" spans="2:11" ht="14" hidden="1">
      <c r="B8210" s="1342"/>
      <c r="C8210" s="1342"/>
      <c r="D8210" s="1342"/>
      <c r="E8210" s="1342"/>
      <c r="F8210" s="1342"/>
      <c r="G8210" s="1342"/>
      <c r="H8210" s="1342"/>
      <c r="I8210" s="1342"/>
      <c r="J8210" s="1342"/>
      <c r="K8210" s="1342"/>
    </row>
    <row r="8211" spans="2:11" ht="14" hidden="1">
      <c r="B8211" s="1342"/>
      <c r="C8211" s="1342"/>
      <c r="D8211" s="1342"/>
      <c r="E8211" s="1342"/>
      <c r="F8211" s="1342"/>
      <c r="G8211" s="1342"/>
      <c r="H8211" s="1342"/>
      <c r="I8211" s="1342"/>
      <c r="J8211" s="1342"/>
      <c r="K8211" s="1342"/>
    </row>
    <row r="8212" spans="2:11" ht="14" hidden="1">
      <c r="B8212" s="1342"/>
      <c r="C8212" s="1342"/>
      <c r="D8212" s="1342"/>
      <c r="E8212" s="1342"/>
      <c r="F8212" s="1342"/>
      <c r="G8212" s="1342"/>
      <c r="H8212" s="1342"/>
      <c r="I8212" s="1342"/>
      <c r="J8212" s="1342"/>
      <c r="K8212" s="1342"/>
    </row>
    <row r="8213" spans="2:11" ht="14" hidden="1">
      <c r="B8213" s="1342"/>
      <c r="C8213" s="1342"/>
      <c r="D8213" s="1342"/>
      <c r="E8213" s="1342"/>
      <c r="F8213" s="1342"/>
      <c r="G8213" s="1342"/>
      <c r="H8213" s="1342"/>
      <c r="I8213" s="1342"/>
      <c r="J8213" s="1342"/>
      <c r="K8213" s="1342"/>
    </row>
    <row r="8214" spans="2:11" ht="14" hidden="1">
      <c r="B8214" s="1342"/>
      <c r="C8214" s="1342"/>
      <c r="D8214" s="1342"/>
      <c r="E8214" s="1342"/>
      <c r="F8214" s="1342"/>
      <c r="G8214" s="1342"/>
      <c r="H8214" s="1342"/>
      <c r="I8214" s="1342"/>
      <c r="J8214" s="1342"/>
      <c r="K8214" s="1342"/>
    </row>
    <row r="8215" spans="2:11" ht="14" hidden="1">
      <c r="B8215" s="1342"/>
      <c r="C8215" s="1342"/>
      <c r="D8215" s="1342"/>
      <c r="E8215" s="1342"/>
      <c r="F8215" s="1342"/>
      <c r="G8215" s="1342"/>
      <c r="H8215" s="1342"/>
      <c r="I8215" s="1342"/>
      <c r="J8215" s="1342"/>
      <c r="K8215" s="1342"/>
    </row>
    <row r="8216" spans="2:11" ht="14" hidden="1">
      <c r="B8216" s="1342"/>
      <c r="C8216" s="1342"/>
      <c r="D8216" s="1342"/>
      <c r="E8216" s="1342"/>
      <c r="F8216" s="1342"/>
      <c r="G8216" s="1342"/>
      <c r="H8216" s="1342"/>
      <c r="I8216" s="1342"/>
      <c r="J8216" s="1342"/>
      <c r="K8216" s="1342"/>
    </row>
    <row r="8217" spans="2:11" ht="14" hidden="1">
      <c r="B8217" s="1342"/>
      <c r="C8217" s="1342"/>
      <c r="D8217" s="1342"/>
      <c r="E8217" s="1342"/>
      <c r="F8217" s="1342"/>
      <c r="G8217" s="1342"/>
      <c r="H8217" s="1342"/>
      <c r="I8217" s="1342"/>
      <c r="J8217" s="1342"/>
      <c r="K8217" s="1342"/>
    </row>
    <row r="8218" spans="2:11" ht="14" hidden="1">
      <c r="B8218" s="1342"/>
      <c r="C8218" s="1342"/>
      <c r="D8218" s="1342"/>
      <c r="E8218" s="1342"/>
      <c r="F8218" s="1342"/>
      <c r="G8218" s="1342"/>
      <c r="H8218" s="1342"/>
      <c r="I8218" s="1342"/>
      <c r="J8218" s="1342"/>
      <c r="K8218" s="1342"/>
    </row>
    <row r="8219" spans="2:11" ht="14" hidden="1">
      <c r="B8219" s="1342"/>
      <c r="C8219" s="1342"/>
      <c r="D8219" s="1342"/>
      <c r="E8219" s="1342"/>
      <c r="F8219" s="1342"/>
      <c r="G8219" s="1342"/>
      <c r="H8219" s="1342"/>
      <c r="I8219" s="1342"/>
      <c r="J8219" s="1342"/>
      <c r="K8219" s="1342"/>
    </row>
    <row r="8220" spans="2:11" ht="14" hidden="1">
      <c r="B8220" s="1342"/>
      <c r="C8220" s="1342"/>
      <c r="D8220" s="1342"/>
      <c r="E8220" s="1342"/>
      <c r="F8220" s="1342"/>
      <c r="G8220" s="1342"/>
      <c r="H8220" s="1342"/>
      <c r="I8220" s="1342"/>
      <c r="J8220" s="1342"/>
      <c r="K8220" s="1342"/>
    </row>
    <row r="8221" spans="2:11" ht="14" hidden="1">
      <c r="B8221" s="1342"/>
      <c r="C8221" s="1342"/>
      <c r="D8221" s="1342"/>
      <c r="E8221" s="1342"/>
      <c r="F8221" s="1342"/>
      <c r="G8221" s="1342"/>
      <c r="H8221" s="1342"/>
      <c r="I8221" s="1342"/>
      <c r="J8221" s="1342"/>
      <c r="K8221" s="1342"/>
    </row>
    <row r="8222" spans="2:11" ht="14" hidden="1">
      <c r="B8222" s="1342"/>
      <c r="C8222" s="1342"/>
      <c r="D8222" s="1342"/>
      <c r="E8222" s="1342"/>
      <c r="F8222" s="1342"/>
      <c r="G8222" s="1342"/>
      <c r="H8222" s="1342"/>
      <c r="I8222" s="1342"/>
      <c r="J8222" s="1342"/>
      <c r="K8222" s="1342"/>
    </row>
    <row r="8223" spans="2:11" ht="14" hidden="1">
      <c r="B8223" s="1342"/>
      <c r="C8223" s="1342"/>
      <c r="D8223" s="1342"/>
      <c r="E8223" s="1342"/>
      <c r="F8223" s="1342"/>
      <c r="G8223" s="1342"/>
      <c r="H8223" s="1342"/>
      <c r="I8223" s="1342"/>
      <c r="J8223" s="1342"/>
      <c r="K8223" s="1342"/>
    </row>
    <row r="8224" spans="2:11" ht="14" hidden="1">
      <c r="B8224" s="1342"/>
      <c r="C8224" s="1342"/>
      <c r="D8224" s="1342"/>
      <c r="E8224" s="1342"/>
      <c r="F8224" s="1342"/>
      <c r="G8224" s="1342"/>
      <c r="H8224" s="1342"/>
      <c r="I8224" s="1342"/>
      <c r="J8224" s="1342"/>
      <c r="K8224" s="1342"/>
    </row>
    <row r="8225" spans="2:11" ht="14" hidden="1">
      <c r="B8225" s="1342"/>
      <c r="C8225" s="1342"/>
      <c r="D8225" s="1342"/>
      <c r="E8225" s="1342"/>
      <c r="F8225" s="1342"/>
      <c r="G8225" s="1342"/>
      <c r="H8225" s="1342"/>
      <c r="I8225" s="1342"/>
      <c r="J8225" s="1342"/>
      <c r="K8225" s="1342"/>
    </row>
    <row r="8226" spans="2:11" ht="14" hidden="1">
      <c r="B8226" s="1342"/>
      <c r="C8226" s="1342"/>
      <c r="D8226" s="1342"/>
      <c r="E8226" s="1342"/>
      <c r="F8226" s="1342"/>
      <c r="G8226" s="1342"/>
      <c r="H8226" s="1342"/>
      <c r="I8226" s="1342"/>
      <c r="J8226" s="1342"/>
      <c r="K8226" s="1342"/>
    </row>
    <row r="8227" spans="2:11" ht="14" hidden="1">
      <c r="B8227" s="1342"/>
      <c r="C8227" s="1342"/>
      <c r="D8227" s="1342"/>
      <c r="E8227" s="1342"/>
      <c r="F8227" s="1342"/>
      <c r="G8227" s="1342"/>
      <c r="H8227" s="1342"/>
      <c r="I8227" s="1342"/>
      <c r="J8227" s="1342"/>
      <c r="K8227" s="1342"/>
    </row>
    <row r="8228" spans="2:11" ht="14" hidden="1">
      <c r="B8228" s="1342"/>
      <c r="C8228" s="1342"/>
      <c r="D8228" s="1342"/>
      <c r="E8228" s="1342"/>
      <c r="F8228" s="1342"/>
      <c r="G8228" s="1342"/>
      <c r="H8228" s="1342"/>
      <c r="I8228" s="1342"/>
      <c r="J8228" s="1342"/>
      <c r="K8228" s="1342"/>
    </row>
    <row r="8229" spans="2:11" ht="14" hidden="1">
      <c r="B8229" s="1342"/>
      <c r="C8229" s="1342"/>
      <c r="D8229" s="1342"/>
      <c r="E8229" s="1342"/>
      <c r="F8229" s="1342"/>
      <c r="G8229" s="1342"/>
      <c r="H8229" s="1342"/>
      <c r="I8229" s="1342"/>
      <c r="J8229" s="1342"/>
      <c r="K8229" s="1342"/>
    </row>
    <row r="8230" spans="2:11" ht="14" hidden="1">
      <c r="B8230" s="1342"/>
      <c r="C8230" s="1342"/>
      <c r="D8230" s="1342"/>
      <c r="E8230" s="1342"/>
      <c r="F8230" s="1342"/>
      <c r="G8230" s="1342"/>
      <c r="H8230" s="1342"/>
      <c r="I8230" s="1342"/>
      <c r="J8230" s="1342"/>
      <c r="K8230" s="1342"/>
    </row>
    <row r="8231" spans="2:11" ht="14" hidden="1">
      <c r="B8231" s="1342"/>
      <c r="C8231" s="1342"/>
      <c r="D8231" s="1342"/>
      <c r="E8231" s="1342"/>
      <c r="F8231" s="1342"/>
      <c r="G8231" s="1342"/>
      <c r="H8231" s="1342"/>
      <c r="I8231" s="1342"/>
      <c r="J8231" s="1342"/>
      <c r="K8231" s="1342"/>
    </row>
    <row r="8232" spans="2:11" ht="14" hidden="1">
      <c r="B8232" s="1342"/>
      <c r="C8232" s="1342"/>
      <c r="D8232" s="1342"/>
      <c r="E8232" s="1342"/>
      <c r="F8232" s="1342"/>
      <c r="G8232" s="1342"/>
      <c r="H8232" s="1342"/>
      <c r="I8232" s="1342"/>
      <c r="J8232" s="1342"/>
      <c r="K8232" s="1342"/>
    </row>
    <row r="8233" spans="2:11" ht="14" hidden="1">
      <c r="B8233" s="1342"/>
      <c r="C8233" s="1342"/>
      <c r="D8233" s="1342"/>
      <c r="E8233" s="1342"/>
      <c r="F8233" s="1342"/>
      <c r="G8233" s="1342"/>
      <c r="H8233" s="1342"/>
      <c r="I8233" s="1342"/>
      <c r="J8233" s="1342"/>
      <c r="K8233" s="1342"/>
    </row>
    <row r="8234" spans="2:11" ht="14" hidden="1">
      <c r="B8234" s="1342"/>
      <c r="C8234" s="1342"/>
      <c r="D8234" s="1342"/>
      <c r="E8234" s="1342"/>
      <c r="F8234" s="1342"/>
      <c r="G8234" s="1342"/>
      <c r="H8234" s="1342"/>
      <c r="I8234" s="1342"/>
      <c r="J8234" s="1342"/>
      <c r="K8234" s="1342"/>
    </row>
    <row r="8235" spans="2:11" ht="14" hidden="1">
      <c r="B8235" s="1342"/>
      <c r="C8235" s="1342"/>
      <c r="D8235" s="1342"/>
      <c r="E8235" s="1342"/>
      <c r="F8235" s="1342"/>
      <c r="G8235" s="1342"/>
      <c r="H8235" s="1342"/>
      <c r="I8235" s="1342"/>
      <c r="J8235" s="1342"/>
      <c r="K8235" s="1342"/>
    </row>
    <row r="8236" spans="2:11" ht="14" hidden="1">
      <c r="B8236" s="1342"/>
      <c r="C8236" s="1342"/>
      <c r="D8236" s="1342"/>
      <c r="E8236" s="1342"/>
      <c r="F8236" s="1342"/>
      <c r="G8236" s="1342"/>
      <c r="H8236" s="1342"/>
      <c r="I8236" s="1342"/>
      <c r="J8236" s="1342"/>
      <c r="K8236" s="1342"/>
    </row>
    <row r="8237" spans="2:11" ht="14" hidden="1">
      <c r="B8237" s="1342"/>
      <c r="C8237" s="1342"/>
      <c r="D8237" s="1342"/>
      <c r="E8237" s="1342"/>
      <c r="F8237" s="1342"/>
      <c r="G8237" s="1342"/>
      <c r="H8237" s="1342"/>
      <c r="I8237" s="1342"/>
      <c r="J8237" s="1342"/>
      <c r="K8237" s="1342"/>
    </row>
    <row r="8238" spans="2:11" ht="14" hidden="1">
      <c r="B8238" s="1342"/>
      <c r="C8238" s="1342"/>
      <c r="D8238" s="1342"/>
      <c r="E8238" s="1342"/>
      <c r="F8238" s="1342"/>
      <c r="G8238" s="1342"/>
      <c r="H8238" s="1342"/>
      <c r="I8238" s="1342"/>
      <c r="J8238" s="1342"/>
      <c r="K8238" s="1342"/>
    </row>
    <row r="8239" spans="2:11" ht="14" hidden="1">
      <c r="B8239" s="1342"/>
      <c r="C8239" s="1342"/>
      <c r="D8239" s="1342"/>
      <c r="E8239" s="1342"/>
      <c r="F8239" s="1342"/>
      <c r="G8239" s="1342"/>
      <c r="H8239" s="1342"/>
      <c r="I8239" s="1342"/>
      <c r="J8239" s="1342"/>
      <c r="K8239" s="1342"/>
    </row>
    <row r="8240" spans="2:11" ht="14" hidden="1">
      <c r="B8240" s="1342"/>
      <c r="C8240" s="1342"/>
      <c r="D8240" s="1342"/>
      <c r="E8240" s="1342"/>
      <c r="F8240" s="1342"/>
      <c r="G8240" s="1342"/>
      <c r="H8240" s="1342"/>
      <c r="I8240" s="1342"/>
      <c r="J8240" s="1342"/>
      <c r="K8240" s="1342"/>
    </row>
    <row r="8241" spans="2:11" ht="14" hidden="1">
      <c r="B8241" s="1342"/>
      <c r="C8241" s="1342"/>
      <c r="D8241" s="1342"/>
      <c r="E8241" s="1342"/>
      <c r="F8241" s="1342"/>
      <c r="G8241" s="1342"/>
      <c r="H8241" s="1342"/>
      <c r="I8241" s="1342"/>
      <c r="J8241" s="1342"/>
      <c r="K8241" s="1342"/>
    </row>
    <row r="8242" spans="2:11" ht="14" hidden="1">
      <c r="B8242" s="1342"/>
      <c r="C8242" s="1342"/>
      <c r="D8242" s="1342"/>
      <c r="E8242" s="1342"/>
      <c r="F8242" s="1342"/>
      <c r="G8242" s="1342"/>
      <c r="H8242" s="1342"/>
      <c r="I8242" s="1342"/>
      <c r="J8242" s="1342"/>
      <c r="K8242" s="1342"/>
    </row>
    <row r="8243" spans="2:11" ht="14" hidden="1">
      <c r="B8243" s="1342"/>
      <c r="C8243" s="1342"/>
      <c r="D8243" s="1342"/>
      <c r="E8243" s="1342"/>
      <c r="F8243" s="1342"/>
      <c r="G8243" s="1342"/>
      <c r="H8243" s="1342"/>
      <c r="I8243" s="1342"/>
      <c r="J8243" s="1342"/>
      <c r="K8243" s="1342"/>
    </row>
    <row r="8244" spans="2:11" ht="14" hidden="1">
      <c r="B8244" s="1342"/>
      <c r="C8244" s="1342"/>
      <c r="D8244" s="1342"/>
      <c r="E8244" s="1342"/>
      <c r="F8244" s="1342"/>
      <c r="G8244" s="1342"/>
      <c r="H8244" s="1342"/>
      <c r="I8244" s="1342"/>
      <c r="J8244" s="1342"/>
      <c r="K8244" s="1342"/>
    </row>
    <row r="8245" spans="2:11" ht="14" hidden="1">
      <c r="B8245" s="1342"/>
      <c r="C8245" s="1342"/>
      <c r="D8245" s="1342"/>
      <c r="E8245" s="1342"/>
      <c r="F8245" s="1342"/>
      <c r="G8245" s="1342"/>
      <c r="H8245" s="1342"/>
      <c r="I8245" s="1342"/>
      <c r="J8245" s="1342"/>
      <c r="K8245" s="1342"/>
    </row>
    <row r="8246" spans="2:11" ht="14" hidden="1">
      <c r="B8246" s="1342"/>
      <c r="C8246" s="1342"/>
      <c r="D8246" s="1342"/>
      <c r="E8246" s="1342"/>
      <c r="F8246" s="1342"/>
      <c r="G8246" s="1342"/>
      <c r="H8246" s="1342"/>
      <c r="I8246" s="1342"/>
      <c r="J8246" s="1342"/>
      <c r="K8246" s="1342"/>
    </row>
    <row r="8247" spans="2:11" ht="14" hidden="1">
      <c r="B8247" s="1342"/>
      <c r="C8247" s="1342"/>
      <c r="D8247" s="1342"/>
      <c r="E8247" s="1342"/>
      <c r="F8247" s="1342"/>
      <c r="G8247" s="1342"/>
      <c r="H8247" s="1342"/>
      <c r="I8247" s="1342"/>
      <c r="J8247" s="1342"/>
      <c r="K8247" s="1342"/>
    </row>
    <row r="8248" spans="2:11" ht="14" hidden="1">
      <c r="B8248" s="1342"/>
      <c r="C8248" s="1342"/>
      <c r="D8248" s="1342"/>
      <c r="E8248" s="1342"/>
      <c r="F8248" s="1342"/>
      <c r="G8248" s="1342"/>
      <c r="H8248" s="1342"/>
      <c r="I8248" s="1342"/>
      <c r="J8248" s="1342"/>
      <c r="K8248" s="1342"/>
    </row>
    <row r="8249" spans="2:11" ht="14" hidden="1">
      <c r="B8249" s="1342"/>
      <c r="C8249" s="1342"/>
      <c r="D8249" s="1342"/>
      <c r="E8249" s="1342"/>
      <c r="F8249" s="1342"/>
      <c r="G8249" s="1342"/>
      <c r="H8249" s="1342"/>
      <c r="I8249" s="1342"/>
      <c r="J8249" s="1342"/>
      <c r="K8249" s="1342"/>
    </row>
    <row r="8250" spans="2:11" ht="14" hidden="1">
      <c r="B8250" s="1342"/>
      <c r="C8250" s="1342"/>
      <c r="D8250" s="1342"/>
      <c r="E8250" s="1342"/>
      <c r="F8250" s="1342"/>
      <c r="G8250" s="1342"/>
      <c r="H8250" s="1342"/>
      <c r="I8250" s="1342"/>
      <c r="J8250" s="1342"/>
      <c r="K8250" s="1342"/>
    </row>
    <row r="8251" spans="2:11" ht="14" hidden="1">
      <c r="B8251" s="1342"/>
      <c r="C8251" s="1342"/>
      <c r="D8251" s="1342"/>
      <c r="E8251" s="1342"/>
      <c r="F8251" s="1342"/>
      <c r="G8251" s="1342"/>
      <c r="H8251" s="1342"/>
      <c r="I8251" s="1342"/>
      <c r="J8251" s="1342"/>
      <c r="K8251" s="1342"/>
    </row>
    <row r="8252" spans="2:11" ht="14" hidden="1">
      <c r="B8252" s="1342"/>
      <c r="C8252" s="1342"/>
      <c r="D8252" s="1342"/>
      <c r="E8252" s="1342"/>
      <c r="F8252" s="1342"/>
      <c r="G8252" s="1342"/>
      <c r="H8252" s="1342"/>
      <c r="I8252" s="1342"/>
      <c r="J8252" s="1342"/>
      <c r="K8252" s="1342"/>
    </row>
    <row r="8253" spans="2:11" ht="14" hidden="1">
      <c r="B8253" s="1342"/>
      <c r="C8253" s="1342"/>
      <c r="D8253" s="1342"/>
      <c r="E8253" s="1342"/>
      <c r="F8253" s="1342"/>
      <c r="G8253" s="1342"/>
      <c r="H8253" s="1342"/>
      <c r="I8253" s="1342"/>
      <c r="J8253" s="1342"/>
      <c r="K8253" s="1342"/>
    </row>
    <row r="8254" spans="2:11" ht="14" hidden="1">
      <c r="B8254" s="1342"/>
      <c r="C8254" s="1342"/>
      <c r="D8254" s="1342"/>
      <c r="E8254" s="1342"/>
      <c r="F8254" s="1342"/>
      <c r="G8254" s="1342"/>
      <c r="H8254" s="1342"/>
      <c r="I8254" s="1342"/>
      <c r="J8254" s="1342"/>
      <c r="K8254" s="1342"/>
    </row>
    <row r="8255" spans="2:11" ht="14" hidden="1">
      <c r="B8255" s="1342"/>
      <c r="C8255" s="1342"/>
      <c r="D8255" s="1342"/>
      <c r="E8255" s="1342"/>
      <c r="F8255" s="1342"/>
      <c r="G8255" s="1342"/>
      <c r="H8255" s="1342"/>
      <c r="I8255" s="1342"/>
      <c r="J8255" s="1342"/>
      <c r="K8255" s="1342"/>
    </row>
    <row r="8256" spans="2:11" ht="14" hidden="1">
      <c r="B8256" s="1342"/>
      <c r="C8256" s="1342"/>
      <c r="D8256" s="1342"/>
      <c r="E8256" s="1342"/>
      <c r="F8256" s="1342"/>
      <c r="G8256" s="1342"/>
      <c r="H8256" s="1342"/>
      <c r="I8256" s="1342"/>
      <c r="J8256" s="1342"/>
      <c r="K8256" s="1342"/>
    </row>
    <row r="8257" spans="2:11" ht="14" hidden="1">
      <c r="B8257" s="1342"/>
      <c r="C8257" s="1342"/>
      <c r="D8257" s="1342"/>
      <c r="E8257" s="1342"/>
      <c r="F8257" s="1342"/>
      <c r="G8257" s="1342"/>
      <c r="H8257" s="1342"/>
      <c r="I8257" s="1342"/>
      <c r="J8257" s="1342"/>
      <c r="K8257" s="1342"/>
    </row>
    <row r="8258" spans="2:11" ht="14" hidden="1">
      <c r="B8258" s="1342"/>
      <c r="C8258" s="1342"/>
      <c r="D8258" s="1342"/>
      <c r="E8258" s="1342"/>
      <c r="F8258" s="1342"/>
      <c r="G8258" s="1342"/>
      <c r="H8258" s="1342"/>
      <c r="I8258" s="1342"/>
      <c r="J8258" s="1342"/>
      <c r="K8258" s="1342"/>
    </row>
    <row r="8259" spans="2:11" ht="14" hidden="1">
      <c r="B8259" s="1342"/>
      <c r="C8259" s="1342"/>
      <c r="D8259" s="1342"/>
      <c r="E8259" s="1342"/>
      <c r="F8259" s="1342"/>
      <c r="G8259" s="1342"/>
      <c r="H8259" s="1342"/>
      <c r="I8259" s="1342"/>
      <c r="J8259" s="1342"/>
      <c r="K8259" s="1342"/>
    </row>
    <row r="8260" spans="2:11" ht="14" hidden="1">
      <c r="B8260" s="1342"/>
      <c r="C8260" s="1342"/>
      <c r="D8260" s="1342"/>
      <c r="E8260" s="1342"/>
      <c r="F8260" s="1342"/>
      <c r="G8260" s="1342"/>
      <c r="H8260" s="1342"/>
      <c r="I8260" s="1342"/>
      <c r="J8260" s="1342"/>
      <c r="K8260" s="1342"/>
    </row>
    <row r="8261" spans="2:11" ht="14" hidden="1">
      <c r="B8261" s="1342"/>
      <c r="C8261" s="1342"/>
      <c r="D8261" s="1342"/>
      <c r="E8261" s="1342"/>
      <c r="F8261" s="1342"/>
      <c r="G8261" s="1342"/>
      <c r="H8261" s="1342"/>
      <c r="I8261" s="1342"/>
      <c r="J8261" s="1342"/>
      <c r="K8261" s="1342"/>
    </row>
    <row r="8262" spans="2:11" ht="14" hidden="1">
      <c r="B8262" s="1342"/>
      <c r="C8262" s="1342"/>
      <c r="D8262" s="1342"/>
      <c r="E8262" s="1342"/>
      <c r="F8262" s="1342"/>
      <c r="G8262" s="1342"/>
      <c r="H8262" s="1342"/>
      <c r="I8262" s="1342"/>
      <c r="J8262" s="1342"/>
      <c r="K8262" s="1342"/>
    </row>
    <row r="8263" spans="2:11" ht="14" hidden="1">
      <c r="B8263" s="1342"/>
      <c r="C8263" s="1342"/>
      <c r="D8263" s="1342"/>
      <c r="E8263" s="1342"/>
      <c r="F8263" s="1342"/>
      <c r="G8263" s="1342"/>
      <c r="H8263" s="1342"/>
      <c r="I8263" s="1342"/>
      <c r="J8263" s="1342"/>
      <c r="K8263" s="1342"/>
    </row>
    <row r="8264" spans="2:11" ht="14" hidden="1">
      <c r="B8264" s="1342"/>
      <c r="C8264" s="1342"/>
      <c r="D8264" s="1342"/>
      <c r="E8264" s="1342"/>
      <c r="F8264" s="1342"/>
      <c r="G8264" s="1342"/>
      <c r="H8264" s="1342"/>
      <c r="I8264" s="1342"/>
      <c r="J8264" s="1342"/>
      <c r="K8264" s="1342"/>
    </row>
    <row r="8265" spans="2:11" ht="14" hidden="1">
      <c r="B8265" s="1342"/>
      <c r="C8265" s="1342"/>
      <c r="D8265" s="1342"/>
      <c r="E8265" s="1342"/>
      <c r="F8265" s="1342"/>
      <c r="G8265" s="1342"/>
      <c r="H8265" s="1342"/>
      <c r="I8265" s="1342"/>
      <c r="J8265" s="1342"/>
      <c r="K8265" s="1342"/>
    </row>
    <row r="8266" spans="2:11" ht="14" hidden="1">
      <c r="B8266" s="1342"/>
      <c r="C8266" s="1342"/>
      <c r="D8266" s="1342"/>
      <c r="E8266" s="1342"/>
      <c r="F8266" s="1342"/>
      <c r="G8266" s="1342"/>
      <c r="H8266" s="1342"/>
      <c r="I8266" s="1342"/>
      <c r="J8266" s="1342"/>
      <c r="K8266" s="1342"/>
    </row>
    <row r="8267" spans="2:11" ht="14" hidden="1">
      <c r="B8267" s="1342"/>
      <c r="C8267" s="1342"/>
      <c r="D8267" s="1342"/>
      <c r="E8267" s="1342"/>
      <c r="F8267" s="1342"/>
      <c r="G8267" s="1342"/>
      <c r="H8267" s="1342"/>
      <c r="I8267" s="1342"/>
      <c r="J8267" s="1342"/>
      <c r="K8267" s="1342"/>
    </row>
    <row r="8268" spans="2:11" ht="14" hidden="1">
      <c r="B8268" s="1342"/>
      <c r="C8268" s="1342"/>
      <c r="D8268" s="1342"/>
      <c r="E8268" s="1342"/>
      <c r="F8268" s="1342"/>
      <c r="G8268" s="1342"/>
      <c r="H8268" s="1342"/>
      <c r="I8268" s="1342"/>
      <c r="J8268" s="1342"/>
      <c r="K8268" s="1342"/>
    </row>
    <row r="8269" spans="2:11" ht="14" hidden="1">
      <c r="B8269" s="1342"/>
      <c r="C8269" s="1342"/>
      <c r="D8269" s="1342"/>
      <c r="E8269" s="1342"/>
      <c r="F8269" s="1342"/>
      <c r="G8269" s="1342"/>
      <c r="H8269" s="1342"/>
      <c r="I8269" s="1342"/>
      <c r="J8269" s="1342"/>
      <c r="K8269" s="1342"/>
    </row>
    <row r="8270" spans="2:11" ht="14" hidden="1">
      <c r="B8270" s="1342"/>
      <c r="C8270" s="1342"/>
      <c r="D8270" s="1342"/>
      <c r="E8270" s="1342"/>
      <c r="F8270" s="1342"/>
      <c r="G8270" s="1342"/>
      <c r="H8270" s="1342"/>
      <c r="I8270" s="1342"/>
      <c r="J8270" s="1342"/>
      <c r="K8270" s="1342"/>
    </row>
    <row r="8271" spans="2:11" ht="14" hidden="1">
      <c r="B8271" s="1342"/>
      <c r="C8271" s="1342"/>
      <c r="D8271" s="1342"/>
      <c r="E8271" s="1342"/>
      <c r="F8271" s="1342"/>
      <c r="G8271" s="1342"/>
      <c r="H8271" s="1342"/>
      <c r="I8271" s="1342"/>
      <c r="J8271" s="1342"/>
      <c r="K8271" s="1342"/>
    </row>
    <row r="8272" spans="2:11" ht="14" hidden="1">
      <c r="B8272" s="1342"/>
      <c r="C8272" s="1342"/>
      <c r="D8272" s="1342"/>
      <c r="E8272" s="1342"/>
      <c r="F8272" s="1342"/>
      <c r="G8272" s="1342"/>
      <c r="H8272" s="1342"/>
      <c r="I8272" s="1342"/>
      <c r="J8272" s="1342"/>
      <c r="K8272" s="1342"/>
    </row>
    <row r="8273" spans="2:11" ht="14" hidden="1">
      <c r="B8273" s="1342"/>
      <c r="C8273" s="1342"/>
      <c r="D8273" s="1342"/>
      <c r="E8273" s="1342"/>
      <c r="F8273" s="1342"/>
      <c r="G8273" s="1342"/>
      <c r="H8273" s="1342"/>
      <c r="I8273" s="1342"/>
      <c r="J8273" s="1342"/>
      <c r="K8273" s="1342"/>
    </row>
    <row r="8274" spans="2:11" ht="14" hidden="1">
      <c r="B8274" s="1342"/>
      <c r="C8274" s="1342"/>
      <c r="D8274" s="1342"/>
      <c r="E8274" s="1342"/>
      <c r="F8274" s="1342"/>
      <c r="G8274" s="1342"/>
      <c r="H8274" s="1342"/>
      <c r="I8274" s="1342"/>
      <c r="J8274" s="1342"/>
      <c r="K8274" s="1342"/>
    </row>
    <row r="8275" spans="2:11" ht="14" hidden="1">
      <c r="B8275" s="1342"/>
      <c r="C8275" s="1342"/>
      <c r="D8275" s="1342"/>
      <c r="E8275" s="1342"/>
      <c r="F8275" s="1342"/>
      <c r="G8275" s="1342"/>
      <c r="H8275" s="1342"/>
      <c r="I8275" s="1342"/>
      <c r="J8275" s="1342"/>
      <c r="K8275" s="1342"/>
    </row>
    <row r="8276" spans="2:11" ht="14" hidden="1">
      <c r="B8276" s="1342"/>
      <c r="C8276" s="1342"/>
      <c r="D8276" s="1342"/>
      <c r="E8276" s="1342"/>
      <c r="F8276" s="1342"/>
      <c r="G8276" s="1342"/>
      <c r="H8276" s="1342"/>
      <c r="I8276" s="1342"/>
      <c r="J8276" s="1342"/>
      <c r="K8276" s="1342"/>
    </row>
    <row r="8277" spans="2:11" ht="14" hidden="1">
      <c r="B8277" s="1342"/>
      <c r="C8277" s="1342"/>
      <c r="D8277" s="1342"/>
      <c r="E8277" s="1342"/>
      <c r="F8277" s="1342"/>
      <c r="G8277" s="1342"/>
      <c r="H8277" s="1342"/>
      <c r="I8277" s="1342"/>
      <c r="J8277" s="1342"/>
      <c r="K8277" s="1342"/>
    </row>
    <row r="8278" spans="2:11" ht="14" hidden="1">
      <c r="B8278" s="1342"/>
      <c r="C8278" s="1342"/>
      <c r="D8278" s="1342"/>
      <c r="E8278" s="1342"/>
      <c r="F8278" s="1342"/>
      <c r="G8278" s="1342"/>
      <c r="H8278" s="1342"/>
      <c r="I8278" s="1342"/>
      <c r="J8278" s="1342"/>
      <c r="K8278" s="1342"/>
    </row>
    <row r="8279" spans="2:11" ht="14" hidden="1">
      <c r="B8279" s="1342"/>
      <c r="C8279" s="1342"/>
      <c r="D8279" s="1342"/>
      <c r="E8279" s="1342"/>
      <c r="F8279" s="1342"/>
      <c r="G8279" s="1342"/>
      <c r="H8279" s="1342"/>
      <c r="I8279" s="1342"/>
      <c r="J8279" s="1342"/>
      <c r="K8279" s="1342"/>
    </row>
    <row r="8280" spans="2:11" ht="14" hidden="1">
      <c r="B8280" s="1342"/>
      <c r="C8280" s="1342"/>
      <c r="D8280" s="1342"/>
      <c r="E8280" s="1342"/>
      <c r="F8280" s="1342"/>
      <c r="G8280" s="1342"/>
      <c r="H8280" s="1342"/>
      <c r="I8280" s="1342"/>
      <c r="J8280" s="1342"/>
      <c r="K8280" s="1342"/>
    </row>
    <row r="8281" spans="2:11" ht="14" hidden="1">
      <c r="B8281" s="1342"/>
      <c r="C8281" s="1342"/>
      <c r="D8281" s="1342"/>
      <c r="E8281" s="1342"/>
      <c r="F8281" s="1342"/>
      <c r="G8281" s="1342"/>
      <c r="H8281" s="1342"/>
      <c r="I8281" s="1342"/>
      <c r="J8281" s="1342"/>
      <c r="K8281" s="1342"/>
    </row>
    <row r="8282" spans="2:11" ht="14" hidden="1">
      <c r="B8282" s="1342"/>
      <c r="C8282" s="1342"/>
      <c r="D8282" s="1342"/>
      <c r="E8282" s="1342"/>
      <c r="F8282" s="1342"/>
      <c r="G8282" s="1342"/>
      <c r="H8282" s="1342"/>
      <c r="I8282" s="1342"/>
      <c r="J8282" s="1342"/>
      <c r="K8282" s="1342"/>
    </row>
    <row r="8283" spans="2:11" ht="14" hidden="1">
      <c r="B8283" s="1342"/>
      <c r="C8283" s="1342"/>
      <c r="D8283" s="1342"/>
      <c r="E8283" s="1342"/>
      <c r="F8283" s="1342"/>
      <c r="G8283" s="1342"/>
      <c r="H8283" s="1342"/>
      <c r="I8283" s="1342"/>
      <c r="J8283" s="1342"/>
      <c r="K8283" s="1342"/>
    </row>
    <row r="8284" spans="2:11" ht="14" hidden="1">
      <c r="B8284" s="1342"/>
      <c r="C8284" s="1342"/>
      <c r="D8284" s="1342"/>
      <c r="E8284" s="1342"/>
      <c r="F8284" s="1342"/>
      <c r="G8284" s="1342"/>
      <c r="H8284" s="1342"/>
      <c r="I8284" s="1342"/>
      <c r="J8284" s="1342"/>
      <c r="K8284" s="1342"/>
    </row>
    <row r="8285" spans="2:11" ht="14" hidden="1">
      <c r="B8285" s="1342"/>
      <c r="C8285" s="1342"/>
      <c r="D8285" s="1342"/>
      <c r="E8285" s="1342"/>
      <c r="F8285" s="1342"/>
      <c r="G8285" s="1342"/>
      <c r="H8285" s="1342"/>
      <c r="I8285" s="1342"/>
      <c r="J8285" s="1342"/>
      <c r="K8285" s="1342"/>
    </row>
    <row r="8286" spans="2:11" ht="14" hidden="1">
      <c r="B8286" s="1342"/>
      <c r="C8286" s="1342"/>
      <c r="D8286" s="1342"/>
      <c r="E8286" s="1342"/>
      <c r="F8286" s="1342"/>
      <c r="G8286" s="1342"/>
      <c r="H8286" s="1342"/>
      <c r="I8286" s="1342"/>
      <c r="J8286" s="1342"/>
      <c r="K8286" s="1342"/>
    </row>
    <row r="8287" spans="2:11" ht="14" hidden="1">
      <c r="B8287" s="1342"/>
      <c r="C8287" s="1342"/>
      <c r="D8287" s="1342"/>
      <c r="E8287" s="1342"/>
      <c r="F8287" s="1342"/>
      <c r="G8287" s="1342"/>
      <c r="H8287" s="1342"/>
      <c r="I8287" s="1342"/>
      <c r="J8287" s="1342"/>
      <c r="K8287" s="1342"/>
    </row>
    <row r="8288" spans="2:11" ht="14" hidden="1">
      <c r="B8288" s="1342"/>
      <c r="C8288" s="1342"/>
      <c r="D8288" s="1342"/>
      <c r="E8288" s="1342"/>
      <c r="F8288" s="1342"/>
      <c r="G8288" s="1342"/>
      <c r="H8288" s="1342"/>
      <c r="I8288" s="1342"/>
      <c r="J8288" s="1342"/>
      <c r="K8288" s="1342"/>
    </row>
    <row r="8289" spans="2:11" ht="14" hidden="1">
      <c r="B8289" s="1342"/>
      <c r="C8289" s="1342"/>
      <c r="D8289" s="1342"/>
      <c r="E8289" s="1342"/>
      <c r="F8289" s="1342"/>
      <c r="G8289" s="1342"/>
      <c r="H8289" s="1342"/>
      <c r="I8289" s="1342"/>
      <c r="J8289" s="1342"/>
      <c r="K8289" s="1342"/>
    </row>
    <row r="8290" spans="2:11" ht="14" hidden="1">
      <c r="B8290" s="1342"/>
      <c r="C8290" s="1342"/>
      <c r="D8290" s="1342"/>
      <c r="E8290" s="1342"/>
      <c r="F8290" s="1342"/>
      <c r="G8290" s="1342"/>
      <c r="H8290" s="1342"/>
      <c r="I8290" s="1342"/>
      <c r="J8290" s="1342"/>
      <c r="K8290" s="1342"/>
    </row>
    <row r="8291" spans="2:11" ht="14" hidden="1">
      <c r="B8291" s="1342"/>
      <c r="C8291" s="1342"/>
      <c r="D8291" s="1342"/>
      <c r="E8291" s="1342"/>
      <c r="F8291" s="1342"/>
      <c r="G8291" s="1342"/>
      <c r="H8291" s="1342"/>
      <c r="I8291" s="1342"/>
      <c r="J8291" s="1342"/>
      <c r="K8291" s="1342"/>
    </row>
    <row r="8292" spans="2:11" ht="14" hidden="1">
      <c r="B8292" s="1342"/>
      <c r="C8292" s="1342"/>
      <c r="D8292" s="1342"/>
      <c r="E8292" s="1342"/>
      <c r="F8292" s="1342"/>
      <c r="G8292" s="1342"/>
      <c r="H8292" s="1342"/>
      <c r="I8292" s="1342"/>
      <c r="J8292" s="1342"/>
      <c r="K8292" s="1342"/>
    </row>
    <row r="8293" spans="2:11" ht="14" hidden="1">
      <c r="B8293" s="1342"/>
      <c r="C8293" s="1342"/>
      <c r="D8293" s="1342"/>
      <c r="E8293" s="1342"/>
      <c r="F8293" s="1342"/>
      <c r="G8293" s="1342"/>
      <c r="H8293" s="1342"/>
      <c r="I8293" s="1342"/>
      <c r="J8293" s="1342"/>
      <c r="K8293" s="1342"/>
    </row>
    <row r="8294" spans="2:11" ht="14" hidden="1">
      <c r="B8294" s="1342"/>
      <c r="C8294" s="1342"/>
      <c r="D8294" s="1342"/>
      <c r="E8294" s="1342"/>
      <c r="F8294" s="1342"/>
      <c r="G8294" s="1342"/>
      <c r="H8294" s="1342"/>
      <c r="I8294" s="1342"/>
      <c r="J8294" s="1342"/>
      <c r="K8294" s="1342"/>
    </row>
    <row r="8295" spans="2:11" ht="14" hidden="1">
      <c r="B8295" s="1342"/>
      <c r="C8295" s="1342"/>
      <c r="D8295" s="1342"/>
      <c r="E8295" s="1342"/>
      <c r="F8295" s="1342"/>
      <c r="G8295" s="1342"/>
      <c r="H8295" s="1342"/>
      <c r="I8295" s="1342"/>
      <c r="J8295" s="1342"/>
      <c r="K8295" s="1342"/>
    </row>
    <row r="8296" spans="2:11" ht="14" hidden="1">
      <c r="B8296" s="1342"/>
      <c r="C8296" s="1342"/>
      <c r="D8296" s="1342"/>
      <c r="E8296" s="1342"/>
      <c r="F8296" s="1342"/>
      <c r="G8296" s="1342"/>
      <c r="H8296" s="1342"/>
      <c r="I8296" s="1342"/>
      <c r="J8296" s="1342"/>
      <c r="K8296" s="1342"/>
    </row>
    <row r="8297" spans="2:11" ht="14" hidden="1">
      <c r="B8297" s="1342"/>
      <c r="C8297" s="1342"/>
      <c r="D8297" s="1342"/>
      <c r="E8297" s="1342"/>
      <c r="F8297" s="1342"/>
      <c r="G8297" s="1342"/>
      <c r="H8297" s="1342"/>
      <c r="I8297" s="1342"/>
      <c r="J8297" s="1342"/>
      <c r="K8297" s="1342"/>
    </row>
    <row r="8298" spans="2:11" ht="14" hidden="1">
      <c r="B8298" s="1342"/>
      <c r="C8298" s="1342"/>
      <c r="D8298" s="1342"/>
      <c r="E8298" s="1342"/>
      <c r="F8298" s="1342"/>
      <c r="G8298" s="1342"/>
      <c r="H8298" s="1342"/>
      <c r="I8298" s="1342"/>
      <c r="J8298" s="1342"/>
      <c r="K8298" s="1342"/>
    </row>
    <row r="8299" spans="2:11" ht="14" hidden="1">
      <c r="B8299" s="1342"/>
      <c r="C8299" s="1342"/>
      <c r="D8299" s="1342"/>
      <c r="E8299" s="1342"/>
      <c r="F8299" s="1342"/>
      <c r="G8299" s="1342"/>
      <c r="H8299" s="1342"/>
      <c r="I8299" s="1342"/>
      <c r="J8299" s="1342"/>
      <c r="K8299" s="1342"/>
    </row>
    <row r="8300" spans="2:11" ht="14" hidden="1">
      <c r="B8300" s="1342"/>
      <c r="C8300" s="1342"/>
      <c r="D8300" s="1342"/>
      <c r="E8300" s="1342"/>
      <c r="F8300" s="1342"/>
      <c r="G8300" s="1342"/>
      <c r="H8300" s="1342"/>
      <c r="I8300" s="1342"/>
      <c r="J8300" s="1342"/>
      <c r="K8300" s="1342"/>
    </row>
    <row r="8301" spans="2:11" ht="14" hidden="1">
      <c r="B8301" s="1342"/>
      <c r="C8301" s="1342"/>
      <c r="D8301" s="1342"/>
      <c r="E8301" s="1342"/>
      <c r="F8301" s="1342"/>
      <c r="G8301" s="1342"/>
      <c r="H8301" s="1342"/>
      <c r="I8301" s="1342"/>
      <c r="J8301" s="1342"/>
      <c r="K8301" s="1342"/>
    </row>
    <row r="8302" spans="2:11" ht="14" hidden="1">
      <c r="B8302" s="1342"/>
      <c r="C8302" s="1342"/>
      <c r="D8302" s="1342"/>
      <c r="E8302" s="1342"/>
      <c r="F8302" s="1342"/>
      <c r="G8302" s="1342"/>
      <c r="H8302" s="1342"/>
      <c r="I8302" s="1342"/>
      <c r="J8302" s="1342"/>
      <c r="K8302" s="1342"/>
    </row>
    <row r="8303" spans="2:11" ht="14" hidden="1">
      <c r="B8303" s="1342"/>
      <c r="C8303" s="1342"/>
      <c r="D8303" s="1342"/>
      <c r="E8303" s="1342"/>
      <c r="F8303" s="1342"/>
      <c r="G8303" s="1342"/>
      <c r="H8303" s="1342"/>
      <c r="I8303" s="1342"/>
      <c r="J8303" s="1342"/>
      <c r="K8303" s="1342"/>
    </row>
    <row r="8304" spans="2:11" ht="14" hidden="1">
      <c r="B8304" s="1342"/>
      <c r="C8304" s="1342"/>
      <c r="D8304" s="1342"/>
      <c r="E8304" s="1342"/>
      <c r="F8304" s="1342"/>
      <c r="G8304" s="1342"/>
      <c r="H8304" s="1342"/>
      <c r="I8304" s="1342"/>
      <c r="J8304" s="1342"/>
      <c r="K8304" s="1342"/>
    </row>
    <row r="8305" spans="2:11" ht="14" hidden="1">
      <c r="B8305" s="1342"/>
      <c r="C8305" s="1342"/>
      <c r="D8305" s="1342"/>
      <c r="E8305" s="1342"/>
      <c r="F8305" s="1342"/>
      <c r="G8305" s="1342"/>
      <c r="H8305" s="1342"/>
      <c r="I8305" s="1342"/>
      <c r="J8305" s="1342"/>
      <c r="K8305" s="1342"/>
    </row>
    <row r="8306" spans="2:11" ht="14" hidden="1">
      <c r="B8306" s="1342"/>
      <c r="C8306" s="1342"/>
      <c r="D8306" s="1342"/>
      <c r="E8306" s="1342"/>
      <c r="F8306" s="1342"/>
      <c r="G8306" s="1342"/>
      <c r="H8306" s="1342"/>
      <c r="I8306" s="1342"/>
      <c r="J8306" s="1342"/>
      <c r="K8306" s="1342"/>
    </row>
    <row r="8307" spans="2:11" ht="14" hidden="1">
      <c r="B8307" s="1342"/>
      <c r="C8307" s="1342"/>
      <c r="D8307" s="1342"/>
      <c r="E8307" s="1342"/>
      <c r="F8307" s="1342"/>
      <c r="G8307" s="1342"/>
      <c r="H8307" s="1342"/>
      <c r="I8307" s="1342"/>
      <c r="J8307" s="1342"/>
      <c r="K8307" s="1342"/>
    </row>
    <row r="8308" spans="2:11" ht="14" hidden="1">
      <c r="B8308" s="1342"/>
      <c r="C8308" s="1342"/>
      <c r="D8308" s="1342"/>
      <c r="E8308" s="1342"/>
      <c r="F8308" s="1342"/>
      <c r="G8308" s="1342"/>
      <c r="H8308" s="1342"/>
      <c r="I8308" s="1342"/>
      <c r="J8308" s="1342"/>
      <c r="K8308" s="1342"/>
    </row>
    <row r="8309" spans="2:11" ht="14" hidden="1">
      <c r="B8309" s="1342"/>
      <c r="C8309" s="1342"/>
      <c r="D8309" s="1342"/>
      <c r="E8309" s="1342"/>
      <c r="F8309" s="1342"/>
      <c r="G8309" s="1342"/>
      <c r="H8309" s="1342"/>
      <c r="I8309" s="1342"/>
      <c r="J8309" s="1342"/>
      <c r="K8309" s="1342"/>
    </row>
    <row r="8310" spans="2:11" ht="14" hidden="1">
      <c r="B8310" s="1342"/>
      <c r="C8310" s="1342"/>
      <c r="D8310" s="1342"/>
      <c r="E8310" s="1342"/>
      <c r="F8310" s="1342"/>
      <c r="G8310" s="1342"/>
      <c r="H8310" s="1342"/>
      <c r="I8310" s="1342"/>
      <c r="J8310" s="1342"/>
      <c r="K8310" s="1342"/>
    </row>
    <row r="8311" spans="2:11" ht="14" hidden="1">
      <c r="B8311" s="1342"/>
      <c r="C8311" s="1342"/>
      <c r="D8311" s="1342"/>
      <c r="E8311" s="1342"/>
      <c r="F8311" s="1342"/>
      <c r="G8311" s="1342"/>
      <c r="H8311" s="1342"/>
      <c r="I8311" s="1342"/>
      <c r="J8311" s="1342"/>
      <c r="K8311" s="1342"/>
    </row>
    <row r="8312" spans="2:11" ht="14" hidden="1">
      <c r="B8312" s="1342"/>
      <c r="C8312" s="1342"/>
      <c r="D8312" s="1342"/>
      <c r="E8312" s="1342"/>
      <c r="F8312" s="1342"/>
      <c r="G8312" s="1342"/>
      <c r="H8312" s="1342"/>
      <c r="I8312" s="1342"/>
      <c r="J8312" s="1342"/>
      <c r="K8312" s="1342"/>
    </row>
    <row r="8313" spans="2:11" ht="14" hidden="1">
      <c r="B8313" s="1342"/>
      <c r="C8313" s="1342"/>
      <c r="D8313" s="1342"/>
      <c r="E8313" s="1342"/>
      <c r="F8313" s="1342"/>
      <c r="G8313" s="1342"/>
      <c r="H8313" s="1342"/>
      <c r="I8313" s="1342"/>
      <c r="J8313" s="1342"/>
      <c r="K8313" s="1342"/>
    </row>
    <row r="8314" spans="2:11" ht="14" hidden="1">
      <c r="B8314" s="1342"/>
      <c r="C8314" s="1342"/>
      <c r="D8314" s="1342"/>
      <c r="E8314" s="1342"/>
      <c r="F8314" s="1342"/>
      <c r="G8314" s="1342"/>
      <c r="H8314" s="1342"/>
      <c r="I8314" s="1342"/>
      <c r="J8314" s="1342"/>
      <c r="K8314" s="1342"/>
    </row>
    <row r="8315" spans="2:11" ht="14" hidden="1">
      <c r="B8315" s="1342"/>
      <c r="C8315" s="1342"/>
      <c r="D8315" s="1342"/>
      <c r="E8315" s="1342"/>
      <c r="F8315" s="1342"/>
      <c r="G8315" s="1342"/>
      <c r="H8315" s="1342"/>
      <c r="I8315" s="1342"/>
      <c r="J8315" s="1342"/>
      <c r="K8315" s="1342"/>
    </row>
    <row r="8316" spans="2:11" ht="14" hidden="1">
      <c r="B8316" s="1342"/>
      <c r="C8316" s="1342"/>
      <c r="D8316" s="1342"/>
      <c r="E8316" s="1342"/>
      <c r="F8316" s="1342"/>
      <c r="G8316" s="1342"/>
      <c r="H8316" s="1342"/>
      <c r="I8316" s="1342"/>
      <c r="J8316" s="1342"/>
      <c r="K8316" s="1342"/>
    </row>
    <row r="8317" spans="2:11" ht="14" hidden="1">
      <c r="B8317" s="1342"/>
      <c r="C8317" s="1342"/>
      <c r="D8317" s="1342"/>
      <c r="E8317" s="1342"/>
      <c r="F8317" s="1342"/>
      <c r="G8317" s="1342"/>
      <c r="H8317" s="1342"/>
      <c r="I8317" s="1342"/>
      <c r="J8317" s="1342"/>
      <c r="K8317" s="1342"/>
    </row>
    <row r="8318" spans="2:11" ht="14" hidden="1">
      <c r="B8318" s="1342"/>
      <c r="C8318" s="1342"/>
      <c r="D8318" s="1342"/>
      <c r="E8318" s="1342"/>
      <c r="F8318" s="1342"/>
      <c r="G8318" s="1342"/>
      <c r="H8318" s="1342"/>
      <c r="I8318" s="1342"/>
      <c r="J8318" s="1342"/>
      <c r="K8318" s="1342"/>
    </row>
    <row r="8319" spans="2:11" ht="14" hidden="1">
      <c r="B8319" s="1342"/>
      <c r="C8319" s="1342"/>
      <c r="D8319" s="1342"/>
      <c r="E8319" s="1342"/>
      <c r="F8319" s="1342"/>
      <c r="G8319" s="1342"/>
      <c r="H8319" s="1342"/>
      <c r="I8319" s="1342"/>
      <c r="J8319" s="1342"/>
      <c r="K8319" s="1342"/>
    </row>
    <row r="8320" spans="2:11" ht="14" hidden="1">
      <c r="B8320" s="1342"/>
      <c r="C8320" s="1342"/>
      <c r="D8320" s="1342"/>
      <c r="E8320" s="1342"/>
      <c r="F8320" s="1342"/>
      <c r="G8320" s="1342"/>
      <c r="H8320" s="1342"/>
      <c r="I8320" s="1342"/>
      <c r="J8320" s="1342"/>
      <c r="K8320" s="1342"/>
    </row>
    <row r="8321" spans="2:11" ht="14" hidden="1">
      <c r="B8321" s="1342"/>
      <c r="C8321" s="1342"/>
      <c r="D8321" s="1342"/>
      <c r="E8321" s="1342"/>
      <c r="F8321" s="1342"/>
      <c r="G8321" s="1342"/>
      <c r="H8321" s="1342"/>
      <c r="I8321" s="1342"/>
      <c r="J8321" s="1342"/>
      <c r="K8321" s="1342"/>
    </row>
    <row r="8322" spans="2:11" ht="14" hidden="1">
      <c r="B8322" s="1342"/>
      <c r="C8322" s="1342"/>
      <c r="D8322" s="1342"/>
      <c r="E8322" s="1342"/>
      <c r="F8322" s="1342"/>
      <c r="G8322" s="1342"/>
      <c r="H8322" s="1342"/>
      <c r="I8322" s="1342"/>
      <c r="J8322" s="1342"/>
      <c r="K8322" s="1342"/>
    </row>
    <row r="8323" spans="2:11" ht="14" hidden="1">
      <c r="B8323" s="1342"/>
      <c r="C8323" s="1342"/>
      <c r="D8323" s="1342"/>
      <c r="E8323" s="1342"/>
      <c r="F8323" s="1342"/>
      <c r="G8323" s="1342"/>
      <c r="H8323" s="1342"/>
      <c r="I8323" s="1342"/>
      <c r="J8323" s="1342"/>
      <c r="K8323" s="1342"/>
    </row>
    <row r="8324" spans="2:11" ht="14" hidden="1">
      <c r="B8324" s="1342"/>
      <c r="C8324" s="1342"/>
      <c r="D8324" s="1342"/>
      <c r="E8324" s="1342"/>
      <c r="F8324" s="1342"/>
      <c r="G8324" s="1342"/>
      <c r="H8324" s="1342"/>
      <c r="I8324" s="1342"/>
      <c r="J8324" s="1342"/>
      <c r="K8324" s="1342"/>
    </row>
    <row r="8325" spans="2:11" ht="14" hidden="1">
      <c r="B8325" s="1342"/>
      <c r="C8325" s="1342"/>
      <c r="D8325" s="1342"/>
      <c r="E8325" s="1342"/>
      <c r="F8325" s="1342"/>
      <c r="G8325" s="1342"/>
      <c r="H8325" s="1342"/>
      <c r="I8325" s="1342"/>
      <c r="J8325" s="1342"/>
      <c r="K8325" s="1342"/>
    </row>
    <row r="8326" spans="2:11" ht="14" hidden="1">
      <c r="B8326" s="1342"/>
      <c r="C8326" s="1342"/>
      <c r="D8326" s="1342"/>
      <c r="E8326" s="1342"/>
      <c r="F8326" s="1342"/>
      <c r="G8326" s="1342"/>
      <c r="H8326" s="1342"/>
      <c r="I8326" s="1342"/>
      <c r="J8326" s="1342"/>
      <c r="K8326" s="1342"/>
    </row>
    <row r="8327" spans="2:11" ht="14" hidden="1">
      <c r="B8327" s="1342"/>
      <c r="C8327" s="1342"/>
      <c r="D8327" s="1342"/>
      <c r="E8327" s="1342"/>
      <c r="F8327" s="1342"/>
      <c r="G8327" s="1342"/>
      <c r="H8327" s="1342"/>
      <c r="I8327" s="1342"/>
      <c r="J8327" s="1342"/>
      <c r="K8327" s="1342"/>
    </row>
    <row r="8328" spans="2:11" ht="14" hidden="1">
      <c r="B8328" s="1342"/>
      <c r="C8328" s="1342"/>
      <c r="D8328" s="1342"/>
      <c r="E8328" s="1342"/>
      <c r="F8328" s="1342"/>
      <c r="G8328" s="1342"/>
      <c r="H8328" s="1342"/>
      <c r="I8328" s="1342"/>
      <c r="J8328" s="1342"/>
      <c r="K8328" s="1342"/>
    </row>
    <row r="8329" spans="2:11" ht="14" hidden="1">
      <c r="B8329" s="1342"/>
      <c r="C8329" s="1342"/>
      <c r="D8329" s="1342"/>
      <c r="E8329" s="1342"/>
      <c r="F8329" s="1342"/>
      <c r="G8329" s="1342"/>
      <c r="H8329" s="1342"/>
      <c r="I8329" s="1342"/>
      <c r="J8329" s="1342"/>
      <c r="K8329" s="1342"/>
    </row>
    <row r="8330" spans="2:11" ht="14" hidden="1">
      <c r="B8330" s="1342"/>
      <c r="C8330" s="1342"/>
      <c r="D8330" s="1342"/>
      <c r="E8330" s="1342"/>
      <c r="F8330" s="1342"/>
      <c r="G8330" s="1342"/>
      <c r="H8330" s="1342"/>
      <c r="I8330" s="1342"/>
      <c r="J8330" s="1342"/>
      <c r="K8330" s="1342"/>
    </row>
    <row r="8331" spans="2:11" ht="14" hidden="1">
      <c r="B8331" s="1342"/>
      <c r="C8331" s="1342"/>
      <c r="D8331" s="1342"/>
      <c r="E8331" s="1342"/>
      <c r="F8331" s="1342"/>
      <c r="G8331" s="1342"/>
      <c r="H8331" s="1342"/>
      <c r="I8331" s="1342"/>
      <c r="J8331" s="1342"/>
      <c r="K8331" s="1342"/>
    </row>
    <row r="8332" spans="2:11" ht="14" hidden="1">
      <c r="B8332" s="1342"/>
      <c r="C8332" s="1342"/>
      <c r="D8332" s="1342"/>
      <c r="E8332" s="1342"/>
      <c r="F8332" s="1342"/>
      <c r="G8332" s="1342"/>
      <c r="H8332" s="1342"/>
      <c r="I8332" s="1342"/>
      <c r="J8332" s="1342"/>
      <c r="K8332" s="1342"/>
    </row>
    <row r="8333" spans="2:11" ht="14" hidden="1">
      <c r="B8333" s="1342"/>
      <c r="C8333" s="1342"/>
      <c r="D8333" s="1342"/>
      <c r="E8333" s="1342"/>
      <c r="F8333" s="1342"/>
      <c r="G8333" s="1342"/>
      <c r="H8333" s="1342"/>
      <c r="I8333" s="1342"/>
      <c r="J8333" s="1342"/>
      <c r="K8333" s="1342"/>
    </row>
    <row r="8334" spans="2:11" ht="14" hidden="1">
      <c r="B8334" s="1342"/>
      <c r="C8334" s="1342"/>
      <c r="D8334" s="1342"/>
      <c r="E8334" s="1342"/>
      <c r="F8334" s="1342"/>
      <c r="G8334" s="1342"/>
      <c r="H8334" s="1342"/>
      <c r="I8334" s="1342"/>
      <c r="J8334" s="1342"/>
      <c r="K8334" s="1342"/>
    </row>
    <row r="8335" spans="2:11" ht="14" hidden="1">
      <c r="B8335" s="1342"/>
      <c r="C8335" s="1342"/>
      <c r="D8335" s="1342"/>
      <c r="E8335" s="1342"/>
      <c r="F8335" s="1342"/>
      <c r="G8335" s="1342"/>
      <c r="H8335" s="1342"/>
      <c r="I8335" s="1342"/>
      <c r="J8335" s="1342"/>
      <c r="K8335" s="1342"/>
    </row>
    <row r="8336" spans="2:11" ht="14" hidden="1">
      <c r="B8336" s="1342"/>
      <c r="C8336" s="1342"/>
      <c r="D8336" s="1342"/>
      <c r="E8336" s="1342"/>
      <c r="F8336" s="1342"/>
      <c r="G8336" s="1342"/>
      <c r="H8336" s="1342"/>
      <c r="I8336" s="1342"/>
      <c r="J8336" s="1342"/>
      <c r="K8336" s="1342"/>
    </row>
    <row r="8337" spans="2:11" ht="14" hidden="1">
      <c r="B8337" s="1342"/>
      <c r="C8337" s="1342"/>
      <c r="D8337" s="1342"/>
      <c r="E8337" s="1342"/>
      <c r="F8337" s="1342"/>
      <c r="G8337" s="1342"/>
      <c r="H8337" s="1342"/>
      <c r="I8337" s="1342"/>
      <c r="J8337" s="1342"/>
      <c r="K8337" s="1342"/>
    </row>
    <row r="8338" spans="2:11" ht="14" hidden="1">
      <c r="B8338" s="1342"/>
      <c r="C8338" s="1342"/>
      <c r="D8338" s="1342"/>
      <c r="E8338" s="1342"/>
      <c r="F8338" s="1342"/>
      <c r="G8338" s="1342"/>
      <c r="H8338" s="1342"/>
      <c r="I8338" s="1342"/>
      <c r="J8338" s="1342"/>
      <c r="K8338" s="1342"/>
    </row>
    <row r="8339" spans="2:11" ht="14" hidden="1">
      <c r="B8339" s="1342"/>
      <c r="C8339" s="1342"/>
      <c r="D8339" s="1342"/>
      <c r="E8339" s="1342"/>
      <c r="F8339" s="1342"/>
      <c r="G8339" s="1342"/>
      <c r="H8339" s="1342"/>
      <c r="I8339" s="1342"/>
      <c r="J8339" s="1342"/>
      <c r="K8339" s="1342"/>
    </row>
    <row r="8340" spans="2:11" ht="14" hidden="1">
      <c r="B8340" s="1342"/>
      <c r="C8340" s="1342"/>
      <c r="D8340" s="1342"/>
      <c r="E8340" s="1342"/>
      <c r="F8340" s="1342"/>
      <c r="G8340" s="1342"/>
      <c r="H8340" s="1342"/>
      <c r="I8340" s="1342"/>
      <c r="J8340" s="1342"/>
      <c r="K8340" s="1342"/>
    </row>
    <row r="8341" spans="2:11" ht="14" hidden="1">
      <c r="B8341" s="1342"/>
      <c r="C8341" s="1342"/>
      <c r="D8341" s="1342"/>
      <c r="E8341" s="1342"/>
      <c r="F8341" s="1342"/>
      <c r="G8341" s="1342"/>
      <c r="H8341" s="1342"/>
      <c r="I8341" s="1342"/>
      <c r="J8341" s="1342"/>
      <c r="K8341" s="1342"/>
    </row>
    <row r="8342" spans="2:11" ht="14" hidden="1">
      <c r="B8342" s="1342"/>
      <c r="C8342" s="1342"/>
      <c r="D8342" s="1342"/>
      <c r="E8342" s="1342"/>
      <c r="F8342" s="1342"/>
      <c r="G8342" s="1342"/>
      <c r="H8342" s="1342"/>
      <c r="I8342" s="1342"/>
      <c r="J8342" s="1342"/>
      <c r="K8342" s="1342"/>
    </row>
    <row r="8343" spans="2:11" ht="14" hidden="1">
      <c r="B8343" s="1342"/>
      <c r="C8343" s="1342"/>
      <c r="D8343" s="1342"/>
      <c r="E8343" s="1342"/>
      <c r="F8343" s="1342"/>
      <c r="G8343" s="1342"/>
      <c r="H8343" s="1342"/>
      <c r="I8343" s="1342"/>
      <c r="J8343" s="1342"/>
      <c r="K8343" s="1342"/>
    </row>
    <row r="8344" spans="2:11" ht="14" hidden="1">
      <c r="B8344" s="1342"/>
      <c r="C8344" s="1342"/>
      <c r="D8344" s="1342"/>
      <c r="E8344" s="1342"/>
      <c r="F8344" s="1342"/>
      <c r="G8344" s="1342"/>
      <c r="H8344" s="1342"/>
      <c r="I8344" s="1342"/>
      <c r="J8344" s="1342"/>
      <c r="K8344" s="1342"/>
    </row>
    <row r="8345" spans="2:11" ht="14" hidden="1">
      <c r="B8345" s="1342"/>
      <c r="C8345" s="1342"/>
      <c r="D8345" s="1342"/>
      <c r="E8345" s="1342"/>
      <c r="F8345" s="1342"/>
      <c r="G8345" s="1342"/>
      <c r="H8345" s="1342"/>
      <c r="I8345" s="1342"/>
      <c r="J8345" s="1342"/>
      <c r="K8345" s="1342"/>
    </row>
    <row r="8346" spans="2:11" ht="14" hidden="1">
      <c r="B8346" s="1342"/>
      <c r="C8346" s="1342"/>
      <c r="D8346" s="1342"/>
      <c r="E8346" s="1342"/>
      <c r="F8346" s="1342"/>
      <c r="G8346" s="1342"/>
      <c r="H8346" s="1342"/>
      <c r="I8346" s="1342"/>
      <c r="J8346" s="1342"/>
      <c r="K8346" s="1342"/>
    </row>
    <row r="8347" spans="2:11" ht="14" hidden="1">
      <c r="B8347" s="1342"/>
      <c r="C8347" s="1342"/>
      <c r="D8347" s="1342"/>
      <c r="E8347" s="1342"/>
      <c r="F8347" s="1342"/>
      <c r="G8347" s="1342"/>
      <c r="H8347" s="1342"/>
      <c r="I8347" s="1342"/>
      <c r="J8347" s="1342"/>
      <c r="K8347" s="1342"/>
    </row>
    <row r="8348" spans="2:11" ht="14" hidden="1">
      <c r="B8348" s="1342"/>
      <c r="C8348" s="1342"/>
      <c r="D8348" s="1342"/>
      <c r="E8348" s="1342"/>
      <c r="F8348" s="1342"/>
      <c r="G8348" s="1342"/>
      <c r="H8348" s="1342"/>
      <c r="I8348" s="1342"/>
      <c r="J8348" s="1342"/>
      <c r="K8348" s="1342"/>
    </row>
    <row r="8349" spans="2:11" ht="14" hidden="1">
      <c r="B8349" s="1342"/>
      <c r="C8349" s="1342"/>
      <c r="D8349" s="1342"/>
      <c r="E8349" s="1342"/>
      <c r="F8349" s="1342"/>
      <c r="G8349" s="1342"/>
      <c r="H8349" s="1342"/>
      <c r="I8349" s="1342"/>
      <c r="J8349" s="1342"/>
      <c r="K8349" s="1342"/>
    </row>
    <row r="8350" spans="2:11" ht="14" hidden="1">
      <c r="B8350" s="1342"/>
      <c r="C8350" s="1342"/>
      <c r="D8350" s="1342"/>
      <c r="E8350" s="1342"/>
      <c r="F8350" s="1342"/>
      <c r="G8350" s="1342"/>
      <c r="H8350" s="1342"/>
      <c r="I8350" s="1342"/>
      <c r="J8350" s="1342"/>
      <c r="K8350" s="1342"/>
    </row>
    <row r="8351" spans="2:11" ht="14" hidden="1">
      <c r="B8351" s="1342"/>
      <c r="C8351" s="1342"/>
      <c r="D8351" s="1342"/>
      <c r="E8351" s="1342"/>
      <c r="F8351" s="1342"/>
      <c r="G8351" s="1342"/>
      <c r="H8351" s="1342"/>
      <c r="I8351" s="1342"/>
      <c r="J8351" s="1342"/>
      <c r="K8351" s="1342"/>
    </row>
    <row r="8352" spans="2:11" ht="14" hidden="1">
      <c r="B8352" s="1342"/>
      <c r="C8352" s="1342"/>
      <c r="D8352" s="1342"/>
      <c r="E8352" s="1342"/>
      <c r="F8352" s="1342"/>
      <c r="G8352" s="1342"/>
      <c r="H8352" s="1342"/>
      <c r="I8352" s="1342"/>
      <c r="J8352" s="1342"/>
      <c r="K8352" s="1342"/>
    </row>
    <row r="8353" spans="2:11" ht="14" hidden="1">
      <c r="B8353" s="1342"/>
      <c r="C8353" s="1342"/>
      <c r="D8353" s="1342"/>
      <c r="E8353" s="1342"/>
      <c r="F8353" s="1342"/>
      <c r="G8353" s="1342"/>
      <c r="H8353" s="1342"/>
      <c r="I8353" s="1342"/>
      <c r="J8353" s="1342"/>
      <c r="K8353" s="1342"/>
    </row>
    <row r="8354" spans="2:11" ht="14" hidden="1">
      <c r="B8354" s="1342"/>
      <c r="C8354" s="1342"/>
      <c r="D8354" s="1342"/>
      <c r="E8354" s="1342"/>
      <c r="F8354" s="1342"/>
      <c r="G8354" s="1342"/>
      <c r="H8354" s="1342"/>
      <c r="I8354" s="1342"/>
      <c r="J8354" s="1342"/>
      <c r="K8354" s="1342"/>
    </row>
    <row r="8355" spans="2:11" ht="14" hidden="1">
      <c r="B8355" s="1342"/>
      <c r="C8355" s="1342"/>
      <c r="D8355" s="1342"/>
      <c r="E8355" s="1342"/>
      <c r="F8355" s="1342"/>
      <c r="G8355" s="1342"/>
      <c r="H8355" s="1342"/>
      <c r="I8355" s="1342"/>
      <c r="J8355" s="1342"/>
      <c r="K8355" s="1342"/>
    </row>
    <row r="8356" spans="2:11" ht="14" hidden="1">
      <c r="B8356" s="1342"/>
      <c r="C8356" s="1342"/>
      <c r="D8356" s="1342"/>
      <c r="E8356" s="1342"/>
      <c r="F8356" s="1342"/>
      <c r="G8356" s="1342"/>
      <c r="H8356" s="1342"/>
      <c r="I8356" s="1342"/>
      <c r="J8356" s="1342"/>
      <c r="K8356" s="1342"/>
    </row>
    <row r="8357" spans="2:11" ht="14" hidden="1">
      <c r="B8357" s="1342"/>
      <c r="C8357" s="1342"/>
      <c r="D8357" s="1342"/>
      <c r="E8357" s="1342"/>
      <c r="F8357" s="1342"/>
      <c r="G8357" s="1342"/>
      <c r="H8357" s="1342"/>
      <c r="I8357" s="1342"/>
      <c r="J8357" s="1342"/>
      <c r="K8357" s="1342"/>
    </row>
    <row r="8358" spans="2:11" ht="14" hidden="1">
      <c r="B8358" s="1342"/>
      <c r="C8358" s="1342"/>
      <c r="D8358" s="1342"/>
      <c r="E8358" s="1342"/>
      <c r="F8358" s="1342"/>
      <c r="G8358" s="1342"/>
      <c r="H8358" s="1342"/>
      <c r="I8358" s="1342"/>
      <c r="J8358" s="1342"/>
      <c r="K8358" s="1342"/>
    </row>
    <row r="8359" spans="2:11" ht="14" hidden="1">
      <c r="B8359" s="1342"/>
      <c r="C8359" s="1342"/>
      <c r="D8359" s="1342"/>
      <c r="E8359" s="1342"/>
      <c r="F8359" s="1342"/>
      <c r="G8359" s="1342"/>
      <c r="H8359" s="1342"/>
      <c r="I8359" s="1342"/>
      <c r="J8359" s="1342"/>
      <c r="K8359" s="1342"/>
    </row>
    <row r="8360" spans="2:11" ht="14" hidden="1">
      <c r="B8360" s="1342"/>
      <c r="C8360" s="1342"/>
      <c r="D8360" s="1342"/>
      <c r="E8360" s="1342"/>
      <c r="F8360" s="1342"/>
      <c r="G8360" s="1342"/>
      <c r="H8360" s="1342"/>
      <c r="I8360" s="1342"/>
      <c r="J8360" s="1342"/>
      <c r="K8360" s="1342"/>
    </row>
    <row r="8361" spans="2:11" ht="14" hidden="1">
      <c r="B8361" s="1342"/>
      <c r="C8361" s="1342"/>
      <c r="D8361" s="1342"/>
      <c r="E8361" s="1342"/>
      <c r="F8361" s="1342"/>
      <c r="G8361" s="1342"/>
      <c r="H8361" s="1342"/>
      <c r="I8361" s="1342"/>
      <c r="J8361" s="1342"/>
      <c r="K8361" s="1342"/>
    </row>
    <row r="8362" spans="2:11" ht="14" hidden="1">
      <c r="B8362" s="1342"/>
      <c r="C8362" s="1342"/>
      <c r="D8362" s="1342"/>
      <c r="E8362" s="1342"/>
      <c r="F8362" s="1342"/>
      <c r="G8362" s="1342"/>
      <c r="H8362" s="1342"/>
      <c r="I8362" s="1342"/>
      <c r="J8362" s="1342"/>
      <c r="K8362" s="1342"/>
    </row>
    <row r="8363" spans="2:11" ht="14" hidden="1">
      <c r="B8363" s="1342"/>
      <c r="C8363" s="1342"/>
      <c r="D8363" s="1342"/>
      <c r="E8363" s="1342"/>
      <c r="F8363" s="1342"/>
      <c r="G8363" s="1342"/>
      <c r="H8363" s="1342"/>
      <c r="I8363" s="1342"/>
      <c r="J8363" s="1342"/>
      <c r="K8363" s="1342"/>
    </row>
    <row r="8364" spans="2:11" ht="14" hidden="1">
      <c r="B8364" s="1342"/>
      <c r="C8364" s="1342"/>
      <c r="D8364" s="1342"/>
      <c r="E8364" s="1342"/>
      <c r="F8364" s="1342"/>
      <c r="G8364" s="1342"/>
      <c r="H8364" s="1342"/>
      <c r="I8364" s="1342"/>
      <c r="J8364" s="1342"/>
      <c r="K8364" s="1342"/>
    </row>
    <row r="8365" spans="2:11" ht="14" hidden="1">
      <c r="B8365" s="1342"/>
      <c r="C8365" s="1342"/>
      <c r="D8365" s="1342"/>
      <c r="E8365" s="1342"/>
      <c r="F8365" s="1342"/>
      <c r="G8365" s="1342"/>
      <c r="H8365" s="1342"/>
      <c r="I8365" s="1342"/>
      <c r="J8365" s="1342"/>
      <c r="K8365" s="1342"/>
    </row>
    <row r="8366" spans="2:11" ht="14" hidden="1">
      <c r="B8366" s="1342"/>
      <c r="C8366" s="1342"/>
      <c r="D8366" s="1342"/>
      <c r="E8366" s="1342"/>
      <c r="F8366" s="1342"/>
      <c r="G8366" s="1342"/>
      <c r="H8366" s="1342"/>
      <c r="I8366" s="1342"/>
      <c r="J8366" s="1342"/>
      <c r="K8366" s="1342"/>
    </row>
    <row r="8367" spans="2:11" ht="14" hidden="1">
      <c r="B8367" s="1342"/>
      <c r="C8367" s="1342"/>
      <c r="D8367" s="1342"/>
      <c r="E8367" s="1342"/>
      <c r="F8367" s="1342"/>
      <c r="G8367" s="1342"/>
      <c r="H8367" s="1342"/>
      <c r="I8367" s="1342"/>
      <c r="J8367" s="1342"/>
      <c r="K8367" s="1342"/>
    </row>
    <row r="8368" spans="2:11" ht="14" hidden="1">
      <c r="B8368" s="1342"/>
      <c r="C8368" s="1342"/>
      <c r="D8368" s="1342"/>
      <c r="E8368" s="1342"/>
      <c r="F8368" s="1342"/>
      <c r="G8368" s="1342"/>
      <c r="H8368" s="1342"/>
      <c r="I8368" s="1342"/>
      <c r="J8368" s="1342"/>
      <c r="K8368" s="1342"/>
    </row>
    <row r="8369" spans="2:11" ht="14" hidden="1">
      <c r="B8369" s="1342"/>
      <c r="C8369" s="1342"/>
      <c r="D8369" s="1342"/>
      <c r="E8369" s="1342"/>
      <c r="F8369" s="1342"/>
      <c r="G8369" s="1342"/>
      <c r="H8369" s="1342"/>
      <c r="I8369" s="1342"/>
      <c r="J8369" s="1342"/>
      <c r="K8369" s="1342"/>
    </row>
    <row r="8370" spans="2:11" ht="14" hidden="1">
      <c r="B8370" s="1342"/>
      <c r="C8370" s="1342"/>
      <c r="D8370" s="1342"/>
      <c r="E8370" s="1342"/>
      <c r="F8370" s="1342"/>
      <c r="G8370" s="1342"/>
      <c r="H8370" s="1342"/>
      <c r="I8370" s="1342"/>
      <c r="J8370" s="1342"/>
      <c r="K8370" s="1342"/>
    </row>
    <row r="8371" spans="2:11" ht="14" hidden="1">
      <c r="B8371" s="1342"/>
      <c r="C8371" s="1342"/>
      <c r="D8371" s="1342"/>
      <c r="E8371" s="1342"/>
      <c r="F8371" s="1342"/>
      <c r="G8371" s="1342"/>
      <c r="H8371" s="1342"/>
      <c r="I8371" s="1342"/>
      <c r="J8371" s="1342"/>
      <c r="K8371" s="1342"/>
    </row>
    <row r="8372" spans="2:11" ht="14" hidden="1">
      <c r="B8372" s="1342"/>
      <c r="C8372" s="1342"/>
      <c r="D8372" s="1342"/>
      <c r="E8372" s="1342"/>
      <c r="F8372" s="1342"/>
      <c r="G8372" s="1342"/>
      <c r="H8372" s="1342"/>
      <c r="I8372" s="1342"/>
      <c r="J8372" s="1342"/>
      <c r="K8372" s="1342"/>
    </row>
    <row r="8373" spans="2:11" ht="14" hidden="1">
      <c r="B8373" s="1342"/>
      <c r="C8373" s="1342"/>
      <c r="D8373" s="1342"/>
      <c r="E8373" s="1342"/>
      <c r="F8373" s="1342"/>
      <c r="G8373" s="1342"/>
      <c r="H8373" s="1342"/>
      <c r="I8373" s="1342"/>
      <c r="J8373" s="1342"/>
      <c r="K8373" s="1342"/>
    </row>
    <row r="8374" spans="2:11" ht="14" hidden="1">
      <c r="B8374" s="1342"/>
      <c r="C8374" s="1342"/>
      <c r="D8374" s="1342"/>
      <c r="E8374" s="1342"/>
      <c r="F8374" s="1342"/>
      <c r="G8374" s="1342"/>
      <c r="H8374" s="1342"/>
      <c r="I8374" s="1342"/>
      <c r="J8374" s="1342"/>
      <c r="K8374" s="1342"/>
    </row>
    <row r="8375" spans="2:11" ht="14" hidden="1">
      <c r="B8375" s="1342"/>
      <c r="C8375" s="1342"/>
      <c r="D8375" s="1342"/>
      <c r="E8375" s="1342"/>
      <c r="F8375" s="1342"/>
      <c r="G8375" s="1342"/>
      <c r="H8375" s="1342"/>
      <c r="I8375" s="1342"/>
      <c r="J8375" s="1342"/>
      <c r="K8375" s="1342"/>
    </row>
    <row r="8376" spans="2:11" ht="14" hidden="1">
      <c r="B8376" s="1342"/>
      <c r="C8376" s="1342"/>
      <c r="D8376" s="1342"/>
      <c r="E8376" s="1342"/>
      <c r="F8376" s="1342"/>
      <c r="G8376" s="1342"/>
      <c r="H8376" s="1342"/>
      <c r="I8376" s="1342"/>
      <c r="J8376" s="1342"/>
      <c r="K8376" s="1342"/>
    </row>
    <row r="8377" spans="2:11" ht="14" hidden="1">
      <c r="B8377" s="1342"/>
      <c r="C8377" s="1342"/>
      <c r="D8377" s="1342"/>
      <c r="E8377" s="1342"/>
      <c r="F8377" s="1342"/>
      <c r="G8377" s="1342"/>
      <c r="H8377" s="1342"/>
      <c r="I8377" s="1342"/>
      <c r="J8377" s="1342"/>
      <c r="K8377" s="1342"/>
    </row>
    <row r="8378" spans="2:11" ht="14" hidden="1">
      <c r="B8378" s="1342"/>
      <c r="C8378" s="1342"/>
      <c r="D8378" s="1342"/>
      <c r="E8378" s="1342"/>
      <c r="F8378" s="1342"/>
      <c r="G8378" s="1342"/>
      <c r="H8378" s="1342"/>
      <c r="I8378" s="1342"/>
      <c r="J8378" s="1342"/>
      <c r="K8378" s="1342"/>
    </row>
    <row r="8379" spans="2:11" ht="14" hidden="1">
      <c r="B8379" s="1342"/>
      <c r="C8379" s="1342"/>
      <c r="D8379" s="1342"/>
      <c r="E8379" s="1342"/>
      <c r="F8379" s="1342"/>
      <c r="G8379" s="1342"/>
      <c r="H8379" s="1342"/>
      <c r="I8379" s="1342"/>
      <c r="J8379" s="1342"/>
      <c r="K8379" s="1342"/>
    </row>
    <row r="8380" spans="2:11" ht="14" hidden="1">
      <c r="B8380" s="1342"/>
      <c r="C8380" s="1342"/>
      <c r="D8380" s="1342"/>
      <c r="E8380" s="1342"/>
      <c r="F8380" s="1342"/>
      <c r="G8380" s="1342"/>
      <c r="H8380" s="1342"/>
      <c r="I8380" s="1342"/>
      <c r="J8380" s="1342"/>
      <c r="K8380" s="1342"/>
    </row>
    <row r="8381" spans="2:11" ht="14" hidden="1">
      <c r="B8381" s="1342"/>
      <c r="C8381" s="1342"/>
      <c r="D8381" s="1342"/>
      <c r="E8381" s="1342"/>
      <c r="F8381" s="1342"/>
      <c r="G8381" s="1342"/>
      <c r="H8381" s="1342"/>
      <c r="I8381" s="1342"/>
      <c r="J8381" s="1342"/>
      <c r="K8381" s="1342"/>
    </row>
    <row r="8382" spans="2:11" ht="14" hidden="1">
      <c r="B8382" s="1342"/>
      <c r="C8382" s="1342"/>
      <c r="D8382" s="1342"/>
      <c r="E8382" s="1342"/>
      <c r="F8382" s="1342"/>
      <c r="G8382" s="1342"/>
      <c r="H8382" s="1342"/>
      <c r="I8382" s="1342"/>
      <c r="J8382" s="1342"/>
      <c r="K8382" s="1342"/>
    </row>
    <row r="8383" spans="2:11" ht="14" hidden="1">
      <c r="B8383" s="1342"/>
      <c r="C8383" s="1342"/>
      <c r="D8383" s="1342"/>
      <c r="E8383" s="1342"/>
      <c r="F8383" s="1342"/>
      <c r="G8383" s="1342"/>
      <c r="H8383" s="1342"/>
      <c r="I8383" s="1342"/>
      <c r="J8383" s="1342"/>
      <c r="K8383" s="1342"/>
    </row>
    <row r="8384" spans="2:11" ht="14" hidden="1">
      <c r="B8384" s="1342"/>
      <c r="C8384" s="1342"/>
      <c r="D8384" s="1342"/>
      <c r="E8384" s="1342"/>
      <c r="F8384" s="1342"/>
      <c r="G8384" s="1342"/>
      <c r="H8384" s="1342"/>
      <c r="I8384" s="1342"/>
      <c r="J8384" s="1342"/>
      <c r="K8384" s="1342"/>
    </row>
    <row r="8385" spans="2:11" ht="14" hidden="1">
      <c r="B8385" s="1342"/>
      <c r="C8385" s="1342"/>
      <c r="D8385" s="1342"/>
      <c r="E8385" s="1342"/>
      <c r="F8385" s="1342"/>
      <c r="G8385" s="1342"/>
      <c r="H8385" s="1342"/>
      <c r="I8385" s="1342"/>
      <c r="J8385" s="1342"/>
      <c r="K8385" s="1342"/>
    </row>
    <row r="8386" spans="2:11" ht="14" hidden="1">
      <c r="B8386" s="1342"/>
      <c r="C8386" s="1342"/>
      <c r="D8386" s="1342"/>
      <c r="E8386" s="1342"/>
      <c r="F8386" s="1342"/>
      <c r="G8386" s="1342"/>
      <c r="H8386" s="1342"/>
      <c r="I8386" s="1342"/>
      <c r="J8386" s="1342"/>
      <c r="K8386" s="1342"/>
    </row>
    <row r="8387" spans="2:11" ht="14" hidden="1">
      <c r="B8387" s="1342"/>
      <c r="C8387" s="1342"/>
      <c r="D8387" s="1342"/>
      <c r="E8387" s="1342"/>
      <c r="F8387" s="1342"/>
      <c r="G8387" s="1342"/>
      <c r="H8387" s="1342"/>
      <c r="I8387" s="1342"/>
      <c r="J8387" s="1342"/>
      <c r="K8387" s="1342"/>
    </row>
    <row r="8388" spans="2:11" ht="14" hidden="1">
      <c r="B8388" s="1342"/>
      <c r="C8388" s="1342"/>
      <c r="D8388" s="1342"/>
      <c r="E8388" s="1342"/>
      <c r="F8388" s="1342"/>
      <c r="G8388" s="1342"/>
      <c r="H8388" s="1342"/>
      <c r="I8388" s="1342"/>
      <c r="J8388" s="1342"/>
      <c r="K8388" s="1342"/>
    </row>
    <row r="8389" spans="2:11" ht="14" hidden="1">
      <c r="B8389" s="1342"/>
      <c r="C8389" s="1342"/>
      <c r="D8389" s="1342"/>
      <c r="E8389" s="1342"/>
      <c r="F8389" s="1342"/>
      <c r="G8389" s="1342"/>
      <c r="H8389" s="1342"/>
      <c r="I8389" s="1342"/>
      <c r="J8389" s="1342"/>
      <c r="K8389" s="1342"/>
    </row>
    <row r="8390" spans="2:11" ht="14" hidden="1">
      <c r="B8390" s="1342"/>
      <c r="C8390" s="1342"/>
      <c r="D8390" s="1342"/>
      <c r="E8390" s="1342"/>
      <c r="F8390" s="1342"/>
      <c r="G8390" s="1342"/>
      <c r="H8390" s="1342"/>
      <c r="I8390" s="1342"/>
      <c r="J8390" s="1342"/>
      <c r="K8390" s="1342"/>
    </row>
    <row r="8391" spans="2:11" ht="14" hidden="1">
      <c r="B8391" s="1342"/>
      <c r="C8391" s="1342"/>
      <c r="D8391" s="1342"/>
      <c r="E8391" s="1342"/>
      <c r="F8391" s="1342"/>
      <c r="G8391" s="1342"/>
      <c r="H8391" s="1342"/>
      <c r="I8391" s="1342"/>
      <c r="J8391" s="1342"/>
      <c r="K8391" s="1342"/>
    </row>
    <row r="8392" spans="2:11" ht="14" hidden="1">
      <c r="B8392" s="1342"/>
      <c r="C8392" s="1342"/>
      <c r="D8392" s="1342"/>
      <c r="E8392" s="1342"/>
      <c r="F8392" s="1342"/>
      <c r="G8392" s="1342"/>
      <c r="H8392" s="1342"/>
      <c r="I8392" s="1342"/>
      <c r="J8392" s="1342"/>
      <c r="K8392" s="1342"/>
    </row>
    <row r="8393" spans="2:11" ht="14" hidden="1">
      <c r="B8393" s="1342"/>
      <c r="C8393" s="1342"/>
      <c r="D8393" s="1342"/>
      <c r="E8393" s="1342"/>
      <c r="F8393" s="1342"/>
      <c r="G8393" s="1342"/>
      <c r="H8393" s="1342"/>
      <c r="I8393" s="1342"/>
      <c r="J8393" s="1342"/>
      <c r="K8393" s="1342"/>
    </row>
    <row r="8394" spans="2:11" ht="14" hidden="1">
      <c r="B8394" s="1342"/>
      <c r="C8394" s="1342"/>
      <c r="D8394" s="1342"/>
      <c r="E8394" s="1342"/>
      <c r="F8394" s="1342"/>
      <c r="G8394" s="1342"/>
      <c r="H8394" s="1342"/>
      <c r="I8394" s="1342"/>
      <c r="J8394" s="1342"/>
      <c r="K8394" s="1342"/>
    </row>
    <row r="8395" spans="2:11" ht="14" hidden="1">
      <c r="B8395" s="1342"/>
      <c r="C8395" s="1342"/>
      <c r="D8395" s="1342"/>
      <c r="E8395" s="1342"/>
      <c r="F8395" s="1342"/>
      <c r="G8395" s="1342"/>
      <c r="H8395" s="1342"/>
      <c r="I8395" s="1342"/>
      <c r="J8395" s="1342"/>
      <c r="K8395" s="1342"/>
    </row>
    <row r="8396" spans="2:11" ht="14" hidden="1">
      <c r="B8396" s="1342"/>
      <c r="C8396" s="1342"/>
      <c r="D8396" s="1342"/>
      <c r="E8396" s="1342"/>
      <c r="F8396" s="1342"/>
      <c r="G8396" s="1342"/>
      <c r="H8396" s="1342"/>
      <c r="I8396" s="1342"/>
      <c r="J8396" s="1342"/>
      <c r="K8396" s="1342"/>
    </row>
    <row r="8397" spans="2:11" ht="14" hidden="1">
      <c r="B8397" s="1342"/>
      <c r="C8397" s="1342"/>
      <c r="D8397" s="1342"/>
      <c r="E8397" s="1342"/>
      <c r="F8397" s="1342"/>
      <c r="G8397" s="1342"/>
      <c r="H8397" s="1342"/>
      <c r="I8397" s="1342"/>
      <c r="J8397" s="1342"/>
      <c r="K8397" s="1342"/>
    </row>
    <row r="8398" spans="2:11" ht="14" hidden="1">
      <c r="B8398" s="1342"/>
      <c r="C8398" s="1342"/>
      <c r="D8398" s="1342"/>
      <c r="E8398" s="1342"/>
      <c r="F8398" s="1342"/>
      <c r="G8398" s="1342"/>
      <c r="H8398" s="1342"/>
      <c r="I8398" s="1342"/>
      <c r="J8398" s="1342"/>
      <c r="K8398" s="1342"/>
    </row>
    <row r="8399" spans="2:11" ht="14" hidden="1">
      <c r="B8399" s="1342"/>
      <c r="C8399" s="1342"/>
      <c r="D8399" s="1342"/>
      <c r="E8399" s="1342"/>
      <c r="F8399" s="1342"/>
      <c r="G8399" s="1342"/>
      <c r="H8399" s="1342"/>
      <c r="I8399" s="1342"/>
      <c r="J8399" s="1342"/>
      <c r="K8399" s="1342"/>
    </row>
    <row r="8400" spans="2:11" ht="14" hidden="1">
      <c r="B8400" s="1342"/>
      <c r="C8400" s="1342"/>
      <c r="D8400" s="1342"/>
      <c r="E8400" s="1342"/>
      <c r="F8400" s="1342"/>
      <c r="G8400" s="1342"/>
      <c r="H8400" s="1342"/>
      <c r="I8400" s="1342"/>
      <c r="J8400" s="1342"/>
      <c r="K8400" s="1342"/>
    </row>
    <row r="8401" spans="2:11" ht="14" hidden="1">
      <c r="B8401" s="1342"/>
      <c r="C8401" s="1342"/>
      <c r="D8401" s="1342"/>
      <c r="E8401" s="1342"/>
      <c r="F8401" s="1342"/>
      <c r="G8401" s="1342"/>
      <c r="H8401" s="1342"/>
      <c r="I8401" s="1342"/>
      <c r="J8401" s="1342"/>
      <c r="K8401" s="1342"/>
    </row>
    <row r="8402" spans="2:11" ht="14" hidden="1">
      <c r="B8402" s="1342"/>
      <c r="C8402" s="1342"/>
      <c r="D8402" s="1342"/>
      <c r="E8402" s="1342"/>
      <c r="F8402" s="1342"/>
      <c r="G8402" s="1342"/>
      <c r="H8402" s="1342"/>
      <c r="I8402" s="1342"/>
      <c r="J8402" s="1342"/>
      <c r="K8402" s="1342"/>
    </row>
    <row r="8403" spans="2:11" ht="14" hidden="1">
      <c r="B8403" s="1342"/>
      <c r="C8403" s="1342"/>
      <c r="D8403" s="1342"/>
      <c r="E8403" s="1342"/>
      <c r="F8403" s="1342"/>
      <c r="G8403" s="1342"/>
      <c r="H8403" s="1342"/>
      <c r="I8403" s="1342"/>
      <c r="J8403" s="1342"/>
      <c r="K8403" s="1342"/>
    </row>
    <row r="8404" spans="2:11" ht="14" hidden="1">
      <c r="B8404" s="1342"/>
      <c r="C8404" s="1342"/>
      <c r="D8404" s="1342"/>
      <c r="E8404" s="1342"/>
      <c r="F8404" s="1342"/>
      <c r="G8404" s="1342"/>
      <c r="H8404" s="1342"/>
      <c r="I8404" s="1342"/>
      <c r="J8404" s="1342"/>
      <c r="K8404" s="1342"/>
    </row>
    <row r="8405" spans="2:11" ht="14" hidden="1">
      <c r="B8405" s="1342"/>
      <c r="C8405" s="1342"/>
      <c r="D8405" s="1342"/>
      <c r="E8405" s="1342"/>
      <c r="F8405" s="1342"/>
      <c r="G8405" s="1342"/>
      <c r="H8405" s="1342"/>
      <c r="I8405" s="1342"/>
      <c r="J8405" s="1342"/>
      <c r="K8405" s="1342"/>
    </row>
    <row r="8406" spans="2:11" ht="14" hidden="1">
      <c r="B8406" s="1342"/>
      <c r="C8406" s="1342"/>
      <c r="D8406" s="1342"/>
      <c r="E8406" s="1342"/>
      <c r="F8406" s="1342"/>
      <c r="G8406" s="1342"/>
      <c r="H8406" s="1342"/>
      <c r="I8406" s="1342"/>
      <c r="J8406" s="1342"/>
      <c r="K8406" s="1342"/>
    </row>
    <row r="8407" spans="2:11" ht="14" hidden="1">
      <c r="B8407" s="1342"/>
      <c r="C8407" s="1342"/>
      <c r="D8407" s="1342"/>
      <c r="E8407" s="1342"/>
      <c r="F8407" s="1342"/>
      <c r="G8407" s="1342"/>
      <c r="H8407" s="1342"/>
      <c r="I8407" s="1342"/>
      <c r="J8407" s="1342"/>
      <c r="K8407" s="1342"/>
    </row>
    <row r="8408" spans="2:11" ht="14" hidden="1">
      <c r="B8408" s="1342"/>
      <c r="C8408" s="1342"/>
      <c r="D8408" s="1342"/>
      <c r="E8408" s="1342"/>
      <c r="F8408" s="1342"/>
      <c r="G8408" s="1342"/>
      <c r="H8408" s="1342"/>
      <c r="I8408" s="1342"/>
      <c r="J8408" s="1342"/>
      <c r="K8408" s="1342"/>
    </row>
    <row r="8409" spans="2:11" ht="14" hidden="1">
      <c r="B8409" s="1342"/>
      <c r="C8409" s="1342"/>
      <c r="D8409" s="1342"/>
      <c r="E8409" s="1342"/>
      <c r="F8409" s="1342"/>
      <c r="G8409" s="1342"/>
      <c r="H8409" s="1342"/>
      <c r="I8409" s="1342"/>
      <c r="J8409" s="1342"/>
      <c r="K8409" s="1342"/>
    </row>
    <row r="8410" spans="2:11" ht="14" hidden="1">
      <c r="B8410" s="1342"/>
      <c r="C8410" s="1342"/>
      <c r="D8410" s="1342"/>
      <c r="E8410" s="1342"/>
      <c r="F8410" s="1342"/>
      <c r="G8410" s="1342"/>
      <c r="H8410" s="1342"/>
      <c r="I8410" s="1342"/>
      <c r="J8410" s="1342"/>
      <c r="K8410" s="1342"/>
    </row>
    <row r="8411" spans="2:11" ht="14" hidden="1">
      <c r="B8411" s="1342"/>
      <c r="C8411" s="1342"/>
      <c r="D8411" s="1342"/>
      <c r="E8411" s="1342"/>
      <c r="F8411" s="1342"/>
      <c r="G8411" s="1342"/>
      <c r="H8411" s="1342"/>
      <c r="I8411" s="1342"/>
      <c r="J8411" s="1342"/>
      <c r="K8411" s="1342"/>
    </row>
    <row r="8412" spans="2:11" ht="14" hidden="1">
      <c r="B8412" s="1342"/>
      <c r="C8412" s="1342"/>
      <c r="D8412" s="1342"/>
      <c r="E8412" s="1342"/>
      <c r="F8412" s="1342"/>
      <c r="G8412" s="1342"/>
      <c r="H8412" s="1342"/>
      <c r="I8412" s="1342"/>
      <c r="J8412" s="1342"/>
      <c r="K8412" s="1342"/>
    </row>
    <row r="8413" spans="2:11" ht="14" hidden="1">
      <c r="B8413" s="1342"/>
      <c r="C8413" s="1342"/>
      <c r="D8413" s="1342"/>
      <c r="E8413" s="1342"/>
      <c r="F8413" s="1342"/>
      <c r="G8413" s="1342"/>
      <c r="H8413" s="1342"/>
      <c r="I8413" s="1342"/>
      <c r="J8413" s="1342"/>
      <c r="K8413" s="1342"/>
    </row>
    <row r="8414" spans="2:11" ht="14" hidden="1">
      <c r="B8414" s="1342"/>
      <c r="C8414" s="1342"/>
      <c r="D8414" s="1342"/>
      <c r="E8414" s="1342"/>
      <c r="F8414" s="1342"/>
      <c r="G8414" s="1342"/>
      <c r="H8414" s="1342"/>
      <c r="I8414" s="1342"/>
      <c r="J8414" s="1342"/>
      <c r="K8414" s="1342"/>
    </row>
    <row r="8415" spans="2:11" ht="14" hidden="1">
      <c r="B8415" s="1342"/>
      <c r="C8415" s="1342"/>
      <c r="D8415" s="1342"/>
      <c r="E8415" s="1342"/>
      <c r="F8415" s="1342"/>
      <c r="G8415" s="1342"/>
      <c r="H8415" s="1342"/>
      <c r="I8415" s="1342"/>
      <c r="J8415" s="1342"/>
      <c r="K8415" s="1342"/>
    </row>
    <row r="8416" spans="2:11" ht="14" hidden="1">
      <c r="B8416" s="1342"/>
      <c r="C8416" s="1342"/>
      <c r="D8416" s="1342"/>
      <c r="E8416" s="1342"/>
      <c r="F8416" s="1342"/>
      <c r="G8416" s="1342"/>
      <c r="H8416" s="1342"/>
      <c r="I8416" s="1342"/>
      <c r="J8416" s="1342"/>
      <c r="K8416" s="1342"/>
    </row>
    <row r="8417" spans="2:11" ht="14" hidden="1">
      <c r="B8417" s="1342"/>
      <c r="C8417" s="1342"/>
      <c r="D8417" s="1342"/>
      <c r="E8417" s="1342"/>
      <c r="F8417" s="1342"/>
      <c r="G8417" s="1342"/>
      <c r="H8417" s="1342"/>
      <c r="I8417" s="1342"/>
      <c r="J8417" s="1342"/>
      <c r="K8417" s="1342"/>
    </row>
    <row r="8418" spans="2:11" ht="14" hidden="1">
      <c r="B8418" s="1342"/>
      <c r="C8418" s="1342"/>
      <c r="D8418" s="1342"/>
      <c r="E8418" s="1342"/>
      <c r="F8418" s="1342"/>
      <c r="G8418" s="1342"/>
      <c r="H8418" s="1342"/>
      <c r="I8418" s="1342"/>
      <c r="J8418" s="1342"/>
      <c r="K8418" s="1342"/>
    </row>
    <row r="8419" spans="2:11" ht="14" hidden="1">
      <c r="B8419" s="1342"/>
      <c r="C8419" s="1342"/>
      <c r="D8419" s="1342"/>
      <c r="E8419" s="1342"/>
      <c r="F8419" s="1342"/>
      <c r="G8419" s="1342"/>
      <c r="H8419" s="1342"/>
      <c r="I8419" s="1342"/>
      <c r="J8419" s="1342"/>
      <c r="K8419" s="1342"/>
    </row>
    <row r="8420" spans="2:11" ht="14" hidden="1">
      <c r="B8420" s="1342"/>
      <c r="C8420" s="1342"/>
      <c r="D8420" s="1342"/>
      <c r="E8420" s="1342"/>
      <c r="F8420" s="1342"/>
      <c r="G8420" s="1342"/>
      <c r="H8420" s="1342"/>
      <c r="I8420" s="1342"/>
      <c r="J8420" s="1342"/>
      <c r="K8420" s="1342"/>
    </row>
    <row r="8421" spans="2:11" ht="14" hidden="1">
      <c r="B8421" s="1342"/>
      <c r="C8421" s="1342"/>
      <c r="D8421" s="1342"/>
      <c r="E8421" s="1342"/>
      <c r="F8421" s="1342"/>
      <c r="G8421" s="1342"/>
      <c r="H8421" s="1342"/>
      <c r="I8421" s="1342"/>
      <c r="J8421" s="1342"/>
      <c r="K8421" s="1342"/>
    </row>
    <row r="8422" spans="2:11" ht="14" hidden="1">
      <c r="B8422" s="1342"/>
      <c r="C8422" s="1342"/>
      <c r="D8422" s="1342"/>
      <c r="E8422" s="1342"/>
      <c r="F8422" s="1342"/>
      <c r="G8422" s="1342"/>
      <c r="H8422" s="1342"/>
      <c r="I8422" s="1342"/>
      <c r="J8422" s="1342"/>
      <c r="K8422" s="1342"/>
    </row>
    <row r="8423" spans="2:11" ht="14" hidden="1">
      <c r="B8423" s="1342"/>
      <c r="C8423" s="1342"/>
      <c r="D8423" s="1342"/>
      <c r="E8423" s="1342"/>
      <c r="F8423" s="1342"/>
      <c r="G8423" s="1342"/>
      <c r="H8423" s="1342"/>
      <c r="I8423" s="1342"/>
      <c r="J8423" s="1342"/>
      <c r="K8423" s="1342"/>
    </row>
    <row r="8424" spans="2:11" ht="14" hidden="1">
      <c r="B8424" s="1342"/>
      <c r="C8424" s="1342"/>
      <c r="D8424" s="1342"/>
      <c r="E8424" s="1342"/>
      <c r="F8424" s="1342"/>
      <c r="G8424" s="1342"/>
      <c r="H8424" s="1342"/>
      <c r="I8424" s="1342"/>
      <c r="J8424" s="1342"/>
      <c r="K8424" s="1342"/>
    </row>
    <row r="8425" spans="2:11" ht="14" hidden="1">
      <c r="B8425" s="1342"/>
      <c r="C8425" s="1342"/>
      <c r="D8425" s="1342"/>
      <c r="E8425" s="1342"/>
      <c r="F8425" s="1342"/>
      <c r="G8425" s="1342"/>
      <c r="H8425" s="1342"/>
      <c r="I8425" s="1342"/>
      <c r="J8425" s="1342"/>
      <c r="K8425" s="1342"/>
    </row>
    <row r="8426" spans="2:11" ht="14" hidden="1">
      <c r="B8426" s="1342"/>
      <c r="C8426" s="1342"/>
      <c r="D8426" s="1342"/>
      <c r="E8426" s="1342"/>
      <c r="F8426" s="1342"/>
      <c r="G8426" s="1342"/>
      <c r="H8426" s="1342"/>
      <c r="I8426" s="1342"/>
      <c r="J8426" s="1342"/>
      <c r="K8426" s="1342"/>
    </row>
    <row r="8427" spans="2:11" ht="14" hidden="1">
      <c r="B8427" s="1342"/>
      <c r="C8427" s="1342"/>
      <c r="D8427" s="1342"/>
      <c r="E8427" s="1342"/>
      <c r="F8427" s="1342"/>
      <c r="G8427" s="1342"/>
      <c r="H8427" s="1342"/>
      <c r="I8427" s="1342"/>
      <c r="J8427" s="1342"/>
      <c r="K8427" s="1342"/>
    </row>
    <row r="8428" spans="2:11" ht="14" hidden="1">
      <c r="B8428" s="1342"/>
      <c r="C8428" s="1342"/>
      <c r="D8428" s="1342"/>
      <c r="E8428" s="1342"/>
      <c r="F8428" s="1342"/>
      <c r="G8428" s="1342"/>
      <c r="H8428" s="1342"/>
      <c r="I8428" s="1342"/>
      <c r="J8428" s="1342"/>
      <c r="K8428" s="1342"/>
    </row>
    <row r="8429" spans="2:11" ht="14" hidden="1">
      <c r="B8429" s="1342"/>
      <c r="C8429" s="1342"/>
      <c r="D8429" s="1342"/>
      <c r="E8429" s="1342"/>
      <c r="F8429" s="1342"/>
      <c r="G8429" s="1342"/>
      <c r="H8429" s="1342"/>
      <c r="I8429" s="1342"/>
      <c r="J8429" s="1342"/>
      <c r="K8429" s="1342"/>
    </row>
    <row r="8430" spans="2:11" ht="14" hidden="1">
      <c r="B8430" s="1342"/>
      <c r="C8430" s="1342"/>
      <c r="D8430" s="1342"/>
      <c r="E8430" s="1342"/>
      <c r="F8430" s="1342"/>
      <c r="G8430" s="1342"/>
      <c r="H8430" s="1342"/>
      <c r="I8430" s="1342"/>
      <c r="J8430" s="1342"/>
      <c r="K8430" s="1342"/>
    </row>
    <row r="8431" spans="2:11" ht="14" hidden="1">
      <c r="B8431" s="1342"/>
      <c r="C8431" s="1342"/>
      <c r="D8431" s="1342"/>
      <c r="E8431" s="1342"/>
      <c r="F8431" s="1342"/>
      <c r="G8431" s="1342"/>
      <c r="H8431" s="1342"/>
      <c r="I8431" s="1342"/>
      <c r="J8431" s="1342"/>
      <c r="K8431" s="1342"/>
    </row>
    <row r="8432" spans="2:11" ht="14" hidden="1">
      <c r="B8432" s="1342"/>
      <c r="C8432" s="1342"/>
      <c r="D8432" s="1342"/>
      <c r="E8432" s="1342"/>
      <c r="F8432" s="1342"/>
      <c r="G8432" s="1342"/>
      <c r="H8432" s="1342"/>
      <c r="I8432" s="1342"/>
      <c r="J8432" s="1342"/>
      <c r="K8432" s="1342"/>
    </row>
    <row r="8433" spans="2:11" ht="14" hidden="1">
      <c r="B8433" s="1342"/>
      <c r="C8433" s="1342"/>
      <c r="D8433" s="1342"/>
      <c r="E8433" s="1342"/>
      <c r="F8433" s="1342"/>
      <c r="G8433" s="1342"/>
      <c r="H8433" s="1342"/>
      <c r="I8433" s="1342"/>
      <c r="J8433" s="1342"/>
      <c r="K8433" s="1342"/>
    </row>
    <row r="8434" spans="2:11" ht="14" hidden="1">
      <c r="B8434" s="1342"/>
      <c r="C8434" s="1342"/>
      <c r="D8434" s="1342"/>
      <c r="E8434" s="1342"/>
      <c r="F8434" s="1342"/>
      <c r="G8434" s="1342"/>
      <c r="H8434" s="1342"/>
      <c r="I8434" s="1342"/>
      <c r="J8434" s="1342"/>
      <c r="K8434" s="1342"/>
    </row>
    <row r="8435" spans="2:11" ht="14" hidden="1">
      <c r="B8435" s="1342"/>
      <c r="C8435" s="1342"/>
      <c r="D8435" s="1342"/>
      <c r="E8435" s="1342"/>
      <c r="F8435" s="1342"/>
      <c r="G8435" s="1342"/>
      <c r="H8435" s="1342"/>
      <c r="I8435" s="1342"/>
      <c r="J8435" s="1342"/>
      <c r="K8435" s="1342"/>
    </row>
    <row r="8436" spans="2:11" ht="14" hidden="1">
      <c r="B8436" s="1342"/>
      <c r="C8436" s="1342"/>
      <c r="D8436" s="1342"/>
      <c r="E8436" s="1342"/>
      <c r="F8436" s="1342"/>
      <c r="G8436" s="1342"/>
      <c r="H8436" s="1342"/>
      <c r="I8436" s="1342"/>
      <c r="J8436" s="1342"/>
      <c r="K8436" s="1342"/>
    </row>
    <row r="8437" spans="2:11" ht="14" hidden="1">
      <c r="B8437" s="1342"/>
      <c r="C8437" s="1342"/>
      <c r="D8437" s="1342"/>
      <c r="E8437" s="1342"/>
      <c r="F8437" s="1342"/>
      <c r="G8437" s="1342"/>
      <c r="H8437" s="1342"/>
      <c r="I8437" s="1342"/>
      <c r="J8437" s="1342"/>
      <c r="K8437" s="1342"/>
    </row>
    <row r="8438" spans="2:11" ht="14" hidden="1">
      <c r="B8438" s="1342"/>
      <c r="C8438" s="1342"/>
      <c r="D8438" s="1342"/>
      <c r="E8438" s="1342"/>
      <c r="F8438" s="1342"/>
      <c r="G8438" s="1342"/>
      <c r="H8438" s="1342"/>
      <c r="I8438" s="1342"/>
      <c r="J8438" s="1342"/>
      <c r="K8438" s="1342"/>
    </row>
    <row r="8439" spans="2:11" ht="14" hidden="1">
      <c r="B8439" s="1342"/>
      <c r="C8439" s="1342"/>
      <c r="D8439" s="1342"/>
      <c r="E8439" s="1342"/>
      <c r="F8439" s="1342"/>
      <c r="G8439" s="1342"/>
      <c r="H8439" s="1342"/>
      <c r="I8439" s="1342"/>
      <c r="J8439" s="1342"/>
      <c r="K8439" s="1342"/>
    </row>
    <row r="8440" spans="2:11" ht="14" hidden="1">
      <c r="B8440" s="1342"/>
      <c r="C8440" s="1342"/>
      <c r="D8440" s="1342"/>
      <c r="E8440" s="1342"/>
      <c r="F8440" s="1342"/>
      <c r="G8440" s="1342"/>
      <c r="H8440" s="1342"/>
      <c r="I8440" s="1342"/>
      <c r="J8440" s="1342"/>
      <c r="K8440" s="1342"/>
    </row>
    <row r="8441" spans="2:11" ht="14" hidden="1">
      <c r="B8441" s="1342"/>
      <c r="C8441" s="1342"/>
      <c r="D8441" s="1342"/>
      <c r="E8441" s="1342"/>
      <c r="F8441" s="1342"/>
      <c r="G8441" s="1342"/>
      <c r="H8441" s="1342"/>
      <c r="I8441" s="1342"/>
      <c r="J8441" s="1342"/>
      <c r="K8441" s="1342"/>
    </row>
    <row r="8442" spans="2:11" ht="14" hidden="1">
      <c r="B8442" s="1342"/>
      <c r="C8442" s="1342"/>
      <c r="D8442" s="1342"/>
      <c r="E8442" s="1342"/>
      <c r="F8442" s="1342"/>
      <c r="G8442" s="1342"/>
      <c r="H8442" s="1342"/>
      <c r="I8442" s="1342"/>
      <c r="J8442" s="1342"/>
      <c r="K8442" s="1342"/>
    </row>
    <row r="8443" spans="2:11" ht="14" hidden="1">
      <c r="B8443" s="1342"/>
      <c r="C8443" s="1342"/>
      <c r="D8443" s="1342"/>
      <c r="E8443" s="1342"/>
      <c r="F8443" s="1342"/>
      <c r="G8443" s="1342"/>
      <c r="H8443" s="1342"/>
      <c r="I8443" s="1342"/>
      <c r="J8443" s="1342"/>
      <c r="K8443" s="1342"/>
    </row>
    <row r="8444" spans="2:11" ht="14" hidden="1">
      <c r="B8444" s="1342"/>
      <c r="C8444" s="1342"/>
      <c r="D8444" s="1342"/>
      <c r="E8444" s="1342"/>
      <c r="F8444" s="1342"/>
      <c r="G8444" s="1342"/>
      <c r="H8444" s="1342"/>
      <c r="I8444" s="1342"/>
      <c r="J8444" s="1342"/>
      <c r="K8444" s="1342"/>
    </row>
    <row r="8445" spans="2:11" ht="14" hidden="1">
      <c r="B8445" s="1342"/>
      <c r="C8445" s="1342"/>
      <c r="D8445" s="1342"/>
      <c r="E8445" s="1342"/>
      <c r="F8445" s="1342"/>
      <c r="G8445" s="1342"/>
      <c r="H8445" s="1342"/>
      <c r="I8445" s="1342"/>
      <c r="J8445" s="1342"/>
      <c r="K8445" s="1342"/>
    </row>
    <row r="8446" spans="2:11" ht="14" hidden="1">
      <c r="B8446" s="1342"/>
      <c r="C8446" s="1342"/>
      <c r="D8446" s="1342"/>
      <c r="E8446" s="1342"/>
      <c r="F8446" s="1342"/>
      <c r="G8446" s="1342"/>
      <c r="H8446" s="1342"/>
      <c r="I8446" s="1342"/>
      <c r="J8446" s="1342"/>
      <c r="K8446" s="1342"/>
    </row>
    <row r="8447" spans="2:11" ht="14" hidden="1">
      <c r="B8447" s="1342"/>
      <c r="C8447" s="1342"/>
      <c r="D8447" s="1342"/>
      <c r="E8447" s="1342"/>
      <c r="F8447" s="1342"/>
      <c r="G8447" s="1342"/>
      <c r="H8447" s="1342"/>
      <c r="I8447" s="1342"/>
      <c r="J8447" s="1342"/>
      <c r="K8447" s="1342"/>
    </row>
    <row r="8448" spans="2:11" ht="14" hidden="1">
      <c r="B8448" s="1342"/>
      <c r="C8448" s="1342"/>
      <c r="D8448" s="1342"/>
      <c r="E8448" s="1342"/>
      <c r="F8448" s="1342"/>
      <c r="G8448" s="1342"/>
      <c r="H8448" s="1342"/>
      <c r="I8448" s="1342"/>
      <c r="J8448" s="1342"/>
      <c r="K8448" s="1342"/>
    </row>
    <row r="8449" spans="2:11" ht="14" hidden="1">
      <c r="B8449" s="1342"/>
      <c r="C8449" s="1342"/>
      <c r="D8449" s="1342"/>
      <c r="E8449" s="1342"/>
      <c r="F8449" s="1342"/>
      <c r="G8449" s="1342"/>
      <c r="H8449" s="1342"/>
      <c r="I8449" s="1342"/>
      <c r="J8449" s="1342"/>
      <c r="K8449" s="1342"/>
    </row>
    <row r="8450" spans="2:11" ht="14" hidden="1">
      <c r="B8450" s="1342"/>
      <c r="C8450" s="1342"/>
      <c r="D8450" s="1342"/>
      <c r="E8450" s="1342"/>
      <c r="F8450" s="1342"/>
      <c r="G8450" s="1342"/>
      <c r="H8450" s="1342"/>
      <c r="I8450" s="1342"/>
      <c r="J8450" s="1342"/>
      <c r="K8450" s="1342"/>
    </row>
    <row r="8451" spans="2:11" ht="14" hidden="1">
      <c r="B8451" s="1342"/>
      <c r="C8451" s="1342"/>
      <c r="D8451" s="1342"/>
      <c r="E8451" s="1342"/>
      <c r="F8451" s="1342"/>
      <c r="G8451" s="1342"/>
      <c r="H8451" s="1342"/>
      <c r="I8451" s="1342"/>
      <c r="J8451" s="1342"/>
      <c r="K8451" s="1342"/>
    </row>
    <row r="8452" spans="2:11" ht="14" hidden="1">
      <c r="B8452" s="1342"/>
      <c r="C8452" s="1342"/>
      <c r="D8452" s="1342"/>
      <c r="E8452" s="1342"/>
      <c r="F8452" s="1342"/>
      <c r="G8452" s="1342"/>
      <c r="H8452" s="1342"/>
      <c r="I8452" s="1342"/>
      <c r="J8452" s="1342"/>
      <c r="K8452" s="1342"/>
    </row>
    <row r="8453" spans="2:11" ht="14" hidden="1">
      <c r="B8453" s="1342"/>
      <c r="C8453" s="1342"/>
      <c r="D8453" s="1342"/>
      <c r="E8453" s="1342"/>
      <c r="F8453" s="1342"/>
      <c r="G8453" s="1342"/>
      <c r="H8453" s="1342"/>
      <c r="I8453" s="1342"/>
      <c r="J8453" s="1342"/>
      <c r="K8453" s="1342"/>
    </row>
    <row r="8454" spans="2:11" ht="14" hidden="1">
      <c r="B8454" s="1342"/>
      <c r="C8454" s="1342"/>
      <c r="D8454" s="1342"/>
      <c r="E8454" s="1342"/>
      <c r="F8454" s="1342"/>
      <c r="G8454" s="1342"/>
      <c r="H8454" s="1342"/>
      <c r="I8454" s="1342"/>
      <c r="J8454" s="1342"/>
      <c r="K8454" s="1342"/>
    </row>
    <row r="8455" spans="2:11" ht="14" hidden="1">
      <c r="B8455" s="1342"/>
      <c r="C8455" s="1342"/>
      <c r="D8455" s="1342"/>
      <c r="E8455" s="1342"/>
      <c r="F8455" s="1342"/>
      <c r="G8455" s="1342"/>
      <c r="H8455" s="1342"/>
      <c r="I8455" s="1342"/>
      <c r="J8455" s="1342"/>
      <c r="K8455" s="1342"/>
    </row>
    <row r="8456" spans="2:11" ht="14" hidden="1">
      <c r="B8456" s="1342"/>
      <c r="C8456" s="1342"/>
      <c r="D8456" s="1342"/>
      <c r="E8456" s="1342"/>
      <c r="F8456" s="1342"/>
      <c r="G8456" s="1342"/>
      <c r="H8456" s="1342"/>
      <c r="I8456" s="1342"/>
      <c r="J8456" s="1342"/>
      <c r="K8456" s="1342"/>
    </row>
    <row r="8457" spans="2:11" ht="14" hidden="1">
      <c r="B8457" s="1342"/>
      <c r="C8457" s="1342"/>
      <c r="D8457" s="1342"/>
      <c r="E8457" s="1342"/>
      <c r="F8457" s="1342"/>
      <c r="G8457" s="1342"/>
      <c r="H8457" s="1342"/>
      <c r="I8457" s="1342"/>
      <c r="J8457" s="1342"/>
      <c r="K8457" s="1342"/>
    </row>
    <row r="8458" spans="2:11" ht="14" hidden="1">
      <c r="B8458" s="1342"/>
      <c r="C8458" s="1342"/>
      <c r="D8458" s="1342"/>
      <c r="E8458" s="1342"/>
      <c r="F8458" s="1342"/>
      <c r="G8458" s="1342"/>
      <c r="H8458" s="1342"/>
      <c r="I8458" s="1342"/>
      <c r="J8458" s="1342"/>
      <c r="K8458" s="1342"/>
    </row>
    <row r="8459" spans="2:11" ht="14" hidden="1">
      <c r="B8459" s="1342"/>
      <c r="C8459" s="1342"/>
      <c r="D8459" s="1342"/>
      <c r="E8459" s="1342"/>
      <c r="F8459" s="1342"/>
      <c r="G8459" s="1342"/>
      <c r="H8459" s="1342"/>
      <c r="I8459" s="1342"/>
      <c r="J8459" s="1342"/>
      <c r="K8459" s="1342"/>
    </row>
    <row r="8460" spans="2:11" ht="14" hidden="1">
      <c r="B8460" s="1342"/>
      <c r="C8460" s="1342"/>
      <c r="D8460" s="1342"/>
      <c r="E8460" s="1342"/>
      <c r="F8460" s="1342"/>
      <c r="G8460" s="1342"/>
      <c r="H8460" s="1342"/>
      <c r="I8460" s="1342"/>
      <c r="J8460" s="1342"/>
      <c r="K8460" s="1342"/>
    </row>
    <row r="8461" spans="2:11" ht="14" hidden="1">
      <c r="B8461" s="1342"/>
      <c r="C8461" s="1342"/>
      <c r="D8461" s="1342"/>
      <c r="E8461" s="1342"/>
      <c r="F8461" s="1342"/>
      <c r="G8461" s="1342"/>
      <c r="H8461" s="1342"/>
      <c r="I8461" s="1342"/>
      <c r="J8461" s="1342"/>
      <c r="K8461" s="1342"/>
    </row>
    <row r="8462" spans="2:11" ht="14" hidden="1">
      <c r="B8462" s="1342"/>
      <c r="C8462" s="1342"/>
      <c r="D8462" s="1342"/>
      <c r="E8462" s="1342"/>
      <c r="F8462" s="1342"/>
      <c r="G8462" s="1342"/>
      <c r="H8462" s="1342"/>
      <c r="I8462" s="1342"/>
      <c r="J8462" s="1342"/>
      <c r="K8462" s="1342"/>
    </row>
    <row r="8463" spans="2:11" ht="14" hidden="1">
      <c r="B8463" s="1342"/>
      <c r="C8463" s="1342"/>
      <c r="D8463" s="1342"/>
      <c r="E8463" s="1342"/>
      <c r="F8463" s="1342"/>
      <c r="G8463" s="1342"/>
      <c r="H8463" s="1342"/>
      <c r="I8463" s="1342"/>
      <c r="J8463" s="1342"/>
      <c r="K8463" s="1342"/>
    </row>
    <row r="8464" spans="2:11" ht="14" hidden="1">
      <c r="B8464" s="1342"/>
      <c r="C8464" s="1342"/>
      <c r="D8464" s="1342"/>
      <c r="E8464" s="1342"/>
      <c r="F8464" s="1342"/>
      <c r="G8464" s="1342"/>
      <c r="H8464" s="1342"/>
      <c r="I8464" s="1342"/>
      <c r="J8464" s="1342"/>
      <c r="K8464" s="1342"/>
    </row>
    <row r="8465" spans="2:11" ht="14" hidden="1">
      <c r="B8465" s="1342"/>
      <c r="C8465" s="1342"/>
      <c r="D8465" s="1342"/>
      <c r="E8465" s="1342"/>
      <c r="F8465" s="1342"/>
      <c r="G8465" s="1342"/>
      <c r="H8465" s="1342"/>
      <c r="I8465" s="1342"/>
      <c r="J8465" s="1342"/>
      <c r="K8465" s="1342"/>
    </row>
    <row r="8466" spans="2:11" ht="14" hidden="1">
      <c r="B8466" s="1342"/>
      <c r="C8466" s="1342"/>
      <c r="D8466" s="1342"/>
      <c r="E8466" s="1342"/>
      <c r="F8466" s="1342"/>
      <c r="G8466" s="1342"/>
      <c r="H8466" s="1342"/>
      <c r="I8466" s="1342"/>
      <c r="J8466" s="1342"/>
      <c r="K8466" s="1342"/>
    </row>
    <row r="8467" spans="2:11" ht="14" hidden="1">
      <c r="B8467" s="1342"/>
      <c r="C8467" s="1342"/>
      <c r="D8467" s="1342"/>
      <c r="E8467" s="1342"/>
      <c r="F8467" s="1342"/>
      <c r="G8467" s="1342"/>
      <c r="H8467" s="1342"/>
      <c r="I8467" s="1342"/>
      <c r="J8467" s="1342"/>
      <c r="K8467" s="1342"/>
    </row>
    <row r="8468" spans="2:11" ht="14" hidden="1">
      <c r="B8468" s="1342"/>
      <c r="C8468" s="1342"/>
      <c r="D8468" s="1342"/>
      <c r="E8468" s="1342"/>
      <c r="F8468" s="1342"/>
      <c r="G8468" s="1342"/>
      <c r="H8468" s="1342"/>
      <c r="I8468" s="1342"/>
      <c r="J8468" s="1342"/>
      <c r="K8468" s="1342"/>
    </row>
    <row r="8469" spans="2:11" ht="14" hidden="1">
      <c r="B8469" s="1342"/>
      <c r="C8469" s="1342"/>
      <c r="D8469" s="1342"/>
      <c r="E8469" s="1342"/>
      <c r="F8469" s="1342"/>
      <c r="G8469" s="1342"/>
      <c r="H8469" s="1342"/>
      <c r="I8469" s="1342"/>
      <c r="J8469" s="1342"/>
      <c r="K8469" s="1342"/>
    </row>
    <row r="8470" spans="2:11" ht="14" hidden="1">
      <c r="B8470" s="1342"/>
      <c r="C8470" s="1342"/>
      <c r="D8470" s="1342"/>
      <c r="E8470" s="1342"/>
      <c r="F8470" s="1342"/>
      <c r="G8470" s="1342"/>
      <c r="H8470" s="1342"/>
      <c r="I8470" s="1342"/>
      <c r="J8470" s="1342"/>
      <c r="K8470" s="1342"/>
    </row>
    <row r="8471" spans="2:11" ht="14" hidden="1">
      <c r="B8471" s="1342"/>
      <c r="C8471" s="1342"/>
      <c r="D8471" s="1342"/>
      <c r="E8471" s="1342"/>
      <c r="F8471" s="1342"/>
      <c r="G8471" s="1342"/>
      <c r="H8471" s="1342"/>
      <c r="I8471" s="1342"/>
      <c r="J8471" s="1342"/>
      <c r="K8471" s="1342"/>
    </row>
    <row r="8472" spans="2:11" ht="14" hidden="1">
      <c r="B8472" s="1342"/>
      <c r="C8472" s="1342"/>
      <c r="D8472" s="1342"/>
      <c r="E8472" s="1342"/>
      <c r="F8472" s="1342"/>
      <c r="G8472" s="1342"/>
      <c r="H8472" s="1342"/>
      <c r="I8472" s="1342"/>
      <c r="J8472" s="1342"/>
      <c r="K8472" s="1342"/>
    </row>
    <row r="8473" spans="2:11" ht="14" hidden="1">
      <c r="B8473" s="1342"/>
      <c r="C8473" s="1342"/>
      <c r="D8473" s="1342"/>
      <c r="E8473" s="1342"/>
      <c r="F8473" s="1342"/>
      <c r="G8473" s="1342"/>
      <c r="H8473" s="1342"/>
      <c r="I8473" s="1342"/>
      <c r="J8473" s="1342"/>
      <c r="K8473" s="1342"/>
    </row>
    <row r="8474" spans="2:11" ht="14" hidden="1">
      <c r="B8474" s="1342"/>
      <c r="C8474" s="1342"/>
      <c r="D8474" s="1342"/>
      <c r="E8474" s="1342"/>
      <c r="F8474" s="1342"/>
      <c r="G8474" s="1342"/>
      <c r="H8474" s="1342"/>
      <c r="I8474" s="1342"/>
      <c r="J8474" s="1342"/>
      <c r="K8474" s="1342"/>
    </row>
    <row r="8475" spans="2:11" ht="14" hidden="1">
      <c r="B8475" s="1342"/>
      <c r="C8475" s="1342"/>
      <c r="D8475" s="1342"/>
      <c r="E8475" s="1342"/>
      <c r="F8475" s="1342"/>
      <c r="G8475" s="1342"/>
      <c r="H8475" s="1342"/>
      <c r="I8475" s="1342"/>
      <c r="J8475" s="1342"/>
      <c r="K8475" s="1342"/>
    </row>
    <row r="8476" spans="2:11" ht="14" hidden="1">
      <c r="B8476" s="1342"/>
      <c r="C8476" s="1342"/>
      <c r="D8476" s="1342"/>
      <c r="E8476" s="1342"/>
      <c r="F8476" s="1342"/>
      <c r="G8476" s="1342"/>
      <c r="H8476" s="1342"/>
      <c r="I8476" s="1342"/>
      <c r="J8476" s="1342"/>
      <c r="K8476" s="1342"/>
    </row>
    <row r="8477" spans="2:11" ht="14" hidden="1">
      <c r="B8477" s="1342"/>
      <c r="C8477" s="1342"/>
      <c r="D8477" s="1342"/>
      <c r="E8477" s="1342"/>
      <c r="F8477" s="1342"/>
      <c r="G8477" s="1342"/>
      <c r="H8477" s="1342"/>
      <c r="I8477" s="1342"/>
      <c r="J8477" s="1342"/>
      <c r="K8477" s="1342"/>
    </row>
    <row r="8478" spans="2:11" ht="14" hidden="1">
      <c r="B8478" s="1342"/>
      <c r="C8478" s="1342"/>
      <c r="D8478" s="1342"/>
      <c r="E8478" s="1342"/>
      <c r="F8478" s="1342"/>
      <c r="G8478" s="1342"/>
      <c r="H8478" s="1342"/>
      <c r="I8478" s="1342"/>
      <c r="J8478" s="1342"/>
      <c r="K8478" s="1342"/>
    </row>
    <row r="8479" spans="2:11" ht="14" hidden="1">
      <c r="B8479" s="1342"/>
      <c r="C8479" s="1342"/>
      <c r="D8479" s="1342"/>
      <c r="E8479" s="1342"/>
      <c r="F8479" s="1342"/>
      <c r="G8479" s="1342"/>
      <c r="H8479" s="1342"/>
      <c r="I8479" s="1342"/>
      <c r="J8479" s="1342"/>
      <c r="K8479" s="1342"/>
    </row>
    <row r="8480" spans="2:11" ht="14" hidden="1">
      <c r="B8480" s="1342"/>
      <c r="C8480" s="1342"/>
      <c r="D8480" s="1342"/>
      <c r="E8480" s="1342"/>
      <c r="F8480" s="1342"/>
      <c r="G8480" s="1342"/>
      <c r="H8480" s="1342"/>
      <c r="I8480" s="1342"/>
      <c r="J8480" s="1342"/>
      <c r="K8480" s="1342"/>
    </row>
    <row r="8481" spans="2:11" ht="14" hidden="1">
      <c r="B8481" s="1342"/>
      <c r="C8481" s="1342"/>
      <c r="D8481" s="1342"/>
      <c r="E8481" s="1342"/>
      <c r="F8481" s="1342"/>
      <c r="G8481" s="1342"/>
      <c r="H8481" s="1342"/>
      <c r="I8481" s="1342"/>
      <c r="J8481" s="1342"/>
      <c r="K8481" s="1342"/>
    </row>
    <row r="8482" spans="2:11" ht="14" hidden="1">
      <c r="B8482" s="1342"/>
      <c r="C8482" s="1342"/>
      <c r="D8482" s="1342"/>
      <c r="E8482" s="1342"/>
      <c r="F8482" s="1342"/>
      <c r="G8482" s="1342"/>
      <c r="H8482" s="1342"/>
      <c r="I8482" s="1342"/>
      <c r="J8482" s="1342"/>
      <c r="K8482" s="1342"/>
    </row>
    <row r="8483" spans="2:11" ht="14" hidden="1">
      <c r="B8483" s="1342"/>
      <c r="C8483" s="1342"/>
      <c r="D8483" s="1342"/>
      <c r="E8483" s="1342"/>
      <c r="F8483" s="1342"/>
      <c r="G8483" s="1342"/>
      <c r="H8483" s="1342"/>
      <c r="I8483" s="1342"/>
      <c r="J8483" s="1342"/>
      <c r="K8483" s="1342"/>
    </row>
    <row r="8484" spans="2:11" ht="14" hidden="1">
      <c r="B8484" s="1342"/>
      <c r="C8484" s="1342"/>
      <c r="D8484" s="1342"/>
      <c r="E8484" s="1342"/>
      <c r="F8484" s="1342"/>
      <c r="G8484" s="1342"/>
      <c r="H8484" s="1342"/>
      <c r="I8484" s="1342"/>
      <c r="J8484" s="1342"/>
      <c r="K8484" s="1342"/>
    </row>
    <row r="8485" spans="2:11" ht="14" hidden="1">
      <c r="B8485" s="1342"/>
      <c r="C8485" s="1342"/>
      <c r="D8485" s="1342"/>
      <c r="E8485" s="1342"/>
      <c r="F8485" s="1342"/>
      <c r="G8485" s="1342"/>
      <c r="H8485" s="1342"/>
      <c r="I8485" s="1342"/>
      <c r="J8485" s="1342"/>
      <c r="K8485" s="1342"/>
    </row>
    <row r="8486" spans="2:11" ht="14" hidden="1">
      <c r="B8486" s="1342"/>
      <c r="C8486" s="1342"/>
      <c r="D8486" s="1342"/>
      <c r="E8486" s="1342"/>
      <c r="F8486" s="1342"/>
      <c r="G8486" s="1342"/>
      <c r="H8486" s="1342"/>
      <c r="I8486" s="1342"/>
      <c r="J8486" s="1342"/>
      <c r="K8486" s="1342"/>
    </row>
    <row r="8487" spans="2:11" ht="14" hidden="1">
      <c r="B8487" s="1342"/>
      <c r="C8487" s="1342"/>
      <c r="D8487" s="1342"/>
      <c r="E8487" s="1342"/>
      <c r="F8487" s="1342"/>
      <c r="G8487" s="1342"/>
      <c r="H8487" s="1342"/>
      <c r="I8487" s="1342"/>
      <c r="J8487" s="1342"/>
      <c r="K8487" s="1342"/>
    </row>
    <row r="8488" spans="2:11" ht="14" hidden="1">
      <c r="B8488" s="1342"/>
      <c r="C8488" s="1342"/>
      <c r="D8488" s="1342"/>
      <c r="E8488" s="1342"/>
      <c r="F8488" s="1342"/>
      <c r="G8488" s="1342"/>
      <c r="H8488" s="1342"/>
      <c r="I8488" s="1342"/>
      <c r="J8488" s="1342"/>
      <c r="K8488" s="1342"/>
    </row>
    <row r="8489" spans="2:11" ht="14" hidden="1">
      <c r="B8489" s="1342"/>
      <c r="C8489" s="1342"/>
      <c r="D8489" s="1342"/>
      <c r="E8489" s="1342"/>
      <c r="F8489" s="1342"/>
      <c r="G8489" s="1342"/>
      <c r="H8489" s="1342"/>
      <c r="I8489" s="1342"/>
      <c r="J8489" s="1342"/>
      <c r="K8489" s="1342"/>
    </row>
    <row r="8490" spans="2:11" ht="14" hidden="1">
      <c r="B8490" s="1342"/>
      <c r="C8490" s="1342"/>
      <c r="D8490" s="1342"/>
      <c r="E8490" s="1342"/>
      <c r="F8490" s="1342"/>
      <c r="G8490" s="1342"/>
      <c r="H8490" s="1342"/>
      <c r="I8490" s="1342"/>
      <c r="J8490" s="1342"/>
      <c r="K8490" s="1342"/>
    </row>
    <row r="8491" spans="2:11" ht="14" hidden="1">
      <c r="B8491" s="1342"/>
      <c r="C8491" s="1342"/>
      <c r="D8491" s="1342"/>
      <c r="E8491" s="1342"/>
      <c r="F8491" s="1342"/>
      <c r="G8491" s="1342"/>
      <c r="H8491" s="1342"/>
      <c r="I8491" s="1342"/>
      <c r="J8491" s="1342"/>
      <c r="K8491" s="1342"/>
    </row>
    <row r="8492" spans="2:11" ht="14" hidden="1">
      <c r="B8492" s="1342"/>
      <c r="C8492" s="1342"/>
      <c r="D8492" s="1342"/>
      <c r="E8492" s="1342"/>
      <c r="F8492" s="1342"/>
      <c r="G8492" s="1342"/>
      <c r="H8492" s="1342"/>
      <c r="I8492" s="1342"/>
      <c r="J8492" s="1342"/>
      <c r="K8492" s="1342"/>
    </row>
    <row r="8493" spans="2:11" ht="14" hidden="1">
      <c r="B8493" s="1342"/>
      <c r="C8493" s="1342"/>
      <c r="D8493" s="1342"/>
      <c r="E8493" s="1342"/>
      <c r="F8493" s="1342"/>
      <c r="G8493" s="1342"/>
      <c r="H8493" s="1342"/>
      <c r="I8493" s="1342"/>
      <c r="J8493" s="1342"/>
      <c r="K8493" s="1342"/>
    </row>
    <row r="8494" spans="2:11" ht="14" hidden="1">
      <c r="B8494" s="1342"/>
      <c r="C8494" s="1342"/>
      <c r="D8494" s="1342"/>
      <c r="E8494" s="1342"/>
      <c r="F8494" s="1342"/>
      <c r="G8494" s="1342"/>
      <c r="H8494" s="1342"/>
      <c r="I8494" s="1342"/>
      <c r="J8494" s="1342"/>
      <c r="K8494" s="1342"/>
    </row>
    <row r="8495" spans="2:11" ht="14" hidden="1">
      <c r="B8495" s="1342"/>
      <c r="C8495" s="1342"/>
      <c r="D8495" s="1342"/>
      <c r="E8495" s="1342"/>
      <c r="F8495" s="1342"/>
      <c r="G8495" s="1342"/>
      <c r="H8495" s="1342"/>
      <c r="I8495" s="1342"/>
      <c r="J8495" s="1342"/>
      <c r="K8495" s="1342"/>
    </row>
    <row r="8496" spans="2:11" ht="14" hidden="1">
      <c r="B8496" s="1342"/>
      <c r="C8496" s="1342"/>
      <c r="D8496" s="1342"/>
      <c r="E8496" s="1342"/>
      <c r="F8496" s="1342"/>
      <c r="G8496" s="1342"/>
      <c r="H8496" s="1342"/>
      <c r="I8496" s="1342"/>
      <c r="J8496" s="1342"/>
      <c r="K8496" s="1342"/>
    </row>
    <row r="8497" spans="2:11" ht="14" hidden="1">
      <c r="B8497" s="1342"/>
      <c r="C8497" s="1342"/>
      <c r="D8497" s="1342"/>
      <c r="E8497" s="1342"/>
      <c r="F8497" s="1342"/>
      <c r="G8497" s="1342"/>
      <c r="H8497" s="1342"/>
      <c r="I8497" s="1342"/>
      <c r="J8497" s="1342"/>
      <c r="K8497" s="1342"/>
    </row>
    <row r="8498" spans="2:11" ht="14" hidden="1">
      <c r="B8498" s="1342"/>
      <c r="C8498" s="1342"/>
      <c r="D8498" s="1342"/>
      <c r="E8498" s="1342"/>
      <c r="F8498" s="1342"/>
      <c r="G8498" s="1342"/>
      <c r="H8498" s="1342"/>
      <c r="I8498" s="1342"/>
      <c r="J8498" s="1342"/>
      <c r="K8498" s="1342"/>
    </row>
    <row r="8499" spans="2:11" ht="14" hidden="1">
      <c r="B8499" s="1342"/>
      <c r="C8499" s="1342"/>
      <c r="D8499" s="1342"/>
      <c r="E8499" s="1342"/>
      <c r="F8499" s="1342"/>
      <c r="G8499" s="1342"/>
      <c r="H8499" s="1342"/>
      <c r="I8499" s="1342"/>
      <c r="J8499" s="1342"/>
      <c r="K8499" s="1342"/>
    </row>
    <row r="8500" spans="2:11" ht="14" hidden="1">
      <c r="B8500" s="1342"/>
      <c r="C8500" s="1342"/>
      <c r="D8500" s="1342"/>
      <c r="E8500" s="1342"/>
      <c r="F8500" s="1342"/>
      <c r="G8500" s="1342"/>
      <c r="H8500" s="1342"/>
      <c r="I8500" s="1342"/>
      <c r="J8500" s="1342"/>
      <c r="K8500" s="1342"/>
    </row>
    <row r="8501" spans="2:11" ht="14" hidden="1">
      <c r="B8501" s="1342"/>
      <c r="C8501" s="1342"/>
      <c r="D8501" s="1342"/>
      <c r="E8501" s="1342"/>
      <c r="F8501" s="1342"/>
      <c r="G8501" s="1342"/>
      <c r="H8501" s="1342"/>
      <c r="I8501" s="1342"/>
      <c r="J8501" s="1342"/>
      <c r="K8501" s="1342"/>
    </row>
    <row r="8502" spans="2:11" ht="14" hidden="1">
      <c r="B8502" s="1342"/>
      <c r="C8502" s="1342"/>
      <c r="D8502" s="1342"/>
      <c r="E8502" s="1342"/>
      <c r="F8502" s="1342"/>
      <c r="G8502" s="1342"/>
      <c r="H8502" s="1342"/>
      <c r="I8502" s="1342"/>
      <c r="J8502" s="1342"/>
      <c r="K8502" s="1342"/>
    </row>
    <row r="8503" spans="2:11" ht="14" hidden="1">
      <c r="B8503" s="1342"/>
      <c r="C8503" s="1342"/>
      <c r="D8503" s="1342"/>
      <c r="E8503" s="1342"/>
      <c r="F8503" s="1342"/>
      <c r="G8503" s="1342"/>
      <c r="H8503" s="1342"/>
      <c r="I8503" s="1342"/>
      <c r="J8503" s="1342"/>
      <c r="K8503" s="1342"/>
    </row>
    <row r="8504" spans="2:11" ht="14" hidden="1">
      <c r="B8504" s="1342"/>
      <c r="C8504" s="1342"/>
      <c r="D8504" s="1342"/>
      <c r="E8504" s="1342"/>
      <c r="F8504" s="1342"/>
      <c r="G8504" s="1342"/>
      <c r="H8504" s="1342"/>
      <c r="I8504" s="1342"/>
      <c r="J8504" s="1342"/>
      <c r="K8504" s="1342"/>
    </row>
    <row r="8505" spans="2:11" ht="14" hidden="1">
      <c r="B8505" s="1342"/>
      <c r="C8505" s="1342"/>
      <c r="D8505" s="1342"/>
      <c r="E8505" s="1342"/>
      <c r="F8505" s="1342"/>
      <c r="G8505" s="1342"/>
      <c r="H8505" s="1342"/>
      <c r="I8505" s="1342"/>
      <c r="J8505" s="1342"/>
      <c r="K8505" s="1342"/>
    </row>
    <row r="8506" spans="2:11" ht="14" hidden="1">
      <c r="B8506" s="1342"/>
      <c r="C8506" s="1342"/>
      <c r="D8506" s="1342"/>
      <c r="E8506" s="1342"/>
      <c r="F8506" s="1342"/>
      <c r="G8506" s="1342"/>
      <c r="H8506" s="1342"/>
      <c r="I8506" s="1342"/>
      <c r="J8506" s="1342"/>
      <c r="K8506" s="1342"/>
    </row>
    <row r="8507" spans="2:11" ht="14" hidden="1">
      <c r="B8507" s="1342"/>
      <c r="C8507" s="1342"/>
      <c r="D8507" s="1342"/>
      <c r="E8507" s="1342"/>
      <c r="F8507" s="1342"/>
      <c r="G8507" s="1342"/>
      <c r="H8507" s="1342"/>
      <c r="I8507" s="1342"/>
      <c r="J8507" s="1342"/>
      <c r="K8507" s="1342"/>
    </row>
    <row r="8508" spans="2:11" ht="14" hidden="1">
      <c r="B8508" s="1342"/>
      <c r="C8508" s="1342"/>
      <c r="D8508" s="1342"/>
      <c r="E8508" s="1342"/>
      <c r="F8508" s="1342"/>
      <c r="G8508" s="1342"/>
      <c r="H8508" s="1342"/>
      <c r="I8508" s="1342"/>
      <c r="J8508" s="1342"/>
      <c r="K8508" s="1342"/>
    </row>
    <row r="8509" spans="2:11" ht="14" hidden="1">
      <c r="B8509" s="1342"/>
      <c r="C8509" s="1342"/>
      <c r="D8509" s="1342"/>
      <c r="E8509" s="1342"/>
      <c r="F8509" s="1342"/>
      <c r="G8509" s="1342"/>
      <c r="H8509" s="1342"/>
      <c r="I8509" s="1342"/>
      <c r="J8509" s="1342"/>
      <c r="K8509" s="1342"/>
    </row>
    <row r="8510" spans="2:11" ht="14" hidden="1">
      <c r="B8510" s="1342"/>
      <c r="C8510" s="1342"/>
      <c r="D8510" s="1342"/>
      <c r="E8510" s="1342"/>
      <c r="F8510" s="1342"/>
      <c r="G8510" s="1342"/>
      <c r="H8510" s="1342"/>
      <c r="I8510" s="1342"/>
      <c r="J8510" s="1342"/>
      <c r="K8510" s="1342"/>
    </row>
    <row r="8511" spans="2:11" ht="14" hidden="1">
      <c r="B8511" s="1342"/>
      <c r="C8511" s="1342"/>
      <c r="D8511" s="1342"/>
      <c r="E8511" s="1342"/>
      <c r="F8511" s="1342"/>
      <c r="G8511" s="1342"/>
      <c r="H8511" s="1342"/>
      <c r="I8511" s="1342"/>
      <c r="J8511" s="1342"/>
      <c r="K8511" s="1342"/>
    </row>
    <row r="8512" spans="2:11" ht="14" hidden="1">
      <c r="B8512" s="1342"/>
      <c r="C8512" s="1342"/>
      <c r="D8512" s="1342"/>
      <c r="E8512" s="1342"/>
      <c r="F8512" s="1342"/>
      <c r="G8512" s="1342"/>
      <c r="H8512" s="1342"/>
      <c r="I8512" s="1342"/>
      <c r="J8512" s="1342"/>
      <c r="K8512" s="1342"/>
    </row>
    <row r="8513" spans="2:11" ht="14" hidden="1">
      <c r="B8513" s="1342"/>
      <c r="C8513" s="1342"/>
      <c r="D8513" s="1342"/>
      <c r="E8513" s="1342"/>
      <c r="F8513" s="1342"/>
      <c r="G8513" s="1342"/>
      <c r="H8513" s="1342"/>
      <c r="I8513" s="1342"/>
      <c r="J8513" s="1342"/>
      <c r="K8513" s="1342"/>
    </row>
    <row r="8514" spans="2:11" ht="14" hidden="1">
      <c r="B8514" s="1342"/>
      <c r="C8514" s="1342"/>
      <c r="D8514" s="1342"/>
      <c r="E8514" s="1342"/>
      <c r="F8514" s="1342"/>
      <c r="G8514" s="1342"/>
      <c r="H8514" s="1342"/>
      <c r="I8514" s="1342"/>
      <c r="J8514" s="1342"/>
      <c r="K8514" s="1342"/>
    </row>
    <row r="8515" spans="2:11" ht="14" hidden="1">
      <c r="B8515" s="1342"/>
      <c r="C8515" s="1342"/>
      <c r="D8515" s="1342"/>
      <c r="E8515" s="1342"/>
      <c r="F8515" s="1342"/>
      <c r="G8515" s="1342"/>
      <c r="H8515" s="1342"/>
      <c r="I8515" s="1342"/>
      <c r="J8515" s="1342"/>
      <c r="K8515" s="1342"/>
    </row>
    <row r="8516" spans="2:11" ht="14" hidden="1">
      <c r="B8516" s="1342"/>
      <c r="C8516" s="1342"/>
      <c r="D8516" s="1342"/>
      <c r="E8516" s="1342"/>
      <c r="F8516" s="1342"/>
      <c r="G8516" s="1342"/>
      <c r="H8516" s="1342"/>
      <c r="I8516" s="1342"/>
      <c r="J8516" s="1342"/>
      <c r="K8516" s="1342"/>
    </row>
    <row r="8517" spans="2:11" ht="14" hidden="1">
      <c r="B8517" s="1342"/>
      <c r="C8517" s="1342"/>
      <c r="D8517" s="1342"/>
      <c r="E8517" s="1342"/>
      <c r="F8517" s="1342"/>
      <c r="G8517" s="1342"/>
      <c r="H8517" s="1342"/>
      <c r="I8517" s="1342"/>
      <c r="J8517" s="1342"/>
      <c r="K8517" s="1342"/>
    </row>
    <row r="8518" spans="2:11" ht="14" hidden="1">
      <c r="B8518" s="1342"/>
      <c r="C8518" s="1342"/>
      <c r="D8518" s="1342"/>
      <c r="E8518" s="1342"/>
      <c r="F8518" s="1342"/>
      <c r="G8518" s="1342"/>
      <c r="H8518" s="1342"/>
      <c r="I8518" s="1342"/>
      <c r="J8518" s="1342"/>
      <c r="K8518" s="1342"/>
    </row>
    <row r="8519" spans="2:11" ht="14" hidden="1">
      <c r="B8519" s="1342"/>
      <c r="C8519" s="1342"/>
      <c r="D8519" s="1342"/>
      <c r="E8519" s="1342"/>
      <c r="F8519" s="1342"/>
      <c r="G8519" s="1342"/>
      <c r="H8519" s="1342"/>
      <c r="I8519" s="1342"/>
      <c r="J8519" s="1342"/>
      <c r="K8519" s="1342"/>
    </row>
    <row r="8520" spans="2:11" ht="14" hidden="1">
      <c r="B8520" s="1342"/>
      <c r="C8520" s="1342"/>
      <c r="D8520" s="1342"/>
      <c r="E8520" s="1342"/>
      <c r="F8520" s="1342"/>
      <c r="G8520" s="1342"/>
      <c r="H8520" s="1342"/>
      <c r="I8520" s="1342"/>
      <c r="J8520" s="1342"/>
      <c r="K8520" s="1342"/>
    </row>
    <row r="8521" spans="2:11" ht="14" hidden="1">
      <c r="B8521" s="1342"/>
      <c r="C8521" s="1342"/>
      <c r="D8521" s="1342"/>
      <c r="E8521" s="1342"/>
      <c r="F8521" s="1342"/>
      <c r="G8521" s="1342"/>
      <c r="H8521" s="1342"/>
      <c r="I8521" s="1342"/>
      <c r="J8521" s="1342"/>
      <c r="K8521" s="1342"/>
    </row>
    <row r="8522" spans="2:11" ht="14" hidden="1">
      <c r="B8522" s="1342"/>
      <c r="C8522" s="1342"/>
      <c r="D8522" s="1342"/>
      <c r="E8522" s="1342"/>
      <c r="F8522" s="1342"/>
      <c r="G8522" s="1342"/>
      <c r="H8522" s="1342"/>
      <c r="I8522" s="1342"/>
      <c r="J8522" s="1342"/>
      <c r="K8522" s="1342"/>
    </row>
    <row r="8523" spans="2:11" ht="14" hidden="1">
      <c r="B8523" s="1342"/>
      <c r="C8523" s="1342"/>
      <c r="D8523" s="1342"/>
      <c r="E8523" s="1342"/>
      <c r="F8523" s="1342"/>
      <c r="G8523" s="1342"/>
      <c r="H8523" s="1342"/>
      <c r="I8523" s="1342"/>
      <c r="J8523" s="1342"/>
      <c r="K8523" s="1342"/>
    </row>
    <row r="8524" spans="2:11" ht="14" hidden="1">
      <c r="B8524" s="1342"/>
      <c r="C8524" s="1342"/>
      <c r="D8524" s="1342"/>
      <c r="E8524" s="1342"/>
      <c r="F8524" s="1342"/>
      <c r="G8524" s="1342"/>
      <c r="H8524" s="1342"/>
      <c r="I8524" s="1342"/>
      <c r="J8524" s="1342"/>
      <c r="K8524" s="1342"/>
    </row>
    <row r="8525" spans="2:11" ht="14" hidden="1">
      <c r="B8525" s="1342"/>
      <c r="C8525" s="1342"/>
      <c r="D8525" s="1342"/>
      <c r="E8525" s="1342"/>
      <c r="F8525" s="1342"/>
      <c r="G8525" s="1342"/>
      <c r="H8525" s="1342"/>
      <c r="I8525" s="1342"/>
      <c r="J8525" s="1342"/>
      <c r="K8525" s="1342"/>
    </row>
    <row r="8526" spans="2:11" ht="14" hidden="1">
      <c r="B8526" s="1342"/>
      <c r="C8526" s="1342"/>
      <c r="D8526" s="1342"/>
      <c r="E8526" s="1342"/>
      <c r="F8526" s="1342"/>
      <c r="G8526" s="1342"/>
      <c r="H8526" s="1342"/>
      <c r="I8526" s="1342"/>
      <c r="J8526" s="1342"/>
      <c r="K8526" s="1342"/>
    </row>
    <row r="8527" spans="2:11" ht="14" hidden="1">
      <c r="B8527" s="1342"/>
      <c r="C8527" s="1342"/>
      <c r="D8527" s="1342"/>
      <c r="E8527" s="1342"/>
      <c r="F8527" s="1342"/>
      <c r="G8527" s="1342"/>
      <c r="H8527" s="1342"/>
      <c r="I8527" s="1342"/>
      <c r="J8527" s="1342"/>
      <c r="K8527" s="1342"/>
    </row>
    <row r="8528" spans="2:11" ht="14" hidden="1">
      <c r="B8528" s="1342"/>
      <c r="C8528" s="1342"/>
      <c r="D8528" s="1342"/>
      <c r="E8528" s="1342"/>
      <c r="F8528" s="1342"/>
      <c r="G8528" s="1342"/>
      <c r="H8528" s="1342"/>
      <c r="I8528" s="1342"/>
      <c r="J8528" s="1342"/>
      <c r="K8528" s="1342"/>
    </row>
    <row r="8529" spans="2:11" ht="14" hidden="1">
      <c r="B8529" s="1342"/>
      <c r="C8529" s="1342"/>
      <c r="D8529" s="1342"/>
      <c r="E8529" s="1342"/>
      <c r="F8529" s="1342"/>
      <c r="G8529" s="1342"/>
      <c r="H8529" s="1342"/>
      <c r="I8529" s="1342"/>
      <c r="J8529" s="1342"/>
      <c r="K8529" s="1342"/>
    </row>
    <row r="8530" spans="2:11" ht="14" hidden="1">
      <c r="B8530" s="1342"/>
      <c r="C8530" s="1342"/>
      <c r="D8530" s="1342"/>
      <c r="E8530" s="1342"/>
      <c r="F8530" s="1342"/>
      <c r="G8530" s="1342"/>
      <c r="H8530" s="1342"/>
      <c r="I8530" s="1342"/>
      <c r="J8530" s="1342"/>
      <c r="K8530" s="1342"/>
    </row>
    <row r="8531" spans="2:11" ht="14" hidden="1">
      <c r="B8531" s="1342"/>
      <c r="C8531" s="1342"/>
      <c r="D8531" s="1342"/>
      <c r="E8531" s="1342"/>
      <c r="F8531" s="1342"/>
      <c r="G8531" s="1342"/>
      <c r="H8531" s="1342"/>
      <c r="I8531" s="1342"/>
      <c r="J8531" s="1342"/>
      <c r="K8531" s="1342"/>
    </row>
    <row r="8532" spans="2:11" ht="14" hidden="1">
      <c r="B8532" s="1342"/>
      <c r="C8532" s="1342"/>
      <c r="D8532" s="1342"/>
      <c r="E8532" s="1342"/>
      <c r="F8532" s="1342"/>
      <c r="G8532" s="1342"/>
      <c r="H8532" s="1342"/>
      <c r="I8532" s="1342"/>
      <c r="J8532" s="1342"/>
      <c r="K8532" s="1342"/>
    </row>
    <row r="8533" spans="2:11" ht="14" hidden="1">
      <c r="B8533" s="1342"/>
      <c r="C8533" s="1342"/>
      <c r="D8533" s="1342"/>
      <c r="E8533" s="1342"/>
      <c r="F8533" s="1342"/>
      <c r="G8533" s="1342"/>
      <c r="H8533" s="1342"/>
      <c r="I8533" s="1342"/>
      <c r="J8533" s="1342"/>
      <c r="K8533" s="1342"/>
    </row>
    <row r="8534" spans="2:11" ht="14" hidden="1">
      <c r="B8534" s="1342"/>
      <c r="C8534" s="1342"/>
      <c r="D8534" s="1342"/>
      <c r="E8534" s="1342"/>
      <c r="F8534" s="1342"/>
      <c r="G8534" s="1342"/>
      <c r="H8534" s="1342"/>
      <c r="I8534" s="1342"/>
      <c r="J8534" s="1342"/>
      <c r="K8534" s="1342"/>
    </row>
    <row r="8535" spans="2:11" ht="14" hidden="1">
      <c r="B8535" s="1342"/>
      <c r="C8535" s="1342"/>
      <c r="D8535" s="1342"/>
      <c r="E8535" s="1342"/>
      <c r="F8535" s="1342"/>
      <c r="G8535" s="1342"/>
      <c r="H8535" s="1342"/>
      <c r="I8535" s="1342"/>
      <c r="J8535" s="1342"/>
      <c r="K8535" s="1342"/>
    </row>
    <row r="8536" spans="2:11" ht="14" hidden="1">
      <c r="B8536" s="1342"/>
      <c r="C8536" s="1342"/>
      <c r="D8536" s="1342"/>
      <c r="E8536" s="1342"/>
      <c r="F8536" s="1342"/>
      <c r="G8536" s="1342"/>
      <c r="H8536" s="1342"/>
      <c r="I8536" s="1342"/>
      <c r="J8536" s="1342"/>
      <c r="K8536" s="1342"/>
    </row>
    <row r="8537" spans="2:11" ht="14" hidden="1">
      <c r="B8537" s="1342"/>
      <c r="C8537" s="1342"/>
      <c r="D8537" s="1342"/>
      <c r="E8537" s="1342"/>
      <c r="F8537" s="1342"/>
      <c r="G8537" s="1342"/>
      <c r="H8537" s="1342"/>
      <c r="I8537" s="1342"/>
      <c r="J8537" s="1342"/>
      <c r="K8537" s="1342"/>
    </row>
    <row r="8538" spans="2:11" ht="14" hidden="1">
      <c r="B8538" s="1342"/>
      <c r="C8538" s="1342"/>
      <c r="D8538" s="1342"/>
      <c r="E8538" s="1342"/>
      <c r="F8538" s="1342"/>
      <c r="G8538" s="1342"/>
      <c r="H8538" s="1342"/>
      <c r="I8538" s="1342"/>
      <c r="J8538" s="1342"/>
      <c r="K8538" s="1342"/>
    </row>
    <row r="8539" spans="2:11" ht="14" hidden="1">
      <c r="B8539" s="1342"/>
      <c r="C8539" s="1342"/>
      <c r="D8539" s="1342"/>
      <c r="E8539" s="1342"/>
      <c r="F8539" s="1342"/>
      <c r="G8539" s="1342"/>
      <c r="H8539" s="1342"/>
      <c r="I8539" s="1342"/>
      <c r="J8539" s="1342"/>
      <c r="K8539" s="1342"/>
    </row>
    <row r="8540" spans="2:11" ht="14" hidden="1">
      <c r="B8540" s="1342"/>
      <c r="C8540" s="1342"/>
      <c r="D8540" s="1342"/>
      <c r="E8540" s="1342"/>
      <c r="F8540" s="1342"/>
      <c r="G8540" s="1342"/>
      <c r="H8540" s="1342"/>
      <c r="I8540" s="1342"/>
      <c r="J8540" s="1342"/>
      <c r="K8540" s="1342"/>
    </row>
    <row r="8541" spans="2:11" ht="14" hidden="1">
      <c r="B8541" s="1342"/>
      <c r="C8541" s="1342"/>
      <c r="D8541" s="1342"/>
      <c r="E8541" s="1342"/>
      <c r="F8541" s="1342"/>
      <c r="G8541" s="1342"/>
      <c r="H8541" s="1342"/>
      <c r="I8541" s="1342"/>
      <c r="J8541" s="1342"/>
      <c r="K8541" s="1342"/>
    </row>
    <row r="8542" spans="2:11" ht="14" hidden="1">
      <c r="B8542" s="1342"/>
      <c r="C8542" s="1342"/>
      <c r="D8542" s="1342"/>
      <c r="E8542" s="1342"/>
      <c r="F8542" s="1342"/>
      <c r="G8542" s="1342"/>
      <c r="H8542" s="1342"/>
      <c r="I8542" s="1342"/>
      <c r="J8542" s="1342"/>
      <c r="K8542" s="1342"/>
    </row>
    <row r="8543" spans="2:11" ht="14" hidden="1">
      <c r="B8543" s="1342"/>
      <c r="C8543" s="1342"/>
      <c r="D8543" s="1342"/>
      <c r="E8543" s="1342"/>
      <c r="F8543" s="1342"/>
      <c r="G8543" s="1342"/>
      <c r="H8543" s="1342"/>
      <c r="I8543" s="1342"/>
      <c r="J8543" s="1342"/>
      <c r="K8543" s="1342"/>
    </row>
    <row r="8544" spans="2:11" ht="14" hidden="1">
      <c r="B8544" s="1342"/>
      <c r="C8544" s="1342"/>
      <c r="D8544" s="1342"/>
      <c r="E8544" s="1342"/>
      <c r="F8544" s="1342"/>
      <c r="G8544" s="1342"/>
      <c r="H8544" s="1342"/>
      <c r="I8544" s="1342"/>
      <c r="J8544" s="1342"/>
      <c r="K8544" s="1342"/>
    </row>
    <row r="8545" spans="2:11" ht="14" hidden="1">
      <c r="B8545" s="1342"/>
      <c r="C8545" s="1342"/>
      <c r="D8545" s="1342"/>
      <c r="E8545" s="1342"/>
      <c r="F8545" s="1342"/>
      <c r="G8545" s="1342"/>
      <c r="H8545" s="1342"/>
      <c r="I8545" s="1342"/>
      <c r="J8545" s="1342"/>
      <c r="K8545" s="1342"/>
    </row>
    <row r="8546" spans="2:11" ht="14" hidden="1">
      <c r="B8546" s="1342"/>
      <c r="C8546" s="1342"/>
      <c r="D8546" s="1342"/>
      <c r="E8546" s="1342"/>
      <c r="F8546" s="1342"/>
      <c r="G8546" s="1342"/>
      <c r="H8546" s="1342"/>
      <c r="I8546" s="1342"/>
      <c r="J8546" s="1342"/>
      <c r="K8546" s="1342"/>
    </row>
    <row r="8547" spans="2:11" ht="14" hidden="1">
      <c r="B8547" s="1342"/>
      <c r="C8547" s="1342"/>
      <c r="D8547" s="1342"/>
      <c r="E8547" s="1342"/>
      <c r="F8547" s="1342"/>
      <c r="G8547" s="1342"/>
      <c r="H8547" s="1342"/>
      <c r="I8547" s="1342"/>
      <c r="J8547" s="1342"/>
      <c r="K8547" s="1342"/>
    </row>
    <row r="8548" spans="2:11" ht="14" hidden="1">
      <c r="B8548" s="1342"/>
      <c r="C8548" s="1342"/>
      <c r="D8548" s="1342"/>
      <c r="E8548" s="1342"/>
      <c r="F8548" s="1342"/>
      <c r="G8548" s="1342"/>
      <c r="H8548" s="1342"/>
      <c r="I8548" s="1342"/>
      <c r="J8548" s="1342"/>
      <c r="K8548" s="1342"/>
    </row>
    <row r="8549" spans="2:11" ht="14" hidden="1">
      <c r="B8549" s="1342"/>
      <c r="C8549" s="1342"/>
      <c r="D8549" s="1342"/>
      <c r="E8549" s="1342"/>
      <c r="F8549" s="1342"/>
      <c r="G8549" s="1342"/>
      <c r="H8549" s="1342"/>
      <c r="I8549" s="1342"/>
      <c r="J8549" s="1342"/>
      <c r="K8549" s="1342"/>
    </row>
    <row r="8550" spans="2:11" ht="14" hidden="1">
      <c r="B8550" s="1342"/>
      <c r="C8550" s="1342"/>
      <c r="D8550" s="1342"/>
      <c r="E8550" s="1342"/>
      <c r="F8550" s="1342"/>
      <c r="G8550" s="1342"/>
      <c r="H8550" s="1342"/>
      <c r="I8550" s="1342"/>
      <c r="J8550" s="1342"/>
      <c r="K8550" s="1342"/>
    </row>
    <row r="8551" spans="2:11" ht="14" hidden="1">
      <c r="B8551" s="1342"/>
      <c r="C8551" s="1342"/>
      <c r="D8551" s="1342"/>
      <c r="E8551" s="1342"/>
      <c r="F8551" s="1342"/>
      <c r="G8551" s="1342"/>
      <c r="H8551" s="1342"/>
      <c r="I8551" s="1342"/>
      <c r="J8551" s="1342"/>
      <c r="K8551" s="1342"/>
    </row>
    <row r="8552" spans="2:11" ht="14" hidden="1">
      <c r="B8552" s="1342"/>
      <c r="C8552" s="1342"/>
      <c r="D8552" s="1342"/>
      <c r="E8552" s="1342"/>
      <c r="F8552" s="1342"/>
      <c r="G8552" s="1342"/>
      <c r="H8552" s="1342"/>
      <c r="I8552" s="1342"/>
      <c r="J8552" s="1342"/>
      <c r="K8552" s="1342"/>
    </row>
    <row r="8553" spans="2:11" ht="14" hidden="1">
      <c r="B8553" s="1342"/>
      <c r="C8553" s="1342"/>
      <c r="D8553" s="1342"/>
      <c r="E8553" s="1342"/>
      <c r="F8553" s="1342"/>
      <c r="G8553" s="1342"/>
      <c r="H8553" s="1342"/>
      <c r="I8553" s="1342"/>
      <c r="J8553" s="1342"/>
      <c r="K8553" s="1342"/>
    </row>
    <row r="8554" spans="2:11" ht="14" hidden="1">
      <c r="B8554" s="1342"/>
      <c r="C8554" s="1342"/>
      <c r="D8554" s="1342"/>
      <c r="E8554" s="1342"/>
      <c r="F8554" s="1342"/>
      <c r="G8554" s="1342"/>
      <c r="H8554" s="1342"/>
      <c r="I8554" s="1342"/>
      <c r="J8554" s="1342"/>
      <c r="K8554" s="1342"/>
    </row>
    <row r="8555" spans="2:11" ht="14" hidden="1">
      <c r="B8555" s="1342"/>
      <c r="C8555" s="1342"/>
      <c r="D8555" s="1342"/>
      <c r="E8555" s="1342"/>
      <c r="F8555" s="1342"/>
      <c r="G8555" s="1342"/>
      <c r="H8555" s="1342"/>
      <c r="I8555" s="1342"/>
      <c r="J8555" s="1342"/>
      <c r="K8555" s="1342"/>
    </row>
    <row r="8556" spans="2:11" ht="14" hidden="1">
      <c r="B8556" s="1342"/>
      <c r="C8556" s="1342"/>
      <c r="D8556" s="1342"/>
      <c r="E8556" s="1342"/>
      <c r="F8556" s="1342"/>
      <c r="G8556" s="1342"/>
      <c r="H8556" s="1342"/>
      <c r="I8556" s="1342"/>
      <c r="J8556" s="1342"/>
      <c r="K8556" s="1342"/>
    </row>
    <row r="8557" spans="2:11" ht="14" hidden="1">
      <c r="B8557" s="1342"/>
      <c r="C8557" s="1342"/>
      <c r="D8557" s="1342"/>
      <c r="E8557" s="1342"/>
      <c r="F8557" s="1342"/>
      <c r="G8557" s="1342"/>
      <c r="H8557" s="1342"/>
      <c r="I8557" s="1342"/>
      <c r="J8557" s="1342"/>
      <c r="K8557" s="1342"/>
    </row>
    <row r="8558" spans="2:11" ht="14" hidden="1">
      <c r="B8558" s="1342"/>
      <c r="C8558" s="1342"/>
      <c r="D8558" s="1342"/>
      <c r="E8558" s="1342"/>
      <c r="F8558" s="1342"/>
      <c r="G8558" s="1342"/>
      <c r="H8558" s="1342"/>
      <c r="I8558" s="1342"/>
      <c r="J8558" s="1342"/>
      <c r="K8558" s="1342"/>
    </row>
    <row r="8559" spans="2:11" ht="14" hidden="1">
      <c r="B8559" s="1342"/>
      <c r="C8559" s="1342"/>
      <c r="D8559" s="1342"/>
      <c r="E8559" s="1342"/>
      <c r="F8559" s="1342"/>
      <c r="G8559" s="1342"/>
      <c r="H8559" s="1342"/>
      <c r="I8559" s="1342"/>
      <c r="J8559" s="1342"/>
      <c r="K8559" s="1342"/>
    </row>
    <row r="8560" spans="2:11" ht="14" hidden="1">
      <c r="B8560" s="1342"/>
      <c r="C8560" s="1342"/>
      <c r="D8560" s="1342"/>
      <c r="E8560" s="1342"/>
      <c r="F8560" s="1342"/>
      <c r="G8560" s="1342"/>
      <c r="H8560" s="1342"/>
      <c r="I8560" s="1342"/>
      <c r="J8560" s="1342"/>
      <c r="K8560" s="1342"/>
    </row>
    <row r="8561" spans="2:11" ht="14" hidden="1">
      <c r="B8561" s="1342"/>
      <c r="C8561" s="1342"/>
      <c r="D8561" s="1342"/>
      <c r="E8561" s="1342"/>
      <c r="F8561" s="1342"/>
      <c r="G8561" s="1342"/>
      <c r="H8561" s="1342"/>
      <c r="I8561" s="1342"/>
      <c r="J8561" s="1342"/>
      <c r="K8561" s="1342"/>
    </row>
    <row r="8562" spans="2:11" ht="14" hidden="1">
      <c r="B8562" s="1342"/>
      <c r="C8562" s="1342"/>
      <c r="D8562" s="1342"/>
      <c r="E8562" s="1342"/>
      <c r="F8562" s="1342"/>
      <c r="G8562" s="1342"/>
      <c r="H8562" s="1342"/>
      <c r="I8562" s="1342"/>
      <c r="J8562" s="1342"/>
      <c r="K8562" s="1342"/>
    </row>
    <row r="8563" spans="2:11" ht="14" hidden="1">
      <c r="B8563" s="1342"/>
      <c r="C8563" s="1342"/>
      <c r="D8563" s="1342"/>
      <c r="E8563" s="1342"/>
      <c r="F8563" s="1342"/>
      <c r="G8563" s="1342"/>
      <c r="H8563" s="1342"/>
      <c r="I8563" s="1342"/>
      <c r="J8563" s="1342"/>
      <c r="K8563" s="1342"/>
    </row>
    <row r="8564" spans="2:11" ht="14" hidden="1">
      <c r="B8564" s="1342"/>
      <c r="C8564" s="1342"/>
      <c r="D8564" s="1342"/>
      <c r="E8564" s="1342"/>
      <c r="F8564" s="1342"/>
      <c r="G8564" s="1342"/>
      <c r="H8564" s="1342"/>
      <c r="I8564" s="1342"/>
      <c r="J8564" s="1342"/>
      <c r="K8564" s="1342"/>
    </row>
    <row r="8565" spans="2:11" ht="14" hidden="1">
      <c r="B8565" s="1342"/>
      <c r="C8565" s="1342"/>
      <c r="D8565" s="1342"/>
      <c r="E8565" s="1342"/>
      <c r="F8565" s="1342"/>
      <c r="G8565" s="1342"/>
      <c r="H8565" s="1342"/>
      <c r="I8565" s="1342"/>
      <c r="J8565" s="1342"/>
      <c r="K8565" s="1342"/>
    </row>
    <row r="8566" spans="2:11" ht="14" hidden="1">
      <c r="B8566" s="1342"/>
      <c r="C8566" s="1342"/>
      <c r="D8566" s="1342"/>
      <c r="E8566" s="1342"/>
      <c r="F8566" s="1342"/>
      <c r="G8566" s="1342"/>
      <c r="H8566" s="1342"/>
      <c r="I8566" s="1342"/>
      <c r="J8566" s="1342"/>
      <c r="K8566" s="1342"/>
    </row>
    <row r="8567" spans="2:11" ht="14" hidden="1">
      <c r="B8567" s="1342"/>
      <c r="C8567" s="1342"/>
      <c r="D8567" s="1342"/>
      <c r="E8567" s="1342"/>
      <c r="F8567" s="1342"/>
      <c r="G8567" s="1342"/>
      <c r="H8567" s="1342"/>
      <c r="I8567" s="1342"/>
      <c r="J8567" s="1342"/>
      <c r="K8567" s="1342"/>
    </row>
    <row r="8568" spans="2:11" ht="14" hidden="1">
      <c r="B8568" s="1342"/>
      <c r="C8568" s="1342"/>
      <c r="D8568" s="1342"/>
      <c r="E8568" s="1342"/>
      <c r="F8568" s="1342"/>
      <c r="G8568" s="1342"/>
      <c r="H8568" s="1342"/>
      <c r="I8568" s="1342"/>
      <c r="J8568" s="1342"/>
      <c r="K8568" s="1342"/>
    </row>
    <row r="8569" spans="2:11" ht="14" hidden="1">
      <c r="B8569" s="1342"/>
      <c r="C8569" s="1342"/>
      <c r="D8569" s="1342"/>
      <c r="E8569" s="1342"/>
      <c r="F8569" s="1342"/>
      <c r="G8569" s="1342"/>
      <c r="H8569" s="1342"/>
      <c r="I8569" s="1342"/>
      <c r="J8569" s="1342"/>
      <c r="K8569" s="1342"/>
    </row>
    <row r="8570" spans="2:11" ht="14" hidden="1">
      <c r="B8570" s="1342"/>
      <c r="C8570" s="1342"/>
      <c r="D8570" s="1342"/>
      <c r="E8570" s="1342"/>
      <c r="F8570" s="1342"/>
      <c r="G8570" s="1342"/>
      <c r="H8570" s="1342"/>
      <c r="I8570" s="1342"/>
      <c r="J8570" s="1342"/>
      <c r="K8570" s="1342"/>
    </row>
    <row r="8571" spans="2:11" ht="14" hidden="1">
      <c r="B8571" s="1342"/>
      <c r="C8571" s="1342"/>
      <c r="D8571" s="1342"/>
      <c r="E8571" s="1342"/>
      <c r="F8571" s="1342"/>
      <c r="G8571" s="1342"/>
      <c r="H8571" s="1342"/>
      <c r="I8571" s="1342"/>
      <c r="J8571" s="1342"/>
      <c r="K8571" s="1342"/>
    </row>
    <row r="8572" spans="2:11" ht="14" hidden="1">
      <c r="B8572" s="1342"/>
      <c r="C8572" s="1342"/>
      <c r="D8572" s="1342"/>
      <c r="E8572" s="1342"/>
      <c r="F8572" s="1342"/>
      <c r="G8572" s="1342"/>
      <c r="H8572" s="1342"/>
      <c r="I8572" s="1342"/>
      <c r="J8572" s="1342"/>
      <c r="K8572" s="1342"/>
    </row>
    <row r="8573" spans="2:11" ht="14" hidden="1">
      <c r="B8573" s="1342"/>
      <c r="C8573" s="1342"/>
      <c r="D8573" s="1342"/>
      <c r="E8573" s="1342"/>
      <c r="F8573" s="1342"/>
      <c r="G8573" s="1342"/>
      <c r="H8573" s="1342"/>
      <c r="I8573" s="1342"/>
      <c r="J8573" s="1342"/>
      <c r="K8573" s="1342"/>
    </row>
    <row r="8574" spans="2:11" ht="14" hidden="1">
      <c r="B8574" s="1342"/>
      <c r="C8574" s="1342"/>
      <c r="D8574" s="1342"/>
      <c r="E8574" s="1342"/>
      <c r="F8574" s="1342"/>
      <c r="G8574" s="1342"/>
      <c r="H8574" s="1342"/>
      <c r="I8574" s="1342"/>
      <c r="J8574" s="1342"/>
      <c r="K8574" s="1342"/>
    </row>
    <row r="8575" spans="2:11" ht="14" hidden="1">
      <c r="B8575" s="1342"/>
      <c r="C8575" s="1342"/>
      <c r="D8575" s="1342"/>
      <c r="E8575" s="1342"/>
      <c r="F8575" s="1342"/>
      <c r="G8575" s="1342"/>
      <c r="H8575" s="1342"/>
      <c r="I8575" s="1342"/>
      <c r="J8575" s="1342"/>
      <c r="K8575" s="1342"/>
    </row>
    <row r="8576" spans="2:11" ht="14" hidden="1">
      <c r="B8576" s="1342"/>
      <c r="C8576" s="1342"/>
      <c r="D8576" s="1342"/>
      <c r="E8576" s="1342"/>
      <c r="F8576" s="1342"/>
      <c r="G8576" s="1342"/>
      <c r="H8576" s="1342"/>
      <c r="I8576" s="1342"/>
      <c r="J8576" s="1342"/>
      <c r="K8576" s="1342"/>
    </row>
    <row r="8577" spans="2:11" ht="14" hidden="1">
      <c r="B8577" s="1342"/>
      <c r="C8577" s="1342"/>
      <c r="D8577" s="1342"/>
      <c r="E8577" s="1342"/>
      <c r="F8577" s="1342"/>
      <c r="G8577" s="1342"/>
      <c r="H8577" s="1342"/>
      <c r="I8577" s="1342"/>
      <c r="J8577" s="1342"/>
      <c r="K8577" s="1342"/>
    </row>
    <row r="8578" spans="2:11" ht="14" hidden="1">
      <c r="B8578" s="1342"/>
      <c r="C8578" s="1342"/>
      <c r="D8578" s="1342"/>
      <c r="E8578" s="1342"/>
      <c r="F8578" s="1342"/>
      <c r="G8578" s="1342"/>
      <c r="H8578" s="1342"/>
      <c r="I8578" s="1342"/>
      <c r="J8578" s="1342"/>
      <c r="K8578" s="1342"/>
    </row>
    <row r="8579" spans="2:11" ht="14" hidden="1">
      <c r="B8579" s="1342"/>
      <c r="C8579" s="1342"/>
      <c r="D8579" s="1342"/>
      <c r="E8579" s="1342"/>
      <c r="F8579" s="1342"/>
      <c r="G8579" s="1342"/>
      <c r="H8579" s="1342"/>
      <c r="I8579" s="1342"/>
      <c r="J8579" s="1342"/>
      <c r="K8579" s="1342"/>
    </row>
    <row r="8580" spans="2:11" ht="14" hidden="1">
      <c r="B8580" s="1342"/>
      <c r="C8580" s="1342"/>
      <c r="D8580" s="1342"/>
      <c r="E8580" s="1342"/>
      <c r="F8580" s="1342"/>
      <c r="G8580" s="1342"/>
      <c r="H8580" s="1342"/>
      <c r="I8580" s="1342"/>
      <c r="J8580" s="1342"/>
      <c r="K8580" s="1342"/>
    </row>
    <row r="8581" spans="2:11" ht="14" hidden="1">
      <c r="B8581" s="1342"/>
      <c r="C8581" s="1342"/>
      <c r="D8581" s="1342"/>
      <c r="E8581" s="1342"/>
      <c r="F8581" s="1342"/>
      <c r="G8581" s="1342"/>
      <c r="H8581" s="1342"/>
      <c r="I8581" s="1342"/>
      <c r="J8581" s="1342"/>
      <c r="K8581" s="1342"/>
    </row>
    <row r="8582" spans="2:11" ht="14" hidden="1">
      <c r="B8582" s="1342"/>
      <c r="C8582" s="1342"/>
      <c r="D8582" s="1342"/>
      <c r="E8582" s="1342"/>
      <c r="F8582" s="1342"/>
      <c r="G8582" s="1342"/>
      <c r="H8582" s="1342"/>
      <c r="I8582" s="1342"/>
      <c r="J8582" s="1342"/>
      <c r="K8582" s="1342"/>
    </row>
    <row r="8583" spans="2:11" ht="14" hidden="1">
      <c r="B8583" s="1342"/>
      <c r="C8583" s="1342"/>
      <c r="D8583" s="1342"/>
      <c r="E8583" s="1342"/>
      <c r="F8583" s="1342"/>
      <c r="G8583" s="1342"/>
      <c r="H8583" s="1342"/>
      <c r="I8583" s="1342"/>
      <c r="J8583" s="1342"/>
      <c r="K8583" s="1342"/>
    </row>
    <row r="8584" spans="2:11" ht="14" hidden="1">
      <c r="B8584" s="1342"/>
      <c r="C8584" s="1342"/>
      <c r="D8584" s="1342"/>
      <c r="E8584" s="1342"/>
      <c r="F8584" s="1342"/>
      <c r="G8584" s="1342"/>
      <c r="H8584" s="1342"/>
      <c r="I8584" s="1342"/>
      <c r="J8584" s="1342"/>
      <c r="K8584" s="1342"/>
    </row>
    <row r="8585" spans="2:11" ht="14" hidden="1">
      <c r="B8585" s="1342"/>
      <c r="C8585" s="1342"/>
      <c r="D8585" s="1342"/>
      <c r="E8585" s="1342"/>
      <c r="F8585" s="1342"/>
      <c r="G8585" s="1342"/>
      <c r="H8585" s="1342"/>
      <c r="I8585" s="1342"/>
      <c r="J8585" s="1342"/>
      <c r="K8585" s="1342"/>
    </row>
    <row r="8586" spans="2:11" ht="14" hidden="1">
      <c r="B8586" s="1342"/>
      <c r="C8586" s="1342"/>
      <c r="D8586" s="1342"/>
      <c r="E8586" s="1342"/>
      <c r="F8586" s="1342"/>
      <c r="G8586" s="1342"/>
      <c r="H8586" s="1342"/>
      <c r="I8586" s="1342"/>
      <c r="J8586" s="1342"/>
      <c r="K8586" s="1342"/>
    </row>
    <row r="8587" spans="2:11" ht="14" hidden="1">
      <c r="B8587" s="1342"/>
      <c r="C8587" s="1342"/>
      <c r="D8587" s="1342"/>
      <c r="E8587" s="1342"/>
      <c r="F8587" s="1342"/>
      <c r="G8587" s="1342"/>
      <c r="H8587" s="1342"/>
      <c r="I8587" s="1342"/>
      <c r="J8587" s="1342"/>
      <c r="K8587" s="1342"/>
    </row>
    <row r="8588" spans="2:11" ht="14" hidden="1">
      <c r="B8588" s="1342"/>
      <c r="C8588" s="1342"/>
      <c r="D8588" s="1342"/>
      <c r="E8588" s="1342"/>
      <c r="F8588" s="1342"/>
      <c r="G8588" s="1342"/>
      <c r="H8588" s="1342"/>
      <c r="I8588" s="1342"/>
      <c r="J8588" s="1342"/>
      <c r="K8588" s="1342"/>
    </row>
    <row r="8589" spans="2:11" ht="14" hidden="1">
      <c r="B8589" s="1342"/>
      <c r="C8589" s="1342"/>
      <c r="D8589" s="1342"/>
      <c r="E8589" s="1342"/>
      <c r="F8589" s="1342"/>
      <c r="G8589" s="1342"/>
      <c r="H8589" s="1342"/>
      <c r="I8589" s="1342"/>
      <c r="J8589" s="1342"/>
      <c r="K8589" s="1342"/>
    </row>
    <row r="8590" spans="2:11" ht="14" hidden="1">
      <c r="B8590" s="1342"/>
      <c r="C8590" s="1342"/>
      <c r="D8590" s="1342"/>
      <c r="E8590" s="1342"/>
      <c r="F8590" s="1342"/>
      <c r="G8590" s="1342"/>
      <c r="H8590" s="1342"/>
      <c r="I8590" s="1342"/>
      <c r="J8590" s="1342"/>
      <c r="K8590" s="1342"/>
    </row>
    <row r="8591" spans="2:11" ht="14" hidden="1">
      <c r="B8591" s="1342"/>
      <c r="C8591" s="1342"/>
      <c r="D8591" s="1342"/>
      <c r="E8591" s="1342"/>
      <c r="F8591" s="1342"/>
      <c r="G8591" s="1342"/>
      <c r="H8591" s="1342"/>
      <c r="I8591" s="1342"/>
      <c r="J8591" s="1342"/>
      <c r="K8591" s="1342"/>
    </row>
    <row r="8592" spans="2:11" ht="14" hidden="1">
      <c r="B8592" s="1342"/>
      <c r="C8592" s="1342"/>
      <c r="D8592" s="1342"/>
      <c r="E8592" s="1342"/>
      <c r="F8592" s="1342"/>
      <c r="G8592" s="1342"/>
      <c r="H8592" s="1342"/>
      <c r="I8592" s="1342"/>
      <c r="J8592" s="1342"/>
      <c r="K8592" s="1342"/>
    </row>
    <row r="8593" spans="2:11" ht="14" hidden="1">
      <c r="B8593" s="1342"/>
      <c r="C8593" s="1342"/>
      <c r="D8593" s="1342"/>
      <c r="E8593" s="1342"/>
      <c r="F8593" s="1342"/>
      <c r="G8593" s="1342"/>
      <c r="H8593" s="1342"/>
      <c r="I8593" s="1342"/>
      <c r="J8593" s="1342"/>
      <c r="K8593" s="1342"/>
    </row>
    <row r="8594" spans="2:11" ht="14" hidden="1">
      <c r="B8594" s="1342"/>
      <c r="C8594" s="1342"/>
      <c r="D8594" s="1342"/>
      <c r="E8594" s="1342"/>
      <c r="F8594" s="1342"/>
      <c r="G8594" s="1342"/>
      <c r="H8594" s="1342"/>
      <c r="I8594" s="1342"/>
      <c r="J8594" s="1342"/>
      <c r="K8594" s="1342"/>
    </row>
    <row r="8595" spans="2:11" ht="14" hidden="1">
      <c r="B8595" s="1342"/>
      <c r="C8595" s="1342"/>
      <c r="D8595" s="1342"/>
      <c r="E8595" s="1342"/>
      <c r="F8595" s="1342"/>
      <c r="G8595" s="1342"/>
      <c r="H8595" s="1342"/>
      <c r="I8595" s="1342"/>
      <c r="J8595" s="1342"/>
      <c r="K8595" s="1342"/>
    </row>
    <row r="8596" spans="2:11" ht="14" hidden="1">
      <c r="B8596" s="1342"/>
      <c r="C8596" s="1342"/>
      <c r="D8596" s="1342"/>
      <c r="E8596" s="1342"/>
      <c r="F8596" s="1342"/>
      <c r="G8596" s="1342"/>
      <c r="H8596" s="1342"/>
      <c r="I8596" s="1342"/>
      <c r="J8596" s="1342"/>
      <c r="K8596" s="1342"/>
    </row>
    <row r="8597" spans="2:11" ht="14" hidden="1">
      <c r="B8597" s="1342"/>
      <c r="C8597" s="1342"/>
      <c r="D8597" s="1342"/>
      <c r="E8597" s="1342"/>
      <c r="F8597" s="1342"/>
      <c r="G8597" s="1342"/>
      <c r="H8597" s="1342"/>
      <c r="I8597" s="1342"/>
      <c r="J8597" s="1342"/>
      <c r="K8597" s="1342"/>
    </row>
    <row r="8598" spans="2:11" ht="14" hidden="1">
      <c r="B8598" s="1342"/>
      <c r="C8598" s="1342"/>
      <c r="D8598" s="1342"/>
      <c r="E8598" s="1342"/>
      <c r="F8598" s="1342"/>
      <c r="G8598" s="1342"/>
      <c r="H8598" s="1342"/>
      <c r="I8598" s="1342"/>
      <c r="J8598" s="1342"/>
      <c r="K8598" s="1342"/>
    </row>
    <row r="8599" spans="2:11" ht="14" hidden="1">
      <c r="B8599" s="1342"/>
      <c r="C8599" s="1342"/>
      <c r="D8599" s="1342"/>
      <c r="E8599" s="1342"/>
      <c r="F8599" s="1342"/>
      <c r="G8599" s="1342"/>
      <c r="H8599" s="1342"/>
      <c r="I8599" s="1342"/>
      <c r="J8599" s="1342"/>
      <c r="K8599" s="1342"/>
    </row>
    <row r="8600" spans="2:11" ht="14" hidden="1">
      <c r="B8600" s="1342"/>
      <c r="C8600" s="1342"/>
      <c r="D8600" s="1342"/>
      <c r="E8600" s="1342"/>
      <c r="F8600" s="1342"/>
      <c r="G8600" s="1342"/>
      <c r="H8600" s="1342"/>
      <c r="I8600" s="1342"/>
      <c r="J8600" s="1342"/>
      <c r="K8600" s="1342"/>
    </row>
    <row r="8601" spans="2:11" ht="14" hidden="1">
      <c r="B8601" s="1342"/>
      <c r="C8601" s="1342"/>
      <c r="D8601" s="1342"/>
      <c r="E8601" s="1342"/>
      <c r="F8601" s="1342"/>
      <c r="G8601" s="1342"/>
      <c r="H8601" s="1342"/>
      <c r="I8601" s="1342"/>
      <c r="J8601" s="1342"/>
      <c r="K8601" s="1342"/>
    </row>
    <row r="8602" spans="2:11" ht="14" hidden="1">
      <c r="B8602" s="1342"/>
      <c r="C8602" s="1342"/>
      <c r="D8602" s="1342"/>
      <c r="E8602" s="1342"/>
      <c r="F8602" s="1342"/>
      <c r="G8602" s="1342"/>
      <c r="H8602" s="1342"/>
      <c r="I8602" s="1342"/>
      <c r="J8602" s="1342"/>
      <c r="K8602" s="1342"/>
    </row>
    <row r="8603" spans="2:11" ht="14" hidden="1">
      <c r="B8603" s="1342"/>
      <c r="C8603" s="1342"/>
      <c r="D8603" s="1342"/>
      <c r="E8603" s="1342"/>
      <c r="F8603" s="1342"/>
      <c r="G8603" s="1342"/>
      <c r="H8603" s="1342"/>
      <c r="I8603" s="1342"/>
      <c r="J8603" s="1342"/>
      <c r="K8603" s="1342"/>
    </row>
    <row r="8604" spans="2:11" ht="14" hidden="1">
      <c r="B8604" s="1342"/>
      <c r="C8604" s="1342"/>
      <c r="D8604" s="1342"/>
      <c r="E8604" s="1342"/>
      <c r="F8604" s="1342"/>
      <c r="G8604" s="1342"/>
      <c r="H8604" s="1342"/>
      <c r="I8604" s="1342"/>
      <c r="J8604" s="1342"/>
      <c r="K8604" s="1342"/>
    </row>
    <row r="8605" spans="2:11" ht="14" hidden="1">
      <c r="B8605" s="1342"/>
      <c r="C8605" s="1342"/>
      <c r="D8605" s="1342"/>
      <c r="E8605" s="1342"/>
      <c r="F8605" s="1342"/>
      <c r="G8605" s="1342"/>
      <c r="H8605" s="1342"/>
      <c r="I8605" s="1342"/>
      <c r="J8605" s="1342"/>
      <c r="K8605" s="1342"/>
    </row>
    <row r="8606" spans="2:11" ht="14" hidden="1">
      <c r="B8606" s="1342"/>
      <c r="C8606" s="1342"/>
      <c r="D8606" s="1342"/>
      <c r="E8606" s="1342"/>
      <c r="F8606" s="1342"/>
      <c r="G8606" s="1342"/>
      <c r="H8606" s="1342"/>
      <c r="I8606" s="1342"/>
      <c r="J8606" s="1342"/>
      <c r="K8606" s="1342"/>
    </row>
    <row r="8607" spans="2:11" ht="14" hidden="1">
      <c r="B8607" s="1342"/>
      <c r="C8607" s="1342"/>
      <c r="D8607" s="1342"/>
      <c r="E8607" s="1342"/>
      <c r="F8607" s="1342"/>
      <c r="G8607" s="1342"/>
      <c r="H8607" s="1342"/>
      <c r="I8607" s="1342"/>
      <c r="J8607" s="1342"/>
      <c r="K8607" s="1342"/>
    </row>
    <row r="8608" spans="2:11" ht="14" hidden="1">
      <c r="B8608" s="1342"/>
      <c r="C8608" s="1342"/>
      <c r="D8608" s="1342"/>
      <c r="E8608" s="1342"/>
      <c r="F8608" s="1342"/>
      <c r="G8608" s="1342"/>
      <c r="H8608" s="1342"/>
      <c r="I8608" s="1342"/>
      <c r="J8608" s="1342"/>
      <c r="K8608" s="1342"/>
    </row>
    <row r="8609" spans="2:11" ht="14" hidden="1">
      <c r="B8609" s="1342"/>
      <c r="C8609" s="1342"/>
      <c r="D8609" s="1342"/>
      <c r="E8609" s="1342"/>
      <c r="F8609" s="1342"/>
      <c r="G8609" s="1342"/>
      <c r="H8609" s="1342"/>
      <c r="I8609" s="1342"/>
      <c r="J8609" s="1342"/>
      <c r="K8609" s="1342"/>
    </row>
    <row r="8610" spans="2:11" ht="14" hidden="1">
      <c r="B8610" s="1342"/>
      <c r="C8610" s="1342"/>
      <c r="D8610" s="1342"/>
      <c r="E8610" s="1342"/>
      <c r="F8610" s="1342"/>
      <c r="G8610" s="1342"/>
      <c r="H8610" s="1342"/>
      <c r="I8610" s="1342"/>
      <c r="J8610" s="1342"/>
      <c r="K8610" s="1342"/>
    </row>
    <row r="8611" spans="2:11" ht="14" hidden="1">
      <c r="B8611" s="1342"/>
      <c r="C8611" s="1342"/>
      <c r="D8611" s="1342"/>
      <c r="E8611" s="1342"/>
      <c r="F8611" s="1342"/>
      <c r="G8611" s="1342"/>
      <c r="H8611" s="1342"/>
      <c r="I8611" s="1342"/>
      <c r="J8611" s="1342"/>
      <c r="K8611" s="1342"/>
    </row>
    <row r="8612" spans="2:11" ht="14" hidden="1">
      <c r="B8612" s="1342"/>
      <c r="C8612" s="1342"/>
      <c r="D8612" s="1342"/>
      <c r="E8612" s="1342"/>
      <c r="F8612" s="1342"/>
      <c r="G8612" s="1342"/>
      <c r="H8612" s="1342"/>
      <c r="I8612" s="1342"/>
      <c r="J8612" s="1342"/>
      <c r="K8612" s="1342"/>
    </row>
    <row r="8613" spans="2:11" ht="14" hidden="1">
      <c r="B8613" s="1342"/>
      <c r="C8613" s="1342"/>
      <c r="D8613" s="1342"/>
      <c r="E8613" s="1342"/>
      <c r="F8613" s="1342"/>
      <c r="G8613" s="1342"/>
      <c r="H8613" s="1342"/>
      <c r="I8613" s="1342"/>
      <c r="J8613" s="1342"/>
      <c r="K8613" s="1342"/>
    </row>
    <row r="8614" spans="2:11" ht="14" hidden="1">
      <c r="B8614" s="1342"/>
      <c r="C8614" s="1342"/>
      <c r="D8614" s="1342"/>
      <c r="E8614" s="1342"/>
      <c r="F8614" s="1342"/>
      <c r="G8614" s="1342"/>
      <c r="H8614" s="1342"/>
      <c r="I8614" s="1342"/>
      <c r="J8614" s="1342"/>
      <c r="K8614" s="1342"/>
    </row>
    <row r="8615" spans="2:11" ht="14" hidden="1">
      <c r="B8615" s="1342"/>
      <c r="C8615" s="1342"/>
      <c r="D8615" s="1342"/>
      <c r="E8615" s="1342"/>
      <c r="F8615" s="1342"/>
      <c r="G8615" s="1342"/>
      <c r="H8615" s="1342"/>
      <c r="I8615" s="1342"/>
      <c r="J8615" s="1342"/>
      <c r="K8615" s="1342"/>
    </row>
    <row r="8616" spans="2:11" ht="14" hidden="1">
      <c r="B8616" s="1342"/>
      <c r="C8616" s="1342"/>
      <c r="D8616" s="1342"/>
      <c r="E8616" s="1342"/>
      <c r="F8616" s="1342"/>
      <c r="G8616" s="1342"/>
      <c r="H8616" s="1342"/>
      <c r="I8616" s="1342"/>
      <c r="J8616" s="1342"/>
      <c r="K8616" s="1342"/>
    </row>
    <row r="8617" spans="2:11" ht="14" hidden="1">
      <c r="B8617" s="1342"/>
      <c r="C8617" s="1342"/>
      <c r="D8617" s="1342"/>
      <c r="E8617" s="1342"/>
      <c r="F8617" s="1342"/>
      <c r="G8617" s="1342"/>
      <c r="H8617" s="1342"/>
      <c r="I8617" s="1342"/>
      <c r="J8617" s="1342"/>
      <c r="K8617" s="1342"/>
    </row>
    <row r="8618" spans="2:11" ht="14" hidden="1">
      <c r="B8618" s="1342"/>
      <c r="C8618" s="1342"/>
      <c r="D8618" s="1342"/>
      <c r="E8618" s="1342"/>
      <c r="F8618" s="1342"/>
      <c r="G8618" s="1342"/>
      <c r="H8618" s="1342"/>
      <c r="I8618" s="1342"/>
      <c r="J8618" s="1342"/>
      <c r="K8618" s="1342"/>
    </row>
    <row r="8619" spans="2:11" ht="14" hidden="1">
      <c r="B8619" s="1342"/>
      <c r="C8619" s="1342"/>
      <c r="D8619" s="1342"/>
      <c r="E8619" s="1342"/>
      <c r="F8619" s="1342"/>
      <c r="G8619" s="1342"/>
      <c r="H8619" s="1342"/>
      <c r="I8619" s="1342"/>
      <c r="J8619" s="1342"/>
      <c r="K8619" s="1342"/>
    </row>
    <row r="8620" spans="2:11" ht="14" hidden="1">
      <c r="B8620" s="1342"/>
      <c r="C8620" s="1342"/>
      <c r="D8620" s="1342"/>
      <c r="E8620" s="1342"/>
      <c r="F8620" s="1342"/>
      <c r="G8620" s="1342"/>
      <c r="H8620" s="1342"/>
      <c r="I8620" s="1342"/>
      <c r="J8620" s="1342"/>
      <c r="K8620" s="1342"/>
    </row>
    <row r="8621" spans="2:11" ht="14" hidden="1">
      <c r="B8621" s="1342"/>
      <c r="C8621" s="1342"/>
      <c r="D8621" s="1342"/>
      <c r="E8621" s="1342"/>
      <c r="F8621" s="1342"/>
      <c r="G8621" s="1342"/>
      <c r="H8621" s="1342"/>
      <c r="I8621" s="1342"/>
      <c r="J8621" s="1342"/>
      <c r="K8621" s="1342"/>
    </row>
    <row r="8622" spans="2:11" ht="14" hidden="1">
      <c r="B8622" s="1342"/>
      <c r="C8622" s="1342"/>
      <c r="D8622" s="1342"/>
      <c r="E8622" s="1342"/>
      <c r="F8622" s="1342"/>
      <c r="G8622" s="1342"/>
      <c r="H8622" s="1342"/>
      <c r="I8622" s="1342"/>
      <c r="J8622" s="1342"/>
      <c r="K8622" s="1342"/>
    </row>
    <row r="8623" spans="2:11" ht="14" hidden="1">
      <c r="B8623" s="1342"/>
      <c r="C8623" s="1342"/>
      <c r="D8623" s="1342"/>
      <c r="E8623" s="1342"/>
      <c r="F8623" s="1342"/>
      <c r="G8623" s="1342"/>
      <c r="H8623" s="1342"/>
      <c r="I8623" s="1342"/>
      <c r="J8623" s="1342"/>
      <c r="K8623" s="1342"/>
    </row>
    <row r="8624" spans="2:11" ht="14" hidden="1">
      <c r="B8624" s="1342"/>
      <c r="C8624" s="1342"/>
      <c r="D8624" s="1342"/>
      <c r="E8624" s="1342"/>
      <c r="F8624" s="1342"/>
      <c r="G8624" s="1342"/>
      <c r="H8624" s="1342"/>
      <c r="I8624" s="1342"/>
      <c r="J8624" s="1342"/>
      <c r="K8624" s="1342"/>
    </row>
    <row r="8625" spans="2:11" ht="14" hidden="1">
      <c r="B8625" s="1342"/>
      <c r="C8625" s="1342"/>
      <c r="D8625" s="1342"/>
      <c r="E8625" s="1342"/>
      <c r="F8625" s="1342"/>
      <c r="G8625" s="1342"/>
      <c r="H8625" s="1342"/>
      <c r="I8625" s="1342"/>
      <c r="J8625" s="1342"/>
      <c r="K8625" s="1342"/>
    </row>
    <row r="8626" spans="2:11" ht="14" hidden="1">
      <c r="B8626" s="1342"/>
      <c r="C8626" s="1342"/>
      <c r="D8626" s="1342"/>
      <c r="E8626" s="1342"/>
      <c r="F8626" s="1342"/>
      <c r="G8626" s="1342"/>
      <c r="H8626" s="1342"/>
      <c r="I8626" s="1342"/>
      <c r="J8626" s="1342"/>
      <c r="K8626" s="1342"/>
    </row>
    <row r="8627" spans="2:11" ht="14" hidden="1">
      <c r="B8627" s="1342"/>
      <c r="C8627" s="1342"/>
      <c r="D8627" s="1342"/>
      <c r="E8627" s="1342"/>
      <c r="F8627" s="1342"/>
      <c r="G8627" s="1342"/>
      <c r="H8627" s="1342"/>
      <c r="I8627" s="1342"/>
      <c r="J8627" s="1342"/>
      <c r="K8627" s="1342"/>
    </row>
    <row r="8628" spans="2:11" ht="14" hidden="1">
      <c r="B8628" s="1342"/>
      <c r="C8628" s="1342"/>
      <c r="D8628" s="1342"/>
      <c r="E8628" s="1342"/>
      <c r="F8628" s="1342"/>
      <c r="G8628" s="1342"/>
      <c r="H8628" s="1342"/>
      <c r="I8628" s="1342"/>
      <c r="J8628" s="1342"/>
      <c r="K8628" s="1342"/>
    </row>
    <row r="8629" spans="2:11" ht="14" hidden="1">
      <c r="B8629" s="1342"/>
      <c r="C8629" s="1342"/>
      <c r="D8629" s="1342"/>
      <c r="E8629" s="1342"/>
      <c r="F8629" s="1342"/>
      <c r="G8629" s="1342"/>
      <c r="H8629" s="1342"/>
      <c r="I8629" s="1342"/>
      <c r="J8629" s="1342"/>
      <c r="K8629" s="1342"/>
    </row>
    <row r="8630" spans="2:11" ht="14" hidden="1">
      <c r="B8630" s="1342"/>
      <c r="C8630" s="1342"/>
      <c r="D8630" s="1342"/>
      <c r="E8630" s="1342"/>
      <c r="F8630" s="1342"/>
      <c r="G8630" s="1342"/>
      <c r="H8630" s="1342"/>
      <c r="I8630" s="1342"/>
      <c r="J8630" s="1342"/>
      <c r="K8630" s="1342"/>
    </row>
    <row r="8631" spans="2:11" ht="14" hidden="1">
      <c r="B8631" s="1342"/>
      <c r="C8631" s="1342"/>
      <c r="D8631" s="1342"/>
      <c r="E8631" s="1342"/>
      <c r="F8631" s="1342"/>
      <c r="G8631" s="1342"/>
      <c r="H8631" s="1342"/>
      <c r="I8631" s="1342"/>
      <c r="J8631" s="1342"/>
      <c r="K8631" s="1342"/>
    </row>
    <row r="8632" spans="2:11" ht="14" hidden="1">
      <c r="B8632" s="1342"/>
      <c r="C8632" s="1342"/>
      <c r="D8632" s="1342"/>
      <c r="E8632" s="1342"/>
      <c r="F8632" s="1342"/>
      <c r="G8632" s="1342"/>
      <c r="H8632" s="1342"/>
      <c r="I8632" s="1342"/>
      <c r="J8632" s="1342"/>
      <c r="K8632" s="1342"/>
    </row>
    <row r="8633" spans="2:11" ht="14" hidden="1">
      <c r="B8633" s="1342"/>
      <c r="C8633" s="1342"/>
      <c r="D8633" s="1342"/>
      <c r="E8633" s="1342"/>
      <c r="F8633" s="1342"/>
      <c r="G8633" s="1342"/>
      <c r="H8633" s="1342"/>
      <c r="I8633" s="1342"/>
      <c r="J8633" s="1342"/>
      <c r="K8633" s="1342"/>
    </row>
    <row r="8634" spans="2:11" ht="14" hidden="1">
      <c r="B8634" s="1342"/>
      <c r="C8634" s="1342"/>
      <c r="D8634" s="1342"/>
      <c r="E8634" s="1342"/>
      <c r="F8634" s="1342"/>
      <c r="G8634" s="1342"/>
      <c r="H8634" s="1342"/>
      <c r="I8634" s="1342"/>
      <c r="J8634" s="1342"/>
      <c r="K8634" s="1342"/>
    </row>
    <row r="8635" spans="2:11" ht="14" hidden="1">
      <c r="B8635" s="1342"/>
      <c r="C8635" s="1342"/>
      <c r="D8635" s="1342"/>
      <c r="E8635" s="1342"/>
      <c r="F8635" s="1342"/>
      <c r="G8635" s="1342"/>
      <c r="H8635" s="1342"/>
      <c r="I8635" s="1342"/>
      <c r="J8635" s="1342"/>
      <c r="K8635" s="1342"/>
    </row>
    <row r="8636" spans="2:11" ht="14" hidden="1">
      <c r="B8636" s="1342"/>
      <c r="C8636" s="1342"/>
      <c r="D8636" s="1342"/>
      <c r="E8636" s="1342"/>
      <c r="F8636" s="1342"/>
      <c r="G8636" s="1342"/>
      <c r="H8636" s="1342"/>
      <c r="I8636" s="1342"/>
      <c r="J8636" s="1342"/>
      <c r="K8636" s="1342"/>
    </row>
    <row r="8637" spans="2:11" ht="14" hidden="1">
      <c r="B8637" s="1342"/>
      <c r="C8637" s="1342"/>
      <c r="D8637" s="1342"/>
      <c r="E8637" s="1342"/>
      <c r="F8637" s="1342"/>
      <c r="G8637" s="1342"/>
      <c r="H8637" s="1342"/>
      <c r="I8637" s="1342"/>
      <c r="J8637" s="1342"/>
      <c r="K8637" s="1342"/>
    </row>
    <row r="8638" spans="2:11" ht="14" hidden="1">
      <c r="B8638" s="1342"/>
      <c r="C8638" s="1342"/>
      <c r="D8638" s="1342"/>
      <c r="E8638" s="1342"/>
      <c r="F8638" s="1342"/>
      <c r="G8638" s="1342"/>
      <c r="H8638" s="1342"/>
      <c r="I8638" s="1342"/>
      <c r="J8638" s="1342"/>
      <c r="K8638" s="1342"/>
    </row>
    <row r="8639" spans="2:11" ht="14" hidden="1">
      <c r="B8639" s="1342"/>
      <c r="C8639" s="1342"/>
      <c r="D8639" s="1342"/>
      <c r="E8639" s="1342"/>
      <c r="F8639" s="1342"/>
      <c r="G8639" s="1342"/>
      <c r="H8639" s="1342"/>
      <c r="I8639" s="1342"/>
      <c r="J8639" s="1342"/>
      <c r="K8639" s="1342"/>
    </row>
    <row r="8640" spans="2:11" ht="14" hidden="1">
      <c r="B8640" s="1342"/>
      <c r="C8640" s="1342"/>
      <c r="D8640" s="1342"/>
      <c r="E8640" s="1342"/>
      <c r="F8640" s="1342"/>
      <c r="G8640" s="1342"/>
      <c r="H8640" s="1342"/>
      <c r="I8640" s="1342"/>
      <c r="J8640" s="1342"/>
      <c r="K8640" s="1342"/>
    </row>
    <row r="8641" spans="2:11" ht="14" hidden="1">
      <c r="B8641" s="1342"/>
      <c r="C8641" s="1342"/>
      <c r="D8641" s="1342"/>
      <c r="E8641" s="1342"/>
      <c r="F8641" s="1342"/>
      <c r="G8641" s="1342"/>
      <c r="H8641" s="1342"/>
      <c r="I8641" s="1342"/>
      <c r="J8641" s="1342"/>
      <c r="K8641" s="1342"/>
    </row>
    <row r="8642" spans="2:11" ht="14" hidden="1">
      <c r="B8642" s="1342"/>
      <c r="C8642" s="1342"/>
      <c r="D8642" s="1342"/>
      <c r="E8642" s="1342"/>
      <c r="F8642" s="1342"/>
      <c r="G8642" s="1342"/>
      <c r="H8642" s="1342"/>
      <c r="I8642" s="1342"/>
      <c r="J8642" s="1342"/>
      <c r="K8642" s="1342"/>
    </row>
    <row r="8643" spans="2:11" ht="14" hidden="1">
      <c r="B8643" s="1342"/>
      <c r="C8643" s="1342"/>
      <c r="D8643" s="1342"/>
      <c r="E8643" s="1342"/>
      <c r="F8643" s="1342"/>
      <c r="G8643" s="1342"/>
      <c r="H8643" s="1342"/>
      <c r="I8643" s="1342"/>
      <c r="J8643" s="1342"/>
      <c r="K8643" s="1342"/>
    </row>
    <row r="8644" spans="2:11" ht="14" hidden="1">
      <c r="B8644" s="1342"/>
      <c r="C8644" s="1342"/>
      <c r="D8644" s="1342"/>
      <c r="E8644" s="1342"/>
      <c r="F8644" s="1342"/>
      <c r="G8644" s="1342"/>
      <c r="H8644" s="1342"/>
      <c r="I8644" s="1342"/>
      <c r="J8644" s="1342"/>
      <c r="K8644" s="1342"/>
    </row>
    <row r="8645" spans="2:11" ht="14" hidden="1">
      <c r="B8645" s="1342"/>
      <c r="C8645" s="1342"/>
      <c r="D8645" s="1342"/>
      <c r="E8645" s="1342"/>
      <c r="F8645" s="1342"/>
      <c r="G8645" s="1342"/>
      <c r="H8645" s="1342"/>
      <c r="I8645" s="1342"/>
      <c r="J8645" s="1342"/>
      <c r="K8645" s="1342"/>
    </row>
    <row r="8646" spans="2:11" ht="14" hidden="1">
      <c r="B8646" s="1342"/>
      <c r="C8646" s="1342"/>
      <c r="D8646" s="1342"/>
      <c r="E8646" s="1342"/>
      <c r="F8646" s="1342"/>
      <c r="G8646" s="1342"/>
      <c r="H8646" s="1342"/>
      <c r="I8646" s="1342"/>
      <c r="J8646" s="1342"/>
      <c r="K8646" s="1342"/>
    </row>
    <row r="8647" spans="2:11" ht="14" hidden="1">
      <c r="B8647" s="1342"/>
      <c r="C8647" s="1342"/>
      <c r="D8647" s="1342"/>
      <c r="E8647" s="1342"/>
      <c r="F8647" s="1342"/>
      <c r="G8647" s="1342"/>
      <c r="H8647" s="1342"/>
      <c r="I8647" s="1342"/>
      <c r="J8647" s="1342"/>
      <c r="K8647" s="1342"/>
    </row>
    <row r="8648" spans="2:11" ht="14" hidden="1">
      <c r="B8648" s="1342"/>
      <c r="C8648" s="1342"/>
      <c r="D8648" s="1342"/>
      <c r="E8648" s="1342"/>
      <c r="F8648" s="1342"/>
      <c r="G8648" s="1342"/>
      <c r="H8648" s="1342"/>
      <c r="I8648" s="1342"/>
      <c r="J8648" s="1342"/>
      <c r="K8648" s="1342"/>
    </row>
    <row r="8649" spans="2:11" ht="14" hidden="1">
      <c r="B8649" s="1342"/>
      <c r="C8649" s="1342"/>
      <c r="D8649" s="1342"/>
      <c r="E8649" s="1342"/>
      <c r="F8649" s="1342"/>
      <c r="G8649" s="1342"/>
      <c r="H8649" s="1342"/>
      <c r="I8649" s="1342"/>
      <c r="J8649" s="1342"/>
      <c r="K8649" s="1342"/>
    </row>
    <row r="8650" spans="2:11" ht="14" hidden="1">
      <c r="B8650" s="1342"/>
      <c r="C8650" s="1342"/>
      <c r="D8650" s="1342"/>
      <c r="E8650" s="1342"/>
      <c r="F8650" s="1342"/>
      <c r="G8650" s="1342"/>
      <c r="H8650" s="1342"/>
      <c r="I8650" s="1342"/>
      <c r="J8650" s="1342"/>
      <c r="K8650" s="1342"/>
    </row>
    <row r="8651" spans="2:11" ht="14" hidden="1">
      <c r="B8651" s="1342"/>
      <c r="C8651" s="1342"/>
      <c r="D8651" s="1342"/>
      <c r="E8651" s="1342"/>
      <c r="F8651" s="1342"/>
      <c r="G8651" s="1342"/>
      <c r="H8651" s="1342"/>
      <c r="I8651" s="1342"/>
      <c r="J8651" s="1342"/>
      <c r="K8651" s="1342"/>
    </row>
    <row r="8652" spans="2:11" ht="14" hidden="1">
      <c r="B8652" s="1342"/>
      <c r="C8652" s="1342"/>
      <c r="D8652" s="1342"/>
      <c r="E8652" s="1342"/>
      <c r="F8652" s="1342"/>
      <c r="G8652" s="1342"/>
      <c r="H8652" s="1342"/>
      <c r="I8652" s="1342"/>
      <c r="J8652" s="1342"/>
      <c r="K8652" s="1342"/>
    </row>
    <row r="8653" spans="2:11" ht="14" hidden="1">
      <c r="B8653" s="1342"/>
      <c r="C8653" s="1342"/>
      <c r="D8653" s="1342"/>
      <c r="E8653" s="1342"/>
      <c r="F8653" s="1342"/>
      <c r="G8653" s="1342"/>
      <c r="H8653" s="1342"/>
      <c r="I8653" s="1342"/>
      <c r="J8653" s="1342"/>
      <c r="K8653" s="1342"/>
    </row>
    <row r="8654" spans="2:11" ht="14" hidden="1">
      <c r="B8654" s="1342"/>
      <c r="C8654" s="1342"/>
      <c r="D8654" s="1342"/>
      <c r="E8654" s="1342"/>
      <c r="F8654" s="1342"/>
      <c r="G8654" s="1342"/>
      <c r="H8654" s="1342"/>
      <c r="I8654" s="1342"/>
      <c r="J8654" s="1342"/>
      <c r="K8654" s="1342"/>
    </row>
    <row r="8655" spans="2:11" ht="14" hidden="1">
      <c r="B8655" s="1342"/>
      <c r="C8655" s="1342"/>
      <c r="D8655" s="1342"/>
      <c r="E8655" s="1342"/>
      <c r="F8655" s="1342"/>
      <c r="G8655" s="1342"/>
      <c r="H8655" s="1342"/>
      <c r="I8655" s="1342"/>
      <c r="J8655" s="1342"/>
      <c r="K8655" s="1342"/>
    </row>
    <row r="8656" spans="2:11" ht="14" hidden="1">
      <c r="B8656" s="1342"/>
      <c r="C8656" s="1342"/>
      <c r="D8656" s="1342"/>
      <c r="E8656" s="1342"/>
      <c r="F8656" s="1342"/>
      <c r="G8656" s="1342"/>
      <c r="H8656" s="1342"/>
      <c r="I8656" s="1342"/>
      <c r="J8656" s="1342"/>
      <c r="K8656" s="1342"/>
    </row>
    <row r="8657" spans="2:11" ht="14" hidden="1">
      <c r="B8657" s="1342"/>
      <c r="C8657" s="1342"/>
      <c r="D8657" s="1342"/>
      <c r="E8657" s="1342"/>
      <c r="F8657" s="1342"/>
      <c r="G8657" s="1342"/>
      <c r="H8657" s="1342"/>
      <c r="I8657" s="1342"/>
      <c r="J8657" s="1342"/>
      <c r="K8657" s="1342"/>
    </row>
    <row r="8658" spans="2:11" ht="14" hidden="1">
      <c r="B8658" s="1342"/>
      <c r="C8658" s="1342"/>
      <c r="D8658" s="1342"/>
      <c r="E8658" s="1342"/>
      <c r="F8658" s="1342"/>
      <c r="G8658" s="1342"/>
      <c r="H8658" s="1342"/>
      <c r="I8658" s="1342"/>
      <c r="J8658" s="1342"/>
      <c r="K8658" s="1342"/>
    </row>
    <row r="8659" spans="2:11" ht="14" hidden="1">
      <c r="B8659" s="1342"/>
      <c r="C8659" s="1342"/>
      <c r="D8659" s="1342"/>
      <c r="E8659" s="1342"/>
      <c r="F8659" s="1342"/>
      <c r="G8659" s="1342"/>
      <c r="H8659" s="1342"/>
      <c r="I8659" s="1342"/>
      <c r="J8659" s="1342"/>
      <c r="K8659" s="1342"/>
    </row>
    <row r="8660" spans="2:11" ht="14" hidden="1">
      <c r="B8660" s="1342"/>
      <c r="C8660" s="1342"/>
      <c r="D8660" s="1342"/>
      <c r="E8660" s="1342"/>
      <c r="F8660" s="1342"/>
      <c r="G8660" s="1342"/>
      <c r="H8660" s="1342"/>
      <c r="I8660" s="1342"/>
      <c r="J8660" s="1342"/>
      <c r="K8660" s="1342"/>
    </row>
    <row r="8661" spans="2:11" ht="14" hidden="1">
      <c r="B8661" s="1342"/>
      <c r="C8661" s="1342"/>
      <c r="D8661" s="1342"/>
      <c r="E8661" s="1342"/>
      <c r="F8661" s="1342"/>
      <c r="G8661" s="1342"/>
      <c r="H8661" s="1342"/>
      <c r="I8661" s="1342"/>
      <c r="J8661" s="1342"/>
      <c r="K8661" s="1342"/>
    </row>
    <row r="8662" spans="2:11" ht="14" hidden="1">
      <c r="B8662" s="1342"/>
      <c r="C8662" s="1342"/>
      <c r="D8662" s="1342"/>
      <c r="E8662" s="1342"/>
      <c r="F8662" s="1342"/>
      <c r="G8662" s="1342"/>
      <c r="H8662" s="1342"/>
      <c r="I8662" s="1342"/>
      <c r="J8662" s="1342"/>
      <c r="K8662" s="1342"/>
    </row>
    <row r="8663" spans="2:11" ht="14" hidden="1">
      <c r="B8663" s="1342"/>
      <c r="C8663" s="1342"/>
      <c r="D8663" s="1342"/>
      <c r="E8663" s="1342"/>
      <c r="F8663" s="1342"/>
      <c r="G8663" s="1342"/>
      <c r="H8663" s="1342"/>
      <c r="I8663" s="1342"/>
      <c r="J8663" s="1342"/>
      <c r="K8663" s="1342"/>
    </row>
    <row r="8664" spans="2:11" ht="14" hidden="1">
      <c r="B8664" s="1342"/>
      <c r="C8664" s="1342"/>
      <c r="D8664" s="1342"/>
      <c r="E8664" s="1342"/>
      <c r="F8664" s="1342"/>
      <c r="G8664" s="1342"/>
      <c r="H8664" s="1342"/>
      <c r="I8664" s="1342"/>
      <c r="J8664" s="1342"/>
      <c r="K8664" s="1342"/>
    </row>
    <row r="8665" spans="2:11" ht="14" hidden="1">
      <c r="B8665" s="1342"/>
      <c r="C8665" s="1342"/>
      <c r="D8665" s="1342"/>
      <c r="E8665" s="1342"/>
      <c r="F8665" s="1342"/>
      <c r="G8665" s="1342"/>
      <c r="H8665" s="1342"/>
      <c r="I8665" s="1342"/>
      <c r="J8665" s="1342"/>
      <c r="K8665" s="1342"/>
    </row>
    <row r="8666" spans="2:11" ht="14" hidden="1">
      <c r="B8666" s="1342"/>
      <c r="C8666" s="1342"/>
      <c r="D8666" s="1342"/>
      <c r="E8666" s="1342"/>
      <c r="F8666" s="1342"/>
      <c r="G8666" s="1342"/>
      <c r="H8666" s="1342"/>
      <c r="I8666" s="1342"/>
      <c r="J8666" s="1342"/>
      <c r="K8666" s="1342"/>
    </row>
    <row r="8667" spans="2:11" ht="14" hidden="1">
      <c r="B8667" s="1342"/>
      <c r="C8667" s="1342"/>
      <c r="D8667" s="1342"/>
      <c r="E8667" s="1342"/>
      <c r="F8667" s="1342"/>
      <c r="G8667" s="1342"/>
      <c r="H8667" s="1342"/>
      <c r="I8667" s="1342"/>
      <c r="J8667" s="1342"/>
      <c r="K8667" s="1342"/>
    </row>
    <row r="8668" spans="2:11" ht="14" hidden="1">
      <c r="B8668" s="1342"/>
      <c r="C8668" s="1342"/>
      <c r="D8668" s="1342"/>
      <c r="E8668" s="1342"/>
      <c r="F8668" s="1342"/>
      <c r="G8668" s="1342"/>
      <c r="H8668" s="1342"/>
      <c r="I8668" s="1342"/>
      <c r="J8668" s="1342"/>
      <c r="K8668" s="1342"/>
    </row>
    <row r="8669" spans="2:11" ht="14" hidden="1">
      <c r="B8669" s="1342"/>
      <c r="C8669" s="1342"/>
      <c r="D8669" s="1342"/>
      <c r="E8669" s="1342"/>
      <c r="F8669" s="1342"/>
      <c r="G8669" s="1342"/>
      <c r="H8669" s="1342"/>
      <c r="I8669" s="1342"/>
      <c r="J8669" s="1342"/>
      <c r="K8669" s="1342"/>
    </row>
    <row r="8670" spans="2:11" ht="14" hidden="1">
      <c r="B8670" s="1342"/>
      <c r="C8670" s="1342"/>
      <c r="D8670" s="1342"/>
      <c r="E8670" s="1342"/>
      <c r="F8670" s="1342"/>
      <c r="G8670" s="1342"/>
      <c r="H8670" s="1342"/>
      <c r="I8670" s="1342"/>
      <c r="J8670" s="1342"/>
      <c r="K8670" s="1342"/>
    </row>
    <row r="8671" spans="2:11" ht="14" hidden="1">
      <c r="B8671" s="1342"/>
      <c r="C8671" s="1342"/>
      <c r="D8671" s="1342"/>
      <c r="E8671" s="1342"/>
      <c r="F8671" s="1342"/>
      <c r="G8671" s="1342"/>
      <c r="H8671" s="1342"/>
      <c r="I8671" s="1342"/>
      <c r="J8671" s="1342"/>
      <c r="K8671" s="1342"/>
    </row>
    <row r="8672" spans="2:11" ht="14" hidden="1">
      <c r="B8672" s="1342"/>
      <c r="C8672" s="1342"/>
      <c r="D8672" s="1342"/>
      <c r="E8672" s="1342"/>
      <c r="F8672" s="1342"/>
      <c r="G8672" s="1342"/>
      <c r="H8672" s="1342"/>
      <c r="I8672" s="1342"/>
      <c r="J8672" s="1342"/>
      <c r="K8672" s="1342"/>
    </row>
    <row r="8673" spans="2:11" ht="14" hidden="1">
      <c r="B8673" s="1342"/>
      <c r="C8673" s="1342"/>
      <c r="D8673" s="1342"/>
      <c r="E8673" s="1342"/>
      <c r="F8673" s="1342"/>
      <c r="G8673" s="1342"/>
      <c r="H8673" s="1342"/>
      <c r="I8673" s="1342"/>
      <c r="J8673" s="1342"/>
      <c r="K8673" s="1342"/>
    </row>
    <row r="8674" spans="2:11" ht="14" hidden="1">
      <c r="B8674" s="1342"/>
      <c r="C8674" s="1342"/>
      <c r="D8674" s="1342"/>
      <c r="E8674" s="1342"/>
      <c r="F8674" s="1342"/>
      <c r="G8674" s="1342"/>
      <c r="H8674" s="1342"/>
      <c r="I8674" s="1342"/>
      <c r="J8674" s="1342"/>
      <c r="K8674" s="1342"/>
    </row>
    <row r="8675" spans="2:11" ht="14" hidden="1">
      <c r="B8675" s="1342"/>
      <c r="C8675" s="1342"/>
      <c r="D8675" s="1342"/>
      <c r="E8675" s="1342"/>
      <c r="F8675" s="1342"/>
      <c r="G8675" s="1342"/>
      <c r="H8675" s="1342"/>
      <c r="I8675" s="1342"/>
      <c r="J8675" s="1342"/>
      <c r="K8675" s="1342"/>
    </row>
    <row r="8676" spans="2:11" ht="14" hidden="1">
      <c r="B8676" s="1342"/>
      <c r="C8676" s="1342"/>
      <c r="D8676" s="1342"/>
      <c r="E8676" s="1342"/>
      <c r="F8676" s="1342"/>
      <c r="G8676" s="1342"/>
      <c r="H8676" s="1342"/>
      <c r="I8676" s="1342"/>
      <c r="J8676" s="1342"/>
      <c r="K8676" s="1342"/>
    </row>
    <row r="8677" spans="2:11" ht="14" hidden="1">
      <c r="B8677" s="1342"/>
      <c r="C8677" s="1342"/>
      <c r="D8677" s="1342"/>
      <c r="E8677" s="1342"/>
      <c r="F8677" s="1342"/>
      <c r="G8677" s="1342"/>
      <c r="H8677" s="1342"/>
      <c r="I8677" s="1342"/>
      <c r="J8677" s="1342"/>
      <c r="K8677" s="1342"/>
    </row>
    <row r="8678" spans="2:11" ht="14" hidden="1">
      <c r="B8678" s="1342"/>
      <c r="C8678" s="1342"/>
      <c r="D8678" s="1342"/>
      <c r="E8678" s="1342"/>
      <c r="F8678" s="1342"/>
      <c r="G8678" s="1342"/>
      <c r="H8678" s="1342"/>
      <c r="I8678" s="1342"/>
      <c r="J8678" s="1342"/>
      <c r="K8678" s="1342"/>
    </row>
    <row r="8679" spans="2:11" ht="14" hidden="1">
      <c r="B8679" s="1342"/>
      <c r="C8679" s="1342"/>
      <c r="D8679" s="1342"/>
      <c r="E8679" s="1342"/>
      <c r="F8679" s="1342"/>
      <c r="G8679" s="1342"/>
      <c r="H8679" s="1342"/>
      <c r="I8679" s="1342"/>
      <c r="J8679" s="1342"/>
      <c r="K8679" s="1342"/>
    </row>
    <row r="8680" spans="2:11" ht="14" hidden="1">
      <c r="B8680" s="1342"/>
      <c r="C8680" s="1342"/>
      <c r="D8680" s="1342"/>
      <c r="E8680" s="1342"/>
      <c r="F8680" s="1342"/>
      <c r="G8680" s="1342"/>
      <c r="H8680" s="1342"/>
      <c r="I8680" s="1342"/>
      <c r="J8680" s="1342"/>
      <c r="K8680" s="1342"/>
    </row>
    <row r="8681" spans="2:11" ht="14" hidden="1">
      <c r="B8681" s="1342"/>
      <c r="C8681" s="1342"/>
      <c r="D8681" s="1342"/>
      <c r="E8681" s="1342"/>
      <c r="F8681" s="1342"/>
      <c r="G8681" s="1342"/>
      <c r="H8681" s="1342"/>
      <c r="I8681" s="1342"/>
      <c r="J8681" s="1342"/>
      <c r="K8681" s="1342"/>
    </row>
    <row r="8682" spans="2:11" ht="14" hidden="1">
      <c r="B8682" s="1342"/>
      <c r="C8682" s="1342"/>
      <c r="D8682" s="1342"/>
      <c r="E8682" s="1342"/>
      <c r="F8682" s="1342"/>
      <c r="G8682" s="1342"/>
      <c r="H8682" s="1342"/>
      <c r="I8682" s="1342"/>
      <c r="J8682" s="1342"/>
      <c r="K8682" s="1342"/>
    </row>
    <row r="8683" spans="2:11" ht="14" hidden="1">
      <c r="B8683" s="1342"/>
      <c r="C8683" s="1342"/>
      <c r="D8683" s="1342"/>
      <c r="E8683" s="1342"/>
      <c r="F8683" s="1342"/>
      <c r="G8683" s="1342"/>
      <c r="H8683" s="1342"/>
      <c r="I8683" s="1342"/>
      <c r="J8683" s="1342"/>
      <c r="K8683" s="1342"/>
    </row>
    <row r="8684" spans="2:11" ht="14" hidden="1">
      <c r="B8684" s="1342"/>
      <c r="C8684" s="1342"/>
      <c r="D8684" s="1342"/>
      <c r="E8684" s="1342"/>
      <c r="F8684" s="1342"/>
      <c r="G8684" s="1342"/>
      <c r="H8684" s="1342"/>
      <c r="I8684" s="1342"/>
      <c r="J8684" s="1342"/>
      <c r="K8684" s="1342"/>
    </row>
    <row r="8685" spans="2:11" ht="14" hidden="1">
      <c r="B8685" s="1342"/>
      <c r="C8685" s="1342"/>
      <c r="D8685" s="1342"/>
      <c r="E8685" s="1342"/>
      <c r="F8685" s="1342"/>
      <c r="G8685" s="1342"/>
      <c r="H8685" s="1342"/>
      <c r="I8685" s="1342"/>
      <c r="J8685" s="1342"/>
      <c r="K8685" s="1342"/>
    </row>
    <row r="8686" spans="2:11" ht="14" hidden="1">
      <c r="B8686" s="1342"/>
      <c r="C8686" s="1342"/>
      <c r="D8686" s="1342"/>
      <c r="E8686" s="1342"/>
      <c r="F8686" s="1342"/>
      <c r="G8686" s="1342"/>
      <c r="H8686" s="1342"/>
      <c r="I8686" s="1342"/>
      <c r="J8686" s="1342"/>
      <c r="K8686" s="1342"/>
    </row>
    <row r="8687" spans="2:11" ht="14" hidden="1">
      <c r="B8687" s="1342"/>
      <c r="C8687" s="1342"/>
      <c r="D8687" s="1342"/>
      <c r="E8687" s="1342"/>
      <c r="F8687" s="1342"/>
      <c r="G8687" s="1342"/>
      <c r="H8687" s="1342"/>
      <c r="I8687" s="1342"/>
      <c r="J8687" s="1342"/>
      <c r="K8687" s="1342"/>
    </row>
    <row r="8688" spans="2:11" ht="14" hidden="1">
      <c r="B8688" s="1342"/>
      <c r="C8688" s="1342"/>
      <c r="D8688" s="1342"/>
      <c r="E8688" s="1342"/>
      <c r="F8688" s="1342"/>
      <c r="G8688" s="1342"/>
      <c r="H8688" s="1342"/>
      <c r="I8688" s="1342"/>
      <c r="J8688" s="1342"/>
      <c r="K8688" s="1342"/>
    </row>
    <row r="8689" spans="2:11" ht="14" hidden="1">
      <c r="B8689" s="1342"/>
      <c r="C8689" s="1342"/>
      <c r="D8689" s="1342"/>
      <c r="E8689" s="1342"/>
      <c r="F8689" s="1342"/>
      <c r="G8689" s="1342"/>
      <c r="H8689" s="1342"/>
      <c r="I8689" s="1342"/>
      <c r="J8689" s="1342"/>
      <c r="K8689" s="1342"/>
    </row>
    <row r="8690" spans="2:11" ht="14" hidden="1">
      <c r="B8690" s="1342"/>
      <c r="C8690" s="1342"/>
      <c r="D8690" s="1342"/>
      <c r="E8690" s="1342"/>
      <c r="F8690" s="1342"/>
      <c r="G8690" s="1342"/>
      <c r="H8690" s="1342"/>
      <c r="I8690" s="1342"/>
      <c r="J8690" s="1342"/>
      <c r="K8690" s="1342"/>
    </row>
    <row r="8691" spans="2:11" ht="14" hidden="1">
      <c r="B8691" s="1342"/>
      <c r="C8691" s="1342"/>
      <c r="D8691" s="1342"/>
      <c r="E8691" s="1342"/>
      <c r="F8691" s="1342"/>
      <c r="G8691" s="1342"/>
      <c r="H8691" s="1342"/>
      <c r="I8691" s="1342"/>
      <c r="J8691" s="1342"/>
      <c r="K8691" s="1342"/>
    </row>
    <row r="8692" spans="2:11" ht="14" hidden="1">
      <c r="B8692" s="1342"/>
      <c r="C8692" s="1342"/>
      <c r="D8692" s="1342"/>
      <c r="E8692" s="1342"/>
      <c r="F8692" s="1342"/>
      <c r="G8692" s="1342"/>
      <c r="H8692" s="1342"/>
      <c r="I8692" s="1342"/>
      <c r="J8692" s="1342"/>
      <c r="K8692" s="1342"/>
    </row>
    <row r="8693" spans="2:11" ht="14" hidden="1">
      <c r="B8693" s="1342"/>
      <c r="C8693" s="1342"/>
      <c r="D8693" s="1342"/>
      <c r="E8693" s="1342"/>
      <c r="F8693" s="1342"/>
      <c r="G8693" s="1342"/>
      <c r="H8693" s="1342"/>
      <c r="I8693" s="1342"/>
      <c r="J8693" s="1342"/>
      <c r="K8693" s="1342"/>
    </row>
    <row r="8694" spans="2:11" ht="14" hidden="1">
      <c r="B8694" s="1342"/>
      <c r="C8694" s="1342"/>
      <c r="D8694" s="1342"/>
      <c r="E8694" s="1342"/>
      <c r="F8694" s="1342"/>
      <c r="G8694" s="1342"/>
      <c r="H8694" s="1342"/>
      <c r="I8694" s="1342"/>
      <c r="J8694" s="1342"/>
      <c r="K8694" s="1342"/>
    </row>
    <row r="8695" spans="2:11" ht="14" hidden="1">
      <c r="B8695" s="1342"/>
      <c r="C8695" s="1342"/>
      <c r="D8695" s="1342"/>
      <c r="E8695" s="1342"/>
      <c r="F8695" s="1342"/>
      <c r="G8695" s="1342"/>
      <c r="H8695" s="1342"/>
      <c r="I8695" s="1342"/>
      <c r="J8695" s="1342"/>
      <c r="K8695" s="1342"/>
    </row>
    <row r="8696" spans="2:11" ht="14" hidden="1">
      <c r="B8696" s="1342"/>
      <c r="C8696" s="1342"/>
      <c r="D8696" s="1342"/>
      <c r="E8696" s="1342"/>
      <c r="F8696" s="1342"/>
      <c r="G8696" s="1342"/>
      <c r="H8696" s="1342"/>
      <c r="I8696" s="1342"/>
      <c r="J8696" s="1342"/>
      <c r="K8696" s="1342"/>
    </row>
    <row r="8697" spans="2:11" ht="14" hidden="1">
      <c r="B8697" s="1342"/>
      <c r="C8697" s="1342"/>
      <c r="D8697" s="1342"/>
      <c r="E8697" s="1342"/>
      <c r="F8697" s="1342"/>
      <c r="G8697" s="1342"/>
      <c r="H8697" s="1342"/>
      <c r="I8697" s="1342"/>
      <c r="J8697" s="1342"/>
      <c r="K8697" s="1342"/>
    </row>
    <row r="8698" spans="2:11" ht="14" hidden="1">
      <c r="B8698" s="1342"/>
      <c r="C8698" s="1342"/>
      <c r="D8698" s="1342"/>
      <c r="E8698" s="1342"/>
      <c r="F8698" s="1342"/>
      <c r="G8698" s="1342"/>
      <c r="H8698" s="1342"/>
      <c r="I8698" s="1342"/>
      <c r="J8698" s="1342"/>
      <c r="K8698" s="1342"/>
    </row>
    <row r="8699" spans="2:11" ht="14" hidden="1">
      <c r="B8699" s="1342"/>
      <c r="C8699" s="1342"/>
      <c r="D8699" s="1342"/>
      <c r="E8699" s="1342"/>
      <c r="F8699" s="1342"/>
      <c r="G8699" s="1342"/>
      <c r="H8699" s="1342"/>
      <c r="I8699" s="1342"/>
      <c r="J8699" s="1342"/>
      <c r="K8699" s="1342"/>
    </row>
    <row r="8700" spans="2:11" ht="14" hidden="1">
      <c r="B8700" s="1342"/>
      <c r="C8700" s="1342"/>
      <c r="D8700" s="1342"/>
      <c r="E8700" s="1342"/>
      <c r="F8700" s="1342"/>
      <c r="G8700" s="1342"/>
      <c r="H8700" s="1342"/>
      <c r="I8700" s="1342"/>
      <c r="J8700" s="1342"/>
      <c r="K8700" s="1342"/>
    </row>
    <row r="8701" spans="2:11" ht="14" hidden="1">
      <c r="B8701" s="1342"/>
      <c r="C8701" s="1342"/>
      <c r="D8701" s="1342"/>
      <c r="E8701" s="1342"/>
      <c r="F8701" s="1342"/>
      <c r="G8701" s="1342"/>
      <c r="H8701" s="1342"/>
      <c r="I8701" s="1342"/>
      <c r="J8701" s="1342"/>
      <c r="K8701" s="1342"/>
    </row>
    <row r="8702" spans="2:11" ht="14" hidden="1">
      <c r="B8702" s="1342"/>
      <c r="C8702" s="1342"/>
      <c r="D8702" s="1342"/>
      <c r="E8702" s="1342"/>
      <c r="F8702" s="1342"/>
      <c r="G8702" s="1342"/>
      <c r="H8702" s="1342"/>
      <c r="I8702" s="1342"/>
      <c r="J8702" s="1342"/>
      <c r="K8702" s="1342"/>
    </row>
    <row r="8703" spans="2:11" ht="14" hidden="1">
      <c r="B8703" s="1342"/>
      <c r="C8703" s="1342"/>
      <c r="D8703" s="1342"/>
      <c r="E8703" s="1342"/>
      <c r="F8703" s="1342"/>
      <c r="G8703" s="1342"/>
      <c r="H8703" s="1342"/>
      <c r="I8703" s="1342"/>
      <c r="J8703" s="1342"/>
      <c r="K8703" s="1342"/>
    </row>
    <row r="8704" spans="2:11" ht="14" hidden="1">
      <c r="B8704" s="1342"/>
      <c r="C8704" s="1342"/>
      <c r="D8704" s="1342"/>
      <c r="E8704" s="1342"/>
      <c r="F8704" s="1342"/>
      <c r="G8704" s="1342"/>
      <c r="H8704" s="1342"/>
      <c r="I8704" s="1342"/>
      <c r="J8704" s="1342"/>
      <c r="K8704" s="1342"/>
    </row>
    <row r="8705" spans="2:11" ht="14" hidden="1">
      <c r="B8705" s="1342"/>
      <c r="C8705" s="1342"/>
      <c r="D8705" s="1342"/>
      <c r="E8705" s="1342"/>
      <c r="F8705" s="1342"/>
      <c r="G8705" s="1342"/>
      <c r="H8705" s="1342"/>
      <c r="I8705" s="1342"/>
      <c r="J8705" s="1342"/>
      <c r="K8705" s="1342"/>
    </row>
    <row r="8706" spans="2:11" ht="14" hidden="1">
      <c r="B8706" s="1342"/>
      <c r="C8706" s="1342"/>
      <c r="D8706" s="1342"/>
      <c r="E8706" s="1342"/>
      <c r="F8706" s="1342"/>
      <c r="G8706" s="1342"/>
      <c r="H8706" s="1342"/>
      <c r="I8706" s="1342"/>
      <c r="J8706" s="1342"/>
      <c r="K8706" s="1342"/>
    </row>
    <row r="8707" spans="2:11" ht="14" hidden="1">
      <c r="B8707" s="1342"/>
      <c r="C8707" s="1342"/>
      <c r="D8707" s="1342"/>
      <c r="E8707" s="1342"/>
      <c r="F8707" s="1342"/>
      <c r="G8707" s="1342"/>
      <c r="H8707" s="1342"/>
      <c r="I8707" s="1342"/>
      <c r="J8707" s="1342"/>
      <c r="K8707" s="1342"/>
    </row>
    <row r="8708" spans="2:11" ht="14" hidden="1">
      <c r="B8708" s="1342"/>
      <c r="C8708" s="1342"/>
      <c r="D8708" s="1342"/>
      <c r="E8708" s="1342"/>
      <c r="F8708" s="1342"/>
      <c r="G8708" s="1342"/>
      <c r="H8708" s="1342"/>
      <c r="I8708" s="1342"/>
      <c r="J8708" s="1342"/>
      <c r="K8708" s="1342"/>
    </row>
    <row r="8709" spans="2:11" ht="14" hidden="1">
      <c r="B8709" s="1342"/>
      <c r="C8709" s="1342"/>
      <c r="D8709" s="1342"/>
      <c r="E8709" s="1342"/>
      <c r="F8709" s="1342"/>
      <c r="G8709" s="1342"/>
      <c r="H8709" s="1342"/>
      <c r="I8709" s="1342"/>
      <c r="J8709" s="1342"/>
      <c r="K8709" s="1342"/>
    </row>
    <row r="8710" spans="2:11" ht="14" hidden="1">
      <c r="B8710" s="1342"/>
      <c r="C8710" s="1342"/>
      <c r="D8710" s="1342"/>
      <c r="E8710" s="1342"/>
      <c r="F8710" s="1342"/>
      <c r="G8710" s="1342"/>
      <c r="H8710" s="1342"/>
      <c r="I8710" s="1342"/>
      <c r="J8710" s="1342"/>
      <c r="K8710" s="1342"/>
    </row>
    <row r="8711" spans="2:11" ht="14" hidden="1">
      <c r="B8711" s="1342"/>
      <c r="C8711" s="1342"/>
      <c r="D8711" s="1342"/>
      <c r="E8711" s="1342"/>
      <c r="F8711" s="1342"/>
      <c r="G8711" s="1342"/>
      <c r="H8711" s="1342"/>
      <c r="I8711" s="1342"/>
      <c r="J8711" s="1342"/>
      <c r="K8711" s="1342"/>
    </row>
    <row r="8712" spans="2:11" ht="14" hidden="1">
      <c r="B8712" s="1342"/>
      <c r="C8712" s="1342"/>
      <c r="D8712" s="1342"/>
      <c r="E8712" s="1342"/>
      <c r="F8712" s="1342"/>
      <c r="G8712" s="1342"/>
      <c r="H8712" s="1342"/>
      <c r="I8712" s="1342"/>
      <c r="J8712" s="1342"/>
      <c r="K8712" s="1342"/>
    </row>
    <row r="8713" spans="2:11" ht="14" hidden="1">
      <c r="B8713" s="1342"/>
      <c r="C8713" s="1342"/>
      <c r="D8713" s="1342"/>
      <c r="E8713" s="1342"/>
      <c r="F8713" s="1342"/>
      <c r="G8713" s="1342"/>
      <c r="H8713" s="1342"/>
      <c r="I8713" s="1342"/>
      <c r="J8713" s="1342"/>
      <c r="K8713" s="1342"/>
    </row>
    <row r="8714" spans="2:11" ht="14" hidden="1">
      <c r="B8714" s="1342"/>
      <c r="C8714" s="1342"/>
      <c r="D8714" s="1342"/>
      <c r="E8714" s="1342"/>
      <c r="F8714" s="1342"/>
      <c r="G8714" s="1342"/>
      <c r="H8714" s="1342"/>
      <c r="I8714" s="1342"/>
      <c r="J8714" s="1342"/>
      <c r="K8714" s="1342"/>
    </row>
    <row r="8715" spans="2:11" ht="14" hidden="1">
      <c r="B8715" s="1342"/>
      <c r="C8715" s="1342"/>
      <c r="D8715" s="1342"/>
      <c r="E8715" s="1342"/>
      <c r="F8715" s="1342"/>
      <c r="G8715" s="1342"/>
      <c r="H8715" s="1342"/>
      <c r="I8715" s="1342"/>
      <c r="J8715" s="1342"/>
      <c r="K8715" s="1342"/>
    </row>
    <row r="8716" spans="2:11" ht="14" hidden="1">
      <c r="B8716" s="1342"/>
      <c r="C8716" s="1342"/>
      <c r="D8716" s="1342"/>
      <c r="E8716" s="1342"/>
      <c r="F8716" s="1342"/>
      <c r="G8716" s="1342"/>
      <c r="H8716" s="1342"/>
      <c r="I8716" s="1342"/>
      <c r="J8716" s="1342"/>
      <c r="K8716" s="1342"/>
    </row>
    <row r="8717" spans="2:11" ht="14" hidden="1">
      <c r="B8717" s="1342"/>
      <c r="C8717" s="1342"/>
      <c r="D8717" s="1342"/>
      <c r="E8717" s="1342"/>
      <c r="F8717" s="1342"/>
      <c r="G8717" s="1342"/>
      <c r="H8717" s="1342"/>
      <c r="I8717" s="1342"/>
      <c r="J8717" s="1342"/>
      <c r="K8717" s="1342"/>
    </row>
    <row r="8718" spans="2:11" ht="14" hidden="1">
      <c r="B8718" s="1342"/>
      <c r="C8718" s="1342"/>
      <c r="D8718" s="1342"/>
      <c r="E8718" s="1342"/>
      <c r="F8718" s="1342"/>
      <c r="G8718" s="1342"/>
      <c r="H8718" s="1342"/>
      <c r="I8718" s="1342"/>
      <c r="J8718" s="1342"/>
      <c r="K8718" s="1342"/>
    </row>
    <row r="8719" spans="2:11" ht="14" hidden="1">
      <c r="B8719" s="1342"/>
      <c r="C8719" s="1342"/>
      <c r="D8719" s="1342"/>
      <c r="E8719" s="1342"/>
      <c r="F8719" s="1342"/>
      <c r="G8719" s="1342"/>
      <c r="H8719" s="1342"/>
      <c r="I8719" s="1342"/>
      <c r="J8719" s="1342"/>
      <c r="K8719" s="1342"/>
    </row>
    <row r="8720" spans="2:11" ht="14" hidden="1">
      <c r="B8720" s="1342"/>
      <c r="C8720" s="1342"/>
      <c r="D8720" s="1342"/>
      <c r="E8720" s="1342"/>
      <c r="F8720" s="1342"/>
      <c r="G8720" s="1342"/>
      <c r="H8720" s="1342"/>
      <c r="I8720" s="1342"/>
      <c r="J8720" s="1342"/>
      <c r="K8720" s="1342"/>
    </row>
    <row r="8721" spans="2:11" ht="14" hidden="1">
      <c r="B8721" s="1342"/>
      <c r="C8721" s="1342"/>
      <c r="D8721" s="1342"/>
      <c r="E8721" s="1342"/>
      <c r="F8721" s="1342"/>
      <c r="G8721" s="1342"/>
      <c r="H8721" s="1342"/>
      <c r="I8721" s="1342"/>
      <c r="J8721" s="1342"/>
      <c r="K8721" s="1342"/>
    </row>
    <row r="8722" spans="2:11" ht="14" hidden="1">
      <c r="B8722" s="1342"/>
      <c r="C8722" s="1342"/>
      <c r="D8722" s="1342"/>
      <c r="E8722" s="1342"/>
      <c r="F8722" s="1342"/>
      <c r="G8722" s="1342"/>
      <c r="H8722" s="1342"/>
      <c r="I8722" s="1342"/>
      <c r="J8722" s="1342"/>
      <c r="K8722" s="1342"/>
    </row>
    <row r="8723" spans="2:11" ht="14" hidden="1">
      <c r="B8723" s="1342"/>
      <c r="C8723" s="1342"/>
      <c r="D8723" s="1342"/>
      <c r="E8723" s="1342"/>
      <c r="F8723" s="1342"/>
      <c r="G8723" s="1342"/>
      <c r="H8723" s="1342"/>
      <c r="I8723" s="1342"/>
      <c r="J8723" s="1342"/>
      <c r="K8723" s="1342"/>
    </row>
    <row r="8724" spans="2:11" ht="14" hidden="1">
      <c r="B8724" s="1342"/>
      <c r="C8724" s="1342"/>
      <c r="D8724" s="1342"/>
      <c r="E8724" s="1342"/>
      <c r="F8724" s="1342"/>
      <c r="G8724" s="1342"/>
      <c r="H8724" s="1342"/>
      <c r="I8724" s="1342"/>
      <c r="J8724" s="1342"/>
      <c r="K8724" s="1342"/>
    </row>
    <row r="8725" spans="2:11" ht="14" hidden="1">
      <c r="B8725" s="1342"/>
      <c r="C8725" s="1342"/>
      <c r="D8725" s="1342"/>
      <c r="E8725" s="1342"/>
      <c r="F8725" s="1342"/>
      <c r="G8725" s="1342"/>
      <c r="H8725" s="1342"/>
      <c r="I8725" s="1342"/>
      <c r="J8725" s="1342"/>
      <c r="K8725" s="1342"/>
    </row>
    <row r="8726" spans="2:11" ht="14" hidden="1">
      <c r="B8726" s="1342"/>
      <c r="C8726" s="1342"/>
      <c r="D8726" s="1342"/>
      <c r="E8726" s="1342"/>
      <c r="F8726" s="1342"/>
      <c r="G8726" s="1342"/>
      <c r="H8726" s="1342"/>
      <c r="I8726" s="1342"/>
      <c r="J8726" s="1342"/>
      <c r="K8726" s="1342"/>
    </row>
    <row r="8727" spans="2:11" ht="14" hidden="1">
      <c r="B8727" s="1342"/>
      <c r="C8727" s="1342"/>
      <c r="D8727" s="1342"/>
      <c r="E8727" s="1342"/>
      <c r="F8727" s="1342"/>
      <c r="G8727" s="1342"/>
      <c r="H8727" s="1342"/>
      <c r="I8727" s="1342"/>
      <c r="J8727" s="1342"/>
      <c r="K8727" s="1342"/>
    </row>
    <row r="8728" spans="2:11" ht="14" hidden="1">
      <c r="B8728" s="1342"/>
      <c r="C8728" s="1342"/>
      <c r="D8728" s="1342"/>
      <c r="E8728" s="1342"/>
      <c r="F8728" s="1342"/>
      <c r="G8728" s="1342"/>
      <c r="H8728" s="1342"/>
      <c r="I8728" s="1342"/>
      <c r="J8728" s="1342"/>
      <c r="K8728" s="1342"/>
    </row>
    <row r="8729" spans="2:11" ht="14" hidden="1">
      <c r="B8729" s="1342"/>
      <c r="C8729" s="1342"/>
      <c r="D8729" s="1342"/>
      <c r="E8729" s="1342"/>
      <c r="F8729" s="1342"/>
      <c r="G8729" s="1342"/>
      <c r="H8729" s="1342"/>
      <c r="I8729" s="1342"/>
      <c r="J8729" s="1342"/>
      <c r="K8729" s="1342"/>
    </row>
    <row r="8730" spans="2:11" ht="14" hidden="1">
      <c r="B8730" s="1342"/>
      <c r="C8730" s="1342"/>
      <c r="D8730" s="1342"/>
      <c r="E8730" s="1342"/>
      <c r="F8730" s="1342"/>
      <c r="G8730" s="1342"/>
      <c r="H8730" s="1342"/>
      <c r="I8730" s="1342"/>
      <c r="J8730" s="1342"/>
      <c r="K8730" s="1342"/>
    </row>
    <row r="8731" spans="2:11" ht="14" hidden="1">
      <c r="B8731" s="1342"/>
      <c r="C8731" s="1342"/>
      <c r="D8731" s="1342"/>
      <c r="E8731" s="1342"/>
      <c r="F8731" s="1342"/>
      <c r="G8731" s="1342"/>
      <c r="H8731" s="1342"/>
      <c r="I8731" s="1342"/>
      <c r="J8731" s="1342"/>
      <c r="K8731" s="1342"/>
    </row>
    <row r="8732" spans="2:11" ht="14" hidden="1">
      <c r="B8732" s="1342"/>
      <c r="C8732" s="1342"/>
      <c r="D8732" s="1342"/>
      <c r="E8732" s="1342"/>
      <c r="F8732" s="1342"/>
      <c r="G8732" s="1342"/>
      <c r="H8732" s="1342"/>
      <c r="I8732" s="1342"/>
      <c r="J8732" s="1342"/>
      <c r="K8732" s="1342"/>
    </row>
    <row r="8733" spans="2:11" ht="14" hidden="1">
      <c r="B8733" s="1342"/>
      <c r="C8733" s="1342"/>
      <c r="D8733" s="1342"/>
      <c r="E8733" s="1342"/>
      <c r="F8733" s="1342"/>
      <c r="G8733" s="1342"/>
      <c r="H8733" s="1342"/>
      <c r="I8733" s="1342"/>
      <c r="J8733" s="1342"/>
      <c r="K8733" s="1342"/>
    </row>
    <row r="8734" spans="2:11" ht="14" hidden="1">
      <c r="B8734" s="1342"/>
      <c r="C8734" s="1342"/>
      <c r="D8734" s="1342"/>
      <c r="E8734" s="1342"/>
      <c r="F8734" s="1342"/>
      <c r="G8734" s="1342"/>
      <c r="H8734" s="1342"/>
      <c r="I8734" s="1342"/>
      <c r="J8734" s="1342"/>
      <c r="K8734" s="1342"/>
    </row>
    <row r="8735" spans="2:11" ht="14" hidden="1">
      <c r="B8735" s="1342"/>
      <c r="C8735" s="1342"/>
      <c r="D8735" s="1342"/>
      <c r="E8735" s="1342"/>
      <c r="F8735" s="1342"/>
      <c r="G8735" s="1342"/>
      <c r="H8735" s="1342"/>
      <c r="I8735" s="1342"/>
      <c r="J8735" s="1342"/>
      <c r="K8735" s="1342"/>
    </row>
    <row r="8736" spans="2:11" ht="14" hidden="1">
      <c r="B8736" s="1342"/>
      <c r="C8736" s="1342"/>
      <c r="D8736" s="1342"/>
      <c r="E8736" s="1342"/>
      <c r="F8736" s="1342"/>
      <c r="G8736" s="1342"/>
      <c r="H8736" s="1342"/>
      <c r="I8736" s="1342"/>
      <c r="J8736" s="1342"/>
      <c r="K8736" s="1342"/>
    </row>
    <row r="8737" spans="2:11" ht="14" hidden="1">
      <c r="B8737" s="1342"/>
      <c r="C8737" s="1342"/>
      <c r="D8737" s="1342"/>
      <c r="E8737" s="1342"/>
      <c r="F8737" s="1342"/>
      <c r="G8737" s="1342"/>
      <c r="H8737" s="1342"/>
      <c r="I8737" s="1342"/>
      <c r="J8737" s="1342"/>
      <c r="K8737" s="1342"/>
    </row>
    <row r="8738" spans="2:11" ht="14" hidden="1">
      <c r="B8738" s="1342"/>
      <c r="C8738" s="1342"/>
      <c r="D8738" s="1342"/>
      <c r="E8738" s="1342"/>
      <c r="F8738" s="1342"/>
      <c r="G8738" s="1342"/>
      <c r="H8738" s="1342"/>
      <c r="I8738" s="1342"/>
      <c r="J8738" s="1342"/>
      <c r="K8738" s="1342"/>
    </row>
    <row r="8739" spans="2:11" ht="14" hidden="1">
      <c r="B8739" s="1342"/>
      <c r="C8739" s="1342"/>
      <c r="D8739" s="1342"/>
      <c r="E8739" s="1342"/>
      <c r="F8739" s="1342"/>
      <c r="G8739" s="1342"/>
      <c r="H8739" s="1342"/>
      <c r="I8739" s="1342"/>
      <c r="J8739" s="1342"/>
      <c r="K8739" s="1342"/>
    </row>
    <row r="8740" spans="2:11" ht="14" hidden="1">
      <c r="B8740" s="1342"/>
      <c r="C8740" s="1342"/>
      <c r="D8740" s="1342"/>
      <c r="E8740" s="1342"/>
      <c r="F8740" s="1342"/>
      <c r="G8740" s="1342"/>
      <c r="H8740" s="1342"/>
      <c r="I8740" s="1342"/>
      <c r="J8740" s="1342"/>
      <c r="K8740" s="1342"/>
    </row>
    <row r="8741" spans="2:11" ht="14" hidden="1">
      <c r="B8741" s="1342"/>
      <c r="C8741" s="1342"/>
      <c r="D8741" s="1342"/>
      <c r="E8741" s="1342"/>
      <c r="F8741" s="1342"/>
      <c r="G8741" s="1342"/>
      <c r="H8741" s="1342"/>
      <c r="I8741" s="1342"/>
      <c r="J8741" s="1342"/>
      <c r="K8741" s="1342"/>
    </row>
    <row r="8742" spans="2:11" ht="14" hidden="1">
      <c r="B8742" s="1342"/>
      <c r="C8742" s="1342"/>
      <c r="D8742" s="1342"/>
      <c r="E8742" s="1342"/>
      <c r="F8742" s="1342"/>
      <c r="G8742" s="1342"/>
      <c r="H8742" s="1342"/>
      <c r="I8742" s="1342"/>
      <c r="J8742" s="1342"/>
      <c r="K8742" s="1342"/>
    </row>
    <row r="8743" spans="2:11" ht="14" hidden="1">
      <c r="B8743" s="1342"/>
      <c r="C8743" s="1342"/>
      <c r="D8743" s="1342"/>
      <c r="E8743" s="1342"/>
      <c r="F8743" s="1342"/>
      <c r="G8743" s="1342"/>
      <c r="H8743" s="1342"/>
      <c r="I8743" s="1342"/>
      <c r="J8743" s="1342"/>
      <c r="K8743" s="1342"/>
    </row>
    <row r="8744" spans="2:11" ht="14" hidden="1">
      <c r="B8744" s="1342"/>
      <c r="C8744" s="1342"/>
      <c r="D8744" s="1342"/>
      <c r="E8744" s="1342"/>
      <c r="F8744" s="1342"/>
      <c r="G8744" s="1342"/>
      <c r="H8744" s="1342"/>
      <c r="I8744" s="1342"/>
      <c r="J8744" s="1342"/>
      <c r="K8744" s="1342"/>
    </row>
    <row r="8745" spans="2:11" ht="14" hidden="1">
      <c r="B8745" s="1342"/>
      <c r="C8745" s="1342"/>
      <c r="D8745" s="1342"/>
      <c r="E8745" s="1342"/>
      <c r="F8745" s="1342"/>
      <c r="G8745" s="1342"/>
      <c r="H8745" s="1342"/>
      <c r="I8745" s="1342"/>
      <c r="J8745" s="1342"/>
      <c r="K8745" s="1342"/>
    </row>
    <row r="8746" spans="2:11" ht="14" hidden="1">
      <c r="B8746" s="1342"/>
      <c r="C8746" s="1342"/>
      <c r="D8746" s="1342"/>
      <c r="E8746" s="1342"/>
      <c r="F8746" s="1342"/>
      <c r="G8746" s="1342"/>
      <c r="H8746" s="1342"/>
      <c r="I8746" s="1342"/>
      <c r="J8746" s="1342"/>
      <c r="K8746" s="1342"/>
    </row>
    <row r="8747" spans="2:11" ht="14" hidden="1">
      <c r="B8747" s="1342"/>
      <c r="C8747" s="1342"/>
      <c r="D8747" s="1342"/>
      <c r="E8747" s="1342"/>
      <c r="F8747" s="1342"/>
      <c r="G8747" s="1342"/>
      <c r="H8747" s="1342"/>
      <c r="I8747" s="1342"/>
      <c r="J8747" s="1342"/>
      <c r="K8747" s="1342"/>
    </row>
    <row r="8748" spans="2:11" ht="14" hidden="1">
      <c r="B8748" s="1342"/>
      <c r="C8748" s="1342"/>
      <c r="D8748" s="1342"/>
      <c r="E8748" s="1342"/>
      <c r="F8748" s="1342"/>
      <c r="G8748" s="1342"/>
      <c r="H8748" s="1342"/>
      <c r="I8748" s="1342"/>
      <c r="J8748" s="1342"/>
      <c r="K8748" s="1342"/>
    </row>
    <row r="8749" spans="2:11" ht="14" hidden="1">
      <c r="B8749" s="1342"/>
      <c r="C8749" s="1342"/>
      <c r="D8749" s="1342"/>
      <c r="E8749" s="1342"/>
      <c r="F8749" s="1342"/>
      <c r="G8749" s="1342"/>
      <c r="H8749" s="1342"/>
      <c r="I8749" s="1342"/>
      <c r="J8749" s="1342"/>
      <c r="K8749" s="1342"/>
    </row>
    <row r="8750" spans="2:11" ht="14" hidden="1">
      <c r="B8750" s="1342"/>
      <c r="C8750" s="1342"/>
      <c r="D8750" s="1342"/>
      <c r="E8750" s="1342"/>
      <c r="F8750" s="1342"/>
      <c r="G8750" s="1342"/>
      <c r="H8750" s="1342"/>
      <c r="I8750" s="1342"/>
      <c r="J8750" s="1342"/>
      <c r="K8750" s="1342"/>
    </row>
    <row r="8751" spans="2:11" ht="14" hidden="1">
      <c r="B8751" s="1342"/>
      <c r="C8751" s="1342"/>
      <c r="D8751" s="1342"/>
      <c r="E8751" s="1342"/>
      <c r="F8751" s="1342"/>
      <c r="G8751" s="1342"/>
      <c r="H8751" s="1342"/>
      <c r="I8751" s="1342"/>
      <c r="J8751" s="1342"/>
      <c r="K8751" s="1342"/>
    </row>
    <row r="8752" spans="2:11" ht="14" hidden="1">
      <c r="B8752" s="1342"/>
      <c r="C8752" s="1342"/>
      <c r="D8752" s="1342"/>
      <c r="E8752" s="1342"/>
      <c r="F8752" s="1342"/>
      <c r="G8752" s="1342"/>
      <c r="H8752" s="1342"/>
      <c r="I8752" s="1342"/>
      <c r="J8752" s="1342"/>
      <c r="K8752" s="1342"/>
    </row>
    <row r="8753" spans="2:11" ht="14" hidden="1">
      <c r="B8753" s="1342"/>
      <c r="C8753" s="1342"/>
      <c r="D8753" s="1342"/>
      <c r="E8753" s="1342"/>
      <c r="F8753" s="1342"/>
      <c r="G8753" s="1342"/>
      <c r="H8753" s="1342"/>
      <c r="I8753" s="1342"/>
      <c r="J8753" s="1342"/>
      <c r="K8753" s="1342"/>
    </row>
    <row r="8754" spans="2:11" ht="14" hidden="1">
      <c r="B8754" s="1342"/>
      <c r="C8754" s="1342"/>
      <c r="D8754" s="1342"/>
      <c r="E8754" s="1342"/>
      <c r="F8754" s="1342"/>
      <c r="G8754" s="1342"/>
      <c r="H8754" s="1342"/>
      <c r="I8754" s="1342"/>
      <c r="J8754" s="1342"/>
      <c r="K8754" s="1342"/>
    </row>
    <row r="8755" spans="2:11" ht="14" hidden="1">
      <c r="B8755" s="1342"/>
      <c r="C8755" s="1342"/>
      <c r="D8755" s="1342"/>
      <c r="E8755" s="1342"/>
      <c r="F8755" s="1342"/>
      <c r="G8755" s="1342"/>
      <c r="H8755" s="1342"/>
      <c r="I8755" s="1342"/>
      <c r="J8755" s="1342"/>
      <c r="K8755" s="1342"/>
    </row>
    <row r="8756" spans="2:11" ht="14" hidden="1">
      <c r="B8756" s="1342"/>
      <c r="C8756" s="1342"/>
      <c r="D8756" s="1342"/>
      <c r="E8756" s="1342"/>
      <c r="F8756" s="1342"/>
      <c r="G8756" s="1342"/>
      <c r="H8756" s="1342"/>
      <c r="I8756" s="1342"/>
      <c r="J8756" s="1342"/>
      <c r="K8756" s="1342"/>
    </row>
    <row r="8757" spans="2:11" ht="14" hidden="1">
      <c r="B8757" s="1342"/>
      <c r="C8757" s="1342"/>
      <c r="D8757" s="1342"/>
      <c r="E8757" s="1342"/>
      <c r="F8757" s="1342"/>
      <c r="G8757" s="1342"/>
      <c r="H8757" s="1342"/>
      <c r="I8757" s="1342"/>
      <c r="J8757" s="1342"/>
      <c r="K8757" s="1342"/>
    </row>
    <row r="8758" spans="2:11" ht="14" hidden="1">
      <c r="B8758" s="1342"/>
      <c r="C8758" s="1342"/>
      <c r="D8758" s="1342"/>
      <c r="E8758" s="1342"/>
      <c r="F8758" s="1342"/>
      <c r="G8758" s="1342"/>
      <c r="H8758" s="1342"/>
      <c r="I8758" s="1342"/>
      <c r="J8758" s="1342"/>
      <c r="K8758" s="1342"/>
    </row>
    <row r="8759" spans="2:11" ht="14" hidden="1">
      <c r="B8759" s="1342"/>
      <c r="C8759" s="1342"/>
      <c r="D8759" s="1342"/>
      <c r="E8759" s="1342"/>
      <c r="F8759" s="1342"/>
      <c r="G8759" s="1342"/>
      <c r="H8759" s="1342"/>
      <c r="I8759" s="1342"/>
      <c r="J8759" s="1342"/>
      <c r="K8759" s="1342"/>
    </row>
    <row r="8760" spans="2:11" ht="14" hidden="1">
      <c r="B8760" s="1342"/>
      <c r="C8760" s="1342"/>
      <c r="D8760" s="1342"/>
      <c r="E8760" s="1342"/>
      <c r="F8760" s="1342"/>
      <c r="G8760" s="1342"/>
      <c r="H8760" s="1342"/>
      <c r="I8760" s="1342"/>
      <c r="J8760" s="1342"/>
      <c r="K8760" s="1342"/>
    </row>
    <row r="8761" spans="2:11" ht="14" hidden="1">
      <c r="B8761" s="1342"/>
      <c r="C8761" s="1342"/>
      <c r="D8761" s="1342"/>
      <c r="E8761" s="1342"/>
      <c r="F8761" s="1342"/>
      <c r="G8761" s="1342"/>
      <c r="H8761" s="1342"/>
      <c r="I8761" s="1342"/>
      <c r="J8761" s="1342"/>
      <c r="K8761" s="1342"/>
    </row>
    <row r="8762" spans="2:11" ht="14" hidden="1">
      <c r="B8762" s="1342"/>
      <c r="C8762" s="1342"/>
      <c r="D8762" s="1342"/>
      <c r="E8762" s="1342"/>
      <c r="F8762" s="1342"/>
      <c r="G8762" s="1342"/>
      <c r="H8762" s="1342"/>
      <c r="I8762" s="1342"/>
      <c r="J8762" s="1342"/>
      <c r="K8762" s="1342"/>
    </row>
    <row r="8763" spans="2:11" ht="14" hidden="1">
      <c r="B8763" s="1342"/>
      <c r="C8763" s="1342"/>
      <c r="D8763" s="1342"/>
      <c r="E8763" s="1342"/>
      <c r="F8763" s="1342"/>
      <c r="G8763" s="1342"/>
      <c r="H8763" s="1342"/>
      <c r="I8763" s="1342"/>
      <c r="J8763" s="1342"/>
      <c r="K8763" s="1342"/>
    </row>
    <row r="8764" spans="2:11" ht="14" hidden="1">
      <c r="B8764" s="1342"/>
      <c r="C8764" s="1342"/>
      <c r="D8764" s="1342"/>
      <c r="E8764" s="1342"/>
      <c r="F8764" s="1342"/>
      <c r="G8764" s="1342"/>
      <c r="H8764" s="1342"/>
      <c r="I8764" s="1342"/>
      <c r="J8764" s="1342"/>
      <c r="K8764" s="1342"/>
    </row>
    <row r="8765" spans="2:11" ht="14" hidden="1">
      <c r="B8765" s="1342"/>
      <c r="C8765" s="1342"/>
      <c r="D8765" s="1342"/>
      <c r="E8765" s="1342"/>
      <c r="F8765" s="1342"/>
      <c r="G8765" s="1342"/>
      <c r="H8765" s="1342"/>
      <c r="I8765" s="1342"/>
      <c r="J8765" s="1342"/>
      <c r="K8765" s="1342"/>
    </row>
    <row r="8766" spans="2:11" ht="14" hidden="1">
      <c r="B8766" s="1342"/>
      <c r="C8766" s="1342"/>
      <c r="D8766" s="1342"/>
      <c r="E8766" s="1342"/>
      <c r="F8766" s="1342"/>
      <c r="G8766" s="1342"/>
      <c r="H8766" s="1342"/>
      <c r="I8766" s="1342"/>
      <c r="J8766" s="1342"/>
      <c r="K8766" s="1342"/>
    </row>
    <row r="8767" spans="2:11" ht="14" hidden="1">
      <c r="B8767" s="1342"/>
      <c r="C8767" s="1342"/>
      <c r="D8767" s="1342"/>
      <c r="E8767" s="1342"/>
      <c r="F8767" s="1342"/>
      <c r="G8767" s="1342"/>
      <c r="H8767" s="1342"/>
      <c r="I8767" s="1342"/>
      <c r="J8767" s="1342"/>
      <c r="K8767" s="1342"/>
    </row>
    <row r="8768" spans="2:11" ht="14" hidden="1">
      <c r="B8768" s="1342"/>
      <c r="C8768" s="1342"/>
      <c r="D8768" s="1342"/>
      <c r="E8768" s="1342"/>
      <c r="F8768" s="1342"/>
      <c r="G8768" s="1342"/>
      <c r="H8768" s="1342"/>
      <c r="I8768" s="1342"/>
      <c r="J8768" s="1342"/>
      <c r="K8768" s="1342"/>
    </row>
    <row r="8769" spans="2:11" ht="14" hidden="1">
      <c r="B8769" s="1342"/>
      <c r="C8769" s="1342"/>
      <c r="D8769" s="1342"/>
      <c r="E8769" s="1342"/>
      <c r="F8769" s="1342"/>
      <c r="G8769" s="1342"/>
      <c r="H8769" s="1342"/>
      <c r="I8769" s="1342"/>
      <c r="J8769" s="1342"/>
      <c r="K8769" s="1342"/>
    </row>
    <row r="8770" spans="2:11" ht="14" hidden="1">
      <c r="B8770" s="1342"/>
      <c r="C8770" s="1342"/>
      <c r="D8770" s="1342"/>
      <c r="E8770" s="1342"/>
      <c r="F8770" s="1342"/>
      <c r="G8770" s="1342"/>
      <c r="H8770" s="1342"/>
      <c r="I8770" s="1342"/>
      <c r="J8770" s="1342"/>
      <c r="K8770" s="1342"/>
    </row>
    <row r="8771" spans="2:11" ht="14" hidden="1">
      <c r="B8771" s="1342"/>
      <c r="C8771" s="1342"/>
      <c r="D8771" s="1342"/>
      <c r="E8771" s="1342"/>
      <c r="F8771" s="1342"/>
      <c r="G8771" s="1342"/>
      <c r="H8771" s="1342"/>
      <c r="I8771" s="1342"/>
      <c r="J8771" s="1342"/>
      <c r="K8771" s="1342"/>
    </row>
    <row r="8772" spans="2:11" ht="14" hidden="1">
      <c r="B8772" s="1342"/>
      <c r="C8772" s="1342"/>
      <c r="D8772" s="1342"/>
      <c r="E8772" s="1342"/>
      <c r="F8772" s="1342"/>
      <c r="G8772" s="1342"/>
      <c r="H8772" s="1342"/>
      <c r="I8772" s="1342"/>
      <c r="J8772" s="1342"/>
      <c r="K8772" s="1342"/>
    </row>
    <row r="8773" spans="2:11" ht="14" hidden="1">
      <c r="B8773" s="1342"/>
      <c r="C8773" s="1342"/>
      <c r="D8773" s="1342"/>
      <c r="E8773" s="1342"/>
      <c r="F8773" s="1342"/>
      <c r="G8773" s="1342"/>
      <c r="H8773" s="1342"/>
      <c r="I8773" s="1342"/>
      <c r="J8773" s="1342"/>
      <c r="K8773" s="1342"/>
    </row>
    <row r="8774" spans="2:11" ht="14" hidden="1">
      <c r="B8774" s="1342"/>
      <c r="C8774" s="1342"/>
      <c r="D8774" s="1342"/>
      <c r="E8774" s="1342"/>
      <c r="F8774" s="1342"/>
      <c r="G8774" s="1342"/>
      <c r="H8774" s="1342"/>
      <c r="I8774" s="1342"/>
      <c r="J8774" s="1342"/>
      <c r="K8774" s="1342"/>
    </row>
    <row r="8775" spans="2:11" ht="14" hidden="1">
      <c r="B8775" s="1342"/>
      <c r="C8775" s="1342"/>
      <c r="D8775" s="1342"/>
      <c r="E8775" s="1342"/>
      <c r="F8775" s="1342"/>
      <c r="G8775" s="1342"/>
      <c r="H8775" s="1342"/>
      <c r="I8775" s="1342"/>
      <c r="J8775" s="1342"/>
      <c r="K8775" s="1342"/>
    </row>
    <row r="8776" spans="2:11" ht="14" hidden="1">
      <c r="B8776" s="1342"/>
      <c r="C8776" s="1342"/>
      <c r="D8776" s="1342"/>
      <c r="E8776" s="1342"/>
      <c r="F8776" s="1342"/>
      <c r="G8776" s="1342"/>
      <c r="H8776" s="1342"/>
      <c r="I8776" s="1342"/>
      <c r="J8776" s="1342"/>
      <c r="K8776" s="1342"/>
    </row>
    <row r="8777" spans="2:11" ht="14" hidden="1">
      <c r="B8777" s="1342"/>
      <c r="C8777" s="1342"/>
      <c r="D8777" s="1342"/>
      <c r="E8777" s="1342"/>
      <c r="F8777" s="1342"/>
      <c r="G8777" s="1342"/>
      <c r="H8777" s="1342"/>
      <c r="I8777" s="1342"/>
      <c r="J8777" s="1342"/>
      <c r="K8777" s="1342"/>
    </row>
    <row r="8778" spans="2:11" ht="14" hidden="1">
      <c r="B8778" s="1342"/>
      <c r="C8778" s="1342"/>
      <c r="D8778" s="1342"/>
      <c r="E8778" s="1342"/>
      <c r="F8778" s="1342"/>
      <c r="G8778" s="1342"/>
      <c r="H8778" s="1342"/>
      <c r="I8778" s="1342"/>
      <c r="J8778" s="1342"/>
      <c r="K8778" s="1342"/>
    </row>
    <row r="8779" spans="2:11" ht="14" hidden="1">
      <c r="B8779" s="1342"/>
      <c r="C8779" s="1342"/>
      <c r="D8779" s="1342"/>
      <c r="E8779" s="1342"/>
      <c r="F8779" s="1342"/>
      <c r="G8779" s="1342"/>
      <c r="H8779" s="1342"/>
      <c r="I8779" s="1342"/>
      <c r="J8779" s="1342"/>
      <c r="K8779" s="1342"/>
    </row>
    <row r="8780" spans="2:11" ht="14" hidden="1">
      <c r="B8780" s="1342"/>
      <c r="C8780" s="1342"/>
      <c r="D8780" s="1342"/>
      <c r="E8780" s="1342"/>
      <c r="F8780" s="1342"/>
      <c r="G8780" s="1342"/>
      <c r="H8780" s="1342"/>
      <c r="I8780" s="1342"/>
      <c r="J8780" s="1342"/>
      <c r="K8780" s="1342"/>
    </row>
    <row r="8781" spans="2:11" ht="14" hidden="1">
      <c r="B8781" s="1342"/>
      <c r="C8781" s="1342"/>
      <c r="D8781" s="1342"/>
      <c r="E8781" s="1342"/>
      <c r="F8781" s="1342"/>
      <c r="G8781" s="1342"/>
      <c r="H8781" s="1342"/>
      <c r="I8781" s="1342"/>
      <c r="J8781" s="1342"/>
      <c r="K8781" s="1342"/>
    </row>
    <row r="8782" spans="2:11" ht="14" hidden="1">
      <c r="B8782" s="1342"/>
      <c r="C8782" s="1342"/>
      <c r="D8782" s="1342"/>
      <c r="E8782" s="1342"/>
      <c r="F8782" s="1342"/>
      <c r="G8782" s="1342"/>
      <c r="H8782" s="1342"/>
      <c r="I8782" s="1342"/>
      <c r="J8782" s="1342"/>
      <c r="K8782" s="1342"/>
    </row>
    <row r="8783" spans="2:11" ht="14" hidden="1">
      <c r="B8783" s="1342"/>
      <c r="C8783" s="1342"/>
      <c r="D8783" s="1342"/>
      <c r="E8783" s="1342"/>
      <c r="F8783" s="1342"/>
      <c r="G8783" s="1342"/>
      <c r="H8783" s="1342"/>
      <c r="I8783" s="1342"/>
      <c r="J8783" s="1342"/>
      <c r="K8783" s="1342"/>
    </row>
    <row r="8784" spans="2:11" ht="14" hidden="1">
      <c r="B8784" s="1342"/>
      <c r="C8784" s="1342"/>
      <c r="D8784" s="1342"/>
      <c r="E8784" s="1342"/>
      <c r="F8784" s="1342"/>
      <c r="G8784" s="1342"/>
      <c r="H8784" s="1342"/>
      <c r="I8784" s="1342"/>
      <c r="J8784" s="1342"/>
      <c r="K8784" s="1342"/>
    </row>
    <row r="8785" spans="2:11" ht="14" hidden="1">
      <c r="B8785" s="1342"/>
      <c r="C8785" s="1342"/>
      <c r="D8785" s="1342"/>
      <c r="E8785" s="1342"/>
      <c r="F8785" s="1342"/>
      <c r="G8785" s="1342"/>
      <c r="H8785" s="1342"/>
      <c r="I8785" s="1342"/>
      <c r="J8785" s="1342"/>
      <c r="K8785" s="1342"/>
    </row>
    <row r="8786" spans="2:11" ht="14" hidden="1">
      <c r="B8786" s="1342"/>
      <c r="C8786" s="1342"/>
      <c r="D8786" s="1342"/>
      <c r="E8786" s="1342"/>
      <c r="F8786" s="1342"/>
      <c r="G8786" s="1342"/>
      <c r="H8786" s="1342"/>
      <c r="I8786" s="1342"/>
      <c r="J8786" s="1342"/>
      <c r="K8786" s="1342"/>
    </row>
    <row r="8787" spans="2:11" ht="14" hidden="1">
      <c r="B8787" s="1342"/>
      <c r="C8787" s="1342"/>
      <c r="D8787" s="1342"/>
      <c r="E8787" s="1342"/>
      <c r="F8787" s="1342"/>
      <c r="G8787" s="1342"/>
      <c r="H8787" s="1342"/>
      <c r="I8787" s="1342"/>
      <c r="J8787" s="1342"/>
      <c r="K8787" s="1342"/>
    </row>
    <row r="8788" spans="2:11" ht="14" hidden="1">
      <c r="B8788" s="1342"/>
      <c r="C8788" s="1342"/>
      <c r="D8788" s="1342"/>
      <c r="E8788" s="1342"/>
      <c r="F8788" s="1342"/>
      <c r="G8788" s="1342"/>
      <c r="H8788" s="1342"/>
      <c r="I8788" s="1342"/>
      <c r="J8788" s="1342"/>
      <c r="K8788" s="1342"/>
    </row>
    <row r="8789" spans="2:11" ht="14" hidden="1">
      <c r="B8789" s="1342"/>
      <c r="C8789" s="1342"/>
      <c r="D8789" s="1342"/>
      <c r="E8789" s="1342"/>
      <c r="F8789" s="1342"/>
      <c r="G8789" s="1342"/>
      <c r="H8789" s="1342"/>
      <c r="I8789" s="1342"/>
      <c r="J8789" s="1342"/>
      <c r="K8789" s="1342"/>
    </row>
    <row r="8790" spans="2:11" ht="14" hidden="1">
      <c r="B8790" s="1342"/>
      <c r="C8790" s="1342"/>
      <c r="D8790" s="1342"/>
      <c r="E8790" s="1342"/>
      <c r="F8790" s="1342"/>
      <c r="G8790" s="1342"/>
      <c r="H8790" s="1342"/>
      <c r="I8790" s="1342"/>
      <c r="J8790" s="1342"/>
      <c r="K8790" s="1342"/>
    </row>
    <row r="8791" spans="2:11" ht="14" hidden="1">
      <c r="B8791" s="1342"/>
      <c r="C8791" s="1342"/>
      <c r="D8791" s="1342"/>
      <c r="E8791" s="1342"/>
      <c r="F8791" s="1342"/>
      <c r="G8791" s="1342"/>
      <c r="H8791" s="1342"/>
      <c r="I8791" s="1342"/>
      <c r="J8791" s="1342"/>
      <c r="K8791" s="1342"/>
    </row>
    <row r="8792" spans="2:11" ht="14" hidden="1">
      <c r="B8792" s="1342"/>
      <c r="C8792" s="1342"/>
      <c r="D8792" s="1342"/>
      <c r="E8792" s="1342"/>
      <c r="F8792" s="1342"/>
      <c r="G8792" s="1342"/>
      <c r="H8792" s="1342"/>
      <c r="I8792" s="1342"/>
      <c r="J8792" s="1342"/>
      <c r="K8792" s="1342"/>
    </row>
    <row r="8793" spans="2:11" ht="14" hidden="1">
      <c r="B8793" s="1342"/>
      <c r="C8793" s="1342"/>
      <c r="D8793" s="1342"/>
      <c r="E8793" s="1342"/>
      <c r="F8793" s="1342"/>
      <c r="G8793" s="1342"/>
      <c r="H8793" s="1342"/>
      <c r="I8793" s="1342"/>
      <c r="J8793" s="1342"/>
      <c r="K8793" s="1342"/>
    </row>
    <row r="8794" spans="2:11" ht="14" hidden="1">
      <c r="B8794" s="1342"/>
      <c r="C8794" s="1342"/>
      <c r="D8794" s="1342"/>
      <c r="E8794" s="1342"/>
      <c r="F8794" s="1342"/>
      <c r="G8794" s="1342"/>
      <c r="H8794" s="1342"/>
      <c r="I8794" s="1342"/>
      <c r="J8794" s="1342"/>
      <c r="K8794" s="1342"/>
    </row>
    <row r="8795" spans="2:11" ht="14" hidden="1">
      <c r="B8795" s="1342"/>
      <c r="C8795" s="1342"/>
      <c r="D8795" s="1342"/>
      <c r="E8795" s="1342"/>
      <c r="F8795" s="1342"/>
      <c r="G8795" s="1342"/>
      <c r="H8795" s="1342"/>
      <c r="I8795" s="1342"/>
      <c r="J8795" s="1342"/>
      <c r="K8795" s="1342"/>
    </row>
    <row r="8796" spans="2:11" ht="14" hidden="1">
      <c r="B8796" s="1342"/>
      <c r="C8796" s="1342"/>
      <c r="D8796" s="1342"/>
      <c r="E8796" s="1342"/>
      <c r="F8796" s="1342"/>
      <c r="G8796" s="1342"/>
      <c r="H8796" s="1342"/>
      <c r="I8796" s="1342"/>
      <c r="J8796" s="1342"/>
      <c r="K8796" s="1342"/>
    </row>
    <row r="8797" spans="2:11" ht="14" hidden="1">
      <c r="B8797" s="1342"/>
      <c r="C8797" s="1342"/>
      <c r="D8797" s="1342"/>
      <c r="E8797" s="1342"/>
      <c r="F8797" s="1342"/>
      <c r="G8797" s="1342"/>
      <c r="H8797" s="1342"/>
      <c r="I8797" s="1342"/>
      <c r="J8797" s="1342"/>
      <c r="K8797" s="1342"/>
    </row>
    <row r="8798" spans="2:11" ht="14" hidden="1">
      <c r="B8798" s="1342"/>
      <c r="C8798" s="1342"/>
      <c r="D8798" s="1342"/>
      <c r="E8798" s="1342"/>
      <c r="F8798" s="1342"/>
      <c r="G8798" s="1342"/>
      <c r="H8798" s="1342"/>
      <c r="I8798" s="1342"/>
      <c r="J8798" s="1342"/>
      <c r="K8798" s="1342"/>
    </row>
    <row r="8799" spans="2:11" ht="14" hidden="1">
      <c r="B8799" s="1342"/>
      <c r="C8799" s="1342"/>
      <c r="D8799" s="1342"/>
      <c r="E8799" s="1342"/>
      <c r="F8799" s="1342"/>
      <c r="G8799" s="1342"/>
      <c r="H8799" s="1342"/>
      <c r="I8799" s="1342"/>
      <c r="J8799" s="1342"/>
      <c r="K8799" s="1342"/>
    </row>
    <row r="8800" spans="2:11" ht="14" hidden="1">
      <c r="B8800" s="1342"/>
      <c r="C8800" s="1342"/>
      <c r="D8800" s="1342"/>
      <c r="E8800" s="1342"/>
      <c r="F8800" s="1342"/>
      <c r="G8800" s="1342"/>
      <c r="H8800" s="1342"/>
      <c r="I8800" s="1342"/>
      <c r="J8800" s="1342"/>
      <c r="K8800" s="1342"/>
    </row>
    <row r="8801" spans="2:11" ht="14" hidden="1">
      <c r="B8801" s="1342"/>
      <c r="C8801" s="1342"/>
      <c r="D8801" s="1342"/>
      <c r="E8801" s="1342"/>
      <c r="F8801" s="1342"/>
      <c r="G8801" s="1342"/>
      <c r="H8801" s="1342"/>
      <c r="I8801" s="1342"/>
      <c r="J8801" s="1342"/>
      <c r="K8801" s="1342"/>
    </row>
    <row r="8802" spans="2:11" ht="14" hidden="1">
      <c r="B8802" s="1342"/>
      <c r="C8802" s="1342"/>
      <c r="D8802" s="1342"/>
      <c r="E8802" s="1342"/>
      <c r="F8802" s="1342"/>
      <c r="G8802" s="1342"/>
      <c r="H8802" s="1342"/>
      <c r="I8802" s="1342"/>
      <c r="J8802" s="1342"/>
      <c r="K8802" s="1342"/>
    </row>
    <row r="8803" spans="2:11" ht="14" hidden="1">
      <c r="B8803" s="1342"/>
      <c r="C8803" s="1342"/>
      <c r="D8803" s="1342"/>
      <c r="E8803" s="1342"/>
      <c r="F8803" s="1342"/>
      <c r="G8803" s="1342"/>
      <c r="H8803" s="1342"/>
      <c r="I8803" s="1342"/>
      <c r="J8803" s="1342"/>
      <c r="K8803" s="1342"/>
    </row>
    <row r="8804" spans="2:11" ht="14" hidden="1">
      <c r="B8804" s="1342"/>
      <c r="C8804" s="1342"/>
      <c r="D8804" s="1342"/>
      <c r="E8804" s="1342"/>
      <c r="F8804" s="1342"/>
      <c r="G8804" s="1342"/>
      <c r="H8804" s="1342"/>
      <c r="I8804" s="1342"/>
      <c r="J8804" s="1342"/>
      <c r="K8804" s="1342"/>
    </row>
    <row r="8805" spans="2:11" ht="14" hidden="1">
      <c r="B8805" s="1342"/>
      <c r="C8805" s="1342"/>
      <c r="D8805" s="1342"/>
      <c r="E8805" s="1342"/>
      <c r="F8805" s="1342"/>
      <c r="G8805" s="1342"/>
      <c r="H8805" s="1342"/>
      <c r="I8805" s="1342"/>
      <c r="J8805" s="1342"/>
      <c r="K8805" s="1342"/>
    </row>
    <row r="8806" spans="2:11" ht="14" hidden="1">
      <c r="B8806" s="1342"/>
      <c r="C8806" s="1342"/>
      <c r="D8806" s="1342"/>
      <c r="E8806" s="1342"/>
      <c r="F8806" s="1342"/>
      <c r="G8806" s="1342"/>
      <c r="H8806" s="1342"/>
      <c r="I8806" s="1342"/>
      <c r="J8806" s="1342"/>
      <c r="K8806" s="1342"/>
    </row>
    <row r="8807" spans="2:11" ht="14" hidden="1">
      <c r="B8807" s="1342"/>
      <c r="C8807" s="1342"/>
      <c r="D8807" s="1342"/>
      <c r="E8807" s="1342"/>
      <c r="F8807" s="1342"/>
      <c r="G8807" s="1342"/>
      <c r="H8807" s="1342"/>
      <c r="I8807" s="1342"/>
      <c r="J8807" s="1342"/>
      <c r="K8807" s="1342"/>
    </row>
    <row r="8808" spans="2:11" ht="14" hidden="1">
      <c r="B8808" s="1342"/>
      <c r="C8808" s="1342"/>
      <c r="D8808" s="1342"/>
      <c r="E8808" s="1342"/>
      <c r="F8808" s="1342"/>
      <c r="G8808" s="1342"/>
      <c r="H8808" s="1342"/>
      <c r="I8808" s="1342"/>
      <c r="J8808" s="1342"/>
      <c r="K8808" s="1342"/>
    </row>
    <row r="8809" spans="2:11" ht="14" hidden="1">
      <c r="B8809" s="1342"/>
      <c r="C8809" s="1342"/>
      <c r="D8809" s="1342"/>
      <c r="E8809" s="1342"/>
      <c r="F8809" s="1342"/>
      <c r="G8809" s="1342"/>
      <c r="H8809" s="1342"/>
      <c r="I8809" s="1342"/>
      <c r="J8809" s="1342"/>
      <c r="K8809" s="1342"/>
    </row>
    <row r="8810" spans="2:11" ht="14" hidden="1">
      <c r="B8810" s="1342"/>
      <c r="C8810" s="1342"/>
      <c r="D8810" s="1342"/>
      <c r="E8810" s="1342"/>
      <c r="F8810" s="1342"/>
      <c r="G8810" s="1342"/>
      <c r="H8810" s="1342"/>
      <c r="I8810" s="1342"/>
      <c r="J8810" s="1342"/>
      <c r="K8810" s="1342"/>
    </row>
    <row r="8811" spans="2:11" ht="14" hidden="1">
      <c r="B8811" s="1342"/>
      <c r="C8811" s="1342"/>
      <c r="D8811" s="1342"/>
      <c r="E8811" s="1342"/>
      <c r="F8811" s="1342"/>
      <c r="G8811" s="1342"/>
      <c r="H8811" s="1342"/>
      <c r="I8811" s="1342"/>
      <c r="J8811" s="1342"/>
      <c r="K8811" s="1342"/>
    </row>
    <row r="8812" spans="2:11" ht="14" hidden="1">
      <c r="B8812" s="1342"/>
      <c r="C8812" s="1342"/>
      <c r="D8812" s="1342"/>
      <c r="E8812" s="1342"/>
      <c r="F8812" s="1342"/>
      <c r="G8812" s="1342"/>
      <c r="H8812" s="1342"/>
      <c r="I8812" s="1342"/>
      <c r="J8812" s="1342"/>
      <c r="K8812" s="1342"/>
    </row>
    <row r="8813" spans="2:11" ht="14" hidden="1">
      <c r="B8813" s="1342"/>
      <c r="C8813" s="1342"/>
      <c r="D8813" s="1342"/>
      <c r="E8813" s="1342"/>
      <c r="F8813" s="1342"/>
      <c r="G8813" s="1342"/>
      <c r="H8813" s="1342"/>
      <c r="I8813" s="1342"/>
      <c r="J8813" s="1342"/>
      <c r="K8813" s="1342"/>
    </row>
    <row r="8814" spans="2:11" ht="14" hidden="1">
      <c r="B8814" s="1342"/>
      <c r="C8814" s="1342"/>
      <c r="D8814" s="1342"/>
      <c r="E8814" s="1342"/>
      <c r="F8814" s="1342"/>
      <c r="G8814" s="1342"/>
      <c r="H8814" s="1342"/>
      <c r="I8814" s="1342"/>
      <c r="J8814" s="1342"/>
      <c r="K8814" s="1342"/>
    </row>
    <row r="8815" spans="2:11" ht="14" hidden="1">
      <c r="B8815" s="1342"/>
      <c r="C8815" s="1342"/>
      <c r="D8815" s="1342"/>
      <c r="E8815" s="1342"/>
      <c r="F8815" s="1342"/>
      <c r="G8815" s="1342"/>
      <c r="H8815" s="1342"/>
      <c r="I8815" s="1342"/>
      <c r="J8815" s="1342"/>
      <c r="K8815" s="1342"/>
    </row>
    <row r="8816" spans="2:11" ht="14" hidden="1">
      <c r="B8816" s="1342"/>
      <c r="C8816" s="1342"/>
      <c r="D8816" s="1342"/>
      <c r="E8816" s="1342"/>
      <c r="F8816" s="1342"/>
      <c r="G8816" s="1342"/>
      <c r="H8816" s="1342"/>
      <c r="I8816" s="1342"/>
      <c r="J8816" s="1342"/>
      <c r="K8816" s="1342"/>
    </row>
    <row r="8817" spans="2:11" ht="14" hidden="1">
      <c r="B8817" s="1342"/>
      <c r="C8817" s="1342"/>
      <c r="D8817" s="1342"/>
      <c r="E8817" s="1342"/>
      <c r="F8817" s="1342"/>
      <c r="G8817" s="1342"/>
      <c r="H8817" s="1342"/>
      <c r="I8817" s="1342"/>
      <c r="J8817" s="1342"/>
      <c r="K8817" s="1342"/>
    </row>
    <row r="8818" spans="2:11" ht="14" hidden="1">
      <c r="B8818" s="1342"/>
      <c r="C8818" s="1342"/>
      <c r="D8818" s="1342"/>
      <c r="E8818" s="1342"/>
      <c r="F8818" s="1342"/>
      <c r="G8818" s="1342"/>
      <c r="H8818" s="1342"/>
      <c r="I8818" s="1342"/>
      <c r="J8818" s="1342"/>
      <c r="K8818" s="1342"/>
    </row>
    <row r="8819" spans="2:11" ht="14" hidden="1">
      <c r="B8819" s="1342"/>
      <c r="C8819" s="1342"/>
      <c r="D8819" s="1342"/>
      <c r="E8819" s="1342"/>
      <c r="F8819" s="1342"/>
      <c r="G8819" s="1342"/>
      <c r="H8819" s="1342"/>
      <c r="I8819" s="1342"/>
      <c r="J8819" s="1342"/>
      <c r="K8819" s="1342"/>
    </row>
    <row r="8820" spans="2:11" ht="14" hidden="1">
      <c r="B8820" s="1342"/>
      <c r="C8820" s="1342"/>
      <c r="D8820" s="1342"/>
      <c r="E8820" s="1342"/>
      <c r="F8820" s="1342"/>
      <c r="G8820" s="1342"/>
      <c r="H8820" s="1342"/>
      <c r="I8820" s="1342"/>
      <c r="J8820" s="1342"/>
      <c r="K8820" s="1342"/>
    </row>
    <row r="8821" spans="2:11" ht="14" hidden="1">
      <c r="B8821" s="1342"/>
      <c r="C8821" s="1342"/>
      <c r="D8821" s="1342"/>
      <c r="E8821" s="1342"/>
      <c r="F8821" s="1342"/>
      <c r="G8821" s="1342"/>
      <c r="H8821" s="1342"/>
      <c r="I8821" s="1342"/>
      <c r="J8821" s="1342"/>
      <c r="K8821" s="1342"/>
    </row>
    <row r="8822" spans="2:11" ht="14" hidden="1">
      <c r="B8822" s="1342"/>
      <c r="C8822" s="1342"/>
      <c r="D8822" s="1342"/>
      <c r="E8822" s="1342"/>
      <c r="F8822" s="1342"/>
      <c r="G8822" s="1342"/>
      <c r="H8822" s="1342"/>
      <c r="I8822" s="1342"/>
      <c r="J8822" s="1342"/>
      <c r="K8822" s="1342"/>
    </row>
    <row r="8823" spans="2:11" ht="14" hidden="1">
      <c r="B8823" s="1342"/>
      <c r="C8823" s="1342"/>
      <c r="D8823" s="1342"/>
      <c r="E8823" s="1342"/>
      <c r="F8823" s="1342"/>
      <c r="G8823" s="1342"/>
      <c r="H8823" s="1342"/>
      <c r="I8823" s="1342"/>
      <c r="J8823" s="1342"/>
      <c r="K8823" s="1342"/>
    </row>
    <row r="8824" spans="2:11" ht="14" hidden="1">
      <c r="B8824" s="1342"/>
      <c r="C8824" s="1342"/>
      <c r="D8824" s="1342"/>
      <c r="E8824" s="1342"/>
      <c r="F8824" s="1342"/>
      <c r="G8824" s="1342"/>
      <c r="H8824" s="1342"/>
      <c r="I8824" s="1342"/>
      <c r="J8824" s="1342"/>
      <c r="K8824" s="1342"/>
    </row>
    <row r="8825" spans="2:11" ht="14" hidden="1">
      <c r="B8825" s="1342"/>
      <c r="C8825" s="1342"/>
      <c r="D8825" s="1342"/>
      <c r="E8825" s="1342"/>
      <c r="F8825" s="1342"/>
      <c r="G8825" s="1342"/>
      <c r="H8825" s="1342"/>
      <c r="I8825" s="1342"/>
      <c r="J8825" s="1342"/>
      <c r="K8825" s="1342"/>
    </row>
    <row r="8826" spans="2:11" ht="14" hidden="1">
      <c r="B8826" s="1342"/>
      <c r="C8826" s="1342"/>
      <c r="D8826" s="1342"/>
      <c r="E8826" s="1342"/>
      <c r="F8826" s="1342"/>
      <c r="G8826" s="1342"/>
      <c r="H8826" s="1342"/>
      <c r="I8826" s="1342"/>
      <c r="J8826" s="1342"/>
      <c r="K8826" s="1342"/>
    </row>
    <row r="8827" spans="2:11" ht="14" hidden="1">
      <c r="B8827" s="1342"/>
      <c r="C8827" s="1342"/>
      <c r="D8827" s="1342"/>
      <c r="E8827" s="1342"/>
      <c r="F8827" s="1342"/>
      <c r="G8827" s="1342"/>
      <c r="H8827" s="1342"/>
      <c r="I8827" s="1342"/>
      <c r="J8827" s="1342"/>
      <c r="K8827" s="1342"/>
    </row>
    <row r="8828" spans="2:11" ht="14" hidden="1">
      <c r="B8828" s="1342"/>
      <c r="C8828" s="1342"/>
      <c r="D8828" s="1342"/>
      <c r="E8828" s="1342"/>
      <c r="F8828" s="1342"/>
      <c r="G8828" s="1342"/>
      <c r="H8828" s="1342"/>
      <c r="I8828" s="1342"/>
      <c r="J8828" s="1342"/>
      <c r="K8828" s="1342"/>
    </row>
    <row r="8829" spans="2:11" ht="14" hidden="1">
      <c r="B8829" s="1342"/>
      <c r="C8829" s="1342"/>
      <c r="D8829" s="1342"/>
      <c r="E8829" s="1342"/>
      <c r="F8829" s="1342"/>
      <c r="G8829" s="1342"/>
      <c r="H8829" s="1342"/>
      <c r="I8829" s="1342"/>
      <c r="J8829" s="1342"/>
      <c r="K8829" s="1342"/>
    </row>
    <row r="8830" spans="2:11" ht="14" hidden="1">
      <c r="B8830" s="1342"/>
      <c r="C8830" s="1342"/>
      <c r="D8830" s="1342"/>
      <c r="E8830" s="1342"/>
      <c r="F8830" s="1342"/>
      <c r="G8830" s="1342"/>
      <c r="H8830" s="1342"/>
      <c r="I8830" s="1342"/>
      <c r="J8830" s="1342"/>
      <c r="K8830" s="1342"/>
    </row>
    <row r="8831" spans="2:11" ht="14" hidden="1">
      <c r="B8831" s="1342"/>
      <c r="C8831" s="1342"/>
      <c r="D8831" s="1342"/>
      <c r="E8831" s="1342"/>
      <c r="F8831" s="1342"/>
      <c r="G8831" s="1342"/>
      <c r="H8831" s="1342"/>
      <c r="I8831" s="1342"/>
      <c r="J8831" s="1342"/>
      <c r="K8831" s="1342"/>
    </row>
    <row r="8832" spans="2:11" ht="14" hidden="1">
      <c r="B8832" s="1342"/>
      <c r="C8832" s="1342"/>
      <c r="D8832" s="1342"/>
      <c r="E8832" s="1342"/>
      <c r="F8832" s="1342"/>
      <c r="G8832" s="1342"/>
      <c r="H8832" s="1342"/>
      <c r="I8832" s="1342"/>
      <c r="J8832" s="1342"/>
      <c r="K8832" s="1342"/>
    </row>
    <row r="8833" spans="2:11" ht="14" hidden="1">
      <c r="B8833" s="1342"/>
      <c r="C8833" s="1342"/>
      <c r="D8833" s="1342"/>
      <c r="E8833" s="1342"/>
      <c r="F8833" s="1342"/>
      <c r="G8833" s="1342"/>
      <c r="H8833" s="1342"/>
      <c r="I8833" s="1342"/>
      <c r="J8833" s="1342"/>
      <c r="K8833" s="1342"/>
    </row>
    <row r="8834" spans="2:11" ht="14" hidden="1">
      <c r="B8834" s="1342"/>
      <c r="C8834" s="1342"/>
      <c r="D8834" s="1342"/>
      <c r="E8834" s="1342"/>
      <c r="F8834" s="1342"/>
      <c r="G8834" s="1342"/>
      <c r="H8834" s="1342"/>
      <c r="I8834" s="1342"/>
      <c r="J8834" s="1342"/>
      <c r="K8834" s="1342"/>
    </row>
    <row r="8835" spans="2:11" ht="14" hidden="1">
      <c r="B8835" s="1342"/>
      <c r="C8835" s="1342"/>
      <c r="D8835" s="1342"/>
      <c r="E8835" s="1342"/>
      <c r="F8835" s="1342"/>
      <c r="G8835" s="1342"/>
      <c r="H8835" s="1342"/>
      <c r="I8835" s="1342"/>
      <c r="J8835" s="1342"/>
      <c r="K8835" s="1342"/>
    </row>
    <row r="8836" spans="2:11" ht="14" hidden="1">
      <c r="B8836" s="1342"/>
      <c r="C8836" s="1342"/>
      <c r="D8836" s="1342"/>
      <c r="E8836" s="1342"/>
      <c r="F8836" s="1342"/>
      <c r="G8836" s="1342"/>
      <c r="H8836" s="1342"/>
      <c r="I8836" s="1342"/>
      <c r="J8836" s="1342"/>
      <c r="K8836" s="1342"/>
    </row>
    <row r="8837" spans="2:11" ht="14" hidden="1">
      <c r="B8837" s="1342"/>
      <c r="C8837" s="1342"/>
      <c r="D8837" s="1342"/>
      <c r="E8837" s="1342"/>
      <c r="F8837" s="1342"/>
      <c r="G8837" s="1342"/>
      <c r="H8837" s="1342"/>
      <c r="I8837" s="1342"/>
      <c r="J8837" s="1342"/>
      <c r="K8837" s="1342"/>
    </row>
    <row r="8838" spans="2:11" ht="14" hidden="1">
      <c r="B8838" s="1342"/>
      <c r="C8838" s="1342"/>
      <c r="D8838" s="1342"/>
      <c r="E8838" s="1342"/>
      <c r="F8838" s="1342"/>
      <c r="G8838" s="1342"/>
      <c r="H8838" s="1342"/>
      <c r="I8838" s="1342"/>
      <c r="J8838" s="1342"/>
      <c r="K8838" s="1342"/>
    </row>
    <row r="8839" spans="2:11" ht="14" hidden="1">
      <c r="B8839" s="1342"/>
      <c r="C8839" s="1342"/>
      <c r="D8839" s="1342"/>
      <c r="E8839" s="1342"/>
      <c r="F8839" s="1342"/>
      <c r="G8839" s="1342"/>
      <c r="H8839" s="1342"/>
      <c r="I8839" s="1342"/>
      <c r="J8839" s="1342"/>
      <c r="K8839" s="1342"/>
    </row>
    <row r="8840" spans="2:11" ht="14" hidden="1">
      <c r="B8840" s="1342"/>
      <c r="C8840" s="1342"/>
      <c r="D8840" s="1342"/>
      <c r="E8840" s="1342"/>
      <c r="F8840" s="1342"/>
      <c r="G8840" s="1342"/>
      <c r="H8840" s="1342"/>
      <c r="I8840" s="1342"/>
      <c r="J8840" s="1342"/>
      <c r="K8840" s="1342"/>
    </row>
    <row r="8841" spans="2:11" ht="14" hidden="1">
      <c r="B8841" s="1342"/>
      <c r="C8841" s="1342"/>
      <c r="D8841" s="1342"/>
      <c r="E8841" s="1342"/>
      <c r="F8841" s="1342"/>
      <c r="G8841" s="1342"/>
      <c r="H8841" s="1342"/>
      <c r="I8841" s="1342"/>
      <c r="J8841" s="1342"/>
      <c r="K8841" s="1342"/>
    </row>
    <row r="8842" spans="2:11" ht="14" hidden="1">
      <c r="B8842" s="1342"/>
      <c r="C8842" s="1342"/>
      <c r="D8842" s="1342"/>
      <c r="E8842" s="1342"/>
      <c r="F8842" s="1342"/>
      <c r="G8842" s="1342"/>
      <c r="H8842" s="1342"/>
      <c r="I8842" s="1342"/>
      <c r="J8842" s="1342"/>
      <c r="K8842" s="1342"/>
    </row>
    <row r="8843" spans="2:11" ht="14" hidden="1">
      <c r="B8843" s="1342"/>
      <c r="C8843" s="1342"/>
      <c r="D8843" s="1342"/>
      <c r="E8843" s="1342"/>
      <c r="F8843" s="1342"/>
      <c r="G8843" s="1342"/>
      <c r="H8843" s="1342"/>
      <c r="I8843" s="1342"/>
      <c r="J8843" s="1342"/>
      <c r="K8843" s="1342"/>
    </row>
    <row r="8844" spans="2:11" ht="14" hidden="1">
      <c r="B8844" s="1342"/>
      <c r="C8844" s="1342"/>
      <c r="D8844" s="1342"/>
      <c r="E8844" s="1342"/>
      <c r="F8844" s="1342"/>
      <c r="G8844" s="1342"/>
      <c r="H8844" s="1342"/>
      <c r="I8844" s="1342"/>
      <c r="J8844" s="1342"/>
      <c r="K8844" s="1342"/>
    </row>
    <row r="8845" spans="2:11" ht="14" hidden="1">
      <c r="B8845" s="1342"/>
      <c r="C8845" s="1342"/>
      <c r="D8845" s="1342"/>
      <c r="E8845" s="1342"/>
      <c r="F8845" s="1342"/>
      <c r="G8845" s="1342"/>
      <c r="H8845" s="1342"/>
      <c r="I8845" s="1342"/>
      <c r="J8845" s="1342"/>
      <c r="K8845" s="1342"/>
    </row>
    <row r="8846" spans="2:11" ht="14" hidden="1">
      <c r="B8846" s="1342"/>
      <c r="C8846" s="1342"/>
      <c r="D8846" s="1342"/>
      <c r="E8846" s="1342"/>
      <c r="F8846" s="1342"/>
      <c r="G8846" s="1342"/>
      <c r="H8846" s="1342"/>
      <c r="I8846" s="1342"/>
      <c r="J8846" s="1342"/>
      <c r="K8846" s="1342"/>
    </row>
    <row r="8847" spans="2:11" ht="14" hidden="1">
      <c r="B8847" s="1342"/>
      <c r="C8847" s="1342"/>
      <c r="D8847" s="1342"/>
      <c r="E8847" s="1342"/>
      <c r="F8847" s="1342"/>
      <c r="G8847" s="1342"/>
      <c r="H8847" s="1342"/>
      <c r="I8847" s="1342"/>
      <c r="J8847" s="1342"/>
      <c r="K8847" s="1342"/>
    </row>
    <row r="8848" spans="2:11" ht="14" hidden="1">
      <c r="B8848" s="1342"/>
      <c r="C8848" s="1342"/>
      <c r="D8848" s="1342"/>
      <c r="E8848" s="1342"/>
      <c r="F8848" s="1342"/>
      <c r="G8848" s="1342"/>
      <c r="H8848" s="1342"/>
      <c r="I8848" s="1342"/>
      <c r="J8848" s="1342"/>
      <c r="K8848" s="1342"/>
    </row>
    <row r="8849" spans="2:11" ht="14" hidden="1">
      <c r="B8849" s="1342"/>
      <c r="C8849" s="1342"/>
      <c r="D8849" s="1342"/>
      <c r="E8849" s="1342"/>
      <c r="F8849" s="1342"/>
      <c r="G8849" s="1342"/>
      <c r="H8849" s="1342"/>
      <c r="I8849" s="1342"/>
      <c r="J8849" s="1342"/>
      <c r="K8849" s="1342"/>
    </row>
    <row r="8850" spans="2:11" ht="14" hidden="1">
      <c r="B8850" s="1342"/>
      <c r="C8850" s="1342"/>
      <c r="D8850" s="1342"/>
      <c r="E8850" s="1342"/>
      <c r="F8850" s="1342"/>
      <c r="G8850" s="1342"/>
      <c r="H8850" s="1342"/>
      <c r="I8850" s="1342"/>
      <c r="J8850" s="1342"/>
      <c r="K8850" s="1342"/>
    </row>
    <row r="8851" spans="2:11" ht="14" hidden="1">
      <c r="B8851" s="1342"/>
      <c r="C8851" s="1342"/>
      <c r="D8851" s="1342"/>
      <c r="E8851" s="1342"/>
      <c r="F8851" s="1342"/>
      <c r="G8851" s="1342"/>
      <c r="H8851" s="1342"/>
      <c r="I8851" s="1342"/>
      <c r="J8851" s="1342"/>
      <c r="K8851" s="1342"/>
    </row>
    <row r="8852" spans="2:11" ht="14" hidden="1">
      <c r="B8852" s="1342"/>
      <c r="C8852" s="1342"/>
      <c r="D8852" s="1342"/>
      <c r="E8852" s="1342"/>
      <c r="F8852" s="1342"/>
      <c r="G8852" s="1342"/>
      <c r="H8852" s="1342"/>
      <c r="I8852" s="1342"/>
      <c r="J8852" s="1342"/>
      <c r="K8852" s="1342"/>
    </row>
    <row r="8853" spans="2:11" ht="14" hidden="1">
      <c r="B8853" s="1342"/>
      <c r="C8853" s="1342"/>
      <c r="D8853" s="1342"/>
      <c r="E8853" s="1342"/>
      <c r="F8853" s="1342"/>
      <c r="G8853" s="1342"/>
      <c r="H8853" s="1342"/>
      <c r="I8853" s="1342"/>
      <c r="J8853" s="1342"/>
      <c r="K8853" s="1342"/>
    </row>
    <row r="8854" spans="2:11" ht="14" hidden="1">
      <c r="B8854" s="1342"/>
      <c r="C8854" s="1342"/>
      <c r="D8854" s="1342"/>
      <c r="E8854" s="1342"/>
      <c r="F8854" s="1342"/>
      <c r="G8854" s="1342"/>
      <c r="H8854" s="1342"/>
      <c r="I8854" s="1342"/>
      <c r="J8854" s="1342"/>
      <c r="K8854" s="1342"/>
    </row>
    <row r="8855" spans="2:11" ht="14" hidden="1">
      <c r="B8855" s="1342"/>
      <c r="C8855" s="1342"/>
      <c r="D8855" s="1342"/>
      <c r="E8855" s="1342"/>
      <c r="F8855" s="1342"/>
      <c r="G8855" s="1342"/>
      <c r="H8855" s="1342"/>
      <c r="I8855" s="1342"/>
      <c r="J8855" s="1342"/>
      <c r="K8855" s="1342"/>
    </row>
    <row r="8856" spans="2:11" ht="14" hidden="1">
      <c r="B8856" s="1342"/>
      <c r="C8856" s="1342"/>
      <c r="D8856" s="1342"/>
      <c r="E8856" s="1342"/>
      <c r="F8856" s="1342"/>
      <c r="G8856" s="1342"/>
      <c r="H8856" s="1342"/>
      <c r="I8856" s="1342"/>
      <c r="J8856" s="1342"/>
      <c r="K8856" s="1342"/>
    </row>
    <row r="8857" spans="2:11" ht="14" hidden="1">
      <c r="B8857" s="1342"/>
      <c r="C8857" s="1342"/>
      <c r="D8857" s="1342"/>
      <c r="E8857" s="1342"/>
      <c r="F8857" s="1342"/>
      <c r="G8857" s="1342"/>
      <c r="H8857" s="1342"/>
      <c r="I8857" s="1342"/>
      <c r="J8857" s="1342"/>
      <c r="K8857" s="1342"/>
    </row>
    <row r="8858" spans="2:11" ht="14" hidden="1">
      <c r="B8858" s="1342"/>
      <c r="C8858" s="1342"/>
      <c r="D8858" s="1342"/>
      <c r="E8858" s="1342"/>
      <c r="F8858" s="1342"/>
      <c r="G8858" s="1342"/>
      <c r="H8858" s="1342"/>
      <c r="I8858" s="1342"/>
      <c r="J8858" s="1342"/>
      <c r="K8858" s="1342"/>
    </row>
    <row r="8859" spans="2:11" ht="14" hidden="1">
      <c r="B8859" s="1342"/>
      <c r="C8859" s="1342"/>
      <c r="D8859" s="1342"/>
      <c r="E8859" s="1342"/>
      <c r="F8859" s="1342"/>
      <c r="G8859" s="1342"/>
      <c r="H8859" s="1342"/>
      <c r="I8859" s="1342"/>
      <c r="J8859" s="1342"/>
      <c r="K8859" s="1342"/>
    </row>
    <row r="8860" spans="2:11" ht="14" hidden="1">
      <c r="B8860" s="1342"/>
      <c r="C8860" s="1342"/>
      <c r="D8860" s="1342"/>
      <c r="E8860" s="1342"/>
      <c r="F8860" s="1342"/>
      <c r="G8860" s="1342"/>
      <c r="H8860" s="1342"/>
      <c r="I8860" s="1342"/>
      <c r="J8860" s="1342"/>
      <c r="K8860" s="1342"/>
    </row>
    <row r="8861" spans="2:11" ht="14" hidden="1">
      <c r="B8861" s="1342"/>
      <c r="C8861" s="1342"/>
      <c r="D8861" s="1342"/>
      <c r="E8861" s="1342"/>
      <c r="F8861" s="1342"/>
      <c r="G8861" s="1342"/>
      <c r="H8861" s="1342"/>
      <c r="I8861" s="1342"/>
      <c r="J8861" s="1342"/>
      <c r="K8861" s="1342"/>
    </row>
    <row r="8862" spans="2:11" ht="14" hidden="1">
      <c r="B8862" s="1342"/>
      <c r="C8862" s="1342"/>
      <c r="D8862" s="1342"/>
      <c r="E8862" s="1342"/>
      <c r="F8862" s="1342"/>
      <c r="G8862" s="1342"/>
      <c r="H8862" s="1342"/>
      <c r="I8862" s="1342"/>
      <c r="J8862" s="1342"/>
      <c r="K8862" s="1342"/>
    </row>
    <row r="8863" spans="2:11" ht="14" hidden="1">
      <c r="B8863" s="1342"/>
      <c r="C8863" s="1342"/>
      <c r="D8863" s="1342"/>
      <c r="E8863" s="1342"/>
      <c r="F8863" s="1342"/>
      <c r="G8863" s="1342"/>
      <c r="H8863" s="1342"/>
      <c r="I8863" s="1342"/>
      <c r="J8863" s="1342"/>
      <c r="K8863" s="1342"/>
    </row>
    <row r="8864" spans="2:11" ht="14" hidden="1">
      <c r="B8864" s="1342"/>
      <c r="C8864" s="1342"/>
      <c r="D8864" s="1342"/>
      <c r="E8864" s="1342"/>
      <c r="F8864" s="1342"/>
      <c r="G8864" s="1342"/>
      <c r="H8864" s="1342"/>
      <c r="I8864" s="1342"/>
      <c r="J8864" s="1342"/>
      <c r="K8864" s="1342"/>
    </row>
    <row r="8865" spans="2:11" ht="14" hidden="1">
      <c r="B8865" s="1342"/>
      <c r="C8865" s="1342"/>
      <c r="D8865" s="1342"/>
      <c r="E8865" s="1342"/>
      <c r="F8865" s="1342"/>
      <c r="G8865" s="1342"/>
      <c r="H8865" s="1342"/>
      <c r="I8865" s="1342"/>
      <c r="J8865" s="1342"/>
      <c r="K8865" s="1342"/>
    </row>
    <row r="8866" spans="2:11" ht="14" hidden="1">
      <c r="B8866" s="1342"/>
      <c r="C8866" s="1342"/>
      <c r="D8866" s="1342"/>
      <c r="E8866" s="1342"/>
      <c r="F8866" s="1342"/>
      <c r="G8866" s="1342"/>
      <c r="H8866" s="1342"/>
      <c r="I8866" s="1342"/>
      <c r="J8866" s="1342"/>
      <c r="K8866" s="1342"/>
    </row>
    <row r="8867" spans="2:11" ht="14" hidden="1">
      <c r="B8867" s="1342"/>
      <c r="C8867" s="1342"/>
      <c r="D8867" s="1342"/>
      <c r="E8867" s="1342"/>
      <c r="F8867" s="1342"/>
      <c r="G8867" s="1342"/>
      <c r="H8867" s="1342"/>
      <c r="I8867" s="1342"/>
      <c r="J8867" s="1342"/>
      <c r="K8867" s="1342"/>
    </row>
    <row r="8868" spans="2:11" ht="14" hidden="1">
      <c r="B8868" s="1342"/>
      <c r="C8868" s="1342"/>
      <c r="D8868" s="1342"/>
      <c r="E8868" s="1342"/>
      <c r="F8868" s="1342"/>
      <c r="G8868" s="1342"/>
      <c r="H8868" s="1342"/>
      <c r="I8868" s="1342"/>
      <c r="J8868" s="1342"/>
      <c r="K8868" s="1342"/>
    </row>
    <row r="8869" spans="2:11" ht="14" hidden="1">
      <c r="B8869" s="1342"/>
      <c r="C8869" s="1342"/>
      <c r="D8869" s="1342"/>
      <c r="E8869" s="1342"/>
      <c r="F8869" s="1342"/>
      <c r="G8869" s="1342"/>
      <c r="H8869" s="1342"/>
      <c r="I8869" s="1342"/>
      <c r="J8869" s="1342"/>
      <c r="K8869" s="1342"/>
    </row>
    <row r="8870" spans="2:11" ht="14" hidden="1">
      <c r="B8870" s="1342"/>
      <c r="C8870" s="1342"/>
      <c r="D8870" s="1342"/>
      <c r="E8870" s="1342"/>
      <c r="F8870" s="1342"/>
      <c r="G8870" s="1342"/>
      <c r="H8870" s="1342"/>
      <c r="I8870" s="1342"/>
      <c r="J8870" s="1342"/>
      <c r="K8870" s="1342"/>
    </row>
    <row r="8871" spans="2:11" ht="14" hidden="1">
      <c r="B8871" s="1342"/>
      <c r="C8871" s="1342"/>
      <c r="D8871" s="1342"/>
      <c r="E8871" s="1342"/>
      <c r="F8871" s="1342"/>
      <c r="G8871" s="1342"/>
      <c r="H8871" s="1342"/>
      <c r="I8871" s="1342"/>
      <c r="J8871" s="1342"/>
      <c r="K8871" s="1342"/>
    </row>
    <row r="8872" spans="2:11" ht="14" hidden="1">
      <c r="B8872" s="1342"/>
      <c r="C8872" s="1342"/>
      <c r="D8872" s="1342"/>
      <c r="E8872" s="1342"/>
      <c r="F8872" s="1342"/>
      <c r="G8872" s="1342"/>
      <c r="H8872" s="1342"/>
      <c r="I8872" s="1342"/>
      <c r="J8872" s="1342"/>
      <c r="K8872" s="1342"/>
    </row>
    <row r="8873" spans="2:11" ht="14" hidden="1">
      <c r="B8873" s="1342"/>
      <c r="C8873" s="1342"/>
      <c r="D8873" s="1342"/>
      <c r="E8873" s="1342"/>
      <c r="F8873" s="1342"/>
      <c r="G8873" s="1342"/>
      <c r="H8873" s="1342"/>
      <c r="I8873" s="1342"/>
      <c r="J8873" s="1342"/>
      <c r="K8873" s="1342"/>
    </row>
    <row r="8874" spans="2:11" ht="14" hidden="1">
      <c r="B8874" s="1342"/>
      <c r="C8874" s="1342"/>
      <c r="D8874" s="1342"/>
      <c r="E8874" s="1342"/>
      <c r="F8874" s="1342"/>
      <c r="G8874" s="1342"/>
      <c r="H8874" s="1342"/>
      <c r="I8874" s="1342"/>
      <c r="J8874" s="1342"/>
      <c r="K8874" s="1342"/>
    </row>
    <row r="8875" spans="2:11" ht="14" hidden="1">
      <c r="B8875" s="1342"/>
      <c r="C8875" s="1342"/>
      <c r="D8875" s="1342"/>
      <c r="E8875" s="1342"/>
      <c r="F8875" s="1342"/>
      <c r="G8875" s="1342"/>
      <c r="H8875" s="1342"/>
      <c r="I8875" s="1342"/>
      <c r="J8875" s="1342"/>
      <c r="K8875" s="1342"/>
    </row>
    <row r="8876" spans="2:11" ht="14" hidden="1">
      <c r="B8876" s="1342"/>
      <c r="C8876" s="1342"/>
      <c r="D8876" s="1342"/>
      <c r="E8876" s="1342"/>
      <c r="F8876" s="1342"/>
      <c r="G8876" s="1342"/>
      <c r="H8876" s="1342"/>
      <c r="I8876" s="1342"/>
      <c r="J8876" s="1342"/>
      <c r="K8876" s="1342"/>
    </row>
    <row r="8877" spans="2:11" ht="14" hidden="1">
      <c r="B8877" s="1342"/>
      <c r="C8877" s="1342"/>
      <c r="D8877" s="1342"/>
      <c r="E8877" s="1342"/>
      <c r="F8877" s="1342"/>
      <c r="G8877" s="1342"/>
      <c r="H8877" s="1342"/>
      <c r="I8877" s="1342"/>
      <c r="J8877" s="1342"/>
      <c r="K8877" s="1342"/>
    </row>
    <row r="8878" spans="2:11" ht="14" hidden="1">
      <c r="B8878" s="1342"/>
      <c r="C8878" s="1342"/>
      <c r="D8878" s="1342"/>
      <c r="E8878" s="1342"/>
      <c r="F8878" s="1342"/>
      <c r="G8878" s="1342"/>
      <c r="H8878" s="1342"/>
      <c r="I8878" s="1342"/>
      <c r="J8878" s="1342"/>
      <c r="K8878" s="1342"/>
    </row>
    <row r="8879" spans="2:11" ht="14" hidden="1">
      <c r="B8879" s="1342"/>
      <c r="C8879" s="1342"/>
      <c r="D8879" s="1342"/>
      <c r="E8879" s="1342"/>
      <c r="F8879" s="1342"/>
      <c r="G8879" s="1342"/>
      <c r="H8879" s="1342"/>
      <c r="I8879" s="1342"/>
      <c r="J8879" s="1342"/>
      <c r="K8879" s="1342"/>
    </row>
    <row r="8880" spans="2:11" ht="14" hidden="1">
      <c r="B8880" s="1342"/>
      <c r="C8880" s="1342"/>
      <c r="D8880" s="1342"/>
      <c r="E8880" s="1342"/>
      <c r="F8880" s="1342"/>
      <c r="G8880" s="1342"/>
      <c r="H8880" s="1342"/>
      <c r="I8880" s="1342"/>
      <c r="J8880" s="1342"/>
      <c r="K8880" s="1342"/>
    </row>
    <row r="8881" spans="2:11" ht="14" hidden="1">
      <c r="B8881" s="1342"/>
      <c r="C8881" s="1342"/>
      <c r="D8881" s="1342"/>
      <c r="E8881" s="1342"/>
      <c r="F8881" s="1342"/>
      <c r="G8881" s="1342"/>
      <c r="H8881" s="1342"/>
      <c r="I8881" s="1342"/>
      <c r="J8881" s="1342"/>
      <c r="K8881" s="1342"/>
    </row>
    <row r="8882" spans="2:11" ht="14" hidden="1">
      <c r="B8882" s="1342"/>
      <c r="C8882" s="1342"/>
      <c r="D8882" s="1342"/>
      <c r="E8882" s="1342"/>
      <c r="F8882" s="1342"/>
      <c r="G8882" s="1342"/>
      <c r="H8882" s="1342"/>
      <c r="I8882" s="1342"/>
      <c r="J8882" s="1342"/>
      <c r="K8882" s="1342"/>
    </row>
    <row r="8883" spans="2:11" ht="14" hidden="1">
      <c r="B8883" s="1342"/>
      <c r="C8883" s="1342"/>
      <c r="D8883" s="1342"/>
      <c r="E8883" s="1342"/>
      <c r="F8883" s="1342"/>
      <c r="G8883" s="1342"/>
      <c r="H8883" s="1342"/>
      <c r="I8883" s="1342"/>
      <c r="J8883" s="1342"/>
      <c r="K8883" s="1342"/>
    </row>
    <row r="8884" spans="2:11" ht="14" hidden="1">
      <c r="B8884" s="1342"/>
      <c r="C8884" s="1342"/>
      <c r="D8884" s="1342"/>
      <c r="E8884" s="1342"/>
      <c r="F8884" s="1342"/>
      <c r="G8884" s="1342"/>
      <c r="H8884" s="1342"/>
      <c r="I8884" s="1342"/>
      <c r="J8884" s="1342"/>
      <c r="K8884" s="1342"/>
    </row>
    <row r="8885" spans="2:11" ht="14" hidden="1">
      <c r="B8885" s="1342"/>
      <c r="C8885" s="1342"/>
      <c r="D8885" s="1342"/>
      <c r="E8885" s="1342"/>
      <c r="F8885" s="1342"/>
      <c r="G8885" s="1342"/>
      <c r="H8885" s="1342"/>
      <c r="I8885" s="1342"/>
      <c r="J8885" s="1342"/>
      <c r="K8885" s="1342"/>
    </row>
    <row r="8886" spans="2:11" ht="14" hidden="1">
      <c r="B8886" s="1342"/>
      <c r="C8886" s="1342"/>
      <c r="D8886" s="1342"/>
      <c r="E8886" s="1342"/>
      <c r="F8886" s="1342"/>
      <c r="G8886" s="1342"/>
      <c r="H8886" s="1342"/>
      <c r="I8886" s="1342"/>
      <c r="J8886" s="1342"/>
      <c r="K8886" s="1342"/>
    </row>
    <row r="8887" spans="2:11" ht="14" hidden="1">
      <c r="B8887" s="1342"/>
      <c r="C8887" s="1342"/>
      <c r="D8887" s="1342"/>
      <c r="E8887" s="1342"/>
      <c r="F8887" s="1342"/>
      <c r="G8887" s="1342"/>
      <c r="H8887" s="1342"/>
      <c r="I8887" s="1342"/>
      <c r="J8887" s="1342"/>
      <c r="K8887" s="1342"/>
    </row>
    <row r="8888" spans="2:11" ht="14" hidden="1">
      <c r="B8888" s="1342"/>
      <c r="C8888" s="1342"/>
      <c r="D8888" s="1342"/>
      <c r="E8888" s="1342"/>
      <c r="F8888" s="1342"/>
      <c r="G8888" s="1342"/>
      <c r="H8888" s="1342"/>
      <c r="I8888" s="1342"/>
      <c r="J8888" s="1342"/>
      <c r="K8888" s="1342"/>
    </row>
    <row r="8889" spans="2:11" ht="14" hidden="1">
      <c r="B8889" s="1342"/>
      <c r="C8889" s="1342"/>
      <c r="D8889" s="1342"/>
      <c r="E8889" s="1342"/>
      <c r="F8889" s="1342"/>
      <c r="G8889" s="1342"/>
      <c r="H8889" s="1342"/>
      <c r="I8889" s="1342"/>
      <c r="J8889" s="1342"/>
      <c r="K8889" s="1342"/>
    </row>
    <row r="8890" spans="2:11" ht="14" hidden="1">
      <c r="B8890" s="1342"/>
      <c r="C8890" s="1342"/>
      <c r="D8890" s="1342"/>
      <c r="E8890" s="1342"/>
      <c r="F8890" s="1342"/>
      <c r="G8890" s="1342"/>
      <c r="H8890" s="1342"/>
      <c r="I8890" s="1342"/>
      <c r="J8890" s="1342"/>
      <c r="K8890" s="1342"/>
    </row>
    <row r="8891" spans="2:11" ht="14" hidden="1">
      <c r="B8891" s="1342"/>
      <c r="C8891" s="1342"/>
      <c r="D8891" s="1342"/>
      <c r="E8891" s="1342"/>
      <c r="F8891" s="1342"/>
      <c r="G8891" s="1342"/>
      <c r="H8891" s="1342"/>
      <c r="I8891" s="1342"/>
      <c r="J8891" s="1342"/>
      <c r="K8891" s="1342"/>
    </row>
    <row r="8892" spans="2:11" ht="14" hidden="1">
      <c r="B8892" s="1342"/>
      <c r="C8892" s="1342"/>
      <c r="D8892" s="1342"/>
      <c r="E8892" s="1342"/>
      <c r="F8892" s="1342"/>
      <c r="G8892" s="1342"/>
      <c r="H8892" s="1342"/>
      <c r="I8892" s="1342"/>
      <c r="J8892" s="1342"/>
      <c r="K8892" s="1342"/>
    </row>
    <row r="8893" spans="2:11" ht="14" hidden="1">
      <c r="B8893" s="1342"/>
      <c r="C8893" s="1342"/>
      <c r="D8893" s="1342"/>
      <c r="E8893" s="1342"/>
      <c r="F8893" s="1342"/>
      <c r="G8893" s="1342"/>
      <c r="H8893" s="1342"/>
      <c r="I8893" s="1342"/>
      <c r="J8893" s="1342"/>
      <c r="K8893" s="1342"/>
    </row>
    <row r="8894" spans="2:11" ht="14" hidden="1">
      <c r="B8894" s="1342"/>
      <c r="C8894" s="1342"/>
      <c r="D8894" s="1342"/>
      <c r="E8894" s="1342"/>
      <c r="F8894" s="1342"/>
      <c r="G8894" s="1342"/>
      <c r="H8894" s="1342"/>
      <c r="I8894" s="1342"/>
      <c r="J8894" s="1342"/>
      <c r="K8894" s="1342"/>
    </row>
    <row r="8895" spans="2:11" ht="14" hidden="1">
      <c r="B8895" s="1342"/>
      <c r="C8895" s="1342"/>
      <c r="D8895" s="1342"/>
      <c r="E8895" s="1342"/>
      <c r="F8895" s="1342"/>
      <c r="G8895" s="1342"/>
      <c r="H8895" s="1342"/>
      <c r="I8895" s="1342"/>
      <c r="J8895" s="1342"/>
      <c r="K8895" s="1342"/>
    </row>
    <row r="8896" spans="2:11" ht="14" hidden="1">
      <c r="B8896" s="1342"/>
      <c r="C8896" s="1342"/>
      <c r="D8896" s="1342"/>
      <c r="E8896" s="1342"/>
      <c r="F8896" s="1342"/>
      <c r="G8896" s="1342"/>
      <c r="H8896" s="1342"/>
      <c r="I8896" s="1342"/>
      <c r="J8896" s="1342"/>
      <c r="K8896" s="1342"/>
    </row>
    <row r="8897" spans="2:11" ht="14" hidden="1">
      <c r="B8897" s="1342"/>
      <c r="C8897" s="1342"/>
      <c r="D8897" s="1342"/>
      <c r="E8897" s="1342"/>
      <c r="F8897" s="1342"/>
      <c r="G8897" s="1342"/>
      <c r="H8897" s="1342"/>
      <c r="I8897" s="1342"/>
      <c r="J8897" s="1342"/>
      <c r="K8897" s="1342"/>
    </row>
    <row r="8898" spans="2:11" ht="14" hidden="1">
      <c r="B8898" s="1342"/>
      <c r="C8898" s="1342"/>
      <c r="D8898" s="1342"/>
      <c r="E8898" s="1342"/>
      <c r="F8898" s="1342"/>
      <c r="G8898" s="1342"/>
      <c r="H8898" s="1342"/>
      <c r="I8898" s="1342"/>
      <c r="J8898" s="1342"/>
      <c r="K8898" s="1342"/>
    </row>
    <row r="8899" spans="2:11" ht="14" hidden="1">
      <c r="B8899" s="1342"/>
      <c r="C8899" s="1342"/>
      <c r="D8899" s="1342"/>
      <c r="E8899" s="1342"/>
      <c r="F8899" s="1342"/>
      <c r="G8899" s="1342"/>
      <c r="H8899" s="1342"/>
      <c r="I8899" s="1342"/>
      <c r="J8899" s="1342"/>
      <c r="K8899" s="1342"/>
    </row>
    <row r="8900" spans="2:11" ht="14" hidden="1">
      <c r="B8900" s="1342"/>
      <c r="C8900" s="1342"/>
      <c r="D8900" s="1342"/>
      <c r="E8900" s="1342"/>
      <c r="F8900" s="1342"/>
      <c r="G8900" s="1342"/>
      <c r="H8900" s="1342"/>
      <c r="I8900" s="1342"/>
      <c r="J8900" s="1342"/>
      <c r="K8900" s="1342"/>
    </row>
    <row r="8901" spans="2:11" ht="14" hidden="1">
      <c r="B8901" s="1342"/>
      <c r="C8901" s="1342"/>
      <c r="D8901" s="1342"/>
      <c r="E8901" s="1342"/>
      <c r="F8901" s="1342"/>
      <c r="G8901" s="1342"/>
      <c r="H8901" s="1342"/>
      <c r="I8901" s="1342"/>
      <c r="J8901" s="1342"/>
      <c r="K8901" s="1342"/>
    </row>
    <row r="8902" spans="2:11" ht="14" hidden="1">
      <c r="B8902" s="1342"/>
      <c r="C8902" s="1342"/>
      <c r="D8902" s="1342"/>
      <c r="E8902" s="1342"/>
      <c r="F8902" s="1342"/>
      <c r="G8902" s="1342"/>
      <c r="H8902" s="1342"/>
      <c r="I8902" s="1342"/>
      <c r="J8902" s="1342"/>
      <c r="K8902" s="1342"/>
    </row>
    <row r="8903" spans="2:11" ht="14" hidden="1">
      <c r="B8903" s="1342"/>
      <c r="C8903" s="1342"/>
      <c r="D8903" s="1342"/>
      <c r="E8903" s="1342"/>
      <c r="F8903" s="1342"/>
      <c r="G8903" s="1342"/>
      <c r="H8903" s="1342"/>
      <c r="I8903" s="1342"/>
      <c r="J8903" s="1342"/>
      <c r="K8903" s="1342"/>
    </row>
    <row r="8904" spans="2:11" ht="14" hidden="1">
      <c r="B8904" s="1342"/>
      <c r="C8904" s="1342"/>
      <c r="D8904" s="1342"/>
      <c r="E8904" s="1342"/>
      <c r="F8904" s="1342"/>
      <c r="G8904" s="1342"/>
      <c r="H8904" s="1342"/>
      <c r="I8904" s="1342"/>
      <c r="J8904" s="1342"/>
      <c r="K8904" s="1342"/>
    </row>
    <row r="8905" spans="2:11" ht="14" hidden="1">
      <c r="B8905" s="1342"/>
      <c r="C8905" s="1342"/>
      <c r="D8905" s="1342"/>
      <c r="E8905" s="1342"/>
      <c r="F8905" s="1342"/>
      <c r="G8905" s="1342"/>
      <c r="H8905" s="1342"/>
      <c r="I8905" s="1342"/>
      <c r="J8905" s="1342"/>
      <c r="K8905" s="1342"/>
    </row>
    <row r="8906" spans="2:11" ht="14" hidden="1">
      <c r="B8906" s="1342"/>
      <c r="C8906" s="1342"/>
      <c r="D8906" s="1342"/>
      <c r="E8906" s="1342"/>
      <c r="F8906" s="1342"/>
      <c r="G8906" s="1342"/>
      <c r="H8906" s="1342"/>
      <c r="I8906" s="1342"/>
      <c r="J8906" s="1342"/>
      <c r="K8906" s="1342"/>
    </row>
    <row r="8907" spans="2:11" ht="14" hidden="1">
      <c r="B8907" s="1342"/>
      <c r="C8907" s="1342"/>
      <c r="D8907" s="1342"/>
      <c r="E8907" s="1342"/>
      <c r="F8907" s="1342"/>
      <c r="G8907" s="1342"/>
      <c r="H8907" s="1342"/>
      <c r="I8907" s="1342"/>
      <c r="J8907" s="1342"/>
      <c r="K8907" s="1342"/>
    </row>
    <row r="8908" spans="2:11" ht="14" hidden="1">
      <c r="B8908" s="1342"/>
      <c r="C8908" s="1342"/>
      <c r="D8908" s="1342"/>
      <c r="E8908" s="1342"/>
      <c r="F8908" s="1342"/>
      <c r="G8908" s="1342"/>
      <c r="H8908" s="1342"/>
      <c r="I8908" s="1342"/>
      <c r="J8908" s="1342"/>
      <c r="K8908" s="1342"/>
    </row>
    <row r="8909" spans="2:11" ht="14" hidden="1">
      <c r="B8909" s="1342"/>
      <c r="C8909" s="1342"/>
      <c r="D8909" s="1342"/>
      <c r="E8909" s="1342"/>
      <c r="F8909" s="1342"/>
      <c r="G8909" s="1342"/>
      <c r="H8909" s="1342"/>
      <c r="I8909" s="1342"/>
      <c r="J8909" s="1342"/>
      <c r="K8909" s="1342"/>
    </row>
    <row r="8910" spans="2:11" ht="14" hidden="1">
      <c r="B8910" s="1342"/>
      <c r="C8910" s="1342"/>
      <c r="D8910" s="1342"/>
      <c r="E8910" s="1342"/>
      <c r="F8910" s="1342"/>
      <c r="G8910" s="1342"/>
      <c r="H8910" s="1342"/>
      <c r="I8910" s="1342"/>
      <c r="J8910" s="1342"/>
      <c r="K8910" s="1342"/>
    </row>
    <row r="8911" spans="2:11" ht="14" hidden="1">
      <c r="B8911" s="1342"/>
      <c r="C8911" s="1342"/>
      <c r="D8911" s="1342"/>
      <c r="E8911" s="1342"/>
      <c r="F8911" s="1342"/>
      <c r="G8911" s="1342"/>
      <c r="H8911" s="1342"/>
      <c r="I8911" s="1342"/>
      <c r="J8911" s="1342"/>
      <c r="K8911" s="1342"/>
    </row>
    <row r="8912" spans="2:11" ht="14" hidden="1">
      <c r="B8912" s="1342"/>
      <c r="C8912" s="1342"/>
      <c r="D8912" s="1342"/>
      <c r="E8912" s="1342"/>
      <c r="F8912" s="1342"/>
      <c r="G8912" s="1342"/>
      <c r="H8912" s="1342"/>
      <c r="I8912" s="1342"/>
      <c r="J8912" s="1342"/>
      <c r="K8912" s="1342"/>
    </row>
    <row r="8913" spans="2:11" ht="14" hidden="1">
      <c r="B8913" s="1342"/>
      <c r="C8913" s="1342"/>
      <c r="D8913" s="1342"/>
      <c r="E8913" s="1342"/>
      <c r="F8913" s="1342"/>
      <c r="G8913" s="1342"/>
      <c r="H8913" s="1342"/>
      <c r="I8913" s="1342"/>
      <c r="J8913" s="1342"/>
      <c r="K8913" s="1342"/>
    </row>
    <row r="8914" spans="2:11" ht="14" hidden="1">
      <c r="B8914" s="1342"/>
      <c r="C8914" s="1342"/>
      <c r="D8914" s="1342"/>
      <c r="E8914" s="1342"/>
      <c r="F8914" s="1342"/>
      <c r="G8914" s="1342"/>
      <c r="H8914" s="1342"/>
      <c r="I8914" s="1342"/>
      <c r="J8914" s="1342"/>
      <c r="K8914" s="1342"/>
    </row>
    <row r="8915" spans="2:11" ht="14" hidden="1">
      <c r="B8915" s="1342"/>
      <c r="C8915" s="1342"/>
      <c r="D8915" s="1342"/>
      <c r="E8915" s="1342"/>
      <c r="F8915" s="1342"/>
      <c r="G8915" s="1342"/>
      <c r="H8915" s="1342"/>
      <c r="I8915" s="1342"/>
      <c r="J8915" s="1342"/>
      <c r="K8915" s="1342"/>
    </row>
    <row r="8916" spans="2:11" ht="14" hidden="1">
      <c r="B8916" s="1342"/>
      <c r="C8916" s="1342"/>
      <c r="D8916" s="1342"/>
      <c r="E8916" s="1342"/>
      <c r="F8916" s="1342"/>
      <c r="G8916" s="1342"/>
      <c r="H8916" s="1342"/>
      <c r="I8916" s="1342"/>
      <c r="J8916" s="1342"/>
      <c r="K8916" s="1342"/>
    </row>
    <row r="8917" spans="2:11" ht="14" hidden="1">
      <c r="B8917" s="1342"/>
      <c r="C8917" s="1342"/>
      <c r="D8917" s="1342"/>
      <c r="E8917" s="1342"/>
      <c r="F8917" s="1342"/>
      <c r="G8917" s="1342"/>
      <c r="H8917" s="1342"/>
      <c r="I8917" s="1342"/>
      <c r="J8917" s="1342"/>
      <c r="K8917" s="1342"/>
    </row>
    <row r="8918" spans="2:11" ht="14" hidden="1">
      <c r="B8918" s="1342"/>
      <c r="C8918" s="1342"/>
      <c r="D8918" s="1342"/>
      <c r="E8918" s="1342"/>
      <c r="F8918" s="1342"/>
      <c r="G8918" s="1342"/>
      <c r="H8918" s="1342"/>
      <c r="I8918" s="1342"/>
      <c r="J8918" s="1342"/>
      <c r="K8918" s="1342"/>
    </row>
    <row r="8919" spans="2:11" ht="14" hidden="1">
      <c r="B8919" s="1342"/>
      <c r="C8919" s="1342"/>
      <c r="D8919" s="1342"/>
      <c r="E8919" s="1342"/>
      <c r="F8919" s="1342"/>
      <c r="G8919" s="1342"/>
      <c r="H8919" s="1342"/>
      <c r="I8919" s="1342"/>
      <c r="J8919" s="1342"/>
      <c r="K8919" s="1342"/>
    </row>
    <row r="8920" spans="2:11" ht="14" hidden="1">
      <c r="B8920" s="1342"/>
      <c r="C8920" s="1342"/>
      <c r="D8920" s="1342"/>
      <c r="E8920" s="1342"/>
      <c r="F8920" s="1342"/>
      <c r="G8920" s="1342"/>
      <c r="H8920" s="1342"/>
      <c r="I8920" s="1342"/>
      <c r="J8920" s="1342"/>
      <c r="K8920" s="1342"/>
    </row>
    <row r="8921" spans="2:11" ht="14" hidden="1">
      <c r="B8921" s="1342"/>
      <c r="C8921" s="1342"/>
      <c r="D8921" s="1342"/>
      <c r="E8921" s="1342"/>
      <c r="F8921" s="1342"/>
      <c r="G8921" s="1342"/>
      <c r="H8921" s="1342"/>
      <c r="I8921" s="1342"/>
      <c r="J8921" s="1342"/>
      <c r="K8921" s="1342"/>
    </row>
    <row r="8922" spans="2:11" ht="14" hidden="1">
      <c r="B8922" s="1342"/>
      <c r="C8922" s="1342"/>
      <c r="D8922" s="1342"/>
      <c r="E8922" s="1342"/>
      <c r="F8922" s="1342"/>
      <c r="G8922" s="1342"/>
      <c r="H8922" s="1342"/>
      <c r="I8922" s="1342"/>
      <c r="J8922" s="1342"/>
      <c r="K8922" s="1342"/>
    </row>
    <row r="8923" spans="2:11" ht="14" hidden="1">
      <c r="B8923" s="1342"/>
      <c r="C8923" s="1342"/>
      <c r="D8923" s="1342"/>
      <c r="E8923" s="1342"/>
      <c r="F8923" s="1342"/>
      <c r="G8923" s="1342"/>
      <c r="H8923" s="1342"/>
      <c r="I8923" s="1342"/>
      <c r="J8923" s="1342"/>
      <c r="K8923" s="1342"/>
    </row>
    <row r="8924" spans="2:11" ht="14" hidden="1">
      <c r="B8924" s="1342"/>
      <c r="C8924" s="1342"/>
      <c r="D8924" s="1342"/>
      <c r="E8924" s="1342"/>
      <c r="F8924" s="1342"/>
      <c r="G8924" s="1342"/>
      <c r="H8924" s="1342"/>
      <c r="I8924" s="1342"/>
      <c r="J8924" s="1342"/>
      <c r="K8924" s="1342"/>
    </row>
    <row r="8925" spans="2:11" ht="14" hidden="1">
      <c r="B8925" s="1342"/>
      <c r="C8925" s="1342"/>
      <c r="D8925" s="1342"/>
      <c r="E8925" s="1342"/>
      <c r="F8925" s="1342"/>
      <c r="G8925" s="1342"/>
      <c r="H8925" s="1342"/>
      <c r="I8925" s="1342"/>
      <c r="J8925" s="1342"/>
      <c r="K8925" s="1342"/>
    </row>
    <row r="8926" spans="2:11" ht="14" hidden="1">
      <c r="B8926" s="1342"/>
      <c r="C8926" s="1342"/>
      <c r="D8926" s="1342"/>
      <c r="E8926" s="1342"/>
      <c r="F8926" s="1342"/>
      <c r="G8926" s="1342"/>
      <c r="H8926" s="1342"/>
      <c r="I8926" s="1342"/>
      <c r="J8926" s="1342"/>
      <c r="K8926" s="1342"/>
    </row>
    <row r="8927" spans="2:11" ht="14" hidden="1">
      <c r="B8927" s="1342"/>
      <c r="C8927" s="1342"/>
      <c r="D8927" s="1342"/>
      <c r="E8927" s="1342"/>
      <c r="F8927" s="1342"/>
      <c r="G8927" s="1342"/>
      <c r="H8927" s="1342"/>
      <c r="I8927" s="1342"/>
      <c r="J8927" s="1342"/>
      <c r="K8927" s="1342"/>
    </row>
    <row r="8928" spans="2:11" ht="14" hidden="1">
      <c r="B8928" s="1342"/>
      <c r="C8928" s="1342"/>
      <c r="D8928" s="1342"/>
      <c r="E8928" s="1342"/>
      <c r="F8928" s="1342"/>
      <c r="G8928" s="1342"/>
      <c r="H8928" s="1342"/>
      <c r="I8928" s="1342"/>
      <c r="J8928" s="1342"/>
      <c r="K8928" s="1342"/>
    </row>
    <row r="8929" spans="2:11" ht="14" hidden="1">
      <c r="B8929" s="1342"/>
      <c r="C8929" s="1342"/>
      <c r="D8929" s="1342"/>
      <c r="E8929" s="1342"/>
      <c r="F8929" s="1342"/>
      <c r="G8929" s="1342"/>
      <c r="H8929" s="1342"/>
      <c r="I8929" s="1342"/>
      <c r="J8929" s="1342"/>
      <c r="K8929" s="1342"/>
    </row>
    <row r="8930" spans="2:11" ht="14" hidden="1">
      <c r="B8930" s="1342"/>
      <c r="C8930" s="1342"/>
      <c r="D8930" s="1342"/>
      <c r="E8930" s="1342"/>
      <c r="F8930" s="1342"/>
      <c r="G8930" s="1342"/>
      <c r="H8930" s="1342"/>
      <c r="I8930" s="1342"/>
      <c r="J8930" s="1342"/>
      <c r="K8930" s="1342"/>
    </row>
    <row r="8931" spans="2:11" ht="14" hidden="1">
      <c r="B8931" s="1342"/>
      <c r="C8931" s="1342"/>
      <c r="D8931" s="1342"/>
      <c r="E8931" s="1342"/>
      <c r="F8931" s="1342"/>
      <c r="G8931" s="1342"/>
      <c r="H8931" s="1342"/>
      <c r="I8931" s="1342"/>
      <c r="J8931" s="1342"/>
      <c r="K8931" s="1342"/>
    </row>
    <row r="8932" spans="2:11" ht="14" hidden="1">
      <c r="B8932" s="1342"/>
      <c r="C8932" s="1342"/>
      <c r="D8932" s="1342"/>
      <c r="E8932" s="1342"/>
      <c r="F8932" s="1342"/>
      <c r="G8932" s="1342"/>
      <c r="H8932" s="1342"/>
      <c r="I8932" s="1342"/>
      <c r="J8932" s="1342"/>
      <c r="K8932" s="1342"/>
    </row>
    <row r="8933" spans="2:11" ht="14" hidden="1">
      <c r="B8933" s="1342"/>
      <c r="C8933" s="1342"/>
      <c r="D8933" s="1342"/>
      <c r="E8933" s="1342"/>
      <c r="F8933" s="1342"/>
      <c r="G8933" s="1342"/>
      <c r="H8933" s="1342"/>
      <c r="I8933" s="1342"/>
      <c r="J8933" s="1342"/>
      <c r="K8933" s="1342"/>
    </row>
    <row r="8934" spans="2:11" ht="14" hidden="1">
      <c r="B8934" s="1342"/>
      <c r="C8934" s="1342"/>
      <c r="D8934" s="1342"/>
      <c r="E8934" s="1342"/>
      <c r="F8934" s="1342"/>
      <c r="G8934" s="1342"/>
      <c r="H8934" s="1342"/>
      <c r="I8934" s="1342"/>
      <c r="J8934" s="1342"/>
      <c r="K8934" s="1342"/>
    </row>
    <row r="8935" spans="2:11" ht="14" hidden="1">
      <c r="B8935" s="1342"/>
      <c r="C8935" s="1342"/>
      <c r="D8935" s="1342"/>
      <c r="E8935" s="1342"/>
      <c r="F8935" s="1342"/>
      <c r="G8935" s="1342"/>
      <c r="H8935" s="1342"/>
      <c r="I8935" s="1342"/>
      <c r="J8935" s="1342"/>
      <c r="K8935" s="1342"/>
    </row>
    <row r="8936" spans="2:11" ht="14" hidden="1">
      <c r="B8936" s="1342"/>
      <c r="C8936" s="1342"/>
      <c r="D8936" s="1342"/>
      <c r="E8936" s="1342"/>
      <c r="F8936" s="1342"/>
      <c r="G8936" s="1342"/>
      <c r="H8936" s="1342"/>
      <c r="I8936" s="1342"/>
      <c r="J8936" s="1342"/>
      <c r="K8936" s="1342"/>
    </row>
    <row r="8937" spans="2:11" ht="14" hidden="1">
      <c r="B8937" s="1342"/>
      <c r="C8937" s="1342"/>
      <c r="D8937" s="1342"/>
      <c r="E8937" s="1342"/>
      <c r="F8937" s="1342"/>
      <c r="G8937" s="1342"/>
      <c r="H8937" s="1342"/>
      <c r="I8937" s="1342"/>
      <c r="J8937" s="1342"/>
      <c r="K8937" s="1342"/>
    </row>
    <row r="8938" spans="2:11" ht="14" hidden="1">
      <c r="B8938" s="1342"/>
      <c r="C8938" s="1342"/>
      <c r="D8938" s="1342"/>
      <c r="E8938" s="1342"/>
      <c r="F8938" s="1342"/>
      <c r="G8938" s="1342"/>
      <c r="H8938" s="1342"/>
      <c r="I8938" s="1342"/>
      <c r="J8938" s="1342"/>
      <c r="K8938" s="1342"/>
    </row>
    <row r="8939" spans="2:11" ht="14" hidden="1">
      <c r="B8939" s="1342"/>
      <c r="C8939" s="1342"/>
      <c r="D8939" s="1342"/>
      <c r="E8939" s="1342"/>
      <c r="F8939" s="1342"/>
      <c r="G8939" s="1342"/>
      <c r="H8939" s="1342"/>
      <c r="I8939" s="1342"/>
      <c r="J8939" s="1342"/>
      <c r="K8939" s="1342"/>
    </row>
    <row r="8940" spans="2:11" ht="14" hidden="1">
      <c r="B8940" s="1342"/>
      <c r="C8940" s="1342"/>
      <c r="D8940" s="1342"/>
      <c r="E8940" s="1342"/>
      <c r="F8940" s="1342"/>
      <c r="G8940" s="1342"/>
      <c r="H8940" s="1342"/>
      <c r="I8940" s="1342"/>
      <c r="J8940" s="1342"/>
      <c r="K8940" s="1342"/>
    </row>
    <row r="8941" spans="2:11" ht="14" hidden="1">
      <c r="B8941" s="1342"/>
      <c r="C8941" s="1342"/>
      <c r="D8941" s="1342"/>
      <c r="E8941" s="1342"/>
      <c r="F8941" s="1342"/>
      <c r="G8941" s="1342"/>
      <c r="H8941" s="1342"/>
      <c r="I8941" s="1342"/>
      <c r="J8941" s="1342"/>
      <c r="K8941" s="1342"/>
    </row>
    <row r="8942" spans="2:11" ht="14" hidden="1">
      <c r="B8942" s="1342"/>
      <c r="C8942" s="1342"/>
      <c r="D8942" s="1342"/>
      <c r="E8942" s="1342"/>
      <c r="F8942" s="1342"/>
      <c r="G8942" s="1342"/>
      <c r="H8942" s="1342"/>
      <c r="I8942" s="1342"/>
      <c r="J8942" s="1342"/>
      <c r="K8942" s="1342"/>
    </row>
    <row r="8943" spans="2:11" ht="14" hidden="1">
      <c r="B8943" s="1342"/>
      <c r="C8943" s="1342"/>
      <c r="D8943" s="1342"/>
      <c r="E8943" s="1342"/>
      <c r="F8943" s="1342"/>
      <c r="G8943" s="1342"/>
      <c r="H8943" s="1342"/>
      <c r="I8943" s="1342"/>
      <c r="J8943" s="1342"/>
      <c r="K8943" s="1342"/>
    </row>
    <row r="8944" spans="2:11" ht="14" hidden="1">
      <c r="B8944" s="1342"/>
      <c r="C8944" s="1342"/>
      <c r="D8944" s="1342"/>
      <c r="E8944" s="1342"/>
      <c r="F8944" s="1342"/>
      <c r="G8944" s="1342"/>
      <c r="H8944" s="1342"/>
      <c r="I8944" s="1342"/>
      <c r="J8944" s="1342"/>
      <c r="K8944" s="1342"/>
    </row>
    <row r="8945" spans="2:11" ht="14" hidden="1">
      <c r="B8945" s="1342"/>
      <c r="C8945" s="1342"/>
      <c r="D8945" s="1342"/>
      <c r="E8945" s="1342"/>
      <c r="F8945" s="1342"/>
      <c r="G8945" s="1342"/>
      <c r="H8945" s="1342"/>
      <c r="I8945" s="1342"/>
      <c r="J8945" s="1342"/>
      <c r="K8945" s="1342"/>
    </row>
    <row r="8946" spans="2:11" ht="14" hidden="1">
      <c r="B8946" s="1342"/>
      <c r="C8946" s="1342"/>
      <c r="D8946" s="1342"/>
      <c r="E8946" s="1342"/>
      <c r="F8946" s="1342"/>
      <c r="G8946" s="1342"/>
      <c r="H8946" s="1342"/>
      <c r="I8946" s="1342"/>
      <c r="J8946" s="1342"/>
      <c r="K8946" s="1342"/>
    </row>
    <row r="8947" spans="2:11" ht="14" hidden="1">
      <c r="B8947" s="1342"/>
      <c r="C8947" s="1342"/>
      <c r="D8947" s="1342"/>
      <c r="E8947" s="1342"/>
      <c r="F8947" s="1342"/>
      <c r="G8947" s="1342"/>
      <c r="H8947" s="1342"/>
      <c r="I8947" s="1342"/>
      <c r="J8947" s="1342"/>
      <c r="K8947" s="1342"/>
    </row>
    <row r="8948" spans="2:11" ht="14" hidden="1">
      <c r="B8948" s="1342"/>
      <c r="C8948" s="1342"/>
      <c r="D8948" s="1342"/>
      <c r="E8948" s="1342"/>
      <c r="F8948" s="1342"/>
      <c r="G8948" s="1342"/>
      <c r="H8948" s="1342"/>
      <c r="I8948" s="1342"/>
      <c r="J8948" s="1342"/>
      <c r="K8948" s="1342"/>
    </row>
    <row r="8949" spans="2:11" ht="14" hidden="1">
      <c r="B8949" s="1342"/>
      <c r="C8949" s="1342"/>
      <c r="D8949" s="1342"/>
      <c r="E8949" s="1342"/>
      <c r="F8949" s="1342"/>
      <c r="G8949" s="1342"/>
      <c r="H8949" s="1342"/>
      <c r="I8949" s="1342"/>
      <c r="J8949" s="1342"/>
      <c r="K8949" s="1342"/>
    </row>
    <row r="8950" spans="2:11" ht="14" hidden="1">
      <c r="B8950" s="1342"/>
      <c r="C8950" s="1342"/>
      <c r="D8950" s="1342"/>
      <c r="E8950" s="1342"/>
      <c r="F8950" s="1342"/>
      <c r="G8950" s="1342"/>
      <c r="H8950" s="1342"/>
      <c r="I8950" s="1342"/>
      <c r="J8950" s="1342"/>
      <c r="K8950" s="1342"/>
    </row>
    <row r="8951" spans="2:11" ht="14" hidden="1">
      <c r="B8951" s="1342"/>
      <c r="C8951" s="1342"/>
      <c r="D8951" s="1342"/>
      <c r="E8951" s="1342"/>
      <c r="F8951" s="1342"/>
      <c r="G8951" s="1342"/>
      <c r="H8951" s="1342"/>
      <c r="I8951" s="1342"/>
      <c r="J8951" s="1342"/>
      <c r="K8951" s="1342"/>
    </row>
    <row r="8952" spans="2:11" ht="14" hidden="1">
      <c r="B8952" s="1342"/>
      <c r="C8952" s="1342"/>
      <c r="D8952" s="1342"/>
      <c r="E8952" s="1342"/>
      <c r="F8952" s="1342"/>
      <c r="G8952" s="1342"/>
      <c r="H8952" s="1342"/>
      <c r="I8952" s="1342"/>
      <c r="J8952" s="1342"/>
      <c r="K8952" s="1342"/>
    </row>
    <row r="8953" spans="2:11" ht="14" hidden="1">
      <c r="B8953" s="1342"/>
      <c r="C8953" s="1342"/>
      <c r="D8953" s="1342"/>
      <c r="E8953" s="1342"/>
      <c r="F8953" s="1342"/>
      <c r="G8953" s="1342"/>
      <c r="H8953" s="1342"/>
      <c r="I8953" s="1342"/>
      <c r="J8953" s="1342"/>
      <c r="K8953" s="1342"/>
    </row>
    <row r="8954" spans="2:11" ht="14" hidden="1">
      <c r="B8954" s="1342"/>
      <c r="C8954" s="1342"/>
      <c r="D8954" s="1342"/>
      <c r="E8954" s="1342"/>
      <c r="F8954" s="1342"/>
      <c r="G8954" s="1342"/>
      <c r="H8954" s="1342"/>
      <c r="I8954" s="1342"/>
      <c r="J8954" s="1342"/>
      <c r="K8954" s="1342"/>
    </row>
    <row r="8955" spans="2:11" ht="14" hidden="1">
      <c r="B8955" s="1342"/>
      <c r="C8955" s="1342"/>
      <c r="D8955" s="1342"/>
      <c r="E8955" s="1342"/>
      <c r="F8955" s="1342"/>
      <c r="G8955" s="1342"/>
      <c r="H8955" s="1342"/>
      <c r="I8955" s="1342"/>
      <c r="J8955" s="1342"/>
      <c r="K8955" s="1342"/>
    </row>
    <row r="8956" spans="2:11" ht="14" hidden="1">
      <c r="B8956" s="1342"/>
      <c r="C8956" s="1342"/>
      <c r="D8956" s="1342"/>
      <c r="E8956" s="1342"/>
      <c r="F8956" s="1342"/>
      <c r="G8956" s="1342"/>
      <c r="H8956" s="1342"/>
      <c r="I8956" s="1342"/>
      <c r="J8956" s="1342"/>
      <c r="K8956" s="1342"/>
    </row>
    <row r="8957" spans="2:11" ht="14" hidden="1">
      <c r="B8957" s="1342"/>
      <c r="C8957" s="1342"/>
      <c r="D8957" s="1342"/>
      <c r="E8957" s="1342"/>
      <c r="F8957" s="1342"/>
      <c r="G8957" s="1342"/>
      <c r="H8957" s="1342"/>
      <c r="I8957" s="1342"/>
      <c r="J8957" s="1342"/>
      <c r="K8957" s="1342"/>
    </row>
    <row r="8958" spans="2:11" ht="14" hidden="1">
      <c r="B8958" s="1342"/>
      <c r="C8958" s="1342"/>
      <c r="D8958" s="1342"/>
      <c r="E8958" s="1342"/>
      <c r="F8958" s="1342"/>
      <c r="G8958" s="1342"/>
      <c r="H8958" s="1342"/>
      <c r="I8958" s="1342"/>
      <c r="J8958" s="1342"/>
      <c r="K8958" s="1342"/>
    </row>
    <row r="8959" spans="2:11" ht="14" hidden="1">
      <c r="B8959" s="1342"/>
      <c r="C8959" s="1342"/>
      <c r="D8959" s="1342"/>
      <c r="E8959" s="1342"/>
      <c r="F8959" s="1342"/>
      <c r="G8959" s="1342"/>
      <c r="H8959" s="1342"/>
      <c r="I8959" s="1342"/>
      <c r="J8959" s="1342"/>
      <c r="K8959" s="1342"/>
    </row>
    <row r="8960" spans="2:11" ht="14" hidden="1">
      <c r="B8960" s="1342"/>
      <c r="C8960" s="1342"/>
      <c r="D8960" s="1342"/>
      <c r="E8960" s="1342"/>
      <c r="F8960" s="1342"/>
      <c r="G8960" s="1342"/>
      <c r="H8960" s="1342"/>
      <c r="I8960" s="1342"/>
      <c r="J8960" s="1342"/>
      <c r="K8960" s="1342"/>
    </row>
    <row r="8961" spans="2:11" ht="14" hidden="1">
      <c r="B8961" s="1342"/>
      <c r="C8961" s="1342"/>
      <c r="D8961" s="1342"/>
      <c r="E8961" s="1342"/>
      <c r="F8961" s="1342"/>
      <c r="G8961" s="1342"/>
      <c r="H8961" s="1342"/>
      <c r="I8961" s="1342"/>
      <c r="J8961" s="1342"/>
      <c r="K8961" s="1342"/>
    </row>
    <row r="8962" spans="2:11" ht="14" hidden="1">
      <c r="B8962" s="1342"/>
      <c r="C8962" s="1342"/>
      <c r="D8962" s="1342"/>
      <c r="E8962" s="1342"/>
      <c r="F8962" s="1342"/>
      <c r="G8962" s="1342"/>
      <c r="H8962" s="1342"/>
      <c r="I8962" s="1342"/>
      <c r="J8962" s="1342"/>
      <c r="K8962" s="1342"/>
    </row>
    <row r="8963" spans="2:11" ht="14" hidden="1">
      <c r="B8963" s="1342"/>
      <c r="C8963" s="1342"/>
      <c r="D8963" s="1342"/>
      <c r="E8963" s="1342"/>
      <c r="F8963" s="1342"/>
      <c r="G8963" s="1342"/>
      <c r="H8963" s="1342"/>
      <c r="I8963" s="1342"/>
      <c r="J8963" s="1342"/>
      <c r="K8963" s="1342"/>
    </row>
    <row r="8964" spans="2:11" ht="14" hidden="1">
      <c r="B8964" s="1342"/>
      <c r="C8964" s="1342"/>
      <c r="D8964" s="1342"/>
      <c r="E8964" s="1342"/>
      <c r="F8964" s="1342"/>
      <c r="G8964" s="1342"/>
      <c r="H8964" s="1342"/>
      <c r="I8964" s="1342"/>
      <c r="J8964" s="1342"/>
      <c r="K8964" s="1342"/>
    </row>
    <row r="8965" spans="2:11" ht="14" hidden="1">
      <c r="B8965" s="1342"/>
      <c r="C8965" s="1342"/>
      <c r="D8965" s="1342"/>
      <c r="E8965" s="1342"/>
      <c r="F8965" s="1342"/>
      <c r="G8965" s="1342"/>
      <c r="H8965" s="1342"/>
      <c r="I8965" s="1342"/>
      <c r="J8965" s="1342"/>
      <c r="K8965" s="1342"/>
    </row>
    <row r="8966" spans="2:11" ht="14" hidden="1">
      <c r="B8966" s="1342"/>
      <c r="C8966" s="1342"/>
      <c r="D8966" s="1342"/>
      <c r="E8966" s="1342"/>
      <c r="F8966" s="1342"/>
      <c r="G8966" s="1342"/>
      <c r="H8966" s="1342"/>
      <c r="I8966" s="1342"/>
      <c r="J8966" s="1342"/>
      <c r="K8966" s="1342"/>
    </row>
    <row r="8967" spans="2:11" ht="14" hidden="1">
      <c r="B8967" s="1342"/>
      <c r="C8967" s="1342"/>
      <c r="D8967" s="1342"/>
      <c r="E8967" s="1342"/>
      <c r="F8967" s="1342"/>
      <c r="G8967" s="1342"/>
      <c r="H8967" s="1342"/>
      <c r="I8967" s="1342"/>
      <c r="J8967" s="1342"/>
      <c r="K8967" s="1342"/>
    </row>
    <row r="8968" spans="2:11" ht="14" hidden="1">
      <c r="B8968" s="1342"/>
      <c r="C8968" s="1342"/>
      <c r="D8968" s="1342"/>
      <c r="E8968" s="1342"/>
      <c r="F8968" s="1342"/>
      <c r="G8968" s="1342"/>
      <c r="H8968" s="1342"/>
      <c r="I8968" s="1342"/>
      <c r="J8968" s="1342"/>
      <c r="K8968" s="1342"/>
    </row>
    <row r="8969" spans="2:11" ht="14" hidden="1">
      <c r="B8969" s="1342"/>
      <c r="C8969" s="1342"/>
      <c r="D8969" s="1342"/>
      <c r="E8969" s="1342"/>
      <c r="F8969" s="1342"/>
      <c r="G8969" s="1342"/>
      <c r="H8969" s="1342"/>
      <c r="I8969" s="1342"/>
      <c r="J8969" s="1342"/>
      <c r="K8969" s="1342"/>
    </row>
    <row r="8970" spans="2:11" ht="14" hidden="1">
      <c r="B8970" s="1342"/>
      <c r="C8970" s="1342"/>
      <c r="D8970" s="1342"/>
      <c r="E8970" s="1342"/>
      <c r="F8970" s="1342"/>
      <c r="G8970" s="1342"/>
      <c r="H8970" s="1342"/>
      <c r="I8970" s="1342"/>
      <c r="J8970" s="1342"/>
      <c r="K8970" s="1342"/>
    </row>
    <row r="8971" spans="2:11" ht="14" hidden="1">
      <c r="B8971" s="1342"/>
      <c r="C8971" s="1342"/>
      <c r="D8971" s="1342"/>
      <c r="E8971" s="1342"/>
      <c r="F8971" s="1342"/>
      <c r="G8971" s="1342"/>
      <c r="H8971" s="1342"/>
      <c r="I8971" s="1342"/>
      <c r="J8971" s="1342"/>
      <c r="K8971" s="1342"/>
    </row>
    <row r="8972" spans="2:11" ht="14" hidden="1">
      <c r="B8972" s="1342"/>
      <c r="C8972" s="1342"/>
      <c r="D8972" s="1342"/>
      <c r="E8972" s="1342"/>
      <c r="F8972" s="1342"/>
      <c r="G8972" s="1342"/>
      <c r="H8972" s="1342"/>
      <c r="I8972" s="1342"/>
      <c r="J8972" s="1342"/>
      <c r="K8972" s="1342"/>
    </row>
    <row r="8973" spans="2:11" ht="14" hidden="1">
      <c r="B8973" s="1342"/>
      <c r="C8973" s="1342"/>
      <c r="D8973" s="1342"/>
      <c r="E8973" s="1342"/>
      <c r="F8973" s="1342"/>
      <c r="G8973" s="1342"/>
      <c r="H8973" s="1342"/>
      <c r="I8973" s="1342"/>
      <c r="J8973" s="1342"/>
      <c r="K8973" s="1342"/>
    </row>
    <row r="8974" spans="2:11" ht="14" hidden="1">
      <c r="B8974" s="1342"/>
      <c r="C8974" s="1342"/>
      <c r="D8974" s="1342"/>
      <c r="E8974" s="1342"/>
      <c r="F8974" s="1342"/>
      <c r="G8974" s="1342"/>
      <c r="H8974" s="1342"/>
      <c r="I8974" s="1342"/>
      <c r="J8974" s="1342"/>
      <c r="K8974" s="1342"/>
    </row>
    <row r="8975" spans="2:11" ht="14" hidden="1">
      <c r="B8975" s="1342"/>
      <c r="C8975" s="1342"/>
      <c r="D8975" s="1342"/>
      <c r="E8975" s="1342"/>
      <c r="F8975" s="1342"/>
      <c r="G8975" s="1342"/>
      <c r="H8975" s="1342"/>
      <c r="I8975" s="1342"/>
      <c r="J8975" s="1342"/>
      <c r="K8975" s="1342"/>
    </row>
    <row r="8976" spans="2:11" ht="14" hidden="1">
      <c r="B8976" s="1342"/>
      <c r="C8976" s="1342"/>
      <c r="D8976" s="1342"/>
      <c r="E8976" s="1342"/>
      <c r="F8976" s="1342"/>
      <c r="G8976" s="1342"/>
      <c r="H8976" s="1342"/>
      <c r="I8976" s="1342"/>
      <c r="J8976" s="1342"/>
      <c r="K8976" s="1342"/>
    </row>
    <row r="8977" spans="2:11" ht="14" hidden="1">
      <c r="B8977" s="1342"/>
      <c r="C8977" s="1342"/>
      <c r="D8977" s="1342"/>
      <c r="E8977" s="1342"/>
      <c r="F8977" s="1342"/>
      <c r="G8977" s="1342"/>
      <c r="H8977" s="1342"/>
      <c r="I8977" s="1342"/>
      <c r="J8977" s="1342"/>
      <c r="K8977" s="1342"/>
    </row>
    <row r="8978" spans="2:11" ht="14" hidden="1">
      <c r="B8978" s="1342"/>
      <c r="C8978" s="1342"/>
      <c r="D8978" s="1342"/>
      <c r="E8978" s="1342"/>
      <c r="F8978" s="1342"/>
      <c r="G8978" s="1342"/>
      <c r="H8978" s="1342"/>
      <c r="I8978" s="1342"/>
      <c r="J8978" s="1342"/>
      <c r="K8978" s="1342"/>
    </row>
    <row r="8979" spans="2:11" ht="14" hidden="1">
      <c r="B8979" s="1342"/>
      <c r="C8979" s="1342"/>
      <c r="D8979" s="1342"/>
      <c r="E8979" s="1342"/>
      <c r="F8979" s="1342"/>
      <c r="G8979" s="1342"/>
      <c r="H8979" s="1342"/>
      <c r="I8979" s="1342"/>
      <c r="J8979" s="1342"/>
      <c r="K8979" s="1342"/>
    </row>
    <row r="8980" spans="2:11" ht="14" hidden="1">
      <c r="B8980" s="1342"/>
      <c r="C8980" s="1342"/>
      <c r="D8980" s="1342"/>
      <c r="E8980" s="1342"/>
      <c r="F8980" s="1342"/>
      <c r="G8980" s="1342"/>
      <c r="H8980" s="1342"/>
      <c r="I8980" s="1342"/>
      <c r="J8980" s="1342"/>
      <c r="K8980" s="1342"/>
    </row>
    <row r="8981" spans="2:11" ht="14" hidden="1">
      <c r="B8981" s="1342"/>
      <c r="C8981" s="1342"/>
      <c r="D8981" s="1342"/>
      <c r="E8981" s="1342"/>
      <c r="F8981" s="1342"/>
      <c r="G8981" s="1342"/>
      <c r="H8981" s="1342"/>
      <c r="I8981" s="1342"/>
      <c r="J8981" s="1342"/>
      <c r="K8981" s="1342"/>
    </row>
    <row r="8982" spans="2:11" ht="14" hidden="1">
      <c r="B8982" s="1342"/>
      <c r="C8982" s="1342"/>
      <c r="D8982" s="1342"/>
      <c r="E8982" s="1342"/>
      <c r="F8982" s="1342"/>
      <c r="G8982" s="1342"/>
      <c r="H8982" s="1342"/>
      <c r="I8982" s="1342"/>
      <c r="J8982" s="1342"/>
      <c r="K8982" s="1342"/>
    </row>
    <row r="8983" spans="2:11" ht="14" hidden="1">
      <c r="B8983" s="1342"/>
      <c r="C8983" s="1342"/>
      <c r="D8983" s="1342"/>
      <c r="E8983" s="1342"/>
      <c r="F8983" s="1342"/>
      <c r="G8983" s="1342"/>
      <c r="H8983" s="1342"/>
      <c r="I8983" s="1342"/>
      <c r="J8983" s="1342"/>
      <c r="K8983" s="1342"/>
    </row>
    <row r="8984" spans="2:11" ht="14" hidden="1">
      <c r="B8984" s="1342"/>
      <c r="C8984" s="1342"/>
      <c r="D8984" s="1342"/>
      <c r="E8984" s="1342"/>
      <c r="F8984" s="1342"/>
      <c r="G8984" s="1342"/>
      <c r="H8984" s="1342"/>
      <c r="I8984" s="1342"/>
      <c r="J8984" s="1342"/>
      <c r="K8984" s="1342"/>
    </row>
    <row r="8985" spans="2:11" ht="14" hidden="1">
      <c r="B8985" s="1342"/>
      <c r="C8985" s="1342"/>
      <c r="D8985" s="1342"/>
      <c r="E8985" s="1342"/>
      <c r="F8985" s="1342"/>
      <c r="G8985" s="1342"/>
      <c r="H8985" s="1342"/>
      <c r="I8985" s="1342"/>
      <c r="J8985" s="1342"/>
      <c r="K8985" s="1342"/>
    </row>
    <row r="8986" spans="2:11" ht="14" hidden="1">
      <c r="B8986" s="1342"/>
      <c r="C8986" s="1342"/>
      <c r="D8986" s="1342"/>
      <c r="E8986" s="1342"/>
      <c r="F8986" s="1342"/>
      <c r="G8986" s="1342"/>
      <c r="H8986" s="1342"/>
      <c r="I8986" s="1342"/>
      <c r="J8986" s="1342"/>
      <c r="K8986" s="1342"/>
    </row>
    <row r="8987" spans="2:11" ht="14" hidden="1">
      <c r="B8987" s="1342"/>
      <c r="C8987" s="1342"/>
      <c r="D8987" s="1342"/>
      <c r="E8987" s="1342"/>
      <c r="F8987" s="1342"/>
      <c r="G8987" s="1342"/>
      <c r="H8987" s="1342"/>
      <c r="I8987" s="1342"/>
      <c r="J8987" s="1342"/>
      <c r="K8987" s="1342"/>
    </row>
    <row r="8988" spans="2:11" ht="14" hidden="1">
      <c r="B8988" s="1342"/>
      <c r="C8988" s="1342"/>
      <c r="D8988" s="1342"/>
      <c r="E8988" s="1342"/>
      <c r="F8988" s="1342"/>
      <c r="G8988" s="1342"/>
      <c r="H8988" s="1342"/>
      <c r="I8988" s="1342"/>
      <c r="J8988" s="1342"/>
      <c r="K8988" s="1342"/>
    </row>
    <row r="8989" spans="2:11" ht="14" hidden="1">
      <c r="B8989" s="1342"/>
      <c r="C8989" s="1342"/>
      <c r="D8989" s="1342"/>
      <c r="E8989" s="1342"/>
      <c r="F8989" s="1342"/>
      <c r="G8989" s="1342"/>
      <c r="H8989" s="1342"/>
      <c r="I8989" s="1342"/>
      <c r="J8989" s="1342"/>
      <c r="K8989" s="1342"/>
    </row>
    <row r="8990" spans="2:11" ht="14" hidden="1">
      <c r="B8990" s="1342"/>
      <c r="C8990" s="1342"/>
      <c r="D8990" s="1342"/>
      <c r="E8990" s="1342"/>
      <c r="F8990" s="1342"/>
      <c r="G8990" s="1342"/>
      <c r="H8990" s="1342"/>
      <c r="I8990" s="1342"/>
      <c r="J8990" s="1342"/>
      <c r="K8990" s="1342"/>
    </row>
    <row r="8991" spans="2:11" ht="14" hidden="1">
      <c r="B8991" s="1342"/>
      <c r="C8991" s="1342"/>
      <c r="D8991" s="1342"/>
      <c r="E8991" s="1342"/>
      <c r="F8991" s="1342"/>
      <c r="G8991" s="1342"/>
      <c r="H8991" s="1342"/>
      <c r="I8991" s="1342"/>
      <c r="J8991" s="1342"/>
      <c r="K8991" s="1342"/>
    </row>
    <row r="8992" spans="2:11" ht="14" hidden="1">
      <c r="B8992" s="1342"/>
      <c r="C8992" s="1342"/>
      <c r="D8992" s="1342"/>
      <c r="E8992" s="1342"/>
      <c r="F8992" s="1342"/>
      <c r="G8992" s="1342"/>
      <c r="H8992" s="1342"/>
      <c r="I8992" s="1342"/>
      <c r="J8992" s="1342"/>
      <c r="K8992" s="1342"/>
    </row>
    <row r="8993" spans="2:11" ht="14" hidden="1">
      <c r="B8993" s="1342"/>
      <c r="C8993" s="1342"/>
      <c r="D8993" s="1342"/>
      <c r="E8993" s="1342"/>
      <c r="F8993" s="1342"/>
      <c r="G8993" s="1342"/>
      <c r="H8993" s="1342"/>
      <c r="I8993" s="1342"/>
      <c r="J8993" s="1342"/>
      <c r="K8993" s="1342"/>
    </row>
    <row r="8994" spans="2:11" ht="14" hidden="1">
      <c r="B8994" s="1342"/>
      <c r="C8994" s="1342"/>
      <c r="D8994" s="1342"/>
      <c r="E8994" s="1342"/>
      <c r="F8994" s="1342"/>
      <c r="G8994" s="1342"/>
      <c r="H8994" s="1342"/>
      <c r="I8994" s="1342"/>
      <c r="J8994" s="1342"/>
      <c r="K8994" s="1342"/>
    </row>
    <row r="8995" spans="2:11" ht="14" hidden="1">
      <c r="B8995" s="1342"/>
      <c r="C8995" s="1342"/>
      <c r="D8995" s="1342"/>
      <c r="E8995" s="1342"/>
      <c r="F8995" s="1342"/>
      <c r="G8995" s="1342"/>
      <c r="H8995" s="1342"/>
      <c r="I8995" s="1342"/>
      <c r="J8995" s="1342"/>
      <c r="K8995" s="1342"/>
    </row>
    <row r="8996" spans="2:11" ht="14" hidden="1">
      <c r="B8996" s="1342"/>
      <c r="C8996" s="1342"/>
      <c r="D8996" s="1342"/>
      <c r="E8996" s="1342"/>
      <c r="F8996" s="1342"/>
      <c r="G8996" s="1342"/>
      <c r="H8996" s="1342"/>
      <c r="I8996" s="1342"/>
      <c r="J8996" s="1342"/>
      <c r="K8996" s="1342"/>
    </row>
    <row r="8997" spans="2:11" ht="14" hidden="1">
      <c r="B8997" s="1342"/>
      <c r="C8997" s="1342"/>
      <c r="D8997" s="1342"/>
      <c r="E8997" s="1342"/>
      <c r="F8997" s="1342"/>
      <c r="G8997" s="1342"/>
      <c r="H8997" s="1342"/>
      <c r="I8997" s="1342"/>
      <c r="J8997" s="1342"/>
      <c r="K8997" s="1342"/>
    </row>
    <row r="8998" spans="2:11" ht="14" hidden="1">
      <c r="B8998" s="1342"/>
      <c r="C8998" s="1342"/>
      <c r="D8998" s="1342"/>
      <c r="E8998" s="1342"/>
      <c r="F8998" s="1342"/>
      <c r="G8998" s="1342"/>
      <c r="H8998" s="1342"/>
      <c r="I8998" s="1342"/>
      <c r="J8998" s="1342"/>
      <c r="K8998" s="1342"/>
    </row>
    <row r="8999" spans="2:11" ht="14" hidden="1">
      <c r="B8999" s="1342"/>
      <c r="C8999" s="1342"/>
      <c r="D8999" s="1342"/>
      <c r="E8999" s="1342"/>
      <c r="F8999" s="1342"/>
      <c r="G8999" s="1342"/>
      <c r="H8999" s="1342"/>
      <c r="I8999" s="1342"/>
      <c r="J8999" s="1342"/>
      <c r="K8999" s="1342"/>
    </row>
    <row r="9000" spans="2:11" ht="14" hidden="1">
      <c r="B9000" s="1342"/>
      <c r="C9000" s="1342"/>
      <c r="D9000" s="1342"/>
      <c r="E9000" s="1342"/>
      <c r="F9000" s="1342"/>
      <c r="G9000" s="1342"/>
      <c r="H9000" s="1342"/>
      <c r="I9000" s="1342"/>
      <c r="J9000" s="1342"/>
      <c r="K9000" s="1342"/>
    </row>
    <row r="9001" spans="2:11" ht="14" hidden="1">
      <c r="B9001" s="1342"/>
      <c r="C9001" s="1342"/>
      <c r="D9001" s="1342"/>
      <c r="E9001" s="1342"/>
      <c r="F9001" s="1342"/>
      <c r="G9001" s="1342"/>
      <c r="H9001" s="1342"/>
      <c r="I9001" s="1342"/>
      <c r="J9001" s="1342"/>
      <c r="K9001" s="1342"/>
    </row>
    <row r="9002" spans="2:11" ht="14" hidden="1">
      <c r="B9002" s="1342"/>
      <c r="C9002" s="1342"/>
      <c r="D9002" s="1342"/>
      <c r="E9002" s="1342"/>
      <c r="F9002" s="1342"/>
      <c r="G9002" s="1342"/>
      <c r="H9002" s="1342"/>
      <c r="I9002" s="1342"/>
      <c r="J9002" s="1342"/>
      <c r="K9002" s="1342"/>
    </row>
    <row r="9003" spans="2:11" ht="14" hidden="1">
      <c r="B9003" s="1342"/>
      <c r="C9003" s="1342"/>
      <c r="D9003" s="1342"/>
      <c r="E9003" s="1342"/>
      <c r="F9003" s="1342"/>
      <c r="G9003" s="1342"/>
      <c r="H9003" s="1342"/>
      <c r="I9003" s="1342"/>
      <c r="J9003" s="1342"/>
      <c r="K9003" s="1342"/>
    </row>
    <row r="9004" spans="2:11" ht="14" hidden="1">
      <c r="B9004" s="1342"/>
      <c r="C9004" s="1342"/>
      <c r="D9004" s="1342"/>
      <c r="E9004" s="1342"/>
      <c r="F9004" s="1342"/>
      <c r="G9004" s="1342"/>
      <c r="H9004" s="1342"/>
      <c r="I9004" s="1342"/>
      <c r="J9004" s="1342"/>
      <c r="K9004" s="1342"/>
    </row>
    <row r="9005" spans="2:11" ht="14" hidden="1">
      <c r="B9005" s="1342"/>
      <c r="C9005" s="1342"/>
      <c r="D9005" s="1342"/>
      <c r="E9005" s="1342"/>
      <c r="F9005" s="1342"/>
      <c r="G9005" s="1342"/>
      <c r="H9005" s="1342"/>
      <c r="I9005" s="1342"/>
      <c r="J9005" s="1342"/>
      <c r="K9005" s="1342"/>
    </row>
    <row r="9006" spans="2:11" ht="14" hidden="1">
      <c r="B9006" s="1342"/>
      <c r="C9006" s="1342"/>
      <c r="D9006" s="1342"/>
      <c r="E9006" s="1342"/>
      <c r="F9006" s="1342"/>
      <c r="G9006" s="1342"/>
      <c r="H9006" s="1342"/>
      <c r="I9006" s="1342"/>
      <c r="J9006" s="1342"/>
      <c r="K9006" s="1342"/>
    </row>
    <row r="9007" spans="2:11" ht="14" hidden="1">
      <c r="B9007" s="1342"/>
      <c r="C9007" s="1342"/>
      <c r="D9007" s="1342"/>
      <c r="E9007" s="1342"/>
      <c r="F9007" s="1342"/>
      <c r="G9007" s="1342"/>
      <c r="H9007" s="1342"/>
      <c r="I9007" s="1342"/>
      <c r="J9007" s="1342"/>
      <c r="K9007" s="1342"/>
    </row>
    <row r="9008" spans="2:11" ht="14" hidden="1">
      <c r="B9008" s="1342"/>
      <c r="C9008" s="1342"/>
      <c r="D9008" s="1342"/>
      <c r="E9008" s="1342"/>
      <c r="F9008" s="1342"/>
      <c r="G9008" s="1342"/>
      <c r="H9008" s="1342"/>
      <c r="I9008" s="1342"/>
      <c r="J9008" s="1342"/>
      <c r="K9008" s="1342"/>
    </row>
    <row r="9009" spans="2:11" ht="14" hidden="1">
      <c r="B9009" s="1342"/>
      <c r="C9009" s="1342"/>
      <c r="D9009" s="1342"/>
      <c r="E9009" s="1342"/>
      <c r="F9009" s="1342"/>
      <c r="G9009" s="1342"/>
      <c r="H9009" s="1342"/>
      <c r="I9009" s="1342"/>
      <c r="J9009" s="1342"/>
      <c r="K9009" s="1342"/>
    </row>
    <row r="9010" spans="2:11" ht="14" hidden="1">
      <c r="B9010" s="1342"/>
      <c r="C9010" s="1342"/>
      <c r="D9010" s="1342"/>
      <c r="E9010" s="1342"/>
      <c r="F9010" s="1342"/>
      <c r="G9010" s="1342"/>
      <c r="H9010" s="1342"/>
      <c r="I9010" s="1342"/>
      <c r="J9010" s="1342"/>
      <c r="K9010" s="1342"/>
    </row>
    <row r="9011" spans="2:11" ht="14" hidden="1">
      <c r="B9011" s="1342"/>
      <c r="C9011" s="1342"/>
      <c r="D9011" s="1342"/>
      <c r="E9011" s="1342"/>
      <c r="F9011" s="1342"/>
      <c r="G9011" s="1342"/>
      <c r="H9011" s="1342"/>
      <c r="I9011" s="1342"/>
      <c r="J9011" s="1342"/>
      <c r="K9011" s="1342"/>
    </row>
    <row r="9012" spans="2:11" ht="14" hidden="1">
      <c r="B9012" s="1342"/>
      <c r="C9012" s="1342"/>
      <c r="D9012" s="1342"/>
      <c r="E9012" s="1342"/>
      <c r="F9012" s="1342"/>
      <c r="G9012" s="1342"/>
      <c r="H9012" s="1342"/>
      <c r="I9012" s="1342"/>
      <c r="J9012" s="1342"/>
      <c r="K9012" s="1342"/>
    </row>
    <row r="9013" spans="2:11" ht="14" hidden="1">
      <c r="B9013" s="1342"/>
      <c r="C9013" s="1342"/>
      <c r="D9013" s="1342"/>
      <c r="E9013" s="1342"/>
      <c r="F9013" s="1342"/>
      <c r="G9013" s="1342"/>
      <c r="H9013" s="1342"/>
      <c r="I9013" s="1342"/>
      <c r="J9013" s="1342"/>
      <c r="K9013" s="1342"/>
    </row>
    <row r="9014" spans="2:11" ht="14" hidden="1">
      <c r="B9014" s="1342"/>
      <c r="C9014" s="1342"/>
      <c r="D9014" s="1342"/>
      <c r="E9014" s="1342"/>
      <c r="F9014" s="1342"/>
      <c r="G9014" s="1342"/>
      <c r="H9014" s="1342"/>
      <c r="I9014" s="1342"/>
      <c r="J9014" s="1342"/>
      <c r="K9014" s="1342"/>
    </row>
    <row r="9015" spans="2:11" ht="14" hidden="1">
      <c r="B9015" s="1342"/>
      <c r="C9015" s="1342"/>
      <c r="D9015" s="1342"/>
      <c r="E9015" s="1342"/>
      <c r="F9015" s="1342"/>
      <c r="G9015" s="1342"/>
      <c r="H9015" s="1342"/>
      <c r="I9015" s="1342"/>
      <c r="J9015" s="1342"/>
      <c r="K9015" s="1342"/>
    </row>
    <row r="9016" spans="2:11" ht="14" hidden="1">
      <c r="B9016" s="1342"/>
      <c r="C9016" s="1342"/>
      <c r="D9016" s="1342"/>
      <c r="E9016" s="1342"/>
      <c r="F9016" s="1342"/>
      <c r="G9016" s="1342"/>
      <c r="H9016" s="1342"/>
      <c r="I9016" s="1342"/>
      <c r="J9016" s="1342"/>
      <c r="K9016" s="1342"/>
    </row>
    <row r="9017" spans="2:11" ht="14" hidden="1">
      <c r="B9017" s="1342"/>
      <c r="C9017" s="1342"/>
      <c r="D9017" s="1342"/>
      <c r="E9017" s="1342"/>
      <c r="F9017" s="1342"/>
      <c r="G9017" s="1342"/>
      <c r="H9017" s="1342"/>
      <c r="I9017" s="1342"/>
      <c r="J9017" s="1342"/>
      <c r="K9017" s="1342"/>
    </row>
    <row r="9018" spans="2:11" ht="14" hidden="1">
      <c r="B9018" s="1342"/>
      <c r="C9018" s="1342"/>
      <c r="D9018" s="1342"/>
      <c r="E9018" s="1342"/>
      <c r="F9018" s="1342"/>
      <c r="G9018" s="1342"/>
      <c r="H9018" s="1342"/>
      <c r="I9018" s="1342"/>
      <c r="J9018" s="1342"/>
      <c r="K9018" s="1342"/>
    </row>
    <row r="9019" spans="2:11" ht="14" hidden="1">
      <c r="B9019" s="1342"/>
      <c r="C9019" s="1342"/>
      <c r="D9019" s="1342"/>
      <c r="E9019" s="1342"/>
      <c r="F9019" s="1342"/>
      <c r="G9019" s="1342"/>
      <c r="H9019" s="1342"/>
      <c r="I9019" s="1342"/>
      <c r="J9019" s="1342"/>
      <c r="K9019" s="1342"/>
    </row>
    <row r="9020" spans="2:11" ht="14" hidden="1">
      <c r="B9020" s="1342"/>
      <c r="C9020" s="1342"/>
      <c r="D9020" s="1342"/>
      <c r="E9020" s="1342"/>
      <c r="F9020" s="1342"/>
      <c r="G9020" s="1342"/>
      <c r="H9020" s="1342"/>
      <c r="I9020" s="1342"/>
      <c r="J9020" s="1342"/>
      <c r="K9020" s="1342"/>
    </row>
    <row r="9021" spans="2:11" ht="14" hidden="1">
      <c r="B9021" s="1342"/>
      <c r="C9021" s="1342"/>
      <c r="D9021" s="1342"/>
      <c r="E9021" s="1342"/>
      <c r="F9021" s="1342"/>
      <c r="G9021" s="1342"/>
      <c r="H9021" s="1342"/>
      <c r="I9021" s="1342"/>
      <c r="J9021" s="1342"/>
      <c r="K9021" s="1342"/>
    </row>
    <row r="9022" spans="2:11" ht="14" hidden="1">
      <c r="B9022" s="1342"/>
      <c r="C9022" s="1342"/>
      <c r="D9022" s="1342"/>
      <c r="E9022" s="1342"/>
      <c r="F9022" s="1342"/>
      <c r="G9022" s="1342"/>
      <c r="H9022" s="1342"/>
      <c r="I9022" s="1342"/>
      <c r="J9022" s="1342"/>
      <c r="K9022" s="1342"/>
    </row>
    <row r="9023" spans="2:11" ht="14" hidden="1">
      <c r="B9023" s="1342"/>
      <c r="C9023" s="1342"/>
      <c r="D9023" s="1342"/>
      <c r="E9023" s="1342"/>
      <c r="F9023" s="1342"/>
      <c r="G9023" s="1342"/>
      <c r="H9023" s="1342"/>
      <c r="I9023" s="1342"/>
      <c r="J9023" s="1342"/>
      <c r="K9023" s="1342"/>
    </row>
    <row r="9024" spans="2:11" ht="14" hidden="1">
      <c r="B9024" s="1342"/>
      <c r="C9024" s="1342"/>
      <c r="D9024" s="1342"/>
      <c r="E9024" s="1342"/>
      <c r="F9024" s="1342"/>
      <c r="G9024" s="1342"/>
      <c r="H9024" s="1342"/>
      <c r="I9024" s="1342"/>
      <c r="J9024" s="1342"/>
      <c r="K9024" s="1342"/>
    </row>
    <row r="9025" spans="2:11" ht="14" hidden="1">
      <c r="B9025" s="1342"/>
      <c r="C9025" s="1342"/>
      <c r="D9025" s="1342"/>
      <c r="E9025" s="1342"/>
      <c r="F9025" s="1342"/>
      <c r="G9025" s="1342"/>
      <c r="H9025" s="1342"/>
      <c r="I9025" s="1342"/>
      <c r="J9025" s="1342"/>
      <c r="K9025" s="1342"/>
    </row>
    <row r="9026" spans="2:11" ht="14" hidden="1">
      <c r="B9026" s="1342"/>
      <c r="C9026" s="1342"/>
      <c r="D9026" s="1342"/>
      <c r="E9026" s="1342"/>
      <c r="F9026" s="1342"/>
      <c r="G9026" s="1342"/>
      <c r="H9026" s="1342"/>
      <c r="I9026" s="1342"/>
      <c r="J9026" s="1342"/>
      <c r="K9026" s="1342"/>
    </row>
    <row r="9027" spans="2:11" ht="14" hidden="1">
      <c r="B9027" s="1342"/>
      <c r="C9027" s="1342"/>
      <c r="D9027" s="1342"/>
      <c r="E9027" s="1342"/>
      <c r="F9027" s="1342"/>
      <c r="G9027" s="1342"/>
      <c r="H9027" s="1342"/>
      <c r="I9027" s="1342"/>
      <c r="J9027" s="1342"/>
      <c r="K9027" s="1342"/>
    </row>
    <row r="9028" spans="2:11" ht="14" hidden="1">
      <c r="B9028" s="1342"/>
      <c r="C9028" s="1342"/>
      <c r="D9028" s="1342"/>
      <c r="E9028" s="1342"/>
      <c r="F9028" s="1342"/>
      <c r="G9028" s="1342"/>
      <c r="H9028" s="1342"/>
      <c r="I9028" s="1342"/>
      <c r="J9028" s="1342"/>
      <c r="K9028" s="1342"/>
    </row>
    <row r="9029" spans="2:11" ht="14" hidden="1">
      <c r="B9029" s="1342"/>
      <c r="C9029" s="1342"/>
      <c r="D9029" s="1342"/>
      <c r="E9029" s="1342"/>
      <c r="F9029" s="1342"/>
      <c r="G9029" s="1342"/>
      <c r="H9029" s="1342"/>
      <c r="I9029" s="1342"/>
      <c r="J9029" s="1342"/>
      <c r="K9029" s="1342"/>
    </row>
    <row r="9030" spans="2:11" ht="14" hidden="1">
      <c r="B9030" s="1342"/>
      <c r="C9030" s="1342"/>
      <c r="D9030" s="1342"/>
      <c r="E9030" s="1342"/>
      <c r="F9030" s="1342"/>
      <c r="G9030" s="1342"/>
      <c r="H9030" s="1342"/>
      <c r="I9030" s="1342"/>
      <c r="J9030" s="1342"/>
      <c r="K9030" s="1342"/>
    </row>
    <row r="9031" spans="2:11" ht="14" hidden="1">
      <c r="B9031" s="1342"/>
      <c r="C9031" s="1342"/>
      <c r="D9031" s="1342"/>
      <c r="E9031" s="1342"/>
      <c r="F9031" s="1342"/>
      <c r="G9031" s="1342"/>
      <c r="H9031" s="1342"/>
      <c r="I9031" s="1342"/>
      <c r="J9031" s="1342"/>
      <c r="K9031" s="1342"/>
    </row>
    <row r="9032" spans="2:11" ht="14" hidden="1">
      <c r="B9032" s="1342"/>
      <c r="C9032" s="1342"/>
      <c r="D9032" s="1342"/>
      <c r="E9032" s="1342"/>
      <c r="F9032" s="1342"/>
      <c r="G9032" s="1342"/>
      <c r="H9032" s="1342"/>
      <c r="I9032" s="1342"/>
      <c r="J9032" s="1342"/>
      <c r="K9032" s="1342"/>
    </row>
    <row r="9033" spans="2:11" ht="14" hidden="1">
      <c r="B9033" s="1342"/>
      <c r="C9033" s="1342"/>
      <c r="D9033" s="1342"/>
      <c r="E9033" s="1342"/>
      <c r="F9033" s="1342"/>
      <c r="G9033" s="1342"/>
      <c r="H9033" s="1342"/>
      <c r="I9033" s="1342"/>
      <c r="J9033" s="1342"/>
      <c r="K9033" s="1342"/>
    </row>
    <row r="9034" spans="2:11" ht="14" hidden="1">
      <c r="B9034" s="1342"/>
      <c r="C9034" s="1342"/>
      <c r="D9034" s="1342"/>
      <c r="E9034" s="1342"/>
      <c r="F9034" s="1342"/>
      <c r="G9034" s="1342"/>
      <c r="H9034" s="1342"/>
      <c r="I9034" s="1342"/>
      <c r="J9034" s="1342"/>
      <c r="K9034" s="1342"/>
    </row>
    <row r="9035" spans="2:11" ht="14" hidden="1">
      <c r="B9035" s="1342"/>
      <c r="C9035" s="1342"/>
      <c r="D9035" s="1342"/>
      <c r="E9035" s="1342"/>
      <c r="F9035" s="1342"/>
      <c r="G9035" s="1342"/>
      <c r="H9035" s="1342"/>
      <c r="I9035" s="1342"/>
      <c r="J9035" s="1342"/>
      <c r="K9035" s="1342"/>
    </row>
    <row r="9036" spans="2:11" ht="14" hidden="1">
      <c r="B9036" s="1342"/>
      <c r="C9036" s="1342"/>
      <c r="D9036" s="1342"/>
      <c r="E9036" s="1342"/>
      <c r="F9036" s="1342"/>
      <c r="G9036" s="1342"/>
      <c r="H9036" s="1342"/>
      <c r="I9036" s="1342"/>
      <c r="J9036" s="1342"/>
      <c r="K9036" s="1342"/>
    </row>
    <row r="9037" spans="2:11" ht="14" hidden="1">
      <c r="B9037" s="1342"/>
      <c r="C9037" s="1342"/>
      <c r="D9037" s="1342"/>
      <c r="E9037" s="1342"/>
      <c r="F9037" s="1342"/>
      <c r="G9037" s="1342"/>
      <c r="H9037" s="1342"/>
      <c r="I9037" s="1342"/>
      <c r="J9037" s="1342"/>
      <c r="K9037" s="1342"/>
    </row>
    <row r="9038" spans="2:11" ht="14" hidden="1">
      <c r="B9038" s="1342"/>
      <c r="C9038" s="1342"/>
      <c r="D9038" s="1342"/>
      <c r="E9038" s="1342"/>
      <c r="F9038" s="1342"/>
      <c r="G9038" s="1342"/>
      <c r="H9038" s="1342"/>
      <c r="I9038" s="1342"/>
      <c r="J9038" s="1342"/>
      <c r="K9038" s="1342"/>
    </row>
    <row r="9039" spans="2:11" ht="14" hidden="1">
      <c r="B9039" s="1342"/>
      <c r="C9039" s="1342"/>
      <c r="D9039" s="1342"/>
      <c r="E9039" s="1342"/>
      <c r="F9039" s="1342"/>
      <c r="G9039" s="1342"/>
      <c r="H9039" s="1342"/>
      <c r="I9039" s="1342"/>
      <c r="J9039" s="1342"/>
      <c r="K9039" s="1342"/>
    </row>
    <row r="9040" spans="2:11" ht="14" hidden="1">
      <c r="B9040" s="1342"/>
      <c r="C9040" s="1342"/>
      <c r="D9040" s="1342"/>
      <c r="E9040" s="1342"/>
      <c r="F9040" s="1342"/>
      <c r="G9040" s="1342"/>
      <c r="H9040" s="1342"/>
      <c r="I9040" s="1342"/>
      <c r="J9040" s="1342"/>
      <c r="K9040" s="1342"/>
    </row>
    <row r="9041" spans="2:11" ht="14" hidden="1">
      <c r="B9041" s="1342"/>
      <c r="C9041" s="1342"/>
      <c r="D9041" s="1342"/>
      <c r="E9041" s="1342"/>
      <c r="F9041" s="1342"/>
      <c r="G9041" s="1342"/>
      <c r="H9041" s="1342"/>
      <c r="I9041" s="1342"/>
      <c r="J9041" s="1342"/>
      <c r="K9041" s="1342"/>
    </row>
    <row r="9042" spans="2:11" ht="14" hidden="1">
      <c r="B9042" s="1342"/>
      <c r="C9042" s="1342"/>
      <c r="D9042" s="1342"/>
      <c r="E9042" s="1342"/>
      <c r="F9042" s="1342"/>
      <c r="G9042" s="1342"/>
      <c r="H9042" s="1342"/>
      <c r="I9042" s="1342"/>
      <c r="J9042" s="1342"/>
      <c r="K9042" s="1342"/>
    </row>
    <row r="9043" spans="2:11" ht="14" hidden="1">
      <c r="B9043" s="1342"/>
      <c r="C9043" s="1342"/>
      <c r="D9043" s="1342"/>
      <c r="E9043" s="1342"/>
      <c r="F9043" s="1342"/>
      <c r="G9043" s="1342"/>
      <c r="H9043" s="1342"/>
      <c r="I9043" s="1342"/>
      <c r="J9043" s="1342"/>
      <c r="K9043" s="1342"/>
    </row>
    <row r="9044" spans="2:11" ht="14" hidden="1">
      <c r="B9044" s="1342"/>
      <c r="C9044" s="1342"/>
      <c r="D9044" s="1342"/>
      <c r="E9044" s="1342"/>
      <c r="F9044" s="1342"/>
      <c r="G9044" s="1342"/>
      <c r="H9044" s="1342"/>
      <c r="I9044" s="1342"/>
      <c r="J9044" s="1342"/>
      <c r="K9044" s="1342"/>
    </row>
    <row r="9045" spans="2:11" ht="14" hidden="1">
      <c r="B9045" s="1342"/>
      <c r="C9045" s="1342"/>
      <c r="D9045" s="1342"/>
      <c r="E9045" s="1342"/>
      <c r="F9045" s="1342"/>
      <c r="G9045" s="1342"/>
      <c r="H9045" s="1342"/>
      <c r="I9045" s="1342"/>
      <c r="J9045" s="1342"/>
      <c r="K9045" s="1342"/>
    </row>
    <row r="9046" spans="2:11" ht="14" hidden="1">
      <c r="B9046" s="1342"/>
      <c r="C9046" s="1342"/>
      <c r="D9046" s="1342"/>
      <c r="E9046" s="1342"/>
      <c r="F9046" s="1342"/>
      <c r="G9046" s="1342"/>
      <c r="H9046" s="1342"/>
      <c r="I9046" s="1342"/>
      <c r="J9046" s="1342"/>
      <c r="K9046" s="1342"/>
    </row>
    <row r="9047" spans="2:11" ht="14" hidden="1">
      <c r="B9047" s="1342"/>
      <c r="C9047" s="1342"/>
      <c r="D9047" s="1342"/>
      <c r="E9047" s="1342"/>
      <c r="F9047" s="1342"/>
      <c r="G9047" s="1342"/>
      <c r="H9047" s="1342"/>
      <c r="I9047" s="1342"/>
      <c r="J9047" s="1342"/>
      <c r="K9047" s="1342"/>
    </row>
    <row r="9048" spans="2:11" ht="14" hidden="1">
      <c r="B9048" s="1342"/>
      <c r="C9048" s="1342"/>
      <c r="D9048" s="1342"/>
      <c r="E9048" s="1342"/>
      <c r="F9048" s="1342"/>
      <c r="G9048" s="1342"/>
      <c r="H9048" s="1342"/>
      <c r="I9048" s="1342"/>
      <c r="J9048" s="1342"/>
      <c r="K9048" s="1342"/>
    </row>
    <row r="9049" spans="2:11" ht="14" hidden="1">
      <c r="B9049" s="1342"/>
      <c r="C9049" s="1342"/>
      <c r="D9049" s="1342"/>
      <c r="E9049" s="1342"/>
      <c r="F9049" s="1342"/>
      <c r="G9049" s="1342"/>
      <c r="H9049" s="1342"/>
      <c r="I9049" s="1342"/>
      <c r="J9049" s="1342"/>
      <c r="K9049" s="1342"/>
    </row>
    <row r="9050" spans="2:11" ht="14" hidden="1">
      <c r="B9050" s="1342"/>
      <c r="C9050" s="1342"/>
      <c r="D9050" s="1342"/>
      <c r="E9050" s="1342"/>
      <c r="F9050" s="1342"/>
      <c r="G9050" s="1342"/>
      <c r="H9050" s="1342"/>
      <c r="I9050" s="1342"/>
      <c r="J9050" s="1342"/>
      <c r="K9050" s="1342"/>
    </row>
    <row r="9051" spans="2:11" ht="14" hidden="1">
      <c r="B9051" s="1342"/>
      <c r="C9051" s="1342"/>
      <c r="D9051" s="1342"/>
      <c r="E9051" s="1342"/>
      <c r="F9051" s="1342"/>
      <c r="G9051" s="1342"/>
      <c r="H9051" s="1342"/>
      <c r="I9051" s="1342"/>
      <c r="J9051" s="1342"/>
      <c r="K9051" s="1342"/>
    </row>
    <row r="9052" spans="2:11" ht="14" hidden="1">
      <c r="B9052" s="1342"/>
      <c r="C9052" s="1342"/>
      <c r="D9052" s="1342"/>
      <c r="E9052" s="1342"/>
      <c r="F9052" s="1342"/>
      <c r="G9052" s="1342"/>
      <c r="H9052" s="1342"/>
      <c r="I9052" s="1342"/>
      <c r="J9052" s="1342"/>
      <c r="K9052" s="1342"/>
    </row>
    <row r="9053" spans="2:11" ht="14" hidden="1">
      <c r="B9053" s="1342"/>
      <c r="C9053" s="1342"/>
      <c r="D9053" s="1342"/>
      <c r="E9053" s="1342"/>
      <c r="F9053" s="1342"/>
      <c r="G9053" s="1342"/>
      <c r="H9053" s="1342"/>
      <c r="I9053" s="1342"/>
      <c r="J9053" s="1342"/>
      <c r="K9053" s="1342"/>
    </row>
    <row r="9054" spans="2:11" ht="14" hidden="1">
      <c r="B9054" s="1342"/>
      <c r="C9054" s="1342"/>
      <c r="D9054" s="1342"/>
      <c r="E9054" s="1342"/>
      <c r="F9054" s="1342"/>
      <c r="G9054" s="1342"/>
      <c r="H9054" s="1342"/>
      <c r="I9054" s="1342"/>
      <c r="J9054" s="1342"/>
      <c r="K9054" s="1342"/>
    </row>
    <row r="9055" spans="2:11" ht="14" hidden="1">
      <c r="B9055" s="1342"/>
      <c r="C9055" s="1342"/>
      <c r="D9055" s="1342"/>
      <c r="E9055" s="1342"/>
      <c r="F9055" s="1342"/>
      <c r="G9055" s="1342"/>
      <c r="H9055" s="1342"/>
      <c r="I9055" s="1342"/>
      <c r="J9055" s="1342"/>
      <c r="K9055" s="1342"/>
    </row>
    <row r="9056" spans="2:11" ht="14" hidden="1">
      <c r="B9056" s="1342"/>
      <c r="C9056" s="1342"/>
      <c r="D9056" s="1342"/>
      <c r="E9056" s="1342"/>
      <c r="F9056" s="1342"/>
      <c r="G9056" s="1342"/>
      <c r="H9056" s="1342"/>
      <c r="I9056" s="1342"/>
      <c r="J9056" s="1342"/>
      <c r="K9056" s="1342"/>
    </row>
    <row r="9057" spans="2:11" ht="14" hidden="1">
      <c r="B9057" s="1342"/>
      <c r="C9057" s="1342"/>
      <c r="D9057" s="1342"/>
      <c r="E9057" s="1342"/>
      <c r="F9057" s="1342"/>
      <c r="G9057" s="1342"/>
      <c r="H9057" s="1342"/>
      <c r="I9057" s="1342"/>
      <c r="J9057" s="1342"/>
      <c r="K9057" s="1342"/>
    </row>
    <row r="9058" spans="2:11" ht="14" hidden="1">
      <c r="B9058" s="1342"/>
      <c r="C9058" s="1342"/>
      <c r="D9058" s="1342"/>
      <c r="E9058" s="1342"/>
      <c r="F9058" s="1342"/>
      <c r="G9058" s="1342"/>
      <c r="H9058" s="1342"/>
      <c r="I9058" s="1342"/>
      <c r="J9058" s="1342"/>
      <c r="K9058" s="1342"/>
    </row>
    <row r="9059" spans="2:11" ht="14" hidden="1">
      <c r="B9059" s="1342"/>
      <c r="C9059" s="1342"/>
      <c r="D9059" s="1342"/>
      <c r="E9059" s="1342"/>
      <c r="F9059" s="1342"/>
      <c r="G9059" s="1342"/>
      <c r="H9059" s="1342"/>
      <c r="I9059" s="1342"/>
      <c r="J9059" s="1342"/>
      <c r="K9059" s="1342"/>
    </row>
    <row r="9060" spans="2:11" ht="14" hidden="1">
      <c r="B9060" s="1342"/>
      <c r="C9060" s="1342"/>
      <c r="D9060" s="1342"/>
      <c r="E9060" s="1342"/>
      <c r="F9060" s="1342"/>
      <c r="G9060" s="1342"/>
      <c r="H9060" s="1342"/>
      <c r="I9060" s="1342"/>
      <c r="J9060" s="1342"/>
      <c r="K9060" s="1342"/>
    </row>
    <row r="9061" spans="2:11" ht="14" hidden="1">
      <c r="B9061" s="1342"/>
      <c r="C9061" s="1342"/>
      <c r="D9061" s="1342"/>
      <c r="E9061" s="1342"/>
      <c r="F9061" s="1342"/>
      <c r="G9061" s="1342"/>
      <c r="H9061" s="1342"/>
      <c r="I9061" s="1342"/>
      <c r="J9061" s="1342"/>
      <c r="K9061" s="1342"/>
    </row>
    <row r="9062" spans="2:11" ht="14" hidden="1">
      <c r="B9062" s="1342"/>
      <c r="C9062" s="1342"/>
      <c r="D9062" s="1342"/>
      <c r="E9062" s="1342"/>
      <c r="F9062" s="1342"/>
      <c r="G9062" s="1342"/>
      <c r="H9062" s="1342"/>
      <c r="I9062" s="1342"/>
      <c r="J9062" s="1342"/>
      <c r="K9062" s="1342"/>
    </row>
    <row r="9063" spans="2:11" ht="14" hidden="1">
      <c r="B9063" s="1342"/>
      <c r="C9063" s="1342"/>
      <c r="D9063" s="1342"/>
      <c r="E9063" s="1342"/>
      <c r="F9063" s="1342"/>
      <c r="G9063" s="1342"/>
      <c r="H9063" s="1342"/>
      <c r="I9063" s="1342"/>
      <c r="J9063" s="1342"/>
      <c r="K9063" s="1342"/>
    </row>
    <row r="9064" spans="2:11" ht="14" hidden="1">
      <c r="B9064" s="1342"/>
      <c r="C9064" s="1342"/>
      <c r="D9064" s="1342"/>
      <c r="E9064" s="1342"/>
      <c r="F9064" s="1342"/>
      <c r="G9064" s="1342"/>
      <c r="H9064" s="1342"/>
      <c r="I9064" s="1342"/>
      <c r="J9064" s="1342"/>
      <c r="K9064" s="1342"/>
    </row>
    <row r="9065" spans="2:11" ht="14" hidden="1">
      <c r="B9065" s="1342"/>
      <c r="C9065" s="1342"/>
      <c r="D9065" s="1342"/>
      <c r="E9065" s="1342"/>
      <c r="F9065" s="1342"/>
      <c r="G9065" s="1342"/>
      <c r="H9065" s="1342"/>
      <c r="I9065" s="1342"/>
      <c r="J9065" s="1342"/>
      <c r="K9065" s="1342"/>
    </row>
    <row r="9066" spans="2:11" ht="14" hidden="1">
      <c r="B9066" s="1342"/>
      <c r="C9066" s="1342"/>
      <c r="D9066" s="1342"/>
      <c r="E9066" s="1342"/>
      <c r="F9066" s="1342"/>
      <c r="G9066" s="1342"/>
      <c r="H9066" s="1342"/>
      <c r="I9066" s="1342"/>
      <c r="J9066" s="1342"/>
      <c r="K9066" s="1342"/>
    </row>
    <row r="9067" spans="2:11" ht="14" hidden="1">
      <c r="B9067" s="1342"/>
      <c r="C9067" s="1342"/>
      <c r="D9067" s="1342"/>
      <c r="E9067" s="1342"/>
      <c r="F9067" s="1342"/>
      <c r="G9067" s="1342"/>
      <c r="H9067" s="1342"/>
      <c r="I9067" s="1342"/>
      <c r="J9067" s="1342"/>
      <c r="K9067" s="1342"/>
    </row>
    <row r="9068" spans="2:11" ht="14" hidden="1">
      <c r="B9068" s="1342"/>
      <c r="C9068" s="1342"/>
      <c r="D9068" s="1342"/>
      <c r="E9068" s="1342"/>
      <c r="F9068" s="1342"/>
      <c r="G9068" s="1342"/>
      <c r="H9068" s="1342"/>
      <c r="I9068" s="1342"/>
      <c r="J9068" s="1342"/>
      <c r="K9068" s="1342"/>
    </row>
    <row r="9069" spans="2:11" ht="14" hidden="1">
      <c r="B9069" s="1342"/>
      <c r="C9069" s="1342"/>
      <c r="D9069" s="1342"/>
      <c r="E9069" s="1342"/>
      <c r="F9069" s="1342"/>
      <c r="G9069" s="1342"/>
      <c r="H9069" s="1342"/>
      <c r="I9069" s="1342"/>
      <c r="J9069" s="1342"/>
      <c r="K9069" s="1342"/>
    </row>
    <row r="9070" spans="2:11" ht="14" hidden="1">
      <c r="B9070" s="1342"/>
      <c r="C9070" s="1342"/>
      <c r="D9070" s="1342"/>
      <c r="E9070" s="1342"/>
      <c r="F9070" s="1342"/>
      <c r="G9070" s="1342"/>
      <c r="H9070" s="1342"/>
      <c r="I9070" s="1342"/>
      <c r="J9070" s="1342"/>
      <c r="K9070" s="1342"/>
    </row>
    <row r="9071" spans="2:11" ht="14" hidden="1">
      <c r="B9071" s="1342"/>
      <c r="C9071" s="1342"/>
      <c r="D9071" s="1342"/>
      <c r="E9071" s="1342"/>
      <c r="F9071" s="1342"/>
      <c r="G9071" s="1342"/>
      <c r="H9071" s="1342"/>
      <c r="I9071" s="1342"/>
      <c r="J9071" s="1342"/>
      <c r="K9071" s="1342"/>
    </row>
    <row r="9072" spans="2:11" ht="14" hidden="1">
      <c r="B9072" s="1342"/>
      <c r="C9072" s="1342"/>
      <c r="D9072" s="1342"/>
      <c r="E9072" s="1342"/>
      <c r="F9072" s="1342"/>
      <c r="G9072" s="1342"/>
      <c r="H9072" s="1342"/>
      <c r="I9072" s="1342"/>
      <c r="J9072" s="1342"/>
      <c r="K9072" s="1342"/>
    </row>
    <row r="9073" spans="2:11" ht="14" hidden="1">
      <c r="B9073" s="1342"/>
      <c r="C9073" s="1342"/>
      <c r="D9073" s="1342"/>
      <c r="E9073" s="1342"/>
      <c r="F9073" s="1342"/>
      <c r="G9073" s="1342"/>
      <c r="H9073" s="1342"/>
      <c r="I9073" s="1342"/>
      <c r="J9073" s="1342"/>
      <c r="K9073" s="1342"/>
    </row>
    <row r="9074" spans="2:11" ht="14" hidden="1">
      <c r="B9074" s="1342"/>
      <c r="C9074" s="1342"/>
      <c r="D9074" s="1342"/>
      <c r="E9074" s="1342"/>
      <c r="F9074" s="1342"/>
      <c r="G9074" s="1342"/>
      <c r="H9074" s="1342"/>
      <c r="I9074" s="1342"/>
      <c r="J9074" s="1342"/>
      <c r="K9074" s="1342"/>
    </row>
    <row r="9075" spans="2:11" ht="14" hidden="1">
      <c r="B9075" s="1342"/>
      <c r="C9075" s="1342"/>
      <c r="D9075" s="1342"/>
      <c r="E9075" s="1342"/>
      <c r="F9075" s="1342"/>
      <c r="G9075" s="1342"/>
      <c r="H9075" s="1342"/>
      <c r="I9075" s="1342"/>
      <c r="J9075" s="1342"/>
      <c r="K9075" s="1342"/>
    </row>
    <row r="9076" spans="2:11" ht="14" hidden="1">
      <c r="B9076" s="1342"/>
      <c r="C9076" s="1342"/>
      <c r="D9076" s="1342"/>
      <c r="E9076" s="1342"/>
      <c r="F9076" s="1342"/>
      <c r="G9076" s="1342"/>
      <c r="H9076" s="1342"/>
      <c r="I9076" s="1342"/>
      <c r="J9076" s="1342"/>
      <c r="K9076" s="1342"/>
    </row>
    <row r="9077" spans="2:11" ht="14" hidden="1">
      <c r="B9077" s="1342"/>
      <c r="C9077" s="1342"/>
      <c r="D9077" s="1342"/>
      <c r="E9077" s="1342"/>
      <c r="F9077" s="1342"/>
      <c r="G9077" s="1342"/>
      <c r="H9077" s="1342"/>
      <c r="I9077" s="1342"/>
      <c r="J9077" s="1342"/>
      <c r="K9077" s="1342"/>
    </row>
    <row r="9078" spans="2:11" ht="14" hidden="1">
      <c r="B9078" s="1342"/>
      <c r="C9078" s="1342"/>
      <c r="D9078" s="1342"/>
      <c r="E9078" s="1342"/>
      <c r="F9078" s="1342"/>
      <c r="G9078" s="1342"/>
      <c r="H9078" s="1342"/>
      <c r="I9078" s="1342"/>
      <c r="J9078" s="1342"/>
      <c r="K9078" s="1342"/>
    </row>
    <row r="9079" spans="2:11" ht="14" hidden="1">
      <c r="B9079" s="1342"/>
      <c r="C9079" s="1342"/>
      <c r="D9079" s="1342"/>
      <c r="E9079" s="1342"/>
      <c r="F9079" s="1342"/>
      <c r="G9079" s="1342"/>
      <c r="H9079" s="1342"/>
      <c r="I9079" s="1342"/>
      <c r="J9079" s="1342"/>
      <c r="K9079" s="1342"/>
    </row>
    <row r="9080" spans="2:11" ht="14" hidden="1">
      <c r="B9080" s="1342"/>
      <c r="C9080" s="1342"/>
      <c r="D9080" s="1342"/>
      <c r="E9080" s="1342"/>
      <c r="F9080" s="1342"/>
      <c r="G9080" s="1342"/>
      <c r="H9080" s="1342"/>
      <c r="I9080" s="1342"/>
      <c r="J9080" s="1342"/>
      <c r="K9080" s="1342"/>
    </row>
    <row r="9081" spans="2:11" ht="14" hidden="1">
      <c r="B9081" s="1342"/>
      <c r="C9081" s="1342"/>
      <c r="D9081" s="1342"/>
      <c r="E9081" s="1342"/>
      <c r="F9081" s="1342"/>
      <c r="G9081" s="1342"/>
      <c r="H9081" s="1342"/>
      <c r="I9081" s="1342"/>
      <c r="J9081" s="1342"/>
      <c r="K9081" s="1342"/>
    </row>
    <row r="9082" spans="2:11" ht="14" hidden="1">
      <c r="B9082" s="1342"/>
      <c r="C9082" s="1342"/>
      <c r="D9082" s="1342"/>
      <c r="E9082" s="1342"/>
      <c r="F9082" s="1342"/>
      <c r="G9082" s="1342"/>
      <c r="H9082" s="1342"/>
      <c r="I9082" s="1342"/>
      <c r="J9082" s="1342"/>
      <c r="K9082" s="1342"/>
    </row>
    <row r="9083" spans="2:11" ht="14" hidden="1">
      <c r="B9083" s="1342"/>
      <c r="C9083" s="1342"/>
      <c r="D9083" s="1342"/>
      <c r="E9083" s="1342"/>
      <c r="F9083" s="1342"/>
      <c r="G9083" s="1342"/>
      <c r="H9083" s="1342"/>
      <c r="I9083" s="1342"/>
      <c r="J9083" s="1342"/>
      <c r="K9083" s="1342"/>
    </row>
    <row r="9084" spans="2:11" ht="14" hidden="1">
      <c r="B9084" s="1342"/>
      <c r="C9084" s="1342"/>
      <c r="D9084" s="1342"/>
      <c r="E9084" s="1342"/>
      <c r="F9084" s="1342"/>
      <c r="G9084" s="1342"/>
      <c r="H9084" s="1342"/>
      <c r="I9084" s="1342"/>
      <c r="J9084" s="1342"/>
      <c r="K9084" s="1342"/>
    </row>
    <row r="9085" spans="2:11" ht="14" hidden="1">
      <c r="B9085" s="1342"/>
      <c r="C9085" s="1342"/>
      <c r="D9085" s="1342"/>
      <c r="E9085" s="1342"/>
      <c r="F9085" s="1342"/>
      <c r="G9085" s="1342"/>
      <c r="H9085" s="1342"/>
      <c r="I9085" s="1342"/>
      <c r="J9085" s="1342"/>
      <c r="K9085" s="1342"/>
    </row>
    <row r="9086" spans="2:11" ht="14" hidden="1">
      <c r="B9086" s="1342"/>
      <c r="C9086" s="1342"/>
      <c r="D9086" s="1342"/>
      <c r="E9086" s="1342"/>
      <c r="F9086" s="1342"/>
      <c r="G9086" s="1342"/>
      <c r="H9086" s="1342"/>
      <c r="I9086" s="1342"/>
      <c r="J9086" s="1342"/>
      <c r="K9086" s="1342"/>
    </row>
    <row r="9087" spans="2:11" ht="14" hidden="1">
      <c r="B9087" s="1342"/>
      <c r="C9087" s="1342"/>
      <c r="D9087" s="1342"/>
      <c r="E9087" s="1342"/>
      <c r="F9087" s="1342"/>
      <c r="G9087" s="1342"/>
      <c r="H9087" s="1342"/>
      <c r="I9087" s="1342"/>
      <c r="J9087" s="1342"/>
      <c r="K9087" s="1342"/>
    </row>
    <row r="9088" spans="2:11" ht="14" hidden="1">
      <c r="B9088" s="1342"/>
      <c r="C9088" s="1342"/>
      <c r="D9088" s="1342"/>
      <c r="E9088" s="1342"/>
      <c r="F9088" s="1342"/>
      <c r="G9088" s="1342"/>
      <c r="H9088" s="1342"/>
      <c r="I9088" s="1342"/>
      <c r="J9088" s="1342"/>
      <c r="K9088" s="1342"/>
    </row>
    <row r="9089" spans="2:11" ht="14" hidden="1">
      <c r="B9089" s="1342"/>
      <c r="C9089" s="1342"/>
      <c r="D9089" s="1342"/>
      <c r="E9089" s="1342"/>
      <c r="F9089" s="1342"/>
      <c r="G9089" s="1342"/>
      <c r="H9089" s="1342"/>
      <c r="I9089" s="1342"/>
      <c r="J9089" s="1342"/>
      <c r="K9089" s="1342"/>
    </row>
    <row r="9090" spans="2:11" ht="14" hidden="1">
      <c r="B9090" s="1342"/>
      <c r="C9090" s="1342"/>
      <c r="D9090" s="1342"/>
      <c r="E9090" s="1342"/>
      <c r="F9090" s="1342"/>
      <c r="G9090" s="1342"/>
      <c r="H9090" s="1342"/>
      <c r="I9090" s="1342"/>
      <c r="J9090" s="1342"/>
      <c r="K9090" s="1342"/>
    </row>
    <row r="9091" spans="2:11" ht="14" hidden="1">
      <c r="B9091" s="1342"/>
      <c r="C9091" s="1342"/>
      <c r="D9091" s="1342"/>
      <c r="E9091" s="1342"/>
      <c r="F9091" s="1342"/>
      <c r="G9091" s="1342"/>
      <c r="H9091" s="1342"/>
      <c r="I9091" s="1342"/>
      <c r="J9091" s="1342"/>
      <c r="K9091" s="1342"/>
    </row>
    <row r="9092" spans="2:11" ht="14" hidden="1">
      <c r="B9092" s="1342"/>
      <c r="C9092" s="1342"/>
      <c r="D9092" s="1342"/>
      <c r="E9092" s="1342"/>
      <c r="F9092" s="1342"/>
      <c r="G9092" s="1342"/>
      <c r="H9092" s="1342"/>
      <c r="I9092" s="1342"/>
      <c r="J9092" s="1342"/>
      <c r="K9092" s="1342"/>
    </row>
    <row r="9093" spans="2:11" ht="14" hidden="1">
      <c r="B9093" s="1342"/>
      <c r="C9093" s="1342"/>
      <c r="D9093" s="1342"/>
      <c r="E9093" s="1342"/>
      <c r="F9093" s="1342"/>
      <c r="G9093" s="1342"/>
      <c r="H9093" s="1342"/>
      <c r="I9093" s="1342"/>
      <c r="J9093" s="1342"/>
      <c r="K9093" s="1342"/>
    </row>
    <row r="9094" spans="2:11" ht="14" hidden="1">
      <c r="B9094" s="1342"/>
      <c r="C9094" s="1342"/>
      <c r="D9094" s="1342"/>
      <c r="E9094" s="1342"/>
      <c r="F9094" s="1342"/>
      <c r="G9094" s="1342"/>
      <c r="H9094" s="1342"/>
      <c r="I9094" s="1342"/>
      <c r="J9094" s="1342"/>
      <c r="K9094" s="1342"/>
    </row>
    <row r="9095" spans="2:11" ht="14" hidden="1">
      <c r="B9095" s="1342"/>
      <c r="C9095" s="1342"/>
      <c r="D9095" s="1342"/>
      <c r="E9095" s="1342"/>
      <c r="F9095" s="1342"/>
      <c r="G9095" s="1342"/>
      <c r="H9095" s="1342"/>
      <c r="I9095" s="1342"/>
      <c r="J9095" s="1342"/>
      <c r="K9095" s="1342"/>
    </row>
    <row r="9096" spans="2:11" ht="14" hidden="1">
      <c r="B9096" s="1342"/>
      <c r="C9096" s="1342"/>
      <c r="D9096" s="1342"/>
      <c r="E9096" s="1342"/>
      <c r="F9096" s="1342"/>
      <c r="G9096" s="1342"/>
      <c r="H9096" s="1342"/>
      <c r="I9096" s="1342"/>
      <c r="J9096" s="1342"/>
      <c r="K9096" s="1342"/>
    </row>
    <row r="9097" spans="2:11" ht="14" hidden="1">
      <c r="B9097" s="1342"/>
      <c r="C9097" s="1342"/>
      <c r="D9097" s="1342"/>
      <c r="E9097" s="1342"/>
      <c r="F9097" s="1342"/>
      <c r="G9097" s="1342"/>
      <c r="H9097" s="1342"/>
      <c r="I9097" s="1342"/>
      <c r="J9097" s="1342"/>
      <c r="K9097" s="1342"/>
    </row>
    <row r="9098" spans="2:11" ht="14" hidden="1">
      <c r="B9098" s="1342"/>
      <c r="C9098" s="1342"/>
      <c r="D9098" s="1342"/>
      <c r="E9098" s="1342"/>
      <c r="F9098" s="1342"/>
      <c r="G9098" s="1342"/>
      <c r="H9098" s="1342"/>
      <c r="I9098" s="1342"/>
      <c r="J9098" s="1342"/>
      <c r="K9098" s="1342"/>
    </row>
    <row r="9099" spans="2:11" ht="14" hidden="1">
      <c r="B9099" s="1342"/>
      <c r="C9099" s="1342"/>
      <c r="D9099" s="1342"/>
      <c r="E9099" s="1342"/>
      <c r="F9099" s="1342"/>
      <c r="G9099" s="1342"/>
      <c r="H9099" s="1342"/>
      <c r="I9099" s="1342"/>
      <c r="J9099" s="1342"/>
      <c r="K9099" s="1342"/>
    </row>
    <row r="9100" spans="2:11" ht="14" hidden="1">
      <c r="B9100" s="1342"/>
      <c r="C9100" s="1342"/>
      <c r="D9100" s="1342"/>
      <c r="E9100" s="1342"/>
      <c r="F9100" s="1342"/>
      <c r="G9100" s="1342"/>
      <c r="H9100" s="1342"/>
      <c r="I9100" s="1342"/>
      <c r="J9100" s="1342"/>
      <c r="K9100" s="1342"/>
    </row>
    <row r="9101" spans="2:11" ht="14" hidden="1">
      <c r="B9101" s="1342"/>
      <c r="C9101" s="1342"/>
      <c r="D9101" s="1342"/>
      <c r="E9101" s="1342"/>
      <c r="F9101" s="1342"/>
      <c r="G9101" s="1342"/>
      <c r="H9101" s="1342"/>
      <c r="I9101" s="1342"/>
      <c r="J9101" s="1342"/>
      <c r="K9101" s="1342"/>
    </row>
    <row r="9102" spans="2:11" ht="14" hidden="1">
      <c r="B9102" s="1342"/>
      <c r="C9102" s="1342"/>
      <c r="D9102" s="1342"/>
      <c r="E9102" s="1342"/>
      <c r="F9102" s="1342"/>
      <c r="G9102" s="1342"/>
      <c r="H9102" s="1342"/>
      <c r="I9102" s="1342"/>
      <c r="J9102" s="1342"/>
      <c r="K9102" s="1342"/>
    </row>
    <row r="9103" spans="2:11" ht="14" hidden="1">
      <c r="B9103" s="1342"/>
      <c r="C9103" s="1342"/>
      <c r="D9103" s="1342"/>
      <c r="E9103" s="1342"/>
      <c r="F9103" s="1342"/>
      <c r="G9103" s="1342"/>
      <c r="H9103" s="1342"/>
      <c r="I9103" s="1342"/>
      <c r="J9103" s="1342"/>
      <c r="K9103" s="1342"/>
    </row>
    <row r="9104" spans="2:11" ht="14" hidden="1">
      <c r="B9104" s="1342"/>
      <c r="C9104" s="1342"/>
      <c r="D9104" s="1342"/>
      <c r="E9104" s="1342"/>
      <c r="F9104" s="1342"/>
      <c r="G9104" s="1342"/>
      <c r="H9104" s="1342"/>
      <c r="I9104" s="1342"/>
      <c r="J9104" s="1342"/>
      <c r="K9104" s="1342"/>
    </row>
    <row r="9105" spans="2:11" ht="14" hidden="1">
      <c r="B9105" s="1342"/>
      <c r="C9105" s="1342"/>
      <c r="D9105" s="1342"/>
      <c r="E9105" s="1342"/>
      <c r="F9105" s="1342"/>
      <c r="G9105" s="1342"/>
      <c r="H9105" s="1342"/>
      <c r="I9105" s="1342"/>
      <c r="J9105" s="1342"/>
      <c r="K9105" s="1342"/>
    </row>
    <row r="9106" spans="2:11" ht="14" hidden="1">
      <c r="B9106" s="1342"/>
      <c r="C9106" s="1342"/>
      <c r="D9106" s="1342"/>
      <c r="E9106" s="1342"/>
      <c r="F9106" s="1342"/>
      <c r="G9106" s="1342"/>
      <c r="H9106" s="1342"/>
      <c r="I9106" s="1342"/>
      <c r="J9106" s="1342"/>
      <c r="K9106" s="1342"/>
    </row>
    <row r="9107" spans="2:11" ht="14" hidden="1">
      <c r="B9107" s="1342"/>
      <c r="C9107" s="1342"/>
      <c r="D9107" s="1342"/>
      <c r="E9107" s="1342"/>
      <c r="F9107" s="1342"/>
      <c r="G9107" s="1342"/>
      <c r="H9107" s="1342"/>
      <c r="I9107" s="1342"/>
      <c r="J9107" s="1342"/>
      <c r="K9107" s="1342"/>
    </row>
    <row r="9108" spans="2:11" ht="14" hidden="1">
      <c r="B9108" s="1342"/>
      <c r="C9108" s="1342"/>
      <c r="D9108" s="1342"/>
      <c r="E9108" s="1342"/>
      <c r="F9108" s="1342"/>
      <c r="G9108" s="1342"/>
      <c r="H9108" s="1342"/>
      <c r="I9108" s="1342"/>
      <c r="J9108" s="1342"/>
      <c r="K9108" s="1342"/>
    </row>
    <row r="9109" spans="2:11" ht="14" hidden="1">
      <c r="B9109" s="1342"/>
      <c r="C9109" s="1342"/>
      <c r="D9109" s="1342"/>
      <c r="E9109" s="1342"/>
      <c r="F9109" s="1342"/>
      <c r="G9109" s="1342"/>
      <c r="H9109" s="1342"/>
      <c r="I9109" s="1342"/>
      <c r="J9109" s="1342"/>
      <c r="K9109" s="1342"/>
    </row>
    <row r="9110" spans="2:11" ht="14" hidden="1">
      <c r="B9110" s="1342"/>
      <c r="C9110" s="1342"/>
      <c r="D9110" s="1342"/>
      <c r="E9110" s="1342"/>
      <c r="F9110" s="1342"/>
      <c r="G9110" s="1342"/>
      <c r="H9110" s="1342"/>
      <c r="I9110" s="1342"/>
      <c r="J9110" s="1342"/>
      <c r="K9110" s="1342"/>
    </row>
    <row r="9111" spans="2:11" ht="14" hidden="1">
      <c r="B9111" s="1342"/>
      <c r="C9111" s="1342"/>
      <c r="D9111" s="1342"/>
      <c r="E9111" s="1342"/>
      <c r="F9111" s="1342"/>
      <c r="G9111" s="1342"/>
      <c r="H9111" s="1342"/>
      <c r="I9111" s="1342"/>
      <c r="J9111" s="1342"/>
      <c r="K9111" s="1342"/>
    </row>
    <row r="9112" spans="2:11" ht="14" hidden="1">
      <c r="B9112" s="1342"/>
      <c r="C9112" s="1342"/>
      <c r="D9112" s="1342"/>
      <c r="E9112" s="1342"/>
      <c r="F9112" s="1342"/>
      <c r="G9112" s="1342"/>
      <c r="H9112" s="1342"/>
      <c r="I9112" s="1342"/>
      <c r="J9112" s="1342"/>
      <c r="K9112" s="1342"/>
    </row>
    <row r="9113" spans="2:11" ht="14" hidden="1">
      <c r="B9113" s="1342"/>
      <c r="C9113" s="1342"/>
      <c r="D9113" s="1342"/>
      <c r="E9113" s="1342"/>
      <c r="F9113" s="1342"/>
      <c r="G9113" s="1342"/>
      <c r="H9113" s="1342"/>
      <c r="I9113" s="1342"/>
      <c r="J9113" s="1342"/>
      <c r="K9113" s="1342"/>
    </row>
    <row r="9114" spans="2:11" ht="14" hidden="1">
      <c r="B9114" s="1342"/>
      <c r="C9114" s="1342"/>
      <c r="D9114" s="1342"/>
      <c r="E9114" s="1342"/>
      <c r="F9114" s="1342"/>
      <c r="G9114" s="1342"/>
      <c r="H9114" s="1342"/>
      <c r="I9114" s="1342"/>
      <c r="J9114" s="1342"/>
      <c r="K9114" s="1342"/>
    </row>
    <row r="9115" spans="2:11" ht="14" hidden="1">
      <c r="B9115" s="1342"/>
      <c r="C9115" s="1342"/>
      <c r="D9115" s="1342"/>
      <c r="E9115" s="1342"/>
      <c r="F9115" s="1342"/>
      <c r="G9115" s="1342"/>
      <c r="H9115" s="1342"/>
      <c r="I9115" s="1342"/>
      <c r="J9115" s="1342"/>
      <c r="K9115" s="1342"/>
    </row>
    <row r="9116" spans="2:11" ht="14" hidden="1">
      <c r="B9116" s="1342"/>
      <c r="C9116" s="1342"/>
      <c r="D9116" s="1342"/>
      <c r="E9116" s="1342"/>
      <c r="F9116" s="1342"/>
      <c r="G9116" s="1342"/>
      <c r="H9116" s="1342"/>
      <c r="I9116" s="1342"/>
      <c r="J9116" s="1342"/>
      <c r="K9116" s="1342"/>
    </row>
    <row r="9117" spans="2:11" ht="14" hidden="1">
      <c r="B9117" s="1342"/>
      <c r="C9117" s="1342"/>
      <c r="D9117" s="1342"/>
      <c r="E9117" s="1342"/>
      <c r="F9117" s="1342"/>
      <c r="G9117" s="1342"/>
      <c r="H9117" s="1342"/>
      <c r="I9117" s="1342"/>
      <c r="J9117" s="1342"/>
      <c r="K9117" s="1342"/>
    </row>
    <row r="9118" spans="2:11" ht="14" hidden="1">
      <c r="B9118" s="1342"/>
      <c r="C9118" s="1342"/>
      <c r="D9118" s="1342"/>
      <c r="E9118" s="1342"/>
      <c r="F9118" s="1342"/>
      <c r="G9118" s="1342"/>
      <c r="H9118" s="1342"/>
      <c r="I9118" s="1342"/>
      <c r="J9118" s="1342"/>
      <c r="K9118" s="1342"/>
    </row>
    <row r="9119" spans="2:11" ht="14" hidden="1">
      <c r="B9119" s="1342"/>
      <c r="C9119" s="1342"/>
      <c r="D9119" s="1342"/>
      <c r="E9119" s="1342"/>
      <c r="F9119" s="1342"/>
      <c r="G9119" s="1342"/>
      <c r="H9119" s="1342"/>
      <c r="I9119" s="1342"/>
      <c r="J9119" s="1342"/>
      <c r="K9119" s="1342"/>
    </row>
    <row r="9120" spans="2:11" ht="14" hidden="1">
      <c r="B9120" s="1342"/>
      <c r="C9120" s="1342"/>
      <c r="D9120" s="1342"/>
      <c r="E9120" s="1342"/>
      <c r="F9120" s="1342"/>
      <c r="G9120" s="1342"/>
      <c r="H9120" s="1342"/>
      <c r="I9120" s="1342"/>
      <c r="J9120" s="1342"/>
      <c r="K9120" s="1342"/>
    </row>
    <row r="9121" spans="2:11" ht="14" hidden="1">
      <c r="B9121" s="1342"/>
      <c r="C9121" s="1342"/>
      <c r="D9121" s="1342"/>
      <c r="E9121" s="1342"/>
      <c r="F9121" s="1342"/>
      <c r="G9121" s="1342"/>
      <c r="H9121" s="1342"/>
      <c r="I9121" s="1342"/>
      <c r="J9121" s="1342"/>
      <c r="K9121" s="1342"/>
    </row>
    <row r="9122" spans="2:11" ht="14" hidden="1">
      <c r="B9122" s="1342"/>
      <c r="C9122" s="1342"/>
      <c r="D9122" s="1342"/>
      <c r="E9122" s="1342"/>
      <c r="F9122" s="1342"/>
      <c r="G9122" s="1342"/>
      <c r="H9122" s="1342"/>
      <c r="I9122" s="1342"/>
      <c r="J9122" s="1342"/>
      <c r="K9122" s="1342"/>
    </row>
    <row r="9123" spans="2:11" ht="14" hidden="1">
      <c r="B9123" s="1342"/>
      <c r="C9123" s="1342"/>
      <c r="D9123" s="1342"/>
      <c r="E9123" s="1342"/>
      <c r="F9123" s="1342"/>
      <c r="G9123" s="1342"/>
      <c r="H9123" s="1342"/>
      <c r="I9123" s="1342"/>
      <c r="J9123" s="1342"/>
      <c r="K9123" s="1342"/>
    </row>
    <row r="9124" spans="2:11" ht="14" hidden="1">
      <c r="B9124" s="1342"/>
      <c r="C9124" s="1342"/>
      <c r="D9124" s="1342"/>
      <c r="E9124" s="1342"/>
      <c r="F9124" s="1342"/>
      <c r="G9124" s="1342"/>
      <c r="H9124" s="1342"/>
      <c r="I9124" s="1342"/>
      <c r="J9124" s="1342"/>
      <c r="K9124" s="1342"/>
    </row>
    <row r="9125" spans="2:11" ht="14" hidden="1">
      <c r="B9125" s="1342"/>
      <c r="C9125" s="1342"/>
      <c r="D9125" s="1342"/>
      <c r="E9125" s="1342"/>
      <c r="F9125" s="1342"/>
      <c r="G9125" s="1342"/>
      <c r="H9125" s="1342"/>
      <c r="I9125" s="1342"/>
      <c r="J9125" s="1342"/>
      <c r="K9125" s="1342"/>
    </row>
    <row r="9126" spans="2:11" ht="14" hidden="1">
      <c r="B9126" s="1342"/>
      <c r="C9126" s="1342"/>
      <c r="D9126" s="1342"/>
      <c r="E9126" s="1342"/>
      <c r="F9126" s="1342"/>
      <c r="G9126" s="1342"/>
      <c r="H9126" s="1342"/>
      <c r="I9126" s="1342"/>
      <c r="J9126" s="1342"/>
      <c r="K9126" s="1342"/>
    </row>
    <row r="9127" spans="2:11" ht="14" hidden="1">
      <c r="B9127" s="1342"/>
      <c r="C9127" s="1342"/>
      <c r="D9127" s="1342"/>
      <c r="E9127" s="1342"/>
      <c r="F9127" s="1342"/>
      <c r="G9127" s="1342"/>
      <c r="H9127" s="1342"/>
      <c r="I9127" s="1342"/>
      <c r="J9127" s="1342"/>
      <c r="K9127" s="1342"/>
    </row>
    <row r="9128" spans="2:11" ht="14" hidden="1">
      <c r="B9128" s="1342"/>
      <c r="C9128" s="1342"/>
      <c r="D9128" s="1342"/>
      <c r="E9128" s="1342"/>
      <c r="F9128" s="1342"/>
      <c r="G9128" s="1342"/>
      <c r="H9128" s="1342"/>
      <c r="I9128" s="1342"/>
      <c r="J9128" s="1342"/>
      <c r="K9128" s="1342"/>
    </row>
    <row r="9129" spans="2:11" ht="14" hidden="1">
      <c r="B9129" s="1342"/>
      <c r="C9129" s="1342"/>
      <c r="D9129" s="1342"/>
      <c r="E9129" s="1342"/>
      <c r="F9129" s="1342"/>
      <c r="G9129" s="1342"/>
      <c r="H9129" s="1342"/>
      <c r="I9129" s="1342"/>
      <c r="J9129" s="1342"/>
      <c r="K9129" s="1342"/>
    </row>
    <row r="9130" spans="2:11" ht="14" hidden="1">
      <c r="B9130" s="1342"/>
      <c r="C9130" s="1342"/>
      <c r="D9130" s="1342"/>
      <c r="E9130" s="1342"/>
      <c r="F9130" s="1342"/>
      <c r="G9130" s="1342"/>
      <c r="H9130" s="1342"/>
      <c r="I9130" s="1342"/>
      <c r="J9130" s="1342"/>
      <c r="K9130" s="1342"/>
    </row>
    <row r="9131" spans="2:11" ht="14" hidden="1">
      <c r="B9131" s="1342"/>
      <c r="C9131" s="1342"/>
      <c r="D9131" s="1342"/>
      <c r="E9131" s="1342"/>
      <c r="F9131" s="1342"/>
      <c r="G9131" s="1342"/>
      <c r="H9131" s="1342"/>
      <c r="I9131" s="1342"/>
      <c r="J9131" s="1342"/>
      <c r="K9131" s="1342"/>
    </row>
    <row r="9132" spans="2:11" ht="14" hidden="1">
      <c r="B9132" s="1342"/>
      <c r="C9132" s="1342"/>
      <c r="D9132" s="1342"/>
      <c r="E9132" s="1342"/>
      <c r="F9132" s="1342"/>
      <c r="G9132" s="1342"/>
      <c r="H9132" s="1342"/>
      <c r="I9132" s="1342"/>
      <c r="J9132" s="1342"/>
      <c r="K9132" s="1342"/>
    </row>
    <row r="9133" spans="2:11" ht="14" hidden="1">
      <c r="B9133" s="1342"/>
      <c r="C9133" s="1342"/>
      <c r="D9133" s="1342"/>
      <c r="E9133" s="1342"/>
      <c r="F9133" s="1342"/>
      <c r="G9133" s="1342"/>
      <c r="H9133" s="1342"/>
      <c r="I9133" s="1342"/>
      <c r="J9133" s="1342"/>
      <c r="K9133" s="1342"/>
    </row>
    <row r="9134" spans="2:11" ht="14" hidden="1">
      <c r="B9134" s="1342"/>
      <c r="C9134" s="1342"/>
      <c r="D9134" s="1342"/>
      <c r="E9134" s="1342"/>
      <c r="F9134" s="1342"/>
      <c r="G9134" s="1342"/>
      <c r="H9134" s="1342"/>
      <c r="I9134" s="1342"/>
      <c r="J9134" s="1342"/>
      <c r="K9134" s="1342"/>
    </row>
    <row r="9135" spans="2:11" ht="14" hidden="1">
      <c r="B9135" s="1342"/>
      <c r="C9135" s="1342"/>
      <c r="D9135" s="1342"/>
      <c r="E9135" s="1342"/>
      <c r="F9135" s="1342"/>
      <c r="G9135" s="1342"/>
      <c r="H9135" s="1342"/>
      <c r="I9135" s="1342"/>
      <c r="J9135" s="1342"/>
      <c r="K9135" s="1342"/>
    </row>
    <row r="9136" spans="2:11" ht="14" hidden="1">
      <c r="B9136" s="1342"/>
      <c r="C9136" s="1342"/>
      <c r="D9136" s="1342"/>
      <c r="E9136" s="1342"/>
      <c r="F9136" s="1342"/>
      <c r="G9136" s="1342"/>
      <c r="H9136" s="1342"/>
      <c r="I9136" s="1342"/>
      <c r="J9136" s="1342"/>
      <c r="K9136" s="1342"/>
    </row>
    <row r="9137" spans="2:11" ht="14" hidden="1">
      <c r="B9137" s="1342"/>
      <c r="C9137" s="1342"/>
      <c r="D9137" s="1342"/>
      <c r="E9137" s="1342"/>
      <c r="F9137" s="1342"/>
      <c r="G9137" s="1342"/>
      <c r="H9137" s="1342"/>
      <c r="I9137" s="1342"/>
      <c r="J9137" s="1342"/>
      <c r="K9137" s="1342"/>
    </row>
    <row r="9138" spans="2:11" ht="14" hidden="1">
      <c r="B9138" s="1342"/>
      <c r="C9138" s="1342"/>
      <c r="D9138" s="1342"/>
      <c r="E9138" s="1342"/>
      <c r="F9138" s="1342"/>
      <c r="G9138" s="1342"/>
      <c r="H9138" s="1342"/>
      <c r="I9138" s="1342"/>
      <c r="J9138" s="1342"/>
      <c r="K9138" s="1342"/>
    </row>
    <row r="9139" spans="2:11" ht="14" hidden="1">
      <c r="B9139" s="1342"/>
      <c r="C9139" s="1342"/>
      <c r="D9139" s="1342"/>
      <c r="E9139" s="1342"/>
      <c r="F9139" s="1342"/>
      <c r="G9139" s="1342"/>
      <c r="H9139" s="1342"/>
      <c r="I9139" s="1342"/>
      <c r="J9139" s="1342"/>
      <c r="K9139" s="1342"/>
    </row>
    <row r="9140" spans="2:11" ht="14" hidden="1">
      <c r="B9140" s="1342"/>
      <c r="C9140" s="1342"/>
      <c r="D9140" s="1342"/>
      <c r="E9140" s="1342"/>
      <c r="F9140" s="1342"/>
      <c r="G9140" s="1342"/>
      <c r="H9140" s="1342"/>
      <c r="I9140" s="1342"/>
      <c r="J9140" s="1342"/>
      <c r="K9140" s="1342"/>
    </row>
    <row r="9141" spans="2:11" ht="14" hidden="1">
      <c r="B9141" s="1342"/>
      <c r="C9141" s="1342"/>
      <c r="D9141" s="1342"/>
      <c r="E9141" s="1342"/>
      <c r="F9141" s="1342"/>
      <c r="G9141" s="1342"/>
      <c r="H9141" s="1342"/>
      <c r="I9141" s="1342"/>
      <c r="J9141" s="1342"/>
      <c r="K9141" s="1342"/>
    </row>
    <row r="9142" spans="2:11" ht="14" hidden="1">
      <c r="B9142" s="1342"/>
      <c r="C9142" s="1342"/>
      <c r="D9142" s="1342"/>
      <c r="E9142" s="1342"/>
      <c r="F9142" s="1342"/>
      <c r="G9142" s="1342"/>
      <c r="H9142" s="1342"/>
      <c r="I9142" s="1342"/>
      <c r="J9142" s="1342"/>
      <c r="K9142" s="1342"/>
    </row>
    <row r="9143" spans="2:11" ht="14" hidden="1">
      <c r="B9143" s="1342"/>
      <c r="C9143" s="1342"/>
      <c r="D9143" s="1342"/>
      <c r="E9143" s="1342"/>
      <c r="F9143" s="1342"/>
      <c r="G9143" s="1342"/>
      <c r="H9143" s="1342"/>
      <c r="I9143" s="1342"/>
      <c r="J9143" s="1342"/>
      <c r="K9143" s="1342"/>
    </row>
    <row r="9144" spans="2:11" ht="14" hidden="1">
      <c r="B9144" s="1342"/>
      <c r="C9144" s="1342"/>
      <c r="D9144" s="1342"/>
      <c r="E9144" s="1342"/>
      <c r="F9144" s="1342"/>
      <c r="G9144" s="1342"/>
      <c r="H9144" s="1342"/>
      <c r="I9144" s="1342"/>
      <c r="J9144" s="1342"/>
      <c r="K9144" s="1342"/>
    </row>
    <row r="9145" spans="2:11" ht="14" hidden="1">
      <c r="B9145" s="1342"/>
      <c r="C9145" s="1342"/>
      <c r="D9145" s="1342"/>
      <c r="E9145" s="1342"/>
      <c r="F9145" s="1342"/>
      <c r="G9145" s="1342"/>
      <c r="H9145" s="1342"/>
      <c r="I9145" s="1342"/>
      <c r="J9145" s="1342"/>
      <c r="K9145" s="1342"/>
    </row>
    <row r="9146" spans="2:11" ht="14" hidden="1">
      <c r="B9146" s="1342"/>
      <c r="C9146" s="1342"/>
      <c r="D9146" s="1342"/>
      <c r="E9146" s="1342"/>
      <c r="F9146" s="1342"/>
      <c r="G9146" s="1342"/>
      <c r="H9146" s="1342"/>
      <c r="I9146" s="1342"/>
      <c r="J9146" s="1342"/>
      <c r="K9146" s="1342"/>
    </row>
    <row r="9147" spans="2:11" ht="14" hidden="1">
      <c r="B9147" s="1342"/>
      <c r="C9147" s="1342"/>
      <c r="D9147" s="1342"/>
      <c r="E9147" s="1342"/>
      <c r="F9147" s="1342"/>
      <c r="G9147" s="1342"/>
      <c r="H9147" s="1342"/>
      <c r="I9147" s="1342"/>
      <c r="J9147" s="1342"/>
      <c r="K9147" s="1342"/>
    </row>
    <row r="9148" spans="2:11" ht="14" hidden="1">
      <c r="B9148" s="1342"/>
      <c r="C9148" s="1342"/>
      <c r="D9148" s="1342"/>
      <c r="E9148" s="1342"/>
      <c r="F9148" s="1342"/>
      <c r="G9148" s="1342"/>
      <c r="H9148" s="1342"/>
      <c r="I9148" s="1342"/>
      <c r="J9148" s="1342"/>
      <c r="K9148" s="1342"/>
    </row>
    <row r="9149" spans="2:11" ht="14" hidden="1">
      <c r="B9149" s="1342"/>
      <c r="C9149" s="1342"/>
      <c r="D9149" s="1342"/>
      <c r="E9149" s="1342"/>
      <c r="F9149" s="1342"/>
      <c r="G9149" s="1342"/>
      <c r="H9149" s="1342"/>
      <c r="I9149" s="1342"/>
      <c r="J9149" s="1342"/>
      <c r="K9149" s="1342"/>
    </row>
    <row r="9150" spans="2:11" ht="14" hidden="1">
      <c r="B9150" s="1342"/>
      <c r="C9150" s="1342"/>
      <c r="D9150" s="1342"/>
      <c r="E9150" s="1342"/>
      <c r="F9150" s="1342"/>
      <c r="G9150" s="1342"/>
      <c r="H9150" s="1342"/>
      <c r="I9150" s="1342"/>
      <c r="J9150" s="1342"/>
      <c r="K9150" s="1342"/>
    </row>
    <row r="9151" spans="2:11" ht="14" hidden="1">
      <c r="B9151" s="1342"/>
      <c r="C9151" s="1342"/>
      <c r="D9151" s="1342"/>
      <c r="E9151" s="1342"/>
      <c r="F9151" s="1342"/>
      <c r="G9151" s="1342"/>
      <c r="H9151" s="1342"/>
      <c r="I9151" s="1342"/>
      <c r="J9151" s="1342"/>
      <c r="K9151" s="1342"/>
    </row>
    <row r="9152" spans="2:11" ht="14" hidden="1">
      <c r="B9152" s="1342"/>
      <c r="C9152" s="1342"/>
      <c r="D9152" s="1342"/>
      <c r="E9152" s="1342"/>
      <c r="F9152" s="1342"/>
      <c r="G9152" s="1342"/>
      <c r="H9152" s="1342"/>
      <c r="I9152" s="1342"/>
      <c r="J9152" s="1342"/>
      <c r="K9152" s="1342"/>
    </row>
    <row r="9153" spans="2:11" ht="14" hidden="1">
      <c r="B9153" s="1342"/>
      <c r="C9153" s="1342"/>
      <c r="D9153" s="1342"/>
      <c r="E9153" s="1342"/>
      <c r="F9153" s="1342"/>
      <c r="G9153" s="1342"/>
      <c r="H9153" s="1342"/>
      <c r="I9153" s="1342"/>
      <c r="J9153" s="1342"/>
      <c r="K9153" s="1342"/>
    </row>
    <row r="9154" spans="2:11" ht="14" hidden="1">
      <c r="B9154" s="1342"/>
      <c r="C9154" s="1342"/>
      <c r="D9154" s="1342"/>
      <c r="E9154" s="1342"/>
      <c r="F9154" s="1342"/>
      <c r="G9154" s="1342"/>
      <c r="H9154" s="1342"/>
      <c r="I9154" s="1342"/>
      <c r="J9154" s="1342"/>
      <c r="K9154" s="1342"/>
    </row>
    <row r="9155" spans="2:11" ht="14" hidden="1">
      <c r="B9155" s="1342"/>
      <c r="C9155" s="1342"/>
      <c r="D9155" s="1342"/>
      <c r="E9155" s="1342"/>
      <c r="F9155" s="1342"/>
      <c r="G9155" s="1342"/>
      <c r="H9155" s="1342"/>
      <c r="I9155" s="1342"/>
      <c r="J9155" s="1342"/>
      <c r="K9155" s="1342"/>
    </row>
    <row r="9156" spans="2:11" ht="14" hidden="1">
      <c r="B9156" s="1342"/>
      <c r="C9156" s="1342"/>
      <c r="D9156" s="1342"/>
      <c r="E9156" s="1342"/>
      <c r="F9156" s="1342"/>
      <c r="G9156" s="1342"/>
      <c r="H9156" s="1342"/>
      <c r="I9156" s="1342"/>
      <c r="J9156" s="1342"/>
      <c r="K9156" s="1342"/>
    </row>
    <row r="9157" spans="2:11" ht="14" hidden="1">
      <c r="B9157" s="1342"/>
      <c r="C9157" s="1342"/>
      <c r="D9157" s="1342"/>
      <c r="E9157" s="1342"/>
      <c r="F9157" s="1342"/>
      <c r="G9157" s="1342"/>
      <c r="H9157" s="1342"/>
      <c r="I9157" s="1342"/>
      <c r="J9157" s="1342"/>
      <c r="K9157" s="1342"/>
    </row>
    <row r="9158" spans="2:11" ht="14" hidden="1">
      <c r="B9158" s="1342"/>
      <c r="C9158" s="1342"/>
      <c r="D9158" s="1342"/>
      <c r="E9158" s="1342"/>
      <c r="F9158" s="1342"/>
      <c r="G9158" s="1342"/>
      <c r="H9158" s="1342"/>
      <c r="I9158" s="1342"/>
      <c r="J9158" s="1342"/>
      <c r="K9158" s="1342"/>
    </row>
    <row r="9159" spans="2:11" ht="14" hidden="1">
      <c r="B9159" s="1342"/>
      <c r="C9159" s="1342"/>
      <c r="D9159" s="1342"/>
      <c r="E9159" s="1342"/>
      <c r="F9159" s="1342"/>
      <c r="G9159" s="1342"/>
      <c r="H9159" s="1342"/>
      <c r="I9159" s="1342"/>
      <c r="J9159" s="1342"/>
      <c r="K9159" s="1342"/>
    </row>
    <row r="9160" spans="2:11" ht="14" hidden="1">
      <c r="B9160" s="1342"/>
      <c r="C9160" s="1342"/>
      <c r="D9160" s="1342"/>
      <c r="E9160" s="1342"/>
      <c r="F9160" s="1342"/>
      <c r="G9160" s="1342"/>
      <c r="H9160" s="1342"/>
      <c r="I9160" s="1342"/>
      <c r="J9160" s="1342"/>
      <c r="K9160" s="1342"/>
    </row>
    <row r="9161" spans="2:11" ht="14" hidden="1">
      <c r="B9161" s="1342"/>
      <c r="C9161" s="1342"/>
      <c r="D9161" s="1342"/>
      <c r="E9161" s="1342"/>
      <c r="F9161" s="1342"/>
      <c r="G9161" s="1342"/>
      <c r="H9161" s="1342"/>
      <c r="I9161" s="1342"/>
      <c r="J9161" s="1342"/>
      <c r="K9161" s="1342"/>
    </row>
    <row r="9162" spans="2:11" ht="14" hidden="1">
      <c r="B9162" s="1342"/>
      <c r="C9162" s="1342"/>
      <c r="D9162" s="1342"/>
      <c r="E9162" s="1342"/>
      <c r="F9162" s="1342"/>
      <c r="G9162" s="1342"/>
      <c r="H9162" s="1342"/>
      <c r="I9162" s="1342"/>
      <c r="J9162" s="1342"/>
      <c r="K9162" s="1342"/>
    </row>
    <row r="9163" spans="2:11" ht="14" hidden="1">
      <c r="B9163" s="1342"/>
      <c r="C9163" s="1342"/>
      <c r="D9163" s="1342"/>
      <c r="E9163" s="1342"/>
      <c r="F9163" s="1342"/>
      <c r="G9163" s="1342"/>
      <c r="H9163" s="1342"/>
      <c r="I9163" s="1342"/>
      <c r="J9163" s="1342"/>
      <c r="K9163" s="1342"/>
    </row>
    <row r="9164" spans="2:11" ht="14" hidden="1">
      <c r="B9164" s="1342"/>
      <c r="C9164" s="1342"/>
      <c r="D9164" s="1342"/>
      <c r="E9164" s="1342"/>
      <c r="F9164" s="1342"/>
      <c r="G9164" s="1342"/>
      <c r="H9164" s="1342"/>
      <c r="I9164" s="1342"/>
      <c r="J9164" s="1342"/>
      <c r="K9164" s="1342"/>
    </row>
    <row r="9165" spans="2:11" ht="14" hidden="1">
      <c r="B9165" s="1342"/>
      <c r="C9165" s="1342"/>
      <c r="D9165" s="1342"/>
      <c r="E9165" s="1342"/>
      <c r="F9165" s="1342"/>
      <c r="G9165" s="1342"/>
      <c r="H9165" s="1342"/>
      <c r="I9165" s="1342"/>
      <c r="J9165" s="1342"/>
      <c r="K9165" s="1342"/>
    </row>
    <row r="9166" spans="2:11" ht="14" hidden="1">
      <c r="B9166" s="1342"/>
      <c r="C9166" s="1342"/>
      <c r="D9166" s="1342"/>
      <c r="E9166" s="1342"/>
      <c r="F9166" s="1342"/>
      <c r="G9166" s="1342"/>
      <c r="H9166" s="1342"/>
      <c r="I9166" s="1342"/>
      <c r="J9166" s="1342"/>
      <c r="K9166" s="1342"/>
    </row>
    <row r="9167" spans="2:11" ht="14" hidden="1">
      <c r="B9167" s="1342"/>
      <c r="C9167" s="1342"/>
      <c r="D9167" s="1342"/>
      <c r="E9167" s="1342"/>
      <c r="F9167" s="1342"/>
      <c r="G9167" s="1342"/>
      <c r="H9167" s="1342"/>
      <c r="I9167" s="1342"/>
      <c r="J9167" s="1342"/>
      <c r="K9167" s="1342"/>
    </row>
    <row r="9168" spans="2:11" ht="14" hidden="1">
      <c r="B9168" s="1342"/>
      <c r="C9168" s="1342"/>
      <c r="D9168" s="1342"/>
      <c r="E9168" s="1342"/>
      <c r="F9168" s="1342"/>
      <c r="G9168" s="1342"/>
      <c r="H9168" s="1342"/>
      <c r="I9168" s="1342"/>
      <c r="J9168" s="1342"/>
      <c r="K9168" s="1342"/>
    </row>
    <row r="9169" spans="2:11" ht="14" hidden="1">
      <c r="B9169" s="1342"/>
      <c r="C9169" s="1342"/>
      <c r="D9169" s="1342"/>
      <c r="E9169" s="1342"/>
      <c r="F9169" s="1342"/>
      <c r="G9169" s="1342"/>
      <c r="H9169" s="1342"/>
      <c r="I9169" s="1342"/>
      <c r="J9169" s="1342"/>
      <c r="K9169" s="1342"/>
    </row>
    <row r="9170" spans="2:11" ht="14" hidden="1">
      <c r="B9170" s="1342"/>
      <c r="C9170" s="1342"/>
      <c r="D9170" s="1342"/>
      <c r="E9170" s="1342"/>
      <c r="F9170" s="1342"/>
      <c r="G9170" s="1342"/>
      <c r="H9170" s="1342"/>
      <c r="I9170" s="1342"/>
      <c r="J9170" s="1342"/>
      <c r="K9170" s="1342"/>
    </row>
    <row r="9171" spans="2:11" ht="14" hidden="1">
      <c r="B9171" s="1342"/>
      <c r="C9171" s="1342"/>
      <c r="D9171" s="1342"/>
      <c r="E9171" s="1342"/>
      <c r="F9171" s="1342"/>
      <c r="G9171" s="1342"/>
      <c r="H9171" s="1342"/>
      <c r="I9171" s="1342"/>
      <c r="J9171" s="1342"/>
      <c r="K9171" s="1342"/>
    </row>
    <row r="9172" spans="2:11" ht="14" hidden="1">
      <c r="B9172" s="1342"/>
      <c r="C9172" s="1342"/>
      <c r="D9172" s="1342"/>
      <c r="E9172" s="1342"/>
      <c r="F9172" s="1342"/>
      <c r="G9172" s="1342"/>
      <c r="H9172" s="1342"/>
      <c r="I9172" s="1342"/>
      <c r="J9172" s="1342"/>
      <c r="K9172" s="1342"/>
    </row>
    <row r="9173" spans="2:11" ht="14" hidden="1">
      <c r="B9173" s="1342"/>
      <c r="C9173" s="1342"/>
      <c r="D9173" s="1342"/>
      <c r="E9173" s="1342"/>
      <c r="F9173" s="1342"/>
      <c r="G9173" s="1342"/>
      <c r="H9173" s="1342"/>
      <c r="I9173" s="1342"/>
      <c r="J9173" s="1342"/>
      <c r="K9173" s="1342"/>
    </row>
    <row r="9174" spans="2:11" ht="14" hidden="1">
      <c r="B9174" s="1342"/>
      <c r="C9174" s="1342"/>
      <c r="D9174" s="1342"/>
      <c r="E9174" s="1342"/>
      <c r="F9174" s="1342"/>
      <c r="G9174" s="1342"/>
      <c r="H9174" s="1342"/>
      <c r="I9174" s="1342"/>
      <c r="J9174" s="1342"/>
      <c r="K9174" s="1342"/>
    </row>
    <row r="9175" spans="2:11" ht="14" hidden="1">
      <c r="B9175" s="1342"/>
      <c r="C9175" s="1342"/>
      <c r="D9175" s="1342"/>
      <c r="E9175" s="1342"/>
      <c r="F9175" s="1342"/>
      <c r="G9175" s="1342"/>
      <c r="H9175" s="1342"/>
      <c r="I9175" s="1342"/>
      <c r="J9175" s="1342"/>
      <c r="K9175" s="1342"/>
    </row>
    <row r="9176" spans="2:11" ht="14" hidden="1">
      <c r="B9176" s="1342"/>
      <c r="C9176" s="1342"/>
      <c r="D9176" s="1342"/>
      <c r="E9176" s="1342"/>
      <c r="F9176" s="1342"/>
      <c r="G9176" s="1342"/>
      <c r="H9176" s="1342"/>
      <c r="I9176" s="1342"/>
      <c r="J9176" s="1342"/>
      <c r="K9176" s="1342"/>
    </row>
    <row r="9177" spans="2:11" ht="14" hidden="1">
      <c r="B9177" s="1342"/>
      <c r="C9177" s="1342"/>
      <c r="D9177" s="1342"/>
      <c r="E9177" s="1342"/>
      <c r="F9177" s="1342"/>
      <c r="G9177" s="1342"/>
      <c r="H9177" s="1342"/>
      <c r="I9177" s="1342"/>
      <c r="J9177" s="1342"/>
      <c r="K9177" s="1342"/>
    </row>
    <row r="9178" spans="2:11" ht="14" hidden="1">
      <c r="B9178" s="1342"/>
      <c r="C9178" s="1342"/>
      <c r="D9178" s="1342"/>
      <c r="E9178" s="1342"/>
      <c r="F9178" s="1342"/>
      <c r="G9178" s="1342"/>
      <c r="H9178" s="1342"/>
      <c r="I9178" s="1342"/>
      <c r="J9178" s="1342"/>
      <c r="K9178" s="1342"/>
    </row>
    <row r="9179" spans="2:11" ht="14" hidden="1">
      <c r="B9179" s="1342"/>
      <c r="C9179" s="1342"/>
      <c r="D9179" s="1342"/>
      <c r="E9179" s="1342"/>
      <c r="F9179" s="1342"/>
      <c r="G9179" s="1342"/>
      <c r="H9179" s="1342"/>
      <c r="I9179" s="1342"/>
      <c r="J9179" s="1342"/>
      <c r="K9179" s="1342"/>
    </row>
    <row r="9180" spans="2:11" ht="14" hidden="1">
      <c r="B9180" s="1342"/>
      <c r="C9180" s="1342"/>
      <c r="D9180" s="1342"/>
      <c r="E9180" s="1342"/>
      <c r="F9180" s="1342"/>
      <c r="G9180" s="1342"/>
      <c r="H9180" s="1342"/>
      <c r="I9180" s="1342"/>
      <c r="J9180" s="1342"/>
      <c r="K9180" s="1342"/>
    </row>
    <row r="9181" spans="2:11" ht="14" hidden="1">
      <c r="B9181" s="1342"/>
      <c r="C9181" s="1342"/>
      <c r="D9181" s="1342"/>
      <c r="E9181" s="1342"/>
      <c r="F9181" s="1342"/>
      <c r="G9181" s="1342"/>
      <c r="H9181" s="1342"/>
      <c r="I9181" s="1342"/>
      <c r="J9181" s="1342"/>
      <c r="K9181" s="1342"/>
    </row>
    <row r="9182" spans="2:11" ht="14" hidden="1">
      <c r="B9182" s="1342"/>
      <c r="C9182" s="1342"/>
      <c r="D9182" s="1342"/>
      <c r="E9182" s="1342"/>
      <c r="F9182" s="1342"/>
      <c r="G9182" s="1342"/>
      <c r="H9182" s="1342"/>
      <c r="I9182" s="1342"/>
      <c r="J9182" s="1342"/>
      <c r="K9182" s="1342"/>
    </row>
    <row r="9183" spans="2:11" ht="14" hidden="1">
      <c r="B9183" s="1342"/>
      <c r="C9183" s="1342"/>
      <c r="D9183" s="1342"/>
      <c r="E9183" s="1342"/>
      <c r="F9183" s="1342"/>
      <c r="G9183" s="1342"/>
      <c r="H9183" s="1342"/>
      <c r="I9183" s="1342"/>
      <c r="J9183" s="1342"/>
      <c r="K9183" s="1342"/>
    </row>
    <row r="9184" spans="2:11" ht="14" hidden="1">
      <c r="B9184" s="1342"/>
      <c r="C9184" s="1342"/>
      <c r="D9184" s="1342"/>
      <c r="E9184" s="1342"/>
      <c r="F9184" s="1342"/>
      <c r="G9184" s="1342"/>
      <c r="H9184" s="1342"/>
      <c r="I9184" s="1342"/>
      <c r="J9184" s="1342"/>
      <c r="K9184" s="1342"/>
    </row>
    <row r="9185" spans="2:11" ht="14" hidden="1">
      <c r="B9185" s="1342"/>
      <c r="C9185" s="1342"/>
      <c r="D9185" s="1342"/>
      <c r="E9185" s="1342"/>
      <c r="F9185" s="1342"/>
      <c r="G9185" s="1342"/>
      <c r="H9185" s="1342"/>
      <c r="I9185" s="1342"/>
      <c r="J9185" s="1342"/>
      <c r="K9185" s="1342"/>
    </row>
    <row r="9186" spans="2:11" ht="14" hidden="1">
      <c r="B9186" s="1342"/>
      <c r="C9186" s="1342"/>
      <c r="D9186" s="1342"/>
      <c r="E9186" s="1342"/>
      <c r="F9186" s="1342"/>
      <c r="G9186" s="1342"/>
      <c r="H9186" s="1342"/>
      <c r="I9186" s="1342"/>
      <c r="J9186" s="1342"/>
      <c r="K9186" s="1342"/>
    </row>
    <row r="9187" spans="2:11" ht="14" hidden="1">
      <c r="B9187" s="1342"/>
      <c r="C9187" s="1342"/>
      <c r="D9187" s="1342"/>
      <c r="E9187" s="1342"/>
      <c r="F9187" s="1342"/>
      <c r="G9187" s="1342"/>
      <c r="H9187" s="1342"/>
      <c r="I9187" s="1342"/>
      <c r="J9187" s="1342"/>
      <c r="K9187" s="1342"/>
    </row>
    <row r="9188" spans="2:11" ht="14" hidden="1">
      <c r="B9188" s="1342"/>
      <c r="C9188" s="1342"/>
      <c r="D9188" s="1342"/>
      <c r="E9188" s="1342"/>
      <c r="F9188" s="1342"/>
      <c r="G9188" s="1342"/>
      <c r="H9188" s="1342"/>
      <c r="I9188" s="1342"/>
      <c r="J9188" s="1342"/>
      <c r="K9188" s="1342"/>
    </row>
    <row r="9189" spans="2:11" ht="14" hidden="1">
      <c r="B9189" s="1342"/>
      <c r="C9189" s="1342"/>
      <c r="D9189" s="1342"/>
      <c r="E9189" s="1342"/>
      <c r="F9189" s="1342"/>
      <c r="G9189" s="1342"/>
      <c r="H9189" s="1342"/>
      <c r="I9189" s="1342"/>
      <c r="J9189" s="1342"/>
      <c r="K9189" s="1342"/>
    </row>
    <row r="9190" spans="2:11" ht="14" hidden="1">
      <c r="B9190" s="1342"/>
      <c r="C9190" s="1342"/>
      <c r="D9190" s="1342"/>
      <c r="E9190" s="1342"/>
      <c r="F9190" s="1342"/>
      <c r="G9190" s="1342"/>
      <c r="H9190" s="1342"/>
      <c r="I9190" s="1342"/>
      <c r="J9190" s="1342"/>
      <c r="K9190" s="1342"/>
    </row>
    <row r="9191" spans="2:11" ht="14" hidden="1">
      <c r="B9191" s="1342"/>
      <c r="C9191" s="1342"/>
      <c r="D9191" s="1342"/>
      <c r="E9191" s="1342"/>
      <c r="F9191" s="1342"/>
      <c r="G9191" s="1342"/>
      <c r="H9191" s="1342"/>
      <c r="I9191" s="1342"/>
      <c r="J9191" s="1342"/>
      <c r="K9191" s="1342"/>
    </row>
    <row r="9192" spans="2:11" ht="14" hidden="1">
      <c r="B9192" s="1342"/>
      <c r="C9192" s="1342"/>
      <c r="D9192" s="1342"/>
      <c r="E9192" s="1342"/>
      <c r="F9192" s="1342"/>
      <c r="G9192" s="1342"/>
      <c r="H9192" s="1342"/>
      <c r="I9192" s="1342"/>
      <c r="J9192" s="1342"/>
      <c r="K9192" s="1342"/>
    </row>
    <row r="9193" spans="2:11" ht="14" hidden="1">
      <c r="B9193" s="1342"/>
      <c r="C9193" s="1342"/>
      <c r="D9193" s="1342"/>
      <c r="E9193" s="1342"/>
      <c r="F9193" s="1342"/>
      <c r="G9193" s="1342"/>
      <c r="H9193" s="1342"/>
      <c r="I9193" s="1342"/>
      <c r="J9193" s="1342"/>
      <c r="K9193" s="1342"/>
    </row>
    <row r="9194" spans="2:11" ht="14" hidden="1">
      <c r="B9194" s="1342"/>
      <c r="C9194" s="1342"/>
      <c r="D9194" s="1342"/>
      <c r="E9194" s="1342"/>
      <c r="F9194" s="1342"/>
      <c r="G9194" s="1342"/>
      <c r="H9194" s="1342"/>
      <c r="I9194" s="1342"/>
      <c r="J9194" s="1342"/>
      <c r="K9194" s="1342"/>
    </row>
    <row r="9195" spans="2:11" ht="14" hidden="1">
      <c r="B9195" s="1342"/>
      <c r="C9195" s="1342"/>
      <c r="D9195" s="1342"/>
      <c r="E9195" s="1342"/>
      <c r="F9195" s="1342"/>
      <c r="G9195" s="1342"/>
      <c r="H9195" s="1342"/>
      <c r="I9195" s="1342"/>
      <c r="J9195" s="1342"/>
      <c r="K9195" s="1342"/>
    </row>
    <row r="9196" spans="2:11" ht="14" hidden="1">
      <c r="B9196" s="1342"/>
      <c r="C9196" s="1342"/>
      <c r="D9196" s="1342"/>
      <c r="E9196" s="1342"/>
      <c r="F9196" s="1342"/>
      <c r="G9196" s="1342"/>
      <c r="H9196" s="1342"/>
      <c r="I9196" s="1342"/>
      <c r="J9196" s="1342"/>
      <c r="K9196" s="1342"/>
    </row>
    <row r="9197" spans="2:11" ht="14" hidden="1">
      <c r="B9197" s="1342"/>
      <c r="C9197" s="1342"/>
      <c r="D9197" s="1342"/>
      <c r="E9197" s="1342"/>
      <c r="F9197" s="1342"/>
      <c r="G9197" s="1342"/>
      <c r="H9197" s="1342"/>
      <c r="I9197" s="1342"/>
      <c r="J9197" s="1342"/>
      <c r="K9197" s="1342"/>
    </row>
    <row r="9198" spans="2:11" ht="14" hidden="1">
      <c r="B9198" s="1342"/>
      <c r="C9198" s="1342"/>
      <c r="D9198" s="1342"/>
      <c r="E9198" s="1342"/>
      <c r="F9198" s="1342"/>
      <c r="G9198" s="1342"/>
      <c r="H9198" s="1342"/>
      <c r="I9198" s="1342"/>
      <c r="J9198" s="1342"/>
      <c r="K9198" s="1342"/>
    </row>
    <row r="9199" spans="2:11" ht="14" hidden="1">
      <c r="B9199" s="1342"/>
      <c r="C9199" s="1342"/>
      <c r="D9199" s="1342"/>
      <c r="E9199" s="1342"/>
      <c r="F9199" s="1342"/>
      <c r="G9199" s="1342"/>
      <c r="H9199" s="1342"/>
      <c r="I9199" s="1342"/>
      <c r="J9199" s="1342"/>
      <c r="K9199" s="1342"/>
    </row>
    <row r="9200" spans="2:11" ht="14" hidden="1">
      <c r="B9200" s="1342"/>
      <c r="C9200" s="1342"/>
      <c r="D9200" s="1342"/>
      <c r="E9200" s="1342"/>
      <c r="F9200" s="1342"/>
      <c r="G9200" s="1342"/>
      <c r="H9200" s="1342"/>
      <c r="I9200" s="1342"/>
      <c r="J9200" s="1342"/>
      <c r="K9200" s="1342"/>
    </row>
    <row r="9201" spans="2:11" ht="14" hidden="1">
      <c r="B9201" s="1342"/>
      <c r="C9201" s="1342"/>
      <c r="D9201" s="1342"/>
      <c r="E9201" s="1342"/>
      <c r="F9201" s="1342"/>
      <c r="G9201" s="1342"/>
      <c r="H9201" s="1342"/>
      <c r="I9201" s="1342"/>
      <c r="J9201" s="1342"/>
      <c r="K9201" s="1342"/>
    </row>
    <row r="9202" spans="2:11" ht="14" hidden="1">
      <c r="B9202" s="1342"/>
      <c r="C9202" s="1342"/>
      <c r="D9202" s="1342"/>
      <c r="E9202" s="1342"/>
      <c r="F9202" s="1342"/>
      <c r="G9202" s="1342"/>
      <c r="H9202" s="1342"/>
      <c r="I9202" s="1342"/>
      <c r="J9202" s="1342"/>
      <c r="K9202" s="1342"/>
    </row>
    <row r="9203" spans="2:11" ht="14" hidden="1">
      <c r="B9203" s="1342"/>
      <c r="C9203" s="1342"/>
      <c r="D9203" s="1342"/>
      <c r="E9203" s="1342"/>
      <c r="F9203" s="1342"/>
      <c r="G9203" s="1342"/>
      <c r="H9203" s="1342"/>
      <c r="I9203" s="1342"/>
      <c r="J9203" s="1342"/>
      <c r="K9203" s="1342"/>
    </row>
    <row r="9204" spans="2:11" ht="14" hidden="1">
      <c r="B9204" s="1342"/>
      <c r="C9204" s="1342"/>
      <c r="D9204" s="1342"/>
      <c r="E9204" s="1342"/>
      <c r="F9204" s="1342"/>
      <c r="G9204" s="1342"/>
      <c r="H9204" s="1342"/>
      <c r="I9204" s="1342"/>
      <c r="J9204" s="1342"/>
      <c r="K9204" s="1342"/>
    </row>
    <row r="9205" spans="2:11" ht="14" hidden="1">
      <c r="B9205" s="1342"/>
      <c r="C9205" s="1342"/>
      <c r="D9205" s="1342"/>
      <c r="E9205" s="1342"/>
      <c r="F9205" s="1342"/>
      <c r="G9205" s="1342"/>
      <c r="H9205" s="1342"/>
      <c r="I9205" s="1342"/>
      <c r="J9205" s="1342"/>
      <c r="K9205" s="1342"/>
    </row>
    <row r="9206" spans="2:11" ht="14" hidden="1">
      <c r="B9206" s="1342"/>
      <c r="C9206" s="1342"/>
      <c r="D9206" s="1342"/>
      <c r="E9206" s="1342"/>
      <c r="F9206" s="1342"/>
      <c r="G9206" s="1342"/>
      <c r="H9206" s="1342"/>
      <c r="I9206" s="1342"/>
      <c r="J9206" s="1342"/>
      <c r="K9206" s="1342"/>
    </row>
    <row r="9207" spans="2:11" ht="14" hidden="1">
      <c r="B9207" s="1342"/>
      <c r="C9207" s="1342"/>
      <c r="D9207" s="1342"/>
      <c r="E9207" s="1342"/>
      <c r="F9207" s="1342"/>
      <c r="G9207" s="1342"/>
      <c r="H9207" s="1342"/>
      <c r="I9207" s="1342"/>
      <c r="J9207" s="1342"/>
      <c r="K9207" s="1342"/>
    </row>
    <row r="9208" spans="2:11" ht="14" hidden="1">
      <c r="B9208" s="1342"/>
      <c r="C9208" s="1342"/>
      <c r="D9208" s="1342"/>
      <c r="E9208" s="1342"/>
      <c r="F9208" s="1342"/>
      <c r="G9208" s="1342"/>
      <c r="H9208" s="1342"/>
      <c r="I9208" s="1342"/>
      <c r="J9208" s="1342"/>
      <c r="K9208" s="1342"/>
    </row>
    <row r="9209" spans="2:11" ht="14" hidden="1">
      <c r="B9209" s="1342"/>
      <c r="C9209" s="1342"/>
      <c r="D9209" s="1342"/>
      <c r="E9209" s="1342"/>
      <c r="F9209" s="1342"/>
      <c r="G9209" s="1342"/>
      <c r="H9209" s="1342"/>
      <c r="I9209" s="1342"/>
      <c r="J9209" s="1342"/>
      <c r="K9209" s="1342"/>
    </row>
    <row r="9210" spans="2:11" ht="14" hidden="1">
      <c r="B9210" s="1342"/>
      <c r="C9210" s="1342"/>
      <c r="D9210" s="1342"/>
      <c r="E9210" s="1342"/>
      <c r="F9210" s="1342"/>
      <c r="G9210" s="1342"/>
      <c r="H9210" s="1342"/>
      <c r="I9210" s="1342"/>
      <c r="J9210" s="1342"/>
      <c r="K9210" s="1342"/>
    </row>
    <row r="9211" spans="2:11" ht="14" hidden="1">
      <c r="B9211" s="1342"/>
      <c r="C9211" s="1342"/>
      <c r="D9211" s="1342"/>
      <c r="E9211" s="1342"/>
      <c r="F9211" s="1342"/>
      <c r="G9211" s="1342"/>
      <c r="H9211" s="1342"/>
      <c r="I9211" s="1342"/>
      <c r="J9211" s="1342"/>
      <c r="K9211" s="1342"/>
    </row>
    <row r="9212" spans="2:11" ht="14" hidden="1">
      <c r="B9212" s="1342"/>
      <c r="C9212" s="1342"/>
      <c r="D9212" s="1342"/>
      <c r="E9212" s="1342"/>
      <c r="F9212" s="1342"/>
      <c r="G9212" s="1342"/>
      <c r="H9212" s="1342"/>
      <c r="I9212" s="1342"/>
      <c r="J9212" s="1342"/>
      <c r="K9212" s="1342"/>
    </row>
    <row r="9213" spans="2:11" ht="14" hidden="1">
      <c r="B9213" s="1342"/>
      <c r="C9213" s="1342"/>
      <c r="D9213" s="1342"/>
      <c r="E9213" s="1342"/>
      <c r="F9213" s="1342"/>
      <c r="G9213" s="1342"/>
      <c r="H9213" s="1342"/>
      <c r="I9213" s="1342"/>
      <c r="J9213" s="1342"/>
      <c r="K9213" s="1342"/>
    </row>
    <row r="9214" spans="2:11" ht="14" hidden="1">
      <c r="B9214" s="1342"/>
      <c r="C9214" s="1342"/>
      <c r="D9214" s="1342"/>
      <c r="E9214" s="1342"/>
      <c r="F9214" s="1342"/>
      <c r="G9214" s="1342"/>
      <c r="H9214" s="1342"/>
      <c r="I9214" s="1342"/>
      <c r="J9214" s="1342"/>
      <c r="K9214" s="1342"/>
    </row>
    <row r="9215" spans="2:11" ht="14" hidden="1">
      <c r="B9215" s="1342"/>
      <c r="C9215" s="1342"/>
      <c r="D9215" s="1342"/>
      <c r="E9215" s="1342"/>
      <c r="F9215" s="1342"/>
      <c r="G9215" s="1342"/>
      <c r="H9215" s="1342"/>
      <c r="I9215" s="1342"/>
      <c r="J9215" s="1342"/>
      <c r="K9215" s="1342"/>
    </row>
    <row r="9216" spans="2:11" ht="14" hidden="1">
      <c r="B9216" s="1342"/>
      <c r="C9216" s="1342"/>
      <c r="D9216" s="1342"/>
      <c r="E9216" s="1342"/>
      <c r="F9216" s="1342"/>
      <c r="G9216" s="1342"/>
      <c r="H9216" s="1342"/>
      <c r="I9216" s="1342"/>
      <c r="J9216" s="1342"/>
      <c r="K9216" s="1342"/>
    </row>
    <row r="9217" spans="2:11" ht="14" hidden="1">
      <c r="B9217" s="1342"/>
      <c r="C9217" s="1342"/>
      <c r="D9217" s="1342"/>
      <c r="E9217" s="1342"/>
      <c r="F9217" s="1342"/>
      <c r="G9217" s="1342"/>
      <c r="H9217" s="1342"/>
      <c r="I9217" s="1342"/>
      <c r="J9217" s="1342"/>
      <c r="K9217" s="1342"/>
    </row>
    <row r="9218" spans="2:11" ht="14" hidden="1">
      <c r="B9218" s="1342"/>
      <c r="C9218" s="1342"/>
      <c r="D9218" s="1342"/>
      <c r="E9218" s="1342"/>
      <c r="F9218" s="1342"/>
      <c r="G9218" s="1342"/>
      <c r="H9218" s="1342"/>
      <c r="I9218" s="1342"/>
      <c r="J9218" s="1342"/>
      <c r="K9218" s="1342"/>
    </row>
    <row r="9219" spans="2:11" ht="14" hidden="1">
      <c r="B9219" s="1342"/>
      <c r="C9219" s="1342"/>
      <c r="D9219" s="1342"/>
      <c r="E9219" s="1342"/>
      <c r="F9219" s="1342"/>
      <c r="G9219" s="1342"/>
      <c r="H9219" s="1342"/>
      <c r="I9219" s="1342"/>
      <c r="J9219" s="1342"/>
      <c r="K9219" s="1342"/>
    </row>
    <row r="9220" spans="2:11" ht="14" hidden="1">
      <c r="B9220" s="1342"/>
      <c r="C9220" s="1342"/>
      <c r="D9220" s="1342"/>
      <c r="E9220" s="1342"/>
      <c r="F9220" s="1342"/>
      <c r="G9220" s="1342"/>
      <c r="H9220" s="1342"/>
      <c r="I9220" s="1342"/>
      <c r="J9220" s="1342"/>
      <c r="K9220" s="1342"/>
    </row>
    <row r="9221" spans="2:11" ht="14" hidden="1">
      <c r="B9221" s="1342"/>
      <c r="C9221" s="1342"/>
      <c r="D9221" s="1342"/>
      <c r="E9221" s="1342"/>
      <c r="F9221" s="1342"/>
      <c r="G9221" s="1342"/>
      <c r="H9221" s="1342"/>
      <c r="I9221" s="1342"/>
      <c r="J9221" s="1342"/>
      <c r="K9221" s="1342"/>
    </row>
    <row r="9222" spans="2:11" ht="14" hidden="1">
      <c r="B9222" s="1342"/>
      <c r="C9222" s="1342"/>
      <c r="D9222" s="1342"/>
      <c r="E9222" s="1342"/>
      <c r="F9222" s="1342"/>
      <c r="G9222" s="1342"/>
      <c r="H9222" s="1342"/>
      <c r="I9222" s="1342"/>
      <c r="J9222" s="1342"/>
      <c r="K9222" s="1342"/>
    </row>
    <row r="9223" spans="2:11" ht="14" hidden="1">
      <c r="B9223" s="1342"/>
      <c r="C9223" s="1342"/>
      <c r="D9223" s="1342"/>
      <c r="E9223" s="1342"/>
      <c r="F9223" s="1342"/>
      <c r="G9223" s="1342"/>
      <c r="H9223" s="1342"/>
      <c r="I9223" s="1342"/>
      <c r="J9223" s="1342"/>
      <c r="K9223" s="1342"/>
    </row>
    <row r="9224" spans="2:11" ht="14" hidden="1">
      <c r="B9224" s="1342"/>
      <c r="C9224" s="1342"/>
      <c r="D9224" s="1342"/>
      <c r="E9224" s="1342"/>
      <c r="F9224" s="1342"/>
      <c r="G9224" s="1342"/>
      <c r="H9224" s="1342"/>
      <c r="I9224" s="1342"/>
      <c r="J9224" s="1342"/>
      <c r="K9224" s="1342"/>
    </row>
    <row r="9225" spans="2:11" ht="14" hidden="1">
      <c r="B9225" s="1342"/>
      <c r="C9225" s="1342"/>
      <c r="D9225" s="1342"/>
      <c r="E9225" s="1342"/>
      <c r="F9225" s="1342"/>
      <c r="G9225" s="1342"/>
      <c r="H9225" s="1342"/>
      <c r="I9225" s="1342"/>
      <c r="J9225" s="1342"/>
      <c r="K9225" s="1342"/>
    </row>
    <row r="9226" spans="2:11" ht="14" hidden="1">
      <c r="B9226" s="1342"/>
      <c r="C9226" s="1342"/>
      <c r="D9226" s="1342"/>
      <c r="E9226" s="1342"/>
      <c r="F9226" s="1342"/>
      <c r="G9226" s="1342"/>
      <c r="H9226" s="1342"/>
      <c r="I9226" s="1342"/>
      <c r="J9226" s="1342"/>
      <c r="K9226" s="1342"/>
    </row>
    <row r="9227" spans="2:11" ht="14" hidden="1">
      <c r="B9227" s="1342"/>
      <c r="C9227" s="1342"/>
      <c r="D9227" s="1342"/>
      <c r="E9227" s="1342"/>
      <c r="F9227" s="1342"/>
      <c r="G9227" s="1342"/>
      <c r="H9227" s="1342"/>
      <c r="I9227" s="1342"/>
      <c r="J9227" s="1342"/>
      <c r="K9227" s="1342"/>
    </row>
    <row r="9228" spans="2:11" ht="14" hidden="1">
      <c r="B9228" s="1342"/>
      <c r="C9228" s="1342"/>
      <c r="D9228" s="1342"/>
      <c r="E9228" s="1342"/>
      <c r="F9228" s="1342"/>
      <c r="G9228" s="1342"/>
      <c r="H9228" s="1342"/>
      <c r="I9228" s="1342"/>
      <c r="J9228" s="1342"/>
      <c r="K9228" s="1342"/>
    </row>
    <row r="9229" spans="2:11" ht="14" hidden="1">
      <c r="B9229" s="1342"/>
      <c r="C9229" s="1342"/>
      <c r="D9229" s="1342"/>
      <c r="E9229" s="1342"/>
      <c r="F9229" s="1342"/>
      <c r="G9229" s="1342"/>
      <c r="H9229" s="1342"/>
      <c r="I9229" s="1342"/>
      <c r="J9229" s="1342"/>
      <c r="K9229" s="1342"/>
    </row>
    <row r="9230" spans="2:11" ht="14" hidden="1">
      <c r="B9230" s="1342"/>
      <c r="C9230" s="1342"/>
      <c r="D9230" s="1342"/>
      <c r="E9230" s="1342"/>
      <c r="F9230" s="1342"/>
      <c r="G9230" s="1342"/>
      <c r="H9230" s="1342"/>
      <c r="I9230" s="1342"/>
      <c r="J9230" s="1342"/>
      <c r="K9230" s="1342"/>
    </row>
    <row r="9231" spans="2:11" ht="14" hidden="1">
      <c r="B9231" s="1342"/>
      <c r="C9231" s="1342"/>
      <c r="D9231" s="1342"/>
      <c r="E9231" s="1342"/>
      <c r="F9231" s="1342"/>
      <c r="G9231" s="1342"/>
      <c r="H9231" s="1342"/>
      <c r="I9231" s="1342"/>
      <c r="J9231" s="1342"/>
      <c r="K9231" s="1342"/>
    </row>
    <row r="9232" spans="2:11" ht="14" hidden="1">
      <c r="B9232" s="1342"/>
      <c r="C9232" s="1342"/>
      <c r="D9232" s="1342"/>
      <c r="E9232" s="1342"/>
      <c r="F9232" s="1342"/>
      <c r="G9232" s="1342"/>
      <c r="H9232" s="1342"/>
      <c r="I9232" s="1342"/>
      <c r="J9232" s="1342"/>
      <c r="K9232" s="1342"/>
    </row>
    <row r="9233" spans="2:11" ht="14" hidden="1">
      <c r="B9233" s="1342"/>
      <c r="C9233" s="1342"/>
      <c r="D9233" s="1342"/>
      <c r="E9233" s="1342"/>
      <c r="F9233" s="1342"/>
      <c r="G9233" s="1342"/>
      <c r="H9233" s="1342"/>
      <c r="I9233" s="1342"/>
      <c r="J9233" s="1342"/>
      <c r="K9233" s="1342"/>
    </row>
    <row r="9234" spans="2:11" ht="14" hidden="1">
      <c r="B9234" s="1342"/>
      <c r="C9234" s="1342"/>
      <c r="D9234" s="1342"/>
      <c r="E9234" s="1342"/>
      <c r="F9234" s="1342"/>
      <c r="G9234" s="1342"/>
      <c r="H9234" s="1342"/>
      <c r="I9234" s="1342"/>
      <c r="J9234" s="1342"/>
      <c r="K9234" s="1342"/>
    </row>
    <row r="9235" spans="2:11" ht="14" hidden="1">
      <c r="B9235" s="1342"/>
      <c r="C9235" s="1342"/>
      <c r="D9235" s="1342"/>
      <c r="E9235" s="1342"/>
      <c r="F9235" s="1342"/>
      <c r="G9235" s="1342"/>
      <c r="H9235" s="1342"/>
      <c r="I9235" s="1342"/>
      <c r="J9235" s="1342"/>
      <c r="K9235" s="1342"/>
    </row>
    <row r="9236" spans="2:11" ht="14" hidden="1">
      <c r="B9236" s="1342"/>
      <c r="C9236" s="1342"/>
      <c r="D9236" s="1342"/>
      <c r="E9236" s="1342"/>
      <c r="F9236" s="1342"/>
      <c r="G9236" s="1342"/>
      <c r="H9236" s="1342"/>
      <c r="I9236" s="1342"/>
      <c r="J9236" s="1342"/>
      <c r="K9236" s="1342"/>
    </row>
    <row r="9237" spans="2:11" ht="14" hidden="1">
      <c r="B9237" s="1342"/>
      <c r="C9237" s="1342"/>
      <c r="D9237" s="1342"/>
      <c r="E9237" s="1342"/>
      <c r="F9237" s="1342"/>
      <c r="G9237" s="1342"/>
      <c r="H9237" s="1342"/>
      <c r="I9237" s="1342"/>
      <c r="J9237" s="1342"/>
      <c r="K9237" s="1342"/>
    </row>
    <row r="9238" spans="2:11" ht="14" hidden="1">
      <c r="B9238" s="1342"/>
      <c r="C9238" s="1342"/>
      <c r="D9238" s="1342"/>
      <c r="E9238" s="1342"/>
      <c r="F9238" s="1342"/>
      <c r="G9238" s="1342"/>
      <c r="H9238" s="1342"/>
      <c r="I9238" s="1342"/>
      <c r="J9238" s="1342"/>
      <c r="K9238" s="1342"/>
    </row>
    <row r="9239" spans="2:11" ht="14" hidden="1">
      <c r="B9239" s="1342"/>
      <c r="C9239" s="1342"/>
      <c r="D9239" s="1342"/>
      <c r="E9239" s="1342"/>
      <c r="F9239" s="1342"/>
      <c r="G9239" s="1342"/>
      <c r="H9239" s="1342"/>
      <c r="I9239" s="1342"/>
      <c r="J9239" s="1342"/>
      <c r="K9239" s="1342"/>
    </row>
    <row r="9240" spans="2:11" ht="14" hidden="1">
      <c r="B9240" s="1342"/>
      <c r="C9240" s="1342"/>
      <c r="D9240" s="1342"/>
      <c r="E9240" s="1342"/>
      <c r="F9240" s="1342"/>
      <c r="G9240" s="1342"/>
      <c r="H9240" s="1342"/>
      <c r="I9240" s="1342"/>
      <c r="J9240" s="1342"/>
      <c r="K9240" s="1342"/>
    </row>
    <row r="9241" spans="2:11" ht="14" hidden="1">
      <c r="B9241" s="1342"/>
      <c r="C9241" s="1342"/>
      <c r="D9241" s="1342"/>
      <c r="E9241" s="1342"/>
      <c r="F9241" s="1342"/>
      <c r="G9241" s="1342"/>
      <c r="H9241" s="1342"/>
      <c r="I9241" s="1342"/>
      <c r="J9241" s="1342"/>
      <c r="K9241" s="1342"/>
    </row>
    <row r="9242" spans="2:11" ht="14" hidden="1">
      <c r="B9242" s="1342"/>
      <c r="C9242" s="1342"/>
      <c r="D9242" s="1342"/>
      <c r="E9242" s="1342"/>
      <c r="F9242" s="1342"/>
      <c r="G9242" s="1342"/>
      <c r="H9242" s="1342"/>
      <c r="I9242" s="1342"/>
      <c r="J9242" s="1342"/>
      <c r="K9242" s="1342"/>
    </row>
    <row r="9243" spans="2:11" ht="14" hidden="1">
      <c r="B9243" s="1342"/>
      <c r="C9243" s="1342"/>
      <c r="D9243" s="1342"/>
      <c r="E9243" s="1342"/>
      <c r="F9243" s="1342"/>
      <c r="G9243" s="1342"/>
      <c r="H9243" s="1342"/>
      <c r="I9243" s="1342"/>
      <c r="J9243" s="1342"/>
      <c r="K9243" s="1342"/>
    </row>
    <row r="9244" spans="2:11" ht="14" hidden="1">
      <c r="B9244" s="1342"/>
      <c r="C9244" s="1342"/>
      <c r="D9244" s="1342"/>
      <c r="E9244" s="1342"/>
      <c r="F9244" s="1342"/>
      <c r="G9244" s="1342"/>
      <c r="H9244" s="1342"/>
      <c r="I9244" s="1342"/>
      <c r="J9244" s="1342"/>
      <c r="K9244" s="1342"/>
    </row>
    <row r="9245" spans="2:11" ht="14" hidden="1">
      <c r="B9245" s="1342"/>
      <c r="C9245" s="1342"/>
      <c r="D9245" s="1342"/>
      <c r="E9245" s="1342"/>
      <c r="F9245" s="1342"/>
      <c r="G9245" s="1342"/>
      <c r="H9245" s="1342"/>
      <c r="I9245" s="1342"/>
      <c r="J9245" s="1342"/>
      <c r="K9245" s="1342"/>
    </row>
    <row r="9246" spans="2:11" ht="14" hidden="1">
      <c r="B9246" s="1342"/>
      <c r="C9246" s="1342"/>
      <c r="D9246" s="1342"/>
      <c r="E9246" s="1342"/>
      <c r="F9246" s="1342"/>
      <c r="G9246" s="1342"/>
      <c r="H9246" s="1342"/>
      <c r="I9246" s="1342"/>
      <c r="J9246" s="1342"/>
      <c r="K9246" s="1342"/>
    </row>
    <row r="9247" spans="2:11" ht="14" hidden="1">
      <c r="B9247" s="1342"/>
      <c r="C9247" s="1342"/>
      <c r="D9247" s="1342"/>
      <c r="E9247" s="1342"/>
      <c r="F9247" s="1342"/>
      <c r="G9247" s="1342"/>
      <c r="H9247" s="1342"/>
      <c r="I9247" s="1342"/>
      <c r="J9247" s="1342"/>
      <c r="K9247" s="1342"/>
    </row>
    <row r="9248" spans="2:11" ht="14" hidden="1">
      <c r="B9248" s="1342"/>
      <c r="C9248" s="1342"/>
      <c r="D9248" s="1342"/>
      <c r="E9248" s="1342"/>
      <c r="F9248" s="1342"/>
      <c r="G9248" s="1342"/>
      <c r="H9248" s="1342"/>
      <c r="I9248" s="1342"/>
      <c r="J9248" s="1342"/>
      <c r="K9248" s="1342"/>
    </row>
    <row r="9249" spans="2:11" ht="14" hidden="1">
      <c r="B9249" s="1342"/>
      <c r="C9249" s="1342"/>
      <c r="D9249" s="1342"/>
      <c r="E9249" s="1342"/>
      <c r="F9249" s="1342"/>
      <c r="G9249" s="1342"/>
      <c r="H9249" s="1342"/>
      <c r="I9249" s="1342"/>
      <c r="J9249" s="1342"/>
      <c r="K9249" s="1342"/>
    </row>
    <row r="9250" spans="2:11" ht="14" hidden="1">
      <c r="B9250" s="1342"/>
      <c r="C9250" s="1342"/>
      <c r="D9250" s="1342"/>
      <c r="E9250" s="1342"/>
      <c r="F9250" s="1342"/>
      <c r="G9250" s="1342"/>
      <c r="H9250" s="1342"/>
      <c r="I9250" s="1342"/>
      <c r="J9250" s="1342"/>
      <c r="K9250" s="1342"/>
    </row>
    <row r="9251" spans="2:11" ht="14" hidden="1">
      <c r="B9251" s="1342"/>
      <c r="C9251" s="1342"/>
      <c r="D9251" s="1342"/>
      <c r="E9251" s="1342"/>
      <c r="F9251" s="1342"/>
      <c r="G9251" s="1342"/>
      <c r="H9251" s="1342"/>
      <c r="I9251" s="1342"/>
      <c r="J9251" s="1342"/>
      <c r="K9251" s="1342"/>
    </row>
    <row r="9252" spans="2:11" ht="14" hidden="1">
      <c r="B9252" s="1342"/>
      <c r="C9252" s="1342"/>
      <c r="D9252" s="1342"/>
      <c r="E9252" s="1342"/>
      <c r="F9252" s="1342"/>
      <c r="G9252" s="1342"/>
      <c r="H9252" s="1342"/>
      <c r="I9252" s="1342"/>
      <c r="J9252" s="1342"/>
      <c r="K9252" s="1342"/>
    </row>
    <row r="9253" spans="2:11" ht="14" hidden="1">
      <c r="B9253" s="1342"/>
      <c r="C9253" s="1342"/>
      <c r="D9253" s="1342"/>
      <c r="E9253" s="1342"/>
      <c r="F9253" s="1342"/>
      <c r="G9253" s="1342"/>
      <c r="H9253" s="1342"/>
      <c r="I9253" s="1342"/>
      <c r="J9253" s="1342"/>
      <c r="K9253" s="1342"/>
    </row>
    <row r="9254" spans="2:11" ht="14" hidden="1">
      <c r="B9254" s="1342"/>
      <c r="C9254" s="1342"/>
      <c r="D9254" s="1342"/>
      <c r="E9254" s="1342"/>
      <c r="F9254" s="1342"/>
      <c r="G9254" s="1342"/>
      <c r="H9254" s="1342"/>
      <c r="I9254" s="1342"/>
      <c r="J9254" s="1342"/>
      <c r="K9254" s="1342"/>
    </row>
    <row r="9255" spans="2:11" ht="14" hidden="1">
      <c r="B9255" s="1342"/>
      <c r="C9255" s="1342"/>
      <c r="D9255" s="1342"/>
      <c r="E9255" s="1342"/>
      <c r="F9255" s="1342"/>
      <c r="G9255" s="1342"/>
      <c r="H9255" s="1342"/>
      <c r="I9255" s="1342"/>
      <c r="J9255" s="1342"/>
      <c r="K9255" s="1342"/>
    </row>
    <row r="9256" spans="2:11" ht="14" hidden="1">
      <c r="B9256" s="1342"/>
      <c r="C9256" s="1342"/>
      <c r="D9256" s="1342"/>
      <c r="E9256" s="1342"/>
      <c r="F9256" s="1342"/>
      <c r="G9256" s="1342"/>
      <c r="H9256" s="1342"/>
      <c r="I9256" s="1342"/>
      <c r="J9256" s="1342"/>
      <c r="K9256" s="1342"/>
    </row>
    <row r="9257" spans="2:11" ht="14" hidden="1">
      <c r="B9257" s="1342"/>
      <c r="C9257" s="1342"/>
      <c r="D9257" s="1342"/>
      <c r="E9257" s="1342"/>
      <c r="F9257" s="1342"/>
      <c r="G9257" s="1342"/>
      <c r="H9257" s="1342"/>
      <c r="I9257" s="1342"/>
      <c r="J9257" s="1342"/>
      <c r="K9257" s="1342"/>
    </row>
    <row r="9258" spans="2:11" ht="14" hidden="1">
      <c r="B9258" s="1342"/>
      <c r="C9258" s="1342"/>
      <c r="D9258" s="1342"/>
      <c r="E9258" s="1342"/>
      <c r="F9258" s="1342"/>
      <c r="G9258" s="1342"/>
      <c r="H9258" s="1342"/>
      <c r="I9258" s="1342"/>
      <c r="J9258" s="1342"/>
      <c r="K9258" s="1342"/>
    </row>
    <row r="9259" spans="2:11" ht="14" hidden="1">
      <c r="B9259" s="1342"/>
      <c r="C9259" s="1342"/>
      <c r="D9259" s="1342"/>
      <c r="E9259" s="1342"/>
      <c r="F9259" s="1342"/>
      <c r="G9259" s="1342"/>
      <c r="H9259" s="1342"/>
      <c r="I9259" s="1342"/>
      <c r="J9259" s="1342"/>
      <c r="K9259" s="1342"/>
    </row>
    <row r="9260" spans="2:11" ht="14" hidden="1">
      <c r="B9260" s="1342"/>
      <c r="C9260" s="1342"/>
      <c r="D9260" s="1342"/>
      <c r="E9260" s="1342"/>
      <c r="F9260" s="1342"/>
      <c r="G9260" s="1342"/>
      <c r="H9260" s="1342"/>
      <c r="I9260" s="1342"/>
      <c r="J9260" s="1342"/>
      <c r="K9260" s="1342"/>
    </row>
    <row r="9261" spans="2:11" ht="14" hidden="1">
      <c r="B9261" s="1342"/>
      <c r="C9261" s="1342"/>
      <c r="D9261" s="1342"/>
      <c r="E9261" s="1342"/>
      <c r="F9261" s="1342"/>
      <c r="G9261" s="1342"/>
      <c r="H9261" s="1342"/>
      <c r="I9261" s="1342"/>
      <c r="J9261" s="1342"/>
      <c r="K9261" s="1342"/>
    </row>
    <row r="9262" spans="2:11" ht="14" hidden="1">
      <c r="B9262" s="1342"/>
      <c r="C9262" s="1342"/>
      <c r="D9262" s="1342"/>
      <c r="E9262" s="1342"/>
      <c r="F9262" s="1342"/>
      <c r="G9262" s="1342"/>
      <c r="H9262" s="1342"/>
      <c r="I9262" s="1342"/>
      <c r="J9262" s="1342"/>
      <c r="K9262" s="1342"/>
    </row>
    <row r="9263" spans="2:11" ht="14" hidden="1">
      <c r="B9263" s="1342"/>
      <c r="C9263" s="1342"/>
      <c r="D9263" s="1342"/>
      <c r="E9263" s="1342"/>
      <c r="F9263" s="1342"/>
      <c r="G9263" s="1342"/>
      <c r="H9263" s="1342"/>
      <c r="I9263" s="1342"/>
      <c r="J9263" s="1342"/>
      <c r="K9263" s="1342"/>
    </row>
    <row r="9264" spans="2:11" ht="14" hidden="1">
      <c r="B9264" s="1342"/>
      <c r="C9264" s="1342"/>
      <c r="D9264" s="1342"/>
      <c r="E9264" s="1342"/>
      <c r="F9264" s="1342"/>
      <c r="G9264" s="1342"/>
      <c r="H9264" s="1342"/>
      <c r="I9264" s="1342"/>
      <c r="J9264" s="1342"/>
      <c r="K9264" s="1342"/>
    </row>
    <row r="9265" spans="2:11" ht="14" hidden="1">
      <c r="B9265" s="1342"/>
      <c r="C9265" s="1342"/>
      <c r="D9265" s="1342"/>
      <c r="E9265" s="1342"/>
      <c r="F9265" s="1342"/>
      <c r="G9265" s="1342"/>
      <c r="H9265" s="1342"/>
      <c r="I9265" s="1342"/>
      <c r="J9265" s="1342"/>
      <c r="K9265" s="1342"/>
    </row>
    <row r="9266" spans="2:11" ht="14" hidden="1">
      <c r="B9266" s="1342"/>
      <c r="C9266" s="1342"/>
      <c r="D9266" s="1342"/>
      <c r="E9266" s="1342"/>
      <c r="F9266" s="1342"/>
      <c r="G9266" s="1342"/>
      <c r="H9266" s="1342"/>
      <c r="I9266" s="1342"/>
      <c r="J9266" s="1342"/>
      <c r="K9266" s="1342"/>
    </row>
    <row r="9267" spans="2:11" ht="14" hidden="1">
      <c r="B9267" s="1342"/>
      <c r="C9267" s="1342"/>
      <c r="D9267" s="1342"/>
      <c r="E9267" s="1342"/>
      <c r="F9267" s="1342"/>
      <c r="G9267" s="1342"/>
      <c r="H9267" s="1342"/>
      <c r="I9267" s="1342"/>
      <c r="J9267" s="1342"/>
      <c r="K9267" s="1342"/>
    </row>
    <row r="9268" spans="2:11" ht="14" hidden="1">
      <c r="B9268" s="1342"/>
      <c r="C9268" s="1342"/>
      <c r="D9268" s="1342"/>
      <c r="E9268" s="1342"/>
      <c r="F9268" s="1342"/>
      <c r="G9268" s="1342"/>
      <c r="H9268" s="1342"/>
      <c r="I9268" s="1342"/>
      <c r="J9268" s="1342"/>
      <c r="K9268" s="1342"/>
    </row>
    <row r="9269" spans="2:11" ht="14" hidden="1">
      <c r="B9269" s="1342"/>
      <c r="C9269" s="1342"/>
      <c r="D9269" s="1342"/>
      <c r="E9269" s="1342"/>
      <c r="F9269" s="1342"/>
      <c r="G9269" s="1342"/>
      <c r="H9269" s="1342"/>
      <c r="I9269" s="1342"/>
      <c r="J9269" s="1342"/>
      <c r="K9269" s="1342"/>
    </row>
    <row r="9270" spans="2:11" ht="14" hidden="1">
      <c r="B9270" s="1342"/>
      <c r="C9270" s="1342"/>
      <c r="D9270" s="1342"/>
      <c r="E9270" s="1342"/>
      <c r="F9270" s="1342"/>
      <c r="G9270" s="1342"/>
      <c r="H9270" s="1342"/>
      <c r="I9270" s="1342"/>
      <c r="J9270" s="1342"/>
      <c r="K9270" s="1342"/>
    </row>
    <row r="9271" spans="2:11" ht="14" hidden="1">
      <c r="B9271" s="1342"/>
      <c r="C9271" s="1342"/>
      <c r="D9271" s="1342"/>
      <c r="E9271" s="1342"/>
      <c r="F9271" s="1342"/>
      <c r="G9271" s="1342"/>
      <c r="H9271" s="1342"/>
      <c r="I9271" s="1342"/>
      <c r="J9271" s="1342"/>
      <c r="K9271" s="1342"/>
    </row>
    <row r="9272" spans="2:11" ht="14" hidden="1">
      <c r="B9272" s="1342"/>
      <c r="C9272" s="1342"/>
      <c r="D9272" s="1342"/>
      <c r="E9272" s="1342"/>
      <c r="F9272" s="1342"/>
      <c r="G9272" s="1342"/>
      <c r="H9272" s="1342"/>
      <c r="I9272" s="1342"/>
      <c r="J9272" s="1342"/>
      <c r="K9272" s="1342"/>
    </row>
    <row r="9273" spans="2:11" ht="14" hidden="1">
      <c r="B9273" s="1342"/>
      <c r="C9273" s="1342"/>
      <c r="D9273" s="1342"/>
      <c r="E9273" s="1342"/>
      <c r="F9273" s="1342"/>
      <c r="G9273" s="1342"/>
      <c r="H9273" s="1342"/>
      <c r="I9273" s="1342"/>
      <c r="J9273" s="1342"/>
      <c r="K9273" s="1342"/>
    </row>
    <row r="9274" spans="2:11" ht="14" hidden="1">
      <c r="B9274" s="1342"/>
      <c r="C9274" s="1342"/>
      <c r="D9274" s="1342"/>
      <c r="E9274" s="1342"/>
      <c r="F9274" s="1342"/>
      <c r="G9274" s="1342"/>
      <c r="H9274" s="1342"/>
      <c r="I9274" s="1342"/>
      <c r="J9274" s="1342"/>
      <c r="K9274" s="1342"/>
    </row>
    <row r="9275" spans="2:11" ht="14" hidden="1">
      <c r="B9275" s="1342"/>
      <c r="C9275" s="1342"/>
      <c r="D9275" s="1342"/>
      <c r="E9275" s="1342"/>
      <c r="F9275" s="1342"/>
      <c r="G9275" s="1342"/>
      <c r="H9275" s="1342"/>
      <c r="I9275" s="1342"/>
      <c r="J9275" s="1342"/>
      <c r="K9275" s="1342"/>
    </row>
    <row r="9276" spans="2:11" ht="14" hidden="1">
      <c r="B9276" s="1342"/>
      <c r="C9276" s="1342"/>
      <c r="D9276" s="1342"/>
      <c r="E9276" s="1342"/>
      <c r="F9276" s="1342"/>
      <c r="G9276" s="1342"/>
      <c r="H9276" s="1342"/>
      <c r="I9276" s="1342"/>
      <c r="J9276" s="1342"/>
      <c r="K9276" s="1342"/>
    </row>
    <row r="9277" spans="2:11" ht="14" hidden="1">
      <c r="B9277" s="1342"/>
      <c r="C9277" s="1342"/>
      <c r="D9277" s="1342"/>
      <c r="E9277" s="1342"/>
      <c r="F9277" s="1342"/>
      <c r="G9277" s="1342"/>
      <c r="H9277" s="1342"/>
      <c r="I9277" s="1342"/>
      <c r="J9277" s="1342"/>
      <c r="K9277" s="1342"/>
    </row>
    <row r="9278" spans="2:11" ht="14" hidden="1">
      <c r="B9278" s="1342"/>
      <c r="C9278" s="1342"/>
      <c r="D9278" s="1342"/>
      <c r="E9278" s="1342"/>
      <c r="F9278" s="1342"/>
      <c r="G9278" s="1342"/>
      <c r="H9278" s="1342"/>
      <c r="I9278" s="1342"/>
      <c r="J9278" s="1342"/>
      <c r="K9278" s="1342"/>
    </row>
    <row r="9279" spans="2:11" ht="14" hidden="1">
      <c r="B9279" s="1342"/>
      <c r="C9279" s="1342"/>
      <c r="D9279" s="1342"/>
      <c r="E9279" s="1342"/>
      <c r="F9279" s="1342"/>
      <c r="G9279" s="1342"/>
      <c r="H9279" s="1342"/>
      <c r="I9279" s="1342"/>
      <c r="J9279" s="1342"/>
      <c r="K9279" s="1342"/>
    </row>
    <row r="9280" spans="2:11" ht="14" hidden="1">
      <c r="B9280" s="1342"/>
      <c r="C9280" s="1342"/>
      <c r="D9280" s="1342"/>
      <c r="E9280" s="1342"/>
      <c r="F9280" s="1342"/>
      <c r="G9280" s="1342"/>
      <c r="H9280" s="1342"/>
      <c r="I9280" s="1342"/>
      <c r="J9280" s="1342"/>
      <c r="K9280" s="1342"/>
    </row>
    <row r="9281" spans="2:11" ht="14" hidden="1">
      <c r="B9281" s="1342"/>
      <c r="C9281" s="1342"/>
      <c r="D9281" s="1342"/>
      <c r="E9281" s="1342"/>
      <c r="F9281" s="1342"/>
      <c r="G9281" s="1342"/>
      <c r="H9281" s="1342"/>
      <c r="I9281" s="1342"/>
      <c r="J9281" s="1342"/>
      <c r="K9281" s="1342"/>
    </row>
    <row r="9282" spans="2:11" ht="14" hidden="1">
      <c r="B9282" s="1342"/>
      <c r="C9282" s="1342"/>
      <c r="D9282" s="1342"/>
      <c r="E9282" s="1342"/>
      <c r="F9282" s="1342"/>
      <c r="G9282" s="1342"/>
      <c r="H9282" s="1342"/>
      <c r="I9282" s="1342"/>
      <c r="J9282" s="1342"/>
      <c r="K9282" s="1342"/>
    </row>
    <row r="9283" spans="2:11" ht="14" hidden="1">
      <c r="B9283" s="1342"/>
      <c r="C9283" s="1342"/>
      <c r="D9283" s="1342"/>
      <c r="E9283" s="1342"/>
      <c r="F9283" s="1342"/>
      <c r="G9283" s="1342"/>
      <c r="H9283" s="1342"/>
      <c r="I9283" s="1342"/>
      <c r="J9283" s="1342"/>
      <c r="K9283" s="1342"/>
    </row>
    <row r="9284" spans="2:11" ht="14" hidden="1">
      <c r="B9284" s="1342"/>
      <c r="C9284" s="1342"/>
      <c r="D9284" s="1342"/>
      <c r="E9284" s="1342"/>
      <c r="F9284" s="1342"/>
      <c r="G9284" s="1342"/>
      <c r="H9284" s="1342"/>
      <c r="I9284" s="1342"/>
      <c r="J9284" s="1342"/>
      <c r="K9284" s="1342"/>
    </row>
    <row r="9285" spans="2:11" ht="14" hidden="1">
      <c r="B9285" s="1342"/>
      <c r="C9285" s="1342"/>
      <c r="D9285" s="1342"/>
      <c r="E9285" s="1342"/>
      <c r="F9285" s="1342"/>
      <c r="G9285" s="1342"/>
      <c r="H9285" s="1342"/>
      <c r="I9285" s="1342"/>
      <c r="J9285" s="1342"/>
      <c r="K9285" s="1342"/>
    </row>
    <row r="9286" spans="2:11" ht="14" hidden="1">
      <c r="B9286" s="1342"/>
      <c r="C9286" s="1342"/>
      <c r="D9286" s="1342"/>
      <c r="E9286" s="1342"/>
      <c r="F9286" s="1342"/>
      <c r="G9286" s="1342"/>
      <c r="H9286" s="1342"/>
      <c r="I9286" s="1342"/>
      <c r="J9286" s="1342"/>
      <c r="K9286" s="1342"/>
    </row>
    <row r="9287" spans="2:11" ht="14" hidden="1">
      <c r="B9287" s="1342"/>
      <c r="C9287" s="1342"/>
      <c r="D9287" s="1342"/>
      <c r="E9287" s="1342"/>
      <c r="F9287" s="1342"/>
      <c r="G9287" s="1342"/>
      <c r="H9287" s="1342"/>
      <c r="I9287" s="1342"/>
      <c r="J9287" s="1342"/>
      <c r="K9287" s="1342"/>
    </row>
    <row r="9288" spans="2:11" ht="14" hidden="1">
      <c r="B9288" s="1342"/>
      <c r="C9288" s="1342"/>
      <c r="D9288" s="1342"/>
      <c r="E9288" s="1342"/>
      <c r="F9288" s="1342"/>
      <c r="G9288" s="1342"/>
      <c r="H9288" s="1342"/>
      <c r="I9288" s="1342"/>
      <c r="J9288" s="1342"/>
      <c r="K9288" s="1342"/>
    </row>
    <row r="9289" spans="2:11" ht="14" hidden="1">
      <c r="B9289" s="1342"/>
      <c r="C9289" s="1342"/>
      <c r="D9289" s="1342"/>
      <c r="E9289" s="1342"/>
      <c r="F9289" s="1342"/>
      <c r="G9289" s="1342"/>
      <c r="H9289" s="1342"/>
      <c r="I9289" s="1342"/>
      <c r="J9289" s="1342"/>
      <c r="K9289" s="1342"/>
    </row>
    <row r="9290" spans="2:11" ht="14" hidden="1">
      <c r="B9290" s="1342"/>
      <c r="C9290" s="1342"/>
      <c r="D9290" s="1342"/>
      <c r="E9290" s="1342"/>
      <c r="F9290" s="1342"/>
      <c r="G9290" s="1342"/>
      <c r="H9290" s="1342"/>
      <c r="I9290" s="1342"/>
      <c r="J9290" s="1342"/>
      <c r="K9290" s="1342"/>
    </row>
    <row r="9291" spans="2:11" ht="14" hidden="1">
      <c r="B9291" s="1342"/>
      <c r="C9291" s="1342"/>
      <c r="D9291" s="1342"/>
      <c r="E9291" s="1342"/>
      <c r="F9291" s="1342"/>
      <c r="G9291" s="1342"/>
      <c r="H9291" s="1342"/>
      <c r="I9291" s="1342"/>
      <c r="J9291" s="1342"/>
      <c r="K9291" s="1342"/>
    </row>
    <row r="9292" spans="2:11" ht="14" hidden="1">
      <c r="B9292" s="1342"/>
      <c r="C9292" s="1342"/>
      <c r="D9292" s="1342"/>
      <c r="E9292" s="1342"/>
      <c r="F9292" s="1342"/>
      <c r="G9292" s="1342"/>
      <c r="H9292" s="1342"/>
      <c r="I9292" s="1342"/>
      <c r="J9292" s="1342"/>
      <c r="K9292" s="1342"/>
    </row>
    <row r="9293" spans="2:11" ht="14" hidden="1">
      <c r="B9293" s="1342"/>
      <c r="C9293" s="1342"/>
      <c r="D9293" s="1342"/>
      <c r="E9293" s="1342"/>
      <c r="F9293" s="1342"/>
      <c r="G9293" s="1342"/>
      <c r="H9293" s="1342"/>
      <c r="I9293" s="1342"/>
      <c r="J9293" s="1342"/>
      <c r="K9293" s="1342"/>
    </row>
    <row r="9294" spans="2:11" ht="14" hidden="1">
      <c r="B9294" s="1342"/>
      <c r="C9294" s="1342"/>
      <c r="D9294" s="1342"/>
      <c r="E9294" s="1342"/>
      <c r="F9294" s="1342"/>
      <c r="G9294" s="1342"/>
      <c r="H9294" s="1342"/>
      <c r="I9294" s="1342"/>
      <c r="J9294" s="1342"/>
      <c r="K9294" s="1342"/>
    </row>
    <row r="9295" spans="2:11" ht="14" hidden="1">
      <c r="B9295" s="1342"/>
      <c r="C9295" s="1342"/>
      <c r="D9295" s="1342"/>
      <c r="E9295" s="1342"/>
      <c r="F9295" s="1342"/>
      <c r="G9295" s="1342"/>
      <c r="H9295" s="1342"/>
      <c r="I9295" s="1342"/>
      <c r="J9295" s="1342"/>
      <c r="K9295" s="1342"/>
    </row>
    <row r="9296" spans="2:11" ht="14" hidden="1">
      <c r="B9296" s="1342"/>
      <c r="C9296" s="1342"/>
      <c r="D9296" s="1342"/>
      <c r="E9296" s="1342"/>
      <c r="F9296" s="1342"/>
      <c r="G9296" s="1342"/>
      <c r="H9296" s="1342"/>
      <c r="I9296" s="1342"/>
      <c r="J9296" s="1342"/>
      <c r="K9296" s="1342"/>
    </row>
    <row r="9297" spans="2:11" ht="14" hidden="1">
      <c r="B9297" s="1342"/>
      <c r="C9297" s="1342"/>
      <c r="D9297" s="1342"/>
      <c r="E9297" s="1342"/>
      <c r="F9297" s="1342"/>
      <c r="G9297" s="1342"/>
      <c r="H9297" s="1342"/>
      <c r="I9297" s="1342"/>
      <c r="J9297" s="1342"/>
      <c r="K9297" s="1342"/>
    </row>
    <row r="9298" spans="2:11" ht="14" hidden="1">
      <c r="B9298" s="1342"/>
      <c r="C9298" s="1342"/>
      <c r="D9298" s="1342"/>
      <c r="E9298" s="1342"/>
      <c r="F9298" s="1342"/>
      <c r="G9298" s="1342"/>
      <c r="H9298" s="1342"/>
      <c r="I9298" s="1342"/>
      <c r="J9298" s="1342"/>
      <c r="K9298" s="1342"/>
    </row>
    <row r="9299" spans="2:11" ht="14" hidden="1">
      <c r="B9299" s="1342"/>
      <c r="C9299" s="1342"/>
      <c r="D9299" s="1342"/>
      <c r="E9299" s="1342"/>
      <c r="F9299" s="1342"/>
      <c r="G9299" s="1342"/>
      <c r="H9299" s="1342"/>
      <c r="I9299" s="1342"/>
      <c r="J9299" s="1342"/>
      <c r="K9299" s="1342"/>
    </row>
    <row r="9300" spans="2:11" ht="14" hidden="1">
      <c r="B9300" s="1342"/>
      <c r="C9300" s="1342"/>
      <c r="D9300" s="1342"/>
      <c r="E9300" s="1342"/>
      <c r="F9300" s="1342"/>
      <c r="G9300" s="1342"/>
      <c r="H9300" s="1342"/>
      <c r="I9300" s="1342"/>
      <c r="J9300" s="1342"/>
      <c r="K9300" s="1342"/>
    </row>
    <row r="9301" spans="2:11" ht="14" hidden="1">
      <c r="B9301" s="1342"/>
      <c r="C9301" s="1342"/>
      <c r="D9301" s="1342"/>
      <c r="E9301" s="1342"/>
      <c r="F9301" s="1342"/>
      <c r="G9301" s="1342"/>
      <c r="H9301" s="1342"/>
      <c r="I9301" s="1342"/>
      <c r="J9301" s="1342"/>
      <c r="K9301" s="1342"/>
    </row>
    <row r="9302" spans="2:11" ht="14" hidden="1">
      <c r="B9302" s="1342"/>
      <c r="C9302" s="1342"/>
      <c r="D9302" s="1342"/>
      <c r="E9302" s="1342"/>
      <c r="F9302" s="1342"/>
      <c r="G9302" s="1342"/>
      <c r="H9302" s="1342"/>
      <c r="I9302" s="1342"/>
      <c r="J9302" s="1342"/>
      <c r="K9302" s="1342"/>
    </row>
    <row r="9303" spans="2:11" ht="14" hidden="1">
      <c r="B9303" s="1342"/>
      <c r="C9303" s="1342"/>
      <c r="D9303" s="1342"/>
      <c r="E9303" s="1342"/>
      <c r="F9303" s="1342"/>
      <c r="G9303" s="1342"/>
      <c r="H9303" s="1342"/>
      <c r="I9303" s="1342"/>
      <c r="J9303" s="1342"/>
      <c r="K9303" s="1342"/>
    </row>
    <row r="9304" spans="2:11" ht="14" hidden="1">
      <c r="B9304" s="1342"/>
      <c r="C9304" s="1342"/>
      <c r="D9304" s="1342"/>
      <c r="E9304" s="1342"/>
      <c r="F9304" s="1342"/>
      <c r="G9304" s="1342"/>
      <c r="H9304" s="1342"/>
      <c r="I9304" s="1342"/>
      <c r="J9304" s="1342"/>
      <c r="K9304" s="1342"/>
    </row>
    <row r="9305" spans="2:11" ht="14" hidden="1">
      <c r="B9305" s="1342"/>
      <c r="C9305" s="1342"/>
      <c r="D9305" s="1342"/>
      <c r="E9305" s="1342"/>
      <c r="F9305" s="1342"/>
      <c r="G9305" s="1342"/>
      <c r="H9305" s="1342"/>
      <c r="I9305" s="1342"/>
      <c r="J9305" s="1342"/>
      <c r="K9305" s="1342"/>
    </row>
    <row r="9306" spans="2:11" ht="14" hidden="1">
      <c r="B9306" s="1342"/>
      <c r="C9306" s="1342"/>
      <c r="D9306" s="1342"/>
      <c r="E9306" s="1342"/>
      <c r="F9306" s="1342"/>
      <c r="G9306" s="1342"/>
      <c r="H9306" s="1342"/>
      <c r="I9306" s="1342"/>
      <c r="J9306" s="1342"/>
      <c r="K9306" s="1342"/>
    </row>
    <row r="9307" spans="2:11" ht="14" hidden="1">
      <c r="B9307" s="1342"/>
      <c r="C9307" s="1342"/>
      <c r="D9307" s="1342"/>
      <c r="E9307" s="1342"/>
      <c r="F9307" s="1342"/>
      <c r="G9307" s="1342"/>
      <c r="H9307" s="1342"/>
      <c r="I9307" s="1342"/>
      <c r="J9307" s="1342"/>
      <c r="K9307" s="1342"/>
    </row>
    <row r="9308" spans="2:11" ht="14" hidden="1">
      <c r="B9308" s="1342"/>
      <c r="C9308" s="1342"/>
      <c r="D9308" s="1342"/>
      <c r="E9308" s="1342"/>
      <c r="F9308" s="1342"/>
      <c r="G9308" s="1342"/>
      <c r="H9308" s="1342"/>
      <c r="I9308" s="1342"/>
      <c r="J9308" s="1342"/>
      <c r="K9308" s="1342"/>
    </row>
    <row r="9309" spans="2:11" ht="14" hidden="1">
      <c r="B9309" s="1342"/>
      <c r="C9309" s="1342"/>
      <c r="D9309" s="1342"/>
      <c r="E9309" s="1342"/>
      <c r="F9309" s="1342"/>
      <c r="G9309" s="1342"/>
      <c r="H9309" s="1342"/>
      <c r="I9309" s="1342"/>
      <c r="J9309" s="1342"/>
      <c r="K9309" s="1342"/>
    </row>
    <row r="9310" spans="2:11" ht="14" hidden="1">
      <c r="B9310" s="1342"/>
      <c r="C9310" s="1342"/>
      <c r="D9310" s="1342"/>
      <c r="E9310" s="1342"/>
      <c r="F9310" s="1342"/>
      <c r="G9310" s="1342"/>
      <c r="H9310" s="1342"/>
      <c r="I9310" s="1342"/>
      <c r="J9310" s="1342"/>
      <c r="K9310" s="1342"/>
    </row>
    <row r="9311" spans="2:11" ht="14" hidden="1">
      <c r="B9311" s="1342"/>
      <c r="C9311" s="1342"/>
      <c r="D9311" s="1342"/>
      <c r="E9311" s="1342"/>
      <c r="F9311" s="1342"/>
      <c r="G9311" s="1342"/>
      <c r="H9311" s="1342"/>
      <c r="I9311" s="1342"/>
      <c r="J9311" s="1342"/>
      <c r="K9311" s="1342"/>
    </row>
    <row r="9312" spans="2:11" ht="14" hidden="1">
      <c r="B9312" s="1342"/>
      <c r="C9312" s="1342"/>
      <c r="D9312" s="1342"/>
      <c r="E9312" s="1342"/>
      <c r="F9312" s="1342"/>
      <c r="G9312" s="1342"/>
      <c r="H9312" s="1342"/>
      <c r="I9312" s="1342"/>
      <c r="J9312" s="1342"/>
      <c r="K9312" s="1342"/>
    </row>
    <row r="9313" spans="2:11" ht="14" hidden="1">
      <c r="B9313" s="1342"/>
      <c r="C9313" s="1342"/>
      <c r="D9313" s="1342"/>
      <c r="E9313" s="1342"/>
      <c r="F9313" s="1342"/>
      <c r="G9313" s="1342"/>
      <c r="H9313" s="1342"/>
      <c r="I9313" s="1342"/>
      <c r="J9313" s="1342"/>
      <c r="K9313" s="1342"/>
    </row>
    <row r="9314" spans="2:11" ht="14" hidden="1">
      <c r="B9314" s="1342"/>
      <c r="C9314" s="1342"/>
      <c r="D9314" s="1342"/>
      <c r="E9314" s="1342"/>
      <c r="F9314" s="1342"/>
      <c r="G9314" s="1342"/>
      <c r="H9314" s="1342"/>
      <c r="I9314" s="1342"/>
      <c r="J9314" s="1342"/>
      <c r="K9314" s="1342"/>
    </row>
    <row r="9315" spans="2:11" ht="14" hidden="1">
      <c r="B9315" s="1342"/>
      <c r="C9315" s="1342"/>
      <c r="D9315" s="1342"/>
      <c r="E9315" s="1342"/>
      <c r="F9315" s="1342"/>
      <c r="G9315" s="1342"/>
      <c r="H9315" s="1342"/>
      <c r="I9315" s="1342"/>
      <c r="J9315" s="1342"/>
      <c r="K9315" s="1342"/>
    </row>
    <row r="9316" spans="2:11" ht="14" hidden="1">
      <c r="B9316" s="1342"/>
      <c r="C9316" s="1342"/>
      <c r="D9316" s="1342"/>
      <c r="E9316" s="1342"/>
      <c r="F9316" s="1342"/>
      <c r="G9316" s="1342"/>
      <c r="H9316" s="1342"/>
      <c r="I9316" s="1342"/>
      <c r="J9316" s="1342"/>
      <c r="K9316" s="1342"/>
    </row>
    <row r="9317" spans="2:11" ht="14" hidden="1">
      <c r="B9317" s="1342"/>
      <c r="C9317" s="1342"/>
      <c r="D9317" s="1342"/>
      <c r="E9317" s="1342"/>
      <c r="F9317" s="1342"/>
      <c r="G9317" s="1342"/>
      <c r="H9317" s="1342"/>
      <c r="I9317" s="1342"/>
      <c r="J9317" s="1342"/>
      <c r="K9317" s="1342"/>
    </row>
    <row r="9318" spans="2:11" ht="14" hidden="1">
      <c r="B9318" s="1342"/>
      <c r="C9318" s="1342"/>
      <c r="D9318" s="1342"/>
      <c r="E9318" s="1342"/>
      <c r="F9318" s="1342"/>
      <c r="G9318" s="1342"/>
      <c r="H9318" s="1342"/>
      <c r="I9318" s="1342"/>
      <c r="J9318" s="1342"/>
      <c r="K9318" s="1342"/>
    </row>
    <row r="9319" spans="2:11" ht="14" hidden="1">
      <c r="B9319" s="1342"/>
      <c r="C9319" s="1342"/>
      <c r="D9319" s="1342"/>
      <c r="E9319" s="1342"/>
      <c r="F9319" s="1342"/>
      <c r="G9319" s="1342"/>
      <c r="H9319" s="1342"/>
      <c r="I9319" s="1342"/>
      <c r="J9319" s="1342"/>
      <c r="K9319" s="1342"/>
    </row>
    <row r="9320" spans="2:11" ht="14" hidden="1">
      <c r="B9320" s="1342"/>
      <c r="C9320" s="1342"/>
      <c r="D9320" s="1342"/>
      <c r="E9320" s="1342"/>
      <c r="F9320" s="1342"/>
      <c r="G9320" s="1342"/>
      <c r="H9320" s="1342"/>
      <c r="I9320" s="1342"/>
      <c r="J9320" s="1342"/>
      <c r="K9320" s="1342"/>
    </row>
    <row r="9321" spans="2:11" ht="14" hidden="1">
      <c r="B9321" s="1342"/>
      <c r="C9321" s="1342"/>
      <c r="D9321" s="1342"/>
      <c r="E9321" s="1342"/>
      <c r="F9321" s="1342"/>
      <c r="G9321" s="1342"/>
      <c r="H9321" s="1342"/>
      <c r="I9321" s="1342"/>
      <c r="J9321" s="1342"/>
      <c r="K9321" s="1342"/>
    </row>
    <row r="9322" spans="2:11" ht="14" hidden="1">
      <c r="B9322" s="1342"/>
      <c r="C9322" s="1342"/>
      <c r="D9322" s="1342"/>
      <c r="E9322" s="1342"/>
      <c r="F9322" s="1342"/>
      <c r="G9322" s="1342"/>
      <c r="H9322" s="1342"/>
      <c r="I9322" s="1342"/>
      <c r="J9322" s="1342"/>
      <c r="K9322" s="1342"/>
    </row>
    <row r="9323" spans="2:11" ht="14" hidden="1">
      <c r="B9323" s="1342"/>
      <c r="C9323" s="1342"/>
      <c r="D9323" s="1342"/>
      <c r="E9323" s="1342"/>
      <c r="F9323" s="1342"/>
      <c r="G9323" s="1342"/>
      <c r="H9323" s="1342"/>
      <c r="I9323" s="1342"/>
      <c r="J9323" s="1342"/>
      <c r="K9323" s="1342"/>
    </row>
    <row r="9324" spans="2:11" ht="14" hidden="1">
      <c r="B9324" s="1342"/>
      <c r="C9324" s="1342"/>
      <c r="D9324" s="1342"/>
      <c r="E9324" s="1342"/>
      <c r="F9324" s="1342"/>
      <c r="G9324" s="1342"/>
      <c r="H9324" s="1342"/>
      <c r="I9324" s="1342"/>
      <c r="J9324" s="1342"/>
      <c r="K9324" s="1342"/>
    </row>
    <row r="9325" spans="2:11" ht="14" hidden="1">
      <c r="B9325" s="1342"/>
      <c r="C9325" s="1342"/>
      <c r="D9325" s="1342"/>
      <c r="E9325" s="1342"/>
      <c r="F9325" s="1342"/>
      <c r="G9325" s="1342"/>
      <c r="H9325" s="1342"/>
      <c r="I9325" s="1342"/>
      <c r="J9325" s="1342"/>
      <c r="K9325" s="1342"/>
    </row>
    <row r="9326" spans="2:11" ht="14" hidden="1">
      <c r="B9326" s="1342"/>
      <c r="C9326" s="1342"/>
      <c r="D9326" s="1342"/>
      <c r="E9326" s="1342"/>
      <c r="F9326" s="1342"/>
      <c r="G9326" s="1342"/>
      <c r="H9326" s="1342"/>
      <c r="I9326" s="1342"/>
      <c r="J9326" s="1342"/>
      <c r="K9326" s="1342"/>
    </row>
    <row r="9327" spans="2:11" ht="14" hidden="1">
      <c r="B9327" s="1342"/>
      <c r="C9327" s="1342"/>
      <c r="D9327" s="1342"/>
      <c r="E9327" s="1342"/>
      <c r="F9327" s="1342"/>
      <c r="G9327" s="1342"/>
      <c r="H9327" s="1342"/>
      <c r="I9327" s="1342"/>
      <c r="J9327" s="1342"/>
      <c r="K9327" s="1342"/>
    </row>
    <row r="9328" spans="2:11" ht="14" hidden="1">
      <c r="B9328" s="1342"/>
      <c r="C9328" s="1342"/>
      <c r="D9328" s="1342"/>
      <c r="E9328" s="1342"/>
      <c r="F9328" s="1342"/>
      <c r="G9328" s="1342"/>
      <c r="H9328" s="1342"/>
      <c r="I9328" s="1342"/>
      <c r="J9328" s="1342"/>
      <c r="K9328" s="1342"/>
    </row>
    <row r="9329" spans="2:11" ht="14" hidden="1">
      <c r="B9329" s="1342"/>
      <c r="C9329" s="1342"/>
      <c r="D9329" s="1342"/>
      <c r="E9329" s="1342"/>
      <c r="F9329" s="1342"/>
      <c r="G9329" s="1342"/>
      <c r="H9329" s="1342"/>
      <c r="I9329" s="1342"/>
      <c r="J9329" s="1342"/>
      <c r="K9329" s="1342"/>
    </row>
    <row r="9330" spans="2:11" ht="14" hidden="1">
      <c r="B9330" s="1342"/>
      <c r="C9330" s="1342"/>
      <c r="D9330" s="1342"/>
      <c r="E9330" s="1342"/>
      <c r="F9330" s="1342"/>
      <c r="G9330" s="1342"/>
      <c r="H9330" s="1342"/>
      <c r="I9330" s="1342"/>
      <c r="J9330" s="1342"/>
      <c r="K9330" s="1342"/>
    </row>
    <row r="9331" spans="2:11" ht="14" hidden="1">
      <c r="B9331" s="1342"/>
      <c r="C9331" s="1342"/>
      <c r="D9331" s="1342"/>
      <c r="E9331" s="1342"/>
      <c r="F9331" s="1342"/>
      <c r="G9331" s="1342"/>
      <c r="H9331" s="1342"/>
      <c r="I9331" s="1342"/>
      <c r="J9331" s="1342"/>
      <c r="K9331" s="1342"/>
    </row>
    <row r="9332" spans="2:11" ht="14" hidden="1">
      <c r="B9332" s="1342"/>
      <c r="C9332" s="1342"/>
      <c r="D9332" s="1342"/>
      <c r="E9332" s="1342"/>
      <c r="F9332" s="1342"/>
      <c r="G9332" s="1342"/>
      <c r="H9332" s="1342"/>
      <c r="I9332" s="1342"/>
      <c r="J9332" s="1342"/>
      <c r="K9332" s="1342"/>
    </row>
    <row r="9333" spans="2:11" ht="14" hidden="1">
      <c r="B9333" s="1342"/>
      <c r="C9333" s="1342"/>
      <c r="D9333" s="1342"/>
      <c r="E9333" s="1342"/>
      <c r="F9333" s="1342"/>
      <c r="G9333" s="1342"/>
      <c r="H9333" s="1342"/>
      <c r="I9333" s="1342"/>
      <c r="J9333" s="1342"/>
      <c r="K9333" s="1342"/>
    </row>
    <row r="9334" spans="2:11" ht="14" hidden="1">
      <c r="B9334" s="1342"/>
      <c r="C9334" s="1342"/>
      <c r="D9334" s="1342"/>
      <c r="E9334" s="1342"/>
      <c r="F9334" s="1342"/>
      <c r="G9334" s="1342"/>
      <c r="H9334" s="1342"/>
      <c r="I9334" s="1342"/>
      <c r="J9334" s="1342"/>
      <c r="K9334" s="1342"/>
    </row>
    <row r="9335" spans="2:11" ht="14" hidden="1">
      <c r="B9335" s="1342"/>
      <c r="C9335" s="1342"/>
      <c r="D9335" s="1342"/>
      <c r="E9335" s="1342"/>
      <c r="F9335" s="1342"/>
      <c r="G9335" s="1342"/>
      <c r="H9335" s="1342"/>
      <c r="I9335" s="1342"/>
      <c r="J9335" s="1342"/>
      <c r="K9335" s="1342"/>
    </row>
    <row r="9336" spans="2:11" ht="14" hidden="1">
      <c r="B9336" s="1342"/>
      <c r="C9336" s="1342"/>
      <c r="D9336" s="1342"/>
      <c r="E9336" s="1342"/>
      <c r="F9336" s="1342"/>
      <c r="G9336" s="1342"/>
      <c r="H9336" s="1342"/>
      <c r="I9336" s="1342"/>
      <c r="J9336" s="1342"/>
      <c r="K9336" s="1342"/>
    </row>
    <row r="9337" spans="2:11" ht="14" hidden="1">
      <c r="B9337" s="1342"/>
      <c r="C9337" s="1342"/>
      <c r="D9337" s="1342"/>
      <c r="E9337" s="1342"/>
      <c r="F9337" s="1342"/>
      <c r="G9337" s="1342"/>
      <c r="H9337" s="1342"/>
      <c r="I9337" s="1342"/>
      <c r="J9337" s="1342"/>
      <c r="K9337" s="1342"/>
    </row>
    <row r="9338" spans="2:11" ht="14" hidden="1">
      <c r="B9338" s="1342"/>
      <c r="C9338" s="1342"/>
      <c r="D9338" s="1342"/>
      <c r="E9338" s="1342"/>
      <c r="F9338" s="1342"/>
      <c r="G9338" s="1342"/>
      <c r="H9338" s="1342"/>
      <c r="I9338" s="1342"/>
      <c r="J9338" s="1342"/>
      <c r="K9338" s="1342"/>
    </row>
    <row r="9339" spans="2:11" ht="14" hidden="1">
      <c r="B9339" s="1342"/>
      <c r="C9339" s="1342"/>
      <c r="D9339" s="1342"/>
      <c r="E9339" s="1342"/>
      <c r="F9339" s="1342"/>
      <c r="G9339" s="1342"/>
      <c r="H9339" s="1342"/>
      <c r="I9339" s="1342"/>
      <c r="J9339" s="1342"/>
      <c r="K9339" s="1342"/>
    </row>
    <row r="9340" spans="2:11" ht="14" hidden="1">
      <c r="B9340" s="1342"/>
      <c r="C9340" s="1342"/>
      <c r="D9340" s="1342"/>
      <c r="E9340" s="1342"/>
      <c r="F9340" s="1342"/>
      <c r="G9340" s="1342"/>
      <c r="H9340" s="1342"/>
      <c r="I9340" s="1342"/>
      <c r="J9340" s="1342"/>
      <c r="K9340" s="1342"/>
    </row>
    <row r="9341" spans="2:11" ht="14" hidden="1">
      <c r="B9341" s="1342"/>
      <c r="C9341" s="1342"/>
      <c r="D9341" s="1342"/>
      <c r="E9341" s="1342"/>
      <c r="F9341" s="1342"/>
      <c r="G9341" s="1342"/>
      <c r="H9341" s="1342"/>
      <c r="I9341" s="1342"/>
      <c r="J9341" s="1342"/>
      <c r="K9341" s="1342"/>
    </row>
    <row r="9342" spans="2:11" ht="14" hidden="1">
      <c r="B9342" s="1342"/>
      <c r="C9342" s="1342"/>
      <c r="D9342" s="1342"/>
      <c r="E9342" s="1342"/>
      <c r="F9342" s="1342"/>
      <c r="G9342" s="1342"/>
      <c r="H9342" s="1342"/>
      <c r="I9342" s="1342"/>
      <c r="J9342" s="1342"/>
      <c r="K9342" s="1342"/>
    </row>
    <row r="9343" spans="2:11" ht="14" hidden="1">
      <c r="B9343" s="1342"/>
      <c r="C9343" s="1342"/>
      <c r="D9343" s="1342"/>
      <c r="E9343" s="1342"/>
      <c r="F9343" s="1342"/>
      <c r="G9343" s="1342"/>
      <c r="H9343" s="1342"/>
      <c r="I9343" s="1342"/>
      <c r="J9343" s="1342"/>
      <c r="K9343" s="1342"/>
    </row>
    <row r="9344" spans="2:11" ht="14" hidden="1">
      <c r="B9344" s="1342"/>
      <c r="C9344" s="1342"/>
      <c r="D9344" s="1342"/>
      <c r="E9344" s="1342"/>
      <c r="F9344" s="1342"/>
      <c r="G9344" s="1342"/>
      <c r="H9344" s="1342"/>
      <c r="I9344" s="1342"/>
      <c r="J9344" s="1342"/>
      <c r="K9344" s="1342"/>
    </row>
    <row r="9345" spans="2:11" ht="14" hidden="1">
      <c r="B9345" s="1342"/>
      <c r="C9345" s="1342"/>
      <c r="D9345" s="1342"/>
      <c r="E9345" s="1342"/>
      <c r="F9345" s="1342"/>
      <c r="G9345" s="1342"/>
      <c r="H9345" s="1342"/>
      <c r="I9345" s="1342"/>
      <c r="J9345" s="1342"/>
      <c r="K9345" s="1342"/>
    </row>
    <row r="9346" spans="2:11" ht="14" hidden="1">
      <c r="B9346" s="1342"/>
      <c r="C9346" s="1342"/>
      <c r="D9346" s="1342"/>
      <c r="E9346" s="1342"/>
      <c r="F9346" s="1342"/>
      <c r="G9346" s="1342"/>
      <c r="H9346" s="1342"/>
      <c r="I9346" s="1342"/>
      <c r="J9346" s="1342"/>
      <c r="K9346" s="1342"/>
    </row>
    <row r="9347" spans="2:11" ht="14" hidden="1">
      <c r="B9347" s="1342"/>
      <c r="C9347" s="1342"/>
      <c r="D9347" s="1342"/>
      <c r="E9347" s="1342"/>
      <c r="F9347" s="1342"/>
      <c r="G9347" s="1342"/>
      <c r="H9347" s="1342"/>
      <c r="I9347" s="1342"/>
      <c r="J9347" s="1342"/>
      <c r="K9347" s="1342"/>
    </row>
    <row r="9348" spans="2:11" ht="14" hidden="1">
      <c r="B9348" s="1342"/>
      <c r="C9348" s="1342"/>
      <c r="D9348" s="1342"/>
      <c r="E9348" s="1342"/>
      <c r="F9348" s="1342"/>
      <c r="G9348" s="1342"/>
      <c r="H9348" s="1342"/>
      <c r="I9348" s="1342"/>
      <c r="J9348" s="1342"/>
      <c r="K9348" s="1342"/>
    </row>
    <row r="9349" spans="2:11" ht="14" hidden="1">
      <c r="B9349" s="1342"/>
      <c r="C9349" s="1342"/>
      <c r="D9349" s="1342"/>
      <c r="E9349" s="1342"/>
      <c r="F9349" s="1342"/>
      <c r="G9349" s="1342"/>
      <c r="H9349" s="1342"/>
      <c r="I9349" s="1342"/>
      <c r="J9349" s="1342"/>
      <c r="K9349" s="1342"/>
    </row>
    <row r="9350" spans="2:11" ht="14" hidden="1">
      <c r="B9350" s="1342"/>
      <c r="C9350" s="1342"/>
      <c r="D9350" s="1342"/>
      <c r="E9350" s="1342"/>
      <c r="F9350" s="1342"/>
      <c r="G9350" s="1342"/>
      <c r="H9350" s="1342"/>
      <c r="I9350" s="1342"/>
      <c r="J9350" s="1342"/>
      <c r="K9350" s="1342"/>
    </row>
    <row r="9351" spans="2:11" ht="14" hidden="1">
      <c r="B9351" s="1342"/>
      <c r="C9351" s="1342"/>
      <c r="D9351" s="1342"/>
      <c r="E9351" s="1342"/>
      <c r="F9351" s="1342"/>
      <c r="G9351" s="1342"/>
      <c r="H9351" s="1342"/>
      <c r="I9351" s="1342"/>
      <c r="J9351" s="1342"/>
      <c r="K9351" s="1342"/>
    </row>
    <row r="9352" spans="2:11" ht="14" hidden="1">
      <c r="B9352" s="1342"/>
      <c r="C9352" s="1342"/>
      <c r="D9352" s="1342"/>
      <c r="E9352" s="1342"/>
      <c r="F9352" s="1342"/>
      <c r="G9352" s="1342"/>
      <c r="H9352" s="1342"/>
      <c r="I9352" s="1342"/>
      <c r="J9352" s="1342"/>
      <c r="K9352" s="1342"/>
    </row>
    <row r="9353" spans="2:11" ht="14" hidden="1">
      <c r="B9353" s="1342"/>
      <c r="C9353" s="1342"/>
      <c r="D9353" s="1342"/>
      <c r="E9353" s="1342"/>
      <c r="F9353" s="1342"/>
      <c r="G9353" s="1342"/>
      <c r="H9353" s="1342"/>
      <c r="I9353" s="1342"/>
      <c r="J9353" s="1342"/>
      <c r="K9353" s="1342"/>
    </row>
    <row r="9354" spans="2:11" ht="14" hidden="1">
      <c r="B9354" s="1342"/>
      <c r="C9354" s="1342"/>
      <c r="D9354" s="1342"/>
      <c r="E9354" s="1342"/>
      <c r="F9354" s="1342"/>
      <c r="G9354" s="1342"/>
      <c r="H9354" s="1342"/>
      <c r="I9354" s="1342"/>
      <c r="J9354" s="1342"/>
      <c r="K9354" s="1342"/>
    </row>
    <row r="9355" spans="2:11" ht="14" hidden="1">
      <c r="B9355" s="1342"/>
      <c r="C9355" s="1342"/>
      <c r="D9355" s="1342"/>
      <c r="E9355" s="1342"/>
      <c r="F9355" s="1342"/>
      <c r="G9355" s="1342"/>
      <c r="H9355" s="1342"/>
      <c r="I9355" s="1342"/>
      <c r="J9355" s="1342"/>
      <c r="K9355" s="1342"/>
    </row>
    <row r="9356" spans="2:11" ht="14" hidden="1">
      <c r="B9356" s="1342"/>
      <c r="C9356" s="1342"/>
      <c r="D9356" s="1342"/>
      <c r="E9356" s="1342"/>
      <c r="F9356" s="1342"/>
      <c r="G9356" s="1342"/>
      <c r="H9356" s="1342"/>
      <c r="I9356" s="1342"/>
      <c r="J9356" s="1342"/>
      <c r="K9356" s="1342"/>
    </row>
    <row r="9357" spans="2:11" ht="14" hidden="1">
      <c r="B9357" s="1342"/>
      <c r="C9357" s="1342"/>
      <c r="D9357" s="1342"/>
      <c r="E9357" s="1342"/>
      <c r="F9357" s="1342"/>
      <c r="G9357" s="1342"/>
      <c r="H9357" s="1342"/>
      <c r="I9357" s="1342"/>
      <c r="J9357" s="1342"/>
      <c r="K9357" s="1342"/>
    </row>
    <row r="9358" spans="2:11" ht="14" hidden="1">
      <c r="B9358" s="1342"/>
      <c r="C9358" s="1342"/>
      <c r="D9358" s="1342"/>
      <c r="E9358" s="1342"/>
      <c r="F9358" s="1342"/>
      <c r="G9358" s="1342"/>
      <c r="H9358" s="1342"/>
      <c r="I9358" s="1342"/>
      <c r="J9358" s="1342"/>
      <c r="K9358" s="1342"/>
    </row>
    <row r="9359" spans="2:11" ht="14" hidden="1">
      <c r="B9359" s="1342"/>
      <c r="C9359" s="1342"/>
      <c r="D9359" s="1342"/>
      <c r="E9359" s="1342"/>
      <c r="F9359" s="1342"/>
      <c r="G9359" s="1342"/>
      <c r="H9359" s="1342"/>
      <c r="I9359" s="1342"/>
      <c r="J9359" s="1342"/>
      <c r="K9359" s="1342"/>
    </row>
    <row r="9360" spans="2:11" ht="14" hidden="1">
      <c r="B9360" s="1342"/>
      <c r="C9360" s="1342"/>
      <c r="D9360" s="1342"/>
      <c r="E9360" s="1342"/>
      <c r="F9360" s="1342"/>
      <c r="G9360" s="1342"/>
      <c r="H9360" s="1342"/>
      <c r="I9360" s="1342"/>
      <c r="J9360" s="1342"/>
      <c r="K9360" s="1342"/>
    </row>
    <row r="9361" spans="2:11" ht="14" hidden="1">
      <c r="B9361" s="1342"/>
      <c r="C9361" s="1342"/>
      <c r="D9361" s="1342"/>
      <c r="E9361" s="1342"/>
      <c r="F9361" s="1342"/>
      <c r="G9361" s="1342"/>
      <c r="H9361" s="1342"/>
      <c r="I9361" s="1342"/>
      <c r="J9361" s="1342"/>
      <c r="K9361" s="1342"/>
    </row>
    <row r="9362" spans="2:11" ht="14" hidden="1">
      <c r="B9362" s="1342"/>
      <c r="C9362" s="1342"/>
      <c r="D9362" s="1342"/>
      <c r="E9362" s="1342"/>
      <c r="F9362" s="1342"/>
      <c r="G9362" s="1342"/>
      <c r="H9362" s="1342"/>
      <c r="I9362" s="1342"/>
      <c r="J9362" s="1342"/>
      <c r="K9362" s="1342"/>
    </row>
    <row r="9363" spans="2:11" ht="14" hidden="1">
      <c r="B9363" s="1342"/>
      <c r="C9363" s="1342"/>
      <c r="D9363" s="1342"/>
      <c r="E9363" s="1342"/>
      <c r="F9363" s="1342"/>
      <c r="G9363" s="1342"/>
      <c r="H9363" s="1342"/>
      <c r="I9363" s="1342"/>
      <c r="J9363" s="1342"/>
      <c r="K9363" s="1342"/>
    </row>
    <row r="9364" spans="2:11" ht="14" hidden="1">
      <c r="B9364" s="1342"/>
      <c r="C9364" s="1342"/>
      <c r="D9364" s="1342"/>
      <c r="E9364" s="1342"/>
      <c r="F9364" s="1342"/>
      <c r="G9364" s="1342"/>
      <c r="H9364" s="1342"/>
      <c r="I9364" s="1342"/>
      <c r="J9364" s="1342"/>
      <c r="K9364" s="1342"/>
    </row>
    <row r="9365" spans="2:11" ht="14" hidden="1">
      <c r="B9365" s="1342"/>
      <c r="C9365" s="1342"/>
      <c r="D9365" s="1342"/>
      <c r="E9365" s="1342"/>
      <c r="F9365" s="1342"/>
      <c r="G9365" s="1342"/>
      <c r="H9365" s="1342"/>
      <c r="I9365" s="1342"/>
      <c r="J9365" s="1342"/>
      <c r="K9365" s="1342"/>
    </row>
    <row r="9366" spans="2:11" ht="14" hidden="1">
      <c r="B9366" s="1342"/>
      <c r="C9366" s="1342"/>
      <c r="D9366" s="1342"/>
      <c r="E9366" s="1342"/>
      <c r="F9366" s="1342"/>
      <c r="G9366" s="1342"/>
      <c r="H9366" s="1342"/>
      <c r="I9366" s="1342"/>
      <c r="J9366" s="1342"/>
      <c r="K9366" s="1342"/>
    </row>
    <row r="9367" spans="2:11" ht="14" hidden="1">
      <c r="B9367" s="1342"/>
      <c r="C9367" s="1342"/>
      <c r="D9367" s="1342"/>
      <c r="E9367" s="1342"/>
      <c r="F9367" s="1342"/>
      <c r="G9367" s="1342"/>
      <c r="H9367" s="1342"/>
      <c r="I9367" s="1342"/>
      <c r="J9367" s="1342"/>
      <c r="K9367" s="1342"/>
    </row>
    <row r="9368" spans="2:11" ht="14" hidden="1">
      <c r="B9368" s="1342"/>
      <c r="C9368" s="1342"/>
      <c r="D9368" s="1342"/>
      <c r="E9368" s="1342"/>
      <c r="F9368" s="1342"/>
      <c r="G9368" s="1342"/>
      <c r="H9368" s="1342"/>
      <c r="I9368" s="1342"/>
      <c r="J9368" s="1342"/>
      <c r="K9368" s="1342"/>
    </row>
    <row r="9369" spans="2:11" ht="14" hidden="1">
      <c r="B9369" s="1342"/>
      <c r="C9369" s="1342"/>
      <c r="D9369" s="1342"/>
      <c r="E9369" s="1342"/>
      <c r="F9369" s="1342"/>
      <c r="G9369" s="1342"/>
      <c r="H9369" s="1342"/>
      <c r="I9369" s="1342"/>
      <c r="J9369" s="1342"/>
      <c r="K9369" s="1342"/>
    </row>
    <row r="9370" spans="2:11" ht="14" hidden="1">
      <c r="B9370" s="1342"/>
      <c r="C9370" s="1342"/>
      <c r="D9370" s="1342"/>
      <c r="E9370" s="1342"/>
      <c r="F9370" s="1342"/>
      <c r="G9370" s="1342"/>
      <c r="H9370" s="1342"/>
      <c r="I9370" s="1342"/>
      <c r="J9370" s="1342"/>
      <c r="K9370" s="1342"/>
    </row>
    <row r="9371" spans="2:11" ht="14" hidden="1">
      <c r="B9371" s="1342"/>
      <c r="C9371" s="1342"/>
      <c r="D9371" s="1342"/>
      <c r="E9371" s="1342"/>
      <c r="F9371" s="1342"/>
      <c r="G9371" s="1342"/>
      <c r="H9371" s="1342"/>
      <c r="I9371" s="1342"/>
      <c r="J9371" s="1342"/>
      <c r="K9371" s="1342"/>
    </row>
    <row r="9372" spans="2:11" ht="14" hidden="1">
      <c r="B9372" s="1342"/>
      <c r="C9372" s="1342"/>
      <c r="D9372" s="1342"/>
      <c r="E9372" s="1342"/>
      <c r="F9372" s="1342"/>
      <c r="G9372" s="1342"/>
      <c r="H9372" s="1342"/>
      <c r="I9372" s="1342"/>
      <c r="J9372" s="1342"/>
      <c r="K9372" s="1342"/>
    </row>
    <row r="9373" spans="2:11" ht="14" hidden="1">
      <c r="B9373" s="1342"/>
      <c r="C9373" s="1342"/>
      <c r="D9373" s="1342"/>
      <c r="E9373" s="1342"/>
      <c r="F9373" s="1342"/>
      <c r="G9373" s="1342"/>
      <c r="H9373" s="1342"/>
      <c r="I9373" s="1342"/>
      <c r="J9373" s="1342"/>
      <c r="K9373" s="1342"/>
    </row>
    <row r="9374" spans="2:11" ht="14" hidden="1">
      <c r="B9374" s="1342"/>
      <c r="C9374" s="1342"/>
      <c r="D9374" s="1342"/>
      <c r="E9374" s="1342"/>
      <c r="F9374" s="1342"/>
      <c r="G9374" s="1342"/>
      <c r="H9374" s="1342"/>
      <c r="I9374" s="1342"/>
      <c r="J9374" s="1342"/>
      <c r="K9374" s="1342"/>
    </row>
    <row r="9375" spans="2:11" ht="14" hidden="1">
      <c r="B9375" s="1342"/>
      <c r="C9375" s="1342"/>
      <c r="D9375" s="1342"/>
      <c r="E9375" s="1342"/>
      <c r="F9375" s="1342"/>
      <c r="G9375" s="1342"/>
      <c r="H9375" s="1342"/>
      <c r="I9375" s="1342"/>
      <c r="J9375" s="1342"/>
      <c r="K9375" s="1342"/>
    </row>
    <row r="9376" spans="2:11" ht="14" hidden="1">
      <c r="B9376" s="1342"/>
      <c r="C9376" s="1342"/>
      <c r="D9376" s="1342"/>
      <c r="E9376" s="1342"/>
      <c r="F9376" s="1342"/>
      <c r="G9376" s="1342"/>
      <c r="H9376" s="1342"/>
      <c r="I9376" s="1342"/>
      <c r="J9376" s="1342"/>
      <c r="K9376" s="1342"/>
    </row>
    <row r="9377" spans="2:11" ht="14" hidden="1">
      <c r="B9377" s="1342"/>
      <c r="C9377" s="1342"/>
      <c r="D9377" s="1342"/>
      <c r="E9377" s="1342"/>
      <c r="F9377" s="1342"/>
      <c r="G9377" s="1342"/>
      <c r="H9377" s="1342"/>
      <c r="I9377" s="1342"/>
      <c r="J9377" s="1342"/>
      <c r="K9377" s="1342"/>
    </row>
    <row r="9378" spans="2:11" ht="14" hidden="1">
      <c r="B9378" s="1342"/>
      <c r="C9378" s="1342"/>
      <c r="D9378" s="1342"/>
      <c r="E9378" s="1342"/>
      <c r="F9378" s="1342"/>
      <c r="G9378" s="1342"/>
      <c r="H9378" s="1342"/>
      <c r="I9378" s="1342"/>
      <c r="J9378" s="1342"/>
      <c r="K9378" s="1342"/>
    </row>
    <row r="9379" spans="2:11" ht="14" hidden="1">
      <c r="B9379" s="1342"/>
      <c r="C9379" s="1342"/>
      <c r="D9379" s="1342"/>
      <c r="E9379" s="1342"/>
      <c r="F9379" s="1342"/>
      <c r="G9379" s="1342"/>
      <c r="H9379" s="1342"/>
      <c r="I9379" s="1342"/>
      <c r="J9379" s="1342"/>
      <c r="K9379" s="1342"/>
    </row>
    <row r="9380" spans="2:11" ht="14" hidden="1">
      <c r="B9380" s="1342"/>
      <c r="C9380" s="1342"/>
      <c r="D9380" s="1342"/>
      <c r="E9380" s="1342"/>
      <c r="F9380" s="1342"/>
      <c r="G9380" s="1342"/>
      <c r="H9380" s="1342"/>
      <c r="I9380" s="1342"/>
      <c r="J9380" s="1342"/>
      <c r="K9380" s="1342"/>
    </row>
    <row r="9381" spans="2:11" ht="14" hidden="1">
      <c r="B9381" s="1342"/>
      <c r="C9381" s="1342"/>
      <c r="D9381" s="1342"/>
      <c r="E9381" s="1342"/>
      <c r="F9381" s="1342"/>
      <c r="G9381" s="1342"/>
      <c r="H9381" s="1342"/>
      <c r="I9381" s="1342"/>
      <c r="J9381" s="1342"/>
      <c r="K9381" s="1342"/>
    </row>
    <row r="9382" spans="2:11" ht="14" hidden="1">
      <c r="B9382" s="1342"/>
      <c r="C9382" s="1342"/>
      <c r="D9382" s="1342"/>
      <c r="E9382" s="1342"/>
      <c r="F9382" s="1342"/>
      <c r="G9382" s="1342"/>
      <c r="H9382" s="1342"/>
      <c r="I9382" s="1342"/>
      <c r="J9382" s="1342"/>
      <c r="K9382" s="1342"/>
    </row>
    <row r="9383" spans="2:11" ht="14" hidden="1">
      <c r="B9383" s="1342"/>
      <c r="C9383" s="1342"/>
      <c r="D9383" s="1342"/>
      <c r="E9383" s="1342"/>
      <c r="F9383" s="1342"/>
      <c r="G9383" s="1342"/>
      <c r="H9383" s="1342"/>
      <c r="I9383" s="1342"/>
      <c r="J9383" s="1342"/>
      <c r="K9383" s="1342"/>
    </row>
    <row r="9384" spans="2:11" ht="14" hidden="1">
      <c r="B9384" s="1342"/>
      <c r="C9384" s="1342"/>
      <c r="D9384" s="1342"/>
      <c r="E9384" s="1342"/>
      <c r="F9384" s="1342"/>
      <c r="G9384" s="1342"/>
      <c r="H9384" s="1342"/>
      <c r="I9384" s="1342"/>
      <c r="J9384" s="1342"/>
      <c r="K9384" s="1342"/>
    </row>
    <row r="9385" spans="2:11" ht="14" hidden="1">
      <c r="B9385" s="1342"/>
      <c r="C9385" s="1342"/>
      <c r="D9385" s="1342"/>
      <c r="E9385" s="1342"/>
      <c r="F9385" s="1342"/>
      <c r="G9385" s="1342"/>
      <c r="H9385" s="1342"/>
      <c r="I9385" s="1342"/>
      <c r="J9385" s="1342"/>
      <c r="K9385" s="1342"/>
    </row>
    <row r="9386" spans="2:11" ht="14" hidden="1">
      <c r="B9386" s="1342"/>
      <c r="C9386" s="1342"/>
      <c r="D9386" s="1342"/>
      <c r="E9386" s="1342"/>
      <c r="F9386" s="1342"/>
      <c r="G9386" s="1342"/>
      <c r="H9386" s="1342"/>
      <c r="I9386" s="1342"/>
      <c r="J9386" s="1342"/>
      <c r="K9386" s="1342"/>
    </row>
    <row r="9387" spans="2:11" ht="14" hidden="1">
      <c r="B9387" s="1342"/>
      <c r="C9387" s="1342"/>
      <c r="D9387" s="1342"/>
      <c r="E9387" s="1342"/>
      <c r="F9387" s="1342"/>
      <c r="G9387" s="1342"/>
      <c r="H9387" s="1342"/>
      <c r="I9387" s="1342"/>
      <c r="J9387" s="1342"/>
      <c r="K9387" s="1342"/>
    </row>
    <row r="9388" spans="2:11" ht="14" hidden="1">
      <c r="B9388" s="1342"/>
      <c r="C9388" s="1342"/>
      <c r="D9388" s="1342"/>
      <c r="E9388" s="1342"/>
      <c r="F9388" s="1342"/>
      <c r="G9388" s="1342"/>
      <c r="H9388" s="1342"/>
      <c r="I9388" s="1342"/>
      <c r="J9388" s="1342"/>
      <c r="K9388" s="1342"/>
    </row>
    <row r="9389" spans="2:11" ht="14" hidden="1">
      <c r="B9389" s="1342"/>
      <c r="C9389" s="1342"/>
      <c r="D9389" s="1342"/>
      <c r="E9389" s="1342"/>
      <c r="F9389" s="1342"/>
      <c r="G9389" s="1342"/>
      <c r="H9389" s="1342"/>
      <c r="I9389" s="1342"/>
      <c r="J9389" s="1342"/>
      <c r="K9389" s="1342"/>
    </row>
    <row r="9390" spans="2:11" ht="14" hidden="1">
      <c r="B9390" s="1342"/>
      <c r="C9390" s="1342"/>
      <c r="D9390" s="1342"/>
      <c r="E9390" s="1342"/>
      <c r="F9390" s="1342"/>
      <c r="G9390" s="1342"/>
      <c r="H9390" s="1342"/>
      <c r="I9390" s="1342"/>
      <c r="J9390" s="1342"/>
      <c r="K9390" s="1342"/>
    </row>
    <row r="9391" spans="2:11" ht="14" hidden="1">
      <c r="B9391" s="1342"/>
      <c r="C9391" s="1342"/>
      <c r="D9391" s="1342"/>
      <c r="E9391" s="1342"/>
      <c r="F9391" s="1342"/>
      <c r="G9391" s="1342"/>
      <c r="H9391" s="1342"/>
      <c r="I9391" s="1342"/>
      <c r="J9391" s="1342"/>
      <c r="K9391" s="1342"/>
    </row>
    <row r="9392" spans="2:11" ht="14" hidden="1">
      <c r="B9392" s="1342"/>
      <c r="C9392" s="1342"/>
      <c r="D9392" s="1342"/>
      <c r="E9392" s="1342"/>
      <c r="F9392" s="1342"/>
      <c r="G9392" s="1342"/>
      <c r="H9392" s="1342"/>
      <c r="I9392" s="1342"/>
      <c r="J9392" s="1342"/>
      <c r="K9392" s="1342"/>
    </row>
    <row r="9393" spans="2:11" ht="14" hidden="1">
      <c r="B9393" s="1342"/>
      <c r="C9393" s="1342"/>
      <c r="D9393" s="1342"/>
      <c r="E9393" s="1342"/>
      <c r="F9393" s="1342"/>
      <c r="G9393" s="1342"/>
      <c r="H9393" s="1342"/>
      <c r="I9393" s="1342"/>
      <c r="J9393" s="1342"/>
      <c r="K9393" s="1342"/>
    </row>
    <row r="9394" spans="2:11" ht="14" hidden="1">
      <c r="B9394" s="1342"/>
      <c r="C9394" s="1342"/>
      <c r="D9394" s="1342"/>
      <c r="E9394" s="1342"/>
      <c r="F9394" s="1342"/>
      <c r="G9394" s="1342"/>
      <c r="H9394" s="1342"/>
      <c r="I9394" s="1342"/>
      <c r="J9394" s="1342"/>
      <c r="K9394" s="1342"/>
    </row>
    <row r="9395" spans="2:11" ht="14" hidden="1">
      <c r="B9395" s="1342"/>
      <c r="C9395" s="1342"/>
      <c r="D9395" s="1342"/>
      <c r="E9395" s="1342"/>
      <c r="F9395" s="1342"/>
      <c r="G9395" s="1342"/>
      <c r="H9395" s="1342"/>
      <c r="I9395" s="1342"/>
      <c r="J9395" s="1342"/>
      <c r="K9395" s="1342"/>
    </row>
    <row r="9396" spans="2:11" ht="14" hidden="1">
      <c r="B9396" s="1342"/>
      <c r="C9396" s="1342"/>
      <c r="D9396" s="1342"/>
      <c r="E9396" s="1342"/>
      <c r="F9396" s="1342"/>
      <c r="G9396" s="1342"/>
      <c r="H9396" s="1342"/>
      <c r="I9396" s="1342"/>
      <c r="J9396" s="1342"/>
      <c r="K9396" s="1342"/>
    </row>
    <row r="9397" spans="2:11" ht="14" hidden="1">
      <c r="B9397" s="1342"/>
      <c r="C9397" s="1342"/>
      <c r="D9397" s="1342"/>
      <c r="E9397" s="1342"/>
      <c r="F9397" s="1342"/>
      <c r="G9397" s="1342"/>
      <c r="H9397" s="1342"/>
      <c r="I9397" s="1342"/>
      <c r="J9397" s="1342"/>
      <c r="K9397" s="1342"/>
    </row>
    <row r="9398" spans="2:11" ht="14" hidden="1">
      <c r="B9398" s="1342"/>
      <c r="C9398" s="1342"/>
      <c r="D9398" s="1342"/>
      <c r="E9398" s="1342"/>
      <c r="F9398" s="1342"/>
      <c r="G9398" s="1342"/>
      <c r="H9398" s="1342"/>
      <c r="I9398" s="1342"/>
      <c r="J9398" s="1342"/>
      <c r="K9398" s="1342"/>
    </row>
    <row r="9399" spans="2:11" ht="14" hidden="1">
      <c r="B9399" s="1342"/>
      <c r="C9399" s="1342"/>
      <c r="D9399" s="1342"/>
      <c r="E9399" s="1342"/>
      <c r="F9399" s="1342"/>
      <c r="G9399" s="1342"/>
      <c r="H9399" s="1342"/>
      <c r="I9399" s="1342"/>
      <c r="J9399" s="1342"/>
      <c r="K9399" s="1342"/>
    </row>
    <row r="9400" spans="2:11" ht="14" hidden="1">
      <c r="B9400" s="1342"/>
      <c r="C9400" s="1342"/>
      <c r="D9400" s="1342"/>
      <c r="E9400" s="1342"/>
      <c r="F9400" s="1342"/>
      <c r="G9400" s="1342"/>
      <c r="H9400" s="1342"/>
      <c r="I9400" s="1342"/>
      <c r="J9400" s="1342"/>
      <c r="K9400" s="1342"/>
    </row>
    <row r="9401" spans="2:11" ht="14" hidden="1">
      <c r="B9401" s="1342"/>
      <c r="C9401" s="1342"/>
      <c r="D9401" s="1342"/>
      <c r="E9401" s="1342"/>
      <c r="F9401" s="1342"/>
      <c r="G9401" s="1342"/>
      <c r="H9401" s="1342"/>
      <c r="I9401" s="1342"/>
      <c r="J9401" s="1342"/>
      <c r="K9401" s="1342"/>
    </row>
    <row r="9402" spans="2:11" ht="14" hidden="1">
      <c r="B9402" s="1342"/>
      <c r="C9402" s="1342"/>
      <c r="D9402" s="1342"/>
      <c r="E9402" s="1342"/>
      <c r="F9402" s="1342"/>
      <c r="G9402" s="1342"/>
      <c r="H9402" s="1342"/>
      <c r="I9402" s="1342"/>
      <c r="J9402" s="1342"/>
      <c r="K9402" s="1342"/>
    </row>
    <row r="9403" spans="2:11" ht="14" hidden="1">
      <c r="B9403" s="1342"/>
      <c r="C9403" s="1342"/>
      <c r="D9403" s="1342"/>
      <c r="E9403" s="1342"/>
      <c r="F9403" s="1342"/>
      <c r="G9403" s="1342"/>
      <c r="H9403" s="1342"/>
      <c r="I9403" s="1342"/>
      <c r="J9403" s="1342"/>
      <c r="K9403" s="1342"/>
    </row>
    <row r="9404" spans="2:11" ht="14" hidden="1">
      <c r="B9404" s="1342"/>
      <c r="C9404" s="1342"/>
      <c r="D9404" s="1342"/>
      <c r="E9404" s="1342"/>
      <c r="F9404" s="1342"/>
      <c r="G9404" s="1342"/>
      <c r="H9404" s="1342"/>
      <c r="I9404" s="1342"/>
      <c r="J9404" s="1342"/>
      <c r="K9404" s="1342"/>
    </row>
    <row r="9405" spans="2:11" ht="14" hidden="1">
      <c r="B9405" s="1342"/>
      <c r="C9405" s="1342"/>
      <c r="D9405" s="1342"/>
      <c r="E9405" s="1342"/>
      <c r="F9405" s="1342"/>
      <c r="G9405" s="1342"/>
      <c r="H9405" s="1342"/>
      <c r="I9405" s="1342"/>
      <c r="J9405" s="1342"/>
      <c r="K9405" s="1342"/>
    </row>
    <row r="9406" spans="2:11" ht="14" hidden="1">
      <c r="B9406" s="1342"/>
      <c r="C9406" s="1342"/>
      <c r="D9406" s="1342"/>
      <c r="E9406" s="1342"/>
      <c r="F9406" s="1342"/>
      <c r="G9406" s="1342"/>
      <c r="H9406" s="1342"/>
      <c r="I9406" s="1342"/>
      <c r="J9406" s="1342"/>
      <c r="K9406" s="1342"/>
    </row>
    <row r="9407" spans="2:11" ht="14" hidden="1">
      <c r="B9407" s="1342"/>
      <c r="C9407" s="1342"/>
      <c r="D9407" s="1342"/>
      <c r="E9407" s="1342"/>
      <c r="F9407" s="1342"/>
      <c r="G9407" s="1342"/>
      <c r="H9407" s="1342"/>
      <c r="I9407" s="1342"/>
      <c r="J9407" s="1342"/>
      <c r="K9407" s="1342"/>
    </row>
    <row r="9408" spans="2:11" ht="14" hidden="1">
      <c r="B9408" s="1342"/>
      <c r="C9408" s="1342"/>
      <c r="D9408" s="1342"/>
      <c r="E9408" s="1342"/>
      <c r="F9408" s="1342"/>
      <c r="G9408" s="1342"/>
      <c r="H9408" s="1342"/>
      <c r="I9408" s="1342"/>
      <c r="J9408" s="1342"/>
      <c r="K9408" s="1342"/>
    </row>
    <row r="9409" spans="2:11" ht="14" hidden="1">
      <c r="B9409" s="1342"/>
      <c r="C9409" s="1342"/>
      <c r="D9409" s="1342"/>
      <c r="E9409" s="1342"/>
      <c r="F9409" s="1342"/>
      <c r="G9409" s="1342"/>
      <c r="H9409" s="1342"/>
      <c r="I9409" s="1342"/>
      <c r="J9409" s="1342"/>
      <c r="K9409" s="1342"/>
    </row>
    <row r="9410" spans="2:11" ht="14" hidden="1">
      <c r="B9410" s="1342"/>
      <c r="C9410" s="1342"/>
      <c r="D9410" s="1342"/>
      <c r="E9410" s="1342"/>
      <c r="F9410" s="1342"/>
      <c r="G9410" s="1342"/>
      <c r="H9410" s="1342"/>
      <c r="I9410" s="1342"/>
      <c r="J9410" s="1342"/>
      <c r="K9410" s="1342"/>
    </row>
    <row r="9411" spans="2:11" ht="14" hidden="1">
      <c r="B9411" s="1342"/>
      <c r="C9411" s="1342"/>
      <c r="D9411" s="1342"/>
      <c r="E9411" s="1342"/>
      <c r="F9411" s="1342"/>
      <c r="G9411" s="1342"/>
      <c r="H9411" s="1342"/>
      <c r="I9411" s="1342"/>
      <c r="J9411" s="1342"/>
      <c r="K9411" s="1342"/>
    </row>
    <row r="9412" spans="2:11" ht="14" hidden="1">
      <c r="B9412" s="1342"/>
      <c r="C9412" s="1342"/>
      <c r="D9412" s="1342"/>
      <c r="E9412" s="1342"/>
      <c r="F9412" s="1342"/>
      <c r="G9412" s="1342"/>
      <c r="H9412" s="1342"/>
      <c r="I9412" s="1342"/>
      <c r="J9412" s="1342"/>
      <c r="K9412" s="1342"/>
    </row>
    <row r="9413" spans="2:11" ht="14" hidden="1">
      <c r="B9413" s="1342"/>
      <c r="C9413" s="1342"/>
      <c r="D9413" s="1342"/>
      <c r="E9413" s="1342"/>
      <c r="F9413" s="1342"/>
      <c r="G9413" s="1342"/>
      <c r="H9413" s="1342"/>
      <c r="I9413" s="1342"/>
      <c r="J9413" s="1342"/>
      <c r="K9413" s="1342"/>
    </row>
    <row r="9414" spans="2:11" ht="14" hidden="1">
      <c r="B9414" s="1342"/>
      <c r="C9414" s="1342"/>
      <c r="D9414" s="1342"/>
      <c r="E9414" s="1342"/>
      <c r="F9414" s="1342"/>
      <c r="G9414" s="1342"/>
      <c r="H9414" s="1342"/>
      <c r="I9414" s="1342"/>
      <c r="J9414" s="1342"/>
      <c r="K9414" s="1342"/>
    </row>
    <row r="9415" spans="2:11" ht="14" hidden="1">
      <c r="B9415" s="1342"/>
      <c r="C9415" s="1342"/>
      <c r="D9415" s="1342"/>
      <c r="E9415" s="1342"/>
      <c r="F9415" s="1342"/>
      <c r="G9415" s="1342"/>
      <c r="H9415" s="1342"/>
      <c r="I9415" s="1342"/>
      <c r="J9415" s="1342"/>
      <c r="K9415" s="1342"/>
    </row>
    <row r="9416" spans="2:11" ht="14" hidden="1">
      <c r="B9416" s="1342"/>
      <c r="C9416" s="1342"/>
      <c r="D9416" s="1342"/>
      <c r="E9416" s="1342"/>
      <c r="F9416" s="1342"/>
      <c r="G9416" s="1342"/>
      <c r="H9416" s="1342"/>
      <c r="I9416" s="1342"/>
      <c r="J9416" s="1342"/>
      <c r="K9416" s="1342"/>
    </row>
    <row r="9417" spans="2:11" ht="14" hidden="1">
      <c r="B9417" s="1342"/>
      <c r="C9417" s="1342"/>
      <c r="D9417" s="1342"/>
      <c r="E9417" s="1342"/>
      <c r="F9417" s="1342"/>
      <c r="G9417" s="1342"/>
      <c r="H9417" s="1342"/>
      <c r="I9417" s="1342"/>
      <c r="J9417" s="1342"/>
      <c r="K9417" s="1342"/>
    </row>
    <row r="9418" spans="2:11" ht="14" hidden="1">
      <c r="B9418" s="1342"/>
      <c r="C9418" s="1342"/>
      <c r="D9418" s="1342"/>
      <c r="E9418" s="1342"/>
      <c r="F9418" s="1342"/>
      <c r="G9418" s="1342"/>
      <c r="H9418" s="1342"/>
      <c r="I9418" s="1342"/>
      <c r="J9418" s="1342"/>
      <c r="K9418" s="1342"/>
    </row>
    <row r="9419" spans="2:11" ht="14" hidden="1">
      <c r="B9419" s="1342"/>
      <c r="C9419" s="1342"/>
      <c r="D9419" s="1342"/>
      <c r="E9419" s="1342"/>
      <c r="F9419" s="1342"/>
      <c r="G9419" s="1342"/>
      <c r="H9419" s="1342"/>
      <c r="I9419" s="1342"/>
      <c r="J9419" s="1342"/>
      <c r="K9419" s="1342"/>
    </row>
    <row r="9420" spans="2:11" ht="14" hidden="1">
      <c r="B9420" s="1342"/>
      <c r="C9420" s="1342"/>
      <c r="D9420" s="1342"/>
      <c r="E9420" s="1342"/>
      <c r="F9420" s="1342"/>
      <c r="G9420" s="1342"/>
      <c r="H9420" s="1342"/>
      <c r="I9420" s="1342"/>
      <c r="J9420" s="1342"/>
      <c r="K9420" s="1342"/>
    </row>
    <row r="9421" spans="2:11" ht="14" hidden="1">
      <c r="B9421" s="1342"/>
      <c r="C9421" s="1342"/>
      <c r="D9421" s="1342"/>
      <c r="E9421" s="1342"/>
      <c r="F9421" s="1342"/>
      <c r="G9421" s="1342"/>
      <c r="H9421" s="1342"/>
      <c r="I9421" s="1342"/>
      <c r="J9421" s="1342"/>
      <c r="K9421" s="1342"/>
    </row>
    <row r="9422" spans="2:11" ht="14" hidden="1">
      <c r="B9422" s="1342"/>
      <c r="C9422" s="1342"/>
      <c r="D9422" s="1342"/>
      <c r="E9422" s="1342"/>
      <c r="F9422" s="1342"/>
      <c r="G9422" s="1342"/>
      <c r="H9422" s="1342"/>
      <c r="I9422" s="1342"/>
      <c r="J9422" s="1342"/>
      <c r="K9422" s="1342"/>
    </row>
    <row r="9423" spans="2:11" ht="14" hidden="1">
      <c r="B9423" s="1342"/>
      <c r="C9423" s="1342"/>
      <c r="D9423" s="1342"/>
      <c r="E9423" s="1342"/>
      <c r="F9423" s="1342"/>
      <c r="G9423" s="1342"/>
      <c r="H9423" s="1342"/>
      <c r="I9423" s="1342"/>
      <c r="J9423" s="1342"/>
      <c r="K9423" s="1342"/>
    </row>
    <row r="9424" spans="2:11" ht="14" hidden="1">
      <c r="B9424" s="1342"/>
      <c r="C9424" s="1342"/>
      <c r="D9424" s="1342"/>
      <c r="E9424" s="1342"/>
      <c r="F9424" s="1342"/>
      <c r="G9424" s="1342"/>
      <c r="H9424" s="1342"/>
      <c r="I9424" s="1342"/>
      <c r="J9424" s="1342"/>
      <c r="K9424" s="1342"/>
    </row>
    <row r="9425" spans="2:11" ht="14" hidden="1">
      <c r="B9425" s="1342"/>
      <c r="C9425" s="1342"/>
      <c r="D9425" s="1342"/>
      <c r="E9425" s="1342"/>
      <c r="F9425" s="1342"/>
      <c r="G9425" s="1342"/>
      <c r="H9425" s="1342"/>
      <c r="I9425" s="1342"/>
      <c r="J9425" s="1342"/>
      <c r="K9425" s="1342"/>
    </row>
    <row r="9426" spans="2:11" ht="14" hidden="1">
      <c r="B9426" s="1342"/>
      <c r="C9426" s="1342"/>
      <c r="D9426" s="1342"/>
      <c r="E9426" s="1342"/>
      <c r="F9426" s="1342"/>
      <c r="G9426" s="1342"/>
      <c r="H9426" s="1342"/>
      <c r="I9426" s="1342"/>
      <c r="J9426" s="1342"/>
      <c r="K9426" s="1342"/>
    </row>
    <row r="9427" spans="2:11" ht="14" hidden="1">
      <c r="B9427" s="1342"/>
      <c r="C9427" s="1342"/>
      <c r="D9427" s="1342"/>
      <c r="E9427" s="1342"/>
      <c r="F9427" s="1342"/>
      <c r="G9427" s="1342"/>
      <c r="H9427" s="1342"/>
      <c r="I9427" s="1342"/>
      <c r="J9427" s="1342"/>
      <c r="K9427" s="1342"/>
    </row>
    <row r="9428" spans="2:11" ht="14" hidden="1">
      <c r="B9428" s="1342"/>
      <c r="C9428" s="1342"/>
      <c r="D9428" s="1342"/>
      <c r="E9428" s="1342"/>
      <c r="F9428" s="1342"/>
      <c r="G9428" s="1342"/>
      <c r="H9428" s="1342"/>
      <c r="I9428" s="1342"/>
      <c r="J9428" s="1342"/>
      <c r="K9428" s="1342"/>
    </row>
    <row r="9429" spans="2:11" ht="14" hidden="1">
      <c r="B9429" s="1342"/>
      <c r="C9429" s="1342"/>
      <c r="D9429" s="1342"/>
      <c r="E9429" s="1342"/>
      <c r="F9429" s="1342"/>
      <c r="G9429" s="1342"/>
      <c r="H9429" s="1342"/>
      <c r="I9429" s="1342"/>
      <c r="J9429" s="1342"/>
      <c r="K9429" s="1342"/>
    </row>
    <row r="9430" spans="2:11" ht="14" hidden="1">
      <c r="B9430" s="1342"/>
      <c r="C9430" s="1342"/>
      <c r="D9430" s="1342"/>
      <c r="E9430" s="1342"/>
      <c r="F9430" s="1342"/>
      <c r="G9430" s="1342"/>
      <c r="H9430" s="1342"/>
      <c r="I9430" s="1342"/>
      <c r="J9430" s="1342"/>
      <c r="K9430" s="1342"/>
    </row>
    <row r="9431" spans="2:11" ht="14" hidden="1">
      <c r="B9431" s="1342"/>
      <c r="C9431" s="1342"/>
      <c r="D9431" s="1342"/>
      <c r="E9431" s="1342"/>
      <c r="F9431" s="1342"/>
      <c r="G9431" s="1342"/>
      <c r="H9431" s="1342"/>
      <c r="I9431" s="1342"/>
      <c r="J9431" s="1342"/>
      <c r="K9431" s="1342"/>
    </row>
    <row r="9432" spans="2:11" ht="14" hidden="1">
      <c r="B9432" s="1342"/>
      <c r="C9432" s="1342"/>
      <c r="D9432" s="1342"/>
      <c r="E9432" s="1342"/>
      <c r="F9432" s="1342"/>
      <c r="G9432" s="1342"/>
      <c r="H9432" s="1342"/>
      <c r="I9432" s="1342"/>
      <c r="J9432" s="1342"/>
      <c r="K9432" s="1342"/>
    </row>
    <row r="9433" spans="2:11" ht="14" hidden="1">
      <c r="B9433" s="1342"/>
      <c r="C9433" s="1342"/>
      <c r="D9433" s="1342"/>
      <c r="E9433" s="1342"/>
      <c r="F9433" s="1342"/>
      <c r="G9433" s="1342"/>
      <c r="H9433" s="1342"/>
      <c r="I9433" s="1342"/>
      <c r="J9433" s="1342"/>
      <c r="K9433" s="1342"/>
    </row>
    <row r="9434" spans="2:11" ht="14" hidden="1">
      <c r="B9434" s="1342"/>
      <c r="C9434" s="1342"/>
      <c r="D9434" s="1342"/>
      <c r="E9434" s="1342"/>
      <c r="F9434" s="1342"/>
      <c r="G9434" s="1342"/>
      <c r="H9434" s="1342"/>
      <c r="I9434" s="1342"/>
      <c r="J9434" s="1342"/>
      <c r="K9434" s="1342"/>
    </row>
    <row r="9435" spans="2:11" ht="14" hidden="1">
      <c r="B9435" s="1342"/>
      <c r="C9435" s="1342"/>
      <c r="D9435" s="1342"/>
      <c r="E9435" s="1342"/>
      <c r="F9435" s="1342"/>
      <c r="G9435" s="1342"/>
      <c r="H9435" s="1342"/>
      <c r="I9435" s="1342"/>
      <c r="J9435" s="1342"/>
      <c r="K9435" s="1342"/>
    </row>
    <row r="9436" spans="2:11" ht="14" hidden="1">
      <c r="B9436" s="1342"/>
      <c r="C9436" s="1342"/>
      <c r="D9436" s="1342"/>
      <c r="E9436" s="1342"/>
      <c r="F9436" s="1342"/>
      <c r="G9436" s="1342"/>
      <c r="H9436" s="1342"/>
      <c r="I9436" s="1342"/>
      <c r="J9436" s="1342"/>
      <c r="K9436" s="1342"/>
    </row>
    <row r="9437" spans="2:11" ht="14" hidden="1">
      <c r="B9437" s="1342"/>
      <c r="C9437" s="1342"/>
      <c r="D9437" s="1342"/>
      <c r="E9437" s="1342"/>
      <c r="F9437" s="1342"/>
      <c r="G9437" s="1342"/>
      <c r="H9437" s="1342"/>
      <c r="I9437" s="1342"/>
      <c r="J9437" s="1342"/>
      <c r="K9437" s="1342"/>
    </row>
    <row r="9438" spans="2:11" ht="14" hidden="1">
      <c r="B9438" s="1342"/>
      <c r="C9438" s="1342"/>
      <c r="D9438" s="1342"/>
      <c r="E9438" s="1342"/>
      <c r="F9438" s="1342"/>
      <c r="G9438" s="1342"/>
      <c r="H9438" s="1342"/>
      <c r="I9438" s="1342"/>
      <c r="J9438" s="1342"/>
      <c r="K9438" s="1342"/>
    </row>
    <row r="9439" spans="2:11" ht="14" hidden="1">
      <c r="B9439" s="1342"/>
      <c r="C9439" s="1342"/>
      <c r="D9439" s="1342"/>
      <c r="E9439" s="1342"/>
      <c r="F9439" s="1342"/>
      <c r="G9439" s="1342"/>
      <c r="H9439" s="1342"/>
      <c r="I9439" s="1342"/>
      <c r="J9439" s="1342"/>
      <c r="K9439" s="1342"/>
    </row>
    <row r="9440" spans="2:11" ht="14" hidden="1">
      <c r="B9440" s="1342"/>
      <c r="C9440" s="1342"/>
      <c r="D9440" s="1342"/>
      <c r="E9440" s="1342"/>
      <c r="F9440" s="1342"/>
      <c r="G9440" s="1342"/>
      <c r="H9440" s="1342"/>
      <c r="I9440" s="1342"/>
      <c r="J9440" s="1342"/>
      <c r="K9440" s="1342"/>
    </row>
    <row r="9441" spans="2:11" ht="14" hidden="1">
      <c r="B9441" s="1342"/>
      <c r="C9441" s="1342"/>
      <c r="D9441" s="1342"/>
      <c r="E9441" s="1342"/>
      <c r="F9441" s="1342"/>
      <c r="G9441" s="1342"/>
      <c r="H9441" s="1342"/>
      <c r="I9441" s="1342"/>
      <c r="J9441" s="1342"/>
      <c r="K9441" s="1342"/>
    </row>
    <row r="9442" spans="2:11" ht="14" hidden="1">
      <c r="B9442" s="1342"/>
      <c r="C9442" s="1342"/>
      <c r="D9442" s="1342"/>
      <c r="E9442" s="1342"/>
      <c r="F9442" s="1342"/>
      <c r="G9442" s="1342"/>
      <c r="H9442" s="1342"/>
      <c r="I9442" s="1342"/>
      <c r="J9442" s="1342"/>
      <c r="K9442" s="1342"/>
    </row>
    <row r="9443" spans="2:11" ht="14" hidden="1">
      <c r="B9443" s="1342"/>
      <c r="C9443" s="1342"/>
      <c r="D9443" s="1342"/>
      <c r="E9443" s="1342"/>
      <c r="F9443" s="1342"/>
      <c r="G9443" s="1342"/>
      <c r="H9443" s="1342"/>
      <c r="I9443" s="1342"/>
      <c r="J9443" s="1342"/>
      <c r="K9443" s="1342"/>
    </row>
    <row r="9444" spans="2:11" ht="14" hidden="1">
      <c r="B9444" s="1342"/>
      <c r="C9444" s="1342"/>
      <c r="D9444" s="1342"/>
      <c r="E9444" s="1342"/>
      <c r="F9444" s="1342"/>
      <c r="G9444" s="1342"/>
      <c r="H9444" s="1342"/>
      <c r="I9444" s="1342"/>
      <c r="J9444" s="1342"/>
      <c r="K9444" s="1342"/>
    </row>
    <row r="9445" spans="2:11" ht="14" hidden="1">
      <c r="B9445" s="1342"/>
      <c r="C9445" s="1342"/>
      <c r="D9445" s="1342"/>
      <c r="E9445" s="1342"/>
      <c r="F9445" s="1342"/>
      <c r="G9445" s="1342"/>
      <c r="H9445" s="1342"/>
      <c r="I9445" s="1342"/>
      <c r="J9445" s="1342"/>
      <c r="K9445" s="1342"/>
    </row>
    <row r="9446" spans="2:11" ht="14" hidden="1">
      <c r="B9446" s="1342"/>
      <c r="C9446" s="1342"/>
      <c r="D9446" s="1342"/>
      <c r="E9446" s="1342"/>
      <c r="F9446" s="1342"/>
      <c r="G9446" s="1342"/>
      <c r="H9446" s="1342"/>
      <c r="I9446" s="1342"/>
      <c r="J9446" s="1342"/>
      <c r="K9446" s="1342"/>
    </row>
    <row r="9447" spans="2:11" ht="14" hidden="1">
      <c r="B9447" s="1342"/>
      <c r="C9447" s="1342"/>
      <c r="D9447" s="1342"/>
      <c r="E9447" s="1342"/>
      <c r="F9447" s="1342"/>
      <c r="G9447" s="1342"/>
      <c r="H9447" s="1342"/>
      <c r="I9447" s="1342"/>
      <c r="J9447" s="1342"/>
      <c r="K9447" s="1342"/>
    </row>
    <row r="9448" spans="2:11" ht="14" hidden="1">
      <c r="B9448" s="1342"/>
      <c r="C9448" s="1342"/>
      <c r="D9448" s="1342"/>
      <c r="E9448" s="1342"/>
      <c r="F9448" s="1342"/>
      <c r="G9448" s="1342"/>
      <c r="H9448" s="1342"/>
      <c r="I9448" s="1342"/>
      <c r="J9448" s="1342"/>
      <c r="K9448" s="1342"/>
    </row>
    <row r="9449" spans="2:11" ht="14" hidden="1">
      <c r="B9449" s="1342"/>
      <c r="C9449" s="1342"/>
      <c r="D9449" s="1342"/>
      <c r="E9449" s="1342"/>
      <c r="F9449" s="1342"/>
      <c r="G9449" s="1342"/>
      <c r="H9449" s="1342"/>
      <c r="I9449" s="1342"/>
      <c r="J9449" s="1342"/>
      <c r="K9449" s="1342"/>
    </row>
    <row r="9450" spans="2:11" ht="14" hidden="1">
      <c r="B9450" s="1342"/>
      <c r="C9450" s="1342"/>
      <c r="D9450" s="1342"/>
      <c r="E9450" s="1342"/>
      <c r="F9450" s="1342"/>
      <c r="G9450" s="1342"/>
      <c r="H9450" s="1342"/>
      <c r="I9450" s="1342"/>
      <c r="J9450" s="1342"/>
      <c r="K9450" s="1342"/>
    </row>
    <row r="9451" spans="2:11" ht="14" hidden="1">
      <c r="B9451" s="1342"/>
      <c r="C9451" s="1342"/>
      <c r="D9451" s="1342"/>
      <c r="E9451" s="1342"/>
      <c r="F9451" s="1342"/>
      <c r="G9451" s="1342"/>
      <c r="H9451" s="1342"/>
      <c r="I9451" s="1342"/>
      <c r="J9451" s="1342"/>
      <c r="K9451" s="1342"/>
    </row>
    <row r="9452" spans="2:11" ht="14" hidden="1">
      <c r="B9452" s="1342"/>
      <c r="C9452" s="1342"/>
      <c r="D9452" s="1342"/>
      <c r="E9452" s="1342"/>
      <c r="F9452" s="1342"/>
      <c r="G9452" s="1342"/>
      <c r="H9452" s="1342"/>
      <c r="I9452" s="1342"/>
      <c r="J9452" s="1342"/>
      <c r="K9452" s="1342"/>
    </row>
    <row r="9453" spans="2:11" ht="14" hidden="1">
      <c r="B9453" s="1342"/>
      <c r="C9453" s="1342"/>
      <c r="D9453" s="1342"/>
      <c r="E9453" s="1342"/>
      <c r="F9453" s="1342"/>
      <c r="G9453" s="1342"/>
      <c r="H9453" s="1342"/>
      <c r="I9453" s="1342"/>
      <c r="J9453" s="1342"/>
      <c r="K9453" s="1342"/>
    </row>
    <row r="9454" spans="2:11" ht="14" hidden="1">
      <c r="B9454" s="1342"/>
      <c r="C9454" s="1342"/>
      <c r="D9454" s="1342"/>
      <c r="E9454" s="1342"/>
      <c r="F9454" s="1342"/>
      <c r="G9454" s="1342"/>
      <c r="H9454" s="1342"/>
      <c r="I9454" s="1342"/>
      <c r="J9454" s="1342"/>
      <c r="K9454" s="1342"/>
    </row>
    <row r="9455" spans="2:11" ht="14" hidden="1">
      <c r="B9455" s="1342"/>
      <c r="C9455" s="1342"/>
      <c r="D9455" s="1342"/>
      <c r="E9455" s="1342"/>
      <c r="F9455" s="1342"/>
      <c r="G9455" s="1342"/>
      <c r="H9455" s="1342"/>
      <c r="I9455" s="1342"/>
      <c r="J9455" s="1342"/>
      <c r="K9455" s="1342"/>
    </row>
    <row r="9456" spans="2:11" ht="14" hidden="1">
      <c r="B9456" s="1342"/>
      <c r="C9456" s="1342"/>
      <c r="D9456" s="1342"/>
      <c r="E9456" s="1342"/>
      <c r="F9456" s="1342"/>
      <c r="G9456" s="1342"/>
      <c r="H9456" s="1342"/>
      <c r="I9456" s="1342"/>
      <c r="J9456" s="1342"/>
      <c r="K9456" s="1342"/>
    </row>
    <row r="9457" spans="2:11" ht="14" hidden="1">
      <c r="B9457" s="1342"/>
      <c r="C9457" s="1342"/>
      <c r="D9457" s="1342"/>
      <c r="E9457" s="1342"/>
      <c r="F9457" s="1342"/>
      <c r="G9457" s="1342"/>
      <c r="H9457" s="1342"/>
      <c r="I9457" s="1342"/>
      <c r="J9457" s="1342"/>
      <c r="K9457" s="1342"/>
    </row>
    <row r="9458" spans="2:11" ht="14" hidden="1">
      <c r="B9458" s="1342"/>
      <c r="C9458" s="1342"/>
      <c r="D9458" s="1342"/>
      <c r="E9458" s="1342"/>
      <c r="F9458" s="1342"/>
      <c r="G9458" s="1342"/>
      <c r="H9458" s="1342"/>
      <c r="I9458" s="1342"/>
      <c r="J9458" s="1342"/>
      <c r="K9458" s="1342"/>
    </row>
    <row r="9459" spans="2:11" ht="14" hidden="1">
      <c r="B9459" s="1342"/>
      <c r="C9459" s="1342"/>
      <c r="D9459" s="1342"/>
      <c r="E9459" s="1342"/>
      <c r="F9459" s="1342"/>
      <c r="G9459" s="1342"/>
      <c r="H9459" s="1342"/>
      <c r="I9459" s="1342"/>
      <c r="J9459" s="1342"/>
      <c r="K9459" s="1342"/>
    </row>
    <row r="9460" spans="2:11" ht="14" hidden="1">
      <c r="B9460" s="1342"/>
      <c r="C9460" s="1342"/>
      <c r="D9460" s="1342"/>
      <c r="E9460" s="1342"/>
      <c r="F9460" s="1342"/>
      <c r="G9460" s="1342"/>
      <c r="H9460" s="1342"/>
      <c r="I9460" s="1342"/>
      <c r="J9460" s="1342"/>
      <c r="K9460" s="1342"/>
    </row>
    <row r="9461" spans="2:11" ht="14" hidden="1">
      <c r="B9461" s="1342"/>
      <c r="C9461" s="1342"/>
      <c r="D9461" s="1342"/>
      <c r="E9461" s="1342"/>
      <c r="F9461" s="1342"/>
      <c r="G9461" s="1342"/>
      <c r="H9461" s="1342"/>
      <c r="I9461" s="1342"/>
      <c r="J9461" s="1342"/>
      <c r="K9461" s="1342"/>
    </row>
    <row r="9462" spans="2:11" ht="14" hidden="1">
      <c r="B9462" s="1342"/>
      <c r="C9462" s="1342"/>
      <c r="D9462" s="1342"/>
      <c r="E9462" s="1342"/>
      <c r="F9462" s="1342"/>
      <c r="G9462" s="1342"/>
      <c r="H9462" s="1342"/>
      <c r="I9462" s="1342"/>
      <c r="J9462" s="1342"/>
      <c r="K9462" s="1342"/>
    </row>
    <row r="9463" spans="2:11" ht="14" hidden="1">
      <c r="B9463" s="1342"/>
      <c r="C9463" s="1342"/>
      <c r="D9463" s="1342"/>
      <c r="E9463" s="1342"/>
      <c r="F9463" s="1342"/>
      <c r="G9463" s="1342"/>
      <c r="H9463" s="1342"/>
      <c r="I9463" s="1342"/>
      <c r="J9463" s="1342"/>
      <c r="K9463" s="1342"/>
    </row>
    <row r="9464" spans="2:11" ht="14" hidden="1">
      <c r="B9464" s="1342"/>
      <c r="C9464" s="1342"/>
      <c r="D9464" s="1342"/>
      <c r="E9464" s="1342"/>
      <c r="F9464" s="1342"/>
      <c r="G9464" s="1342"/>
      <c r="H9464" s="1342"/>
      <c r="I9464" s="1342"/>
      <c r="J9464" s="1342"/>
      <c r="K9464" s="1342"/>
    </row>
    <row r="9465" spans="2:11" ht="14" hidden="1">
      <c r="B9465" s="1342"/>
      <c r="C9465" s="1342"/>
      <c r="D9465" s="1342"/>
      <c r="E9465" s="1342"/>
      <c r="F9465" s="1342"/>
      <c r="G9465" s="1342"/>
      <c r="H9465" s="1342"/>
      <c r="I9465" s="1342"/>
      <c r="J9465" s="1342"/>
      <c r="K9465" s="1342"/>
    </row>
    <row r="9466" spans="2:11" ht="14" hidden="1">
      <c r="B9466" s="1342"/>
      <c r="C9466" s="1342"/>
      <c r="D9466" s="1342"/>
      <c r="E9466" s="1342"/>
      <c r="F9466" s="1342"/>
      <c r="G9466" s="1342"/>
      <c r="H9466" s="1342"/>
      <c r="I9466" s="1342"/>
      <c r="J9466" s="1342"/>
      <c r="K9466" s="1342"/>
    </row>
    <row r="9467" spans="2:11" ht="14" hidden="1">
      <c r="B9467" s="1342"/>
      <c r="C9467" s="1342"/>
      <c r="D9467" s="1342"/>
      <c r="E9467" s="1342"/>
      <c r="F9467" s="1342"/>
      <c r="G9467" s="1342"/>
      <c r="H9467" s="1342"/>
      <c r="I9467" s="1342"/>
      <c r="J9467" s="1342"/>
      <c r="K9467" s="1342"/>
    </row>
    <row r="9468" spans="2:11" ht="14" hidden="1">
      <c r="B9468" s="1342"/>
      <c r="C9468" s="1342"/>
      <c r="D9468" s="1342"/>
      <c r="E9468" s="1342"/>
      <c r="F9468" s="1342"/>
      <c r="G9468" s="1342"/>
      <c r="H9468" s="1342"/>
      <c r="I9468" s="1342"/>
      <c r="J9468" s="1342"/>
      <c r="K9468" s="1342"/>
    </row>
    <row r="9469" spans="2:11" ht="14" hidden="1">
      <c r="B9469" s="1342"/>
      <c r="C9469" s="1342"/>
      <c r="D9469" s="1342"/>
      <c r="E9469" s="1342"/>
      <c r="F9469" s="1342"/>
      <c r="G9469" s="1342"/>
      <c r="H9469" s="1342"/>
      <c r="I9469" s="1342"/>
      <c r="J9469" s="1342"/>
      <c r="K9469" s="1342"/>
    </row>
    <row r="9470" spans="2:11" ht="14" hidden="1">
      <c r="B9470" s="1342"/>
      <c r="C9470" s="1342"/>
      <c r="D9470" s="1342"/>
      <c r="E9470" s="1342"/>
      <c r="F9470" s="1342"/>
      <c r="G9470" s="1342"/>
      <c r="H9470" s="1342"/>
      <c r="I9470" s="1342"/>
      <c r="J9470" s="1342"/>
      <c r="K9470" s="1342"/>
    </row>
    <row r="9471" spans="2:11" ht="14" hidden="1">
      <c r="B9471" s="1342"/>
      <c r="C9471" s="1342"/>
      <c r="D9471" s="1342"/>
      <c r="E9471" s="1342"/>
      <c r="F9471" s="1342"/>
      <c r="G9471" s="1342"/>
      <c r="H9471" s="1342"/>
      <c r="I9471" s="1342"/>
      <c r="J9471" s="1342"/>
      <c r="K9471" s="1342"/>
    </row>
    <row r="9472" spans="2:11" ht="14" hidden="1">
      <c r="B9472" s="1342"/>
      <c r="C9472" s="1342"/>
      <c r="D9472" s="1342"/>
      <c r="E9472" s="1342"/>
      <c r="F9472" s="1342"/>
      <c r="G9472" s="1342"/>
      <c r="H9472" s="1342"/>
      <c r="I9472" s="1342"/>
      <c r="J9472" s="1342"/>
      <c r="K9472" s="1342"/>
    </row>
    <row r="9473" spans="2:11" ht="14" hidden="1">
      <c r="B9473" s="1342"/>
      <c r="C9473" s="1342"/>
      <c r="D9473" s="1342"/>
      <c r="E9473" s="1342"/>
      <c r="F9473" s="1342"/>
      <c r="G9473" s="1342"/>
      <c r="H9473" s="1342"/>
      <c r="I9473" s="1342"/>
      <c r="J9473" s="1342"/>
      <c r="K9473" s="1342"/>
    </row>
    <row r="9474" spans="2:11" ht="14" hidden="1">
      <c r="B9474" s="1342"/>
      <c r="C9474" s="1342"/>
      <c r="D9474" s="1342"/>
      <c r="E9474" s="1342"/>
      <c r="F9474" s="1342"/>
      <c r="G9474" s="1342"/>
      <c r="H9474" s="1342"/>
      <c r="I9474" s="1342"/>
      <c r="J9474" s="1342"/>
      <c r="K9474" s="1342"/>
    </row>
    <row r="9475" spans="2:11" ht="14" hidden="1">
      <c r="B9475" s="1342"/>
      <c r="C9475" s="1342"/>
      <c r="D9475" s="1342"/>
      <c r="E9475" s="1342"/>
      <c r="F9475" s="1342"/>
      <c r="G9475" s="1342"/>
      <c r="H9475" s="1342"/>
      <c r="I9475" s="1342"/>
      <c r="J9475" s="1342"/>
      <c r="K9475" s="1342"/>
    </row>
    <row r="9476" spans="2:11" ht="14" hidden="1">
      <c r="B9476" s="1342"/>
      <c r="C9476" s="1342"/>
      <c r="D9476" s="1342"/>
      <c r="E9476" s="1342"/>
      <c r="F9476" s="1342"/>
      <c r="G9476" s="1342"/>
      <c r="H9476" s="1342"/>
      <c r="I9476" s="1342"/>
      <c r="J9476" s="1342"/>
      <c r="K9476" s="1342"/>
    </row>
    <row r="9477" spans="2:11" ht="14" hidden="1">
      <c r="B9477" s="1342"/>
      <c r="C9477" s="1342"/>
      <c r="D9477" s="1342"/>
      <c r="E9477" s="1342"/>
      <c r="F9477" s="1342"/>
      <c r="G9477" s="1342"/>
      <c r="H9477" s="1342"/>
      <c r="I9477" s="1342"/>
      <c r="J9477" s="1342"/>
      <c r="K9477" s="1342"/>
    </row>
    <row r="9478" spans="2:11" ht="14" hidden="1">
      <c r="B9478" s="1342"/>
      <c r="C9478" s="1342"/>
      <c r="D9478" s="1342"/>
      <c r="E9478" s="1342"/>
      <c r="F9478" s="1342"/>
      <c r="G9478" s="1342"/>
      <c r="H9478" s="1342"/>
      <c r="I9478" s="1342"/>
      <c r="J9478" s="1342"/>
      <c r="K9478" s="1342"/>
    </row>
    <row r="9479" spans="2:11" ht="14" hidden="1">
      <c r="B9479" s="1342"/>
      <c r="C9479" s="1342"/>
      <c r="D9479" s="1342"/>
      <c r="E9479" s="1342"/>
      <c r="F9479" s="1342"/>
      <c r="G9479" s="1342"/>
      <c r="H9479" s="1342"/>
      <c r="I9479" s="1342"/>
      <c r="J9479" s="1342"/>
      <c r="K9479" s="1342"/>
    </row>
    <row r="9480" spans="2:11" ht="14" hidden="1">
      <c r="B9480" s="1342"/>
      <c r="C9480" s="1342"/>
      <c r="D9480" s="1342"/>
      <c r="E9480" s="1342"/>
      <c r="F9480" s="1342"/>
      <c r="G9480" s="1342"/>
      <c r="H9480" s="1342"/>
      <c r="I9480" s="1342"/>
      <c r="J9480" s="1342"/>
      <c r="K9480" s="1342"/>
    </row>
    <row r="9481" spans="2:11" ht="14" hidden="1">
      <c r="B9481" s="1342"/>
      <c r="C9481" s="1342"/>
      <c r="D9481" s="1342"/>
      <c r="E9481" s="1342"/>
      <c r="F9481" s="1342"/>
      <c r="G9481" s="1342"/>
      <c r="H9481" s="1342"/>
      <c r="I9481" s="1342"/>
      <c r="J9481" s="1342"/>
      <c r="K9481" s="1342"/>
    </row>
    <row r="9482" spans="2:11" ht="14" hidden="1">
      <c r="B9482" s="1342"/>
      <c r="C9482" s="1342"/>
      <c r="D9482" s="1342"/>
      <c r="E9482" s="1342"/>
      <c r="F9482" s="1342"/>
      <c r="G9482" s="1342"/>
      <c r="H9482" s="1342"/>
      <c r="I9482" s="1342"/>
      <c r="J9482" s="1342"/>
      <c r="K9482" s="1342"/>
    </row>
    <row r="9483" spans="2:11" ht="14" hidden="1">
      <c r="B9483" s="1342"/>
      <c r="C9483" s="1342"/>
      <c r="D9483" s="1342"/>
      <c r="E9483" s="1342"/>
      <c r="F9483" s="1342"/>
      <c r="G9483" s="1342"/>
      <c r="H9483" s="1342"/>
      <c r="I9483" s="1342"/>
      <c r="J9483" s="1342"/>
      <c r="K9483" s="1342"/>
    </row>
    <row r="9484" spans="2:11" ht="14" hidden="1">
      <c r="B9484" s="1342"/>
      <c r="C9484" s="1342"/>
      <c r="D9484" s="1342"/>
      <c r="E9484" s="1342"/>
      <c r="F9484" s="1342"/>
      <c r="G9484" s="1342"/>
      <c r="H9484" s="1342"/>
      <c r="I9484" s="1342"/>
      <c r="J9484" s="1342"/>
      <c r="K9484" s="1342"/>
    </row>
    <row r="9485" spans="2:11" ht="14" hidden="1">
      <c r="B9485" s="1342"/>
      <c r="C9485" s="1342"/>
      <c r="D9485" s="1342"/>
      <c r="E9485" s="1342"/>
      <c r="F9485" s="1342"/>
      <c r="G9485" s="1342"/>
      <c r="H9485" s="1342"/>
      <c r="I9485" s="1342"/>
      <c r="J9485" s="1342"/>
      <c r="K9485" s="1342"/>
    </row>
    <row r="9486" spans="2:11" ht="14" hidden="1">
      <c r="B9486" s="1342"/>
      <c r="C9486" s="1342"/>
      <c r="D9486" s="1342"/>
      <c r="E9486" s="1342"/>
      <c r="F9486" s="1342"/>
      <c r="G9486" s="1342"/>
      <c r="H9486" s="1342"/>
      <c r="I9486" s="1342"/>
      <c r="J9486" s="1342"/>
      <c r="K9486" s="1342"/>
    </row>
    <row r="9487" spans="2:11" ht="14" hidden="1">
      <c r="B9487" s="1342"/>
      <c r="C9487" s="1342"/>
      <c r="D9487" s="1342"/>
      <c r="E9487" s="1342"/>
      <c r="F9487" s="1342"/>
      <c r="G9487" s="1342"/>
      <c r="H9487" s="1342"/>
      <c r="I9487" s="1342"/>
      <c r="J9487" s="1342"/>
      <c r="K9487" s="1342"/>
    </row>
    <row r="9488" spans="2:11" ht="14" hidden="1">
      <c r="B9488" s="1342"/>
      <c r="C9488" s="1342"/>
      <c r="D9488" s="1342"/>
      <c r="E9488" s="1342"/>
      <c r="F9488" s="1342"/>
      <c r="G9488" s="1342"/>
      <c r="H9488" s="1342"/>
      <c r="I9488" s="1342"/>
      <c r="J9488" s="1342"/>
      <c r="K9488" s="1342"/>
    </row>
    <row r="9489" spans="2:11" ht="14" hidden="1">
      <c r="B9489" s="1342"/>
      <c r="C9489" s="1342"/>
      <c r="D9489" s="1342"/>
      <c r="E9489" s="1342"/>
      <c r="F9489" s="1342"/>
      <c r="G9489" s="1342"/>
      <c r="H9489" s="1342"/>
      <c r="I9489" s="1342"/>
      <c r="J9489" s="1342"/>
      <c r="K9489" s="1342"/>
    </row>
    <row r="9490" spans="2:11" ht="14" hidden="1">
      <c r="B9490" s="1342"/>
      <c r="C9490" s="1342"/>
      <c r="D9490" s="1342"/>
      <c r="E9490" s="1342"/>
      <c r="F9490" s="1342"/>
      <c r="G9490" s="1342"/>
      <c r="H9490" s="1342"/>
      <c r="I9490" s="1342"/>
      <c r="J9490" s="1342"/>
      <c r="K9490" s="1342"/>
    </row>
    <row r="9491" spans="2:11" ht="14" hidden="1">
      <c r="B9491" s="1342"/>
      <c r="C9491" s="1342"/>
      <c r="D9491" s="1342"/>
      <c r="E9491" s="1342"/>
      <c r="F9491" s="1342"/>
      <c r="G9491" s="1342"/>
      <c r="H9491" s="1342"/>
      <c r="I9491" s="1342"/>
      <c r="J9491" s="1342"/>
      <c r="K9491" s="1342"/>
    </row>
    <row r="9492" spans="2:11" ht="14" hidden="1">
      <c r="B9492" s="1342"/>
      <c r="C9492" s="1342"/>
      <c r="D9492" s="1342"/>
      <c r="E9492" s="1342"/>
      <c r="F9492" s="1342"/>
      <c r="G9492" s="1342"/>
      <c r="H9492" s="1342"/>
      <c r="I9492" s="1342"/>
      <c r="J9492" s="1342"/>
      <c r="K9492" s="1342"/>
    </row>
    <row r="9493" spans="2:11" ht="14" hidden="1">
      <c r="B9493" s="1342"/>
      <c r="C9493" s="1342"/>
      <c r="D9493" s="1342"/>
      <c r="E9493" s="1342"/>
      <c r="F9493" s="1342"/>
      <c r="G9493" s="1342"/>
      <c r="H9493" s="1342"/>
      <c r="I9493" s="1342"/>
      <c r="J9493" s="1342"/>
      <c r="K9493" s="1342"/>
    </row>
    <row r="9494" spans="2:11" ht="14" hidden="1">
      <c r="B9494" s="1342"/>
      <c r="C9494" s="1342"/>
      <c r="D9494" s="1342"/>
      <c r="E9494" s="1342"/>
      <c r="F9494" s="1342"/>
      <c r="G9494" s="1342"/>
      <c r="H9494" s="1342"/>
      <c r="I9494" s="1342"/>
      <c r="J9494" s="1342"/>
      <c r="K9494" s="1342"/>
    </row>
    <row r="9495" spans="2:11" ht="14" hidden="1">
      <c r="B9495" s="1342"/>
      <c r="C9495" s="1342"/>
      <c r="D9495" s="1342"/>
      <c r="E9495" s="1342"/>
      <c r="F9495" s="1342"/>
      <c r="G9495" s="1342"/>
      <c r="H9495" s="1342"/>
      <c r="I9495" s="1342"/>
      <c r="J9495" s="1342"/>
      <c r="K9495" s="1342"/>
    </row>
    <row r="9496" spans="2:11" ht="14" hidden="1">
      <c r="B9496" s="1342"/>
      <c r="C9496" s="1342"/>
      <c r="D9496" s="1342"/>
      <c r="E9496" s="1342"/>
      <c r="F9496" s="1342"/>
      <c r="G9496" s="1342"/>
      <c r="H9496" s="1342"/>
      <c r="I9496" s="1342"/>
      <c r="J9496" s="1342"/>
      <c r="K9496" s="1342"/>
    </row>
    <row r="9497" spans="2:11" ht="14" hidden="1">
      <c r="B9497" s="1342"/>
      <c r="C9497" s="1342"/>
      <c r="D9497" s="1342"/>
      <c r="E9497" s="1342"/>
      <c r="F9497" s="1342"/>
      <c r="G9497" s="1342"/>
      <c r="H9497" s="1342"/>
      <c r="I9497" s="1342"/>
      <c r="J9497" s="1342"/>
      <c r="K9497" s="1342"/>
    </row>
    <row r="9498" spans="2:11" ht="14" hidden="1">
      <c r="B9498" s="1342"/>
      <c r="C9498" s="1342"/>
      <c r="D9498" s="1342"/>
      <c r="E9498" s="1342"/>
      <c r="F9498" s="1342"/>
      <c r="G9498" s="1342"/>
      <c r="H9498" s="1342"/>
      <c r="I9498" s="1342"/>
      <c r="J9498" s="1342"/>
      <c r="K9498" s="1342"/>
    </row>
    <row r="9499" spans="2:11" ht="14" hidden="1">
      <c r="B9499" s="1342"/>
      <c r="C9499" s="1342"/>
      <c r="D9499" s="1342"/>
      <c r="E9499" s="1342"/>
      <c r="F9499" s="1342"/>
      <c r="G9499" s="1342"/>
      <c r="H9499" s="1342"/>
      <c r="I9499" s="1342"/>
      <c r="J9499" s="1342"/>
      <c r="K9499" s="1342"/>
    </row>
    <row r="9500" spans="2:11" ht="14" hidden="1">
      <c r="B9500" s="1342"/>
      <c r="C9500" s="1342"/>
      <c r="D9500" s="1342"/>
      <c r="E9500" s="1342"/>
      <c r="F9500" s="1342"/>
      <c r="G9500" s="1342"/>
      <c r="H9500" s="1342"/>
      <c r="I9500" s="1342"/>
      <c r="J9500" s="1342"/>
      <c r="K9500" s="1342"/>
    </row>
    <row r="9501" spans="2:11" ht="14" hidden="1">
      <c r="B9501" s="1342"/>
      <c r="C9501" s="1342"/>
      <c r="D9501" s="1342"/>
      <c r="E9501" s="1342"/>
      <c r="F9501" s="1342"/>
      <c r="G9501" s="1342"/>
      <c r="H9501" s="1342"/>
      <c r="I9501" s="1342"/>
      <c r="J9501" s="1342"/>
      <c r="K9501" s="1342"/>
    </row>
    <row r="9502" spans="2:11" ht="14" hidden="1">
      <c r="B9502" s="1342"/>
      <c r="C9502" s="1342"/>
      <c r="D9502" s="1342"/>
      <c r="E9502" s="1342"/>
      <c r="F9502" s="1342"/>
      <c r="G9502" s="1342"/>
      <c r="H9502" s="1342"/>
      <c r="I9502" s="1342"/>
      <c r="J9502" s="1342"/>
      <c r="K9502" s="1342"/>
    </row>
    <row r="9503" spans="2:11" ht="14" hidden="1">
      <c r="B9503" s="1342"/>
      <c r="C9503" s="1342"/>
      <c r="D9503" s="1342"/>
      <c r="E9503" s="1342"/>
      <c r="F9503" s="1342"/>
      <c r="G9503" s="1342"/>
      <c r="H9503" s="1342"/>
      <c r="I9503" s="1342"/>
      <c r="J9503" s="1342"/>
      <c r="K9503" s="1342"/>
    </row>
    <row r="9504" spans="2:11" ht="14" hidden="1">
      <c r="B9504" s="1342"/>
      <c r="C9504" s="1342"/>
      <c r="D9504" s="1342"/>
      <c r="E9504" s="1342"/>
      <c r="F9504" s="1342"/>
      <c r="G9504" s="1342"/>
      <c r="H9504" s="1342"/>
      <c r="I9504" s="1342"/>
      <c r="J9504" s="1342"/>
      <c r="K9504" s="1342"/>
    </row>
    <row r="9505" spans="2:11" ht="14" hidden="1">
      <c r="B9505" s="1342"/>
      <c r="C9505" s="1342"/>
      <c r="D9505" s="1342"/>
      <c r="E9505" s="1342"/>
      <c r="F9505" s="1342"/>
      <c r="G9505" s="1342"/>
      <c r="H9505" s="1342"/>
      <c r="I9505" s="1342"/>
      <c r="J9505" s="1342"/>
      <c r="K9505" s="1342"/>
    </row>
    <row r="9506" spans="2:11" ht="14" hidden="1">
      <c r="B9506" s="1342"/>
      <c r="C9506" s="1342"/>
      <c r="D9506" s="1342"/>
      <c r="E9506" s="1342"/>
      <c r="F9506" s="1342"/>
      <c r="G9506" s="1342"/>
      <c r="H9506" s="1342"/>
      <c r="I9506" s="1342"/>
      <c r="J9506" s="1342"/>
      <c r="K9506" s="1342"/>
    </row>
    <row r="9507" spans="2:11" ht="14" hidden="1">
      <c r="B9507" s="1342"/>
      <c r="C9507" s="1342"/>
      <c r="D9507" s="1342"/>
      <c r="E9507" s="1342"/>
      <c r="F9507" s="1342"/>
      <c r="G9507" s="1342"/>
      <c r="H9507" s="1342"/>
      <c r="I9507" s="1342"/>
      <c r="J9507" s="1342"/>
      <c r="K9507" s="1342"/>
    </row>
    <row r="9508" spans="2:11" ht="14" hidden="1">
      <c r="B9508" s="1342"/>
      <c r="C9508" s="1342"/>
      <c r="D9508" s="1342"/>
      <c r="E9508" s="1342"/>
      <c r="F9508" s="1342"/>
      <c r="G9508" s="1342"/>
      <c r="H9508" s="1342"/>
      <c r="I9508" s="1342"/>
      <c r="J9508" s="1342"/>
      <c r="K9508" s="1342"/>
    </row>
    <row r="9509" spans="2:11" ht="14" hidden="1">
      <c r="B9509" s="1342"/>
      <c r="C9509" s="1342"/>
      <c r="D9509" s="1342"/>
      <c r="E9509" s="1342"/>
      <c r="F9509" s="1342"/>
      <c r="G9509" s="1342"/>
      <c r="H9509" s="1342"/>
      <c r="I9509" s="1342"/>
      <c r="J9509" s="1342"/>
      <c r="K9509" s="1342"/>
    </row>
    <row r="9510" spans="2:11" ht="14" hidden="1">
      <c r="B9510" s="1342"/>
      <c r="C9510" s="1342"/>
      <c r="D9510" s="1342"/>
      <c r="E9510" s="1342"/>
      <c r="F9510" s="1342"/>
      <c r="G9510" s="1342"/>
      <c r="H9510" s="1342"/>
      <c r="I9510" s="1342"/>
      <c r="J9510" s="1342"/>
      <c r="K9510" s="1342"/>
    </row>
    <row r="9511" spans="2:11" ht="14" hidden="1">
      <c r="B9511" s="1342"/>
      <c r="C9511" s="1342"/>
      <c r="D9511" s="1342"/>
      <c r="E9511" s="1342"/>
      <c r="F9511" s="1342"/>
      <c r="G9511" s="1342"/>
      <c r="H9511" s="1342"/>
      <c r="I9511" s="1342"/>
      <c r="J9511" s="1342"/>
      <c r="K9511" s="1342"/>
    </row>
    <row r="9512" spans="2:11" ht="14" hidden="1">
      <c r="B9512" s="1342"/>
      <c r="C9512" s="1342"/>
      <c r="D9512" s="1342"/>
      <c r="E9512" s="1342"/>
      <c r="F9512" s="1342"/>
      <c r="G9512" s="1342"/>
      <c r="H9512" s="1342"/>
      <c r="I9512" s="1342"/>
      <c r="J9512" s="1342"/>
      <c r="K9512" s="1342"/>
    </row>
    <row r="9513" spans="2:11" ht="14" hidden="1">
      <c r="B9513" s="1342"/>
      <c r="C9513" s="1342"/>
      <c r="D9513" s="1342"/>
      <c r="E9513" s="1342"/>
      <c r="F9513" s="1342"/>
      <c r="G9513" s="1342"/>
      <c r="H9513" s="1342"/>
      <c r="I9513" s="1342"/>
      <c r="J9513" s="1342"/>
      <c r="K9513" s="1342"/>
    </row>
    <row r="9514" spans="2:11" ht="14" hidden="1">
      <c r="B9514" s="1342"/>
      <c r="C9514" s="1342"/>
      <c r="D9514" s="1342"/>
      <c r="E9514" s="1342"/>
      <c r="F9514" s="1342"/>
      <c r="G9514" s="1342"/>
      <c r="H9514" s="1342"/>
      <c r="I9514" s="1342"/>
      <c r="J9514" s="1342"/>
      <c r="K9514" s="1342"/>
    </row>
    <row r="9515" spans="2:11" ht="14" hidden="1">
      <c r="B9515" s="1342"/>
      <c r="C9515" s="1342"/>
      <c r="D9515" s="1342"/>
      <c r="E9515" s="1342"/>
      <c r="F9515" s="1342"/>
      <c r="G9515" s="1342"/>
      <c r="H9515" s="1342"/>
      <c r="I9515" s="1342"/>
      <c r="J9515" s="1342"/>
      <c r="K9515" s="1342"/>
    </row>
    <row r="9516" spans="2:11" ht="14" hidden="1">
      <c r="B9516" s="1342"/>
      <c r="C9516" s="1342"/>
      <c r="D9516" s="1342"/>
      <c r="E9516" s="1342"/>
      <c r="F9516" s="1342"/>
      <c r="G9516" s="1342"/>
      <c r="H9516" s="1342"/>
      <c r="I9516" s="1342"/>
      <c r="J9516" s="1342"/>
      <c r="K9516" s="1342"/>
    </row>
    <row r="9517" spans="2:11" ht="14" hidden="1">
      <c r="B9517" s="1342"/>
      <c r="C9517" s="1342"/>
      <c r="D9517" s="1342"/>
      <c r="E9517" s="1342"/>
      <c r="F9517" s="1342"/>
      <c r="G9517" s="1342"/>
      <c r="H9517" s="1342"/>
      <c r="I9517" s="1342"/>
      <c r="J9517" s="1342"/>
      <c r="K9517" s="1342"/>
    </row>
    <row r="9518" spans="2:11" ht="14" hidden="1">
      <c r="B9518" s="1342"/>
      <c r="C9518" s="1342"/>
      <c r="D9518" s="1342"/>
      <c r="E9518" s="1342"/>
      <c r="F9518" s="1342"/>
      <c r="G9518" s="1342"/>
      <c r="H9518" s="1342"/>
      <c r="I9518" s="1342"/>
      <c r="J9518" s="1342"/>
      <c r="K9518" s="1342"/>
    </row>
    <row r="9519" spans="2:11" ht="14" hidden="1">
      <c r="B9519" s="1342"/>
      <c r="C9519" s="1342"/>
      <c r="D9519" s="1342"/>
      <c r="E9519" s="1342"/>
      <c r="F9519" s="1342"/>
      <c r="G9519" s="1342"/>
      <c r="H9519" s="1342"/>
      <c r="I9519" s="1342"/>
      <c r="J9519" s="1342"/>
      <c r="K9519" s="1342"/>
    </row>
    <row r="9520" spans="2:11" ht="14" hidden="1">
      <c r="B9520" s="1342"/>
      <c r="C9520" s="1342"/>
      <c r="D9520" s="1342"/>
      <c r="E9520" s="1342"/>
      <c r="F9520" s="1342"/>
      <c r="G9520" s="1342"/>
      <c r="H9520" s="1342"/>
      <c r="I9520" s="1342"/>
      <c r="J9520" s="1342"/>
      <c r="K9520" s="1342"/>
    </row>
    <row r="9521" spans="2:11" ht="14" hidden="1">
      <c r="B9521" s="1342"/>
      <c r="C9521" s="1342"/>
      <c r="D9521" s="1342"/>
      <c r="E9521" s="1342"/>
      <c r="F9521" s="1342"/>
      <c r="G9521" s="1342"/>
      <c r="H9521" s="1342"/>
      <c r="I9521" s="1342"/>
      <c r="J9521" s="1342"/>
      <c r="K9521" s="1342"/>
    </row>
    <row r="9522" spans="2:11" ht="14" hidden="1">
      <c r="B9522" s="1342"/>
      <c r="C9522" s="1342"/>
      <c r="D9522" s="1342"/>
      <c r="E9522" s="1342"/>
      <c r="F9522" s="1342"/>
      <c r="G9522" s="1342"/>
      <c r="H9522" s="1342"/>
      <c r="I9522" s="1342"/>
      <c r="J9522" s="1342"/>
      <c r="K9522" s="1342"/>
    </row>
    <row r="9523" spans="2:11" ht="14" hidden="1">
      <c r="B9523" s="1342"/>
      <c r="C9523" s="1342"/>
      <c r="D9523" s="1342"/>
      <c r="E9523" s="1342"/>
      <c r="F9523" s="1342"/>
      <c r="G9523" s="1342"/>
      <c r="H9523" s="1342"/>
      <c r="I9523" s="1342"/>
      <c r="J9523" s="1342"/>
      <c r="K9523" s="1342"/>
    </row>
    <row r="9524" spans="2:11" ht="14" hidden="1">
      <c r="B9524" s="1342"/>
      <c r="C9524" s="1342"/>
      <c r="D9524" s="1342"/>
      <c r="E9524" s="1342"/>
      <c r="F9524" s="1342"/>
      <c r="G9524" s="1342"/>
      <c r="H9524" s="1342"/>
      <c r="I9524" s="1342"/>
      <c r="J9524" s="1342"/>
      <c r="K9524" s="1342"/>
    </row>
    <row r="9525" spans="2:11" ht="14" hidden="1">
      <c r="B9525" s="1342"/>
      <c r="C9525" s="1342"/>
      <c r="D9525" s="1342"/>
      <c r="E9525" s="1342"/>
      <c r="F9525" s="1342"/>
      <c r="G9525" s="1342"/>
      <c r="H9525" s="1342"/>
      <c r="I9525" s="1342"/>
      <c r="J9525" s="1342"/>
      <c r="K9525" s="1342"/>
    </row>
    <row r="9526" spans="2:11" ht="14" hidden="1">
      <c r="B9526" s="1342"/>
      <c r="C9526" s="1342"/>
      <c r="D9526" s="1342"/>
      <c r="E9526" s="1342"/>
      <c r="F9526" s="1342"/>
      <c r="G9526" s="1342"/>
      <c r="H9526" s="1342"/>
      <c r="I9526" s="1342"/>
      <c r="J9526" s="1342"/>
      <c r="K9526" s="1342"/>
    </row>
    <row r="9527" spans="2:11" ht="14" hidden="1">
      <c r="B9527" s="1342"/>
      <c r="C9527" s="1342"/>
      <c r="D9527" s="1342"/>
      <c r="E9527" s="1342"/>
      <c r="F9527" s="1342"/>
      <c r="G9527" s="1342"/>
      <c r="H9527" s="1342"/>
      <c r="I9527" s="1342"/>
      <c r="J9527" s="1342"/>
      <c r="K9527" s="1342"/>
    </row>
    <row r="9528" spans="2:11" ht="14" hidden="1">
      <c r="B9528" s="1342"/>
      <c r="C9528" s="1342"/>
      <c r="D9528" s="1342"/>
      <c r="E9528" s="1342"/>
      <c r="F9528" s="1342"/>
      <c r="G9528" s="1342"/>
      <c r="H9528" s="1342"/>
      <c r="I9528" s="1342"/>
      <c r="J9528" s="1342"/>
      <c r="K9528" s="1342"/>
    </row>
    <row r="9529" spans="2:11" ht="14" hidden="1">
      <c r="B9529" s="1342"/>
      <c r="C9529" s="1342"/>
      <c r="D9529" s="1342"/>
      <c r="E9529" s="1342"/>
      <c r="F9529" s="1342"/>
      <c r="G9529" s="1342"/>
      <c r="H9529" s="1342"/>
      <c r="I9529" s="1342"/>
      <c r="J9529" s="1342"/>
      <c r="K9529" s="1342"/>
    </row>
    <row r="9530" spans="2:11" ht="14" hidden="1">
      <c r="B9530" s="1342"/>
      <c r="C9530" s="1342"/>
      <c r="D9530" s="1342"/>
      <c r="E9530" s="1342"/>
      <c r="F9530" s="1342"/>
      <c r="G9530" s="1342"/>
      <c r="H9530" s="1342"/>
      <c r="I9530" s="1342"/>
      <c r="J9530" s="1342"/>
      <c r="K9530" s="1342"/>
    </row>
    <row r="9531" spans="2:11" ht="14" hidden="1">
      <c r="B9531" s="1342"/>
      <c r="C9531" s="1342"/>
      <c r="D9531" s="1342"/>
      <c r="E9531" s="1342"/>
      <c r="F9531" s="1342"/>
      <c r="G9531" s="1342"/>
      <c r="H9531" s="1342"/>
      <c r="I9531" s="1342"/>
      <c r="J9531" s="1342"/>
      <c r="K9531" s="1342"/>
    </row>
    <row r="9532" spans="2:11" ht="14" hidden="1">
      <c r="B9532" s="1342"/>
      <c r="C9532" s="1342"/>
      <c r="D9532" s="1342"/>
      <c r="E9532" s="1342"/>
      <c r="F9532" s="1342"/>
      <c r="G9532" s="1342"/>
      <c r="H9532" s="1342"/>
      <c r="I9532" s="1342"/>
      <c r="J9532" s="1342"/>
      <c r="K9532" s="1342"/>
    </row>
    <row r="9533" spans="2:11" ht="14" hidden="1">
      <c r="B9533" s="1342"/>
      <c r="C9533" s="1342"/>
      <c r="D9533" s="1342"/>
      <c r="E9533" s="1342"/>
      <c r="F9533" s="1342"/>
      <c r="G9533" s="1342"/>
      <c r="H9533" s="1342"/>
      <c r="I9533" s="1342"/>
      <c r="J9533" s="1342"/>
      <c r="K9533" s="1342"/>
    </row>
    <row r="9534" spans="2:11" ht="14" hidden="1">
      <c r="B9534" s="1342"/>
      <c r="C9534" s="1342"/>
      <c r="D9534" s="1342"/>
      <c r="E9534" s="1342"/>
      <c r="F9534" s="1342"/>
      <c r="G9534" s="1342"/>
      <c r="H9534" s="1342"/>
      <c r="I9534" s="1342"/>
      <c r="J9534" s="1342"/>
      <c r="K9534" s="1342"/>
    </row>
    <row r="9535" spans="2:11" ht="14" hidden="1">
      <c r="B9535" s="1342"/>
      <c r="C9535" s="1342"/>
      <c r="D9535" s="1342"/>
      <c r="E9535" s="1342"/>
      <c r="F9535" s="1342"/>
      <c r="G9535" s="1342"/>
      <c r="H9535" s="1342"/>
      <c r="I9535" s="1342"/>
      <c r="J9535" s="1342"/>
      <c r="K9535" s="1342"/>
    </row>
    <row r="9536" spans="2:11" ht="14" hidden="1">
      <c r="B9536" s="1342"/>
      <c r="C9536" s="1342"/>
      <c r="D9536" s="1342"/>
      <c r="E9536" s="1342"/>
      <c r="F9536" s="1342"/>
      <c r="G9536" s="1342"/>
      <c r="H9536" s="1342"/>
      <c r="I9536" s="1342"/>
      <c r="J9536" s="1342"/>
      <c r="K9536" s="1342"/>
    </row>
    <row r="9537" spans="2:11" ht="14" hidden="1">
      <c r="B9537" s="1342"/>
      <c r="C9537" s="1342"/>
      <c r="D9537" s="1342"/>
      <c r="E9537" s="1342"/>
      <c r="F9537" s="1342"/>
      <c r="G9537" s="1342"/>
      <c r="H9537" s="1342"/>
      <c r="I9537" s="1342"/>
      <c r="J9537" s="1342"/>
      <c r="K9537" s="1342"/>
    </row>
    <row r="9538" spans="2:11" ht="14" hidden="1">
      <c r="B9538" s="1342"/>
      <c r="C9538" s="1342"/>
      <c r="D9538" s="1342"/>
      <c r="E9538" s="1342"/>
      <c r="F9538" s="1342"/>
      <c r="G9538" s="1342"/>
      <c r="H9538" s="1342"/>
      <c r="I9538" s="1342"/>
      <c r="J9538" s="1342"/>
      <c r="K9538" s="1342"/>
    </row>
    <row r="9539" spans="2:11" ht="14" hidden="1">
      <c r="B9539" s="1342"/>
      <c r="C9539" s="1342"/>
      <c r="D9539" s="1342"/>
      <c r="E9539" s="1342"/>
      <c r="F9539" s="1342"/>
      <c r="G9539" s="1342"/>
      <c r="H9539" s="1342"/>
      <c r="I9539" s="1342"/>
      <c r="J9539" s="1342"/>
      <c r="K9539" s="1342"/>
    </row>
    <row r="9540" spans="2:11" ht="14" hidden="1">
      <c r="B9540" s="1342"/>
      <c r="C9540" s="1342"/>
      <c r="D9540" s="1342"/>
      <c r="E9540" s="1342"/>
      <c r="F9540" s="1342"/>
      <c r="G9540" s="1342"/>
      <c r="H9540" s="1342"/>
      <c r="I9540" s="1342"/>
      <c r="J9540" s="1342"/>
      <c r="K9540" s="1342"/>
    </row>
    <row r="9541" spans="2:11" ht="14" hidden="1">
      <c r="B9541" s="1342"/>
      <c r="C9541" s="1342"/>
      <c r="D9541" s="1342"/>
      <c r="E9541" s="1342"/>
      <c r="F9541" s="1342"/>
      <c r="G9541" s="1342"/>
      <c r="H9541" s="1342"/>
      <c r="I9541" s="1342"/>
      <c r="J9541" s="1342"/>
      <c r="K9541" s="1342"/>
    </row>
    <row r="9542" spans="2:11" ht="14" hidden="1">
      <c r="B9542" s="1342"/>
      <c r="C9542" s="1342"/>
      <c r="D9542" s="1342"/>
      <c r="E9542" s="1342"/>
      <c r="F9542" s="1342"/>
      <c r="G9542" s="1342"/>
      <c r="H9542" s="1342"/>
      <c r="I9542" s="1342"/>
      <c r="J9542" s="1342"/>
      <c r="K9542" s="1342"/>
    </row>
    <row r="9543" spans="2:11" ht="14" hidden="1">
      <c r="B9543" s="1342"/>
      <c r="C9543" s="1342"/>
      <c r="D9543" s="1342"/>
      <c r="E9543" s="1342"/>
      <c r="F9543" s="1342"/>
      <c r="G9543" s="1342"/>
      <c r="H9543" s="1342"/>
      <c r="I9543" s="1342"/>
      <c r="J9543" s="1342"/>
      <c r="K9543" s="1342"/>
    </row>
    <row r="9544" spans="2:11" ht="14" hidden="1">
      <c r="B9544" s="1342"/>
      <c r="C9544" s="1342"/>
      <c r="D9544" s="1342"/>
      <c r="E9544" s="1342"/>
      <c r="F9544" s="1342"/>
      <c r="G9544" s="1342"/>
      <c r="H9544" s="1342"/>
      <c r="I9544" s="1342"/>
      <c r="J9544" s="1342"/>
      <c r="K9544" s="1342"/>
    </row>
    <row r="9545" spans="2:11" ht="14" hidden="1">
      <c r="B9545" s="1342"/>
      <c r="C9545" s="1342"/>
      <c r="D9545" s="1342"/>
      <c r="E9545" s="1342"/>
      <c r="F9545" s="1342"/>
      <c r="G9545" s="1342"/>
      <c r="H9545" s="1342"/>
      <c r="I9545" s="1342"/>
      <c r="J9545" s="1342"/>
      <c r="K9545" s="1342"/>
    </row>
    <row r="9546" spans="2:11" ht="14" hidden="1">
      <c r="B9546" s="1342"/>
      <c r="C9546" s="1342"/>
      <c r="D9546" s="1342"/>
      <c r="E9546" s="1342"/>
      <c r="F9546" s="1342"/>
      <c r="G9546" s="1342"/>
      <c r="H9546" s="1342"/>
      <c r="I9546" s="1342"/>
      <c r="J9546" s="1342"/>
      <c r="K9546" s="1342"/>
    </row>
    <row r="9547" spans="2:11" ht="14" hidden="1">
      <c r="B9547" s="1342"/>
      <c r="C9547" s="1342"/>
      <c r="D9547" s="1342"/>
      <c r="E9547" s="1342"/>
      <c r="F9547" s="1342"/>
      <c r="G9547" s="1342"/>
      <c r="H9547" s="1342"/>
      <c r="I9547" s="1342"/>
      <c r="J9547" s="1342"/>
      <c r="K9547" s="1342"/>
    </row>
    <row r="9548" spans="2:11" ht="14" hidden="1">
      <c r="B9548" s="1342"/>
      <c r="C9548" s="1342"/>
      <c r="D9548" s="1342"/>
      <c r="E9548" s="1342"/>
      <c r="F9548" s="1342"/>
      <c r="G9548" s="1342"/>
      <c r="H9548" s="1342"/>
      <c r="I9548" s="1342"/>
      <c r="J9548" s="1342"/>
      <c r="K9548" s="1342"/>
    </row>
    <row r="9549" spans="2:11" ht="14" hidden="1">
      <c r="B9549" s="1342"/>
      <c r="C9549" s="1342"/>
      <c r="D9549" s="1342"/>
      <c r="E9549" s="1342"/>
      <c r="F9549" s="1342"/>
      <c r="G9549" s="1342"/>
      <c r="H9549" s="1342"/>
      <c r="I9549" s="1342"/>
      <c r="J9549" s="1342"/>
      <c r="K9549" s="1342"/>
    </row>
    <row r="9550" spans="2:11" ht="14" hidden="1">
      <c r="B9550" s="1342"/>
      <c r="C9550" s="1342"/>
      <c r="D9550" s="1342"/>
      <c r="E9550" s="1342"/>
      <c r="F9550" s="1342"/>
      <c r="G9550" s="1342"/>
      <c r="H9550" s="1342"/>
      <c r="I9550" s="1342"/>
      <c r="J9550" s="1342"/>
      <c r="K9550" s="1342"/>
    </row>
    <row r="9551" spans="2:11" ht="14" hidden="1">
      <c r="B9551" s="1342"/>
      <c r="C9551" s="1342"/>
      <c r="D9551" s="1342"/>
      <c r="E9551" s="1342"/>
      <c r="F9551" s="1342"/>
      <c r="G9551" s="1342"/>
      <c r="H9551" s="1342"/>
      <c r="I9551" s="1342"/>
      <c r="J9551" s="1342"/>
      <c r="K9551" s="1342"/>
    </row>
    <row r="9552" spans="2:11" ht="14" hidden="1">
      <c r="B9552" s="1342"/>
      <c r="C9552" s="1342"/>
      <c r="D9552" s="1342"/>
      <c r="E9552" s="1342"/>
      <c r="F9552" s="1342"/>
      <c r="G9552" s="1342"/>
      <c r="H9552" s="1342"/>
      <c r="I9552" s="1342"/>
      <c r="J9552" s="1342"/>
      <c r="K9552" s="1342"/>
    </row>
    <row r="9553" spans="2:11" ht="14" hidden="1">
      <c r="B9553" s="1342"/>
      <c r="C9553" s="1342"/>
      <c r="D9553" s="1342"/>
      <c r="E9553" s="1342"/>
      <c r="F9553" s="1342"/>
      <c r="G9553" s="1342"/>
      <c r="H9553" s="1342"/>
      <c r="I9553" s="1342"/>
      <c r="J9553" s="1342"/>
      <c r="K9553" s="1342"/>
    </row>
    <row r="9554" spans="2:11" ht="14" hidden="1">
      <c r="B9554" s="1342"/>
      <c r="C9554" s="1342"/>
      <c r="D9554" s="1342"/>
      <c r="E9554" s="1342"/>
      <c r="F9554" s="1342"/>
      <c r="G9554" s="1342"/>
      <c r="H9554" s="1342"/>
      <c r="I9554" s="1342"/>
      <c r="J9554" s="1342"/>
      <c r="K9554" s="1342"/>
    </row>
    <row r="9555" spans="2:11" ht="14" hidden="1">
      <c r="B9555" s="1342"/>
      <c r="C9555" s="1342"/>
      <c r="D9555" s="1342"/>
      <c r="E9555" s="1342"/>
      <c r="F9555" s="1342"/>
      <c r="G9555" s="1342"/>
      <c r="H9555" s="1342"/>
      <c r="I9555" s="1342"/>
      <c r="J9555" s="1342"/>
      <c r="K9555" s="1342"/>
    </row>
    <row r="9556" spans="2:11" ht="14" hidden="1">
      <c r="B9556" s="1342"/>
      <c r="C9556" s="1342"/>
      <c r="D9556" s="1342"/>
      <c r="E9556" s="1342"/>
      <c r="F9556" s="1342"/>
      <c r="G9556" s="1342"/>
      <c r="H9556" s="1342"/>
      <c r="I9556" s="1342"/>
      <c r="J9556" s="1342"/>
      <c r="K9556" s="1342"/>
    </row>
    <row r="9557" spans="2:11" ht="14" hidden="1">
      <c r="B9557" s="1342"/>
      <c r="C9557" s="1342"/>
      <c r="D9557" s="1342"/>
      <c r="E9557" s="1342"/>
      <c r="F9557" s="1342"/>
      <c r="G9557" s="1342"/>
      <c r="H9557" s="1342"/>
      <c r="I9557" s="1342"/>
      <c r="J9557" s="1342"/>
      <c r="K9557" s="1342"/>
    </row>
    <row r="9558" spans="2:11" ht="14" hidden="1">
      <c r="B9558" s="1342"/>
      <c r="C9558" s="1342"/>
      <c r="D9558" s="1342"/>
      <c r="E9558" s="1342"/>
      <c r="F9558" s="1342"/>
      <c r="G9558" s="1342"/>
      <c r="H9558" s="1342"/>
      <c r="I9558" s="1342"/>
      <c r="J9558" s="1342"/>
      <c r="K9558" s="1342"/>
    </row>
    <row r="9559" spans="2:11" ht="14" hidden="1">
      <c r="B9559" s="1342"/>
      <c r="C9559" s="1342"/>
      <c r="D9559" s="1342"/>
      <c r="E9559" s="1342"/>
      <c r="F9559" s="1342"/>
      <c r="G9559" s="1342"/>
      <c r="H9559" s="1342"/>
      <c r="I9559" s="1342"/>
      <c r="J9559" s="1342"/>
      <c r="K9559" s="1342"/>
    </row>
    <row r="9560" spans="2:11" ht="14" hidden="1">
      <c r="B9560" s="1342"/>
      <c r="C9560" s="1342"/>
      <c r="D9560" s="1342"/>
      <c r="E9560" s="1342"/>
      <c r="F9560" s="1342"/>
      <c r="G9560" s="1342"/>
      <c r="H9560" s="1342"/>
      <c r="I9560" s="1342"/>
      <c r="J9560" s="1342"/>
      <c r="K9560" s="1342"/>
    </row>
    <row r="9561" spans="2:11" ht="14" hidden="1">
      <c r="B9561" s="1342"/>
      <c r="C9561" s="1342"/>
      <c r="D9561" s="1342"/>
      <c r="E9561" s="1342"/>
      <c r="F9561" s="1342"/>
      <c r="G9561" s="1342"/>
      <c r="H9561" s="1342"/>
      <c r="I9561" s="1342"/>
      <c r="J9561" s="1342"/>
      <c r="K9561" s="1342"/>
    </row>
    <row r="9562" spans="2:11" ht="14" hidden="1">
      <c r="B9562" s="1342"/>
      <c r="C9562" s="1342"/>
      <c r="D9562" s="1342"/>
      <c r="E9562" s="1342"/>
      <c r="F9562" s="1342"/>
      <c r="G9562" s="1342"/>
      <c r="H9562" s="1342"/>
      <c r="I9562" s="1342"/>
      <c r="J9562" s="1342"/>
      <c r="K9562" s="1342"/>
    </row>
    <row r="9563" spans="2:11" ht="14" hidden="1">
      <c r="B9563" s="1342"/>
      <c r="C9563" s="1342"/>
      <c r="D9563" s="1342"/>
      <c r="E9563" s="1342"/>
      <c r="F9563" s="1342"/>
      <c r="G9563" s="1342"/>
      <c r="H9563" s="1342"/>
      <c r="I9563" s="1342"/>
      <c r="J9563" s="1342"/>
      <c r="K9563" s="1342"/>
    </row>
    <row r="9564" spans="2:11" ht="14" hidden="1">
      <c r="B9564" s="1342"/>
      <c r="C9564" s="1342"/>
      <c r="D9564" s="1342"/>
      <c r="E9564" s="1342"/>
      <c r="F9564" s="1342"/>
      <c r="G9564" s="1342"/>
      <c r="H9564" s="1342"/>
      <c r="I9564" s="1342"/>
      <c r="J9564" s="1342"/>
      <c r="K9564" s="1342"/>
    </row>
    <row r="9565" spans="2:11" ht="14" hidden="1">
      <c r="B9565" s="1342"/>
      <c r="C9565" s="1342"/>
      <c r="D9565" s="1342"/>
      <c r="E9565" s="1342"/>
      <c r="F9565" s="1342"/>
      <c r="G9565" s="1342"/>
      <c r="H9565" s="1342"/>
      <c r="I9565" s="1342"/>
      <c r="J9565" s="1342"/>
      <c r="K9565" s="1342"/>
    </row>
    <row r="9566" spans="2:11" ht="14" hidden="1">
      <c r="B9566" s="1342"/>
      <c r="C9566" s="1342"/>
      <c r="D9566" s="1342"/>
      <c r="E9566" s="1342"/>
      <c r="F9566" s="1342"/>
      <c r="G9566" s="1342"/>
      <c r="H9566" s="1342"/>
      <c r="I9566" s="1342"/>
      <c r="J9566" s="1342"/>
      <c r="K9566" s="1342"/>
    </row>
    <row r="9567" spans="2:11" ht="14" hidden="1">
      <c r="B9567" s="1342"/>
      <c r="C9567" s="1342"/>
      <c r="D9567" s="1342"/>
      <c r="E9567" s="1342"/>
      <c r="F9567" s="1342"/>
      <c r="G9567" s="1342"/>
      <c r="H9567" s="1342"/>
      <c r="I9567" s="1342"/>
      <c r="J9567" s="1342"/>
      <c r="K9567" s="1342"/>
    </row>
    <row r="9568" spans="2:11" ht="14" hidden="1">
      <c r="B9568" s="1342"/>
      <c r="C9568" s="1342"/>
      <c r="D9568" s="1342"/>
      <c r="E9568" s="1342"/>
      <c r="F9568" s="1342"/>
      <c r="G9568" s="1342"/>
      <c r="H9568" s="1342"/>
      <c r="I9568" s="1342"/>
      <c r="J9568" s="1342"/>
      <c r="K9568" s="1342"/>
    </row>
    <row r="9569" spans="2:11" ht="14" hidden="1">
      <c r="B9569" s="1342"/>
      <c r="C9569" s="1342"/>
      <c r="D9569" s="1342"/>
      <c r="E9569" s="1342"/>
      <c r="F9569" s="1342"/>
      <c r="G9569" s="1342"/>
      <c r="H9569" s="1342"/>
      <c r="I9569" s="1342"/>
      <c r="J9569" s="1342"/>
      <c r="K9569" s="1342"/>
    </row>
    <row r="9570" spans="2:11" ht="14" hidden="1">
      <c r="B9570" s="1342"/>
      <c r="C9570" s="1342"/>
      <c r="D9570" s="1342"/>
      <c r="E9570" s="1342"/>
      <c r="F9570" s="1342"/>
      <c r="G9570" s="1342"/>
      <c r="H9570" s="1342"/>
      <c r="I9570" s="1342"/>
      <c r="J9570" s="1342"/>
      <c r="K9570" s="1342"/>
    </row>
    <row r="9571" spans="2:11" ht="14" hidden="1">
      <c r="B9571" s="1342"/>
      <c r="C9571" s="1342"/>
      <c r="D9571" s="1342"/>
      <c r="E9571" s="1342"/>
      <c r="F9571" s="1342"/>
      <c r="G9571" s="1342"/>
      <c r="H9571" s="1342"/>
      <c r="I9571" s="1342"/>
      <c r="J9571" s="1342"/>
      <c r="K9571" s="1342"/>
    </row>
    <row r="9572" spans="2:11" ht="14" hidden="1">
      <c r="B9572" s="1342"/>
      <c r="C9572" s="1342"/>
      <c r="D9572" s="1342"/>
      <c r="E9572" s="1342"/>
      <c r="F9572" s="1342"/>
      <c r="G9572" s="1342"/>
      <c r="H9572" s="1342"/>
      <c r="I9572" s="1342"/>
      <c r="J9572" s="1342"/>
      <c r="K9572" s="1342"/>
    </row>
    <row r="9573" spans="2:11" ht="14" hidden="1">
      <c r="B9573" s="1342"/>
      <c r="C9573" s="1342"/>
      <c r="D9573" s="1342"/>
      <c r="E9573" s="1342"/>
      <c r="F9573" s="1342"/>
      <c r="G9573" s="1342"/>
      <c r="H9573" s="1342"/>
      <c r="I9573" s="1342"/>
      <c r="J9573" s="1342"/>
      <c r="K9573" s="1342"/>
    </row>
    <row r="9574" spans="2:11" ht="14" hidden="1">
      <c r="B9574" s="1342"/>
      <c r="C9574" s="1342"/>
      <c r="D9574" s="1342"/>
      <c r="E9574" s="1342"/>
      <c r="F9574" s="1342"/>
      <c r="G9574" s="1342"/>
      <c r="H9574" s="1342"/>
      <c r="I9574" s="1342"/>
      <c r="J9574" s="1342"/>
      <c r="K9574" s="1342"/>
    </row>
    <row r="9575" spans="2:11" ht="14" hidden="1">
      <c r="B9575" s="1342"/>
      <c r="C9575" s="1342"/>
      <c r="D9575" s="1342"/>
      <c r="E9575" s="1342"/>
      <c r="F9575" s="1342"/>
      <c r="G9575" s="1342"/>
      <c r="H9575" s="1342"/>
      <c r="I9575" s="1342"/>
      <c r="J9575" s="1342"/>
      <c r="K9575" s="1342"/>
    </row>
    <row r="9576" spans="2:11" ht="14" hidden="1">
      <c r="B9576" s="1342"/>
      <c r="C9576" s="1342"/>
      <c r="D9576" s="1342"/>
      <c r="E9576" s="1342"/>
      <c r="F9576" s="1342"/>
      <c r="G9576" s="1342"/>
      <c r="H9576" s="1342"/>
      <c r="I9576" s="1342"/>
      <c r="J9576" s="1342"/>
      <c r="K9576" s="1342"/>
    </row>
    <row r="9577" spans="2:11" ht="14" hidden="1">
      <c r="B9577" s="1342"/>
      <c r="C9577" s="1342"/>
      <c r="D9577" s="1342"/>
      <c r="E9577" s="1342"/>
      <c r="F9577" s="1342"/>
      <c r="G9577" s="1342"/>
      <c r="H9577" s="1342"/>
      <c r="I9577" s="1342"/>
      <c r="J9577" s="1342"/>
      <c r="K9577" s="1342"/>
    </row>
    <row r="9578" spans="2:11" ht="14" hidden="1">
      <c r="B9578" s="1342"/>
      <c r="C9578" s="1342"/>
      <c r="D9578" s="1342"/>
      <c r="E9578" s="1342"/>
      <c r="F9578" s="1342"/>
      <c r="G9578" s="1342"/>
      <c r="H9578" s="1342"/>
      <c r="I9578" s="1342"/>
      <c r="J9578" s="1342"/>
      <c r="K9578" s="1342"/>
    </row>
    <row r="9579" spans="2:11" ht="14" hidden="1">
      <c r="B9579" s="1342"/>
      <c r="C9579" s="1342"/>
      <c r="D9579" s="1342"/>
      <c r="E9579" s="1342"/>
      <c r="F9579" s="1342"/>
      <c r="G9579" s="1342"/>
      <c r="H9579" s="1342"/>
      <c r="I9579" s="1342"/>
      <c r="J9579" s="1342"/>
      <c r="K9579" s="1342"/>
    </row>
    <row r="9580" spans="2:11" ht="14" hidden="1">
      <c r="B9580" s="1342"/>
      <c r="C9580" s="1342"/>
      <c r="D9580" s="1342"/>
      <c r="E9580" s="1342"/>
      <c r="F9580" s="1342"/>
      <c r="G9580" s="1342"/>
      <c r="H9580" s="1342"/>
      <c r="I9580" s="1342"/>
      <c r="J9580" s="1342"/>
      <c r="K9580" s="1342"/>
    </row>
    <row r="9581" spans="2:11" ht="14" hidden="1">
      <c r="B9581" s="1342"/>
      <c r="C9581" s="1342"/>
      <c r="D9581" s="1342"/>
      <c r="E9581" s="1342"/>
      <c r="F9581" s="1342"/>
      <c r="G9581" s="1342"/>
      <c r="H9581" s="1342"/>
      <c r="I9581" s="1342"/>
      <c r="J9581" s="1342"/>
      <c r="K9581" s="1342"/>
    </row>
    <row r="9582" spans="2:11" ht="14" hidden="1">
      <c r="B9582" s="1342"/>
      <c r="C9582" s="1342"/>
      <c r="D9582" s="1342"/>
      <c r="E9582" s="1342"/>
      <c r="F9582" s="1342"/>
      <c r="G9582" s="1342"/>
      <c r="H9582" s="1342"/>
      <c r="I9582" s="1342"/>
      <c r="J9582" s="1342"/>
      <c r="K9582" s="1342"/>
    </row>
    <row r="9583" spans="2:11" ht="14" hidden="1">
      <c r="B9583" s="1342"/>
      <c r="C9583" s="1342"/>
      <c r="D9583" s="1342"/>
      <c r="E9583" s="1342"/>
      <c r="F9583" s="1342"/>
      <c r="G9583" s="1342"/>
      <c r="H9583" s="1342"/>
      <c r="I9583" s="1342"/>
      <c r="J9583" s="1342"/>
      <c r="K9583" s="1342"/>
    </row>
    <row r="9584" spans="2:11" ht="14" hidden="1">
      <c r="B9584" s="1342"/>
      <c r="C9584" s="1342"/>
      <c r="D9584" s="1342"/>
      <c r="E9584" s="1342"/>
      <c r="F9584" s="1342"/>
      <c r="G9584" s="1342"/>
      <c r="H9584" s="1342"/>
      <c r="I9584" s="1342"/>
      <c r="J9584" s="1342"/>
      <c r="K9584" s="1342"/>
    </row>
    <row r="9585" spans="2:11" ht="14" hidden="1">
      <c r="B9585" s="1342"/>
      <c r="C9585" s="1342"/>
      <c r="D9585" s="1342"/>
      <c r="E9585" s="1342"/>
      <c r="F9585" s="1342"/>
      <c r="G9585" s="1342"/>
      <c r="H9585" s="1342"/>
      <c r="I9585" s="1342"/>
      <c r="J9585" s="1342"/>
      <c r="K9585" s="1342"/>
    </row>
    <row r="9586" spans="2:11" ht="14" hidden="1">
      <c r="B9586" s="1342"/>
      <c r="C9586" s="1342"/>
      <c r="D9586" s="1342"/>
      <c r="E9586" s="1342"/>
      <c r="F9586" s="1342"/>
      <c r="G9586" s="1342"/>
      <c r="H9586" s="1342"/>
      <c r="I9586" s="1342"/>
      <c r="J9586" s="1342"/>
      <c r="K9586" s="1342"/>
    </row>
    <row r="9587" spans="2:11" ht="14" hidden="1">
      <c r="B9587" s="1342"/>
      <c r="C9587" s="1342"/>
      <c r="D9587" s="1342"/>
      <c r="E9587" s="1342"/>
      <c r="F9587" s="1342"/>
      <c r="G9587" s="1342"/>
      <c r="H9587" s="1342"/>
      <c r="I9587" s="1342"/>
      <c r="J9587" s="1342"/>
      <c r="K9587" s="1342"/>
    </row>
    <row r="9588" spans="2:11" ht="14" hidden="1">
      <c r="B9588" s="1342"/>
      <c r="C9588" s="1342"/>
      <c r="D9588" s="1342"/>
      <c r="E9588" s="1342"/>
      <c r="F9588" s="1342"/>
      <c r="G9588" s="1342"/>
      <c r="H9588" s="1342"/>
      <c r="I9588" s="1342"/>
      <c r="J9588" s="1342"/>
      <c r="K9588" s="1342"/>
    </row>
    <row r="9589" spans="2:11" ht="14" hidden="1">
      <c r="B9589" s="1342"/>
      <c r="C9589" s="1342"/>
      <c r="D9589" s="1342"/>
      <c r="E9589" s="1342"/>
      <c r="F9589" s="1342"/>
      <c r="G9589" s="1342"/>
      <c r="H9589" s="1342"/>
      <c r="I9589" s="1342"/>
      <c r="J9589" s="1342"/>
      <c r="K9589" s="1342"/>
    </row>
    <row r="9590" spans="2:11" ht="14" hidden="1">
      <c r="B9590" s="1342"/>
      <c r="C9590" s="1342"/>
      <c r="D9590" s="1342"/>
      <c r="E9590" s="1342"/>
      <c r="F9590" s="1342"/>
      <c r="G9590" s="1342"/>
      <c r="H9590" s="1342"/>
      <c r="I9590" s="1342"/>
      <c r="J9590" s="1342"/>
      <c r="K9590" s="1342"/>
    </row>
    <row r="9591" spans="2:11" ht="14" hidden="1">
      <c r="B9591" s="1342"/>
      <c r="C9591" s="1342"/>
      <c r="D9591" s="1342"/>
      <c r="E9591" s="1342"/>
      <c r="F9591" s="1342"/>
      <c r="G9591" s="1342"/>
      <c r="H9591" s="1342"/>
      <c r="I9591" s="1342"/>
      <c r="J9591" s="1342"/>
      <c r="K9591" s="1342"/>
    </row>
    <row r="9592" spans="2:11" ht="14" hidden="1">
      <c r="B9592" s="1342"/>
      <c r="C9592" s="1342"/>
      <c r="D9592" s="1342"/>
      <c r="E9592" s="1342"/>
      <c r="F9592" s="1342"/>
      <c r="G9592" s="1342"/>
      <c r="H9592" s="1342"/>
      <c r="I9592" s="1342"/>
      <c r="J9592" s="1342"/>
      <c r="K9592" s="1342"/>
    </row>
    <row r="9593" spans="2:11" ht="14" hidden="1">
      <c r="B9593" s="1342"/>
      <c r="C9593" s="1342"/>
      <c r="D9593" s="1342"/>
      <c r="E9593" s="1342"/>
      <c r="F9593" s="1342"/>
      <c r="G9593" s="1342"/>
      <c r="H9593" s="1342"/>
      <c r="I9593" s="1342"/>
      <c r="J9593" s="1342"/>
      <c r="K9593" s="1342"/>
    </row>
    <row r="9594" spans="2:11" ht="14" hidden="1">
      <c r="B9594" s="1342"/>
      <c r="C9594" s="1342"/>
      <c r="D9594" s="1342"/>
      <c r="E9594" s="1342"/>
      <c r="F9594" s="1342"/>
      <c r="G9594" s="1342"/>
      <c r="H9594" s="1342"/>
      <c r="I9594" s="1342"/>
      <c r="J9594" s="1342"/>
      <c r="K9594" s="1342"/>
    </row>
    <row r="9595" spans="2:11" ht="14" hidden="1">
      <c r="B9595" s="1342"/>
      <c r="C9595" s="1342"/>
      <c r="D9595" s="1342"/>
      <c r="E9595" s="1342"/>
      <c r="F9595" s="1342"/>
      <c r="G9595" s="1342"/>
      <c r="H9595" s="1342"/>
      <c r="I9595" s="1342"/>
      <c r="J9595" s="1342"/>
      <c r="K9595" s="1342"/>
    </row>
    <row r="9596" spans="2:11" ht="14" hidden="1">
      <c r="B9596" s="1342"/>
      <c r="C9596" s="1342"/>
      <c r="D9596" s="1342"/>
      <c r="E9596" s="1342"/>
      <c r="F9596" s="1342"/>
      <c r="G9596" s="1342"/>
      <c r="H9596" s="1342"/>
      <c r="I9596" s="1342"/>
      <c r="J9596" s="1342"/>
      <c r="K9596" s="1342"/>
    </row>
    <row r="9597" spans="2:11" ht="14" hidden="1">
      <c r="B9597" s="1342"/>
      <c r="C9597" s="1342"/>
      <c r="D9597" s="1342"/>
      <c r="E9597" s="1342"/>
      <c r="F9597" s="1342"/>
      <c r="G9597" s="1342"/>
      <c r="H9597" s="1342"/>
      <c r="I9597" s="1342"/>
      <c r="J9597" s="1342"/>
      <c r="K9597" s="1342"/>
    </row>
    <row r="9598" spans="2:11" ht="14" hidden="1">
      <c r="B9598" s="1342"/>
      <c r="C9598" s="1342"/>
      <c r="D9598" s="1342"/>
      <c r="E9598" s="1342"/>
      <c r="F9598" s="1342"/>
      <c r="G9598" s="1342"/>
      <c r="H9598" s="1342"/>
      <c r="I9598" s="1342"/>
      <c r="J9598" s="1342"/>
      <c r="K9598" s="1342"/>
    </row>
    <row r="9599" spans="2:11" ht="14" hidden="1">
      <c r="B9599" s="1342"/>
      <c r="C9599" s="1342"/>
      <c r="D9599" s="1342"/>
      <c r="E9599" s="1342"/>
      <c r="F9599" s="1342"/>
      <c r="G9599" s="1342"/>
      <c r="H9599" s="1342"/>
      <c r="I9599" s="1342"/>
      <c r="J9599" s="1342"/>
      <c r="K9599" s="1342"/>
    </row>
    <row r="9600" spans="2:11" ht="14" hidden="1">
      <c r="B9600" s="1342"/>
      <c r="C9600" s="1342"/>
      <c r="D9600" s="1342"/>
      <c r="E9600" s="1342"/>
      <c r="F9600" s="1342"/>
      <c r="G9600" s="1342"/>
      <c r="H9600" s="1342"/>
      <c r="I9600" s="1342"/>
      <c r="J9600" s="1342"/>
      <c r="K9600" s="1342"/>
    </row>
    <row r="9601" spans="2:11" ht="14" hidden="1">
      <c r="B9601" s="1342"/>
      <c r="C9601" s="1342"/>
      <c r="D9601" s="1342"/>
      <c r="E9601" s="1342"/>
      <c r="F9601" s="1342"/>
      <c r="G9601" s="1342"/>
      <c r="H9601" s="1342"/>
      <c r="I9601" s="1342"/>
      <c r="J9601" s="1342"/>
      <c r="K9601" s="1342"/>
    </row>
    <row r="9602" spans="2:11" ht="14" hidden="1">
      <c r="B9602" s="1342"/>
      <c r="C9602" s="1342"/>
      <c r="D9602" s="1342"/>
      <c r="E9602" s="1342"/>
      <c r="F9602" s="1342"/>
      <c r="G9602" s="1342"/>
      <c r="H9602" s="1342"/>
      <c r="I9602" s="1342"/>
      <c r="J9602" s="1342"/>
      <c r="K9602" s="1342"/>
    </row>
    <row r="9603" spans="2:11" ht="14" hidden="1">
      <c r="B9603" s="1342"/>
      <c r="C9603" s="1342"/>
      <c r="D9603" s="1342"/>
      <c r="E9603" s="1342"/>
      <c r="F9603" s="1342"/>
      <c r="G9603" s="1342"/>
      <c r="H9603" s="1342"/>
      <c r="I9603" s="1342"/>
      <c r="J9603" s="1342"/>
      <c r="K9603" s="1342"/>
    </row>
    <row r="9604" spans="2:11" ht="14" hidden="1">
      <c r="B9604" s="1342"/>
      <c r="C9604" s="1342"/>
      <c r="D9604" s="1342"/>
      <c r="E9604" s="1342"/>
      <c r="F9604" s="1342"/>
      <c r="G9604" s="1342"/>
      <c r="H9604" s="1342"/>
      <c r="I9604" s="1342"/>
      <c r="J9604" s="1342"/>
      <c r="K9604" s="1342"/>
    </row>
    <row r="9605" spans="2:11" ht="14" hidden="1">
      <c r="B9605" s="1342"/>
      <c r="C9605" s="1342"/>
      <c r="D9605" s="1342"/>
      <c r="E9605" s="1342"/>
      <c r="F9605" s="1342"/>
      <c r="G9605" s="1342"/>
      <c r="H9605" s="1342"/>
      <c r="I9605" s="1342"/>
      <c r="J9605" s="1342"/>
      <c r="K9605" s="1342"/>
    </row>
    <row r="9606" spans="2:11" ht="14" hidden="1">
      <c r="B9606" s="1342"/>
      <c r="C9606" s="1342"/>
      <c r="D9606" s="1342"/>
      <c r="E9606" s="1342"/>
      <c r="F9606" s="1342"/>
      <c r="G9606" s="1342"/>
      <c r="H9606" s="1342"/>
      <c r="I9606" s="1342"/>
      <c r="J9606" s="1342"/>
      <c r="K9606" s="1342"/>
    </row>
    <row r="9607" spans="2:11" ht="14" hidden="1">
      <c r="B9607" s="1342"/>
      <c r="C9607" s="1342"/>
      <c r="D9607" s="1342"/>
      <c r="E9607" s="1342"/>
      <c r="F9607" s="1342"/>
      <c r="G9607" s="1342"/>
      <c r="H9607" s="1342"/>
      <c r="I9607" s="1342"/>
      <c r="J9607" s="1342"/>
      <c r="K9607" s="1342"/>
    </row>
    <row r="9608" spans="2:11" ht="14" hidden="1">
      <c r="B9608" s="1342"/>
      <c r="C9608" s="1342"/>
      <c r="D9608" s="1342"/>
      <c r="E9608" s="1342"/>
      <c r="F9608" s="1342"/>
      <c r="G9608" s="1342"/>
      <c r="H9608" s="1342"/>
      <c r="I9608" s="1342"/>
      <c r="J9608" s="1342"/>
      <c r="K9608" s="1342"/>
    </row>
    <row r="9609" spans="2:11" ht="14" hidden="1">
      <c r="B9609" s="1342"/>
      <c r="C9609" s="1342"/>
      <c r="D9609" s="1342"/>
      <c r="E9609" s="1342"/>
      <c r="F9609" s="1342"/>
      <c r="G9609" s="1342"/>
      <c r="H9609" s="1342"/>
      <c r="I9609" s="1342"/>
      <c r="J9609" s="1342"/>
      <c r="K9609" s="1342"/>
    </row>
    <row r="9610" spans="2:11" ht="14" hidden="1">
      <c r="B9610" s="1342"/>
      <c r="C9610" s="1342"/>
      <c r="D9610" s="1342"/>
      <c r="E9610" s="1342"/>
      <c r="F9610" s="1342"/>
      <c r="G9610" s="1342"/>
      <c r="H9610" s="1342"/>
      <c r="I9610" s="1342"/>
      <c r="J9610" s="1342"/>
      <c r="K9610" s="1342"/>
    </row>
    <row r="9611" spans="2:11" ht="14" hidden="1">
      <c r="B9611" s="1342"/>
      <c r="C9611" s="1342"/>
      <c r="D9611" s="1342"/>
      <c r="E9611" s="1342"/>
      <c r="F9611" s="1342"/>
      <c r="G9611" s="1342"/>
      <c r="H9611" s="1342"/>
      <c r="I9611" s="1342"/>
      <c r="J9611" s="1342"/>
      <c r="K9611" s="1342"/>
    </row>
    <row r="9612" spans="2:11" ht="14" hidden="1">
      <c r="B9612" s="1342"/>
      <c r="C9612" s="1342"/>
      <c r="D9612" s="1342"/>
      <c r="E9612" s="1342"/>
      <c r="F9612" s="1342"/>
      <c r="G9612" s="1342"/>
      <c r="H9612" s="1342"/>
      <c r="I9612" s="1342"/>
      <c r="J9612" s="1342"/>
      <c r="K9612" s="1342"/>
    </row>
    <row r="9613" spans="2:11" ht="14" hidden="1">
      <c r="B9613" s="1342"/>
      <c r="C9613" s="1342"/>
      <c r="D9613" s="1342"/>
      <c r="E9613" s="1342"/>
      <c r="F9613" s="1342"/>
      <c r="G9613" s="1342"/>
      <c r="H9613" s="1342"/>
      <c r="I9613" s="1342"/>
      <c r="J9613" s="1342"/>
      <c r="K9613" s="1342"/>
    </row>
    <row r="9614" spans="2:11" ht="14" hidden="1">
      <c r="B9614" s="1342"/>
      <c r="C9614" s="1342"/>
      <c r="D9614" s="1342"/>
      <c r="E9614" s="1342"/>
      <c r="F9614" s="1342"/>
      <c r="G9614" s="1342"/>
      <c r="H9614" s="1342"/>
      <c r="I9614" s="1342"/>
      <c r="J9614" s="1342"/>
      <c r="K9614" s="1342"/>
    </row>
    <row r="9615" spans="2:11" ht="14" hidden="1">
      <c r="B9615" s="1342"/>
      <c r="C9615" s="1342"/>
      <c r="D9615" s="1342"/>
      <c r="E9615" s="1342"/>
      <c r="F9615" s="1342"/>
      <c r="G9615" s="1342"/>
      <c r="H9615" s="1342"/>
      <c r="I9615" s="1342"/>
      <c r="J9615" s="1342"/>
      <c r="K9615" s="1342"/>
    </row>
    <row r="9616" spans="2:11" ht="14" hidden="1">
      <c r="B9616" s="1342"/>
      <c r="C9616" s="1342"/>
      <c r="D9616" s="1342"/>
      <c r="E9616" s="1342"/>
      <c r="F9616" s="1342"/>
      <c r="G9616" s="1342"/>
      <c r="H9616" s="1342"/>
      <c r="I9616" s="1342"/>
      <c r="J9616" s="1342"/>
      <c r="K9616" s="1342"/>
    </row>
    <row r="9617" spans="2:11" ht="14" hidden="1">
      <c r="B9617" s="1342"/>
      <c r="C9617" s="1342"/>
      <c r="D9617" s="1342"/>
      <c r="E9617" s="1342"/>
      <c r="F9617" s="1342"/>
      <c r="G9617" s="1342"/>
      <c r="H9617" s="1342"/>
      <c r="I9617" s="1342"/>
      <c r="J9617" s="1342"/>
      <c r="K9617" s="1342"/>
    </row>
    <row r="9618" spans="2:11" ht="14" hidden="1">
      <c r="B9618" s="1342"/>
      <c r="C9618" s="1342"/>
      <c r="D9618" s="1342"/>
      <c r="E9618" s="1342"/>
      <c r="F9618" s="1342"/>
      <c r="G9618" s="1342"/>
      <c r="H9618" s="1342"/>
      <c r="I9618" s="1342"/>
      <c r="J9618" s="1342"/>
      <c r="K9618" s="1342"/>
    </row>
    <row r="9619" spans="2:11" ht="14" hidden="1">
      <c r="B9619" s="1342"/>
      <c r="C9619" s="1342"/>
      <c r="D9619" s="1342"/>
      <c r="E9619" s="1342"/>
      <c r="F9619" s="1342"/>
      <c r="G9619" s="1342"/>
      <c r="H9619" s="1342"/>
      <c r="I9619" s="1342"/>
      <c r="J9619" s="1342"/>
      <c r="K9619" s="1342"/>
    </row>
    <row r="9620" spans="2:11" ht="14" hidden="1">
      <c r="B9620" s="1342"/>
      <c r="C9620" s="1342"/>
      <c r="D9620" s="1342"/>
      <c r="E9620" s="1342"/>
      <c r="F9620" s="1342"/>
      <c r="G9620" s="1342"/>
      <c r="H9620" s="1342"/>
      <c r="I9620" s="1342"/>
      <c r="J9620" s="1342"/>
      <c r="K9620" s="1342"/>
    </row>
    <row r="9621" spans="2:11" ht="14" hidden="1">
      <c r="B9621" s="1342"/>
      <c r="C9621" s="1342"/>
      <c r="D9621" s="1342"/>
      <c r="E9621" s="1342"/>
      <c r="F9621" s="1342"/>
      <c r="G9621" s="1342"/>
      <c r="H9621" s="1342"/>
      <c r="I9621" s="1342"/>
      <c r="J9621" s="1342"/>
      <c r="K9621" s="1342"/>
    </row>
    <row r="9622" spans="2:11" ht="14" hidden="1">
      <c r="B9622" s="1342"/>
      <c r="C9622" s="1342"/>
      <c r="D9622" s="1342"/>
      <c r="E9622" s="1342"/>
      <c r="F9622" s="1342"/>
      <c r="G9622" s="1342"/>
      <c r="H9622" s="1342"/>
      <c r="I9622" s="1342"/>
      <c r="J9622" s="1342"/>
      <c r="K9622" s="1342"/>
    </row>
    <row r="9623" spans="2:11" ht="14" hidden="1">
      <c r="B9623" s="1342"/>
      <c r="C9623" s="1342"/>
      <c r="D9623" s="1342"/>
      <c r="E9623" s="1342"/>
      <c r="F9623" s="1342"/>
      <c r="G9623" s="1342"/>
      <c r="H9623" s="1342"/>
      <c r="I9623" s="1342"/>
      <c r="J9623" s="1342"/>
      <c r="K9623" s="1342"/>
    </row>
    <row r="9624" spans="2:11" ht="14" hidden="1">
      <c r="B9624" s="1342"/>
      <c r="C9624" s="1342"/>
      <c r="D9624" s="1342"/>
      <c r="E9624" s="1342"/>
      <c r="F9624" s="1342"/>
      <c r="G9624" s="1342"/>
      <c r="H9624" s="1342"/>
      <c r="I9624" s="1342"/>
      <c r="J9624" s="1342"/>
      <c r="K9624" s="1342"/>
    </row>
    <row r="9625" spans="2:11" ht="14" hidden="1">
      <c r="B9625" s="1342"/>
      <c r="C9625" s="1342"/>
      <c r="D9625" s="1342"/>
      <c r="E9625" s="1342"/>
      <c r="F9625" s="1342"/>
      <c r="G9625" s="1342"/>
      <c r="H9625" s="1342"/>
      <c r="I9625" s="1342"/>
      <c r="J9625" s="1342"/>
      <c r="K9625" s="1342"/>
    </row>
    <row r="9626" spans="2:11" ht="14" hidden="1">
      <c r="B9626" s="1342"/>
      <c r="C9626" s="1342"/>
      <c r="D9626" s="1342"/>
      <c r="E9626" s="1342"/>
      <c r="F9626" s="1342"/>
      <c r="G9626" s="1342"/>
      <c r="H9626" s="1342"/>
      <c r="I9626" s="1342"/>
      <c r="J9626" s="1342"/>
      <c r="K9626" s="1342"/>
    </row>
    <row r="9627" spans="2:11" ht="14" hidden="1">
      <c r="B9627" s="1342"/>
      <c r="C9627" s="1342"/>
      <c r="D9627" s="1342"/>
      <c r="E9627" s="1342"/>
      <c r="F9627" s="1342"/>
      <c r="G9627" s="1342"/>
      <c r="H9627" s="1342"/>
      <c r="I9627" s="1342"/>
      <c r="J9627" s="1342"/>
      <c r="K9627" s="1342"/>
    </row>
    <row r="9628" spans="2:11" ht="14" hidden="1">
      <c r="B9628" s="1342"/>
      <c r="C9628" s="1342"/>
      <c r="D9628" s="1342"/>
      <c r="E9628" s="1342"/>
      <c r="F9628" s="1342"/>
      <c r="G9628" s="1342"/>
      <c r="H9628" s="1342"/>
      <c r="I9628" s="1342"/>
      <c r="J9628" s="1342"/>
      <c r="K9628" s="1342"/>
    </row>
    <row r="9629" spans="2:11" ht="14" hidden="1">
      <c r="B9629" s="1342"/>
      <c r="C9629" s="1342"/>
      <c r="D9629" s="1342"/>
      <c r="E9629" s="1342"/>
      <c r="F9629" s="1342"/>
      <c r="G9629" s="1342"/>
      <c r="H9629" s="1342"/>
      <c r="I9629" s="1342"/>
      <c r="J9629" s="1342"/>
      <c r="K9629" s="1342"/>
    </row>
    <row r="9630" spans="2:11" ht="14" hidden="1">
      <c r="B9630" s="1342"/>
      <c r="C9630" s="1342"/>
      <c r="D9630" s="1342"/>
      <c r="E9630" s="1342"/>
      <c r="F9630" s="1342"/>
      <c r="G9630" s="1342"/>
      <c r="H9630" s="1342"/>
      <c r="I9630" s="1342"/>
      <c r="J9630" s="1342"/>
      <c r="K9630" s="1342"/>
    </row>
    <row r="9631" spans="2:11" ht="14" hidden="1">
      <c r="B9631" s="1342"/>
      <c r="C9631" s="1342"/>
      <c r="D9631" s="1342"/>
      <c r="E9631" s="1342"/>
      <c r="F9631" s="1342"/>
      <c r="G9631" s="1342"/>
      <c r="H9631" s="1342"/>
      <c r="I9631" s="1342"/>
      <c r="J9631" s="1342"/>
      <c r="K9631" s="1342"/>
    </row>
    <row r="9632" spans="2:11" ht="14" hidden="1">
      <c r="B9632" s="1342"/>
      <c r="C9632" s="1342"/>
      <c r="D9632" s="1342"/>
      <c r="E9632" s="1342"/>
      <c r="F9632" s="1342"/>
      <c r="G9632" s="1342"/>
      <c r="H9632" s="1342"/>
      <c r="I9632" s="1342"/>
      <c r="J9632" s="1342"/>
      <c r="K9632" s="1342"/>
    </row>
    <row r="9633" spans="2:11" ht="14" hidden="1">
      <c r="B9633" s="1342"/>
      <c r="C9633" s="1342"/>
      <c r="D9633" s="1342"/>
      <c r="E9633" s="1342"/>
      <c r="F9633" s="1342"/>
      <c r="G9633" s="1342"/>
      <c r="H9633" s="1342"/>
      <c r="I9633" s="1342"/>
      <c r="J9633" s="1342"/>
      <c r="K9633" s="1342"/>
    </row>
    <row r="9634" spans="2:11" ht="14" hidden="1">
      <c r="B9634" s="1342"/>
      <c r="C9634" s="1342"/>
      <c r="D9634" s="1342"/>
      <c r="E9634" s="1342"/>
      <c r="F9634" s="1342"/>
      <c r="G9634" s="1342"/>
      <c r="H9634" s="1342"/>
      <c r="I9634" s="1342"/>
      <c r="J9634" s="1342"/>
      <c r="K9634" s="1342"/>
    </row>
    <row r="9635" spans="2:11" ht="14" hidden="1">
      <c r="B9635" s="1342"/>
      <c r="C9635" s="1342"/>
      <c r="D9635" s="1342"/>
      <c r="E9635" s="1342"/>
      <c r="F9635" s="1342"/>
      <c r="G9635" s="1342"/>
      <c r="H9635" s="1342"/>
      <c r="I9635" s="1342"/>
      <c r="J9635" s="1342"/>
      <c r="K9635" s="1342"/>
    </row>
    <row r="9636" spans="2:11" ht="14" hidden="1">
      <c r="B9636" s="1342"/>
      <c r="C9636" s="1342"/>
      <c r="D9636" s="1342"/>
      <c r="E9636" s="1342"/>
      <c r="F9636" s="1342"/>
      <c r="G9636" s="1342"/>
      <c r="H9636" s="1342"/>
      <c r="I9636" s="1342"/>
      <c r="J9636" s="1342"/>
      <c r="K9636" s="1342"/>
    </row>
    <row r="9637" spans="2:11" ht="14" hidden="1">
      <c r="B9637" s="1342"/>
      <c r="C9637" s="1342"/>
      <c r="D9637" s="1342"/>
      <c r="E9637" s="1342"/>
      <c r="F9637" s="1342"/>
      <c r="G9637" s="1342"/>
      <c r="H9637" s="1342"/>
      <c r="I9637" s="1342"/>
      <c r="J9637" s="1342"/>
      <c r="K9637" s="1342"/>
    </row>
    <row r="9638" spans="2:11" ht="14" hidden="1">
      <c r="B9638" s="1342"/>
      <c r="C9638" s="1342"/>
      <c r="D9638" s="1342"/>
      <c r="E9638" s="1342"/>
      <c r="F9638" s="1342"/>
      <c r="G9638" s="1342"/>
      <c r="H9638" s="1342"/>
      <c r="I9638" s="1342"/>
      <c r="J9638" s="1342"/>
      <c r="K9638" s="1342"/>
    </row>
    <row r="9639" spans="2:11" ht="14" hidden="1">
      <c r="B9639" s="1342"/>
      <c r="C9639" s="1342"/>
      <c r="D9639" s="1342"/>
      <c r="E9639" s="1342"/>
      <c r="F9639" s="1342"/>
      <c r="G9639" s="1342"/>
      <c r="H9639" s="1342"/>
      <c r="I9639" s="1342"/>
      <c r="J9639" s="1342"/>
      <c r="K9639" s="1342"/>
    </row>
    <row r="9640" spans="2:11" ht="14" hidden="1">
      <c r="B9640" s="1342"/>
      <c r="C9640" s="1342"/>
      <c r="D9640" s="1342"/>
      <c r="E9640" s="1342"/>
      <c r="F9640" s="1342"/>
      <c r="G9640" s="1342"/>
      <c r="H9640" s="1342"/>
      <c r="I9640" s="1342"/>
      <c r="J9640" s="1342"/>
      <c r="K9640" s="1342"/>
    </row>
    <row r="9641" spans="2:11" ht="14" hidden="1">
      <c r="B9641" s="1342"/>
      <c r="C9641" s="1342"/>
      <c r="D9641" s="1342"/>
      <c r="E9641" s="1342"/>
      <c r="F9641" s="1342"/>
      <c r="G9641" s="1342"/>
      <c r="H9641" s="1342"/>
      <c r="I9641" s="1342"/>
      <c r="J9641" s="1342"/>
      <c r="K9641" s="1342"/>
    </row>
    <row r="9642" spans="2:11" ht="14" hidden="1">
      <c r="B9642" s="1342"/>
      <c r="C9642" s="1342"/>
      <c r="D9642" s="1342"/>
      <c r="E9642" s="1342"/>
      <c r="F9642" s="1342"/>
      <c r="G9642" s="1342"/>
      <c r="H9642" s="1342"/>
      <c r="I9642" s="1342"/>
      <c r="J9642" s="1342"/>
      <c r="K9642" s="1342"/>
    </row>
    <row r="9643" spans="2:11" ht="14" hidden="1">
      <c r="B9643" s="1342"/>
      <c r="C9643" s="1342"/>
      <c r="D9643" s="1342"/>
      <c r="E9643" s="1342"/>
      <c r="F9643" s="1342"/>
      <c r="G9643" s="1342"/>
      <c r="H9643" s="1342"/>
      <c r="I9643" s="1342"/>
      <c r="J9643" s="1342"/>
      <c r="K9643" s="1342"/>
    </row>
    <row r="9644" spans="2:11" ht="14" hidden="1">
      <c r="B9644" s="1342"/>
      <c r="C9644" s="1342"/>
      <c r="D9644" s="1342"/>
      <c r="E9644" s="1342"/>
      <c r="F9644" s="1342"/>
      <c r="G9644" s="1342"/>
      <c r="H9644" s="1342"/>
      <c r="I9644" s="1342"/>
      <c r="J9644" s="1342"/>
      <c r="K9644" s="1342"/>
    </row>
    <row r="9645" spans="2:11" ht="14" hidden="1">
      <c r="B9645" s="1342"/>
      <c r="C9645" s="1342"/>
      <c r="D9645" s="1342"/>
      <c r="E9645" s="1342"/>
      <c r="F9645" s="1342"/>
      <c r="G9645" s="1342"/>
      <c r="H9645" s="1342"/>
      <c r="I9645" s="1342"/>
      <c r="J9645" s="1342"/>
      <c r="K9645" s="1342"/>
    </row>
    <row r="9646" spans="2:11" ht="14" hidden="1">
      <c r="B9646" s="1342"/>
      <c r="C9646" s="1342"/>
      <c r="D9646" s="1342"/>
      <c r="E9646" s="1342"/>
      <c r="F9646" s="1342"/>
      <c r="G9646" s="1342"/>
      <c r="H9646" s="1342"/>
      <c r="I9646" s="1342"/>
      <c r="J9646" s="1342"/>
      <c r="K9646" s="1342"/>
    </row>
    <row r="9647" spans="2:11" ht="14" hidden="1">
      <c r="B9647" s="1342"/>
      <c r="C9647" s="1342"/>
      <c r="D9647" s="1342"/>
      <c r="E9647" s="1342"/>
      <c r="F9647" s="1342"/>
      <c r="G9647" s="1342"/>
      <c r="H9647" s="1342"/>
      <c r="I9647" s="1342"/>
      <c r="J9647" s="1342"/>
      <c r="K9647" s="1342"/>
    </row>
    <row r="9648" spans="2:11" ht="14" hidden="1">
      <c r="B9648" s="1342"/>
      <c r="C9648" s="1342"/>
      <c r="D9648" s="1342"/>
      <c r="E9648" s="1342"/>
      <c r="F9648" s="1342"/>
      <c r="G9648" s="1342"/>
      <c r="H9648" s="1342"/>
      <c r="I9648" s="1342"/>
      <c r="J9648" s="1342"/>
      <c r="K9648" s="1342"/>
    </row>
    <row r="9649" spans="2:11" ht="14" hidden="1">
      <c r="B9649" s="1342"/>
      <c r="C9649" s="1342"/>
      <c r="D9649" s="1342"/>
      <c r="E9649" s="1342"/>
      <c r="F9649" s="1342"/>
      <c r="G9649" s="1342"/>
      <c r="H9649" s="1342"/>
      <c r="I9649" s="1342"/>
      <c r="J9649" s="1342"/>
      <c r="K9649" s="1342"/>
    </row>
    <row r="9650" spans="2:11" ht="14" hidden="1">
      <c r="B9650" s="1342"/>
      <c r="C9650" s="1342"/>
      <c r="D9650" s="1342"/>
      <c r="E9650" s="1342"/>
      <c r="F9650" s="1342"/>
      <c r="G9650" s="1342"/>
      <c r="H9650" s="1342"/>
      <c r="I9650" s="1342"/>
      <c r="J9650" s="1342"/>
      <c r="K9650" s="1342"/>
    </row>
    <row r="9651" spans="2:11" ht="14" hidden="1">
      <c r="B9651" s="1342"/>
      <c r="C9651" s="1342"/>
      <c r="D9651" s="1342"/>
      <c r="E9651" s="1342"/>
      <c r="F9651" s="1342"/>
      <c r="G9651" s="1342"/>
      <c r="H9651" s="1342"/>
      <c r="I9651" s="1342"/>
      <c r="J9651" s="1342"/>
      <c r="K9651" s="1342"/>
    </row>
    <row r="9652" spans="2:11" ht="14" hidden="1">
      <c r="B9652" s="1342"/>
      <c r="C9652" s="1342"/>
      <c r="D9652" s="1342"/>
      <c r="E9652" s="1342"/>
      <c r="F9652" s="1342"/>
      <c r="G9652" s="1342"/>
      <c r="H9652" s="1342"/>
      <c r="I9652" s="1342"/>
      <c r="J9652" s="1342"/>
      <c r="K9652" s="1342"/>
    </row>
    <row r="9653" spans="2:11" ht="14" hidden="1">
      <c r="B9653" s="1342"/>
      <c r="C9653" s="1342"/>
      <c r="D9653" s="1342"/>
      <c r="E9653" s="1342"/>
      <c r="F9653" s="1342"/>
      <c r="G9653" s="1342"/>
      <c r="H9653" s="1342"/>
      <c r="I9653" s="1342"/>
      <c r="J9653" s="1342"/>
      <c r="K9653" s="1342"/>
    </row>
    <row r="9654" spans="2:11" ht="14" hidden="1">
      <c r="B9654" s="1342"/>
      <c r="C9654" s="1342"/>
      <c r="D9654" s="1342"/>
      <c r="E9654" s="1342"/>
      <c r="F9654" s="1342"/>
      <c r="G9654" s="1342"/>
      <c r="H9654" s="1342"/>
      <c r="I9654" s="1342"/>
      <c r="J9654" s="1342"/>
      <c r="K9654" s="1342"/>
    </row>
    <row r="9655" spans="2:11" ht="14" hidden="1">
      <c r="B9655" s="1342"/>
      <c r="C9655" s="1342"/>
      <c r="D9655" s="1342"/>
      <c r="E9655" s="1342"/>
      <c r="F9655" s="1342"/>
      <c r="G9655" s="1342"/>
      <c r="H9655" s="1342"/>
      <c r="I9655" s="1342"/>
      <c r="J9655" s="1342"/>
      <c r="K9655" s="1342"/>
    </row>
    <row r="9656" spans="2:11" ht="14" hidden="1">
      <c r="B9656" s="1342"/>
      <c r="C9656" s="1342"/>
      <c r="D9656" s="1342"/>
      <c r="E9656" s="1342"/>
      <c r="F9656" s="1342"/>
      <c r="G9656" s="1342"/>
      <c r="H9656" s="1342"/>
      <c r="I9656" s="1342"/>
      <c r="J9656" s="1342"/>
      <c r="K9656" s="1342"/>
    </row>
    <row r="9657" spans="2:11" ht="14" hidden="1">
      <c r="B9657" s="1342"/>
      <c r="C9657" s="1342"/>
      <c r="D9657" s="1342"/>
      <c r="E9657" s="1342"/>
      <c r="F9657" s="1342"/>
      <c r="G9657" s="1342"/>
      <c r="H9657" s="1342"/>
      <c r="I9657" s="1342"/>
      <c r="J9657" s="1342"/>
      <c r="K9657" s="1342"/>
    </row>
    <row r="9658" spans="2:11" ht="14" hidden="1">
      <c r="B9658" s="1342"/>
      <c r="C9658" s="1342"/>
      <c r="D9658" s="1342"/>
      <c r="E9658" s="1342"/>
      <c r="F9658" s="1342"/>
      <c r="G9658" s="1342"/>
      <c r="H9658" s="1342"/>
      <c r="I9658" s="1342"/>
      <c r="J9658" s="1342"/>
      <c r="K9658" s="1342"/>
    </row>
    <row r="9659" spans="2:11" ht="14" hidden="1">
      <c r="B9659" s="1342"/>
      <c r="C9659" s="1342"/>
      <c r="D9659" s="1342"/>
      <c r="E9659" s="1342"/>
      <c r="F9659" s="1342"/>
      <c r="G9659" s="1342"/>
      <c r="H9659" s="1342"/>
      <c r="I9659" s="1342"/>
      <c r="J9659" s="1342"/>
      <c r="K9659" s="1342"/>
    </row>
    <row r="9660" spans="2:11" ht="14" hidden="1">
      <c r="B9660" s="1342"/>
      <c r="C9660" s="1342"/>
      <c r="D9660" s="1342"/>
      <c r="E9660" s="1342"/>
      <c r="F9660" s="1342"/>
      <c r="G9660" s="1342"/>
      <c r="H9660" s="1342"/>
      <c r="I9660" s="1342"/>
      <c r="J9660" s="1342"/>
      <c r="K9660" s="1342"/>
    </row>
    <row r="9661" spans="2:11" ht="14" hidden="1">
      <c r="B9661" s="1342"/>
      <c r="C9661" s="1342"/>
      <c r="D9661" s="1342"/>
      <c r="E9661" s="1342"/>
      <c r="F9661" s="1342"/>
      <c r="G9661" s="1342"/>
      <c r="H9661" s="1342"/>
      <c r="I9661" s="1342"/>
      <c r="J9661" s="1342"/>
      <c r="K9661" s="1342"/>
    </row>
    <row r="9662" spans="2:11" ht="14" hidden="1">
      <c r="B9662" s="1342"/>
      <c r="C9662" s="1342"/>
      <c r="D9662" s="1342"/>
      <c r="E9662" s="1342"/>
      <c r="F9662" s="1342"/>
      <c r="G9662" s="1342"/>
      <c r="H9662" s="1342"/>
      <c r="I9662" s="1342"/>
      <c r="J9662" s="1342"/>
      <c r="K9662" s="1342"/>
    </row>
    <row r="9663" spans="2:11" ht="14" hidden="1">
      <c r="B9663" s="1342"/>
      <c r="C9663" s="1342"/>
      <c r="D9663" s="1342"/>
      <c r="E9663" s="1342"/>
      <c r="F9663" s="1342"/>
      <c r="G9663" s="1342"/>
      <c r="H9663" s="1342"/>
      <c r="I9663" s="1342"/>
      <c r="J9663" s="1342"/>
      <c r="K9663" s="1342"/>
    </row>
    <row r="9664" spans="2:11" ht="14" hidden="1">
      <c r="B9664" s="1342"/>
      <c r="C9664" s="1342"/>
      <c r="D9664" s="1342"/>
      <c r="E9664" s="1342"/>
      <c r="F9664" s="1342"/>
      <c r="G9664" s="1342"/>
      <c r="H9664" s="1342"/>
      <c r="I9664" s="1342"/>
      <c r="J9664" s="1342"/>
      <c r="K9664" s="1342"/>
    </row>
    <row r="9665" spans="2:11" ht="14" hidden="1">
      <c r="B9665" s="1342"/>
      <c r="C9665" s="1342"/>
      <c r="D9665" s="1342"/>
      <c r="E9665" s="1342"/>
      <c r="F9665" s="1342"/>
      <c r="G9665" s="1342"/>
      <c r="H9665" s="1342"/>
      <c r="I9665" s="1342"/>
      <c r="J9665" s="1342"/>
      <c r="K9665" s="1342"/>
    </row>
    <row r="9666" spans="2:11" ht="14" hidden="1">
      <c r="B9666" s="1342"/>
      <c r="C9666" s="1342"/>
      <c r="D9666" s="1342"/>
      <c r="E9666" s="1342"/>
      <c r="F9666" s="1342"/>
      <c r="G9666" s="1342"/>
      <c r="H9666" s="1342"/>
      <c r="I9666" s="1342"/>
      <c r="J9666" s="1342"/>
      <c r="K9666" s="1342"/>
    </row>
    <row r="9667" spans="2:11" ht="14" hidden="1">
      <c r="B9667" s="1342"/>
      <c r="C9667" s="1342"/>
      <c r="D9667" s="1342"/>
      <c r="E9667" s="1342"/>
      <c r="F9667" s="1342"/>
      <c r="G9667" s="1342"/>
      <c r="H9667" s="1342"/>
      <c r="I9667" s="1342"/>
      <c r="J9667" s="1342"/>
      <c r="K9667" s="1342"/>
    </row>
    <row r="9668" spans="2:11" ht="14" hidden="1">
      <c r="B9668" s="1342"/>
      <c r="C9668" s="1342"/>
      <c r="D9668" s="1342"/>
      <c r="E9668" s="1342"/>
      <c r="F9668" s="1342"/>
      <c r="G9668" s="1342"/>
      <c r="H9668" s="1342"/>
      <c r="I9668" s="1342"/>
      <c r="J9668" s="1342"/>
      <c r="K9668" s="1342"/>
    </row>
    <row r="9669" spans="2:11" ht="14" hidden="1">
      <c r="B9669" s="1342"/>
      <c r="C9669" s="1342"/>
      <c r="D9669" s="1342"/>
      <c r="E9669" s="1342"/>
      <c r="F9669" s="1342"/>
      <c r="G9669" s="1342"/>
      <c r="H9669" s="1342"/>
      <c r="I9669" s="1342"/>
      <c r="J9669" s="1342"/>
      <c r="K9669" s="1342"/>
    </row>
    <row r="9670" spans="2:11" ht="14" hidden="1">
      <c r="B9670" s="1342"/>
      <c r="C9670" s="1342"/>
      <c r="D9670" s="1342"/>
      <c r="E9670" s="1342"/>
      <c r="F9670" s="1342"/>
      <c r="G9670" s="1342"/>
      <c r="H9670" s="1342"/>
      <c r="I9670" s="1342"/>
      <c r="J9670" s="1342"/>
      <c r="K9670" s="1342"/>
    </row>
    <row r="9671" spans="2:11" ht="14" hidden="1">
      <c r="B9671" s="1342"/>
      <c r="C9671" s="1342"/>
      <c r="D9671" s="1342"/>
      <c r="E9671" s="1342"/>
      <c r="F9671" s="1342"/>
      <c r="G9671" s="1342"/>
      <c r="H9671" s="1342"/>
      <c r="I9671" s="1342"/>
      <c r="J9671" s="1342"/>
      <c r="K9671" s="1342"/>
    </row>
    <row r="9672" spans="2:11" ht="14" hidden="1">
      <c r="B9672" s="1342"/>
      <c r="C9672" s="1342"/>
      <c r="D9672" s="1342"/>
      <c r="E9672" s="1342"/>
      <c r="F9672" s="1342"/>
      <c r="G9672" s="1342"/>
      <c r="H9672" s="1342"/>
      <c r="I9672" s="1342"/>
      <c r="J9672" s="1342"/>
      <c r="K9672" s="1342"/>
    </row>
    <row r="9673" spans="2:11" ht="14" hidden="1">
      <c r="B9673" s="1342"/>
      <c r="C9673" s="1342"/>
      <c r="D9673" s="1342"/>
      <c r="E9673" s="1342"/>
      <c r="F9673" s="1342"/>
      <c r="G9673" s="1342"/>
      <c r="H9673" s="1342"/>
      <c r="I9673" s="1342"/>
      <c r="J9673" s="1342"/>
      <c r="K9673" s="1342"/>
    </row>
    <row r="9674" spans="2:11" ht="14" hidden="1">
      <c r="B9674" s="1342"/>
      <c r="C9674" s="1342"/>
      <c r="D9674" s="1342"/>
      <c r="E9674" s="1342"/>
      <c r="F9674" s="1342"/>
      <c r="G9674" s="1342"/>
      <c r="H9674" s="1342"/>
      <c r="I9674" s="1342"/>
      <c r="J9674" s="1342"/>
      <c r="K9674" s="1342"/>
    </row>
    <row r="9675" spans="2:11" ht="14" hidden="1">
      <c r="B9675" s="1342"/>
      <c r="C9675" s="1342"/>
      <c r="D9675" s="1342"/>
      <c r="E9675" s="1342"/>
      <c r="F9675" s="1342"/>
      <c r="G9675" s="1342"/>
      <c r="H9675" s="1342"/>
      <c r="I9675" s="1342"/>
      <c r="J9675" s="1342"/>
      <c r="K9675" s="1342"/>
    </row>
    <row r="9676" spans="2:11" ht="14" hidden="1">
      <c r="B9676" s="1342"/>
      <c r="C9676" s="1342"/>
      <c r="D9676" s="1342"/>
      <c r="E9676" s="1342"/>
      <c r="F9676" s="1342"/>
      <c r="G9676" s="1342"/>
      <c r="H9676" s="1342"/>
      <c r="I9676" s="1342"/>
      <c r="J9676" s="1342"/>
      <c r="K9676" s="1342"/>
    </row>
    <row r="9677" spans="2:11" ht="14" hidden="1">
      <c r="B9677" s="1342"/>
      <c r="C9677" s="1342"/>
      <c r="D9677" s="1342"/>
      <c r="E9677" s="1342"/>
      <c r="F9677" s="1342"/>
      <c r="G9677" s="1342"/>
      <c r="H9677" s="1342"/>
      <c r="I9677" s="1342"/>
      <c r="J9677" s="1342"/>
      <c r="K9677" s="1342"/>
    </row>
    <row r="9678" spans="2:11" ht="14" hidden="1">
      <c r="B9678" s="1342"/>
      <c r="C9678" s="1342"/>
      <c r="D9678" s="1342"/>
      <c r="E9678" s="1342"/>
      <c r="F9678" s="1342"/>
      <c r="G9678" s="1342"/>
      <c r="H9678" s="1342"/>
      <c r="I9678" s="1342"/>
      <c r="J9678" s="1342"/>
      <c r="K9678" s="1342"/>
    </row>
    <row r="9679" spans="2:11" ht="14" hidden="1">
      <c r="B9679" s="1342"/>
      <c r="C9679" s="1342"/>
      <c r="D9679" s="1342"/>
      <c r="E9679" s="1342"/>
      <c r="F9679" s="1342"/>
      <c r="G9679" s="1342"/>
      <c r="H9679" s="1342"/>
      <c r="I9679" s="1342"/>
      <c r="J9679" s="1342"/>
      <c r="K9679" s="1342"/>
    </row>
    <row r="9680" spans="2:11" ht="14" hidden="1">
      <c r="B9680" s="1342"/>
      <c r="C9680" s="1342"/>
      <c r="D9680" s="1342"/>
      <c r="E9680" s="1342"/>
      <c r="F9680" s="1342"/>
      <c r="G9680" s="1342"/>
      <c r="H9680" s="1342"/>
      <c r="I9680" s="1342"/>
      <c r="J9680" s="1342"/>
      <c r="K9680" s="1342"/>
    </row>
    <row r="9681" spans="2:11" ht="14" hidden="1">
      <c r="B9681" s="1342"/>
      <c r="C9681" s="1342"/>
      <c r="D9681" s="1342"/>
      <c r="E9681" s="1342"/>
      <c r="F9681" s="1342"/>
      <c r="G9681" s="1342"/>
      <c r="H9681" s="1342"/>
      <c r="I9681" s="1342"/>
      <c r="J9681" s="1342"/>
      <c r="K9681" s="1342"/>
    </row>
    <row r="9682" spans="2:11" ht="14" hidden="1">
      <c r="B9682" s="1342"/>
      <c r="C9682" s="1342"/>
      <c r="D9682" s="1342"/>
      <c r="E9682" s="1342"/>
      <c r="F9682" s="1342"/>
      <c r="G9682" s="1342"/>
      <c r="H9682" s="1342"/>
      <c r="I9682" s="1342"/>
      <c r="J9682" s="1342"/>
      <c r="K9682" s="1342"/>
    </row>
    <row r="9683" spans="2:11" ht="14" hidden="1">
      <c r="B9683" s="1342"/>
      <c r="C9683" s="1342"/>
      <c r="D9683" s="1342"/>
      <c r="E9683" s="1342"/>
      <c r="F9683" s="1342"/>
      <c r="G9683" s="1342"/>
      <c r="H9683" s="1342"/>
      <c r="I9683" s="1342"/>
      <c r="J9683" s="1342"/>
      <c r="K9683" s="1342"/>
    </row>
    <row r="9684" spans="2:11" ht="14" hidden="1">
      <c r="B9684" s="1342"/>
      <c r="C9684" s="1342"/>
      <c r="D9684" s="1342"/>
      <c r="E9684" s="1342"/>
      <c r="F9684" s="1342"/>
      <c r="G9684" s="1342"/>
      <c r="H9684" s="1342"/>
      <c r="I9684" s="1342"/>
      <c r="J9684" s="1342"/>
      <c r="K9684" s="1342"/>
    </row>
    <row r="9685" spans="2:11" ht="14" hidden="1">
      <c r="B9685" s="1342"/>
      <c r="C9685" s="1342"/>
      <c r="D9685" s="1342"/>
      <c r="E9685" s="1342"/>
      <c r="F9685" s="1342"/>
      <c r="G9685" s="1342"/>
      <c r="H9685" s="1342"/>
      <c r="I9685" s="1342"/>
      <c r="J9685" s="1342"/>
      <c r="K9685" s="1342"/>
    </row>
    <row r="9686" spans="2:11" ht="14" hidden="1">
      <c r="B9686" s="1342"/>
      <c r="C9686" s="1342"/>
      <c r="D9686" s="1342"/>
      <c r="E9686" s="1342"/>
      <c r="F9686" s="1342"/>
      <c r="G9686" s="1342"/>
      <c r="H9686" s="1342"/>
      <c r="I9686" s="1342"/>
      <c r="J9686" s="1342"/>
      <c r="K9686" s="1342"/>
    </row>
    <row r="9687" spans="2:11" ht="14" hidden="1">
      <c r="B9687" s="1342"/>
      <c r="C9687" s="1342"/>
      <c r="D9687" s="1342"/>
      <c r="E9687" s="1342"/>
      <c r="F9687" s="1342"/>
      <c r="G9687" s="1342"/>
      <c r="H9687" s="1342"/>
      <c r="I9687" s="1342"/>
      <c r="J9687" s="1342"/>
      <c r="K9687" s="1342"/>
    </row>
    <row r="9688" spans="2:11" ht="14" hidden="1">
      <c r="B9688" s="1342"/>
      <c r="C9688" s="1342"/>
      <c r="D9688" s="1342"/>
      <c r="E9688" s="1342"/>
      <c r="F9688" s="1342"/>
      <c r="G9688" s="1342"/>
      <c r="H9688" s="1342"/>
      <c r="I9688" s="1342"/>
      <c r="J9688" s="1342"/>
      <c r="K9688" s="1342"/>
    </row>
    <row r="9689" spans="2:11" ht="14" hidden="1">
      <c r="B9689" s="1342"/>
      <c r="C9689" s="1342"/>
      <c r="D9689" s="1342"/>
      <c r="E9689" s="1342"/>
      <c r="F9689" s="1342"/>
      <c r="G9689" s="1342"/>
      <c r="H9689" s="1342"/>
      <c r="I9689" s="1342"/>
      <c r="J9689" s="1342"/>
      <c r="K9689" s="1342"/>
    </row>
    <row r="9690" spans="2:11" ht="14" hidden="1">
      <c r="B9690" s="1342"/>
      <c r="C9690" s="1342"/>
      <c r="D9690" s="1342"/>
      <c r="E9690" s="1342"/>
      <c r="F9690" s="1342"/>
      <c r="G9690" s="1342"/>
      <c r="H9690" s="1342"/>
      <c r="I9690" s="1342"/>
      <c r="J9690" s="1342"/>
      <c r="K9690" s="1342"/>
    </row>
    <row r="9691" spans="2:11" ht="14" hidden="1">
      <c r="B9691" s="1342"/>
      <c r="C9691" s="1342"/>
      <c r="D9691" s="1342"/>
      <c r="E9691" s="1342"/>
      <c r="F9691" s="1342"/>
      <c r="G9691" s="1342"/>
      <c r="H9691" s="1342"/>
      <c r="I9691" s="1342"/>
      <c r="J9691" s="1342"/>
      <c r="K9691" s="1342"/>
    </row>
    <row r="9692" spans="2:11" ht="14" hidden="1">
      <c r="B9692" s="1342"/>
      <c r="C9692" s="1342"/>
      <c r="D9692" s="1342"/>
      <c r="E9692" s="1342"/>
      <c r="F9692" s="1342"/>
      <c r="G9692" s="1342"/>
      <c r="H9692" s="1342"/>
      <c r="I9692" s="1342"/>
      <c r="J9692" s="1342"/>
      <c r="K9692" s="1342"/>
    </row>
    <row r="9693" spans="2:11" ht="14" hidden="1">
      <c r="B9693" s="1342"/>
      <c r="C9693" s="1342"/>
      <c r="D9693" s="1342"/>
      <c r="E9693" s="1342"/>
      <c r="F9693" s="1342"/>
      <c r="G9693" s="1342"/>
      <c r="H9693" s="1342"/>
      <c r="I9693" s="1342"/>
      <c r="J9693" s="1342"/>
      <c r="K9693" s="1342"/>
    </row>
    <row r="9694" spans="2:11" ht="14" hidden="1">
      <c r="B9694" s="1342"/>
      <c r="C9694" s="1342"/>
      <c r="D9694" s="1342"/>
      <c r="E9694" s="1342"/>
      <c r="F9694" s="1342"/>
      <c r="G9694" s="1342"/>
      <c r="H9694" s="1342"/>
      <c r="I9694" s="1342"/>
      <c r="J9694" s="1342"/>
      <c r="K9694" s="1342"/>
    </row>
    <row r="9695" spans="2:11" ht="14" hidden="1">
      <c r="B9695" s="1342"/>
      <c r="C9695" s="1342"/>
      <c r="D9695" s="1342"/>
      <c r="E9695" s="1342"/>
      <c r="F9695" s="1342"/>
      <c r="G9695" s="1342"/>
      <c r="H9695" s="1342"/>
      <c r="I9695" s="1342"/>
      <c r="J9695" s="1342"/>
      <c r="K9695" s="1342"/>
    </row>
    <row r="9696" spans="2:11" ht="14" hidden="1">
      <c r="B9696" s="1342"/>
      <c r="C9696" s="1342"/>
      <c r="D9696" s="1342"/>
      <c r="E9696" s="1342"/>
      <c r="F9696" s="1342"/>
      <c r="G9696" s="1342"/>
      <c r="H9696" s="1342"/>
      <c r="I9696" s="1342"/>
      <c r="J9696" s="1342"/>
      <c r="K9696" s="1342"/>
    </row>
    <row r="9697" spans="2:11" ht="14" hidden="1">
      <c r="B9697" s="1342"/>
      <c r="C9697" s="1342"/>
      <c r="D9697" s="1342"/>
      <c r="E9697" s="1342"/>
      <c r="F9697" s="1342"/>
      <c r="G9697" s="1342"/>
      <c r="H9697" s="1342"/>
      <c r="I9697" s="1342"/>
      <c r="J9697" s="1342"/>
      <c r="K9697" s="1342"/>
    </row>
    <row r="9698" spans="2:11" ht="14" hidden="1">
      <c r="B9698" s="1342"/>
      <c r="C9698" s="1342"/>
      <c r="D9698" s="1342"/>
      <c r="E9698" s="1342"/>
      <c r="F9698" s="1342"/>
      <c r="G9698" s="1342"/>
      <c r="H9698" s="1342"/>
      <c r="I9698" s="1342"/>
      <c r="J9698" s="1342"/>
      <c r="K9698" s="1342"/>
    </row>
    <row r="9699" spans="2:11" ht="14" hidden="1">
      <c r="B9699" s="1342"/>
      <c r="C9699" s="1342"/>
      <c r="D9699" s="1342"/>
      <c r="E9699" s="1342"/>
      <c r="F9699" s="1342"/>
      <c r="G9699" s="1342"/>
      <c r="H9699" s="1342"/>
      <c r="I9699" s="1342"/>
      <c r="J9699" s="1342"/>
      <c r="K9699" s="1342"/>
    </row>
    <row r="9700" spans="2:11" ht="14" hidden="1">
      <c r="B9700" s="1342"/>
      <c r="C9700" s="1342"/>
      <c r="D9700" s="1342"/>
      <c r="E9700" s="1342"/>
      <c r="F9700" s="1342"/>
      <c r="G9700" s="1342"/>
      <c r="H9700" s="1342"/>
      <c r="I9700" s="1342"/>
      <c r="J9700" s="1342"/>
      <c r="K9700" s="1342"/>
    </row>
    <row r="9701" spans="2:11" ht="14" hidden="1">
      <c r="B9701" s="1342"/>
      <c r="C9701" s="1342"/>
      <c r="D9701" s="1342"/>
      <c r="E9701" s="1342"/>
      <c r="F9701" s="1342"/>
      <c r="G9701" s="1342"/>
      <c r="H9701" s="1342"/>
      <c r="I9701" s="1342"/>
      <c r="J9701" s="1342"/>
      <c r="K9701" s="1342"/>
    </row>
    <row r="9702" spans="2:11" ht="14" hidden="1">
      <c r="B9702" s="1342"/>
      <c r="C9702" s="1342"/>
      <c r="D9702" s="1342"/>
      <c r="E9702" s="1342"/>
      <c r="F9702" s="1342"/>
      <c r="G9702" s="1342"/>
      <c r="H9702" s="1342"/>
      <c r="I9702" s="1342"/>
      <c r="J9702" s="1342"/>
      <c r="K9702" s="1342"/>
    </row>
    <row r="9703" spans="2:11" ht="14" hidden="1">
      <c r="B9703" s="1342"/>
      <c r="C9703" s="1342"/>
      <c r="D9703" s="1342"/>
      <c r="E9703" s="1342"/>
      <c r="F9703" s="1342"/>
      <c r="G9703" s="1342"/>
      <c r="H9703" s="1342"/>
      <c r="I9703" s="1342"/>
      <c r="J9703" s="1342"/>
      <c r="K9703" s="1342"/>
    </row>
    <row r="9704" spans="2:11" ht="14" hidden="1">
      <c r="B9704" s="1342"/>
      <c r="C9704" s="1342"/>
      <c r="D9704" s="1342"/>
      <c r="E9704" s="1342"/>
      <c r="F9704" s="1342"/>
      <c r="G9704" s="1342"/>
      <c r="H9704" s="1342"/>
      <c r="I9704" s="1342"/>
      <c r="J9704" s="1342"/>
      <c r="K9704" s="1342"/>
    </row>
    <row r="9705" spans="2:11" ht="14" hidden="1">
      <c r="B9705" s="1342"/>
      <c r="C9705" s="1342"/>
      <c r="D9705" s="1342"/>
      <c r="E9705" s="1342"/>
      <c r="F9705" s="1342"/>
      <c r="G9705" s="1342"/>
      <c r="H9705" s="1342"/>
      <c r="I9705" s="1342"/>
      <c r="J9705" s="1342"/>
      <c r="K9705" s="1342"/>
    </row>
    <row r="9706" spans="2:11" ht="14" hidden="1">
      <c r="B9706" s="1342"/>
      <c r="C9706" s="1342"/>
      <c r="D9706" s="1342"/>
      <c r="E9706" s="1342"/>
      <c r="F9706" s="1342"/>
      <c r="G9706" s="1342"/>
      <c r="H9706" s="1342"/>
      <c r="I9706" s="1342"/>
      <c r="J9706" s="1342"/>
      <c r="K9706" s="1342"/>
    </row>
    <row r="9707" spans="2:11" ht="14" hidden="1">
      <c r="B9707" s="1342"/>
      <c r="C9707" s="1342"/>
      <c r="D9707" s="1342"/>
      <c r="E9707" s="1342"/>
      <c r="F9707" s="1342"/>
      <c r="G9707" s="1342"/>
      <c r="H9707" s="1342"/>
      <c r="I9707" s="1342"/>
      <c r="J9707" s="1342"/>
      <c r="K9707" s="1342"/>
    </row>
    <row r="9708" spans="2:11" ht="14" hidden="1">
      <c r="B9708" s="1342"/>
      <c r="C9708" s="1342"/>
      <c r="D9708" s="1342"/>
      <c r="E9708" s="1342"/>
      <c r="F9708" s="1342"/>
      <c r="G9708" s="1342"/>
      <c r="H9708" s="1342"/>
      <c r="I9708" s="1342"/>
      <c r="J9708" s="1342"/>
      <c r="K9708" s="1342"/>
    </row>
    <row r="9709" spans="2:11" ht="14" hidden="1">
      <c r="B9709" s="1342"/>
      <c r="C9709" s="1342"/>
      <c r="D9709" s="1342"/>
      <c r="E9709" s="1342"/>
      <c r="F9709" s="1342"/>
      <c r="G9709" s="1342"/>
      <c r="H9709" s="1342"/>
      <c r="I9709" s="1342"/>
      <c r="J9709" s="1342"/>
      <c r="K9709" s="1342"/>
    </row>
    <row r="9710" spans="2:11" ht="14" hidden="1">
      <c r="B9710" s="1342"/>
      <c r="C9710" s="1342"/>
      <c r="D9710" s="1342"/>
      <c r="E9710" s="1342"/>
      <c r="F9710" s="1342"/>
      <c r="G9710" s="1342"/>
      <c r="H9710" s="1342"/>
      <c r="I9710" s="1342"/>
      <c r="J9710" s="1342"/>
      <c r="K9710" s="1342"/>
    </row>
    <row r="9711" spans="2:11" ht="14" hidden="1">
      <c r="B9711" s="1342"/>
      <c r="C9711" s="1342"/>
      <c r="D9711" s="1342"/>
      <c r="E9711" s="1342"/>
      <c r="F9711" s="1342"/>
      <c r="G9711" s="1342"/>
      <c r="H9711" s="1342"/>
      <c r="I9711" s="1342"/>
      <c r="J9711" s="1342"/>
      <c r="K9711" s="1342"/>
    </row>
    <row r="9712" spans="2:11" ht="14" hidden="1">
      <c r="B9712" s="1342"/>
      <c r="C9712" s="1342"/>
      <c r="D9712" s="1342"/>
      <c r="E9712" s="1342"/>
      <c r="F9712" s="1342"/>
      <c r="G9712" s="1342"/>
      <c r="H9712" s="1342"/>
      <c r="I9712" s="1342"/>
      <c r="J9712" s="1342"/>
      <c r="K9712" s="1342"/>
    </row>
    <row r="9713" spans="2:11" ht="14" hidden="1">
      <c r="B9713" s="1342"/>
      <c r="C9713" s="1342"/>
      <c r="D9713" s="1342"/>
      <c r="E9713" s="1342"/>
      <c r="F9713" s="1342"/>
      <c r="G9713" s="1342"/>
      <c r="H9713" s="1342"/>
      <c r="I9713" s="1342"/>
      <c r="J9713" s="1342"/>
      <c r="K9713" s="1342"/>
    </row>
    <row r="9714" spans="2:11" ht="14" hidden="1">
      <c r="B9714" s="1342"/>
      <c r="C9714" s="1342"/>
      <c r="D9714" s="1342"/>
      <c r="E9714" s="1342"/>
      <c r="F9714" s="1342"/>
      <c r="G9714" s="1342"/>
      <c r="H9714" s="1342"/>
      <c r="I9714" s="1342"/>
      <c r="J9714" s="1342"/>
      <c r="K9714" s="1342"/>
    </row>
    <row r="9715" spans="2:11" ht="14" hidden="1">
      <c r="B9715" s="1342"/>
      <c r="C9715" s="1342"/>
      <c r="D9715" s="1342"/>
      <c r="E9715" s="1342"/>
      <c r="F9715" s="1342"/>
      <c r="G9715" s="1342"/>
      <c r="H9715" s="1342"/>
      <c r="I9715" s="1342"/>
      <c r="J9715" s="1342"/>
      <c r="K9715" s="1342"/>
    </row>
    <row r="9716" spans="2:11" ht="14" hidden="1">
      <c r="B9716" s="1342"/>
      <c r="C9716" s="1342"/>
      <c r="D9716" s="1342"/>
      <c r="E9716" s="1342"/>
      <c r="F9716" s="1342"/>
      <c r="G9716" s="1342"/>
      <c r="H9716" s="1342"/>
      <c r="I9716" s="1342"/>
      <c r="J9716" s="1342"/>
      <c r="K9716" s="1342"/>
    </row>
    <row r="9717" spans="2:11" ht="14" hidden="1">
      <c r="B9717" s="1342"/>
      <c r="C9717" s="1342"/>
      <c r="D9717" s="1342"/>
      <c r="E9717" s="1342"/>
      <c r="F9717" s="1342"/>
      <c r="G9717" s="1342"/>
      <c r="H9717" s="1342"/>
      <c r="I9717" s="1342"/>
      <c r="J9717" s="1342"/>
      <c r="K9717" s="1342"/>
    </row>
    <row r="9718" spans="2:11" ht="14" hidden="1">
      <c r="B9718" s="1342"/>
      <c r="C9718" s="1342"/>
      <c r="D9718" s="1342"/>
      <c r="E9718" s="1342"/>
      <c r="F9718" s="1342"/>
      <c r="G9718" s="1342"/>
      <c r="H9718" s="1342"/>
      <c r="I9718" s="1342"/>
      <c r="J9718" s="1342"/>
      <c r="K9718" s="1342"/>
    </row>
    <row r="9719" spans="2:11" ht="14" hidden="1">
      <c r="B9719" s="1342"/>
      <c r="C9719" s="1342"/>
      <c r="D9719" s="1342"/>
      <c r="E9719" s="1342"/>
      <c r="F9719" s="1342"/>
      <c r="G9719" s="1342"/>
      <c r="H9719" s="1342"/>
      <c r="I9719" s="1342"/>
      <c r="J9719" s="1342"/>
      <c r="K9719" s="1342"/>
    </row>
    <row r="9720" spans="2:11" ht="14" hidden="1">
      <c r="B9720" s="1342"/>
      <c r="C9720" s="1342"/>
      <c r="D9720" s="1342"/>
      <c r="E9720" s="1342"/>
      <c r="F9720" s="1342"/>
      <c r="G9720" s="1342"/>
      <c r="H9720" s="1342"/>
      <c r="I9720" s="1342"/>
      <c r="J9720" s="1342"/>
      <c r="K9720" s="1342"/>
    </row>
    <row r="9721" spans="2:11" ht="14" hidden="1">
      <c r="B9721" s="1342"/>
      <c r="C9721" s="1342"/>
      <c r="D9721" s="1342"/>
      <c r="E9721" s="1342"/>
      <c r="F9721" s="1342"/>
      <c r="G9721" s="1342"/>
      <c r="H9721" s="1342"/>
      <c r="I9721" s="1342"/>
      <c r="J9721" s="1342"/>
      <c r="K9721" s="1342"/>
    </row>
    <row r="9722" spans="2:11" ht="14" hidden="1">
      <c r="B9722" s="1342"/>
      <c r="C9722" s="1342"/>
      <c r="D9722" s="1342"/>
      <c r="E9722" s="1342"/>
      <c r="F9722" s="1342"/>
      <c r="G9722" s="1342"/>
      <c r="H9722" s="1342"/>
      <c r="I9722" s="1342"/>
      <c r="J9722" s="1342"/>
      <c r="K9722" s="1342"/>
    </row>
    <row r="9723" spans="2:11" ht="14" hidden="1">
      <c r="B9723" s="1342"/>
      <c r="C9723" s="1342"/>
      <c r="D9723" s="1342"/>
      <c r="E9723" s="1342"/>
      <c r="F9723" s="1342"/>
      <c r="G9723" s="1342"/>
      <c r="H9723" s="1342"/>
      <c r="I9723" s="1342"/>
      <c r="J9723" s="1342"/>
      <c r="K9723" s="1342"/>
    </row>
    <row r="9724" spans="2:11" ht="14" hidden="1">
      <c r="B9724" s="1342"/>
      <c r="C9724" s="1342"/>
      <c r="D9724" s="1342"/>
      <c r="E9724" s="1342"/>
      <c r="F9724" s="1342"/>
      <c r="G9724" s="1342"/>
      <c r="H9724" s="1342"/>
      <c r="I9724" s="1342"/>
      <c r="J9724" s="1342"/>
      <c r="K9724" s="1342"/>
    </row>
    <row r="9725" spans="2:11" ht="14" hidden="1">
      <c r="B9725" s="1342"/>
      <c r="C9725" s="1342"/>
      <c r="D9725" s="1342"/>
      <c r="E9725" s="1342"/>
      <c r="F9725" s="1342"/>
      <c r="G9725" s="1342"/>
      <c r="H9725" s="1342"/>
      <c r="I9725" s="1342"/>
      <c r="J9725" s="1342"/>
      <c r="K9725" s="1342"/>
    </row>
    <row r="9726" spans="2:11" ht="14" hidden="1">
      <c r="B9726" s="1342"/>
      <c r="C9726" s="1342"/>
      <c r="D9726" s="1342"/>
      <c r="E9726" s="1342"/>
      <c r="F9726" s="1342"/>
      <c r="G9726" s="1342"/>
      <c r="H9726" s="1342"/>
      <c r="I9726" s="1342"/>
      <c r="J9726" s="1342"/>
      <c r="K9726" s="1342"/>
    </row>
    <row r="9727" spans="2:11" ht="14" hidden="1">
      <c r="B9727" s="1342"/>
      <c r="C9727" s="1342"/>
      <c r="D9727" s="1342"/>
      <c r="E9727" s="1342"/>
      <c r="F9727" s="1342"/>
      <c r="G9727" s="1342"/>
      <c r="H9727" s="1342"/>
      <c r="I9727" s="1342"/>
      <c r="J9727" s="1342"/>
      <c r="K9727" s="1342"/>
    </row>
    <row r="9728" spans="2:11" ht="14" hidden="1">
      <c r="B9728" s="1342"/>
      <c r="C9728" s="1342"/>
      <c r="D9728" s="1342"/>
      <c r="E9728" s="1342"/>
      <c r="F9728" s="1342"/>
      <c r="G9728" s="1342"/>
      <c r="H9728" s="1342"/>
      <c r="I9728" s="1342"/>
      <c r="J9728" s="1342"/>
      <c r="K9728" s="1342"/>
    </row>
    <row r="9729" spans="2:11" ht="14" hidden="1">
      <c r="B9729" s="1342"/>
      <c r="C9729" s="1342"/>
      <c r="D9729" s="1342"/>
      <c r="E9729" s="1342"/>
      <c r="F9729" s="1342"/>
      <c r="G9729" s="1342"/>
      <c r="H9729" s="1342"/>
      <c r="I9729" s="1342"/>
      <c r="J9729" s="1342"/>
      <c r="K9729" s="1342"/>
    </row>
    <row r="9730" spans="2:11" ht="14" hidden="1">
      <c r="B9730" s="1342"/>
      <c r="C9730" s="1342"/>
      <c r="D9730" s="1342"/>
      <c r="E9730" s="1342"/>
      <c r="F9730" s="1342"/>
      <c r="G9730" s="1342"/>
      <c r="H9730" s="1342"/>
      <c r="I9730" s="1342"/>
      <c r="J9730" s="1342"/>
      <c r="K9730" s="1342"/>
    </row>
    <row r="9731" spans="2:11" ht="14" hidden="1">
      <c r="B9731" s="1342"/>
      <c r="C9731" s="1342"/>
      <c r="D9731" s="1342"/>
      <c r="E9731" s="1342"/>
      <c r="F9731" s="1342"/>
      <c r="G9731" s="1342"/>
      <c r="H9731" s="1342"/>
      <c r="I9731" s="1342"/>
      <c r="J9731" s="1342"/>
      <c r="K9731" s="1342"/>
    </row>
    <row r="9732" spans="2:11" ht="14" hidden="1">
      <c r="B9732" s="1342"/>
      <c r="C9732" s="1342"/>
      <c r="D9732" s="1342"/>
      <c r="E9732" s="1342"/>
      <c r="F9732" s="1342"/>
      <c r="G9732" s="1342"/>
      <c r="H9732" s="1342"/>
      <c r="I9732" s="1342"/>
      <c r="J9732" s="1342"/>
      <c r="K9732" s="1342"/>
    </row>
    <row r="9733" spans="2:11" ht="14" hidden="1">
      <c r="B9733" s="1342"/>
      <c r="C9733" s="1342"/>
      <c r="D9733" s="1342"/>
      <c r="E9733" s="1342"/>
      <c r="F9733" s="1342"/>
      <c r="G9733" s="1342"/>
      <c r="H9733" s="1342"/>
      <c r="I9733" s="1342"/>
      <c r="J9733" s="1342"/>
      <c r="K9733" s="1342"/>
    </row>
    <row r="9734" spans="2:11" ht="14" hidden="1">
      <c r="B9734" s="1342"/>
      <c r="C9734" s="1342"/>
      <c r="D9734" s="1342"/>
      <c r="E9734" s="1342"/>
      <c r="F9734" s="1342"/>
      <c r="G9734" s="1342"/>
      <c r="H9734" s="1342"/>
      <c r="I9734" s="1342"/>
      <c r="J9734" s="1342"/>
      <c r="K9734" s="1342"/>
    </row>
    <row r="9735" spans="2:11" ht="14" hidden="1">
      <c r="B9735" s="1342"/>
      <c r="C9735" s="1342"/>
      <c r="D9735" s="1342"/>
      <c r="E9735" s="1342"/>
      <c r="F9735" s="1342"/>
      <c r="G9735" s="1342"/>
      <c r="H9735" s="1342"/>
      <c r="I9735" s="1342"/>
      <c r="J9735" s="1342"/>
      <c r="K9735" s="1342"/>
    </row>
    <row r="9736" spans="2:11" ht="14" hidden="1">
      <c r="B9736" s="1342"/>
      <c r="C9736" s="1342"/>
      <c r="D9736" s="1342"/>
      <c r="E9736" s="1342"/>
      <c r="F9736" s="1342"/>
      <c r="G9736" s="1342"/>
      <c r="H9736" s="1342"/>
      <c r="I9736" s="1342"/>
      <c r="J9736" s="1342"/>
      <c r="K9736" s="1342"/>
    </row>
    <row r="9737" spans="2:11" ht="14" hidden="1">
      <c r="B9737" s="1342"/>
      <c r="C9737" s="1342"/>
      <c r="D9737" s="1342"/>
      <c r="E9737" s="1342"/>
      <c r="F9737" s="1342"/>
      <c r="G9737" s="1342"/>
      <c r="H9737" s="1342"/>
      <c r="I9737" s="1342"/>
      <c r="J9737" s="1342"/>
      <c r="K9737" s="1342"/>
    </row>
    <row r="9738" spans="2:11" ht="14" hidden="1">
      <c r="B9738" s="1342"/>
      <c r="C9738" s="1342"/>
      <c r="D9738" s="1342"/>
      <c r="E9738" s="1342"/>
      <c r="F9738" s="1342"/>
      <c r="G9738" s="1342"/>
      <c r="H9738" s="1342"/>
      <c r="I9738" s="1342"/>
      <c r="J9738" s="1342"/>
      <c r="K9738" s="1342"/>
    </row>
    <row r="9739" spans="2:11" ht="14" hidden="1">
      <c r="B9739" s="1342"/>
      <c r="C9739" s="1342"/>
      <c r="D9739" s="1342"/>
      <c r="E9739" s="1342"/>
      <c r="F9739" s="1342"/>
      <c r="G9739" s="1342"/>
      <c r="H9739" s="1342"/>
      <c r="I9739" s="1342"/>
      <c r="J9739" s="1342"/>
      <c r="K9739" s="1342"/>
    </row>
    <row r="9740" spans="2:11" ht="14" hidden="1">
      <c r="B9740" s="1342"/>
      <c r="C9740" s="1342"/>
      <c r="D9740" s="1342"/>
      <c r="E9740" s="1342"/>
      <c r="F9740" s="1342"/>
      <c r="G9740" s="1342"/>
      <c r="H9740" s="1342"/>
      <c r="I9740" s="1342"/>
      <c r="J9740" s="1342"/>
      <c r="K9740" s="1342"/>
    </row>
    <row r="9741" spans="2:11" ht="14" hidden="1">
      <c r="B9741" s="1342"/>
      <c r="C9741" s="1342"/>
      <c r="D9741" s="1342"/>
      <c r="E9741" s="1342"/>
      <c r="F9741" s="1342"/>
      <c r="G9741" s="1342"/>
      <c r="H9741" s="1342"/>
      <c r="I9741" s="1342"/>
      <c r="J9741" s="1342"/>
      <c r="K9741" s="1342"/>
    </row>
    <row r="9742" spans="2:11" ht="14" hidden="1">
      <c r="B9742" s="1342"/>
      <c r="C9742" s="1342"/>
      <c r="D9742" s="1342"/>
      <c r="E9742" s="1342"/>
      <c r="F9742" s="1342"/>
      <c r="G9742" s="1342"/>
      <c r="H9742" s="1342"/>
      <c r="I9742" s="1342"/>
      <c r="J9742" s="1342"/>
      <c r="K9742" s="1342"/>
    </row>
    <row r="9743" spans="2:11" ht="14" hidden="1">
      <c r="B9743" s="1342"/>
      <c r="C9743" s="1342"/>
      <c r="D9743" s="1342"/>
      <c r="E9743" s="1342"/>
      <c r="F9743" s="1342"/>
      <c r="G9743" s="1342"/>
      <c r="H9743" s="1342"/>
      <c r="I9743" s="1342"/>
      <c r="J9743" s="1342"/>
      <c r="K9743" s="1342"/>
    </row>
    <row r="9744" spans="2:11" ht="14" hidden="1">
      <c r="B9744" s="1342"/>
      <c r="C9744" s="1342"/>
      <c r="D9744" s="1342"/>
      <c r="E9744" s="1342"/>
      <c r="F9744" s="1342"/>
      <c r="G9744" s="1342"/>
      <c r="H9744" s="1342"/>
      <c r="I9744" s="1342"/>
      <c r="J9744" s="1342"/>
      <c r="K9744" s="1342"/>
    </row>
    <row r="9745" spans="2:11" ht="14" hidden="1">
      <c r="B9745" s="1342"/>
      <c r="C9745" s="1342"/>
      <c r="D9745" s="1342"/>
      <c r="E9745" s="1342"/>
      <c r="F9745" s="1342"/>
      <c r="G9745" s="1342"/>
      <c r="H9745" s="1342"/>
      <c r="I9745" s="1342"/>
      <c r="J9745" s="1342"/>
      <c r="K9745" s="1342"/>
    </row>
    <row r="9746" spans="2:11" ht="14" hidden="1">
      <c r="B9746" s="1342"/>
      <c r="C9746" s="1342"/>
      <c r="D9746" s="1342"/>
      <c r="E9746" s="1342"/>
      <c r="F9746" s="1342"/>
      <c r="G9746" s="1342"/>
      <c r="H9746" s="1342"/>
      <c r="I9746" s="1342"/>
      <c r="J9746" s="1342"/>
      <c r="K9746" s="1342"/>
    </row>
    <row r="9747" spans="2:11" ht="14" hidden="1">
      <c r="B9747" s="1342"/>
      <c r="C9747" s="1342"/>
      <c r="D9747" s="1342"/>
      <c r="E9747" s="1342"/>
      <c r="F9747" s="1342"/>
      <c r="G9747" s="1342"/>
      <c r="H9747" s="1342"/>
      <c r="I9747" s="1342"/>
      <c r="J9747" s="1342"/>
      <c r="K9747" s="1342"/>
    </row>
    <row r="9748" spans="2:11" ht="14" hidden="1">
      <c r="B9748" s="1342"/>
      <c r="C9748" s="1342"/>
      <c r="D9748" s="1342"/>
      <c r="E9748" s="1342"/>
      <c r="F9748" s="1342"/>
      <c r="G9748" s="1342"/>
      <c r="H9748" s="1342"/>
      <c r="I9748" s="1342"/>
      <c r="J9748" s="1342"/>
      <c r="K9748" s="1342"/>
    </row>
    <row r="9749" spans="2:11" ht="14" hidden="1">
      <c r="B9749" s="1342"/>
      <c r="C9749" s="1342"/>
      <c r="D9749" s="1342"/>
      <c r="E9749" s="1342"/>
      <c r="F9749" s="1342"/>
      <c r="G9749" s="1342"/>
      <c r="H9749" s="1342"/>
      <c r="I9749" s="1342"/>
      <c r="J9749" s="1342"/>
      <c r="K9749" s="1342"/>
    </row>
    <row r="9750" spans="2:11" ht="14" hidden="1">
      <c r="B9750" s="1342"/>
      <c r="C9750" s="1342"/>
      <c r="D9750" s="1342"/>
      <c r="E9750" s="1342"/>
      <c r="F9750" s="1342"/>
      <c r="G9750" s="1342"/>
      <c r="H9750" s="1342"/>
      <c r="I9750" s="1342"/>
      <c r="J9750" s="1342"/>
      <c r="K9750" s="1342"/>
    </row>
    <row r="9751" spans="2:11" ht="14" hidden="1">
      <c r="B9751" s="1342"/>
      <c r="C9751" s="1342"/>
      <c r="D9751" s="1342"/>
      <c r="E9751" s="1342"/>
      <c r="F9751" s="1342"/>
      <c r="G9751" s="1342"/>
      <c r="H9751" s="1342"/>
      <c r="I9751" s="1342"/>
      <c r="J9751" s="1342"/>
      <c r="K9751" s="1342"/>
    </row>
    <row r="9752" spans="2:11" ht="14" hidden="1">
      <c r="B9752" s="1342"/>
      <c r="C9752" s="1342"/>
      <c r="D9752" s="1342"/>
      <c r="E9752" s="1342"/>
      <c r="F9752" s="1342"/>
      <c r="G9752" s="1342"/>
      <c r="H9752" s="1342"/>
      <c r="I9752" s="1342"/>
      <c r="J9752" s="1342"/>
      <c r="K9752" s="1342"/>
    </row>
    <row r="9753" spans="2:11" ht="14" hidden="1">
      <c r="B9753" s="1342"/>
      <c r="C9753" s="1342"/>
      <c r="D9753" s="1342"/>
      <c r="E9753" s="1342"/>
      <c r="F9753" s="1342"/>
      <c r="G9753" s="1342"/>
      <c r="H9753" s="1342"/>
      <c r="I9753" s="1342"/>
      <c r="J9753" s="1342"/>
      <c r="K9753" s="1342"/>
    </row>
    <row r="9754" spans="2:11" ht="14" hidden="1">
      <c r="B9754" s="1342"/>
      <c r="C9754" s="1342"/>
      <c r="D9754" s="1342"/>
      <c r="E9754" s="1342"/>
      <c r="F9754" s="1342"/>
      <c r="G9754" s="1342"/>
      <c r="H9754" s="1342"/>
      <c r="I9754" s="1342"/>
      <c r="J9754" s="1342"/>
      <c r="K9754" s="1342"/>
    </row>
    <row r="9755" spans="2:11" ht="14" hidden="1">
      <c r="B9755" s="1342"/>
      <c r="C9755" s="1342"/>
      <c r="D9755" s="1342"/>
      <c r="E9755" s="1342"/>
      <c r="F9755" s="1342"/>
      <c r="G9755" s="1342"/>
      <c r="H9755" s="1342"/>
      <c r="I9755" s="1342"/>
      <c r="J9755" s="1342"/>
      <c r="K9755" s="1342"/>
    </row>
    <row r="9756" spans="2:11" ht="14" hidden="1">
      <c r="B9756" s="1342"/>
      <c r="C9756" s="1342"/>
      <c r="D9756" s="1342"/>
      <c r="E9756" s="1342"/>
      <c r="F9756" s="1342"/>
      <c r="G9756" s="1342"/>
      <c r="H9756" s="1342"/>
      <c r="I9756" s="1342"/>
      <c r="J9756" s="1342"/>
      <c r="K9756" s="1342"/>
    </row>
    <row r="9757" spans="2:11" ht="14" hidden="1">
      <c r="B9757" s="1342"/>
      <c r="C9757" s="1342"/>
      <c r="D9757" s="1342"/>
      <c r="E9757" s="1342"/>
      <c r="F9757" s="1342"/>
      <c r="G9757" s="1342"/>
      <c r="H9757" s="1342"/>
      <c r="I9757" s="1342"/>
      <c r="J9757" s="1342"/>
      <c r="K9757" s="1342"/>
    </row>
    <row r="9758" spans="2:11" ht="14" hidden="1">
      <c r="B9758" s="1342"/>
      <c r="C9758" s="1342"/>
      <c r="D9758" s="1342"/>
      <c r="E9758" s="1342"/>
      <c r="F9758" s="1342"/>
      <c r="G9758" s="1342"/>
      <c r="H9758" s="1342"/>
      <c r="I9758" s="1342"/>
      <c r="J9758" s="1342"/>
      <c r="K9758" s="1342"/>
    </row>
    <row r="9759" spans="2:11" ht="14" hidden="1">
      <c r="B9759" s="1342"/>
      <c r="C9759" s="1342"/>
      <c r="D9759" s="1342"/>
      <c r="E9759" s="1342"/>
      <c r="F9759" s="1342"/>
      <c r="G9759" s="1342"/>
      <c r="H9759" s="1342"/>
      <c r="I9759" s="1342"/>
      <c r="J9759" s="1342"/>
      <c r="K9759" s="1342"/>
    </row>
    <row r="9760" spans="2:11" ht="14" hidden="1">
      <c r="B9760" s="1342"/>
      <c r="C9760" s="1342"/>
      <c r="D9760" s="1342"/>
      <c r="E9760" s="1342"/>
      <c r="F9760" s="1342"/>
      <c r="G9760" s="1342"/>
      <c r="H9760" s="1342"/>
      <c r="I9760" s="1342"/>
      <c r="J9760" s="1342"/>
      <c r="K9760" s="1342"/>
    </row>
    <row r="9761" spans="2:11" ht="14" hidden="1">
      <c r="B9761" s="1342"/>
      <c r="C9761" s="1342"/>
      <c r="D9761" s="1342"/>
      <c r="E9761" s="1342"/>
      <c r="F9761" s="1342"/>
      <c r="G9761" s="1342"/>
      <c r="H9761" s="1342"/>
      <c r="I9761" s="1342"/>
      <c r="J9761" s="1342"/>
      <c r="K9761" s="1342"/>
    </row>
    <row r="9762" spans="2:11" ht="14" hidden="1">
      <c r="B9762" s="1342"/>
      <c r="C9762" s="1342"/>
      <c r="D9762" s="1342"/>
      <c r="E9762" s="1342"/>
      <c r="F9762" s="1342"/>
      <c r="G9762" s="1342"/>
      <c r="H9762" s="1342"/>
      <c r="I9762" s="1342"/>
      <c r="J9762" s="1342"/>
      <c r="K9762" s="1342"/>
    </row>
    <row r="9763" spans="2:11" ht="14" hidden="1">
      <c r="B9763" s="1342"/>
      <c r="C9763" s="1342"/>
      <c r="D9763" s="1342"/>
      <c r="E9763" s="1342"/>
      <c r="F9763" s="1342"/>
      <c r="G9763" s="1342"/>
      <c r="H9763" s="1342"/>
      <c r="I9763" s="1342"/>
      <c r="J9763" s="1342"/>
      <c r="K9763" s="1342"/>
    </row>
    <row r="9764" spans="2:11" ht="14" hidden="1">
      <c r="B9764" s="1342"/>
      <c r="C9764" s="1342"/>
      <c r="D9764" s="1342"/>
      <c r="E9764" s="1342"/>
      <c r="F9764" s="1342"/>
      <c r="G9764" s="1342"/>
      <c r="H9764" s="1342"/>
      <c r="I9764" s="1342"/>
      <c r="J9764" s="1342"/>
      <c r="K9764" s="1342"/>
    </row>
    <row r="9765" spans="2:11" ht="14" hidden="1">
      <c r="B9765" s="1342"/>
      <c r="C9765" s="1342"/>
      <c r="D9765" s="1342"/>
      <c r="E9765" s="1342"/>
      <c r="F9765" s="1342"/>
      <c r="G9765" s="1342"/>
      <c r="H9765" s="1342"/>
      <c r="I9765" s="1342"/>
      <c r="J9765" s="1342"/>
      <c r="K9765" s="1342"/>
    </row>
    <row r="9766" spans="2:11" ht="14" hidden="1">
      <c r="B9766" s="1342"/>
      <c r="C9766" s="1342"/>
      <c r="D9766" s="1342"/>
      <c r="E9766" s="1342"/>
      <c r="F9766" s="1342"/>
      <c r="G9766" s="1342"/>
      <c r="H9766" s="1342"/>
      <c r="I9766" s="1342"/>
      <c r="J9766" s="1342"/>
      <c r="K9766" s="1342"/>
    </row>
    <row r="9767" spans="2:11" ht="14" hidden="1">
      <c r="B9767" s="1342"/>
      <c r="C9767" s="1342"/>
      <c r="D9767" s="1342"/>
      <c r="E9767" s="1342"/>
      <c r="F9767" s="1342"/>
      <c r="G9767" s="1342"/>
      <c r="H9767" s="1342"/>
      <c r="I9767" s="1342"/>
      <c r="J9767" s="1342"/>
      <c r="K9767" s="1342"/>
    </row>
    <row r="9768" spans="2:11" ht="14" hidden="1">
      <c r="B9768" s="1342"/>
      <c r="C9768" s="1342"/>
      <c r="D9768" s="1342"/>
      <c r="E9768" s="1342"/>
      <c r="F9768" s="1342"/>
      <c r="G9768" s="1342"/>
      <c r="H9768" s="1342"/>
      <c r="I9768" s="1342"/>
      <c r="J9768" s="1342"/>
      <c r="K9768" s="1342"/>
    </row>
    <row r="9769" spans="2:11" ht="14" hidden="1">
      <c r="B9769" s="1342"/>
      <c r="C9769" s="1342"/>
      <c r="D9769" s="1342"/>
      <c r="E9769" s="1342"/>
      <c r="F9769" s="1342"/>
      <c r="G9769" s="1342"/>
      <c r="H9769" s="1342"/>
      <c r="I9769" s="1342"/>
      <c r="J9769" s="1342"/>
      <c r="K9769" s="1342"/>
    </row>
    <row r="9770" spans="2:11" ht="14" hidden="1">
      <c r="B9770" s="1342"/>
      <c r="C9770" s="1342"/>
      <c r="D9770" s="1342"/>
      <c r="E9770" s="1342"/>
      <c r="F9770" s="1342"/>
      <c r="G9770" s="1342"/>
      <c r="H9770" s="1342"/>
      <c r="I9770" s="1342"/>
      <c r="J9770" s="1342"/>
      <c r="K9770" s="1342"/>
    </row>
    <row r="9771" spans="2:11" ht="14" hidden="1">
      <c r="B9771" s="1342"/>
      <c r="C9771" s="1342"/>
      <c r="D9771" s="1342"/>
      <c r="E9771" s="1342"/>
      <c r="F9771" s="1342"/>
      <c r="G9771" s="1342"/>
      <c r="H9771" s="1342"/>
      <c r="I9771" s="1342"/>
      <c r="J9771" s="1342"/>
      <c r="K9771" s="1342"/>
    </row>
    <row r="9772" spans="2:11" ht="14" hidden="1">
      <c r="B9772" s="1342"/>
      <c r="C9772" s="1342"/>
      <c r="D9772" s="1342"/>
      <c r="E9772" s="1342"/>
      <c r="F9772" s="1342"/>
      <c r="G9772" s="1342"/>
      <c r="H9772" s="1342"/>
      <c r="I9772" s="1342"/>
      <c r="J9772" s="1342"/>
      <c r="K9772" s="1342"/>
    </row>
    <row r="9773" spans="2:11" ht="14" hidden="1">
      <c r="B9773" s="1342"/>
      <c r="C9773" s="1342"/>
      <c r="D9773" s="1342"/>
      <c r="E9773" s="1342"/>
      <c r="F9773" s="1342"/>
      <c r="G9773" s="1342"/>
      <c r="H9773" s="1342"/>
      <c r="I9773" s="1342"/>
      <c r="J9773" s="1342"/>
      <c r="K9773" s="1342"/>
    </row>
    <row r="9774" spans="2:11" ht="14" hidden="1">
      <c r="B9774" s="1342"/>
      <c r="C9774" s="1342"/>
      <c r="D9774" s="1342"/>
      <c r="E9774" s="1342"/>
      <c r="F9774" s="1342"/>
      <c r="G9774" s="1342"/>
      <c r="H9774" s="1342"/>
      <c r="I9774" s="1342"/>
      <c r="J9774" s="1342"/>
      <c r="K9774" s="1342"/>
    </row>
    <row r="9775" spans="2:11" ht="14" hidden="1">
      <c r="B9775" s="1342"/>
      <c r="C9775" s="1342"/>
      <c r="D9775" s="1342"/>
      <c r="E9775" s="1342"/>
      <c r="F9775" s="1342"/>
      <c r="G9775" s="1342"/>
      <c r="H9775" s="1342"/>
      <c r="I9775" s="1342"/>
      <c r="J9775" s="1342"/>
      <c r="K9775" s="1342"/>
    </row>
    <row r="9776" spans="2:11" ht="14" hidden="1">
      <c r="B9776" s="1342"/>
      <c r="C9776" s="1342"/>
      <c r="D9776" s="1342"/>
      <c r="E9776" s="1342"/>
      <c r="F9776" s="1342"/>
      <c r="G9776" s="1342"/>
      <c r="H9776" s="1342"/>
      <c r="I9776" s="1342"/>
      <c r="J9776" s="1342"/>
      <c r="K9776" s="1342"/>
    </row>
    <row r="9777" spans="2:11" ht="14" hidden="1">
      <c r="B9777" s="1342"/>
      <c r="C9777" s="1342"/>
      <c r="D9777" s="1342"/>
      <c r="E9777" s="1342"/>
      <c r="F9777" s="1342"/>
      <c r="G9777" s="1342"/>
      <c r="H9777" s="1342"/>
      <c r="I9777" s="1342"/>
      <c r="J9777" s="1342"/>
      <c r="K9777" s="1342"/>
    </row>
    <row r="9778" spans="2:11" ht="14" hidden="1">
      <c r="B9778" s="1342"/>
      <c r="C9778" s="1342"/>
      <c r="D9778" s="1342"/>
      <c r="E9778" s="1342"/>
      <c r="F9778" s="1342"/>
      <c r="G9778" s="1342"/>
      <c r="H9778" s="1342"/>
      <c r="I9778" s="1342"/>
      <c r="J9778" s="1342"/>
      <c r="K9778" s="1342"/>
    </row>
    <row r="9779" spans="2:11" ht="14" hidden="1">
      <c r="B9779" s="1342"/>
      <c r="C9779" s="1342"/>
      <c r="D9779" s="1342"/>
      <c r="E9779" s="1342"/>
      <c r="F9779" s="1342"/>
      <c r="G9779" s="1342"/>
      <c r="H9779" s="1342"/>
      <c r="I9779" s="1342"/>
      <c r="J9779" s="1342"/>
      <c r="K9779" s="1342"/>
    </row>
    <row r="9780" spans="2:11" ht="14" hidden="1">
      <c r="B9780" s="1342"/>
      <c r="C9780" s="1342"/>
      <c r="D9780" s="1342"/>
      <c r="E9780" s="1342"/>
      <c r="F9780" s="1342"/>
      <c r="G9780" s="1342"/>
      <c r="H9780" s="1342"/>
      <c r="I9780" s="1342"/>
      <c r="J9780" s="1342"/>
      <c r="K9780" s="1342"/>
    </row>
    <row r="9781" spans="2:11" ht="14" hidden="1">
      <c r="B9781" s="1342"/>
      <c r="C9781" s="1342"/>
      <c r="D9781" s="1342"/>
      <c r="E9781" s="1342"/>
      <c r="F9781" s="1342"/>
      <c r="G9781" s="1342"/>
      <c r="H9781" s="1342"/>
      <c r="I9781" s="1342"/>
      <c r="J9781" s="1342"/>
      <c r="K9781" s="1342"/>
    </row>
    <row r="9782" spans="2:11" ht="14" hidden="1">
      <c r="B9782" s="1342"/>
      <c r="C9782" s="1342"/>
      <c r="D9782" s="1342"/>
      <c r="E9782" s="1342"/>
      <c r="F9782" s="1342"/>
      <c r="G9782" s="1342"/>
      <c r="H9782" s="1342"/>
      <c r="I9782" s="1342"/>
      <c r="J9782" s="1342"/>
      <c r="K9782" s="1342"/>
    </row>
    <row r="9783" spans="2:11" ht="14" hidden="1">
      <c r="B9783" s="1342"/>
      <c r="C9783" s="1342"/>
      <c r="D9783" s="1342"/>
      <c r="E9783" s="1342"/>
      <c r="F9783" s="1342"/>
      <c r="G9783" s="1342"/>
      <c r="H9783" s="1342"/>
      <c r="I9783" s="1342"/>
      <c r="J9783" s="1342"/>
      <c r="K9783" s="1342"/>
    </row>
    <row r="9784" spans="2:11" ht="14" hidden="1">
      <c r="B9784" s="1342"/>
      <c r="C9784" s="1342"/>
      <c r="D9784" s="1342"/>
      <c r="E9784" s="1342"/>
      <c r="F9784" s="1342"/>
      <c r="G9784" s="1342"/>
      <c r="H9784" s="1342"/>
      <c r="I9784" s="1342"/>
      <c r="J9784" s="1342"/>
      <c r="K9784" s="1342"/>
    </row>
    <row r="9785" spans="2:11" ht="14" hidden="1">
      <c r="B9785" s="1342"/>
      <c r="C9785" s="1342"/>
      <c r="D9785" s="1342"/>
      <c r="E9785" s="1342"/>
      <c r="F9785" s="1342"/>
      <c r="G9785" s="1342"/>
      <c r="H9785" s="1342"/>
      <c r="I9785" s="1342"/>
      <c r="J9785" s="1342"/>
      <c r="K9785" s="1342"/>
    </row>
    <row r="9786" spans="2:11" ht="14" hidden="1">
      <c r="B9786" s="1342"/>
      <c r="C9786" s="1342"/>
      <c r="D9786" s="1342"/>
      <c r="E9786" s="1342"/>
      <c r="F9786" s="1342"/>
      <c r="G9786" s="1342"/>
      <c r="H9786" s="1342"/>
      <c r="I9786" s="1342"/>
      <c r="J9786" s="1342"/>
      <c r="K9786" s="1342"/>
    </row>
    <row r="9787" spans="2:11" ht="14" hidden="1">
      <c r="B9787" s="1342"/>
      <c r="C9787" s="1342"/>
      <c r="D9787" s="1342"/>
      <c r="E9787" s="1342"/>
      <c r="F9787" s="1342"/>
      <c r="G9787" s="1342"/>
      <c r="H9787" s="1342"/>
      <c r="I9787" s="1342"/>
      <c r="J9787" s="1342"/>
      <c r="K9787" s="1342"/>
    </row>
    <row r="9788" spans="2:11" ht="14" hidden="1">
      <c r="B9788" s="1342"/>
      <c r="C9788" s="1342"/>
      <c r="D9788" s="1342"/>
      <c r="E9788" s="1342"/>
      <c r="F9788" s="1342"/>
      <c r="G9788" s="1342"/>
      <c r="H9788" s="1342"/>
      <c r="I9788" s="1342"/>
      <c r="J9788" s="1342"/>
      <c r="K9788" s="1342"/>
    </row>
    <row r="9789" spans="2:11" ht="14" hidden="1">
      <c r="B9789" s="1342"/>
      <c r="C9789" s="1342"/>
      <c r="D9789" s="1342"/>
      <c r="E9789" s="1342"/>
      <c r="F9789" s="1342"/>
      <c r="G9789" s="1342"/>
      <c r="H9789" s="1342"/>
      <c r="I9789" s="1342"/>
      <c r="J9789" s="1342"/>
      <c r="K9789" s="1342"/>
    </row>
    <row r="9790" spans="2:11" ht="14" hidden="1">
      <c r="B9790" s="1342"/>
      <c r="C9790" s="1342"/>
      <c r="D9790" s="1342"/>
      <c r="E9790" s="1342"/>
      <c r="F9790" s="1342"/>
      <c r="G9790" s="1342"/>
      <c r="H9790" s="1342"/>
      <c r="I9790" s="1342"/>
      <c r="J9790" s="1342"/>
      <c r="K9790" s="1342"/>
    </row>
    <row r="9791" spans="2:11" ht="14" hidden="1">
      <c r="B9791" s="1342"/>
      <c r="C9791" s="1342"/>
      <c r="D9791" s="1342"/>
      <c r="E9791" s="1342"/>
      <c r="F9791" s="1342"/>
      <c r="G9791" s="1342"/>
      <c r="H9791" s="1342"/>
      <c r="I9791" s="1342"/>
      <c r="J9791" s="1342"/>
      <c r="K9791" s="1342"/>
    </row>
    <row r="9792" spans="2:11" ht="14" hidden="1">
      <c r="B9792" s="1342"/>
      <c r="C9792" s="1342"/>
      <c r="D9792" s="1342"/>
      <c r="E9792" s="1342"/>
      <c r="F9792" s="1342"/>
      <c r="G9792" s="1342"/>
      <c r="H9792" s="1342"/>
      <c r="I9792" s="1342"/>
      <c r="J9792" s="1342"/>
      <c r="K9792" s="1342"/>
    </row>
    <row r="9793" spans="2:11" ht="14" hidden="1">
      <c r="B9793" s="1342"/>
      <c r="C9793" s="1342"/>
      <c r="D9793" s="1342"/>
      <c r="E9793" s="1342"/>
      <c r="F9793" s="1342"/>
      <c r="G9793" s="1342"/>
      <c r="H9793" s="1342"/>
      <c r="I9793" s="1342"/>
      <c r="J9793" s="1342"/>
      <c r="K9793" s="1342"/>
    </row>
    <row r="9794" spans="2:11" ht="14" hidden="1">
      <c r="B9794" s="1342"/>
      <c r="C9794" s="1342"/>
      <c r="D9794" s="1342"/>
      <c r="E9794" s="1342"/>
      <c r="F9794" s="1342"/>
      <c r="G9794" s="1342"/>
      <c r="H9794" s="1342"/>
      <c r="I9794" s="1342"/>
      <c r="J9794" s="1342"/>
      <c r="K9794" s="1342"/>
    </row>
    <row r="9795" spans="2:11" ht="14" hidden="1">
      <c r="B9795" s="1342"/>
      <c r="C9795" s="1342"/>
      <c r="D9795" s="1342"/>
      <c r="E9795" s="1342"/>
      <c r="F9795" s="1342"/>
      <c r="G9795" s="1342"/>
      <c r="H9795" s="1342"/>
      <c r="I9795" s="1342"/>
      <c r="J9795" s="1342"/>
      <c r="K9795" s="1342"/>
    </row>
    <row r="9796" spans="2:11" ht="14" hidden="1">
      <c r="B9796" s="1342"/>
      <c r="C9796" s="1342"/>
      <c r="D9796" s="1342"/>
      <c r="E9796" s="1342"/>
      <c r="F9796" s="1342"/>
      <c r="G9796" s="1342"/>
      <c r="H9796" s="1342"/>
      <c r="I9796" s="1342"/>
      <c r="J9796" s="1342"/>
      <c r="K9796" s="1342"/>
    </row>
    <row r="9797" spans="2:11" ht="14" hidden="1">
      <c r="B9797" s="1342"/>
      <c r="C9797" s="1342"/>
      <c r="D9797" s="1342"/>
      <c r="E9797" s="1342"/>
      <c r="F9797" s="1342"/>
      <c r="G9797" s="1342"/>
      <c r="H9797" s="1342"/>
      <c r="I9797" s="1342"/>
      <c r="J9797" s="1342"/>
      <c r="K9797" s="1342"/>
    </row>
    <row r="9798" spans="2:11" ht="14" hidden="1">
      <c r="B9798" s="1342"/>
      <c r="C9798" s="1342"/>
      <c r="D9798" s="1342"/>
      <c r="E9798" s="1342"/>
      <c r="F9798" s="1342"/>
      <c r="G9798" s="1342"/>
      <c r="H9798" s="1342"/>
      <c r="I9798" s="1342"/>
      <c r="J9798" s="1342"/>
      <c r="K9798" s="1342"/>
    </row>
    <row r="9799" spans="2:11" ht="14" hidden="1">
      <c r="B9799" s="1342"/>
      <c r="C9799" s="1342"/>
      <c r="D9799" s="1342"/>
      <c r="E9799" s="1342"/>
      <c r="F9799" s="1342"/>
      <c r="G9799" s="1342"/>
      <c r="H9799" s="1342"/>
      <c r="I9799" s="1342"/>
      <c r="J9799" s="1342"/>
      <c r="K9799" s="1342"/>
    </row>
    <row r="9800" spans="2:11" ht="14" hidden="1">
      <c r="B9800" s="1342"/>
      <c r="C9800" s="1342"/>
      <c r="D9800" s="1342"/>
      <c r="E9800" s="1342"/>
      <c r="F9800" s="1342"/>
      <c r="G9800" s="1342"/>
      <c r="H9800" s="1342"/>
      <c r="I9800" s="1342"/>
      <c r="J9800" s="1342"/>
      <c r="K9800" s="1342"/>
    </row>
    <row r="9801" spans="2:11" ht="14" hidden="1">
      <c r="B9801" s="1342"/>
      <c r="C9801" s="1342"/>
      <c r="D9801" s="1342"/>
      <c r="E9801" s="1342"/>
      <c r="F9801" s="1342"/>
      <c r="G9801" s="1342"/>
      <c r="H9801" s="1342"/>
      <c r="I9801" s="1342"/>
      <c r="J9801" s="1342"/>
      <c r="K9801" s="1342"/>
    </row>
    <row r="9802" spans="2:11" ht="14" hidden="1">
      <c r="B9802" s="1342"/>
      <c r="C9802" s="1342"/>
      <c r="D9802" s="1342"/>
      <c r="E9802" s="1342"/>
      <c r="F9802" s="1342"/>
      <c r="G9802" s="1342"/>
      <c r="H9802" s="1342"/>
      <c r="I9802" s="1342"/>
      <c r="J9802" s="1342"/>
      <c r="K9802" s="1342"/>
    </row>
    <row r="9803" spans="2:11" ht="14" hidden="1">
      <c r="B9803" s="1342"/>
      <c r="C9803" s="1342"/>
      <c r="D9803" s="1342"/>
      <c r="E9803" s="1342"/>
      <c r="F9803" s="1342"/>
      <c r="G9803" s="1342"/>
      <c r="H9803" s="1342"/>
      <c r="I9803" s="1342"/>
      <c r="J9803" s="1342"/>
      <c r="K9803" s="1342"/>
    </row>
    <row r="9804" spans="2:11" ht="14" hidden="1">
      <c r="B9804" s="1342"/>
      <c r="C9804" s="1342"/>
      <c r="D9804" s="1342"/>
      <c r="E9804" s="1342"/>
      <c r="F9804" s="1342"/>
      <c r="G9804" s="1342"/>
      <c r="H9804" s="1342"/>
      <c r="I9804" s="1342"/>
      <c r="J9804" s="1342"/>
      <c r="K9804" s="1342"/>
    </row>
    <row r="9805" spans="2:11" ht="14" hidden="1">
      <c r="B9805" s="1342"/>
      <c r="C9805" s="1342"/>
      <c r="D9805" s="1342"/>
      <c r="E9805" s="1342"/>
      <c r="F9805" s="1342"/>
      <c r="G9805" s="1342"/>
      <c r="H9805" s="1342"/>
      <c r="I9805" s="1342"/>
      <c r="J9805" s="1342"/>
      <c r="K9805" s="1342"/>
    </row>
    <row r="9806" spans="2:11" ht="14" hidden="1">
      <c r="B9806" s="1342"/>
      <c r="C9806" s="1342"/>
      <c r="D9806" s="1342"/>
      <c r="E9806" s="1342"/>
      <c r="F9806" s="1342"/>
      <c r="G9806" s="1342"/>
      <c r="H9806" s="1342"/>
      <c r="I9806" s="1342"/>
      <c r="J9806" s="1342"/>
      <c r="K9806" s="1342"/>
    </row>
    <row r="9807" spans="2:11" ht="14" hidden="1">
      <c r="B9807" s="1342"/>
      <c r="C9807" s="1342"/>
      <c r="D9807" s="1342"/>
      <c r="E9807" s="1342"/>
      <c r="F9807" s="1342"/>
      <c r="G9807" s="1342"/>
      <c r="H9807" s="1342"/>
      <c r="I9807" s="1342"/>
      <c r="J9807" s="1342"/>
      <c r="K9807" s="1342"/>
    </row>
    <row r="9808" spans="2:11" ht="14" hidden="1">
      <c r="B9808" s="1342"/>
      <c r="C9808" s="1342"/>
      <c r="D9808" s="1342"/>
      <c r="E9808" s="1342"/>
      <c r="F9808" s="1342"/>
      <c r="G9808" s="1342"/>
      <c r="H9808" s="1342"/>
      <c r="I9808" s="1342"/>
      <c r="J9808" s="1342"/>
      <c r="K9808" s="1342"/>
    </row>
    <row r="9809" spans="2:11" ht="14" hidden="1">
      <c r="B9809" s="1342"/>
      <c r="C9809" s="1342"/>
      <c r="D9809" s="1342"/>
      <c r="E9809" s="1342"/>
      <c r="F9809" s="1342"/>
      <c r="G9809" s="1342"/>
      <c r="H9809" s="1342"/>
      <c r="I9809" s="1342"/>
      <c r="J9809" s="1342"/>
      <c r="K9809" s="1342"/>
    </row>
    <row r="9810" spans="2:11" ht="14" hidden="1">
      <c r="B9810" s="1342"/>
      <c r="C9810" s="1342"/>
      <c r="D9810" s="1342"/>
      <c r="E9810" s="1342"/>
      <c r="F9810" s="1342"/>
      <c r="G9810" s="1342"/>
      <c r="H9810" s="1342"/>
      <c r="I9810" s="1342"/>
      <c r="J9810" s="1342"/>
      <c r="K9810" s="1342"/>
    </row>
    <row r="9811" spans="2:11" ht="14" hidden="1">
      <c r="B9811" s="1342"/>
      <c r="C9811" s="1342"/>
      <c r="D9811" s="1342"/>
      <c r="E9811" s="1342"/>
      <c r="F9811" s="1342"/>
      <c r="G9811" s="1342"/>
      <c r="H9811" s="1342"/>
      <c r="I9811" s="1342"/>
      <c r="J9811" s="1342"/>
      <c r="K9811" s="1342"/>
    </row>
    <row r="9812" spans="2:11" ht="14" hidden="1">
      <c r="B9812" s="1342"/>
      <c r="C9812" s="1342"/>
      <c r="D9812" s="1342"/>
      <c r="E9812" s="1342"/>
      <c r="F9812" s="1342"/>
      <c r="G9812" s="1342"/>
      <c r="H9812" s="1342"/>
      <c r="I9812" s="1342"/>
      <c r="J9812" s="1342"/>
      <c r="K9812" s="1342"/>
    </row>
    <row r="9813" spans="2:11" ht="14" hidden="1">
      <c r="B9813" s="1342"/>
      <c r="C9813" s="1342"/>
      <c r="D9813" s="1342"/>
      <c r="E9813" s="1342"/>
      <c r="F9813" s="1342"/>
      <c r="G9813" s="1342"/>
      <c r="H9813" s="1342"/>
      <c r="I9813" s="1342"/>
      <c r="J9813" s="1342"/>
      <c r="K9813" s="1342"/>
    </row>
    <row r="9814" spans="2:11" ht="14" hidden="1">
      <c r="B9814" s="1342"/>
      <c r="C9814" s="1342"/>
      <c r="D9814" s="1342"/>
      <c r="E9814" s="1342"/>
      <c r="F9814" s="1342"/>
      <c r="G9814" s="1342"/>
      <c r="H9814" s="1342"/>
      <c r="I9814" s="1342"/>
      <c r="J9814" s="1342"/>
      <c r="K9814" s="1342"/>
    </row>
    <row r="9815" spans="2:11" ht="14" hidden="1">
      <c r="B9815" s="1342"/>
      <c r="C9815" s="1342"/>
      <c r="D9815" s="1342"/>
      <c r="E9815" s="1342"/>
      <c r="F9815" s="1342"/>
      <c r="G9815" s="1342"/>
      <c r="H9815" s="1342"/>
      <c r="I9815" s="1342"/>
      <c r="J9815" s="1342"/>
      <c r="K9815" s="1342"/>
    </row>
    <row r="9816" spans="2:11" ht="14" hidden="1">
      <c r="B9816" s="1342"/>
      <c r="C9816" s="1342"/>
      <c r="D9816" s="1342"/>
      <c r="E9816" s="1342"/>
      <c r="F9816" s="1342"/>
      <c r="G9816" s="1342"/>
      <c r="H9816" s="1342"/>
      <c r="I9816" s="1342"/>
      <c r="J9816" s="1342"/>
      <c r="K9816" s="1342"/>
    </row>
    <row r="9817" spans="2:11" ht="14" hidden="1">
      <c r="B9817" s="1342"/>
      <c r="C9817" s="1342"/>
      <c r="D9817" s="1342"/>
      <c r="E9817" s="1342"/>
      <c r="F9817" s="1342"/>
      <c r="G9817" s="1342"/>
      <c r="H9817" s="1342"/>
      <c r="I9817" s="1342"/>
      <c r="J9817" s="1342"/>
      <c r="K9817" s="1342"/>
    </row>
    <row r="9818" spans="2:11" ht="14" hidden="1">
      <c r="B9818" s="1342"/>
      <c r="C9818" s="1342"/>
      <c r="D9818" s="1342"/>
      <c r="E9818" s="1342"/>
      <c r="F9818" s="1342"/>
      <c r="G9818" s="1342"/>
      <c r="H9818" s="1342"/>
      <c r="I9818" s="1342"/>
      <c r="J9818" s="1342"/>
      <c r="K9818" s="1342"/>
    </row>
    <row r="9819" spans="2:11" ht="14" hidden="1">
      <c r="B9819" s="1342"/>
      <c r="C9819" s="1342"/>
      <c r="D9819" s="1342"/>
      <c r="E9819" s="1342"/>
      <c r="F9819" s="1342"/>
      <c r="G9819" s="1342"/>
      <c r="H9819" s="1342"/>
      <c r="I9819" s="1342"/>
      <c r="J9819" s="1342"/>
      <c r="K9819" s="1342"/>
    </row>
    <row r="9820" spans="2:11" ht="14" hidden="1">
      <c r="B9820" s="1342"/>
      <c r="C9820" s="1342"/>
      <c r="D9820" s="1342"/>
      <c r="E9820" s="1342"/>
      <c r="F9820" s="1342"/>
      <c r="G9820" s="1342"/>
      <c r="H9820" s="1342"/>
      <c r="I9820" s="1342"/>
      <c r="J9820" s="1342"/>
      <c r="K9820" s="1342"/>
    </row>
    <row r="9821" spans="2:11" ht="14" hidden="1">
      <c r="B9821" s="1342"/>
      <c r="C9821" s="1342"/>
      <c r="D9821" s="1342"/>
      <c r="E9821" s="1342"/>
      <c r="F9821" s="1342"/>
      <c r="G9821" s="1342"/>
      <c r="H9821" s="1342"/>
      <c r="I9821" s="1342"/>
      <c r="J9821" s="1342"/>
      <c r="K9821" s="1342"/>
    </row>
    <row r="9822" spans="2:11" ht="14" hidden="1">
      <c r="B9822" s="1342"/>
      <c r="C9822" s="1342"/>
      <c r="D9822" s="1342"/>
      <c r="E9822" s="1342"/>
      <c r="F9822" s="1342"/>
      <c r="G9822" s="1342"/>
      <c r="H9822" s="1342"/>
      <c r="I9822" s="1342"/>
      <c r="J9822" s="1342"/>
      <c r="K9822" s="1342"/>
    </row>
    <row r="9823" spans="2:11" ht="14" hidden="1">
      <c r="B9823" s="1342"/>
      <c r="C9823" s="1342"/>
      <c r="D9823" s="1342"/>
      <c r="E9823" s="1342"/>
      <c r="F9823" s="1342"/>
      <c r="G9823" s="1342"/>
      <c r="H9823" s="1342"/>
      <c r="I9823" s="1342"/>
      <c r="J9823" s="1342"/>
      <c r="K9823" s="1342"/>
    </row>
    <row r="9824" spans="2:11" ht="14" hidden="1">
      <c r="B9824" s="1342"/>
      <c r="C9824" s="1342"/>
      <c r="D9824" s="1342"/>
      <c r="E9824" s="1342"/>
      <c r="F9824" s="1342"/>
      <c r="G9824" s="1342"/>
      <c r="H9824" s="1342"/>
      <c r="I9824" s="1342"/>
      <c r="J9824" s="1342"/>
      <c r="K9824" s="1342"/>
    </row>
    <row r="9825" spans="2:11" ht="14" hidden="1">
      <c r="B9825" s="1342"/>
      <c r="C9825" s="1342"/>
      <c r="D9825" s="1342"/>
      <c r="E9825" s="1342"/>
      <c r="F9825" s="1342"/>
      <c r="G9825" s="1342"/>
      <c r="H9825" s="1342"/>
      <c r="I9825" s="1342"/>
      <c r="J9825" s="1342"/>
      <c r="K9825" s="1342"/>
    </row>
    <row r="9826" spans="2:11" ht="14" hidden="1">
      <c r="B9826" s="1342"/>
      <c r="C9826" s="1342"/>
      <c r="D9826" s="1342"/>
      <c r="E9826" s="1342"/>
      <c r="F9826" s="1342"/>
      <c r="G9826" s="1342"/>
      <c r="H9826" s="1342"/>
      <c r="I9826" s="1342"/>
      <c r="J9826" s="1342"/>
      <c r="K9826" s="1342"/>
    </row>
    <row r="9827" spans="2:11" ht="14" hidden="1">
      <c r="B9827" s="1342"/>
      <c r="C9827" s="1342"/>
      <c r="D9827" s="1342"/>
      <c r="E9827" s="1342"/>
      <c r="F9827" s="1342"/>
      <c r="G9827" s="1342"/>
      <c r="H9827" s="1342"/>
      <c r="I9827" s="1342"/>
      <c r="J9827" s="1342"/>
      <c r="K9827" s="1342"/>
    </row>
    <row r="9828" spans="2:11" ht="14" hidden="1">
      <c r="B9828" s="1342"/>
      <c r="C9828" s="1342"/>
      <c r="D9828" s="1342"/>
      <c r="E9828" s="1342"/>
      <c r="F9828" s="1342"/>
      <c r="G9828" s="1342"/>
      <c r="H9828" s="1342"/>
      <c r="I9828" s="1342"/>
      <c r="J9828" s="1342"/>
      <c r="K9828" s="1342"/>
    </row>
    <row r="9829" spans="2:11" ht="14" hidden="1">
      <c r="B9829" s="1342"/>
      <c r="C9829" s="1342"/>
      <c r="D9829" s="1342"/>
      <c r="E9829" s="1342"/>
      <c r="F9829" s="1342"/>
      <c r="G9829" s="1342"/>
      <c r="H9829" s="1342"/>
      <c r="I9829" s="1342"/>
      <c r="J9829" s="1342"/>
      <c r="K9829" s="1342"/>
    </row>
    <row r="9830" spans="2:11" ht="14" hidden="1">
      <c r="B9830" s="1342"/>
      <c r="C9830" s="1342"/>
      <c r="D9830" s="1342"/>
      <c r="E9830" s="1342"/>
      <c r="F9830" s="1342"/>
      <c r="G9830" s="1342"/>
      <c r="H9830" s="1342"/>
      <c r="I9830" s="1342"/>
      <c r="J9830" s="1342"/>
      <c r="K9830" s="1342"/>
    </row>
    <row r="9831" spans="2:11" ht="14" hidden="1">
      <c r="B9831" s="1342"/>
      <c r="C9831" s="1342"/>
      <c r="D9831" s="1342"/>
      <c r="E9831" s="1342"/>
      <c r="F9831" s="1342"/>
      <c r="G9831" s="1342"/>
      <c r="H9831" s="1342"/>
      <c r="I9831" s="1342"/>
      <c r="J9831" s="1342"/>
      <c r="K9831" s="1342"/>
    </row>
    <row r="9832" spans="2:11" ht="14" hidden="1">
      <c r="B9832" s="1342"/>
      <c r="C9832" s="1342"/>
      <c r="D9832" s="1342"/>
      <c r="E9832" s="1342"/>
      <c r="F9832" s="1342"/>
      <c r="G9832" s="1342"/>
      <c r="H9832" s="1342"/>
      <c r="I9832" s="1342"/>
      <c r="J9832" s="1342"/>
      <c r="K9832" s="1342"/>
    </row>
    <row r="9833" spans="2:11" ht="14" hidden="1">
      <c r="B9833" s="1342"/>
      <c r="C9833" s="1342"/>
      <c r="D9833" s="1342"/>
      <c r="E9833" s="1342"/>
      <c r="F9833" s="1342"/>
      <c r="G9833" s="1342"/>
      <c r="H9833" s="1342"/>
      <c r="I9833" s="1342"/>
      <c r="J9833" s="1342"/>
      <c r="K9833" s="1342"/>
    </row>
    <row r="9834" spans="2:11" ht="14" hidden="1">
      <c r="B9834" s="1342"/>
      <c r="C9834" s="1342"/>
      <c r="D9834" s="1342"/>
      <c r="E9834" s="1342"/>
      <c r="F9834" s="1342"/>
      <c r="G9834" s="1342"/>
      <c r="H9834" s="1342"/>
      <c r="I9834" s="1342"/>
      <c r="J9834" s="1342"/>
      <c r="K9834" s="1342"/>
    </row>
    <row r="9835" spans="2:11" ht="14" hidden="1">
      <c r="B9835" s="1342"/>
      <c r="C9835" s="1342"/>
      <c r="D9835" s="1342"/>
      <c r="E9835" s="1342"/>
      <c r="F9835" s="1342"/>
      <c r="G9835" s="1342"/>
      <c r="H9835" s="1342"/>
      <c r="I9835" s="1342"/>
      <c r="J9835" s="1342"/>
      <c r="K9835" s="1342"/>
    </row>
    <row r="9836" spans="2:11" ht="14" hidden="1">
      <c r="B9836" s="1342"/>
      <c r="C9836" s="1342"/>
      <c r="D9836" s="1342"/>
      <c r="E9836" s="1342"/>
      <c r="F9836" s="1342"/>
      <c r="G9836" s="1342"/>
      <c r="H9836" s="1342"/>
      <c r="I9836" s="1342"/>
      <c r="J9836" s="1342"/>
      <c r="K9836" s="1342"/>
    </row>
    <row r="9837" spans="2:11" ht="14" hidden="1">
      <c r="B9837" s="1342"/>
      <c r="C9837" s="1342"/>
      <c r="D9837" s="1342"/>
      <c r="E9837" s="1342"/>
      <c r="F9837" s="1342"/>
      <c r="G9837" s="1342"/>
      <c r="H9837" s="1342"/>
      <c r="I9837" s="1342"/>
      <c r="J9837" s="1342"/>
      <c r="K9837" s="1342"/>
    </row>
    <row r="9838" spans="2:11" ht="14" hidden="1">
      <c r="B9838" s="1342"/>
      <c r="C9838" s="1342"/>
      <c r="D9838" s="1342"/>
      <c r="E9838" s="1342"/>
      <c r="F9838" s="1342"/>
      <c r="G9838" s="1342"/>
      <c r="H9838" s="1342"/>
      <c r="I9838" s="1342"/>
      <c r="J9838" s="1342"/>
      <c r="K9838" s="1342"/>
    </row>
    <row r="9839" spans="2:11" ht="14" hidden="1">
      <c r="B9839" s="1342"/>
      <c r="C9839" s="1342"/>
      <c r="D9839" s="1342"/>
      <c r="E9839" s="1342"/>
      <c r="F9839" s="1342"/>
      <c r="G9839" s="1342"/>
      <c r="H9839" s="1342"/>
      <c r="I9839" s="1342"/>
      <c r="J9839" s="1342"/>
      <c r="K9839" s="1342"/>
    </row>
    <row r="9840" spans="2:11" ht="14" hidden="1">
      <c r="B9840" s="1342"/>
      <c r="C9840" s="1342"/>
      <c r="D9840" s="1342"/>
      <c r="E9840" s="1342"/>
      <c r="F9840" s="1342"/>
      <c r="G9840" s="1342"/>
      <c r="H9840" s="1342"/>
      <c r="I9840" s="1342"/>
      <c r="J9840" s="1342"/>
      <c r="K9840" s="1342"/>
    </row>
    <row r="9841" spans="2:11" ht="14" hidden="1">
      <c r="B9841" s="1342"/>
      <c r="C9841" s="1342"/>
      <c r="D9841" s="1342"/>
      <c r="E9841" s="1342"/>
      <c r="F9841" s="1342"/>
      <c r="G9841" s="1342"/>
      <c r="H9841" s="1342"/>
      <c r="I9841" s="1342"/>
      <c r="J9841" s="1342"/>
      <c r="K9841" s="1342"/>
    </row>
    <row r="9842" spans="2:11" ht="14" hidden="1">
      <c r="B9842" s="1342"/>
      <c r="C9842" s="1342"/>
      <c r="D9842" s="1342"/>
      <c r="E9842" s="1342"/>
      <c r="F9842" s="1342"/>
      <c r="G9842" s="1342"/>
      <c r="H9842" s="1342"/>
      <c r="I9842" s="1342"/>
      <c r="J9842" s="1342"/>
      <c r="K9842" s="1342"/>
    </row>
    <row r="9843" spans="2:11" ht="14" hidden="1">
      <c r="B9843" s="1342"/>
      <c r="C9843" s="1342"/>
      <c r="D9843" s="1342"/>
      <c r="E9843" s="1342"/>
      <c r="F9843" s="1342"/>
      <c r="G9843" s="1342"/>
      <c r="H9843" s="1342"/>
      <c r="I9843" s="1342"/>
      <c r="J9843" s="1342"/>
      <c r="K9843" s="1342"/>
    </row>
    <row r="9844" spans="2:11" ht="14" hidden="1">
      <c r="B9844" s="1342"/>
      <c r="C9844" s="1342"/>
      <c r="D9844" s="1342"/>
      <c r="E9844" s="1342"/>
      <c r="F9844" s="1342"/>
      <c r="G9844" s="1342"/>
      <c r="H9844" s="1342"/>
      <c r="I9844" s="1342"/>
      <c r="J9844" s="1342"/>
      <c r="K9844" s="1342"/>
    </row>
    <row r="9845" spans="2:11" ht="14" hidden="1">
      <c r="B9845" s="1342"/>
      <c r="C9845" s="1342"/>
      <c r="D9845" s="1342"/>
      <c r="E9845" s="1342"/>
      <c r="F9845" s="1342"/>
      <c r="G9845" s="1342"/>
      <c r="H9845" s="1342"/>
      <c r="I9845" s="1342"/>
      <c r="J9845" s="1342"/>
      <c r="K9845" s="1342"/>
    </row>
    <row r="9846" spans="2:11" ht="14" hidden="1">
      <c r="B9846" s="1342"/>
      <c r="C9846" s="1342"/>
      <c r="D9846" s="1342"/>
      <c r="E9846" s="1342"/>
      <c r="F9846" s="1342"/>
      <c r="G9846" s="1342"/>
      <c r="H9846" s="1342"/>
      <c r="I9846" s="1342"/>
      <c r="J9846" s="1342"/>
      <c r="K9846" s="1342"/>
    </row>
    <row r="9847" spans="2:11" ht="14" hidden="1">
      <c r="B9847" s="1342"/>
      <c r="C9847" s="1342"/>
      <c r="D9847" s="1342"/>
      <c r="E9847" s="1342"/>
      <c r="F9847" s="1342"/>
      <c r="G9847" s="1342"/>
      <c r="H9847" s="1342"/>
      <c r="I9847" s="1342"/>
      <c r="J9847" s="1342"/>
      <c r="K9847" s="1342"/>
    </row>
    <row r="9848" spans="2:11" ht="14" hidden="1">
      <c r="B9848" s="1342"/>
      <c r="C9848" s="1342"/>
      <c r="D9848" s="1342"/>
      <c r="E9848" s="1342"/>
      <c r="F9848" s="1342"/>
      <c r="G9848" s="1342"/>
      <c r="H9848" s="1342"/>
      <c r="I9848" s="1342"/>
      <c r="J9848" s="1342"/>
      <c r="K9848" s="1342"/>
    </row>
    <row r="9849" spans="2:11" ht="14" hidden="1">
      <c r="B9849" s="1342"/>
      <c r="C9849" s="1342"/>
      <c r="D9849" s="1342"/>
      <c r="E9849" s="1342"/>
      <c r="F9849" s="1342"/>
      <c r="G9849" s="1342"/>
      <c r="H9849" s="1342"/>
      <c r="I9849" s="1342"/>
      <c r="J9849" s="1342"/>
      <c r="K9849" s="1342"/>
    </row>
    <row r="9850" spans="2:11" ht="14" hidden="1">
      <c r="B9850" s="1342"/>
      <c r="C9850" s="1342"/>
      <c r="D9850" s="1342"/>
      <c r="E9850" s="1342"/>
      <c r="F9850" s="1342"/>
      <c r="G9850" s="1342"/>
      <c r="H9850" s="1342"/>
      <c r="I9850" s="1342"/>
      <c r="J9850" s="1342"/>
      <c r="K9850" s="1342"/>
    </row>
    <row r="9851" spans="2:11" ht="14" hidden="1">
      <c r="B9851" s="1342"/>
      <c r="C9851" s="1342"/>
      <c r="D9851" s="1342"/>
      <c r="E9851" s="1342"/>
      <c r="F9851" s="1342"/>
      <c r="G9851" s="1342"/>
      <c r="H9851" s="1342"/>
      <c r="I9851" s="1342"/>
      <c r="J9851" s="1342"/>
      <c r="K9851" s="1342"/>
    </row>
    <row r="9852" spans="2:11" ht="14" hidden="1">
      <c r="B9852" s="1342"/>
      <c r="C9852" s="1342"/>
      <c r="D9852" s="1342"/>
      <c r="E9852" s="1342"/>
      <c r="F9852" s="1342"/>
      <c r="G9852" s="1342"/>
      <c r="H9852" s="1342"/>
      <c r="I9852" s="1342"/>
      <c r="J9852" s="1342"/>
      <c r="K9852" s="1342"/>
    </row>
    <row r="9853" spans="2:11" ht="14" hidden="1">
      <c r="B9853" s="1342"/>
      <c r="C9853" s="1342"/>
      <c r="D9853" s="1342"/>
      <c r="E9853" s="1342"/>
      <c r="F9853" s="1342"/>
      <c r="G9853" s="1342"/>
      <c r="H9853" s="1342"/>
      <c r="I9853" s="1342"/>
      <c r="J9853" s="1342"/>
      <c r="K9853" s="1342"/>
    </row>
    <row r="9854" spans="2:11" ht="14" hidden="1">
      <c r="B9854" s="1342"/>
      <c r="C9854" s="1342"/>
      <c r="D9854" s="1342"/>
      <c r="E9854" s="1342"/>
      <c r="F9854" s="1342"/>
      <c r="G9854" s="1342"/>
      <c r="H9854" s="1342"/>
      <c r="I9854" s="1342"/>
      <c r="J9854" s="1342"/>
      <c r="K9854" s="1342"/>
    </row>
    <row r="9855" spans="2:11" ht="14" hidden="1">
      <c r="B9855" s="1342"/>
      <c r="C9855" s="1342"/>
      <c r="D9855" s="1342"/>
      <c r="E9855" s="1342"/>
      <c r="F9855" s="1342"/>
      <c r="G9855" s="1342"/>
      <c r="H9855" s="1342"/>
      <c r="I9855" s="1342"/>
      <c r="J9855" s="1342"/>
      <c r="K9855" s="1342"/>
    </row>
    <row r="9856" spans="2:11" ht="14" hidden="1">
      <c r="B9856" s="1342"/>
      <c r="C9856" s="1342"/>
      <c r="D9856" s="1342"/>
      <c r="E9856" s="1342"/>
      <c r="F9856" s="1342"/>
      <c r="G9856" s="1342"/>
      <c r="H9856" s="1342"/>
      <c r="I9856" s="1342"/>
      <c r="J9856" s="1342"/>
      <c r="K9856" s="1342"/>
    </row>
    <row r="9857" spans="2:11" ht="14" hidden="1">
      <c r="B9857" s="1342"/>
      <c r="C9857" s="1342"/>
      <c r="D9857" s="1342"/>
      <c r="E9857" s="1342"/>
      <c r="F9857" s="1342"/>
      <c r="G9857" s="1342"/>
      <c r="H9857" s="1342"/>
      <c r="I9857" s="1342"/>
      <c r="J9857" s="1342"/>
      <c r="K9857" s="1342"/>
    </row>
    <row r="9858" spans="2:11" ht="14" hidden="1">
      <c r="B9858" s="1342"/>
      <c r="C9858" s="1342"/>
      <c r="D9858" s="1342"/>
      <c r="E9858" s="1342"/>
      <c r="F9858" s="1342"/>
      <c r="G9858" s="1342"/>
      <c r="H9858" s="1342"/>
      <c r="I9858" s="1342"/>
      <c r="J9858" s="1342"/>
      <c r="K9858" s="1342"/>
    </row>
    <row r="9859" spans="2:11" ht="14" hidden="1">
      <c r="B9859" s="1342"/>
      <c r="C9859" s="1342"/>
      <c r="D9859" s="1342"/>
      <c r="E9859" s="1342"/>
      <c r="F9859" s="1342"/>
      <c r="G9859" s="1342"/>
      <c r="H9859" s="1342"/>
      <c r="I9859" s="1342"/>
      <c r="J9859" s="1342"/>
      <c r="K9859" s="1342"/>
    </row>
    <row r="9860" spans="2:11" ht="14" hidden="1">
      <c r="B9860" s="1342"/>
      <c r="C9860" s="1342"/>
      <c r="D9860" s="1342"/>
      <c r="E9860" s="1342"/>
      <c r="F9860" s="1342"/>
      <c r="G9860" s="1342"/>
      <c r="H9860" s="1342"/>
      <c r="I9860" s="1342"/>
      <c r="J9860" s="1342"/>
      <c r="K9860" s="1342"/>
    </row>
    <row r="9861" spans="2:11" ht="14" hidden="1">
      <c r="B9861" s="1342"/>
      <c r="C9861" s="1342"/>
      <c r="D9861" s="1342"/>
      <c r="E9861" s="1342"/>
      <c r="F9861" s="1342"/>
      <c r="G9861" s="1342"/>
      <c r="H9861" s="1342"/>
      <c r="I9861" s="1342"/>
      <c r="J9861" s="1342"/>
      <c r="K9861" s="1342"/>
    </row>
    <row r="9862" spans="2:11" ht="14" hidden="1">
      <c r="B9862" s="1342"/>
      <c r="C9862" s="1342"/>
      <c r="D9862" s="1342"/>
      <c r="E9862" s="1342"/>
      <c r="F9862" s="1342"/>
      <c r="G9862" s="1342"/>
      <c r="H9862" s="1342"/>
      <c r="I9862" s="1342"/>
      <c r="J9862" s="1342"/>
      <c r="K9862" s="1342"/>
    </row>
    <row r="9863" spans="2:11" ht="14" hidden="1">
      <c r="B9863" s="1342"/>
      <c r="C9863" s="1342"/>
      <c r="D9863" s="1342"/>
      <c r="E9863" s="1342"/>
      <c r="F9863" s="1342"/>
      <c r="G9863" s="1342"/>
      <c r="H9863" s="1342"/>
      <c r="I9863" s="1342"/>
      <c r="J9863" s="1342"/>
      <c r="K9863" s="1342"/>
    </row>
    <row r="9864" spans="2:11" ht="14" hidden="1">
      <c r="B9864" s="1342"/>
      <c r="C9864" s="1342"/>
      <c r="D9864" s="1342"/>
      <c r="E9864" s="1342"/>
      <c r="F9864" s="1342"/>
      <c r="G9864" s="1342"/>
      <c r="H9864" s="1342"/>
      <c r="I9864" s="1342"/>
      <c r="J9864" s="1342"/>
      <c r="K9864" s="1342"/>
    </row>
    <row r="9865" spans="2:11" ht="14" hidden="1">
      <c r="B9865" s="1342"/>
      <c r="C9865" s="1342"/>
      <c r="D9865" s="1342"/>
      <c r="E9865" s="1342"/>
      <c r="F9865" s="1342"/>
      <c r="G9865" s="1342"/>
      <c r="H9865" s="1342"/>
      <c r="I9865" s="1342"/>
      <c r="J9865" s="1342"/>
      <c r="K9865" s="1342"/>
    </row>
    <row r="9866" spans="2:11" ht="14" hidden="1">
      <c r="B9866" s="1342"/>
      <c r="C9866" s="1342"/>
      <c r="D9866" s="1342"/>
      <c r="E9866" s="1342"/>
      <c r="F9866" s="1342"/>
      <c r="G9866" s="1342"/>
      <c r="H9866" s="1342"/>
      <c r="I9866" s="1342"/>
      <c r="J9866" s="1342"/>
      <c r="K9866" s="1342"/>
    </row>
    <row r="9867" spans="2:11" ht="14" hidden="1">
      <c r="B9867" s="1342"/>
      <c r="C9867" s="1342"/>
      <c r="D9867" s="1342"/>
      <c r="E9867" s="1342"/>
      <c r="F9867" s="1342"/>
      <c r="G9867" s="1342"/>
      <c r="H9867" s="1342"/>
      <c r="I9867" s="1342"/>
      <c r="J9867" s="1342"/>
      <c r="K9867" s="1342"/>
    </row>
    <row r="9868" spans="2:11" ht="14" hidden="1">
      <c r="B9868" s="1342"/>
      <c r="C9868" s="1342"/>
      <c r="D9868" s="1342"/>
      <c r="E9868" s="1342"/>
      <c r="F9868" s="1342"/>
      <c r="G9868" s="1342"/>
      <c r="H9868" s="1342"/>
      <c r="I9868" s="1342"/>
      <c r="J9868" s="1342"/>
      <c r="K9868" s="1342"/>
    </row>
    <row r="9869" spans="2:11" ht="14" hidden="1">
      <c r="B9869" s="1342"/>
      <c r="C9869" s="1342"/>
      <c r="D9869" s="1342"/>
      <c r="E9869" s="1342"/>
      <c r="F9869" s="1342"/>
      <c r="G9869" s="1342"/>
      <c r="H9869" s="1342"/>
      <c r="I9869" s="1342"/>
      <c r="J9869" s="1342"/>
      <c r="K9869" s="1342"/>
    </row>
    <row r="9870" spans="2:11" ht="14" hidden="1">
      <c r="B9870" s="1342"/>
      <c r="C9870" s="1342"/>
      <c r="D9870" s="1342"/>
      <c r="E9870" s="1342"/>
      <c r="F9870" s="1342"/>
      <c r="G9870" s="1342"/>
      <c r="H9870" s="1342"/>
      <c r="I9870" s="1342"/>
      <c r="J9870" s="1342"/>
      <c r="K9870" s="1342"/>
    </row>
    <row r="9871" spans="2:11" ht="14" hidden="1">
      <c r="B9871" s="1342"/>
      <c r="C9871" s="1342"/>
      <c r="D9871" s="1342"/>
      <c r="E9871" s="1342"/>
      <c r="F9871" s="1342"/>
      <c r="G9871" s="1342"/>
      <c r="H9871" s="1342"/>
      <c r="I9871" s="1342"/>
      <c r="J9871" s="1342"/>
      <c r="K9871" s="1342"/>
    </row>
    <row r="9872" spans="2:11" ht="14" hidden="1">
      <c r="B9872" s="1342"/>
      <c r="C9872" s="1342"/>
      <c r="D9872" s="1342"/>
      <c r="E9872" s="1342"/>
      <c r="F9872" s="1342"/>
      <c r="G9872" s="1342"/>
      <c r="H9872" s="1342"/>
      <c r="I9872" s="1342"/>
      <c r="J9872" s="1342"/>
      <c r="K9872" s="1342"/>
    </row>
    <row r="9873" spans="2:11" ht="14" hidden="1">
      <c r="B9873" s="1342"/>
      <c r="C9873" s="1342"/>
      <c r="D9873" s="1342"/>
      <c r="E9873" s="1342"/>
      <c r="F9873" s="1342"/>
      <c r="G9873" s="1342"/>
      <c r="H9873" s="1342"/>
      <c r="I9873" s="1342"/>
      <c r="J9873" s="1342"/>
      <c r="K9873" s="1342"/>
    </row>
    <row r="9874" spans="2:11" ht="14" hidden="1">
      <c r="B9874" s="1342"/>
      <c r="C9874" s="1342"/>
      <c r="D9874" s="1342"/>
      <c r="E9874" s="1342"/>
      <c r="F9874" s="1342"/>
      <c r="G9874" s="1342"/>
      <c r="H9874" s="1342"/>
      <c r="I9874" s="1342"/>
      <c r="J9874" s="1342"/>
      <c r="K9874" s="1342"/>
    </row>
    <row r="9875" spans="2:11" ht="14" hidden="1">
      <c r="B9875" s="1342"/>
      <c r="C9875" s="1342"/>
      <c r="D9875" s="1342"/>
      <c r="E9875" s="1342"/>
      <c r="F9875" s="1342"/>
      <c r="G9875" s="1342"/>
      <c r="H9875" s="1342"/>
      <c r="I9875" s="1342"/>
      <c r="J9875" s="1342"/>
      <c r="K9875" s="1342"/>
    </row>
    <row r="9876" spans="2:11" ht="14" hidden="1">
      <c r="B9876" s="1342"/>
      <c r="C9876" s="1342"/>
      <c r="D9876" s="1342"/>
      <c r="E9876" s="1342"/>
      <c r="F9876" s="1342"/>
      <c r="G9876" s="1342"/>
      <c r="H9876" s="1342"/>
      <c r="I9876" s="1342"/>
      <c r="J9876" s="1342"/>
      <c r="K9876" s="1342"/>
    </row>
    <row r="9877" spans="2:11" ht="14" hidden="1">
      <c r="B9877" s="1342"/>
      <c r="C9877" s="1342"/>
      <c r="D9877" s="1342"/>
      <c r="E9877" s="1342"/>
      <c r="F9877" s="1342"/>
      <c r="G9877" s="1342"/>
      <c r="H9877" s="1342"/>
      <c r="I9877" s="1342"/>
      <c r="J9877" s="1342"/>
      <c r="K9877" s="1342"/>
    </row>
    <row r="9878" spans="2:11" ht="14" hidden="1">
      <c r="B9878" s="1342"/>
      <c r="C9878" s="1342"/>
      <c r="D9878" s="1342"/>
      <c r="E9878" s="1342"/>
      <c r="F9878" s="1342"/>
      <c r="G9878" s="1342"/>
      <c r="H9878" s="1342"/>
      <c r="I9878" s="1342"/>
      <c r="J9878" s="1342"/>
      <c r="K9878" s="1342"/>
    </row>
    <row r="9879" spans="2:11" ht="14" hidden="1">
      <c r="B9879" s="1342"/>
      <c r="C9879" s="1342"/>
      <c r="D9879" s="1342"/>
      <c r="E9879" s="1342"/>
      <c r="F9879" s="1342"/>
      <c r="G9879" s="1342"/>
      <c r="H9879" s="1342"/>
      <c r="I9879" s="1342"/>
      <c r="J9879" s="1342"/>
      <c r="K9879" s="1342"/>
    </row>
    <row r="9880" spans="2:11" ht="14" hidden="1">
      <c r="B9880" s="1342"/>
      <c r="C9880" s="1342"/>
      <c r="D9880" s="1342"/>
      <c r="E9880" s="1342"/>
      <c r="F9880" s="1342"/>
      <c r="G9880" s="1342"/>
      <c r="H9880" s="1342"/>
      <c r="I9880" s="1342"/>
      <c r="J9880" s="1342"/>
      <c r="K9880" s="1342"/>
    </row>
    <row r="9881" spans="2:11" ht="14" hidden="1">
      <c r="B9881" s="1342"/>
      <c r="C9881" s="1342"/>
      <c r="D9881" s="1342"/>
      <c r="E9881" s="1342"/>
      <c r="F9881" s="1342"/>
      <c r="G9881" s="1342"/>
      <c r="H9881" s="1342"/>
      <c r="I9881" s="1342"/>
      <c r="J9881" s="1342"/>
      <c r="K9881" s="1342"/>
    </row>
    <row r="9882" spans="2:11" ht="14" hidden="1">
      <c r="B9882" s="1342"/>
      <c r="C9882" s="1342"/>
      <c r="D9882" s="1342"/>
      <c r="E9882" s="1342"/>
      <c r="F9882" s="1342"/>
      <c r="G9882" s="1342"/>
      <c r="H9882" s="1342"/>
      <c r="I9882" s="1342"/>
      <c r="J9882" s="1342"/>
      <c r="K9882" s="1342"/>
    </row>
    <row r="9883" spans="2:11" ht="14" hidden="1">
      <c r="B9883" s="1342"/>
      <c r="C9883" s="1342"/>
      <c r="D9883" s="1342"/>
      <c r="E9883" s="1342"/>
      <c r="F9883" s="1342"/>
      <c r="G9883" s="1342"/>
      <c r="H9883" s="1342"/>
      <c r="I9883" s="1342"/>
      <c r="J9883" s="1342"/>
      <c r="K9883" s="1342"/>
    </row>
    <row r="9884" spans="2:11" ht="14" hidden="1">
      <c r="B9884" s="1342"/>
      <c r="C9884" s="1342"/>
      <c r="D9884" s="1342"/>
      <c r="E9884" s="1342"/>
      <c r="F9884" s="1342"/>
      <c r="G9884" s="1342"/>
      <c r="H9884" s="1342"/>
      <c r="I9884" s="1342"/>
      <c r="J9884" s="1342"/>
      <c r="K9884" s="1342"/>
    </row>
    <row r="9885" spans="2:11" ht="14" hidden="1">
      <c r="B9885" s="1342"/>
      <c r="C9885" s="1342"/>
      <c r="D9885" s="1342"/>
      <c r="E9885" s="1342"/>
      <c r="F9885" s="1342"/>
      <c r="G9885" s="1342"/>
      <c r="H9885" s="1342"/>
      <c r="I9885" s="1342"/>
      <c r="J9885" s="1342"/>
      <c r="K9885" s="1342"/>
    </row>
    <row r="9886" spans="2:11" ht="14" hidden="1">
      <c r="B9886" s="1342"/>
      <c r="C9886" s="1342"/>
      <c r="D9886" s="1342"/>
      <c r="E9886" s="1342"/>
      <c r="F9886" s="1342"/>
      <c r="G9886" s="1342"/>
      <c r="H9886" s="1342"/>
      <c r="I9886" s="1342"/>
      <c r="J9886" s="1342"/>
      <c r="K9886" s="1342"/>
    </row>
    <row r="9887" spans="2:11" ht="14" hidden="1">
      <c r="B9887" s="1342"/>
      <c r="C9887" s="1342"/>
      <c r="D9887" s="1342"/>
      <c r="E9887" s="1342"/>
      <c r="F9887" s="1342"/>
      <c r="G9887" s="1342"/>
      <c r="H9887" s="1342"/>
      <c r="I9887" s="1342"/>
      <c r="J9887" s="1342"/>
      <c r="K9887" s="1342"/>
    </row>
    <row r="9888" spans="2:11" ht="14" hidden="1">
      <c r="B9888" s="1342"/>
      <c r="C9888" s="1342"/>
      <c r="D9888" s="1342"/>
      <c r="E9888" s="1342"/>
      <c r="F9888" s="1342"/>
      <c r="G9888" s="1342"/>
      <c r="H9888" s="1342"/>
      <c r="I9888" s="1342"/>
      <c r="J9888" s="1342"/>
      <c r="K9888" s="1342"/>
    </row>
    <row r="9889" spans="2:11" ht="14" hidden="1">
      <c r="B9889" s="1342"/>
      <c r="C9889" s="1342"/>
      <c r="D9889" s="1342"/>
      <c r="E9889" s="1342"/>
      <c r="F9889" s="1342"/>
      <c r="G9889" s="1342"/>
      <c r="H9889" s="1342"/>
      <c r="I9889" s="1342"/>
      <c r="J9889" s="1342"/>
      <c r="K9889" s="1342"/>
    </row>
    <row r="9890" spans="2:11" ht="14" hidden="1">
      <c r="B9890" s="1342"/>
      <c r="C9890" s="1342"/>
      <c r="D9890" s="1342"/>
      <c r="E9890" s="1342"/>
      <c r="F9890" s="1342"/>
      <c r="G9890" s="1342"/>
      <c r="H9890" s="1342"/>
      <c r="I9890" s="1342"/>
      <c r="J9890" s="1342"/>
      <c r="K9890" s="1342"/>
    </row>
    <row r="9891" spans="2:11" ht="14" hidden="1">
      <c r="B9891" s="1342"/>
      <c r="C9891" s="1342"/>
      <c r="D9891" s="1342"/>
      <c r="E9891" s="1342"/>
      <c r="F9891" s="1342"/>
      <c r="G9891" s="1342"/>
      <c r="H9891" s="1342"/>
      <c r="I9891" s="1342"/>
      <c r="J9891" s="1342"/>
      <c r="K9891" s="1342"/>
    </row>
    <row r="9892" spans="2:11" ht="14" hidden="1">
      <c r="B9892" s="1342"/>
      <c r="C9892" s="1342"/>
      <c r="D9892" s="1342"/>
      <c r="E9892" s="1342"/>
      <c r="F9892" s="1342"/>
      <c r="G9892" s="1342"/>
      <c r="H9892" s="1342"/>
      <c r="I9892" s="1342"/>
      <c r="J9892" s="1342"/>
      <c r="K9892" s="1342"/>
    </row>
    <row r="9893" spans="2:11" ht="14" hidden="1">
      <c r="B9893" s="1342"/>
      <c r="C9893" s="1342"/>
      <c r="D9893" s="1342"/>
      <c r="E9893" s="1342"/>
      <c r="F9893" s="1342"/>
      <c r="G9893" s="1342"/>
      <c r="H9893" s="1342"/>
      <c r="I9893" s="1342"/>
      <c r="J9893" s="1342"/>
      <c r="K9893" s="1342"/>
    </row>
    <row r="9894" spans="2:11" ht="14" hidden="1">
      <c r="B9894" s="1342"/>
      <c r="C9894" s="1342"/>
      <c r="D9894" s="1342"/>
      <c r="E9894" s="1342"/>
      <c r="F9894" s="1342"/>
      <c r="G9894" s="1342"/>
      <c r="H9894" s="1342"/>
      <c r="I9894" s="1342"/>
      <c r="J9894" s="1342"/>
      <c r="K9894" s="1342"/>
    </row>
    <row r="9895" spans="2:11" ht="14" hidden="1">
      <c r="B9895" s="1342"/>
      <c r="C9895" s="1342"/>
      <c r="D9895" s="1342"/>
      <c r="E9895" s="1342"/>
      <c r="F9895" s="1342"/>
      <c r="G9895" s="1342"/>
      <c r="H9895" s="1342"/>
      <c r="I9895" s="1342"/>
      <c r="J9895" s="1342"/>
      <c r="K9895" s="1342"/>
    </row>
    <row r="9896" spans="2:11" ht="14" hidden="1">
      <c r="B9896" s="1342"/>
      <c r="C9896" s="1342"/>
      <c r="D9896" s="1342"/>
      <c r="E9896" s="1342"/>
      <c r="F9896" s="1342"/>
      <c r="G9896" s="1342"/>
      <c r="H9896" s="1342"/>
      <c r="I9896" s="1342"/>
      <c r="J9896" s="1342"/>
      <c r="K9896" s="1342"/>
    </row>
    <row r="9897" spans="2:11" ht="14" hidden="1">
      <c r="B9897" s="1342"/>
      <c r="C9897" s="1342"/>
      <c r="D9897" s="1342"/>
      <c r="E9897" s="1342"/>
      <c r="F9897" s="1342"/>
      <c r="G9897" s="1342"/>
      <c r="H9897" s="1342"/>
      <c r="I9897" s="1342"/>
      <c r="J9897" s="1342"/>
      <c r="K9897" s="1342"/>
    </row>
    <row r="9898" spans="2:11" ht="14" hidden="1">
      <c r="B9898" s="1342"/>
      <c r="C9898" s="1342"/>
      <c r="D9898" s="1342"/>
      <c r="E9898" s="1342"/>
      <c r="F9898" s="1342"/>
      <c r="G9898" s="1342"/>
      <c r="H9898" s="1342"/>
      <c r="I9898" s="1342"/>
      <c r="J9898" s="1342"/>
      <c r="K9898" s="1342"/>
    </row>
    <row r="9899" spans="2:11" ht="14" hidden="1">
      <c r="B9899" s="1342"/>
      <c r="C9899" s="1342"/>
      <c r="D9899" s="1342"/>
      <c r="E9899" s="1342"/>
      <c r="F9899" s="1342"/>
      <c r="G9899" s="1342"/>
      <c r="H9899" s="1342"/>
      <c r="I9899" s="1342"/>
      <c r="J9899" s="1342"/>
      <c r="K9899" s="1342"/>
    </row>
    <row r="9900" spans="2:11" ht="14" hidden="1">
      <c r="B9900" s="1342"/>
      <c r="C9900" s="1342"/>
      <c r="D9900" s="1342"/>
      <c r="E9900" s="1342"/>
      <c r="F9900" s="1342"/>
      <c r="G9900" s="1342"/>
      <c r="H9900" s="1342"/>
      <c r="I9900" s="1342"/>
      <c r="J9900" s="1342"/>
      <c r="K9900" s="1342"/>
    </row>
    <row r="9901" spans="2:11" ht="14" hidden="1">
      <c r="B9901" s="1342"/>
      <c r="C9901" s="1342"/>
      <c r="D9901" s="1342"/>
      <c r="E9901" s="1342"/>
      <c r="F9901" s="1342"/>
      <c r="G9901" s="1342"/>
      <c r="H9901" s="1342"/>
      <c r="I9901" s="1342"/>
      <c r="J9901" s="1342"/>
      <c r="K9901" s="1342"/>
    </row>
    <row r="9902" spans="2:11" ht="14" hidden="1">
      <c r="B9902" s="1342"/>
      <c r="C9902" s="1342"/>
      <c r="D9902" s="1342"/>
      <c r="E9902" s="1342"/>
      <c r="F9902" s="1342"/>
      <c r="G9902" s="1342"/>
      <c r="H9902" s="1342"/>
      <c r="I9902" s="1342"/>
      <c r="J9902" s="1342"/>
      <c r="K9902" s="1342"/>
    </row>
    <row r="9903" spans="2:11" ht="14" hidden="1">
      <c r="B9903" s="1342"/>
      <c r="C9903" s="1342"/>
      <c r="D9903" s="1342"/>
      <c r="E9903" s="1342"/>
      <c r="F9903" s="1342"/>
      <c r="G9903" s="1342"/>
      <c r="H9903" s="1342"/>
      <c r="I9903" s="1342"/>
      <c r="J9903" s="1342"/>
      <c r="K9903" s="1342"/>
    </row>
    <row r="9904" spans="2:11" ht="14" hidden="1">
      <c r="B9904" s="1342"/>
      <c r="C9904" s="1342"/>
      <c r="D9904" s="1342"/>
      <c r="E9904" s="1342"/>
      <c r="F9904" s="1342"/>
      <c r="G9904" s="1342"/>
      <c r="H9904" s="1342"/>
      <c r="I9904" s="1342"/>
      <c r="J9904" s="1342"/>
      <c r="K9904" s="1342"/>
    </row>
    <row r="9905" spans="2:11" ht="14" hidden="1">
      <c r="B9905" s="1342"/>
      <c r="C9905" s="1342"/>
      <c r="D9905" s="1342"/>
      <c r="E9905" s="1342"/>
      <c r="F9905" s="1342"/>
      <c r="G9905" s="1342"/>
      <c r="H9905" s="1342"/>
      <c r="I9905" s="1342"/>
      <c r="J9905" s="1342"/>
      <c r="K9905" s="1342"/>
    </row>
    <row r="9906" spans="2:11" ht="14" hidden="1">
      <c r="B9906" s="1342"/>
      <c r="C9906" s="1342"/>
      <c r="D9906" s="1342"/>
      <c r="E9906" s="1342"/>
      <c r="F9906" s="1342"/>
      <c r="G9906" s="1342"/>
      <c r="H9906" s="1342"/>
      <c r="I9906" s="1342"/>
      <c r="J9906" s="1342"/>
      <c r="K9906" s="1342"/>
    </row>
    <row r="9907" spans="2:11" ht="14" hidden="1">
      <c r="B9907" s="1342"/>
      <c r="C9907" s="1342"/>
      <c r="D9907" s="1342"/>
      <c r="E9907" s="1342"/>
      <c r="F9907" s="1342"/>
      <c r="G9907" s="1342"/>
      <c r="H9907" s="1342"/>
      <c r="I9907" s="1342"/>
      <c r="J9907" s="1342"/>
      <c r="K9907" s="1342"/>
    </row>
    <row r="9908" spans="2:11" ht="14" hidden="1">
      <c r="B9908" s="1342"/>
      <c r="C9908" s="1342"/>
      <c r="D9908" s="1342"/>
      <c r="E9908" s="1342"/>
      <c r="F9908" s="1342"/>
      <c r="G9908" s="1342"/>
      <c r="H9908" s="1342"/>
      <c r="I9908" s="1342"/>
      <c r="J9908" s="1342"/>
      <c r="K9908" s="1342"/>
    </row>
    <row r="9909" spans="2:11" ht="14" hidden="1">
      <c r="B9909" s="1342"/>
      <c r="C9909" s="1342"/>
      <c r="D9909" s="1342"/>
      <c r="E9909" s="1342"/>
      <c r="F9909" s="1342"/>
      <c r="G9909" s="1342"/>
      <c r="H9909" s="1342"/>
      <c r="I9909" s="1342"/>
      <c r="J9909" s="1342"/>
      <c r="K9909" s="1342"/>
    </row>
    <row r="9910" spans="2:11" ht="14" hidden="1">
      <c r="B9910" s="1342"/>
      <c r="C9910" s="1342"/>
      <c r="D9910" s="1342"/>
      <c r="E9910" s="1342"/>
      <c r="F9910" s="1342"/>
      <c r="G9910" s="1342"/>
      <c r="H9910" s="1342"/>
      <c r="I9910" s="1342"/>
      <c r="J9910" s="1342"/>
      <c r="K9910" s="1342"/>
    </row>
    <row r="9911" spans="2:11" ht="14" hidden="1">
      <c r="B9911" s="1342"/>
      <c r="C9911" s="1342"/>
      <c r="D9911" s="1342"/>
      <c r="E9911" s="1342"/>
      <c r="F9911" s="1342"/>
      <c r="G9911" s="1342"/>
      <c r="H9911" s="1342"/>
      <c r="I9911" s="1342"/>
      <c r="J9911" s="1342"/>
      <c r="K9911" s="1342"/>
    </row>
    <row r="9912" spans="2:11" ht="14" hidden="1">
      <c r="B9912" s="1342"/>
      <c r="C9912" s="1342"/>
      <c r="D9912" s="1342"/>
      <c r="E9912" s="1342"/>
      <c r="F9912" s="1342"/>
      <c r="G9912" s="1342"/>
      <c r="H9912" s="1342"/>
      <c r="I9912" s="1342"/>
      <c r="J9912" s="1342"/>
      <c r="K9912" s="1342"/>
    </row>
    <row r="9913" spans="2:11" ht="14" hidden="1">
      <c r="B9913" s="1342"/>
      <c r="C9913" s="1342"/>
      <c r="D9913" s="1342"/>
      <c r="E9913" s="1342"/>
      <c r="F9913" s="1342"/>
      <c r="G9913" s="1342"/>
      <c r="H9913" s="1342"/>
      <c r="I9913" s="1342"/>
      <c r="J9913" s="1342"/>
      <c r="K9913" s="1342"/>
    </row>
    <row r="9914" spans="2:11" ht="14" hidden="1">
      <c r="B9914" s="1342"/>
      <c r="C9914" s="1342"/>
      <c r="D9914" s="1342"/>
      <c r="E9914" s="1342"/>
      <c r="F9914" s="1342"/>
      <c r="G9914" s="1342"/>
      <c r="H9914" s="1342"/>
      <c r="I9914" s="1342"/>
      <c r="J9914" s="1342"/>
      <c r="K9914" s="1342"/>
    </row>
    <row r="9915" spans="2:11" ht="14" hidden="1">
      <c r="B9915" s="1342"/>
      <c r="C9915" s="1342"/>
      <c r="D9915" s="1342"/>
      <c r="E9915" s="1342"/>
      <c r="F9915" s="1342"/>
      <c r="G9915" s="1342"/>
      <c r="H9915" s="1342"/>
      <c r="I9915" s="1342"/>
      <c r="J9915" s="1342"/>
      <c r="K9915" s="1342"/>
    </row>
    <row r="9916" spans="2:11" ht="14" hidden="1">
      <c r="B9916" s="1342"/>
      <c r="C9916" s="1342"/>
      <c r="D9916" s="1342"/>
      <c r="E9916" s="1342"/>
      <c r="F9916" s="1342"/>
      <c r="G9916" s="1342"/>
      <c r="H9916" s="1342"/>
      <c r="I9916" s="1342"/>
      <c r="J9916" s="1342"/>
      <c r="K9916" s="1342"/>
    </row>
    <row r="9917" spans="2:11" ht="14" hidden="1">
      <c r="B9917" s="1342"/>
      <c r="C9917" s="1342"/>
      <c r="D9917" s="1342"/>
      <c r="E9917" s="1342"/>
      <c r="F9917" s="1342"/>
      <c r="G9917" s="1342"/>
      <c r="H9917" s="1342"/>
      <c r="I9917" s="1342"/>
      <c r="J9917" s="1342"/>
      <c r="K9917" s="1342"/>
    </row>
    <row r="9918" spans="2:11" ht="14" hidden="1">
      <c r="B9918" s="1342"/>
      <c r="C9918" s="1342"/>
      <c r="D9918" s="1342"/>
      <c r="E9918" s="1342"/>
      <c r="F9918" s="1342"/>
      <c r="G9918" s="1342"/>
      <c r="H9918" s="1342"/>
      <c r="I9918" s="1342"/>
      <c r="J9918" s="1342"/>
      <c r="K9918" s="1342"/>
    </row>
    <row r="9919" spans="2:11" ht="14" hidden="1">
      <c r="B9919" s="1342"/>
      <c r="C9919" s="1342"/>
      <c r="D9919" s="1342"/>
      <c r="E9919" s="1342"/>
      <c r="F9919" s="1342"/>
      <c r="G9919" s="1342"/>
      <c r="H9919" s="1342"/>
      <c r="I9919" s="1342"/>
      <c r="J9919" s="1342"/>
      <c r="K9919" s="1342"/>
    </row>
    <row r="9920" spans="2:11" ht="14" hidden="1">
      <c r="B9920" s="1342"/>
      <c r="C9920" s="1342"/>
      <c r="D9920" s="1342"/>
      <c r="E9920" s="1342"/>
      <c r="F9920" s="1342"/>
      <c r="G9920" s="1342"/>
      <c r="H9920" s="1342"/>
      <c r="I9920" s="1342"/>
      <c r="J9920" s="1342"/>
      <c r="K9920" s="1342"/>
    </row>
    <row r="9921" spans="2:11" ht="14" hidden="1">
      <c r="B9921" s="1342"/>
      <c r="C9921" s="1342"/>
      <c r="D9921" s="1342"/>
      <c r="E9921" s="1342"/>
      <c r="F9921" s="1342"/>
      <c r="G9921" s="1342"/>
      <c r="H9921" s="1342"/>
      <c r="I9921" s="1342"/>
      <c r="J9921" s="1342"/>
      <c r="K9921" s="1342"/>
    </row>
    <row r="9922" spans="2:11" ht="14" hidden="1">
      <c r="B9922" s="1342"/>
      <c r="C9922" s="1342"/>
      <c r="D9922" s="1342"/>
      <c r="E9922" s="1342"/>
      <c r="F9922" s="1342"/>
      <c r="G9922" s="1342"/>
      <c r="H9922" s="1342"/>
      <c r="I9922" s="1342"/>
      <c r="J9922" s="1342"/>
      <c r="K9922" s="1342"/>
    </row>
    <row r="9923" spans="2:11" ht="14" hidden="1">
      <c r="B9923" s="1342"/>
      <c r="C9923" s="1342"/>
      <c r="D9923" s="1342"/>
      <c r="E9923" s="1342"/>
      <c r="F9923" s="1342"/>
      <c r="G9923" s="1342"/>
      <c r="H9923" s="1342"/>
      <c r="I9923" s="1342"/>
      <c r="J9923" s="1342"/>
      <c r="K9923" s="1342"/>
    </row>
    <row r="9924" spans="2:11" ht="14" hidden="1">
      <c r="B9924" s="1342"/>
      <c r="C9924" s="1342"/>
      <c r="D9924" s="1342"/>
      <c r="E9924" s="1342"/>
      <c r="F9924" s="1342"/>
      <c r="G9924" s="1342"/>
      <c r="H9924" s="1342"/>
      <c r="I9924" s="1342"/>
      <c r="J9924" s="1342"/>
      <c r="K9924" s="1342"/>
    </row>
    <row r="9925" spans="2:11" ht="14" hidden="1">
      <c r="B9925" s="1342"/>
      <c r="C9925" s="1342"/>
      <c r="D9925" s="1342"/>
      <c r="E9925" s="1342"/>
      <c r="F9925" s="1342"/>
      <c r="G9925" s="1342"/>
      <c r="H9925" s="1342"/>
      <c r="I9925" s="1342"/>
      <c r="J9925" s="1342"/>
      <c r="K9925" s="1342"/>
    </row>
    <row r="9926" spans="2:11" ht="14" hidden="1">
      <c r="B9926" s="1342"/>
      <c r="C9926" s="1342"/>
      <c r="D9926" s="1342"/>
      <c r="E9926" s="1342"/>
      <c r="F9926" s="1342"/>
      <c r="G9926" s="1342"/>
      <c r="H9926" s="1342"/>
      <c r="I9926" s="1342"/>
      <c r="J9926" s="1342"/>
      <c r="K9926" s="1342"/>
    </row>
    <row r="9927" spans="2:11" ht="14" hidden="1">
      <c r="B9927" s="1342"/>
      <c r="C9927" s="1342"/>
      <c r="D9927" s="1342"/>
      <c r="E9927" s="1342"/>
      <c r="F9927" s="1342"/>
      <c r="G9927" s="1342"/>
      <c r="H9927" s="1342"/>
      <c r="I9927" s="1342"/>
      <c r="J9927" s="1342"/>
      <c r="K9927" s="1342"/>
    </row>
    <row r="9928" spans="2:11" ht="14" hidden="1">
      <c r="B9928" s="1342"/>
      <c r="C9928" s="1342"/>
      <c r="D9928" s="1342"/>
      <c r="E9928" s="1342"/>
      <c r="F9928" s="1342"/>
      <c r="G9928" s="1342"/>
      <c r="H9928" s="1342"/>
      <c r="I9928" s="1342"/>
      <c r="J9928" s="1342"/>
      <c r="K9928" s="1342"/>
    </row>
    <row r="9929" spans="2:11" ht="14" hidden="1">
      <c r="B9929" s="1342"/>
      <c r="C9929" s="1342"/>
      <c r="D9929" s="1342"/>
      <c r="E9929" s="1342"/>
      <c r="F9929" s="1342"/>
      <c r="G9929" s="1342"/>
      <c r="H9929" s="1342"/>
      <c r="I9929" s="1342"/>
      <c r="J9929" s="1342"/>
      <c r="K9929" s="1342"/>
    </row>
    <row r="9930" spans="2:11" ht="14" hidden="1">
      <c r="B9930" s="1342"/>
      <c r="C9930" s="1342"/>
      <c r="D9930" s="1342"/>
      <c r="E9930" s="1342"/>
      <c r="F9930" s="1342"/>
      <c r="G9930" s="1342"/>
      <c r="H9930" s="1342"/>
      <c r="I9930" s="1342"/>
      <c r="J9930" s="1342"/>
      <c r="K9930" s="1342"/>
    </row>
    <row r="9931" spans="2:11" ht="14" hidden="1">
      <c r="B9931" s="1342"/>
      <c r="C9931" s="1342"/>
      <c r="D9931" s="1342"/>
      <c r="E9931" s="1342"/>
      <c r="F9931" s="1342"/>
      <c r="G9931" s="1342"/>
      <c r="H9931" s="1342"/>
      <c r="I9931" s="1342"/>
      <c r="J9931" s="1342"/>
      <c r="K9931" s="1342"/>
    </row>
    <row r="9932" spans="2:11" ht="14" hidden="1">
      <c r="B9932" s="1342"/>
      <c r="C9932" s="1342"/>
      <c r="D9932" s="1342"/>
      <c r="E9932" s="1342"/>
      <c r="F9932" s="1342"/>
      <c r="G9932" s="1342"/>
      <c r="H9932" s="1342"/>
      <c r="I9932" s="1342"/>
      <c r="J9932" s="1342"/>
      <c r="K9932" s="1342"/>
    </row>
    <row r="9933" spans="2:11" ht="14" hidden="1">
      <c r="B9933" s="1342"/>
      <c r="C9933" s="1342"/>
      <c r="D9933" s="1342"/>
      <c r="E9933" s="1342"/>
      <c r="F9933" s="1342"/>
      <c r="G9933" s="1342"/>
      <c r="H9933" s="1342"/>
      <c r="I9933" s="1342"/>
      <c r="J9933" s="1342"/>
      <c r="K9933" s="1342"/>
    </row>
    <row r="9934" spans="2:11" ht="14" hidden="1">
      <c r="B9934" s="1342"/>
      <c r="C9934" s="1342"/>
      <c r="D9934" s="1342"/>
      <c r="E9934" s="1342"/>
      <c r="F9934" s="1342"/>
      <c r="G9934" s="1342"/>
      <c r="H9934" s="1342"/>
      <c r="I9934" s="1342"/>
      <c r="J9934" s="1342"/>
      <c r="K9934" s="1342"/>
    </row>
    <row r="9935" spans="2:11" ht="14" hidden="1">
      <c r="B9935" s="1342"/>
      <c r="C9935" s="1342"/>
      <c r="D9935" s="1342"/>
      <c r="E9935" s="1342"/>
      <c r="F9935" s="1342"/>
      <c r="G9935" s="1342"/>
      <c r="H9935" s="1342"/>
      <c r="I9935" s="1342"/>
      <c r="J9935" s="1342"/>
      <c r="K9935" s="1342"/>
    </row>
    <row r="9936" spans="2:11" ht="14" hidden="1">
      <c r="B9936" s="1342"/>
      <c r="C9936" s="1342"/>
      <c r="D9936" s="1342"/>
      <c r="E9936" s="1342"/>
      <c r="F9936" s="1342"/>
      <c r="G9936" s="1342"/>
      <c r="H9936" s="1342"/>
      <c r="I9936" s="1342"/>
      <c r="J9936" s="1342"/>
      <c r="K9936" s="1342"/>
    </row>
    <row r="9937" spans="2:11" ht="14" hidden="1">
      <c r="B9937" s="1342"/>
      <c r="C9937" s="1342"/>
      <c r="D9937" s="1342"/>
      <c r="E9937" s="1342"/>
      <c r="F9937" s="1342"/>
      <c r="G9937" s="1342"/>
      <c r="H9937" s="1342"/>
      <c r="I9937" s="1342"/>
      <c r="J9937" s="1342"/>
      <c r="K9937" s="1342"/>
    </row>
    <row r="9938" spans="2:11" ht="14" hidden="1">
      <c r="B9938" s="1342"/>
      <c r="C9938" s="1342"/>
      <c r="D9938" s="1342"/>
      <c r="E9938" s="1342"/>
      <c r="F9938" s="1342"/>
      <c r="G9938" s="1342"/>
      <c r="H9938" s="1342"/>
      <c r="I9938" s="1342"/>
      <c r="J9938" s="1342"/>
      <c r="K9938" s="1342"/>
    </row>
    <row r="9939" spans="2:11" ht="14" hidden="1">
      <c r="B9939" s="1342"/>
      <c r="C9939" s="1342"/>
      <c r="D9939" s="1342"/>
      <c r="E9939" s="1342"/>
      <c r="F9939" s="1342"/>
      <c r="G9939" s="1342"/>
      <c r="H9939" s="1342"/>
      <c r="I9939" s="1342"/>
      <c r="J9939" s="1342"/>
      <c r="K9939" s="1342"/>
    </row>
    <row r="9940" spans="2:11" ht="14" hidden="1">
      <c r="B9940" s="1342"/>
      <c r="C9940" s="1342"/>
      <c r="D9940" s="1342"/>
      <c r="E9940" s="1342"/>
      <c r="F9940" s="1342"/>
      <c r="G9940" s="1342"/>
      <c r="H9940" s="1342"/>
      <c r="I9940" s="1342"/>
      <c r="J9940" s="1342"/>
      <c r="K9940" s="1342"/>
    </row>
    <row r="9941" spans="2:11" ht="14" hidden="1">
      <c r="B9941" s="1342"/>
      <c r="C9941" s="1342"/>
      <c r="D9941" s="1342"/>
      <c r="E9941" s="1342"/>
      <c r="F9941" s="1342"/>
      <c r="G9941" s="1342"/>
      <c r="H9941" s="1342"/>
      <c r="I9941" s="1342"/>
      <c r="J9941" s="1342"/>
      <c r="K9941" s="1342"/>
    </row>
    <row r="9942" spans="2:11" ht="14" hidden="1">
      <c r="B9942" s="1342"/>
      <c r="C9942" s="1342"/>
      <c r="D9942" s="1342"/>
      <c r="E9942" s="1342"/>
      <c r="F9942" s="1342"/>
      <c r="G9942" s="1342"/>
      <c r="H9942" s="1342"/>
      <c r="I9942" s="1342"/>
      <c r="J9942" s="1342"/>
      <c r="K9942" s="1342"/>
    </row>
    <row r="9943" spans="2:11" ht="14" hidden="1">
      <c r="B9943" s="1342"/>
      <c r="C9943" s="1342"/>
      <c r="D9943" s="1342"/>
      <c r="E9943" s="1342"/>
      <c r="F9943" s="1342"/>
      <c r="G9943" s="1342"/>
      <c r="H9943" s="1342"/>
      <c r="I9943" s="1342"/>
      <c r="J9943" s="1342"/>
      <c r="K9943" s="1342"/>
    </row>
    <row r="9944" spans="2:11" ht="14" hidden="1">
      <c r="B9944" s="1342"/>
      <c r="C9944" s="1342"/>
      <c r="D9944" s="1342"/>
      <c r="E9944" s="1342"/>
      <c r="F9944" s="1342"/>
      <c r="G9944" s="1342"/>
      <c r="H9944" s="1342"/>
      <c r="I9944" s="1342"/>
      <c r="J9944" s="1342"/>
      <c r="K9944" s="1342"/>
    </row>
    <row r="9945" spans="2:11" ht="14" hidden="1">
      <c r="B9945" s="1342"/>
      <c r="C9945" s="1342"/>
      <c r="D9945" s="1342"/>
      <c r="E9945" s="1342"/>
      <c r="F9945" s="1342"/>
      <c r="G9945" s="1342"/>
      <c r="H9945" s="1342"/>
      <c r="I9945" s="1342"/>
      <c r="J9945" s="1342"/>
      <c r="K9945" s="1342"/>
    </row>
    <row r="9946" spans="2:11" ht="14" hidden="1">
      <c r="B9946" s="1342"/>
      <c r="C9946" s="1342"/>
      <c r="D9946" s="1342"/>
      <c r="E9946" s="1342"/>
      <c r="F9946" s="1342"/>
      <c r="G9946" s="1342"/>
      <c r="H9946" s="1342"/>
      <c r="I9946" s="1342"/>
      <c r="J9946" s="1342"/>
      <c r="K9946" s="1342"/>
    </row>
    <row r="9947" spans="2:11" ht="14" hidden="1">
      <c r="B9947" s="1342"/>
      <c r="C9947" s="1342"/>
      <c r="D9947" s="1342"/>
      <c r="E9947" s="1342"/>
      <c r="F9947" s="1342"/>
      <c r="G9947" s="1342"/>
      <c r="H9947" s="1342"/>
      <c r="I9947" s="1342"/>
      <c r="J9947" s="1342"/>
      <c r="K9947" s="1342"/>
    </row>
    <row r="9948" spans="2:11" ht="14" hidden="1">
      <c r="B9948" s="1342"/>
      <c r="C9948" s="1342"/>
      <c r="D9948" s="1342"/>
      <c r="E9948" s="1342"/>
      <c r="F9948" s="1342"/>
      <c r="G9948" s="1342"/>
      <c r="H9948" s="1342"/>
      <c r="I9948" s="1342"/>
      <c r="J9948" s="1342"/>
      <c r="K9948" s="1342"/>
    </row>
    <row r="9949" spans="2:11" ht="14" hidden="1">
      <c r="B9949" s="1342"/>
      <c r="C9949" s="1342"/>
      <c r="D9949" s="1342"/>
      <c r="E9949" s="1342"/>
      <c r="F9949" s="1342"/>
      <c r="G9949" s="1342"/>
      <c r="H9949" s="1342"/>
      <c r="I9949" s="1342"/>
      <c r="J9949" s="1342"/>
      <c r="K9949" s="1342"/>
    </row>
    <row r="9950" spans="2:11" ht="14" hidden="1">
      <c r="B9950" s="1342"/>
      <c r="C9950" s="1342"/>
      <c r="D9950" s="1342"/>
      <c r="E9950" s="1342"/>
      <c r="F9950" s="1342"/>
      <c r="G9950" s="1342"/>
      <c r="H9950" s="1342"/>
      <c r="I9950" s="1342"/>
      <c r="J9950" s="1342"/>
      <c r="K9950" s="1342"/>
    </row>
    <row r="9951" spans="2:11" ht="14" hidden="1">
      <c r="B9951" s="1342"/>
      <c r="C9951" s="1342"/>
      <c r="D9951" s="1342"/>
      <c r="E9951" s="1342"/>
      <c r="F9951" s="1342"/>
      <c r="G9951" s="1342"/>
      <c r="H9951" s="1342"/>
      <c r="I9951" s="1342"/>
      <c r="J9951" s="1342"/>
      <c r="K9951" s="1342"/>
    </row>
    <row r="9952" spans="2:11" ht="14" hidden="1">
      <c r="B9952" s="1342"/>
      <c r="C9952" s="1342"/>
      <c r="D9952" s="1342"/>
      <c r="E9952" s="1342"/>
      <c r="F9952" s="1342"/>
      <c r="G9952" s="1342"/>
      <c r="H9952" s="1342"/>
      <c r="I9952" s="1342"/>
      <c r="J9952" s="1342"/>
      <c r="K9952" s="1342"/>
    </row>
    <row r="9953" spans="2:11" ht="14" hidden="1">
      <c r="B9953" s="1342"/>
      <c r="C9953" s="1342"/>
      <c r="D9953" s="1342"/>
      <c r="E9953" s="1342"/>
      <c r="F9953" s="1342"/>
      <c r="G9953" s="1342"/>
      <c r="H9953" s="1342"/>
      <c r="I9953" s="1342"/>
      <c r="J9953" s="1342"/>
      <c r="K9953" s="1342"/>
    </row>
    <row r="9954" spans="2:11" ht="14" hidden="1">
      <c r="B9954" s="1342"/>
      <c r="C9954" s="1342"/>
      <c r="D9954" s="1342"/>
      <c r="E9954" s="1342"/>
      <c r="F9954" s="1342"/>
      <c r="G9954" s="1342"/>
      <c r="H9954" s="1342"/>
      <c r="I9954" s="1342"/>
      <c r="J9954" s="1342"/>
      <c r="K9954" s="1342"/>
    </row>
    <row r="9955" spans="2:11" ht="14" hidden="1">
      <c r="B9955" s="1342"/>
      <c r="C9955" s="1342"/>
      <c r="D9955" s="1342"/>
      <c r="E9955" s="1342"/>
      <c r="F9955" s="1342"/>
      <c r="G9955" s="1342"/>
      <c r="H9955" s="1342"/>
      <c r="I9955" s="1342"/>
      <c r="J9955" s="1342"/>
      <c r="K9955" s="1342"/>
    </row>
    <row r="9956" spans="2:11" ht="14" hidden="1">
      <c r="B9956" s="1342"/>
      <c r="C9956" s="1342"/>
      <c r="D9956" s="1342"/>
      <c r="E9956" s="1342"/>
      <c r="F9956" s="1342"/>
      <c r="G9956" s="1342"/>
      <c r="H9956" s="1342"/>
      <c r="I9956" s="1342"/>
      <c r="J9956" s="1342"/>
      <c r="K9956" s="1342"/>
    </row>
    <row r="9957" spans="2:11" ht="14" hidden="1">
      <c r="B9957" s="1342"/>
      <c r="C9957" s="1342"/>
      <c r="D9957" s="1342"/>
      <c r="E9957" s="1342"/>
      <c r="F9957" s="1342"/>
      <c r="G9957" s="1342"/>
      <c r="H9957" s="1342"/>
      <c r="I9957" s="1342"/>
      <c r="J9957" s="1342"/>
      <c r="K9957" s="1342"/>
    </row>
    <row r="9958" spans="2:11" ht="14" hidden="1">
      <c r="B9958" s="1342"/>
      <c r="C9958" s="1342"/>
      <c r="D9958" s="1342"/>
      <c r="E9958" s="1342"/>
      <c r="F9958" s="1342"/>
      <c r="G9958" s="1342"/>
      <c r="H9958" s="1342"/>
      <c r="I9958" s="1342"/>
      <c r="J9958" s="1342"/>
      <c r="K9958" s="1342"/>
    </row>
    <row r="9959" spans="2:11" ht="14" hidden="1">
      <c r="B9959" s="1342"/>
      <c r="C9959" s="1342"/>
      <c r="D9959" s="1342"/>
      <c r="E9959" s="1342"/>
      <c r="F9959" s="1342"/>
      <c r="G9959" s="1342"/>
      <c r="H9959" s="1342"/>
      <c r="I9959" s="1342"/>
      <c r="J9959" s="1342"/>
      <c r="K9959" s="1342"/>
    </row>
    <row r="9960" spans="2:11" ht="14" hidden="1">
      <c r="B9960" s="1342"/>
      <c r="C9960" s="1342"/>
      <c r="D9960" s="1342"/>
      <c r="E9960" s="1342"/>
      <c r="F9960" s="1342"/>
      <c r="G9960" s="1342"/>
      <c r="H9960" s="1342"/>
      <c r="I9960" s="1342"/>
      <c r="J9960" s="1342"/>
      <c r="K9960" s="1342"/>
    </row>
    <row r="9961" spans="2:11" ht="14" hidden="1">
      <c r="B9961" s="1342"/>
      <c r="C9961" s="1342"/>
      <c r="D9961" s="1342"/>
      <c r="E9961" s="1342"/>
      <c r="F9961" s="1342"/>
      <c r="G9961" s="1342"/>
      <c r="H9961" s="1342"/>
      <c r="I9961" s="1342"/>
      <c r="J9961" s="1342"/>
      <c r="K9961" s="1342"/>
    </row>
    <row r="9962" spans="2:11" ht="14" hidden="1">
      <c r="B9962" s="1342"/>
      <c r="C9962" s="1342"/>
      <c r="D9962" s="1342"/>
      <c r="E9962" s="1342"/>
      <c r="F9962" s="1342"/>
      <c r="G9962" s="1342"/>
      <c r="H9962" s="1342"/>
      <c r="I9962" s="1342"/>
      <c r="J9962" s="1342"/>
      <c r="K9962" s="1342"/>
    </row>
    <row r="9963" spans="2:11" ht="14" hidden="1">
      <c r="B9963" s="1342"/>
      <c r="C9963" s="1342"/>
      <c r="D9963" s="1342"/>
      <c r="E9963" s="1342"/>
      <c r="F9963" s="1342"/>
      <c r="G9963" s="1342"/>
      <c r="H9963" s="1342"/>
      <c r="I9963" s="1342"/>
      <c r="J9963" s="1342"/>
      <c r="K9963" s="1342"/>
    </row>
    <row r="9964" spans="2:11" ht="14" hidden="1">
      <c r="B9964" s="1342"/>
      <c r="C9964" s="1342"/>
      <c r="D9964" s="1342"/>
      <c r="E9964" s="1342"/>
      <c r="F9964" s="1342"/>
      <c r="G9964" s="1342"/>
      <c r="H9964" s="1342"/>
      <c r="I9964" s="1342"/>
      <c r="J9964" s="1342"/>
      <c r="K9964" s="1342"/>
    </row>
    <row r="9965" spans="2:11" ht="14" hidden="1">
      <c r="B9965" s="1342"/>
      <c r="C9965" s="1342"/>
      <c r="D9965" s="1342"/>
      <c r="E9965" s="1342"/>
      <c r="F9965" s="1342"/>
      <c r="G9965" s="1342"/>
      <c r="H9965" s="1342"/>
      <c r="I9965" s="1342"/>
      <c r="J9965" s="1342"/>
      <c r="K9965" s="1342"/>
    </row>
    <row r="9966" spans="2:11" ht="14" hidden="1">
      <c r="B9966" s="1342"/>
      <c r="C9966" s="1342"/>
      <c r="D9966" s="1342"/>
      <c r="E9966" s="1342"/>
      <c r="F9966" s="1342"/>
      <c r="G9966" s="1342"/>
      <c r="H9966" s="1342"/>
      <c r="I9966" s="1342"/>
      <c r="J9966" s="1342"/>
      <c r="K9966" s="1342"/>
    </row>
    <row r="9967" spans="2:11" ht="14" hidden="1">
      <c r="B9967" s="1342"/>
      <c r="C9967" s="1342"/>
      <c r="D9967" s="1342"/>
      <c r="E9967" s="1342"/>
      <c r="F9967" s="1342"/>
      <c r="G9967" s="1342"/>
      <c r="H9967" s="1342"/>
      <c r="I9967" s="1342"/>
      <c r="J9967" s="1342"/>
      <c r="K9967" s="1342"/>
    </row>
    <row r="9968" spans="2:11" ht="14" hidden="1">
      <c r="B9968" s="1342"/>
      <c r="C9968" s="1342"/>
      <c r="D9968" s="1342"/>
      <c r="E9968" s="1342"/>
      <c r="F9968" s="1342"/>
      <c r="G9968" s="1342"/>
      <c r="H9968" s="1342"/>
      <c r="I9968" s="1342"/>
      <c r="J9968" s="1342"/>
      <c r="K9968" s="1342"/>
    </row>
    <row r="9969" spans="2:11" ht="14" hidden="1">
      <c r="B9969" s="1342"/>
      <c r="C9969" s="1342"/>
      <c r="D9969" s="1342"/>
      <c r="E9969" s="1342"/>
      <c r="F9969" s="1342"/>
      <c r="G9969" s="1342"/>
      <c r="H9969" s="1342"/>
      <c r="I9969" s="1342"/>
      <c r="J9969" s="1342"/>
      <c r="K9969" s="1342"/>
    </row>
    <row r="9970" spans="2:11" ht="14" hidden="1">
      <c r="B9970" s="1342"/>
      <c r="C9970" s="1342"/>
      <c r="D9970" s="1342"/>
      <c r="E9970" s="1342"/>
      <c r="F9970" s="1342"/>
      <c r="G9970" s="1342"/>
      <c r="H9970" s="1342"/>
      <c r="I9970" s="1342"/>
      <c r="J9970" s="1342"/>
      <c r="K9970" s="1342"/>
    </row>
    <row r="9971" spans="2:11" ht="14" hidden="1">
      <c r="B9971" s="1342"/>
      <c r="C9971" s="1342"/>
      <c r="D9971" s="1342"/>
      <c r="E9971" s="1342"/>
      <c r="F9971" s="1342"/>
      <c r="G9971" s="1342"/>
      <c r="H9971" s="1342"/>
      <c r="I9971" s="1342"/>
      <c r="J9971" s="1342"/>
      <c r="K9971" s="1342"/>
    </row>
    <row r="9972" spans="2:11" ht="14" hidden="1">
      <c r="B9972" s="1342"/>
      <c r="C9972" s="1342"/>
      <c r="D9972" s="1342"/>
      <c r="E9972" s="1342"/>
      <c r="F9972" s="1342"/>
      <c r="G9972" s="1342"/>
      <c r="H9972" s="1342"/>
      <c r="I9972" s="1342"/>
      <c r="J9972" s="1342"/>
      <c r="K9972" s="1342"/>
    </row>
    <row r="9973" spans="2:11" ht="14" hidden="1">
      <c r="B9973" s="1342"/>
      <c r="C9973" s="1342"/>
      <c r="D9973" s="1342"/>
      <c r="E9973" s="1342"/>
      <c r="F9973" s="1342"/>
      <c r="G9973" s="1342"/>
      <c r="H9973" s="1342"/>
      <c r="I9973" s="1342"/>
      <c r="J9973" s="1342"/>
      <c r="K9973" s="1342"/>
    </row>
    <row r="9974" spans="2:11" ht="14" hidden="1">
      <c r="B9974" s="1342"/>
      <c r="C9974" s="1342"/>
      <c r="D9974" s="1342"/>
      <c r="E9974" s="1342"/>
      <c r="F9974" s="1342"/>
      <c r="G9974" s="1342"/>
      <c r="H9974" s="1342"/>
      <c r="I9974" s="1342"/>
      <c r="J9974" s="1342"/>
      <c r="K9974" s="1342"/>
    </row>
    <row r="9975" spans="2:11" ht="14" hidden="1">
      <c r="B9975" s="1342"/>
      <c r="C9975" s="1342"/>
      <c r="D9975" s="1342"/>
      <c r="E9975" s="1342"/>
      <c r="F9975" s="1342"/>
      <c r="G9975" s="1342"/>
      <c r="H9975" s="1342"/>
      <c r="I9975" s="1342"/>
      <c r="J9975" s="1342"/>
      <c r="K9975" s="1342"/>
    </row>
    <row r="9976" spans="2:11" ht="14" hidden="1">
      <c r="B9976" s="1342"/>
      <c r="C9976" s="1342"/>
      <c r="D9976" s="1342"/>
      <c r="E9976" s="1342"/>
      <c r="F9976" s="1342"/>
      <c r="G9976" s="1342"/>
      <c r="H9976" s="1342"/>
      <c r="I9976" s="1342"/>
      <c r="J9976" s="1342"/>
      <c r="K9976" s="1342"/>
    </row>
    <row r="9977" spans="2:11" ht="14" hidden="1">
      <c r="B9977" s="1342"/>
      <c r="C9977" s="1342"/>
      <c r="D9977" s="1342"/>
      <c r="E9977" s="1342"/>
      <c r="F9977" s="1342"/>
      <c r="G9977" s="1342"/>
      <c r="H9977" s="1342"/>
      <c r="I9977" s="1342"/>
      <c r="J9977" s="1342"/>
      <c r="K9977" s="1342"/>
    </row>
    <row r="9978" spans="2:11" ht="14" hidden="1">
      <c r="B9978" s="1342"/>
      <c r="C9978" s="1342"/>
      <c r="D9978" s="1342"/>
      <c r="E9978" s="1342"/>
      <c r="F9978" s="1342"/>
      <c r="G9978" s="1342"/>
      <c r="H9978" s="1342"/>
      <c r="I9978" s="1342"/>
      <c r="J9978" s="1342"/>
      <c r="K9978" s="1342"/>
    </row>
    <row r="9979" spans="2:11" ht="14" hidden="1">
      <c r="B9979" s="1342"/>
      <c r="C9979" s="1342"/>
      <c r="D9979" s="1342"/>
      <c r="E9979" s="1342"/>
      <c r="F9979" s="1342"/>
      <c r="G9979" s="1342"/>
      <c r="H9979" s="1342"/>
      <c r="I9979" s="1342"/>
      <c r="J9979" s="1342"/>
      <c r="K9979" s="1342"/>
    </row>
    <row r="9980" spans="2:11" ht="14" hidden="1">
      <c r="B9980" s="1342"/>
      <c r="C9980" s="1342"/>
      <c r="D9980" s="1342"/>
      <c r="E9980" s="1342"/>
      <c r="F9980" s="1342"/>
      <c r="G9980" s="1342"/>
      <c r="H9980" s="1342"/>
      <c r="I9980" s="1342"/>
      <c r="J9980" s="1342"/>
      <c r="K9980" s="1342"/>
    </row>
    <row r="9981" spans="2:11" ht="14" hidden="1">
      <c r="B9981" s="1342"/>
      <c r="C9981" s="1342"/>
      <c r="D9981" s="1342"/>
      <c r="E9981" s="1342"/>
      <c r="F9981" s="1342"/>
      <c r="G9981" s="1342"/>
      <c r="H9981" s="1342"/>
      <c r="I9981" s="1342"/>
      <c r="J9981" s="1342"/>
      <c r="K9981" s="1342"/>
    </row>
    <row r="9982" spans="2:11" ht="14" hidden="1">
      <c r="B9982" s="1342"/>
      <c r="C9982" s="1342"/>
      <c r="D9982" s="1342"/>
      <c r="E9982" s="1342"/>
      <c r="F9982" s="1342"/>
      <c r="G9982" s="1342"/>
      <c r="H9982" s="1342"/>
      <c r="I9982" s="1342"/>
      <c r="J9982" s="1342"/>
      <c r="K9982" s="1342"/>
    </row>
    <row r="9983" spans="2:11" ht="14" hidden="1">
      <c r="B9983" s="1342"/>
      <c r="C9983" s="1342"/>
      <c r="D9983" s="1342"/>
      <c r="E9983" s="1342"/>
      <c r="F9983" s="1342"/>
      <c r="G9983" s="1342"/>
      <c r="H9983" s="1342"/>
      <c r="I9983" s="1342"/>
      <c r="J9983" s="1342"/>
      <c r="K9983" s="1342"/>
    </row>
    <row r="9984" spans="2:11" ht="14" hidden="1">
      <c r="B9984" s="1342"/>
      <c r="C9984" s="1342"/>
      <c r="D9984" s="1342"/>
      <c r="E9984" s="1342"/>
      <c r="F9984" s="1342"/>
      <c r="G9984" s="1342"/>
      <c r="H9984" s="1342"/>
      <c r="I9984" s="1342"/>
      <c r="J9984" s="1342"/>
      <c r="K9984" s="1342"/>
    </row>
    <row r="9985" spans="2:11" ht="14" hidden="1">
      <c r="B9985" s="1342"/>
      <c r="C9985" s="1342"/>
      <c r="D9985" s="1342"/>
      <c r="E9985" s="1342"/>
      <c r="F9985" s="1342"/>
      <c r="G9985" s="1342"/>
      <c r="H9985" s="1342"/>
      <c r="I9985" s="1342"/>
      <c r="J9985" s="1342"/>
      <c r="K9985" s="1342"/>
    </row>
    <row r="9986" spans="2:11" ht="14" hidden="1">
      <c r="B9986" s="1342"/>
      <c r="C9986" s="1342"/>
      <c r="D9986" s="1342"/>
      <c r="E9986" s="1342"/>
      <c r="F9986" s="1342"/>
      <c r="G9986" s="1342"/>
      <c r="H9986" s="1342"/>
      <c r="I9986" s="1342"/>
      <c r="J9986" s="1342"/>
      <c r="K9986" s="1342"/>
    </row>
    <row r="9987" spans="2:11" ht="14" hidden="1">
      <c r="B9987" s="1342"/>
      <c r="C9987" s="1342"/>
      <c r="D9987" s="1342"/>
      <c r="E9987" s="1342"/>
      <c r="F9987" s="1342"/>
      <c r="G9987" s="1342"/>
      <c r="H9987" s="1342"/>
      <c r="I9987" s="1342"/>
      <c r="J9987" s="1342"/>
      <c r="K9987" s="1342"/>
    </row>
    <row r="9988" spans="2:11" ht="14" hidden="1">
      <c r="B9988" s="1342"/>
      <c r="C9988" s="1342"/>
      <c r="D9988" s="1342"/>
      <c r="E9988" s="1342"/>
      <c r="F9988" s="1342"/>
      <c r="G9988" s="1342"/>
      <c r="H9988" s="1342"/>
      <c r="I9988" s="1342"/>
      <c r="J9988" s="1342"/>
      <c r="K9988" s="1342"/>
    </row>
    <row r="9989" spans="2:11" ht="14" hidden="1">
      <c r="B9989" s="1342"/>
      <c r="C9989" s="1342"/>
      <c r="D9989" s="1342"/>
      <c r="E9989" s="1342"/>
      <c r="F9989" s="1342"/>
      <c r="G9989" s="1342"/>
      <c r="H9989" s="1342"/>
      <c r="I9989" s="1342"/>
      <c r="J9989" s="1342"/>
      <c r="K9989" s="1342"/>
    </row>
    <row r="9990" spans="2:11" ht="14" hidden="1">
      <c r="B9990" s="1342"/>
      <c r="C9990" s="1342"/>
      <c r="D9990" s="1342"/>
      <c r="E9990" s="1342"/>
      <c r="F9990" s="1342"/>
      <c r="G9990" s="1342"/>
      <c r="H9990" s="1342"/>
      <c r="I9990" s="1342"/>
      <c r="J9990" s="1342"/>
      <c r="K9990" s="1342"/>
    </row>
    <row r="9991" spans="2:11" ht="14" hidden="1">
      <c r="B9991" s="1342"/>
      <c r="C9991" s="1342"/>
      <c r="D9991" s="1342"/>
      <c r="E9991" s="1342"/>
      <c r="F9991" s="1342"/>
      <c r="G9991" s="1342"/>
      <c r="H9991" s="1342"/>
      <c r="I9991" s="1342"/>
      <c r="J9991" s="1342"/>
      <c r="K9991" s="1342"/>
    </row>
    <row r="9992" spans="2:11" ht="14" hidden="1">
      <c r="B9992" s="1342"/>
      <c r="C9992" s="1342"/>
      <c r="D9992" s="1342"/>
      <c r="E9992" s="1342"/>
      <c r="F9992" s="1342"/>
      <c r="G9992" s="1342"/>
      <c r="H9992" s="1342"/>
      <c r="I9992" s="1342"/>
      <c r="J9992" s="1342"/>
      <c r="K9992" s="1342"/>
    </row>
    <row r="9993" spans="2:11" ht="14" hidden="1">
      <c r="B9993" s="1342"/>
      <c r="C9993" s="1342"/>
      <c r="D9993" s="1342"/>
      <c r="E9993" s="1342"/>
      <c r="F9993" s="1342"/>
      <c r="G9993" s="1342"/>
      <c r="H9993" s="1342"/>
      <c r="I9993" s="1342"/>
      <c r="J9993" s="1342"/>
      <c r="K9993" s="1342"/>
    </row>
    <row r="9994" spans="2:11" ht="14" hidden="1">
      <c r="B9994" s="1342"/>
      <c r="C9994" s="1342"/>
      <c r="D9994" s="1342"/>
      <c r="E9994" s="1342"/>
      <c r="F9994" s="1342"/>
      <c r="G9994" s="1342"/>
      <c r="H9994" s="1342"/>
      <c r="I9994" s="1342"/>
      <c r="J9994" s="1342"/>
      <c r="K9994" s="1342"/>
    </row>
    <row r="9995" spans="2:11" ht="14" hidden="1">
      <c r="B9995" s="1342"/>
      <c r="C9995" s="1342"/>
      <c r="D9995" s="1342"/>
      <c r="E9995" s="1342"/>
      <c r="F9995" s="1342"/>
      <c r="G9995" s="1342"/>
      <c r="H9995" s="1342"/>
      <c r="I9995" s="1342"/>
      <c r="J9995" s="1342"/>
      <c r="K9995" s="1342"/>
    </row>
    <row r="9996" spans="2:11" ht="14" hidden="1">
      <c r="B9996" s="1342"/>
      <c r="C9996" s="1342"/>
      <c r="D9996" s="1342"/>
      <c r="E9996" s="1342"/>
      <c r="F9996" s="1342"/>
      <c r="G9996" s="1342"/>
      <c r="H9996" s="1342"/>
      <c r="I9996" s="1342"/>
      <c r="J9996" s="1342"/>
      <c r="K9996" s="1342"/>
    </row>
    <row r="9997" spans="2:11" ht="14" hidden="1">
      <c r="B9997" s="1342"/>
      <c r="C9997" s="1342"/>
      <c r="D9997" s="1342"/>
      <c r="E9997" s="1342"/>
      <c r="F9997" s="1342"/>
      <c r="G9997" s="1342"/>
      <c r="H9997" s="1342"/>
      <c r="I9997" s="1342"/>
      <c r="J9997" s="1342"/>
      <c r="K9997" s="1342"/>
    </row>
    <row r="9998" spans="2:11" ht="14" hidden="1">
      <c r="B9998" s="1342"/>
      <c r="C9998" s="1342"/>
      <c r="D9998" s="1342"/>
      <c r="E9998" s="1342"/>
      <c r="F9998" s="1342"/>
      <c r="G9998" s="1342"/>
      <c r="H9998" s="1342"/>
      <c r="I9998" s="1342"/>
      <c r="J9998" s="1342"/>
      <c r="K9998" s="1342"/>
    </row>
    <row r="9999" spans="2:11" ht="14" hidden="1">
      <c r="B9999" s="1342"/>
      <c r="C9999" s="1342"/>
      <c r="D9999" s="1342"/>
      <c r="E9999" s="1342"/>
      <c r="F9999" s="1342"/>
      <c r="G9999" s="1342"/>
      <c r="H9999" s="1342"/>
      <c r="I9999" s="1342"/>
      <c r="J9999" s="1342"/>
      <c r="K9999" s="1342"/>
    </row>
    <row r="10000" spans="2:11" ht="14" hidden="1">
      <c r="B10000" s="1342"/>
      <c r="C10000" s="1342"/>
      <c r="D10000" s="1342"/>
      <c r="E10000" s="1342"/>
      <c r="F10000" s="1342"/>
      <c r="G10000" s="1342"/>
      <c r="H10000" s="1342"/>
      <c r="I10000" s="1342"/>
      <c r="J10000" s="1342"/>
      <c r="K10000" s="1342"/>
    </row>
    <row r="10001" spans="2:11" ht="14" hidden="1">
      <c r="B10001" s="1342"/>
      <c r="C10001" s="1342"/>
      <c r="D10001" s="1342"/>
      <c r="E10001" s="1342"/>
      <c r="F10001" s="1342"/>
      <c r="G10001" s="1342"/>
      <c r="H10001" s="1342"/>
      <c r="I10001" s="1342"/>
      <c r="J10001" s="1342"/>
      <c r="K10001" s="1342"/>
    </row>
    <row r="10002" spans="2:11" ht="14" hidden="1">
      <c r="B10002" s="1342"/>
      <c r="C10002" s="1342"/>
      <c r="D10002" s="1342"/>
      <c r="E10002" s="1342"/>
      <c r="F10002" s="1342"/>
      <c r="G10002" s="1342"/>
      <c r="H10002" s="1342"/>
      <c r="I10002" s="1342"/>
      <c r="J10002" s="1342"/>
      <c r="K10002" s="1342"/>
    </row>
    <row r="10003" spans="2:11" ht="14" hidden="1">
      <c r="B10003" s="1342"/>
      <c r="C10003" s="1342"/>
      <c r="D10003" s="1342"/>
      <c r="E10003" s="1342"/>
      <c r="F10003" s="1342"/>
      <c r="G10003" s="1342"/>
      <c r="H10003" s="1342"/>
      <c r="I10003" s="1342"/>
      <c r="J10003" s="1342"/>
      <c r="K10003" s="1342"/>
    </row>
    <row r="10004" spans="2:11" ht="14" hidden="1">
      <c r="B10004" s="1342"/>
      <c r="C10004" s="1342"/>
      <c r="D10004" s="1342"/>
      <c r="E10004" s="1342"/>
      <c r="F10004" s="1342"/>
      <c r="G10004" s="1342"/>
      <c r="H10004" s="1342"/>
      <c r="I10004" s="1342"/>
      <c r="J10004" s="1342"/>
      <c r="K10004" s="1342"/>
    </row>
    <row r="10005" spans="2:11" ht="14" hidden="1">
      <c r="B10005" s="1342"/>
      <c r="C10005" s="1342"/>
      <c r="D10005" s="1342"/>
      <c r="E10005" s="1342"/>
      <c r="F10005" s="1342"/>
      <c r="G10005" s="1342"/>
      <c r="H10005" s="1342"/>
      <c r="I10005" s="1342"/>
      <c r="J10005" s="1342"/>
      <c r="K10005" s="1342"/>
    </row>
    <row r="10006" spans="2:11" ht="14" hidden="1">
      <c r="B10006" s="1342"/>
      <c r="C10006" s="1342"/>
      <c r="D10006" s="1342"/>
      <c r="E10006" s="1342"/>
      <c r="F10006" s="1342"/>
      <c r="G10006" s="1342"/>
      <c r="H10006" s="1342"/>
      <c r="I10006" s="1342"/>
      <c r="J10006" s="1342"/>
      <c r="K10006" s="1342"/>
    </row>
    <row r="10007" spans="2:11" ht="14" hidden="1">
      <c r="B10007" s="1342"/>
      <c r="C10007" s="1342"/>
      <c r="D10007" s="1342"/>
      <c r="E10007" s="1342"/>
      <c r="F10007" s="1342"/>
      <c r="G10007" s="1342"/>
      <c r="H10007" s="1342"/>
      <c r="I10007" s="1342"/>
      <c r="J10007" s="1342"/>
      <c r="K10007" s="1342"/>
    </row>
    <row r="10008" spans="2:11" ht="14" hidden="1">
      <c r="B10008" s="1342"/>
      <c r="C10008" s="1342"/>
      <c r="D10008" s="1342"/>
      <c r="E10008" s="1342"/>
      <c r="F10008" s="1342"/>
      <c r="G10008" s="1342"/>
      <c r="H10008" s="1342"/>
      <c r="I10008" s="1342"/>
      <c r="J10008" s="1342"/>
      <c r="K10008" s="1342"/>
    </row>
    <row r="10009" spans="2:11" ht="14" hidden="1">
      <c r="B10009" s="1342"/>
      <c r="C10009" s="1342"/>
      <c r="D10009" s="1342"/>
      <c r="E10009" s="1342"/>
      <c r="F10009" s="1342"/>
      <c r="G10009" s="1342"/>
      <c r="H10009" s="1342"/>
      <c r="I10009" s="1342"/>
      <c r="J10009" s="1342"/>
      <c r="K10009" s="1342"/>
    </row>
    <row r="10010" spans="2:11" ht="14" hidden="1">
      <c r="B10010" s="1342"/>
      <c r="C10010" s="1342"/>
      <c r="D10010" s="1342"/>
      <c r="E10010" s="1342"/>
      <c r="F10010" s="1342"/>
      <c r="G10010" s="1342"/>
      <c r="H10010" s="1342"/>
      <c r="I10010" s="1342"/>
      <c r="J10010" s="1342"/>
      <c r="K10010" s="1342"/>
    </row>
    <row r="10011" spans="2:11" ht="14" hidden="1">
      <c r="B10011" s="1342"/>
      <c r="C10011" s="1342"/>
      <c r="D10011" s="1342"/>
      <c r="E10011" s="1342"/>
      <c r="F10011" s="1342"/>
      <c r="G10011" s="1342"/>
      <c r="H10011" s="1342"/>
      <c r="I10011" s="1342"/>
      <c r="J10011" s="1342"/>
      <c r="K10011" s="1342"/>
    </row>
    <row r="10012" spans="2:11" ht="14" hidden="1">
      <c r="B10012" s="1342"/>
      <c r="C10012" s="1342"/>
      <c r="D10012" s="1342"/>
      <c r="E10012" s="1342"/>
      <c r="F10012" s="1342"/>
      <c r="G10012" s="1342"/>
      <c r="H10012" s="1342"/>
      <c r="I10012" s="1342"/>
      <c r="J10012" s="1342"/>
      <c r="K10012" s="1342"/>
    </row>
    <row r="10013" spans="2:11" ht="14" hidden="1">
      <c r="B10013" s="1342"/>
      <c r="C10013" s="1342"/>
      <c r="D10013" s="1342"/>
      <c r="E10013" s="1342"/>
      <c r="F10013" s="1342"/>
      <c r="G10013" s="1342"/>
      <c r="H10013" s="1342"/>
      <c r="I10013" s="1342"/>
      <c r="J10013" s="1342"/>
      <c r="K10013" s="1342"/>
    </row>
    <row r="10014" spans="2:11" ht="14" hidden="1">
      <c r="B10014" s="1342"/>
      <c r="C10014" s="1342"/>
      <c r="D10014" s="1342"/>
      <c r="E10014" s="1342"/>
      <c r="F10014" s="1342"/>
      <c r="G10014" s="1342"/>
      <c r="H10014" s="1342"/>
      <c r="I10014" s="1342"/>
      <c r="J10014" s="1342"/>
      <c r="K10014" s="1342"/>
    </row>
    <row r="10015" spans="2:11" ht="14" hidden="1">
      <c r="B10015" s="1342"/>
      <c r="C10015" s="1342"/>
      <c r="D10015" s="1342"/>
      <c r="E10015" s="1342"/>
      <c r="F10015" s="1342"/>
      <c r="G10015" s="1342"/>
      <c r="H10015" s="1342"/>
      <c r="I10015" s="1342"/>
      <c r="J10015" s="1342"/>
      <c r="K10015" s="1342"/>
    </row>
    <row r="10016" spans="2:11" ht="14" hidden="1">
      <c r="B10016" s="1342"/>
      <c r="C10016" s="1342"/>
      <c r="D10016" s="1342"/>
      <c r="E10016" s="1342"/>
      <c r="F10016" s="1342"/>
      <c r="G10016" s="1342"/>
      <c r="H10016" s="1342"/>
      <c r="I10016" s="1342"/>
      <c r="J10016" s="1342"/>
      <c r="K10016" s="1342"/>
    </row>
    <row r="10017" spans="2:11" ht="14" hidden="1">
      <c r="B10017" s="1342"/>
      <c r="C10017" s="1342"/>
      <c r="D10017" s="1342"/>
      <c r="E10017" s="1342"/>
      <c r="F10017" s="1342"/>
      <c r="G10017" s="1342"/>
      <c r="H10017" s="1342"/>
      <c r="I10017" s="1342"/>
      <c r="J10017" s="1342"/>
      <c r="K10017" s="1342"/>
    </row>
    <row r="10018" spans="2:11" ht="14" hidden="1">
      <c r="B10018" s="1342"/>
      <c r="C10018" s="1342"/>
      <c r="D10018" s="1342"/>
      <c r="E10018" s="1342"/>
      <c r="F10018" s="1342"/>
      <c r="G10018" s="1342"/>
      <c r="H10018" s="1342"/>
      <c r="I10018" s="1342"/>
      <c r="J10018" s="1342"/>
      <c r="K10018" s="1342"/>
    </row>
    <row r="10019" spans="2:11" ht="14" hidden="1">
      <c r="B10019" s="1342"/>
      <c r="C10019" s="1342"/>
      <c r="D10019" s="1342"/>
      <c r="E10019" s="1342"/>
      <c r="F10019" s="1342"/>
      <c r="G10019" s="1342"/>
      <c r="H10019" s="1342"/>
      <c r="I10019" s="1342"/>
      <c r="J10019" s="1342"/>
      <c r="K10019" s="1342"/>
    </row>
    <row r="10020" spans="2:11" ht="14" hidden="1">
      <c r="B10020" s="1342"/>
      <c r="C10020" s="1342"/>
      <c r="D10020" s="1342"/>
      <c r="E10020" s="1342"/>
      <c r="F10020" s="1342"/>
      <c r="G10020" s="1342"/>
      <c r="H10020" s="1342"/>
      <c r="I10020" s="1342"/>
      <c r="J10020" s="1342"/>
      <c r="K10020" s="1342"/>
    </row>
    <row r="10021" spans="2:11" ht="14" hidden="1">
      <c r="B10021" s="1342"/>
      <c r="C10021" s="1342"/>
      <c r="D10021" s="1342"/>
      <c r="E10021" s="1342"/>
      <c r="F10021" s="1342"/>
      <c r="G10021" s="1342"/>
      <c r="H10021" s="1342"/>
      <c r="I10021" s="1342"/>
      <c r="J10021" s="1342"/>
      <c r="K10021" s="1342"/>
    </row>
    <row r="10022" spans="2:11" ht="14" hidden="1">
      <c r="B10022" s="1342"/>
      <c r="C10022" s="1342"/>
      <c r="D10022" s="1342"/>
      <c r="E10022" s="1342"/>
      <c r="F10022" s="1342"/>
      <c r="G10022" s="1342"/>
      <c r="H10022" s="1342"/>
      <c r="I10022" s="1342"/>
      <c r="J10022" s="1342"/>
      <c r="K10022" s="1342"/>
    </row>
    <row r="10023" spans="2:11" ht="14" hidden="1">
      <c r="B10023" s="1342"/>
      <c r="C10023" s="1342"/>
      <c r="D10023" s="1342"/>
      <c r="E10023" s="1342"/>
      <c r="F10023" s="1342"/>
      <c r="G10023" s="1342"/>
      <c r="H10023" s="1342"/>
      <c r="I10023" s="1342"/>
      <c r="J10023" s="1342"/>
      <c r="K10023" s="1342"/>
    </row>
    <row r="10024" spans="2:11" ht="14" hidden="1">
      <c r="B10024" s="1342"/>
      <c r="C10024" s="1342"/>
      <c r="D10024" s="1342"/>
      <c r="E10024" s="1342"/>
      <c r="F10024" s="1342"/>
      <c r="G10024" s="1342"/>
      <c r="H10024" s="1342"/>
      <c r="I10024" s="1342"/>
      <c r="J10024" s="1342"/>
      <c r="K10024" s="1342"/>
    </row>
    <row r="10025" spans="2:11" ht="14" hidden="1">
      <c r="B10025" s="1342"/>
      <c r="C10025" s="1342"/>
      <c r="D10025" s="1342"/>
      <c r="E10025" s="1342"/>
      <c r="F10025" s="1342"/>
      <c r="G10025" s="1342"/>
      <c r="H10025" s="1342"/>
      <c r="I10025" s="1342"/>
      <c r="J10025" s="1342"/>
      <c r="K10025" s="1342"/>
    </row>
    <row r="10026" spans="2:11" ht="14" hidden="1">
      <c r="B10026" s="1342"/>
      <c r="C10026" s="1342"/>
      <c r="D10026" s="1342"/>
      <c r="E10026" s="1342"/>
      <c r="F10026" s="1342"/>
      <c r="G10026" s="1342"/>
      <c r="H10026" s="1342"/>
      <c r="I10026" s="1342"/>
      <c r="J10026" s="1342"/>
      <c r="K10026" s="1342"/>
    </row>
    <row r="10027" spans="2:11" ht="14" hidden="1">
      <c r="B10027" s="1342"/>
      <c r="C10027" s="1342"/>
      <c r="D10027" s="1342"/>
      <c r="E10027" s="1342"/>
      <c r="F10027" s="1342"/>
      <c r="G10027" s="1342"/>
      <c r="H10027" s="1342"/>
      <c r="I10027" s="1342"/>
      <c r="J10027" s="1342"/>
      <c r="K10027" s="1342"/>
    </row>
    <row r="10028" spans="2:11" ht="14" hidden="1">
      <c r="B10028" s="1342"/>
      <c r="C10028" s="1342"/>
      <c r="D10028" s="1342"/>
      <c r="E10028" s="1342"/>
      <c r="F10028" s="1342"/>
      <c r="G10028" s="1342"/>
      <c r="H10028" s="1342"/>
      <c r="I10028" s="1342"/>
      <c r="J10028" s="1342"/>
      <c r="K10028" s="1342"/>
    </row>
    <row r="10029" spans="2:11" ht="14" hidden="1">
      <c r="B10029" s="1342"/>
      <c r="C10029" s="1342"/>
      <c r="D10029" s="1342"/>
      <c r="E10029" s="1342"/>
      <c r="F10029" s="1342"/>
      <c r="G10029" s="1342"/>
      <c r="H10029" s="1342"/>
      <c r="I10029" s="1342"/>
      <c r="J10029" s="1342"/>
      <c r="K10029" s="1342"/>
    </row>
    <row r="10030" spans="2:11" ht="14" hidden="1">
      <c r="B10030" s="1342"/>
      <c r="C10030" s="1342"/>
      <c r="D10030" s="1342"/>
      <c r="E10030" s="1342"/>
      <c r="F10030" s="1342"/>
      <c r="G10030" s="1342"/>
      <c r="H10030" s="1342"/>
      <c r="I10030" s="1342"/>
      <c r="J10030" s="1342"/>
      <c r="K10030" s="1342"/>
    </row>
    <row r="10031" spans="2:11" ht="14" hidden="1">
      <c r="B10031" s="1342"/>
      <c r="C10031" s="1342"/>
      <c r="D10031" s="1342"/>
      <c r="E10031" s="1342"/>
      <c r="F10031" s="1342"/>
      <c r="G10031" s="1342"/>
      <c r="H10031" s="1342"/>
      <c r="I10031" s="1342"/>
      <c r="J10031" s="1342"/>
      <c r="K10031" s="1342"/>
    </row>
    <row r="10032" spans="2:11" ht="14" hidden="1">
      <c r="B10032" s="1342"/>
      <c r="C10032" s="1342"/>
      <c r="D10032" s="1342"/>
      <c r="E10032" s="1342"/>
      <c r="F10032" s="1342"/>
      <c r="G10032" s="1342"/>
      <c r="H10032" s="1342"/>
      <c r="I10032" s="1342"/>
      <c r="J10032" s="1342"/>
      <c r="K10032" s="1342"/>
    </row>
    <row r="10033" spans="2:11" ht="14" hidden="1">
      <c r="B10033" s="1342"/>
      <c r="C10033" s="1342"/>
      <c r="D10033" s="1342"/>
      <c r="E10033" s="1342"/>
      <c r="F10033" s="1342"/>
      <c r="G10033" s="1342"/>
      <c r="H10033" s="1342"/>
      <c r="I10033" s="1342"/>
      <c r="J10033" s="1342"/>
      <c r="K10033" s="1342"/>
    </row>
    <row r="10034" spans="2:11" ht="14" hidden="1">
      <c r="B10034" s="1342"/>
      <c r="C10034" s="1342"/>
      <c r="D10034" s="1342"/>
      <c r="E10034" s="1342"/>
      <c r="F10034" s="1342"/>
      <c r="G10034" s="1342"/>
      <c r="H10034" s="1342"/>
      <c r="I10034" s="1342"/>
      <c r="J10034" s="1342"/>
      <c r="K10034" s="1342"/>
    </row>
    <row r="10035" spans="2:11" ht="14" hidden="1">
      <c r="B10035" s="1342"/>
      <c r="C10035" s="1342"/>
      <c r="D10035" s="1342"/>
      <c r="E10035" s="1342"/>
      <c r="F10035" s="1342"/>
      <c r="G10035" s="1342"/>
      <c r="H10035" s="1342"/>
      <c r="I10035" s="1342"/>
      <c r="J10035" s="1342"/>
      <c r="K10035" s="1342"/>
    </row>
    <row r="10036" spans="2:11" ht="14" hidden="1">
      <c r="B10036" s="1342"/>
      <c r="C10036" s="1342"/>
      <c r="D10036" s="1342"/>
      <c r="E10036" s="1342"/>
      <c r="F10036" s="1342"/>
      <c r="G10036" s="1342"/>
      <c r="H10036" s="1342"/>
      <c r="I10036" s="1342"/>
      <c r="J10036" s="1342"/>
      <c r="K10036" s="1342"/>
    </row>
    <row r="10037" spans="2:11" ht="14" hidden="1">
      <c r="B10037" s="1342"/>
      <c r="C10037" s="1342"/>
      <c r="D10037" s="1342"/>
      <c r="E10037" s="1342"/>
      <c r="F10037" s="1342"/>
      <c r="G10037" s="1342"/>
      <c r="H10037" s="1342"/>
      <c r="I10037" s="1342"/>
      <c r="J10037" s="1342"/>
      <c r="K10037" s="1342"/>
    </row>
    <row r="10038" spans="2:11" ht="14" hidden="1">
      <c r="B10038" s="1342"/>
      <c r="C10038" s="1342"/>
      <c r="D10038" s="1342"/>
      <c r="E10038" s="1342"/>
      <c r="F10038" s="1342"/>
      <c r="G10038" s="1342"/>
      <c r="H10038" s="1342"/>
      <c r="I10038" s="1342"/>
      <c r="J10038" s="1342"/>
      <c r="K10038" s="1342"/>
    </row>
    <row r="10039" spans="2:11" ht="14" hidden="1">
      <c r="B10039" s="1342"/>
      <c r="C10039" s="1342"/>
      <c r="D10039" s="1342"/>
      <c r="E10039" s="1342"/>
      <c r="F10039" s="1342"/>
      <c r="G10039" s="1342"/>
      <c r="H10039" s="1342"/>
      <c r="I10039" s="1342"/>
      <c r="J10039" s="1342"/>
      <c r="K10039" s="1342"/>
    </row>
    <row r="10040" spans="2:11" ht="14" hidden="1">
      <c r="B10040" s="1342"/>
      <c r="C10040" s="1342"/>
      <c r="D10040" s="1342"/>
      <c r="E10040" s="1342"/>
      <c r="F10040" s="1342"/>
      <c r="G10040" s="1342"/>
      <c r="H10040" s="1342"/>
      <c r="I10040" s="1342"/>
      <c r="J10040" s="1342"/>
      <c r="K10040" s="1342"/>
    </row>
    <row r="10041" spans="2:11" ht="14" hidden="1">
      <c r="B10041" s="1342"/>
      <c r="C10041" s="1342"/>
      <c r="D10041" s="1342"/>
      <c r="E10041" s="1342"/>
      <c r="F10041" s="1342"/>
      <c r="G10041" s="1342"/>
      <c r="H10041" s="1342"/>
      <c r="I10041" s="1342"/>
      <c r="J10041" s="1342"/>
      <c r="K10041" s="1342"/>
    </row>
    <row r="10042" spans="2:11" ht="14" hidden="1">
      <c r="B10042" s="1342"/>
      <c r="C10042" s="1342"/>
      <c r="D10042" s="1342"/>
      <c r="E10042" s="1342"/>
      <c r="F10042" s="1342"/>
      <c r="G10042" s="1342"/>
      <c r="H10042" s="1342"/>
      <c r="I10042" s="1342"/>
      <c r="J10042" s="1342"/>
      <c r="K10042" s="1342"/>
    </row>
    <row r="10043" spans="2:11" ht="14" hidden="1">
      <c r="B10043" s="1342"/>
      <c r="C10043" s="1342"/>
      <c r="D10043" s="1342"/>
      <c r="E10043" s="1342"/>
      <c r="F10043" s="1342"/>
      <c r="G10043" s="1342"/>
      <c r="H10043" s="1342"/>
      <c r="I10043" s="1342"/>
      <c r="J10043" s="1342"/>
      <c r="K10043" s="1342"/>
    </row>
    <row r="10044" spans="2:11" ht="14" hidden="1">
      <c r="B10044" s="1342"/>
      <c r="C10044" s="1342"/>
      <c r="D10044" s="1342"/>
      <c r="E10044" s="1342"/>
      <c r="F10044" s="1342"/>
      <c r="G10044" s="1342"/>
      <c r="H10044" s="1342"/>
      <c r="I10044" s="1342"/>
      <c r="J10044" s="1342"/>
      <c r="K10044" s="1342"/>
    </row>
    <row r="10045" spans="2:11" ht="14" hidden="1">
      <c r="B10045" s="1342"/>
      <c r="C10045" s="1342"/>
      <c r="D10045" s="1342"/>
      <c r="E10045" s="1342"/>
      <c r="F10045" s="1342"/>
      <c r="G10045" s="1342"/>
      <c r="H10045" s="1342"/>
      <c r="I10045" s="1342"/>
      <c r="J10045" s="1342"/>
      <c r="K10045" s="1342"/>
    </row>
    <row r="10046" spans="2:11" ht="14" hidden="1">
      <c r="B10046" s="1342"/>
      <c r="C10046" s="1342"/>
      <c r="D10046" s="1342"/>
      <c r="E10046" s="1342"/>
      <c r="F10046" s="1342"/>
      <c r="G10046" s="1342"/>
      <c r="H10046" s="1342"/>
      <c r="I10046" s="1342"/>
      <c r="J10046" s="1342"/>
      <c r="K10046" s="1342"/>
    </row>
    <row r="10047" spans="2:11" ht="14" hidden="1">
      <c r="B10047" s="1342"/>
      <c r="C10047" s="1342"/>
      <c r="D10047" s="1342"/>
      <c r="E10047" s="1342"/>
      <c r="F10047" s="1342"/>
      <c r="G10047" s="1342"/>
      <c r="H10047" s="1342"/>
      <c r="I10047" s="1342"/>
      <c r="J10047" s="1342"/>
      <c r="K10047" s="1342"/>
    </row>
    <row r="10048" spans="2:11" ht="14" hidden="1">
      <c r="B10048" s="1342"/>
      <c r="C10048" s="1342"/>
      <c r="D10048" s="1342"/>
      <c r="E10048" s="1342"/>
      <c r="F10048" s="1342"/>
      <c r="G10048" s="1342"/>
      <c r="H10048" s="1342"/>
      <c r="I10048" s="1342"/>
      <c r="J10048" s="1342"/>
      <c r="K10048" s="1342"/>
    </row>
    <row r="10049" spans="2:11" ht="14" hidden="1">
      <c r="B10049" s="1342"/>
      <c r="C10049" s="1342"/>
      <c r="D10049" s="1342"/>
      <c r="E10049" s="1342"/>
      <c r="F10049" s="1342"/>
      <c r="G10049" s="1342"/>
      <c r="H10049" s="1342"/>
      <c r="I10049" s="1342"/>
      <c r="J10049" s="1342"/>
      <c r="K10049" s="1342"/>
    </row>
    <row r="10050" spans="2:11" ht="14" hidden="1">
      <c r="B10050" s="1342"/>
      <c r="C10050" s="1342"/>
      <c r="D10050" s="1342"/>
      <c r="E10050" s="1342"/>
      <c r="F10050" s="1342"/>
      <c r="G10050" s="1342"/>
      <c r="H10050" s="1342"/>
      <c r="I10050" s="1342"/>
      <c r="J10050" s="1342"/>
      <c r="K10050" s="1342"/>
    </row>
    <row r="10051" spans="2:11" ht="14" hidden="1">
      <c r="B10051" s="1342"/>
      <c r="C10051" s="1342"/>
      <c r="D10051" s="1342"/>
      <c r="E10051" s="1342"/>
      <c r="F10051" s="1342"/>
      <c r="G10051" s="1342"/>
      <c r="H10051" s="1342"/>
      <c r="I10051" s="1342"/>
      <c r="J10051" s="1342"/>
      <c r="K10051" s="1342"/>
    </row>
    <row r="10052" spans="2:11" ht="14" hidden="1">
      <c r="B10052" s="1342"/>
      <c r="C10052" s="1342"/>
      <c r="D10052" s="1342"/>
      <c r="E10052" s="1342"/>
      <c r="F10052" s="1342"/>
      <c r="G10052" s="1342"/>
      <c r="H10052" s="1342"/>
      <c r="I10052" s="1342"/>
      <c r="J10052" s="1342"/>
      <c r="K10052" s="1342"/>
    </row>
    <row r="10053" spans="2:11" ht="14" hidden="1">
      <c r="B10053" s="1342"/>
      <c r="C10053" s="1342"/>
      <c r="D10053" s="1342"/>
      <c r="E10053" s="1342"/>
      <c r="F10053" s="1342"/>
      <c r="G10053" s="1342"/>
      <c r="H10053" s="1342"/>
      <c r="I10053" s="1342"/>
      <c r="J10053" s="1342"/>
      <c r="K10053" s="1342"/>
    </row>
    <row r="10054" spans="2:11" ht="14" hidden="1">
      <c r="B10054" s="1342"/>
      <c r="C10054" s="1342"/>
      <c r="D10054" s="1342"/>
      <c r="E10054" s="1342"/>
      <c r="F10054" s="1342"/>
      <c r="G10054" s="1342"/>
      <c r="H10054" s="1342"/>
      <c r="I10054" s="1342"/>
      <c r="J10054" s="1342"/>
      <c r="K10054" s="1342"/>
    </row>
    <row r="10055" spans="2:11" ht="14" hidden="1">
      <c r="B10055" s="1342"/>
      <c r="C10055" s="1342"/>
      <c r="D10055" s="1342"/>
      <c r="E10055" s="1342"/>
      <c r="F10055" s="1342"/>
      <c r="G10055" s="1342"/>
      <c r="H10055" s="1342"/>
      <c r="I10055" s="1342"/>
      <c r="J10055" s="1342"/>
      <c r="K10055" s="1342"/>
    </row>
    <row r="10056" spans="2:11" ht="14" hidden="1">
      <c r="B10056" s="1342"/>
      <c r="C10056" s="1342"/>
      <c r="D10056" s="1342"/>
      <c r="E10056" s="1342"/>
      <c r="F10056" s="1342"/>
      <c r="G10056" s="1342"/>
      <c r="H10056" s="1342"/>
      <c r="I10056" s="1342"/>
      <c r="J10056" s="1342"/>
      <c r="K10056" s="1342"/>
    </row>
    <row r="10057" spans="2:11" ht="14" hidden="1">
      <c r="B10057" s="1342"/>
      <c r="C10057" s="1342"/>
      <c r="D10057" s="1342"/>
      <c r="E10057" s="1342"/>
      <c r="F10057" s="1342"/>
      <c r="G10057" s="1342"/>
      <c r="H10057" s="1342"/>
      <c r="I10057" s="1342"/>
      <c r="J10057" s="1342"/>
      <c r="K10057" s="1342"/>
    </row>
    <row r="10058" spans="2:11" ht="14" hidden="1">
      <c r="B10058" s="1342"/>
      <c r="C10058" s="1342"/>
      <c r="D10058" s="1342"/>
      <c r="E10058" s="1342"/>
      <c r="F10058" s="1342"/>
      <c r="G10058" s="1342"/>
      <c r="H10058" s="1342"/>
      <c r="I10058" s="1342"/>
      <c r="J10058" s="1342"/>
      <c r="K10058" s="1342"/>
    </row>
    <row r="10059" spans="2:11" ht="14" hidden="1">
      <c r="B10059" s="1342"/>
      <c r="C10059" s="1342"/>
      <c r="D10059" s="1342"/>
      <c r="E10059" s="1342"/>
      <c r="F10059" s="1342"/>
      <c r="G10059" s="1342"/>
      <c r="H10059" s="1342"/>
      <c r="I10059" s="1342"/>
      <c r="J10059" s="1342"/>
      <c r="K10059" s="1342"/>
    </row>
    <row r="10060" spans="2:11" ht="14" hidden="1">
      <c r="B10060" s="1342"/>
      <c r="C10060" s="1342"/>
      <c r="D10060" s="1342"/>
      <c r="E10060" s="1342"/>
      <c r="F10060" s="1342"/>
      <c r="G10060" s="1342"/>
      <c r="H10060" s="1342"/>
      <c r="I10060" s="1342"/>
      <c r="J10060" s="1342"/>
      <c r="K10060" s="1342"/>
    </row>
    <row r="10061" spans="2:11" ht="14" hidden="1">
      <c r="B10061" s="1342"/>
      <c r="C10061" s="1342"/>
      <c r="D10061" s="1342"/>
      <c r="E10061" s="1342"/>
      <c r="F10061" s="1342"/>
      <c r="G10061" s="1342"/>
      <c r="H10061" s="1342"/>
      <c r="I10061" s="1342"/>
      <c r="J10061" s="1342"/>
      <c r="K10061" s="1342"/>
    </row>
    <row r="10062" spans="2:11" ht="14" hidden="1">
      <c r="B10062" s="1342"/>
      <c r="C10062" s="1342"/>
      <c r="D10062" s="1342"/>
      <c r="E10062" s="1342"/>
      <c r="F10062" s="1342"/>
      <c r="G10062" s="1342"/>
      <c r="H10062" s="1342"/>
      <c r="I10062" s="1342"/>
      <c r="J10062" s="1342"/>
      <c r="K10062" s="1342"/>
    </row>
    <row r="10063" spans="2:11" ht="14" hidden="1">
      <c r="B10063" s="1342"/>
      <c r="C10063" s="1342"/>
      <c r="D10063" s="1342"/>
      <c r="E10063" s="1342"/>
      <c r="F10063" s="1342"/>
      <c r="G10063" s="1342"/>
      <c r="H10063" s="1342"/>
      <c r="I10063" s="1342"/>
      <c r="J10063" s="1342"/>
      <c r="K10063" s="1342"/>
    </row>
    <row r="10064" spans="2:11" ht="14" hidden="1">
      <c r="B10064" s="1342"/>
      <c r="C10064" s="1342"/>
      <c r="D10064" s="1342"/>
      <c r="E10064" s="1342"/>
      <c r="F10064" s="1342"/>
      <c r="G10064" s="1342"/>
      <c r="H10064" s="1342"/>
      <c r="I10064" s="1342"/>
      <c r="J10064" s="1342"/>
      <c r="K10064" s="1342"/>
    </row>
    <row r="10065" spans="2:11" ht="14" hidden="1">
      <c r="B10065" s="1342"/>
      <c r="C10065" s="1342"/>
      <c r="D10065" s="1342"/>
      <c r="E10065" s="1342"/>
      <c r="F10065" s="1342"/>
      <c r="G10065" s="1342"/>
      <c r="H10065" s="1342"/>
      <c r="I10065" s="1342"/>
      <c r="J10065" s="1342"/>
      <c r="K10065" s="1342"/>
    </row>
    <row r="10066" spans="2:11" ht="14" hidden="1">
      <c r="B10066" s="1342"/>
      <c r="C10066" s="1342"/>
      <c r="D10066" s="1342"/>
      <c r="E10066" s="1342"/>
      <c r="F10066" s="1342"/>
      <c r="G10066" s="1342"/>
      <c r="H10066" s="1342"/>
      <c r="I10066" s="1342"/>
      <c r="J10066" s="1342"/>
      <c r="K10066" s="1342"/>
    </row>
    <row r="10067" spans="2:11" ht="14" hidden="1">
      <c r="B10067" s="1342"/>
      <c r="C10067" s="1342"/>
      <c r="D10067" s="1342"/>
      <c r="E10067" s="1342"/>
      <c r="F10067" s="1342"/>
      <c r="G10067" s="1342"/>
      <c r="H10067" s="1342"/>
      <c r="I10067" s="1342"/>
      <c r="J10067" s="1342"/>
      <c r="K10067" s="1342"/>
    </row>
    <row r="10068" spans="2:11" ht="14" hidden="1">
      <c r="B10068" s="1342"/>
      <c r="C10068" s="1342"/>
      <c r="D10068" s="1342"/>
      <c r="E10068" s="1342"/>
      <c r="F10068" s="1342"/>
      <c r="G10068" s="1342"/>
      <c r="H10068" s="1342"/>
      <c r="I10068" s="1342"/>
      <c r="J10068" s="1342"/>
      <c r="K10068" s="1342"/>
    </row>
    <row r="10069" spans="2:11" ht="14" hidden="1">
      <c r="B10069" s="1342"/>
      <c r="C10069" s="1342"/>
      <c r="D10069" s="1342"/>
      <c r="E10069" s="1342"/>
      <c r="F10069" s="1342"/>
      <c r="G10069" s="1342"/>
      <c r="H10069" s="1342"/>
      <c r="I10069" s="1342"/>
      <c r="J10069" s="1342"/>
      <c r="K10069" s="1342"/>
    </row>
    <row r="10070" spans="2:11" ht="14" hidden="1">
      <c r="B10070" s="1342"/>
      <c r="C10070" s="1342"/>
      <c r="D10070" s="1342"/>
      <c r="E10070" s="1342"/>
      <c r="F10070" s="1342"/>
      <c r="G10070" s="1342"/>
      <c r="H10070" s="1342"/>
      <c r="I10070" s="1342"/>
      <c r="J10070" s="1342"/>
      <c r="K10070" s="1342"/>
    </row>
    <row r="10071" spans="2:11" ht="14" hidden="1">
      <c r="B10071" s="1342"/>
      <c r="C10071" s="1342"/>
      <c r="D10071" s="1342"/>
      <c r="E10071" s="1342"/>
      <c r="F10071" s="1342"/>
      <c r="G10071" s="1342"/>
      <c r="H10071" s="1342"/>
      <c r="I10071" s="1342"/>
      <c r="J10071" s="1342"/>
      <c r="K10071" s="1342"/>
    </row>
    <row r="10072" spans="2:11" ht="14" hidden="1">
      <c r="B10072" s="1342"/>
      <c r="C10072" s="1342"/>
      <c r="D10072" s="1342"/>
      <c r="E10072" s="1342"/>
      <c r="F10072" s="1342"/>
      <c r="G10072" s="1342"/>
      <c r="H10072" s="1342"/>
      <c r="I10072" s="1342"/>
      <c r="J10072" s="1342"/>
      <c r="K10072" s="1342"/>
    </row>
    <row r="10073" spans="2:11" ht="14" hidden="1">
      <c r="B10073" s="1342"/>
      <c r="C10073" s="1342"/>
      <c r="D10073" s="1342"/>
      <c r="E10073" s="1342"/>
      <c r="F10073" s="1342"/>
      <c r="G10073" s="1342"/>
      <c r="H10073" s="1342"/>
      <c r="I10073" s="1342"/>
      <c r="J10073" s="1342"/>
      <c r="K10073" s="1342"/>
    </row>
    <row r="10074" spans="2:11" ht="14" hidden="1">
      <c r="B10074" s="1342"/>
      <c r="C10074" s="1342"/>
      <c r="D10074" s="1342"/>
      <c r="E10074" s="1342"/>
      <c r="F10074" s="1342"/>
      <c r="G10074" s="1342"/>
      <c r="H10074" s="1342"/>
      <c r="I10074" s="1342"/>
      <c r="J10074" s="1342"/>
      <c r="K10074" s="1342"/>
    </row>
    <row r="10075" spans="2:11" ht="14" hidden="1">
      <c r="B10075" s="1342"/>
      <c r="C10075" s="1342"/>
      <c r="D10075" s="1342"/>
      <c r="E10075" s="1342"/>
      <c r="F10075" s="1342"/>
      <c r="G10075" s="1342"/>
      <c r="H10075" s="1342"/>
      <c r="I10075" s="1342"/>
      <c r="J10075" s="1342"/>
      <c r="K10075" s="1342"/>
    </row>
    <row r="10076" spans="2:11" ht="14" hidden="1">
      <c r="B10076" s="1342"/>
      <c r="C10076" s="1342"/>
      <c r="D10076" s="1342"/>
      <c r="E10076" s="1342"/>
      <c r="F10076" s="1342"/>
      <c r="G10076" s="1342"/>
      <c r="H10076" s="1342"/>
      <c r="I10076" s="1342"/>
      <c r="J10076" s="1342"/>
      <c r="K10076" s="1342"/>
    </row>
    <row r="10077" spans="2:11" ht="14" hidden="1">
      <c r="B10077" s="1342"/>
      <c r="C10077" s="1342"/>
      <c r="D10077" s="1342"/>
      <c r="E10077" s="1342"/>
      <c r="F10077" s="1342"/>
      <c r="G10077" s="1342"/>
      <c r="H10077" s="1342"/>
      <c r="I10077" s="1342"/>
      <c r="J10077" s="1342"/>
      <c r="K10077" s="1342"/>
    </row>
    <row r="10078" spans="2:11" ht="14" hidden="1">
      <c r="B10078" s="1342"/>
      <c r="C10078" s="1342"/>
      <c r="D10078" s="1342"/>
      <c r="E10078" s="1342"/>
      <c r="F10078" s="1342"/>
      <c r="G10078" s="1342"/>
      <c r="H10078" s="1342"/>
      <c r="I10078" s="1342"/>
      <c r="J10078" s="1342"/>
      <c r="K10078" s="1342"/>
    </row>
    <row r="10079" spans="2:11" ht="14" hidden="1">
      <c r="B10079" s="1342"/>
      <c r="C10079" s="1342"/>
      <c r="D10079" s="1342"/>
      <c r="E10079" s="1342"/>
      <c r="F10079" s="1342"/>
      <c r="G10079" s="1342"/>
      <c r="H10079" s="1342"/>
      <c r="I10079" s="1342"/>
      <c r="J10079" s="1342"/>
      <c r="K10079" s="1342"/>
    </row>
    <row r="10080" spans="2:11" ht="14" hidden="1">
      <c r="B10080" s="1342"/>
      <c r="C10080" s="1342"/>
      <c r="D10080" s="1342"/>
      <c r="E10080" s="1342"/>
      <c r="F10080" s="1342"/>
      <c r="G10080" s="1342"/>
      <c r="H10080" s="1342"/>
      <c r="I10080" s="1342"/>
      <c r="J10080" s="1342"/>
      <c r="K10080" s="1342"/>
    </row>
    <row r="10081" spans="2:11" ht="14" hidden="1">
      <c r="B10081" s="1342"/>
      <c r="C10081" s="1342"/>
      <c r="D10081" s="1342"/>
      <c r="E10081" s="1342"/>
      <c r="F10081" s="1342"/>
      <c r="G10081" s="1342"/>
      <c r="H10081" s="1342"/>
      <c r="I10081" s="1342"/>
      <c r="J10081" s="1342"/>
      <c r="K10081" s="1342"/>
    </row>
    <row r="10082" spans="2:11" ht="14" hidden="1">
      <c r="B10082" s="1342"/>
      <c r="C10082" s="1342"/>
      <c r="D10082" s="1342"/>
      <c r="E10082" s="1342"/>
      <c r="F10082" s="1342"/>
      <c r="G10082" s="1342"/>
      <c r="H10082" s="1342"/>
      <c r="I10082" s="1342"/>
      <c r="J10082" s="1342"/>
      <c r="K10082" s="1342"/>
    </row>
    <row r="10083" spans="2:11" ht="14" hidden="1">
      <c r="B10083" s="1342"/>
      <c r="C10083" s="1342"/>
      <c r="D10083" s="1342"/>
      <c r="E10083" s="1342"/>
      <c r="F10083" s="1342"/>
      <c r="G10083" s="1342"/>
      <c r="H10083" s="1342"/>
      <c r="I10083" s="1342"/>
      <c r="J10083" s="1342"/>
      <c r="K10083" s="1342"/>
    </row>
    <row r="10084" spans="2:11" ht="14" hidden="1">
      <c r="B10084" s="1342"/>
      <c r="C10084" s="1342"/>
      <c r="D10084" s="1342"/>
      <c r="E10084" s="1342"/>
      <c r="F10084" s="1342"/>
      <c r="G10084" s="1342"/>
      <c r="H10084" s="1342"/>
      <c r="I10084" s="1342"/>
      <c r="J10084" s="1342"/>
      <c r="K10084" s="1342"/>
    </row>
    <row r="10085" spans="2:11" ht="14" hidden="1">
      <c r="B10085" s="1342"/>
      <c r="C10085" s="1342"/>
      <c r="D10085" s="1342"/>
      <c r="E10085" s="1342"/>
      <c r="F10085" s="1342"/>
      <c r="G10085" s="1342"/>
      <c r="H10085" s="1342"/>
      <c r="I10085" s="1342"/>
      <c r="J10085" s="1342"/>
      <c r="K10085" s="1342"/>
    </row>
    <row r="10086" spans="2:11" ht="14" hidden="1">
      <c r="B10086" s="1342"/>
      <c r="C10086" s="1342"/>
      <c r="D10086" s="1342"/>
      <c r="E10086" s="1342"/>
      <c r="F10086" s="1342"/>
      <c r="G10086" s="1342"/>
      <c r="H10086" s="1342"/>
      <c r="I10086" s="1342"/>
      <c r="J10086" s="1342"/>
      <c r="K10086" s="1342"/>
    </row>
    <row r="10087" spans="2:11" ht="14" hidden="1">
      <c r="B10087" s="1342"/>
      <c r="C10087" s="1342"/>
      <c r="D10087" s="1342"/>
      <c r="E10087" s="1342"/>
      <c r="F10087" s="1342"/>
      <c r="G10087" s="1342"/>
      <c r="H10087" s="1342"/>
      <c r="I10087" s="1342"/>
      <c r="J10087" s="1342"/>
      <c r="K10087" s="1342"/>
    </row>
    <row r="10088" spans="2:11" ht="14" hidden="1">
      <c r="B10088" s="1342"/>
      <c r="C10088" s="1342"/>
      <c r="D10088" s="1342"/>
      <c r="E10088" s="1342"/>
      <c r="F10088" s="1342"/>
      <c r="G10088" s="1342"/>
      <c r="H10088" s="1342"/>
      <c r="I10088" s="1342"/>
      <c r="J10088" s="1342"/>
      <c r="K10088" s="1342"/>
    </row>
    <row r="10089" spans="2:11" ht="14" hidden="1">
      <c r="B10089" s="1342"/>
      <c r="C10089" s="1342"/>
      <c r="D10089" s="1342"/>
      <c r="E10089" s="1342"/>
      <c r="F10089" s="1342"/>
      <c r="G10089" s="1342"/>
      <c r="H10089" s="1342"/>
      <c r="I10089" s="1342"/>
      <c r="J10089" s="1342"/>
      <c r="K10089" s="1342"/>
    </row>
    <row r="10090" spans="2:11" ht="14" hidden="1">
      <c r="B10090" s="1342"/>
      <c r="C10090" s="1342"/>
      <c r="D10090" s="1342"/>
      <c r="E10090" s="1342"/>
      <c r="F10090" s="1342"/>
      <c r="G10090" s="1342"/>
      <c r="H10090" s="1342"/>
      <c r="I10090" s="1342"/>
      <c r="J10090" s="1342"/>
      <c r="K10090" s="1342"/>
    </row>
    <row r="10091" spans="2:11" ht="14" hidden="1">
      <c r="B10091" s="1342"/>
      <c r="C10091" s="1342"/>
      <c r="D10091" s="1342"/>
      <c r="E10091" s="1342"/>
      <c r="F10091" s="1342"/>
      <c r="G10091" s="1342"/>
      <c r="H10091" s="1342"/>
      <c r="I10091" s="1342"/>
      <c r="J10091" s="1342"/>
      <c r="K10091" s="1342"/>
    </row>
    <row r="10092" spans="2:11" ht="14" hidden="1">
      <c r="B10092" s="1342"/>
      <c r="C10092" s="1342"/>
      <c r="D10092" s="1342"/>
      <c r="E10092" s="1342"/>
      <c r="F10092" s="1342"/>
      <c r="G10092" s="1342"/>
      <c r="H10092" s="1342"/>
      <c r="I10092" s="1342"/>
      <c r="J10092" s="1342"/>
      <c r="K10092" s="1342"/>
    </row>
    <row r="10093" spans="2:11" ht="14" hidden="1">
      <c r="B10093" s="1342"/>
      <c r="C10093" s="1342"/>
      <c r="D10093" s="1342"/>
      <c r="E10093" s="1342"/>
      <c r="F10093" s="1342"/>
      <c r="G10093" s="1342"/>
      <c r="H10093" s="1342"/>
      <c r="I10093" s="1342"/>
      <c r="J10093" s="1342"/>
      <c r="K10093" s="1342"/>
    </row>
    <row r="10094" spans="2:11" ht="14" hidden="1">
      <c r="B10094" s="1342"/>
      <c r="C10094" s="1342"/>
      <c r="D10094" s="1342"/>
      <c r="E10094" s="1342"/>
      <c r="F10094" s="1342"/>
      <c r="G10094" s="1342"/>
      <c r="H10094" s="1342"/>
      <c r="I10094" s="1342"/>
      <c r="J10094" s="1342"/>
      <c r="K10094" s="1342"/>
    </row>
    <row r="10095" spans="2:11" ht="14" hidden="1">
      <c r="B10095" s="1342"/>
      <c r="C10095" s="1342"/>
      <c r="D10095" s="1342"/>
      <c r="E10095" s="1342"/>
      <c r="F10095" s="1342"/>
      <c r="G10095" s="1342"/>
      <c r="H10095" s="1342"/>
      <c r="I10095" s="1342"/>
      <c r="J10095" s="1342"/>
      <c r="K10095" s="1342"/>
    </row>
    <row r="10096" spans="2:11" ht="14" hidden="1">
      <c r="B10096" s="1342"/>
      <c r="C10096" s="1342"/>
      <c r="D10096" s="1342"/>
      <c r="E10096" s="1342"/>
      <c r="F10096" s="1342"/>
      <c r="G10096" s="1342"/>
      <c r="H10096" s="1342"/>
      <c r="I10096" s="1342"/>
      <c r="J10096" s="1342"/>
      <c r="K10096" s="1342"/>
    </row>
    <row r="10097" spans="2:11" ht="14" hidden="1">
      <c r="B10097" s="1342"/>
      <c r="C10097" s="1342"/>
      <c r="D10097" s="1342"/>
      <c r="E10097" s="1342"/>
      <c r="F10097" s="1342"/>
      <c r="G10097" s="1342"/>
      <c r="H10097" s="1342"/>
      <c r="I10097" s="1342"/>
      <c r="J10097" s="1342"/>
      <c r="K10097" s="1342"/>
    </row>
    <row r="10098" spans="2:11" ht="14" hidden="1">
      <c r="B10098" s="1342"/>
      <c r="C10098" s="1342"/>
      <c r="D10098" s="1342"/>
      <c r="E10098" s="1342"/>
      <c r="F10098" s="1342"/>
      <c r="G10098" s="1342"/>
      <c r="H10098" s="1342"/>
      <c r="I10098" s="1342"/>
      <c r="J10098" s="1342"/>
      <c r="K10098" s="1342"/>
    </row>
    <row r="10099" spans="2:11" ht="14" hidden="1">
      <c r="B10099" s="1342"/>
      <c r="C10099" s="1342"/>
      <c r="D10099" s="1342"/>
      <c r="E10099" s="1342"/>
      <c r="F10099" s="1342"/>
      <c r="G10099" s="1342"/>
      <c r="H10099" s="1342"/>
      <c r="I10099" s="1342"/>
      <c r="J10099" s="1342"/>
      <c r="K10099" s="1342"/>
    </row>
    <row r="10100" spans="2:11" ht="14" hidden="1">
      <c r="B10100" s="1342"/>
      <c r="C10100" s="1342"/>
      <c r="D10100" s="1342"/>
      <c r="E10100" s="1342"/>
      <c r="F10100" s="1342"/>
      <c r="G10100" s="1342"/>
      <c r="H10100" s="1342"/>
      <c r="I10100" s="1342"/>
      <c r="J10100" s="1342"/>
      <c r="K10100" s="1342"/>
    </row>
    <row r="10101" spans="2:11" ht="14" hidden="1">
      <c r="B10101" s="1342"/>
      <c r="C10101" s="1342"/>
      <c r="D10101" s="1342"/>
      <c r="E10101" s="1342"/>
      <c r="F10101" s="1342"/>
      <c r="G10101" s="1342"/>
      <c r="H10101" s="1342"/>
      <c r="I10101" s="1342"/>
      <c r="J10101" s="1342"/>
      <c r="K10101" s="1342"/>
    </row>
    <row r="10102" spans="2:11" ht="14" hidden="1">
      <c r="B10102" s="1342"/>
      <c r="C10102" s="1342"/>
      <c r="D10102" s="1342"/>
      <c r="E10102" s="1342"/>
      <c r="F10102" s="1342"/>
      <c r="G10102" s="1342"/>
      <c r="H10102" s="1342"/>
      <c r="I10102" s="1342"/>
      <c r="J10102" s="1342"/>
      <c r="K10102" s="1342"/>
    </row>
    <row r="10103" spans="2:11" ht="14" hidden="1">
      <c r="B10103" s="1342"/>
      <c r="C10103" s="1342"/>
      <c r="D10103" s="1342"/>
      <c r="E10103" s="1342"/>
      <c r="F10103" s="1342"/>
      <c r="G10103" s="1342"/>
      <c r="H10103" s="1342"/>
      <c r="I10103" s="1342"/>
      <c r="J10103" s="1342"/>
      <c r="K10103" s="1342"/>
    </row>
    <row r="10104" spans="2:11" ht="14" hidden="1">
      <c r="B10104" s="1342"/>
      <c r="C10104" s="1342"/>
      <c r="D10104" s="1342"/>
      <c r="E10104" s="1342"/>
      <c r="F10104" s="1342"/>
      <c r="G10104" s="1342"/>
      <c r="H10104" s="1342"/>
      <c r="I10104" s="1342"/>
      <c r="J10104" s="1342"/>
      <c r="K10104" s="1342"/>
    </row>
    <row r="10105" spans="2:11" ht="14" hidden="1">
      <c r="B10105" s="1342"/>
      <c r="C10105" s="1342"/>
      <c r="D10105" s="1342"/>
      <c r="E10105" s="1342"/>
      <c r="F10105" s="1342"/>
      <c r="G10105" s="1342"/>
      <c r="H10105" s="1342"/>
      <c r="I10105" s="1342"/>
      <c r="J10105" s="1342"/>
      <c r="K10105" s="1342"/>
    </row>
    <row r="10106" spans="2:11" ht="14" hidden="1">
      <c r="B10106" s="1342"/>
      <c r="C10106" s="1342"/>
      <c r="D10106" s="1342"/>
      <c r="E10106" s="1342"/>
      <c r="F10106" s="1342"/>
      <c r="G10106" s="1342"/>
      <c r="H10106" s="1342"/>
      <c r="I10106" s="1342"/>
      <c r="J10106" s="1342"/>
      <c r="K10106" s="1342"/>
    </row>
    <row r="10107" spans="2:11" ht="14" hidden="1">
      <c r="B10107" s="1342"/>
      <c r="C10107" s="1342"/>
      <c r="D10107" s="1342"/>
      <c r="E10107" s="1342"/>
      <c r="F10107" s="1342"/>
      <c r="G10107" s="1342"/>
      <c r="H10107" s="1342"/>
      <c r="I10107" s="1342"/>
      <c r="J10107" s="1342"/>
      <c r="K10107" s="1342"/>
    </row>
    <row r="10108" spans="2:11" ht="14" hidden="1">
      <c r="B10108" s="1342"/>
      <c r="C10108" s="1342"/>
      <c r="D10108" s="1342"/>
      <c r="E10108" s="1342"/>
      <c r="F10108" s="1342"/>
      <c r="G10108" s="1342"/>
      <c r="H10108" s="1342"/>
      <c r="I10108" s="1342"/>
      <c r="J10108" s="1342"/>
      <c r="K10108" s="1342"/>
    </row>
    <row r="10109" spans="2:11" ht="14" hidden="1">
      <c r="B10109" s="1342"/>
      <c r="C10109" s="1342"/>
      <c r="D10109" s="1342"/>
      <c r="E10109" s="1342"/>
      <c r="F10109" s="1342"/>
      <c r="G10109" s="1342"/>
      <c r="H10109" s="1342"/>
      <c r="I10109" s="1342"/>
      <c r="J10109" s="1342"/>
      <c r="K10109" s="1342"/>
    </row>
    <row r="10110" spans="2:11" ht="14" hidden="1">
      <c r="B10110" s="1342"/>
      <c r="C10110" s="1342"/>
      <c r="D10110" s="1342"/>
      <c r="E10110" s="1342"/>
      <c r="F10110" s="1342"/>
      <c r="G10110" s="1342"/>
      <c r="H10110" s="1342"/>
      <c r="I10110" s="1342"/>
      <c r="J10110" s="1342"/>
      <c r="K10110" s="1342"/>
    </row>
    <row r="10111" spans="2:11" ht="14" hidden="1">
      <c r="B10111" s="1342"/>
      <c r="C10111" s="1342"/>
      <c r="D10111" s="1342"/>
      <c r="E10111" s="1342"/>
      <c r="F10111" s="1342"/>
      <c r="G10111" s="1342"/>
      <c r="H10111" s="1342"/>
      <c r="I10111" s="1342"/>
      <c r="J10111" s="1342"/>
      <c r="K10111" s="1342"/>
    </row>
    <row r="10112" spans="2:11" ht="14" hidden="1">
      <c r="B10112" s="1342"/>
      <c r="C10112" s="1342"/>
      <c r="D10112" s="1342"/>
      <c r="E10112" s="1342"/>
      <c r="F10112" s="1342"/>
      <c r="G10112" s="1342"/>
      <c r="H10112" s="1342"/>
      <c r="I10112" s="1342"/>
      <c r="J10112" s="1342"/>
      <c r="K10112" s="1342"/>
    </row>
    <row r="10113" spans="2:11" ht="14" hidden="1">
      <c r="B10113" s="1342"/>
      <c r="C10113" s="1342"/>
      <c r="D10113" s="1342"/>
      <c r="E10113" s="1342"/>
      <c r="F10113" s="1342"/>
      <c r="G10113" s="1342"/>
      <c r="H10113" s="1342"/>
      <c r="I10113" s="1342"/>
      <c r="J10113" s="1342"/>
      <c r="K10113" s="1342"/>
    </row>
    <row r="10114" spans="2:11" ht="14" hidden="1">
      <c r="B10114" s="1342"/>
      <c r="C10114" s="1342"/>
      <c r="D10114" s="1342"/>
      <c r="E10114" s="1342"/>
      <c r="F10114" s="1342"/>
      <c r="G10114" s="1342"/>
      <c r="H10114" s="1342"/>
      <c r="I10114" s="1342"/>
      <c r="J10114" s="1342"/>
      <c r="K10114" s="1342"/>
    </row>
    <row r="10115" spans="2:11" ht="14" hidden="1">
      <c r="B10115" s="1342"/>
      <c r="C10115" s="1342"/>
      <c r="D10115" s="1342"/>
      <c r="E10115" s="1342"/>
      <c r="F10115" s="1342"/>
      <c r="G10115" s="1342"/>
      <c r="H10115" s="1342"/>
      <c r="I10115" s="1342"/>
      <c r="J10115" s="1342"/>
      <c r="K10115" s="1342"/>
    </row>
    <row r="10116" spans="2:11" ht="14" hidden="1">
      <c r="B10116" s="1342"/>
      <c r="C10116" s="1342"/>
      <c r="D10116" s="1342"/>
      <c r="E10116" s="1342"/>
      <c r="F10116" s="1342"/>
      <c r="G10116" s="1342"/>
      <c r="H10116" s="1342"/>
      <c r="I10116" s="1342"/>
      <c r="J10116" s="1342"/>
      <c r="K10116" s="1342"/>
    </row>
    <row r="10117" spans="2:11" ht="14" hidden="1">
      <c r="B10117" s="1342"/>
      <c r="C10117" s="1342"/>
      <c r="D10117" s="1342"/>
      <c r="E10117" s="1342"/>
      <c r="F10117" s="1342"/>
      <c r="G10117" s="1342"/>
      <c r="H10117" s="1342"/>
      <c r="I10117" s="1342"/>
      <c r="J10117" s="1342"/>
      <c r="K10117" s="1342"/>
    </row>
    <row r="10118" spans="2:11" ht="14" hidden="1">
      <c r="B10118" s="1342"/>
      <c r="C10118" s="1342"/>
      <c r="D10118" s="1342"/>
      <c r="E10118" s="1342"/>
      <c r="F10118" s="1342"/>
      <c r="G10118" s="1342"/>
      <c r="H10118" s="1342"/>
      <c r="I10118" s="1342"/>
      <c r="J10118" s="1342"/>
      <c r="K10118" s="1342"/>
    </row>
    <row r="10119" spans="2:11" ht="14" hidden="1">
      <c r="B10119" s="1342"/>
      <c r="C10119" s="1342"/>
      <c r="D10119" s="1342"/>
      <c r="E10119" s="1342"/>
      <c r="F10119" s="1342"/>
      <c r="G10119" s="1342"/>
      <c r="H10119" s="1342"/>
      <c r="I10119" s="1342"/>
      <c r="J10119" s="1342"/>
      <c r="K10119" s="1342"/>
    </row>
    <row r="10120" spans="2:11" ht="14" hidden="1">
      <c r="B10120" s="1342"/>
      <c r="C10120" s="1342"/>
      <c r="D10120" s="1342"/>
      <c r="E10120" s="1342"/>
      <c r="F10120" s="1342"/>
      <c r="G10120" s="1342"/>
      <c r="H10120" s="1342"/>
      <c r="I10120" s="1342"/>
      <c r="J10120" s="1342"/>
      <c r="K10120" s="1342"/>
    </row>
    <row r="10121" spans="2:11" ht="14" hidden="1">
      <c r="B10121" s="1342"/>
      <c r="C10121" s="1342"/>
      <c r="D10121" s="1342"/>
      <c r="E10121" s="1342"/>
      <c r="F10121" s="1342"/>
      <c r="G10121" s="1342"/>
      <c r="H10121" s="1342"/>
      <c r="I10121" s="1342"/>
      <c r="J10121" s="1342"/>
      <c r="K10121" s="1342"/>
    </row>
    <row r="10122" spans="2:11" ht="14" hidden="1">
      <c r="B10122" s="1342"/>
      <c r="C10122" s="1342"/>
      <c r="D10122" s="1342"/>
      <c r="E10122" s="1342"/>
      <c r="F10122" s="1342"/>
      <c r="G10122" s="1342"/>
      <c r="H10122" s="1342"/>
      <c r="I10122" s="1342"/>
      <c r="J10122" s="1342"/>
      <c r="K10122" s="1342"/>
    </row>
    <row r="10123" spans="2:11" ht="14" hidden="1">
      <c r="B10123" s="1342"/>
      <c r="C10123" s="1342"/>
      <c r="D10123" s="1342"/>
      <c r="E10123" s="1342"/>
      <c r="F10123" s="1342"/>
      <c r="G10123" s="1342"/>
      <c r="H10123" s="1342"/>
      <c r="I10123" s="1342"/>
      <c r="J10123" s="1342"/>
      <c r="K10123" s="1342"/>
    </row>
    <row r="10124" spans="2:11" ht="14" hidden="1">
      <c r="B10124" s="1342"/>
      <c r="C10124" s="1342"/>
      <c r="D10124" s="1342"/>
      <c r="E10124" s="1342"/>
      <c r="F10124" s="1342"/>
      <c r="G10124" s="1342"/>
      <c r="H10124" s="1342"/>
      <c r="I10124" s="1342"/>
      <c r="J10124" s="1342"/>
      <c r="K10124" s="1342"/>
    </row>
    <row r="10125" spans="2:11" ht="14" hidden="1">
      <c r="B10125" s="1342"/>
      <c r="C10125" s="1342"/>
      <c r="D10125" s="1342"/>
      <c r="E10125" s="1342"/>
      <c r="F10125" s="1342"/>
      <c r="G10125" s="1342"/>
      <c r="H10125" s="1342"/>
      <c r="I10125" s="1342"/>
      <c r="J10125" s="1342"/>
      <c r="K10125" s="1342"/>
    </row>
    <row r="10126" spans="2:11" ht="14" hidden="1">
      <c r="B10126" s="1342"/>
      <c r="C10126" s="1342"/>
      <c r="D10126" s="1342"/>
      <c r="E10126" s="1342"/>
      <c r="F10126" s="1342"/>
      <c r="G10126" s="1342"/>
      <c r="H10126" s="1342"/>
      <c r="I10126" s="1342"/>
      <c r="J10126" s="1342"/>
      <c r="K10126" s="1342"/>
    </row>
    <row r="10127" spans="2:11" ht="14" hidden="1">
      <c r="B10127" s="1342"/>
      <c r="C10127" s="1342"/>
      <c r="D10127" s="1342"/>
      <c r="E10127" s="1342"/>
      <c r="F10127" s="1342"/>
      <c r="G10127" s="1342"/>
      <c r="H10127" s="1342"/>
      <c r="I10127" s="1342"/>
      <c r="J10127" s="1342"/>
      <c r="K10127" s="1342"/>
    </row>
    <row r="10128" spans="2:11" ht="14" hidden="1">
      <c r="B10128" s="1342"/>
      <c r="C10128" s="1342"/>
      <c r="D10128" s="1342"/>
      <c r="E10128" s="1342"/>
      <c r="F10128" s="1342"/>
      <c r="G10128" s="1342"/>
      <c r="H10128" s="1342"/>
      <c r="I10128" s="1342"/>
      <c r="J10128" s="1342"/>
      <c r="K10128" s="1342"/>
    </row>
    <row r="10129" spans="2:11" ht="14" hidden="1">
      <c r="B10129" s="1342"/>
      <c r="C10129" s="1342"/>
      <c r="D10129" s="1342"/>
      <c r="E10129" s="1342"/>
      <c r="F10129" s="1342"/>
      <c r="G10129" s="1342"/>
      <c r="H10129" s="1342"/>
      <c r="I10129" s="1342"/>
      <c r="J10129" s="1342"/>
      <c r="K10129" s="1342"/>
    </row>
    <row r="10130" spans="2:11" ht="14" hidden="1">
      <c r="B10130" s="1342"/>
      <c r="C10130" s="1342"/>
      <c r="D10130" s="1342"/>
      <c r="E10130" s="1342"/>
      <c r="F10130" s="1342"/>
      <c r="G10130" s="1342"/>
      <c r="H10130" s="1342"/>
      <c r="I10130" s="1342"/>
      <c r="J10130" s="1342"/>
      <c r="K10130" s="1342"/>
    </row>
    <row r="10131" spans="2:11" ht="14" hidden="1">
      <c r="B10131" s="1342"/>
      <c r="C10131" s="1342"/>
      <c r="D10131" s="1342"/>
      <c r="E10131" s="1342"/>
      <c r="F10131" s="1342"/>
      <c r="G10131" s="1342"/>
      <c r="H10131" s="1342"/>
      <c r="I10131" s="1342"/>
      <c r="J10131" s="1342"/>
      <c r="K10131" s="1342"/>
    </row>
    <row r="10132" spans="2:11" ht="14" hidden="1">
      <c r="B10132" s="1342"/>
      <c r="C10132" s="1342"/>
      <c r="D10132" s="1342"/>
      <c r="E10132" s="1342"/>
      <c r="F10132" s="1342"/>
      <c r="G10132" s="1342"/>
      <c r="H10132" s="1342"/>
      <c r="I10132" s="1342"/>
      <c r="J10132" s="1342"/>
      <c r="K10132" s="1342"/>
    </row>
    <row r="10133" spans="2:11" ht="14" hidden="1">
      <c r="B10133" s="1342"/>
      <c r="C10133" s="1342"/>
      <c r="D10133" s="1342"/>
      <c r="E10133" s="1342"/>
      <c r="F10133" s="1342"/>
      <c r="G10133" s="1342"/>
      <c r="H10133" s="1342"/>
      <c r="I10133" s="1342"/>
      <c r="J10133" s="1342"/>
      <c r="K10133" s="1342"/>
    </row>
    <row r="10134" spans="2:11" ht="14" hidden="1">
      <c r="B10134" s="1342"/>
      <c r="C10134" s="1342"/>
      <c r="D10134" s="1342"/>
      <c r="E10134" s="1342"/>
      <c r="F10134" s="1342"/>
      <c r="G10134" s="1342"/>
      <c r="H10134" s="1342"/>
      <c r="I10134" s="1342"/>
      <c r="J10134" s="1342"/>
      <c r="K10134" s="1342"/>
    </row>
    <row r="10135" spans="2:11" ht="14" hidden="1">
      <c r="B10135" s="1342"/>
      <c r="C10135" s="1342"/>
      <c r="D10135" s="1342"/>
      <c r="E10135" s="1342"/>
      <c r="F10135" s="1342"/>
      <c r="G10135" s="1342"/>
      <c r="H10135" s="1342"/>
      <c r="I10135" s="1342"/>
      <c r="J10135" s="1342"/>
      <c r="K10135" s="1342"/>
    </row>
    <row r="10136" spans="2:11" ht="14" hidden="1">
      <c r="B10136" s="1342"/>
      <c r="C10136" s="1342"/>
      <c r="D10136" s="1342"/>
      <c r="E10136" s="1342"/>
      <c r="F10136" s="1342"/>
      <c r="G10136" s="1342"/>
      <c r="H10136" s="1342"/>
      <c r="I10136" s="1342"/>
      <c r="J10136" s="1342"/>
      <c r="K10136" s="1342"/>
    </row>
    <row r="10137" spans="2:11" ht="14" hidden="1">
      <c r="B10137" s="1342"/>
      <c r="C10137" s="1342"/>
      <c r="D10137" s="1342"/>
      <c r="E10137" s="1342"/>
      <c r="F10137" s="1342"/>
      <c r="G10137" s="1342"/>
      <c r="H10137" s="1342"/>
      <c r="I10137" s="1342"/>
      <c r="J10137" s="1342"/>
      <c r="K10137" s="1342"/>
    </row>
    <row r="10138" spans="2:11" ht="14" hidden="1">
      <c r="B10138" s="1342"/>
      <c r="C10138" s="1342"/>
      <c r="D10138" s="1342"/>
      <c r="E10138" s="1342"/>
      <c r="F10138" s="1342"/>
      <c r="G10138" s="1342"/>
      <c r="H10138" s="1342"/>
      <c r="I10138" s="1342"/>
      <c r="J10138" s="1342"/>
      <c r="K10138" s="1342"/>
    </row>
    <row r="10139" spans="2:11" ht="14" hidden="1">
      <c r="B10139" s="1342"/>
      <c r="C10139" s="1342"/>
      <c r="D10139" s="1342"/>
      <c r="E10139" s="1342"/>
      <c r="F10139" s="1342"/>
      <c r="G10139" s="1342"/>
      <c r="H10139" s="1342"/>
      <c r="I10139" s="1342"/>
      <c r="J10139" s="1342"/>
      <c r="K10139" s="1342"/>
    </row>
    <row r="10140" spans="2:11" ht="14" hidden="1">
      <c r="B10140" s="1342"/>
      <c r="C10140" s="1342"/>
      <c r="D10140" s="1342"/>
      <c r="E10140" s="1342"/>
      <c r="F10140" s="1342"/>
      <c r="G10140" s="1342"/>
      <c r="H10140" s="1342"/>
      <c r="I10140" s="1342"/>
      <c r="J10140" s="1342"/>
      <c r="K10140" s="1342"/>
    </row>
    <row r="10141" spans="2:11" ht="14" hidden="1">
      <c r="B10141" s="1342"/>
      <c r="C10141" s="1342"/>
      <c r="D10141" s="1342"/>
      <c r="E10141" s="1342"/>
      <c r="F10141" s="1342"/>
      <c r="G10141" s="1342"/>
      <c r="H10141" s="1342"/>
      <c r="I10141" s="1342"/>
      <c r="J10141" s="1342"/>
      <c r="K10141" s="1342"/>
    </row>
    <row r="10142" spans="2:11" ht="14" hidden="1">
      <c r="B10142" s="1342"/>
      <c r="C10142" s="1342"/>
      <c r="D10142" s="1342"/>
      <c r="E10142" s="1342"/>
      <c r="F10142" s="1342"/>
      <c r="G10142" s="1342"/>
      <c r="H10142" s="1342"/>
      <c r="I10142" s="1342"/>
      <c r="J10142" s="1342"/>
      <c r="K10142" s="1342"/>
    </row>
    <row r="10143" spans="2:11" ht="14" hidden="1">
      <c r="B10143" s="1342"/>
      <c r="C10143" s="1342"/>
      <c r="D10143" s="1342"/>
      <c r="E10143" s="1342"/>
      <c r="F10143" s="1342"/>
      <c r="G10143" s="1342"/>
      <c r="H10143" s="1342"/>
      <c r="I10143" s="1342"/>
      <c r="J10143" s="1342"/>
      <c r="K10143" s="1342"/>
    </row>
    <row r="10144" spans="2:11" ht="14" hidden="1">
      <c r="B10144" s="1342"/>
      <c r="C10144" s="1342"/>
      <c r="D10144" s="1342"/>
      <c r="E10144" s="1342"/>
      <c r="F10144" s="1342"/>
      <c r="G10144" s="1342"/>
      <c r="H10144" s="1342"/>
      <c r="I10144" s="1342"/>
      <c r="J10144" s="1342"/>
      <c r="K10144" s="1342"/>
    </row>
    <row r="10145" spans="2:11" ht="14" hidden="1">
      <c r="B10145" s="1342"/>
      <c r="C10145" s="1342"/>
      <c r="D10145" s="1342"/>
      <c r="E10145" s="1342"/>
      <c r="F10145" s="1342"/>
      <c r="G10145" s="1342"/>
      <c r="H10145" s="1342"/>
      <c r="I10145" s="1342"/>
      <c r="J10145" s="1342"/>
      <c r="K10145" s="1342"/>
    </row>
    <row r="10146" spans="2:11" ht="14" hidden="1">
      <c r="B10146" s="1342"/>
      <c r="C10146" s="1342"/>
      <c r="D10146" s="1342"/>
      <c r="E10146" s="1342"/>
      <c r="F10146" s="1342"/>
      <c r="G10146" s="1342"/>
      <c r="H10146" s="1342"/>
      <c r="I10146" s="1342"/>
      <c r="J10146" s="1342"/>
      <c r="K10146" s="1342"/>
    </row>
    <row r="10147" spans="2:11" ht="14" hidden="1">
      <c r="B10147" s="1342"/>
      <c r="C10147" s="1342"/>
      <c r="D10147" s="1342"/>
      <c r="E10147" s="1342"/>
      <c r="F10147" s="1342"/>
      <c r="G10147" s="1342"/>
      <c r="H10147" s="1342"/>
      <c r="I10147" s="1342"/>
      <c r="J10147" s="1342"/>
      <c r="K10147" s="1342"/>
    </row>
    <row r="10148" spans="2:11" ht="14" hidden="1">
      <c r="B10148" s="1342"/>
      <c r="C10148" s="1342"/>
      <c r="D10148" s="1342"/>
      <c r="E10148" s="1342"/>
      <c r="F10148" s="1342"/>
      <c r="G10148" s="1342"/>
      <c r="H10148" s="1342"/>
      <c r="I10148" s="1342"/>
      <c r="J10148" s="1342"/>
      <c r="K10148" s="1342"/>
    </row>
    <row r="10149" spans="2:11" ht="14" hidden="1">
      <c r="B10149" s="1342"/>
      <c r="C10149" s="1342"/>
      <c r="D10149" s="1342"/>
      <c r="E10149" s="1342"/>
      <c r="F10149" s="1342"/>
      <c r="G10149" s="1342"/>
      <c r="H10149" s="1342"/>
      <c r="I10149" s="1342"/>
      <c r="J10149" s="1342"/>
      <c r="K10149" s="1342"/>
    </row>
    <row r="10150" spans="2:11" ht="14" hidden="1">
      <c r="B10150" s="1342"/>
      <c r="C10150" s="1342"/>
      <c r="D10150" s="1342"/>
      <c r="E10150" s="1342"/>
      <c r="F10150" s="1342"/>
      <c r="G10150" s="1342"/>
      <c r="H10150" s="1342"/>
      <c r="I10150" s="1342"/>
      <c r="J10150" s="1342"/>
      <c r="K10150" s="1342"/>
    </row>
    <row r="10151" spans="2:11" ht="14" hidden="1">
      <c r="B10151" s="1342"/>
      <c r="C10151" s="1342"/>
      <c r="D10151" s="1342"/>
      <c r="E10151" s="1342"/>
      <c r="F10151" s="1342"/>
      <c r="G10151" s="1342"/>
      <c r="H10151" s="1342"/>
      <c r="I10151" s="1342"/>
      <c r="J10151" s="1342"/>
      <c r="K10151" s="1342"/>
    </row>
    <row r="10152" spans="2:11" ht="14" hidden="1">
      <c r="B10152" s="1342"/>
      <c r="C10152" s="1342"/>
      <c r="D10152" s="1342"/>
      <c r="E10152" s="1342"/>
      <c r="F10152" s="1342"/>
      <c r="G10152" s="1342"/>
      <c r="H10152" s="1342"/>
      <c r="I10152" s="1342"/>
      <c r="J10152" s="1342"/>
      <c r="K10152" s="1342"/>
    </row>
    <row r="10153" spans="2:11" ht="14" hidden="1">
      <c r="B10153" s="1342"/>
      <c r="C10153" s="1342"/>
      <c r="D10153" s="1342"/>
      <c r="E10153" s="1342"/>
      <c r="F10153" s="1342"/>
      <c r="G10153" s="1342"/>
      <c r="H10153" s="1342"/>
      <c r="I10153" s="1342"/>
      <c r="J10153" s="1342"/>
      <c r="K10153" s="1342"/>
    </row>
    <row r="10154" spans="2:11" ht="14" hidden="1">
      <c r="B10154" s="1342"/>
      <c r="C10154" s="1342"/>
      <c r="D10154" s="1342"/>
      <c r="E10154" s="1342"/>
      <c r="F10154" s="1342"/>
      <c r="G10154" s="1342"/>
      <c r="H10154" s="1342"/>
      <c r="I10154" s="1342"/>
      <c r="J10154" s="1342"/>
      <c r="K10154" s="1342"/>
    </row>
    <row r="10155" spans="2:11" ht="14" hidden="1">
      <c r="B10155" s="1342"/>
      <c r="C10155" s="1342"/>
      <c r="D10155" s="1342"/>
      <c r="E10155" s="1342"/>
      <c r="F10155" s="1342"/>
      <c r="G10155" s="1342"/>
      <c r="H10155" s="1342"/>
      <c r="I10155" s="1342"/>
      <c r="J10155" s="1342"/>
      <c r="K10155" s="1342"/>
    </row>
    <row r="10156" spans="2:11" ht="14" hidden="1">
      <c r="B10156" s="1342"/>
      <c r="C10156" s="1342"/>
      <c r="D10156" s="1342"/>
      <c r="E10156" s="1342"/>
      <c r="F10156" s="1342"/>
      <c r="G10156" s="1342"/>
      <c r="H10156" s="1342"/>
      <c r="I10156" s="1342"/>
      <c r="J10156" s="1342"/>
      <c r="K10156" s="1342"/>
    </row>
    <row r="10157" spans="2:11" ht="14" hidden="1">
      <c r="B10157" s="1342"/>
      <c r="C10157" s="1342"/>
      <c r="D10157" s="1342"/>
      <c r="E10157" s="1342"/>
      <c r="F10157" s="1342"/>
      <c r="G10157" s="1342"/>
      <c r="H10157" s="1342"/>
      <c r="I10157" s="1342"/>
      <c r="J10157" s="1342"/>
      <c r="K10157" s="1342"/>
    </row>
    <row r="10158" spans="2:11" ht="14" hidden="1">
      <c r="B10158" s="1342"/>
      <c r="C10158" s="1342"/>
      <c r="D10158" s="1342"/>
      <c r="E10158" s="1342"/>
      <c r="F10158" s="1342"/>
      <c r="G10158" s="1342"/>
      <c r="H10158" s="1342"/>
      <c r="I10158" s="1342"/>
      <c r="J10158" s="1342"/>
      <c r="K10158" s="1342"/>
    </row>
    <row r="10159" spans="2:11" ht="14" hidden="1">
      <c r="B10159" s="1342"/>
      <c r="C10159" s="1342"/>
      <c r="D10159" s="1342"/>
      <c r="E10159" s="1342"/>
      <c r="F10159" s="1342"/>
      <c r="G10159" s="1342"/>
      <c r="H10159" s="1342"/>
      <c r="I10159" s="1342"/>
      <c r="J10159" s="1342"/>
      <c r="K10159" s="1342"/>
    </row>
    <row r="10160" spans="2:11" ht="14" hidden="1">
      <c r="B10160" s="1342"/>
      <c r="C10160" s="1342"/>
      <c r="D10160" s="1342"/>
      <c r="E10160" s="1342"/>
      <c r="F10160" s="1342"/>
      <c r="G10160" s="1342"/>
      <c r="H10160" s="1342"/>
      <c r="I10160" s="1342"/>
      <c r="J10160" s="1342"/>
      <c r="K10160" s="1342"/>
    </row>
    <row r="10161" spans="2:11" ht="14" hidden="1">
      <c r="B10161" s="1342"/>
      <c r="C10161" s="1342"/>
      <c r="D10161" s="1342"/>
      <c r="E10161" s="1342"/>
      <c r="F10161" s="1342"/>
      <c r="G10161" s="1342"/>
      <c r="H10161" s="1342"/>
      <c r="I10161" s="1342"/>
      <c r="J10161" s="1342"/>
      <c r="K10161" s="1342"/>
    </row>
    <row r="10162" spans="2:11" ht="14" hidden="1">
      <c r="B10162" s="1342"/>
      <c r="C10162" s="1342"/>
      <c r="D10162" s="1342"/>
      <c r="E10162" s="1342"/>
      <c r="F10162" s="1342"/>
      <c r="G10162" s="1342"/>
      <c r="H10162" s="1342"/>
      <c r="I10162" s="1342"/>
      <c r="J10162" s="1342"/>
      <c r="K10162" s="1342"/>
    </row>
    <row r="10163" spans="2:11" ht="14" hidden="1">
      <c r="B10163" s="1342"/>
      <c r="C10163" s="1342"/>
      <c r="D10163" s="1342"/>
      <c r="E10163" s="1342"/>
      <c r="F10163" s="1342"/>
      <c r="G10163" s="1342"/>
      <c r="H10163" s="1342"/>
      <c r="I10163" s="1342"/>
      <c r="J10163" s="1342"/>
      <c r="K10163" s="1342"/>
    </row>
    <row r="10164" spans="2:11" ht="14" hidden="1">
      <c r="B10164" s="1342"/>
      <c r="C10164" s="1342"/>
      <c r="D10164" s="1342"/>
      <c r="E10164" s="1342"/>
      <c r="F10164" s="1342"/>
      <c r="G10164" s="1342"/>
      <c r="H10164" s="1342"/>
      <c r="I10164" s="1342"/>
      <c r="J10164" s="1342"/>
      <c r="K10164" s="1342"/>
    </row>
    <row r="10165" spans="2:11" ht="14" hidden="1">
      <c r="B10165" s="1342"/>
      <c r="C10165" s="1342"/>
      <c r="D10165" s="1342"/>
      <c r="E10165" s="1342"/>
      <c r="F10165" s="1342"/>
      <c r="G10165" s="1342"/>
      <c r="H10165" s="1342"/>
      <c r="I10165" s="1342"/>
      <c r="J10165" s="1342"/>
      <c r="K10165" s="1342"/>
    </row>
    <row r="10166" spans="2:11" ht="14" hidden="1">
      <c r="B10166" s="1342"/>
      <c r="C10166" s="1342"/>
      <c r="D10166" s="1342"/>
      <c r="E10166" s="1342"/>
      <c r="F10166" s="1342"/>
      <c r="G10166" s="1342"/>
      <c r="H10166" s="1342"/>
      <c r="I10166" s="1342"/>
      <c r="J10166" s="1342"/>
      <c r="K10166" s="1342"/>
    </row>
    <row r="10167" spans="2:11" ht="14" hidden="1">
      <c r="B10167" s="1342"/>
      <c r="C10167" s="1342"/>
      <c r="D10167" s="1342"/>
      <c r="E10167" s="1342"/>
      <c r="F10167" s="1342"/>
      <c r="G10167" s="1342"/>
      <c r="H10167" s="1342"/>
      <c r="I10167" s="1342"/>
      <c r="J10167" s="1342"/>
      <c r="K10167" s="1342"/>
    </row>
    <row r="10168" spans="2:11" ht="14" hidden="1">
      <c r="B10168" s="1342"/>
      <c r="C10168" s="1342"/>
      <c r="D10168" s="1342"/>
      <c r="E10168" s="1342"/>
      <c r="F10168" s="1342"/>
      <c r="G10168" s="1342"/>
      <c r="H10168" s="1342"/>
      <c r="I10168" s="1342"/>
      <c r="J10168" s="1342"/>
      <c r="K10168" s="1342"/>
    </row>
    <row r="10169" spans="2:11" ht="14" hidden="1">
      <c r="B10169" s="1342"/>
      <c r="C10169" s="1342"/>
      <c r="D10169" s="1342"/>
      <c r="E10169" s="1342"/>
      <c r="F10169" s="1342"/>
      <c r="G10169" s="1342"/>
      <c r="H10169" s="1342"/>
      <c r="I10169" s="1342"/>
      <c r="J10169" s="1342"/>
      <c r="K10169" s="1342"/>
    </row>
    <row r="10170" spans="2:11" ht="14" hidden="1">
      <c r="B10170" s="1342"/>
      <c r="C10170" s="1342"/>
      <c r="D10170" s="1342"/>
      <c r="E10170" s="1342"/>
      <c r="F10170" s="1342"/>
      <c r="G10170" s="1342"/>
      <c r="H10170" s="1342"/>
      <c r="I10170" s="1342"/>
      <c r="J10170" s="1342"/>
      <c r="K10170" s="1342"/>
    </row>
    <row r="10171" spans="2:11" ht="14" hidden="1">
      <c r="B10171" s="1342"/>
      <c r="C10171" s="1342"/>
      <c r="D10171" s="1342"/>
      <c r="E10171" s="1342"/>
      <c r="F10171" s="1342"/>
      <c r="G10171" s="1342"/>
      <c r="H10171" s="1342"/>
      <c r="I10171" s="1342"/>
      <c r="J10171" s="1342"/>
      <c r="K10171" s="1342"/>
    </row>
    <row r="10172" spans="2:11" ht="14" hidden="1">
      <c r="B10172" s="1342"/>
      <c r="C10172" s="1342"/>
      <c r="D10172" s="1342"/>
      <c r="E10172" s="1342"/>
      <c r="F10172" s="1342"/>
      <c r="G10172" s="1342"/>
      <c r="H10172" s="1342"/>
      <c r="I10172" s="1342"/>
      <c r="J10172" s="1342"/>
      <c r="K10172" s="1342"/>
    </row>
    <row r="10173" spans="2:11" ht="14" hidden="1">
      <c r="B10173" s="1342"/>
      <c r="C10173" s="1342"/>
      <c r="D10173" s="1342"/>
      <c r="E10173" s="1342"/>
      <c r="F10173" s="1342"/>
      <c r="G10173" s="1342"/>
      <c r="H10173" s="1342"/>
      <c r="I10173" s="1342"/>
      <c r="J10173" s="1342"/>
      <c r="K10173" s="1342"/>
    </row>
    <row r="10174" spans="2:11" ht="14" hidden="1">
      <c r="B10174" s="1342"/>
      <c r="C10174" s="1342"/>
      <c r="D10174" s="1342"/>
      <c r="E10174" s="1342"/>
      <c r="F10174" s="1342"/>
      <c r="G10174" s="1342"/>
      <c r="H10174" s="1342"/>
      <c r="I10174" s="1342"/>
      <c r="J10174" s="1342"/>
      <c r="K10174" s="1342"/>
    </row>
    <row r="10175" spans="2:11" ht="14" hidden="1">
      <c r="B10175" s="1342"/>
      <c r="C10175" s="1342"/>
      <c r="D10175" s="1342"/>
      <c r="E10175" s="1342"/>
      <c r="F10175" s="1342"/>
      <c r="G10175" s="1342"/>
      <c r="H10175" s="1342"/>
      <c r="I10175" s="1342"/>
      <c r="J10175" s="1342"/>
      <c r="K10175" s="1342"/>
    </row>
    <row r="10176" spans="2:11" ht="14" hidden="1">
      <c r="B10176" s="1342"/>
      <c r="C10176" s="1342"/>
      <c r="D10176" s="1342"/>
      <c r="E10176" s="1342"/>
      <c r="F10176" s="1342"/>
      <c r="G10176" s="1342"/>
      <c r="H10176" s="1342"/>
      <c r="I10176" s="1342"/>
      <c r="J10176" s="1342"/>
      <c r="K10176" s="1342"/>
    </row>
    <row r="10177" spans="2:11" ht="14" hidden="1">
      <c r="B10177" s="1342"/>
      <c r="C10177" s="1342"/>
      <c r="D10177" s="1342"/>
      <c r="E10177" s="1342"/>
      <c r="F10177" s="1342"/>
      <c r="G10177" s="1342"/>
      <c r="H10177" s="1342"/>
      <c r="I10177" s="1342"/>
      <c r="J10177" s="1342"/>
      <c r="K10177" s="1342"/>
    </row>
    <row r="10178" spans="2:11" ht="14" hidden="1">
      <c r="B10178" s="1342"/>
      <c r="C10178" s="1342"/>
      <c r="D10178" s="1342"/>
      <c r="E10178" s="1342"/>
      <c r="F10178" s="1342"/>
      <c r="G10178" s="1342"/>
      <c r="H10178" s="1342"/>
      <c r="I10178" s="1342"/>
      <c r="J10178" s="1342"/>
      <c r="K10178" s="1342"/>
    </row>
    <row r="10179" spans="2:11" ht="14" hidden="1">
      <c r="B10179" s="1342"/>
      <c r="C10179" s="1342"/>
      <c r="D10179" s="1342"/>
      <c r="E10179" s="1342"/>
      <c r="F10179" s="1342"/>
      <c r="G10179" s="1342"/>
      <c r="H10179" s="1342"/>
      <c r="I10179" s="1342"/>
      <c r="J10179" s="1342"/>
      <c r="K10179" s="1342"/>
    </row>
    <row r="10180" spans="2:11" ht="14" hidden="1">
      <c r="B10180" s="1342"/>
      <c r="C10180" s="1342"/>
      <c r="D10180" s="1342"/>
      <c r="E10180" s="1342"/>
      <c r="F10180" s="1342"/>
      <c r="G10180" s="1342"/>
      <c r="H10180" s="1342"/>
      <c r="I10180" s="1342"/>
      <c r="J10180" s="1342"/>
      <c r="K10180" s="1342"/>
    </row>
    <row r="10181" spans="2:11" ht="14" hidden="1">
      <c r="B10181" s="1342"/>
      <c r="C10181" s="1342"/>
      <c r="D10181" s="1342"/>
      <c r="E10181" s="1342"/>
      <c r="F10181" s="1342"/>
      <c r="G10181" s="1342"/>
      <c r="H10181" s="1342"/>
      <c r="I10181" s="1342"/>
      <c r="J10181" s="1342"/>
      <c r="K10181" s="1342"/>
    </row>
    <row r="10182" spans="2:11" ht="14" hidden="1">
      <c r="B10182" s="1342"/>
      <c r="C10182" s="1342"/>
      <c r="D10182" s="1342"/>
      <c r="E10182" s="1342"/>
      <c r="F10182" s="1342"/>
      <c r="G10182" s="1342"/>
      <c r="H10182" s="1342"/>
      <c r="I10182" s="1342"/>
      <c r="J10182" s="1342"/>
      <c r="K10182" s="1342"/>
    </row>
    <row r="10183" spans="2:11" ht="14" hidden="1">
      <c r="B10183" s="1342"/>
      <c r="C10183" s="1342"/>
      <c r="D10183" s="1342"/>
      <c r="E10183" s="1342"/>
      <c r="F10183" s="1342"/>
      <c r="G10183" s="1342"/>
      <c r="H10183" s="1342"/>
      <c r="I10183" s="1342"/>
      <c r="J10183" s="1342"/>
      <c r="K10183" s="1342"/>
    </row>
    <row r="10184" spans="2:11" ht="14" hidden="1">
      <c r="B10184" s="1342"/>
      <c r="C10184" s="1342"/>
      <c r="D10184" s="1342"/>
      <c r="E10184" s="1342"/>
      <c r="F10184" s="1342"/>
      <c r="G10184" s="1342"/>
      <c r="H10184" s="1342"/>
      <c r="I10184" s="1342"/>
      <c r="J10184" s="1342"/>
      <c r="K10184" s="1342"/>
    </row>
    <row r="10185" spans="2:11" ht="14" hidden="1">
      <c r="B10185" s="1342"/>
      <c r="C10185" s="1342"/>
      <c r="D10185" s="1342"/>
      <c r="E10185" s="1342"/>
      <c r="F10185" s="1342"/>
      <c r="G10185" s="1342"/>
      <c r="H10185" s="1342"/>
      <c r="I10185" s="1342"/>
      <c r="J10185" s="1342"/>
      <c r="K10185" s="1342"/>
    </row>
    <row r="10186" spans="2:11" ht="14" hidden="1">
      <c r="B10186" s="1342"/>
      <c r="C10186" s="1342"/>
      <c r="D10186" s="1342"/>
      <c r="E10186" s="1342"/>
      <c r="F10186" s="1342"/>
      <c r="G10186" s="1342"/>
      <c r="H10186" s="1342"/>
      <c r="I10186" s="1342"/>
      <c r="J10186" s="1342"/>
      <c r="K10186" s="1342"/>
    </row>
    <row r="10187" spans="2:11" ht="14" hidden="1">
      <c r="B10187" s="1342"/>
      <c r="C10187" s="1342"/>
      <c r="D10187" s="1342"/>
      <c r="E10187" s="1342"/>
      <c r="F10187" s="1342"/>
      <c r="G10187" s="1342"/>
      <c r="H10187" s="1342"/>
      <c r="I10187" s="1342"/>
      <c r="J10187" s="1342"/>
      <c r="K10187" s="1342"/>
    </row>
    <row r="10188" spans="2:11" ht="14" hidden="1">
      <c r="B10188" s="1342"/>
      <c r="C10188" s="1342"/>
      <c r="D10188" s="1342"/>
      <c r="E10188" s="1342"/>
      <c r="F10188" s="1342"/>
      <c r="G10188" s="1342"/>
      <c r="H10188" s="1342"/>
      <c r="I10188" s="1342"/>
      <c r="J10188" s="1342"/>
      <c r="K10188" s="1342"/>
    </row>
    <row r="10189" spans="2:11" ht="14" hidden="1">
      <c r="B10189" s="1342"/>
      <c r="C10189" s="1342"/>
      <c r="D10189" s="1342"/>
      <c r="E10189" s="1342"/>
      <c r="F10189" s="1342"/>
      <c r="G10189" s="1342"/>
      <c r="H10189" s="1342"/>
      <c r="I10189" s="1342"/>
      <c r="J10189" s="1342"/>
      <c r="K10189" s="1342"/>
    </row>
    <row r="10190" spans="2:11" ht="14" hidden="1">
      <c r="B10190" s="1342"/>
      <c r="C10190" s="1342"/>
      <c r="D10190" s="1342"/>
      <c r="E10190" s="1342"/>
      <c r="F10190" s="1342"/>
      <c r="G10190" s="1342"/>
      <c r="H10190" s="1342"/>
      <c r="I10190" s="1342"/>
      <c r="J10190" s="1342"/>
      <c r="K10190" s="1342"/>
    </row>
    <row r="10191" spans="2:11" ht="14" hidden="1">
      <c r="B10191" s="1342"/>
      <c r="C10191" s="1342"/>
      <c r="D10191" s="1342"/>
      <c r="E10191" s="1342"/>
      <c r="F10191" s="1342"/>
      <c r="G10191" s="1342"/>
      <c r="H10191" s="1342"/>
      <c r="I10191" s="1342"/>
      <c r="J10191" s="1342"/>
      <c r="K10191" s="1342"/>
    </row>
    <row r="10192" spans="2:11" ht="14" hidden="1">
      <c r="B10192" s="1342"/>
      <c r="C10192" s="1342"/>
      <c r="D10192" s="1342"/>
      <c r="E10192" s="1342"/>
      <c r="F10192" s="1342"/>
      <c r="G10192" s="1342"/>
      <c r="H10192" s="1342"/>
      <c r="I10192" s="1342"/>
      <c r="J10192" s="1342"/>
      <c r="K10192" s="1342"/>
    </row>
    <row r="10193" spans="2:11" ht="14" hidden="1">
      <c r="B10193" s="1342"/>
      <c r="C10193" s="1342"/>
      <c r="D10193" s="1342"/>
      <c r="E10193" s="1342"/>
      <c r="F10193" s="1342"/>
      <c r="G10193" s="1342"/>
      <c r="H10193" s="1342"/>
      <c r="I10193" s="1342"/>
      <c r="J10193" s="1342"/>
      <c r="K10193" s="1342"/>
    </row>
    <row r="10194" spans="2:11" ht="14" hidden="1">
      <c r="B10194" s="1342"/>
      <c r="C10194" s="1342"/>
      <c r="D10194" s="1342"/>
      <c r="E10194" s="1342"/>
      <c r="F10194" s="1342"/>
      <c r="G10194" s="1342"/>
      <c r="H10194" s="1342"/>
      <c r="I10194" s="1342"/>
      <c r="J10194" s="1342"/>
      <c r="K10194" s="1342"/>
    </row>
    <row r="10195" spans="2:11" ht="14" hidden="1">
      <c r="B10195" s="1342"/>
      <c r="C10195" s="1342"/>
      <c r="D10195" s="1342"/>
      <c r="E10195" s="1342"/>
      <c r="F10195" s="1342"/>
      <c r="G10195" s="1342"/>
      <c r="H10195" s="1342"/>
      <c r="I10195" s="1342"/>
      <c r="J10195" s="1342"/>
      <c r="K10195" s="1342"/>
    </row>
    <row r="10196" spans="2:11" ht="14" hidden="1">
      <c r="B10196" s="1342"/>
      <c r="C10196" s="1342"/>
      <c r="D10196" s="1342"/>
      <c r="E10196" s="1342"/>
      <c r="F10196" s="1342"/>
      <c r="G10196" s="1342"/>
      <c r="H10196" s="1342"/>
      <c r="I10196" s="1342"/>
      <c r="J10196" s="1342"/>
      <c r="K10196" s="1342"/>
    </row>
    <row r="10197" spans="2:11" ht="14" hidden="1">
      <c r="B10197" s="1342"/>
      <c r="C10197" s="1342"/>
      <c r="D10197" s="1342"/>
      <c r="E10197" s="1342"/>
      <c r="F10197" s="1342"/>
      <c r="G10197" s="1342"/>
      <c r="H10197" s="1342"/>
      <c r="I10197" s="1342"/>
      <c r="J10197" s="1342"/>
      <c r="K10197" s="1342"/>
    </row>
    <row r="10198" spans="2:11" ht="14" hidden="1">
      <c r="B10198" s="1342"/>
      <c r="C10198" s="1342"/>
      <c r="D10198" s="1342"/>
      <c r="E10198" s="1342"/>
      <c r="F10198" s="1342"/>
      <c r="G10198" s="1342"/>
      <c r="H10198" s="1342"/>
      <c r="I10198" s="1342"/>
      <c r="J10198" s="1342"/>
      <c r="K10198" s="1342"/>
    </row>
    <row r="10199" spans="2:11" ht="14" hidden="1">
      <c r="B10199" s="1342"/>
      <c r="C10199" s="1342"/>
      <c r="D10199" s="1342"/>
      <c r="E10199" s="1342"/>
      <c r="F10199" s="1342"/>
      <c r="G10199" s="1342"/>
      <c r="H10199" s="1342"/>
      <c r="I10199" s="1342"/>
      <c r="J10199" s="1342"/>
      <c r="K10199" s="1342"/>
    </row>
    <row r="10200" spans="2:11" ht="14" hidden="1">
      <c r="B10200" s="1342"/>
      <c r="C10200" s="1342"/>
      <c r="D10200" s="1342"/>
      <c r="E10200" s="1342"/>
      <c r="F10200" s="1342"/>
      <c r="G10200" s="1342"/>
      <c r="H10200" s="1342"/>
      <c r="I10200" s="1342"/>
      <c r="J10200" s="1342"/>
      <c r="K10200" s="1342"/>
    </row>
    <row r="10201" spans="2:11" ht="14" hidden="1">
      <c r="B10201" s="1342"/>
      <c r="C10201" s="1342"/>
      <c r="D10201" s="1342"/>
      <c r="E10201" s="1342"/>
      <c r="F10201" s="1342"/>
      <c r="G10201" s="1342"/>
      <c r="H10201" s="1342"/>
      <c r="I10201" s="1342"/>
      <c r="J10201" s="1342"/>
      <c r="K10201" s="1342"/>
    </row>
    <row r="10202" spans="2:11" ht="14" hidden="1">
      <c r="B10202" s="1342"/>
      <c r="C10202" s="1342"/>
      <c r="D10202" s="1342"/>
      <c r="E10202" s="1342"/>
      <c r="F10202" s="1342"/>
      <c r="G10202" s="1342"/>
      <c r="H10202" s="1342"/>
      <c r="I10202" s="1342"/>
      <c r="J10202" s="1342"/>
      <c r="K10202" s="1342"/>
    </row>
    <row r="10203" spans="2:11" ht="14" hidden="1">
      <c r="B10203" s="1342"/>
      <c r="C10203" s="1342"/>
      <c r="D10203" s="1342"/>
      <c r="E10203" s="1342"/>
      <c r="F10203" s="1342"/>
      <c r="G10203" s="1342"/>
      <c r="H10203" s="1342"/>
      <c r="I10203" s="1342"/>
      <c r="J10203" s="1342"/>
      <c r="K10203" s="1342"/>
    </row>
    <row r="10204" spans="2:11" ht="14" hidden="1">
      <c r="B10204" s="1342"/>
      <c r="C10204" s="1342"/>
      <c r="D10204" s="1342"/>
      <c r="E10204" s="1342"/>
      <c r="F10204" s="1342"/>
      <c r="G10204" s="1342"/>
      <c r="H10204" s="1342"/>
      <c r="I10204" s="1342"/>
      <c r="J10204" s="1342"/>
      <c r="K10204" s="1342"/>
    </row>
    <row r="10205" spans="2:11" ht="14" hidden="1">
      <c r="B10205" s="1342"/>
      <c r="C10205" s="1342"/>
      <c r="D10205" s="1342"/>
      <c r="E10205" s="1342"/>
      <c r="F10205" s="1342"/>
      <c r="G10205" s="1342"/>
      <c r="H10205" s="1342"/>
      <c r="I10205" s="1342"/>
      <c r="J10205" s="1342"/>
      <c r="K10205" s="1342"/>
    </row>
    <row r="10206" spans="2:11" ht="14" hidden="1">
      <c r="B10206" s="1342"/>
      <c r="C10206" s="1342"/>
      <c r="D10206" s="1342"/>
      <c r="E10206" s="1342"/>
      <c r="F10206" s="1342"/>
      <c r="G10206" s="1342"/>
      <c r="H10206" s="1342"/>
      <c r="I10206" s="1342"/>
      <c r="J10206" s="1342"/>
      <c r="K10206" s="1342"/>
    </row>
    <row r="10207" spans="2:11" ht="14" hidden="1">
      <c r="B10207" s="1342"/>
      <c r="C10207" s="1342"/>
      <c r="D10207" s="1342"/>
      <c r="E10207" s="1342"/>
      <c r="F10207" s="1342"/>
      <c r="G10207" s="1342"/>
      <c r="H10207" s="1342"/>
      <c r="I10207" s="1342"/>
      <c r="J10207" s="1342"/>
      <c r="K10207" s="1342"/>
    </row>
    <row r="10208" spans="2:11" ht="14" hidden="1">
      <c r="B10208" s="1342"/>
      <c r="C10208" s="1342"/>
      <c r="D10208" s="1342"/>
      <c r="E10208" s="1342"/>
      <c r="F10208" s="1342"/>
      <c r="G10208" s="1342"/>
      <c r="H10208" s="1342"/>
      <c r="I10208" s="1342"/>
      <c r="J10208" s="1342"/>
      <c r="K10208" s="1342"/>
    </row>
    <row r="10209" spans="2:11" ht="14" hidden="1">
      <c r="B10209" s="1342"/>
      <c r="C10209" s="1342"/>
      <c r="D10209" s="1342"/>
      <c r="E10209" s="1342"/>
      <c r="F10209" s="1342"/>
      <c r="G10209" s="1342"/>
      <c r="H10209" s="1342"/>
      <c r="I10209" s="1342"/>
      <c r="J10209" s="1342"/>
      <c r="K10209" s="1342"/>
    </row>
    <row r="10210" spans="2:11" ht="14" hidden="1">
      <c r="B10210" s="1342"/>
      <c r="C10210" s="1342"/>
      <c r="D10210" s="1342"/>
      <c r="E10210" s="1342"/>
      <c r="F10210" s="1342"/>
      <c r="G10210" s="1342"/>
      <c r="H10210" s="1342"/>
      <c r="I10210" s="1342"/>
      <c r="J10210" s="1342"/>
      <c r="K10210" s="1342"/>
    </row>
    <row r="10211" spans="2:11" ht="14" hidden="1">
      <c r="B10211" s="1342"/>
      <c r="C10211" s="1342"/>
      <c r="D10211" s="1342"/>
      <c r="E10211" s="1342"/>
      <c r="F10211" s="1342"/>
      <c r="G10211" s="1342"/>
      <c r="H10211" s="1342"/>
      <c r="I10211" s="1342"/>
      <c r="J10211" s="1342"/>
      <c r="K10211" s="1342"/>
    </row>
    <row r="10212" spans="2:11" ht="14" hidden="1">
      <c r="B10212" s="1342"/>
      <c r="C10212" s="1342"/>
      <c r="D10212" s="1342"/>
      <c r="E10212" s="1342"/>
      <c r="F10212" s="1342"/>
      <c r="G10212" s="1342"/>
      <c r="H10212" s="1342"/>
      <c r="I10212" s="1342"/>
      <c r="J10212" s="1342"/>
      <c r="K10212" s="1342"/>
    </row>
    <row r="10213" spans="2:11" ht="14" hidden="1">
      <c r="B10213" s="1342"/>
      <c r="C10213" s="1342"/>
      <c r="D10213" s="1342"/>
      <c r="E10213" s="1342"/>
      <c r="F10213" s="1342"/>
      <c r="G10213" s="1342"/>
      <c r="H10213" s="1342"/>
      <c r="I10213" s="1342"/>
      <c r="J10213" s="1342"/>
      <c r="K10213" s="1342"/>
    </row>
    <row r="10214" spans="2:11" ht="14" hidden="1">
      <c r="B10214" s="1342"/>
      <c r="C10214" s="1342"/>
      <c r="D10214" s="1342"/>
      <c r="E10214" s="1342"/>
      <c r="F10214" s="1342"/>
      <c r="G10214" s="1342"/>
      <c r="H10214" s="1342"/>
      <c r="I10214" s="1342"/>
      <c r="J10214" s="1342"/>
      <c r="K10214" s="1342"/>
    </row>
    <row r="10215" spans="2:11" ht="14" hidden="1">
      <c r="B10215" s="1342"/>
      <c r="C10215" s="1342"/>
      <c r="D10215" s="1342"/>
      <c r="E10215" s="1342"/>
      <c r="F10215" s="1342"/>
      <c r="G10215" s="1342"/>
      <c r="H10215" s="1342"/>
      <c r="I10215" s="1342"/>
      <c r="J10215" s="1342"/>
      <c r="K10215" s="1342"/>
    </row>
    <row r="10216" spans="2:11" ht="14" hidden="1">
      <c r="B10216" s="1342"/>
      <c r="C10216" s="1342"/>
      <c r="D10216" s="1342"/>
      <c r="E10216" s="1342"/>
      <c r="F10216" s="1342"/>
      <c r="G10216" s="1342"/>
      <c r="H10216" s="1342"/>
      <c r="I10216" s="1342"/>
      <c r="J10216" s="1342"/>
      <c r="K10216" s="1342"/>
    </row>
    <row r="10217" spans="2:11" ht="14" hidden="1">
      <c r="B10217" s="1342"/>
      <c r="C10217" s="1342"/>
      <c r="D10217" s="1342"/>
      <c r="E10217" s="1342"/>
      <c r="F10217" s="1342"/>
      <c r="G10217" s="1342"/>
      <c r="H10217" s="1342"/>
      <c r="I10217" s="1342"/>
      <c r="J10217" s="1342"/>
      <c r="K10217" s="1342"/>
    </row>
    <row r="10218" spans="2:11" ht="14" hidden="1">
      <c r="B10218" s="1342"/>
      <c r="C10218" s="1342"/>
      <c r="D10218" s="1342"/>
      <c r="E10218" s="1342"/>
      <c r="F10218" s="1342"/>
      <c r="G10218" s="1342"/>
      <c r="H10218" s="1342"/>
      <c r="I10218" s="1342"/>
      <c r="J10218" s="1342"/>
      <c r="K10218" s="1342"/>
    </row>
    <row r="10219" spans="2:11" ht="14" hidden="1">
      <c r="B10219" s="1342"/>
      <c r="C10219" s="1342"/>
      <c r="D10219" s="1342"/>
      <c r="E10219" s="1342"/>
      <c r="F10219" s="1342"/>
      <c r="G10219" s="1342"/>
      <c r="H10219" s="1342"/>
      <c r="I10219" s="1342"/>
      <c r="J10219" s="1342"/>
      <c r="K10219" s="1342"/>
    </row>
    <row r="10220" spans="2:11" ht="14" hidden="1">
      <c r="B10220" s="1342"/>
      <c r="C10220" s="1342"/>
      <c r="D10220" s="1342"/>
      <c r="E10220" s="1342"/>
      <c r="F10220" s="1342"/>
      <c r="G10220" s="1342"/>
      <c r="H10220" s="1342"/>
      <c r="I10220" s="1342"/>
      <c r="J10220" s="1342"/>
      <c r="K10220" s="1342"/>
    </row>
    <row r="10221" spans="2:11" ht="14" hidden="1">
      <c r="B10221" s="1342"/>
      <c r="C10221" s="1342"/>
      <c r="D10221" s="1342"/>
      <c r="E10221" s="1342"/>
      <c r="F10221" s="1342"/>
      <c r="G10221" s="1342"/>
      <c r="H10221" s="1342"/>
      <c r="I10221" s="1342"/>
      <c r="J10221" s="1342"/>
      <c r="K10221" s="1342"/>
    </row>
    <row r="10222" spans="2:11" ht="14" hidden="1">
      <c r="B10222" s="1342"/>
      <c r="C10222" s="1342"/>
      <c r="D10222" s="1342"/>
      <c r="E10222" s="1342"/>
      <c r="F10222" s="1342"/>
      <c r="G10222" s="1342"/>
      <c r="H10222" s="1342"/>
      <c r="I10222" s="1342"/>
      <c r="J10222" s="1342"/>
      <c r="K10222" s="1342"/>
    </row>
    <row r="10223" spans="2:11" ht="14" hidden="1">
      <c r="B10223" s="1342"/>
      <c r="C10223" s="1342"/>
      <c r="D10223" s="1342"/>
      <c r="E10223" s="1342"/>
      <c r="F10223" s="1342"/>
      <c r="G10223" s="1342"/>
      <c r="H10223" s="1342"/>
      <c r="I10223" s="1342"/>
      <c r="J10223" s="1342"/>
      <c r="K10223" s="1342"/>
    </row>
    <row r="10224" spans="2:11" ht="14" hidden="1">
      <c r="B10224" s="1342"/>
      <c r="C10224" s="1342"/>
      <c r="D10224" s="1342"/>
      <c r="E10224" s="1342"/>
      <c r="F10224" s="1342"/>
      <c r="G10224" s="1342"/>
      <c r="H10224" s="1342"/>
      <c r="I10224" s="1342"/>
      <c r="J10224" s="1342"/>
      <c r="K10224" s="1342"/>
    </row>
    <row r="10225" spans="2:11" ht="14" hidden="1">
      <c r="B10225" s="1342"/>
      <c r="C10225" s="1342"/>
      <c r="D10225" s="1342"/>
      <c r="E10225" s="1342"/>
      <c r="F10225" s="1342"/>
      <c r="G10225" s="1342"/>
      <c r="H10225" s="1342"/>
      <c r="I10225" s="1342"/>
      <c r="J10225" s="1342"/>
      <c r="K10225" s="1342"/>
    </row>
    <row r="10226" spans="2:11" ht="14" hidden="1">
      <c r="B10226" s="1342"/>
      <c r="C10226" s="1342"/>
      <c r="D10226" s="1342"/>
      <c r="E10226" s="1342"/>
      <c r="F10226" s="1342"/>
      <c r="G10226" s="1342"/>
      <c r="H10226" s="1342"/>
      <c r="I10226" s="1342"/>
      <c r="J10226" s="1342"/>
      <c r="K10226" s="1342"/>
    </row>
    <row r="10227" spans="2:11" ht="14" hidden="1">
      <c r="B10227" s="1342"/>
      <c r="C10227" s="1342"/>
      <c r="D10227" s="1342"/>
      <c r="E10227" s="1342"/>
      <c r="F10227" s="1342"/>
      <c r="G10227" s="1342"/>
      <c r="H10227" s="1342"/>
      <c r="I10227" s="1342"/>
      <c r="J10227" s="1342"/>
      <c r="K10227" s="1342"/>
    </row>
    <row r="10228" spans="2:11" ht="14" hidden="1">
      <c r="B10228" s="1342"/>
      <c r="C10228" s="1342"/>
      <c r="D10228" s="1342"/>
      <c r="E10228" s="1342"/>
      <c r="F10228" s="1342"/>
      <c r="G10228" s="1342"/>
      <c r="H10228" s="1342"/>
      <c r="I10228" s="1342"/>
      <c r="J10228" s="1342"/>
      <c r="K10228" s="1342"/>
    </row>
    <row r="10229" spans="2:11" ht="14" hidden="1">
      <c r="B10229" s="1342"/>
      <c r="C10229" s="1342"/>
      <c r="D10229" s="1342"/>
      <c r="E10229" s="1342"/>
      <c r="F10229" s="1342"/>
      <c r="G10229" s="1342"/>
      <c r="H10229" s="1342"/>
      <c r="I10229" s="1342"/>
      <c r="J10229" s="1342"/>
      <c r="K10229" s="1342"/>
    </row>
    <row r="10230" spans="2:11" ht="14" hidden="1">
      <c r="B10230" s="1342"/>
      <c r="C10230" s="1342"/>
      <c r="D10230" s="1342"/>
      <c r="E10230" s="1342"/>
      <c r="F10230" s="1342"/>
      <c r="G10230" s="1342"/>
      <c r="H10230" s="1342"/>
      <c r="I10230" s="1342"/>
      <c r="J10230" s="1342"/>
      <c r="K10230" s="1342"/>
    </row>
    <row r="10231" spans="2:11" ht="14" hidden="1">
      <c r="B10231" s="1342"/>
      <c r="C10231" s="1342"/>
      <c r="D10231" s="1342"/>
      <c r="E10231" s="1342"/>
      <c r="F10231" s="1342"/>
      <c r="G10231" s="1342"/>
      <c r="H10231" s="1342"/>
      <c r="I10231" s="1342"/>
      <c r="J10231" s="1342"/>
      <c r="K10231" s="1342"/>
    </row>
    <row r="10232" spans="2:11" ht="14" hidden="1">
      <c r="B10232" s="1342"/>
      <c r="C10232" s="1342"/>
      <c r="D10232" s="1342"/>
      <c r="E10232" s="1342"/>
      <c r="F10232" s="1342"/>
      <c r="G10232" s="1342"/>
      <c r="H10232" s="1342"/>
      <c r="I10232" s="1342"/>
      <c r="J10232" s="1342"/>
      <c r="K10232" s="1342"/>
    </row>
    <row r="10233" spans="2:11" ht="14" hidden="1">
      <c r="B10233" s="1342"/>
      <c r="C10233" s="1342"/>
      <c r="D10233" s="1342"/>
      <c r="E10233" s="1342"/>
      <c r="F10233" s="1342"/>
      <c r="G10233" s="1342"/>
      <c r="H10233" s="1342"/>
      <c r="I10233" s="1342"/>
      <c r="J10233" s="1342"/>
      <c r="K10233" s="1342"/>
    </row>
    <row r="10234" spans="2:11" ht="14" hidden="1">
      <c r="B10234" s="1342"/>
      <c r="C10234" s="1342"/>
      <c r="D10234" s="1342"/>
      <c r="E10234" s="1342"/>
      <c r="F10234" s="1342"/>
      <c r="G10234" s="1342"/>
      <c r="H10234" s="1342"/>
      <c r="I10234" s="1342"/>
      <c r="J10234" s="1342"/>
      <c r="K10234" s="1342"/>
    </row>
    <row r="10235" spans="2:11" ht="14" hidden="1">
      <c r="B10235" s="1342"/>
      <c r="C10235" s="1342"/>
      <c r="D10235" s="1342"/>
      <c r="E10235" s="1342"/>
      <c r="F10235" s="1342"/>
      <c r="G10235" s="1342"/>
      <c r="H10235" s="1342"/>
      <c r="I10235" s="1342"/>
      <c r="J10235" s="1342"/>
      <c r="K10235" s="1342"/>
    </row>
    <row r="10236" spans="2:11" ht="14" hidden="1">
      <c r="B10236" s="1342"/>
      <c r="C10236" s="1342"/>
      <c r="D10236" s="1342"/>
      <c r="E10236" s="1342"/>
      <c r="F10236" s="1342"/>
      <c r="G10236" s="1342"/>
      <c r="H10236" s="1342"/>
      <c r="I10236" s="1342"/>
      <c r="J10236" s="1342"/>
      <c r="K10236" s="1342"/>
    </row>
    <row r="10237" spans="2:11" ht="14" hidden="1">
      <c r="B10237" s="1342"/>
      <c r="C10237" s="1342"/>
      <c r="D10237" s="1342"/>
      <c r="E10237" s="1342"/>
      <c r="F10237" s="1342"/>
      <c r="G10237" s="1342"/>
      <c r="H10237" s="1342"/>
      <c r="I10237" s="1342"/>
      <c r="J10237" s="1342"/>
      <c r="K10237" s="1342"/>
    </row>
    <row r="10238" spans="2:11" ht="14" hidden="1">
      <c r="B10238" s="1342"/>
      <c r="C10238" s="1342"/>
      <c r="D10238" s="1342"/>
      <c r="E10238" s="1342"/>
      <c r="F10238" s="1342"/>
      <c r="G10238" s="1342"/>
      <c r="H10238" s="1342"/>
      <c r="I10238" s="1342"/>
      <c r="J10238" s="1342"/>
      <c r="K10238" s="1342"/>
    </row>
    <row r="10239" spans="2:11" ht="14" hidden="1">
      <c r="B10239" s="1342"/>
      <c r="C10239" s="1342"/>
      <c r="D10239" s="1342"/>
      <c r="E10239" s="1342"/>
      <c r="F10239" s="1342"/>
      <c r="G10239" s="1342"/>
      <c r="H10239" s="1342"/>
      <c r="I10239" s="1342"/>
      <c r="J10239" s="1342"/>
      <c r="K10239" s="1342"/>
    </row>
    <row r="10240" spans="2:11" ht="14" hidden="1">
      <c r="B10240" s="1342"/>
      <c r="C10240" s="1342"/>
      <c r="D10240" s="1342"/>
      <c r="E10240" s="1342"/>
      <c r="F10240" s="1342"/>
      <c r="G10240" s="1342"/>
      <c r="H10240" s="1342"/>
      <c r="I10240" s="1342"/>
      <c r="J10240" s="1342"/>
      <c r="K10240" s="1342"/>
    </row>
    <row r="10241" spans="2:11" ht="14" hidden="1">
      <c r="B10241" s="1342"/>
      <c r="C10241" s="1342"/>
      <c r="D10241" s="1342"/>
      <c r="E10241" s="1342"/>
      <c r="F10241" s="1342"/>
      <c r="G10241" s="1342"/>
      <c r="H10241" s="1342"/>
      <c r="I10241" s="1342"/>
      <c r="J10241" s="1342"/>
      <c r="K10241" s="1342"/>
    </row>
    <row r="10242" spans="2:11" ht="14" hidden="1">
      <c r="B10242" s="1342"/>
      <c r="C10242" s="1342"/>
      <c r="D10242" s="1342"/>
      <c r="E10242" s="1342"/>
      <c r="F10242" s="1342"/>
      <c r="G10242" s="1342"/>
      <c r="H10242" s="1342"/>
      <c r="I10242" s="1342"/>
      <c r="J10242" s="1342"/>
      <c r="K10242" s="1342"/>
    </row>
    <row r="10243" spans="2:11" ht="14" hidden="1">
      <c r="B10243" s="1342"/>
      <c r="C10243" s="1342"/>
      <c r="D10243" s="1342"/>
      <c r="E10243" s="1342"/>
      <c r="F10243" s="1342"/>
      <c r="G10243" s="1342"/>
      <c r="H10243" s="1342"/>
      <c r="I10243" s="1342"/>
      <c r="J10243" s="1342"/>
      <c r="K10243" s="1342"/>
    </row>
    <row r="10244" spans="2:11" ht="14" hidden="1">
      <c r="B10244" s="1342"/>
      <c r="C10244" s="1342"/>
      <c r="D10244" s="1342"/>
      <c r="E10244" s="1342"/>
      <c r="F10244" s="1342"/>
      <c r="G10244" s="1342"/>
      <c r="H10244" s="1342"/>
      <c r="I10244" s="1342"/>
      <c r="J10244" s="1342"/>
      <c r="K10244" s="1342"/>
    </row>
    <row r="10245" spans="2:11" ht="14" hidden="1">
      <c r="B10245" s="1342"/>
      <c r="C10245" s="1342"/>
      <c r="D10245" s="1342"/>
      <c r="E10245" s="1342"/>
      <c r="F10245" s="1342"/>
      <c r="G10245" s="1342"/>
      <c r="H10245" s="1342"/>
      <c r="I10245" s="1342"/>
      <c r="J10245" s="1342"/>
      <c r="K10245" s="1342"/>
    </row>
    <row r="10246" spans="2:11" ht="14" hidden="1">
      <c r="B10246" s="1342"/>
      <c r="C10246" s="1342"/>
      <c r="D10246" s="1342"/>
      <c r="E10246" s="1342"/>
      <c r="F10246" s="1342"/>
      <c r="G10246" s="1342"/>
      <c r="H10246" s="1342"/>
      <c r="I10246" s="1342"/>
      <c r="J10246" s="1342"/>
      <c r="K10246" s="1342"/>
    </row>
    <row r="10247" spans="2:11" ht="14" hidden="1">
      <c r="B10247" s="1342"/>
      <c r="C10247" s="1342"/>
      <c r="D10247" s="1342"/>
      <c r="E10247" s="1342"/>
      <c r="F10247" s="1342"/>
      <c r="G10247" s="1342"/>
      <c r="H10247" s="1342"/>
      <c r="I10247" s="1342"/>
      <c r="J10247" s="1342"/>
      <c r="K10247" s="1342"/>
    </row>
    <row r="10248" spans="2:11" ht="14" hidden="1">
      <c r="B10248" s="1342"/>
      <c r="C10248" s="1342"/>
      <c r="D10248" s="1342"/>
      <c r="E10248" s="1342"/>
      <c r="F10248" s="1342"/>
      <c r="G10248" s="1342"/>
      <c r="H10248" s="1342"/>
      <c r="I10248" s="1342"/>
      <c r="J10248" s="1342"/>
      <c r="K10248" s="1342"/>
    </row>
    <row r="10249" spans="2:11" ht="14" hidden="1">
      <c r="B10249" s="1342"/>
      <c r="C10249" s="1342"/>
      <c r="D10249" s="1342"/>
      <c r="E10249" s="1342"/>
      <c r="F10249" s="1342"/>
      <c r="G10249" s="1342"/>
      <c r="H10249" s="1342"/>
      <c r="I10249" s="1342"/>
      <c r="J10249" s="1342"/>
      <c r="K10249" s="1342"/>
    </row>
    <row r="10250" spans="2:11" ht="14" hidden="1">
      <c r="B10250" s="1342"/>
      <c r="C10250" s="1342"/>
      <c r="D10250" s="1342"/>
      <c r="E10250" s="1342"/>
      <c r="F10250" s="1342"/>
      <c r="G10250" s="1342"/>
      <c r="H10250" s="1342"/>
      <c r="I10250" s="1342"/>
      <c r="J10250" s="1342"/>
      <c r="K10250" s="1342"/>
    </row>
    <row r="10251" spans="2:11" ht="14" hidden="1">
      <c r="B10251" s="1342"/>
      <c r="C10251" s="1342"/>
      <c r="D10251" s="1342"/>
      <c r="E10251" s="1342"/>
      <c r="F10251" s="1342"/>
      <c r="G10251" s="1342"/>
      <c r="H10251" s="1342"/>
      <c r="I10251" s="1342"/>
      <c r="J10251" s="1342"/>
      <c r="K10251" s="1342"/>
    </row>
    <row r="10252" spans="2:11" ht="14" hidden="1">
      <c r="B10252" s="1342"/>
      <c r="C10252" s="1342"/>
      <c r="D10252" s="1342"/>
      <c r="E10252" s="1342"/>
      <c r="F10252" s="1342"/>
      <c r="G10252" s="1342"/>
      <c r="H10252" s="1342"/>
      <c r="I10252" s="1342"/>
      <c r="J10252" s="1342"/>
      <c r="K10252" s="1342"/>
    </row>
    <row r="10253" spans="2:11" ht="14" hidden="1">
      <c r="B10253" s="1342"/>
      <c r="C10253" s="1342"/>
      <c r="D10253" s="1342"/>
      <c r="E10253" s="1342"/>
      <c r="F10253" s="1342"/>
      <c r="G10253" s="1342"/>
      <c r="H10253" s="1342"/>
      <c r="I10253" s="1342"/>
      <c r="J10253" s="1342"/>
      <c r="K10253" s="1342"/>
    </row>
    <row r="10254" spans="2:11" ht="14" hidden="1">
      <c r="B10254" s="1342"/>
      <c r="C10254" s="1342"/>
      <c r="D10254" s="1342"/>
      <c r="E10254" s="1342"/>
      <c r="F10254" s="1342"/>
      <c r="G10254" s="1342"/>
      <c r="H10254" s="1342"/>
      <c r="I10254" s="1342"/>
      <c r="J10254" s="1342"/>
      <c r="K10254" s="1342"/>
    </row>
    <row r="10255" spans="2:11" ht="14" hidden="1">
      <c r="B10255" s="1342"/>
      <c r="C10255" s="1342"/>
      <c r="D10255" s="1342"/>
      <c r="E10255" s="1342"/>
      <c r="F10255" s="1342"/>
      <c r="G10255" s="1342"/>
      <c r="H10255" s="1342"/>
      <c r="I10255" s="1342"/>
      <c r="J10255" s="1342"/>
      <c r="K10255" s="1342"/>
    </row>
    <row r="10256" spans="2:11" ht="14" hidden="1">
      <c r="B10256" s="1342"/>
      <c r="C10256" s="1342"/>
      <c r="D10256" s="1342"/>
      <c r="E10256" s="1342"/>
      <c r="F10256" s="1342"/>
      <c r="G10256" s="1342"/>
      <c r="H10256" s="1342"/>
      <c r="I10256" s="1342"/>
      <c r="J10256" s="1342"/>
      <c r="K10256" s="1342"/>
    </row>
    <row r="10257" spans="2:11" ht="14" hidden="1">
      <c r="B10257" s="1342"/>
      <c r="C10257" s="1342"/>
      <c r="D10257" s="1342"/>
      <c r="E10257" s="1342"/>
      <c r="F10257" s="1342"/>
      <c r="G10257" s="1342"/>
      <c r="H10257" s="1342"/>
      <c r="I10257" s="1342"/>
      <c r="J10257" s="1342"/>
      <c r="K10257" s="1342"/>
    </row>
    <row r="10258" spans="2:11" ht="14" hidden="1">
      <c r="B10258" s="1342"/>
      <c r="C10258" s="1342"/>
      <c r="D10258" s="1342"/>
      <c r="E10258" s="1342"/>
      <c r="F10258" s="1342"/>
      <c r="G10258" s="1342"/>
      <c r="H10258" s="1342"/>
      <c r="I10258" s="1342"/>
      <c r="J10258" s="1342"/>
      <c r="K10258" s="1342"/>
    </row>
    <row r="10259" spans="2:11" ht="14" hidden="1">
      <c r="B10259" s="1342"/>
      <c r="C10259" s="1342"/>
      <c r="D10259" s="1342"/>
      <c r="E10259" s="1342"/>
      <c r="F10259" s="1342"/>
      <c r="G10259" s="1342"/>
      <c r="H10259" s="1342"/>
      <c r="I10259" s="1342"/>
      <c r="J10259" s="1342"/>
      <c r="K10259" s="1342"/>
    </row>
    <row r="10260" spans="2:11" ht="14" hidden="1">
      <c r="B10260" s="1342"/>
      <c r="C10260" s="1342"/>
      <c r="D10260" s="1342"/>
      <c r="E10260" s="1342"/>
      <c r="F10260" s="1342"/>
      <c r="G10260" s="1342"/>
      <c r="H10260" s="1342"/>
      <c r="I10260" s="1342"/>
      <c r="J10260" s="1342"/>
      <c r="K10260" s="1342"/>
    </row>
    <row r="10261" spans="2:11" ht="14" hidden="1">
      <c r="B10261" s="1342"/>
      <c r="C10261" s="1342"/>
      <c r="D10261" s="1342"/>
      <c r="E10261" s="1342"/>
      <c r="F10261" s="1342"/>
      <c r="G10261" s="1342"/>
      <c r="H10261" s="1342"/>
      <c r="I10261" s="1342"/>
      <c r="J10261" s="1342"/>
      <c r="K10261" s="1342"/>
    </row>
    <row r="10262" spans="2:11" ht="14" hidden="1">
      <c r="B10262" s="1342"/>
      <c r="C10262" s="1342"/>
      <c r="D10262" s="1342"/>
      <c r="E10262" s="1342"/>
      <c r="F10262" s="1342"/>
      <c r="G10262" s="1342"/>
      <c r="H10262" s="1342"/>
      <c r="I10262" s="1342"/>
      <c r="J10262" s="1342"/>
      <c r="K10262" s="1342"/>
    </row>
    <row r="10263" spans="2:11" ht="14" hidden="1">
      <c r="B10263" s="1342"/>
      <c r="C10263" s="1342"/>
      <c r="D10263" s="1342"/>
      <c r="E10263" s="1342"/>
      <c r="F10263" s="1342"/>
      <c r="G10263" s="1342"/>
      <c r="H10263" s="1342"/>
      <c r="I10263" s="1342"/>
      <c r="J10263" s="1342"/>
      <c r="K10263" s="1342"/>
    </row>
    <row r="10264" spans="2:11" ht="14" hidden="1">
      <c r="B10264" s="1342"/>
      <c r="C10264" s="1342"/>
      <c r="D10264" s="1342"/>
      <c r="E10264" s="1342"/>
      <c r="F10264" s="1342"/>
      <c r="G10264" s="1342"/>
      <c r="H10264" s="1342"/>
      <c r="I10264" s="1342"/>
      <c r="J10264" s="1342"/>
      <c r="K10264" s="1342"/>
    </row>
    <row r="10265" spans="2:11" ht="14" hidden="1">
      <c r="B10265" s="1342"/>
      <c r="C10265" s="1342"/>
      <c r="D10265" s="1342"/>
      <c r="E10265" s="1342"/>
      <c r="F10265" s="1342"/>
      <c r="G10265" s="1342"/>
      <c r="H10265" s="1342"/>
      <c r="I10265" s="1342"/>
      <c r="J10265" s="1342"/>
      <c r="K10265" s="1342"/>
    </row>
    <row r="10266" spans="2:11" ht="14" hidden="1">
      <c r="B10266" s="1342"/>
      <c r="C10266" s="1342"/>
      <c r="D10266" s="1342"/>
      <c r="E10266" s="1342"/>
      <c r="F10266" s="1342"/>
      <c r="G10266" s="1342"/>
      <c r="H10266" s="1342"/>
      <c r="I10266" s="1342"/>
      <c r="J10266" s="1342"/>
      <c r="K10266" s="1342"/>
    </row>
    <row r="10267" spans="2:11" ht="14" hidden="1">
      <c r="B10267" s="1342"/>
      <c r="C10267" s="1342"/>
      <c r="D10267" s="1342"/>
      <c r="E10267" s="1342"/>
      <c r="F10267" s="1342"/>
      <c r="G10267" s="1342"/>
      <c r="H10267" s="1342"/>
      <c r="I10267" s="1342"/>
      <c r="J10267" s="1342"/>
      <c r="K10267" s="1342"/>
    </row>
    <row r="10268" spans="2:11" ht="14" hidden="1">
      <c r="B10268" s="1342"/>
      <c r="C10268" s="1342"/>
      <c r="D10268" s="1342"/>
      <c r="E10268" s="1342"/>
      <c r="F10268" s="1342"/>
      <c r="G10268" s="1342"/>
      <c r="H10268" s="1342"/>
      <c r="I10268" s="1342"/>
      <c r="J10268" s="1342"/>
      <c r="K10268" s="1342"/>
    </row>
    <row r="10269" spans="2:11" ht="14" hidden="1">
      <c r="B10269" s="1342"/>
      <c r="C10269" s="1342"/>
      <c r="D10269" s="1342"/>
      <c r="E10269" s="1342"/>
      <c r="F10269" s="1342"/>
      <c r="G10269" s="1342"/>
      <c r="H10269" s="1342"/>
      <c r="I10269" s="1342"/>
      <c r="J10269" s="1342"/>
      <c r="K10269" s="1342"/>
    </row>
    <row r="10270" spans="2:11" ht="14" hidden="1">
      <c r="B10270" s="1342"/>
      <c r="C10270" s="1342"/>
      <c r="D10270" s="1342"/>
      <c r="E10270" s="1342"/>
      <c r="F10270" s="1342"/>
      <c r="G10270" s="1342"/>
      <c r="H10270" s="1342"/>
      <c r="I10270" s="1342"/>
      <c r="J10270" s="1342"/>
      <c r="K10270" s="1342"/>
    </row>
    <row r="10271" spans="2:11" ht="14" hidden="1">
      <c r="B10271" s="1342"/>
      <c r="C10271" s="1342"/>
      <c r="D10271" s="1342"/>
      <c r="E10271" s="1342"/>
      <c r="F10271" s="1342"/>
      <c r="G10271" s="1342"/>
      <c r="H10271" s="1342"/>
      <c r="I10271" s="1342"/>
      <c r="J10271" s="1342"/>
      <c r="K10271" s="1342"/>
    </row>
    <row r="10272" spans="2:11" ht="14" hidden="1">
      <c r="B10272" s="1342"/>
      <c r="C10272" s="1342"/>
      <c r="D10272" s="1342"/>
      <c r="E10272" s="1342"/>
      <c r="F10272" s="1342"/>
      <c r="G10272" s="1342"/>
      <c r="H10272" s="1342"/>
      <c r="I10272" s="1342"/>
      <c r="J10272" s="1342"/>
      <c r="K10272" s="1342"/>
    </row>
    <row r="10273" spans="2:11" ht="14" hidden="1">
      <c r="B10273" s="1342"/>
      <c r="C10273" s="1342"/>
      <c r="D10273" s="1342"/>
      <c r="E10273" s="1342"/>
      <c r="F10273" s="1342"/>
      <c r="G10273" s="1342"/>
      <c r="H10273" s="1342"/>
      <c r="I10273" s="1342"/>
      <c r="J10273" s="1342"/>
      <c r="K10273" s="1342"/>
    </row>
    <row r="10274" spans="2:11" ht="14" hidden="1">
      <c r="B10274" s="1342"/>
      <c r="C10274" s="1342"/>
      <c r="D10274" s="1342"/>
      <c r="E10274" s="1342"/>
      <c r="F10274" s="1342"/>
      <c r="G10274" s="1342"/>
      <c r="H10274" s="1342"/>
      <c r="I10274" s="1342"/>
      <c r="J10274" s="1342"/>
      <c r="K10274" s="1342"/>
    </row>
    <row r="10275" spans="2:11" ht="14" hidden="1">
      <c r="B10275" s="1342"/>
      <c r="C10275" s="1342"/>
      <c r="D10275" s="1342"/>
      <c r="E10275" s="1342"/>
      <c r="F10275" s="1342"/>
      <c r="G10275" s="1342"/>
      <c r="H10275" s="1342"/>
      <c r="I10275" s="1342"/>
      <c r="J10275" s="1342"/>
      <c r="K10275" s="1342"/>
    </row>
    <row r="10276" spans="2:11" ht="14" hidden="1">
      <c r="B10276" s="1342"/>
      <c r="C10276" s="1342"/>
      <c r="D10276" s="1342"/>
      <c r="E10276" s="1342"/>
      <c r="F10276" s="1342"/>
      <c r="G10276" s="1342"/>
      <c r="H10276" s="1342"/>
      <c r="I10276" s="1342"/>
      <c r="J10276" s="1342"/>
      <c r="K10276" s="1342"/>
    </row>
    <row r="10277" spans="2:11" ht="14" hidden="1">
      <c r="B10277" s="1342"/>
      <c r="C10277" s="1342"/>
      <c r="D10277" s="1342"/>
      <c r="E10277" s="1342"/>
      <c r="F10277" s="1342"/>
      <c r="G10277" s="1342"/>
      <c r="H10277" s="1342"/>
      <c r="I10277" s="1342"/>
      <c r="J10277" s="1342"/>
      <c r="K10277" s="1342"/>
    </row>
    <row r="10278" spans="2:11" ht="14" hidden="1">
      <c r="B10278" s="1342"/>
      <c r="C10278" s="1342"/>
      <c r="D10278" s="1342"/>
      <c r="E10278" s="1342"/>
      <c r="F10278" s="1342"/>
      <c r="G10278" s="1342"/>
      <c r="H10278" s="1342"/>
      <c r="I10278" s="1342"/>
      <c r="J10278" s="1342"/>
      <c r="K10278" s="1342"/>
    </row>
    <row r="10279" spans="2:11" ht="14" hidden="1">
      <c r="B10279" s="1342"/>
      <c r="C10279" s="1342"/>
      <c r="D10279" s="1342"/>
      <c r="E10279" s="1342"/>
      <c r="F10279" s="1342"/>
      <c r="G10279" s="1342"/>
      <c r="H10279" s="1342"/>
      <c r="I10279" s="1342"/>
      <c r="J10279" s="1342"/>
      <c r="K10279" s="1342"/>
    </row>
    <row r="10280" spans="2:11" ht="14" hidden="1">
      <c r="B10280" s="1342"/>
      <c r="C10280" s="1342"/>
      <c r="D10280" s="1342"/>
      <c r="E10280" s="1342"/>
      <c r="F10280" s="1342"/>
      <c r="G10280" s="1342"/>
      <c r="H10280" s="1342"/>
      <c r="I10280" s="1342"/>
      <c r="J10280" s="1342"/>
      <c r="K10280" s="1342"/>
    </row>
    <row r="10281" spans="2:11" ht="14" hidden="1">
      <c r="B10281" s="1342"/>
      <c r="C10281" s="1342"/>
      <c r="D10281" s="1342"/>
      <c r="E10281" s="1342"/>
      <c r="F10281" s="1342"/>
      <c r="G10281" s="1342"/>
      <c r="H10281" s="1342"/>
      <c r="I10281" s="1342"/>
      <c r="J10281" s="1342"/>
      <c r="K10281" s="1342"/>
    </row>
    <row r="10282" spans="2:11" ht="14" hidden="1">
      <c r="B10282" s="1342"/>
      <c r="C10282" s="1342"/>
      <c r="D10282" s="1342"/>
      <c r="E10282" s="1342"/>
      <c r="F10282" s="1342"/>
      <c r="G10282" s="1342"/>
      <c r="H10282" s="1342"/>
      <c r="I10282" s="1342"/>
      <c r="J10282" s="1342"/>
      <c r="K10282" s="1342"/>
    </row>
    <row r="10283" spans="2:11" ht="14" hidden="1">
      <c r="B10283" s="1342"/>
      <c r="C10283" s="1342"/>
      <c r="D10283" s="1342"/>
      <c r="E10283" s="1342"/>
      <c r="F10283" s="1342"/>
      <c r="G10283" s="1342"/>
      <c r="H10283" s="1342"/>
      <c r="I10283" s="1342"/>
      <c r="J10283" s="1342"/>
      <c r="K10283" s="1342"/>
    </row>
    <row r="10284" spans="2:11" ht="14" hidden="1">
      <c r="B10284" s="1342"/>
      <c r="C10284" s="1342"/>
      <c r="D10284" s="1342"/>
      <c r="E10284" s="1342"/>
      <c r="F10284" s="1342"/>
      <c r="G10284" s="1342"/>
      <c r="H10284" s="1342"/>
      <c r="I10284" s="1342"/>
      <c r="J10284" s="1342"/>
      <c r="K10284" s="1342"/>
    </row>
    <row r="10285" spans="2:11" ht="14" hidden="1">
      <c r="B10285" s="1342"/>
      <c r="C10285" s="1342"/>
      <c r="D10285" s="1342"/>
      <c r="E10285" s="1342"/>
      <c r="F10285" s="1342"/>
      <c r="G10285" s="1342"/>
      <c r="H10285" s="1342"/>
      <c r="I10285" s="1342"/>
      <c r="J10285" s="1342"/>
      <c r="K10285" s="1342"/>
    </row>
    <row r="10286" spans="2:11" ht="14" hidden="1">
      <c r="B10286" s="1342"/>
      <c r="C10286" s="1342"/>
      <c r="D10286" s="1342"/>
      <c r="E10286" s="1342"/>
      <c r="F10286" s="1342"/>
      <c r="G10286" s="1342"/>
      <c r="H10286" s="1342"/>
      <c r="I10286" s="1342"/>
      <c r="J10286" s="1342"/>
      <c r="K10286" s="1342"/>
    </row>
    <row r="10287" spans="2:11" ht="14" hidden="1">
      <c r="B10287" s="1342"/>
      <c r="C10287" s="1342"/>
      <c r="D10287" s="1342"/>
      <c r="E10287" s="1342"/>
      <c r="F10287" s="1342"/>
      <c r="G10287" s="1342"/>
      <c r="H10287" s="1342"/>
      <c r="I10287" s="1342"/>
      <c r="J10287" s="1342"/>
      <c r="K10287" s="1342"/>
    </row>
    <row r="10288" spans="2:11" ht="14" hidden="1">
      <c r="B10288" s="1342"/>
      <c r="C10288" s="1342"/>
      <c r="D10288" s="1342"/>
      <c r="E10288" s="1342"/>
      <c r="F10288" s="1342"/>
      <c r="G10288" s="1342"/>
      <c r="H10288" s="1342"/>
      <c r="I10288" s="1342"/>
      <c r="J10288" s="1342"/>
      <c r="K10288" s="1342"/>
    </row>
    <row r="10289" spans="2:11" ht="14" hidden="1">
      <c r="B10289" s="1342"/>
      <c r="C10289" s="1342"/>
      <c r="D10289" s="1342"/>
      <c r="E10289" s="1342"/>
      <c r="F10289" s="1342"/>
      <c r="G10289" s="1342"/>
      <c r="H10289" s="1342"/>
      <c r="I10289" s="1342"/>
      <c r="J10289" s="1342"/>
      <c r="K10289" s="1342"/>
    </row>
    <row r="10290" spans="2:11" ht="14" hidden="1">
      <c r="B10290" s="1342"/>
      <c r="C10290" s="1342"/>
      <c r="D10290" s="1342"/>
      <c r="E10290" s="1342"/>
      <c r="F10290" s="1342"/>
      <c r="G10290" s="1342"/>
      <c r="H10290" s="1342"/>
      <c r="I10290" s="1342"/>
      <c r="J10290" s="1342"/>
      <c r="K10290" s="1342"/>
    </row>
    <row r="10291" spans="2:11" ht="14" hidden="1">
      <c r="B10291" s="1342"/>
      <c r="C10291" s="1342"/>
      <c r="D10291" s="1342"/>
      <c r="E10291" s="1342"/>
      <c r="F10291" s="1342"/>
      <c r="G10291" s="1342"/>
      <c r="H10291" s="1342"/>
      <c r="I10291" s="1342"/>
      <c r="J10291" s="1342"/>
      <c r="K10291" s="1342"/>
    </row>
    <row r="10292" spans="2:11" ht="14" hidden="1">
      <c r="B10292" s="1342"/>
      <c r="C10292" s="1342"/>
      <c r="D10292" s="1342"/>
      <c r="E10292" s="1342"/>
      <c r="F10292" s="1342"/>
      <c r="G10292" s="1342"/>
      <c r="H10292" s="1342"/>
      <c r="I10292" s="1342"/>
      <c r="J10292" s="1342"/>
      <c r="K10292" s="1342"/>
    </row>
    <row r="10293" spans="2:11" ht="14" hidden="1">
      <c r="B10293" s="1342"/>
      <c r="C10293" s="1342"/>
      <c r="D10293" s="1342"/>
      <c r="E10293" s="1342"/>
      <c r="F10293" s="1342"/>
      <c r="G10293" s="1342"/>
      <c r="H10293" s="1342"/>
      <c r="I10293" s="1342"/>
      <c r="J10293" s="1342"/>
      <c r="K10293" s="1342"/>
    </row>
    <row r="10294" spans="2:11" ht="14" hidden="1">
      <c r="B10294" s="1342"/>
      <c r="C10294" s="1342"/>
      <c r="D10294" s="1342"/>
      <c r="E10294" s="1342"/>
      <c r="F10294" s="1342"/>
      <c r="G10294" s="1342"/>
      <c r="H10294" s="1342"/>
      <c r="I10294" s="1342"/>
      <c r="J10294" s="1342"/>
      <c r="K10294" s="1342"/>
    </row>
    <row r="10295" spans="2:11" ht="14" hidden="1">
      <c r="B10295" s="1342"/>
      <c r="C10295" s="1342"/>
      <c r="D10295" s="1342"/>
      <c r="E10295" s="1342"/>
      <c r="F10295" s="1342"/>
      <c r="G10295" s="1342"/>
      <c r="H10295" s="1342"/>
      <c r="I10295" s="1342"/>
      <c r="J10295" s="1342"/>
      <c r="K10295" s="1342"/>
    </row>
    <row r="10296" spans="2:11" ht="14" hidden="1">
      <c r="B10296" s="1342"/>
      <c r="C10296" s="1342"/>
      <c r="D10296" s="1342"/>
      <c r="E10296" s="1342"/>
      <c r="F10296" s="1342"/>
      <c r="G10296" s="1342"/>
      <c r="H10296" s="1342"/>
      <c r="I10296" s="1342"/>
      <c r="J10296" s="1342"/>
      <c r="K10296" s="1342"/>
    </row>
    <row r="10297" spans="2:11" ht="14" hidden="1">
      <c r="B10297" s="1342"/>
      <c r="C10297" s="1342"/>
      <c r="D10297" s="1342"/>
      <c r="E10297" s="1342"/>
      <c r="F10297" s="1342"/>
      <c r="G10297" s="1342"/>
      <c r="H10297" s="1342"/>
      <c r="I10297" s="1342"/>
      <c r="J10297" s="1342"/>
      <c r="K10297" s="1342"/>
    </row>
    <row r="10298" spans="2:11" ht="14" hidden="1">
      <c r="B10298" s="1342"/>
      <c r="C10298" s="1342"/>
      <c r="D10298" s="1342"/>
      <c r="E10298" s="1342"/>
      <c r="F10298" s="1342"/>
      <c r="G10298" s="1342"/>
      <c r="H10298" s="1342"/>
      <c r="I10298" s="1342"/>
      <c r="J10298" s="1342"/>
      <c r="K10298" s="1342"/>
    </row>
    <row r="10299" spans="2:11" ht="14" hidden="1">
      <c r="B10299" s="1342"/>
      <c r="C10299" s="1342"/>
      <c r="D10299" s="1342"/>
      <c r="E10299" s="1342"/>
      <c r="F10299" s="1342"/>
      <c r="G10299" s="1342"/>
      <c r="H10299" s="1342"/>
      <c r="I10299" s="1342"/>
      <c r="J10299" s="1342"/>
      <c r="K10299" s="1342"/>
    </row>
    <row r="10300" spans="2:11" ht="14" hidden="1">
      <c r="B10300" s="1342"/>
      <c r="C10300" s="1342"/>
      <c r="D10300" s="1342"/>
      <c r="E10300" s="1342"/>
      <c r="F10300" s="1342"/>
      <c r="G10300" s="1342"/>
      <c r="H10300" s="1342"/>
      <c r="I10300" s="1342"/>
      <c r="J10300" s="1342"/>
      <c r="K10300" s="1342"/>
    </row>
    <row r="10301" spans="2:11" ht="14" hidden="1">
      <c r="B10301" s="1342"/>
      <c r="C10301" s="1342"/>
      <c r="D10301" s="1342"/>
      <c r="E10301" s="1342"/>
      <c r="F10301" s="1342"/>
      <c r="G10301" s="1342"/>
      <c r="H10301" s="1342"/>
      <c r="I10301" s="1342"/>
      <c r="J10301" s="1342"/>
      <c r="K10301" s="1342"/>
    </row>
    <row r="10302" spans="2:11" ht="14" hidden="1">
      <c r="B10302" s="1342"/>
      <c r="C10302" s="1342"/>
      <c r="D10302" s="1342"/>
      <c r="E10302" s="1342"/>
      <c r="F10302" s="1342"/>
      <c r="G10302" s="1342"/>
      <c r="H10302" s="1342"/>
      <c r="I10302" s="1342"/>
      <c r="J10302" s="1342"/>
      <c r="K10302" s="1342"/>
    </row>
    <row r="10303" spans="2:11" ht="14" hidden="1">
      <c r="B10303" s="1342"/>
      <c r="C10303" s="1342"/>
      <c r="D10303" s="1342"/>
      <c r="E10303" s="1342"/>
      <c r="F10303" s="1342"/>
      <c r="G10303" s="1342"/>
      <c r="H10303" s="1342"/>
      <c r="I10303" s="1342"/>
      <c r="J10303" s="1342"/>
      <c r="K10303" s="1342"/>
    </row>
    <row r="10304" spans="2:11" ht="14" hidden="1">
      <c r="B10304" s="1342"/>
      <c r="C10304" s="1342"/>
      <c r="D10304" s="1342"/>
      <c r="E10304" s="1342"/>
      <c r="F10304" s="1342"/>
      <c r="G10304" s="1342"/>
      <c r="H10304" s="1342"/>
      <c r="I10304" s="1342"/>
      <c r="J10304" s="1342"/>
      <c r="K10304" s="1342"/>
    </row>
    <row r="10305" spans="2:11" ht="14" hidden="1">
      <c r="B10305" s="1342"/>
      <c r="C10305" s="1342"/>
      <c r="D10305" s="1342"/>
      <c r="E10305" s="1342"/>
      <c r="F10305" s="1342"/>
      <c r="G10305" s="1342"/>
      <c r="H10305" s="1342"/>
      <c r="I10305" s="1342"/>
      <c r="J10305" s="1342"/>
      <c r="K10305" s="1342"/>
    </row>
    <row r="10306" spans="2:11" ht="14" hidden="1">
      <c r="B10306" s="1342"/>
      <c r="C10306" s="1342"/>
      <c r="D10306" s="1342"/>
      <c r="E10306" s="1342"/>
      <c r="F10306" s="1342"/>
      <c r="G10306" s="1342"/>
      <c r="H10306" s="1342"/>
      <c r="I10306" s="1342"/>
      <c r="J10306" s="1342"/>
      <c r="K10306" s="1342"/>
    </row>
    <row r="10307" spans="2:11" ht="14" hidden="1">
      <c r="B10307" s="1342"/>
      <c r="C10307" s="1342"/>
      <c r="D10307" s="1342"/>
      <c r="E10307" s="1342"/>
      <c r="F10307" s="1342"/>
      <c r="G10307" s="1342"/>
      <c r="H10307" s="1342"/>
      <c r="I10307" s="1342"/>
      <c r="J10307" s="1342"/>
      <c r="K10307" s="1342"/>
    </row>
    <row r="10308" spans="2:11" ht="14" hidden="1">
      <c r="B10308" s="1342"/>
      <c r="C10308" s="1342"/>
      <c r="D10308" s="1342"/>
      <c r="E10308" s="1342"/>
      <c r="F10308" s="1342"/>
      <c r="G10308" s="1342"/>
      <c r="H10308" s="1342"/>
      <c r="I10308" s="1342"/>
      <c r="J10308" s="1342"/>
      <c r="K10308" s="1342"/>
    </row>
    <row r="10309" spans="2:11" ht="14" hidden="1">
      <c r="B10309" s="1342"/>
      <c r="C10309" s="1342"/>
      <c r="D10309" s="1342"/>
      <c r="E10309" s="1342"/>
      <c r="F10309" s="1342"/>
      <c r="G10309" s="1342"/>
      <c r="H10309" s="1342"/>
      <c r="I10309" s="1342"/>
      <c r="J10309" s="1342"/>
      <c r="K10309" s="1342"/>
    </row>
    <row r="10310" spans="2:11" ht="14" hidden="1">
      <c r="B10310" s="1342"/>
      <c r="C10310" s="1342"/>
      <c r="D10310" s="1342"/>
      <c r="E10310" s="1342"/>
      <c r="F10310" s="1342"/>
      <c r="G10310" s="1342"/>
      <c r="H10310" s="1342"/>
      <c r="I10310" s="1342"/>
      <c r="J10310" s="1342"/>
      <c r="K10310" s="1342"/>
    </row>
    <row r="10311" spans="2:11" ht="14" hidden="1">
      <c r="B10311" s="1342"/>
      <c r="C10311" s="1342"/>
      <c r="D10311" s="1342"/>
      <c r="E10311" s="1342"/>
      <c r="F10311" s="1342"/>
      <c r="G10311" s="1342"/>
      <c r="H10311" s="1342"/>
      <c r="I10311" s="1342"/>
      <c r="J10311" s="1342"/>
      <c r="K10311" s="1342"/>
    </row>
    <row r="10312" spans="2:11" ht="14" hidden="1">
      <c r="B10312" s="1342"/>
      <c r="C10312" s="1342"/>
      <c r="D10312" s="1342"/>
      <c r="E10312" s="1342"/>
      <c r="F10312" s="1342"/>
      <c r="G10312" s="1342"/>
      <c r="H10312" s="1342"/>
      <c r="I10312" s="1342"/>
      <c r="J10312" s="1342"/>
      <c r="K10312" s="1342"/>
    </row>
    <row r="10313" spans="2:11" ht="14" hidden="1">
      <c r="B10313" s="1342"/>
      <c r="C10313" s="1342"/>
      <c r="D10313" s="1342"/>
      <c r="E10313" s="1342"/>
      <c r="F10313" s="1342"/>
      <c r="G10313" s="1342"/>
      <c r="H10313" s="1342"/>
      <c r="I10313" s="1342"/>
      <c r="J10313" s="1342"/>
      <c r="K10313" s="1342"/>
    </row>
    <row r="10314" spans="2:11" ht="14" hidden="1">
      <c r="B10314" s="1342"/>
      <c r="C10314" s="1342"/>
      <c r="D10314" s="1342"/>
      <c r="E10314" s="1342"/>
      <c r="F10314" s="1342"/>
      <c r="G10314" s="1342"/>
      <c r="H10314" s="1342"/>
      <c r="I10314" s="1342"/>
      <c r="J10314" s="1342"/>
      <c r="K10314" s="1342"/>
    </row>
    <row r="10315" spans="2:11" ht="14" hidden="1">
      <c r="B10315" s="1342"/>
      <c r="C10315" s="1342"/>
      <c r="D10315" s="1342"/>
      <c r="E10315" s="1342"/>
      <c r="F10315" s="1342"/>
      <c r="G10315" s="1342"/>
      <c r="H10315" s="1342"/>
      <c r="I10315" s="1342"/>
      <c r="J10315" s="1342"/>
      <c r="K10315" s="1342"/>
    </row>
    <row r="10316" spans="2:11" ht="14" hidden="1">
      <c r="B10316" s="1342"/>
      <c r="C10316" s="1342"/>
      <c r="D10316" s="1342"/>
      <c r="E10316" s="1342"/>
      <c r="F10316" s="1342"/>
      <c r="G10316" s="1342"/>
      <c r="H10316" s="1342"/>
      <c r="I10316" s="1342"/>
      <c r="J10316" s="1342"/>
      <c r="K10316" s="1342"/>
    </row>
    <row r="10317" spans="2:11" ht="14" hidden="1">
      <c r="B10317" s="1342"/>
      <c r="C10317" s="1342"/>
      <c r="D10317" s="1342"/>
      <c r="E10317" s="1342"/>
      <c r="F10317" s="1342"/>
      <c r="G10317" s="1342"/>
      <c r="H10317" s="1342"/>
      <c r="I10317" s="1342"/>
      <c r="J10317" s="1342"/>
      <c r="K10317" s="1342"/>
    </row>
    <row r="10318" spans="2:11" ht="14" hidden="1">
      <c r="B10318" s="1342"/>
      <c r="C10318" s="1342"/>
      <c r="D10318" s="1342"/>
      <c r="E10318" s="1342"/>
      <c r="F10318" s="1342"/>
      <c r="G10318" s="1342"/>
      <c r="H10318" s="1342"/>
      <c r="I10318" s="1342"/>
      <c r="J10318" s="1342"/>
      <c r="K10318" s="1342"/>
    </row>
    <row r="10319" spans="2:11" ht="14" hidden="1">
      <c r="B10319" s="1342"/>
      <c r="C10319" s="1342"/>
      <c r="D10319" s="1342"/>
      <c r="E10319" s="1342"/>
      <c r="F10319" s="1342"/>
      <c r="G10319" s="1342"/>
      <c r="H10319" s="1342"/>
      <c r="I10319" s="1342"/>
      <c r="J10319" s="1342"/>
      <c r="K10319" s="1342"/>
    </row>
    <row r="10320" spans="2:11" ht="14" hidden="1">
      <c r="B10320" s="1342"/>
      <c r="C10320" s="1342"/>
      <c r="D10320" s="1342"/>
      <c r="E10320" s="1342"/>
      <c r="F10320" s="1342"/>
      <c r="G10320" s="1342"/>
      <c r="H10320" s="1342"/>
      <c r="I10320" s="1342"/>
      <c r="J10320" s="1342"/>
      <c r="K10320" s="1342"/>
    </row>
    <row r="10321" spans="2:11" ht="14" hidden="1">
      <c r="B10321" s="1342"/>
      <c r="C10321" s="1342"/>
      <c r="D10321" s="1342"/>
      <c r="E10321" s="1342"/>
      <c r="F10321" s="1342"/>
      <c r="G10321" s="1342"/>
      <c r="H10321" s="1342"/>
      <c r="I10321" s="1342"/>
      <c r="J10321" s="1342"/>
      <c r="K10321" s="1342"/>
    </row>
    <row r="10322" spans="2:11" ht="14" hidden="1">
      <c r="B10322" s="1342"/>
      <c r="C10322" s="1342"/>
      <c r="D10322" s="1342"/>
      <c r="E10322" s="1342"/>
      <c r="F10322" s="1342"/>
      <c r="G10322" s="1342"/>
      <c r="H10322" s="1342"/>
      <c r="I10322" s="1342"/>
      <c r="J10322" s="1342"/>
      <c r="K10322" s="1342"/>
    </row>
    <row r="10323" spans="2:11" ht="14" hidden="1">
      <c r="B10323" s="1342"/>
      <c r="C10323" s="1342"/>
      <c r="D10323" s="1342"/>
      <c r="E10323" s="1342"/>
      <c r="F10323" s="1342"/>
      <c r="G10323" s="1342"/>
      <c r="H10323" s="1342"/>
      <c r="I10323" s="1342"/>
      <c r="J10323" s="1342"/>
      <c r="K10323" s="1342"/>
    </row>
    <row r="10324" spans="2:11" ht="14" hidden="1">
      <c r="B10324" s="1342"/>
      <c r="C10324" s="1342"/>
      <c r="D10324" s="1342"/>
      <c r="E10324" s="1342"/>
      <c r="F10324" s="1342"/>
      <c r="G10324" s="1342"/>
      <c r="H10324" s="1342"/>
      <c r="I10324" s="1342"/>
      <c r="J10324" s="1342"/>
      <c r="K10324" s="1342"/>
    </row>
    <row r="10325" spans="2:11" ht="14" hidden="1">
      <c r="B10325" s="1342"/>
      <c r="C10325" s="1342"/>
      <c r="D10325" s="1342"/>
      <c r="E10325" s="1342"/>
      <c r="F10325" s="1342"/>
      <c r="G10325" s="1342"/>
      <c r="H10325" s="1342"/>
      <c r="I10325" s="1342"/>
      <c r="J10325" s="1342"/>
      <c r="K10325" s="1342"/>
    </row>
    <row r="10326" spans="2:11" ht="14" hidden="1">
      <c r="B10326" s="1342"/>
      <c r="C10326" s="1342"/>
      <c r="D10326" s="1342"/>
      <c r="E10326" s="1342"/>
      <c r="F10326" s="1342"/>
      <c r="G10326" s="1342"/>
      <c r="H10326" s="1342"/>
      <c r="I10326" s="1342"/>
      <c r="J10326" s="1342"/>
      <c r="K10326" s="1342"/>
    </row>
    <row r="10327" spans="2:11" ht="14" hidden="1">
      <c r="B10327" s="1342"/>
      <c r="C10327" s="1342"/>
      <c r="D10327" s="1342"/>
      <c r="E10327" s="1342"/>
      <c r="F10327" s="1342"/>
      <c r="G10327" s="1342"/>
      <c r="H10327" s="1342"/>
      <c r="I10327" s="1342"/>
      <c r="J10327" s="1342"/>
      <c r="K10327" s="1342"/>
    </row>
    <row r="10328" spans="2:11" ht="14" hidden="1">
      <c r="B10328" s="1342"/>
      <c r="C10328" s="1342"/>
      <c r="D10328" s="1342"/>
      <c r="E10328" s="1342"/>
      <c r="F10328" s="1342"/>
      <c r="G10328" s="1342"/>
      <c r="H10328" s="1342"/>
      <c r="I10328" s="1342"/>
      <c r="J10328" s="1342"/>
      <c r="K10328" s="1342"/>
    </row>
    <row r="10329" spans="2:11" ht="14" hidden="1">
      <c r="B10329" s="1342"/>
      <c r="C10329" s="1342"/>
      <c r="D10329" s="1342"/>
      <c r="E10329" s="1342"/>
      <c r="F10329" s="1342"/>
      <c r="G10329" s="1342"/>
      <c r="H10329" s="1342"/>
      <c r="I10329" s="1342"/>
      <c r="J10329" s="1342"/>
      <c r="K10329" s="1342"/>
    </row>
    <row r="10330" spans="2:11" ht="14" hidden="1">
      <c r="B10330" s="1342"/>
      <c r="C10330" s="1342"/>
      <c r="D10330" s="1342"/>
      <c r="E10330" s="1342"/>
      <c r="F10330" s="1342"/>
      <c r="G10330" s="1342"/>
      <c r="H10330" s="1342"/>
      <c r="I10330" s="1342"/>
      <c r="J10330" s="1342"/>
      <c r="K10330" s="1342"/>
    </row>
    <row r="10331" spans="2:11" ht="14" hidden="1">
      <c r="B10331" s="1342"/>
      <c r="C10331" s="1342"/>
      <c r="D10331" s="1342"/>
      <c r="E10331" s="1342"/>
      <c r="F10331" s="1342"/>
      <c r="G10331" s="1342"/>
      <c r="H10331" s="1342"/>
      <c r="I10331" s="1342"/>
      <c r="J10331" s="1342"/>
      <c r="K10331" s="1342"/>
    </row>
    <row r="10332" spans="2:11" ht="14" hidden="1">
      <c r="B10332" s="1342"/>
      <c r="C10332" s="1342"/>
      <c r="D10332" s="1342"/>
      <c r="E10332" s="1342"/>
      <c r="F10332" s="1342"/>
      <c r="G10332" s="1342"/>
      <c r="H10332" s="1342"/>
      <c r="I10332" s="1342"/>
      <c r="J10332" s="1342"/>
      <c r="K10332" s="1342"/>
    </row>
    <row r="10333" spans="2:11" ht="14" hidden="1">
      <c r="B10333" s="1342"/>
      <c r="C10333" s="1342"/>
      <c r="D10333" s="1342"/>
      <c r="E10333" s="1342"/>
      <c r="F10333" s="1342"/>
      <c r="G10333" s="1342"/>
      <c r="H10333" s="1342"/>
      <c r="I10333" s="1342"/>
      <c r="J10333" s="1342"/>
      <c r="K10333" s="1342"/>
    </row>
    <row r="10334" spans="2:11" ht="14" hidden="1">
      <c r="B10334" s="1342"/>
      <c r="C10334" s="1342"/>
      <c r="D10334" s="1342"/>
      <c r="E10334" s="1342"/>
      <c r="F10334" s="1342"/>
      <c r="G10334" s="1342"/>
      <c r="H10334" s="1342"/>
      <c r="I10334" s="1342"/>
      <c r="J10334" s="1342"/>
      <c r="K10334" s="1342"/>
    </row>
    <row r="10335" spans="2:11" ht="14" hidden="1">
      <c r="B10335" s="1342"/>
      <c r="C10335" s="1342"/>
      <c r="D10335" s="1342"/>
      <c r="E10335" s="1342"/>
      <c r="F10335" s="1342"/>
      <c r="G10335" s="1342"/>
      <c r="H10335" s="1342"/>
      <c r="I10335" s="1342"/>
      <c r="J10335" s="1342"/>
      <c r="K10335" s="1342"/>
    </row>
    <row r="10336" spans="2:11" ht="14" hidden="1">
      <c r="B10336" s="1342"/>
      <c r="C10336" s="1342"/>
      <c r="D10336" s="1342"/>
      <c r="E10336" s="1342"/>
      <c r="F10336" s="1342"/>
      <c r="G10336" s="1342"/>
      <c r="H10336" s="1342"/>
      <c r="I10336" s="1342"/>
      <c r="J10336" s="1342"/>
      <c r="K10336" s="1342"/>
    </row>
    <row r="10337" spans="2:11" ht="14" hidden="1">
      <c r="B10337" s="1342"/>
      <c r="C10337" s="1342"/>
      <c r="D10337" s="1342"/>
      <c r="E10337" s="1342"/>
      <c r="F10337" s="1342"/>
      <c r="G10337" s="1342"/>
      <c r="H10337" s="1342"/>
      <c r="I10337" s="1342"/>
      <c r="J10337" s="1342"/>
      <c r="K10337" s="1342"/>
    </row>
    <row r="10338" spans="2:11" ht="14" hidden="1">
      <c r="B10338" s="1342"/>
      <c r="C10338" s="1342"/>
      <c r="D10338" s="1342"/>
      <c r="E10338" s="1342"/>
      <c r="F10338" s="1342"/>
      <c r="G10338" s="1342"/>
      <c r="H10338" s="1342"/>
      <c r="I10338" s="1342"/>
      <c r="J10338" s="1342"/>
      <c r="K10338" s="1342"/>
    </row>
    <row r="10339" spans="2:11" ht="14" hidden="1">
      <c r="B10339" s="1342"/>
      <c r="C10339" s="1342"/>
      <c r="D10339" s="1342"/>
      <c r="E10339" s="1342"/>
      <c r="F10339" s="1342"/>
      <c r="G10339" s="1342"/>
      <c r="H10339" s="1342"/>
      <c r="I10339" s="1342"/>
      <c r="J10339" s="1342"/>
      <c r="K10339" s="1342"/>
    </row>
    <row r="10340" spans="2:11" ht="14" hidden="1">
      <c r="B10340" s="1342"/>
      <c r="C10340" s="1342"/>
      <c r="D10340" s="1342"/>
      <c r="E10340" s="1342"/>
      <c r="F10340" s="1342"/>
      <c r="G10340" s="1342"/>
      <c r="H10340" s="1342"/>
      <c r="I10340" s="1342"/>
      <c r="J10340" s="1342"/>
      <c r="K10340" s="1342"/>
    </row>
    <row r="10341" spans="2:11" ht="14" hidden="1">
      <c r="B10341" s="1342"/>
      <c r="C10341" s="1342"/>
      <c r="D10341" s="1342"/>
      <c r="E10341" s="1342"/>
      <c r="F10341" s="1342"/>
      <c r="G10341" s="1342"/>
      <c r="H10341" s="1342"/>
      <c r="I10341" s="1342"/>
      <c r="J10341" s="1342"/>
      <c r="K10341" s="1342"/>
    </row>
    <row r="10342" spans="2:11" ht="14" hidden="1">
      <c r="B10342" s="1342"/>
      <c r="C10342" s="1342"/>
      <c r="D10342" s="1342"/>
      <c r="E10342" s="1342"/>
      <c r="F10342" s="1342"/>
      <c r="G10342" s="1342"/>
      <c r="H10342" s="1342"/>
      <c r="I10342" s="1342"/>
      <c r="J10342" s="1342"/>
      <c r="K10342" s="1342"/>
    </row>
    <row r="10343" spans="2:11" ht="14" hidden="1">
      <c r="B10343" s="1342"/>
      <c r="C10343" s="1342"/>
      <c r="D10343" s="1342"/>
      <c r="E10343" s="1342"/>
      <c r="F10343" s="1342"/>
      <c r="G10343" s="1342"/>
      <c r="H10343" s="1342"/>
      <c r="I10343" s="1342"/>
      <c r="J10343" s="1342"/>
      <c r="K10343" s="1342"/>
    </row>
    <row r="10344" spans="2:11" ht="14" hidden="1">
      <c r="B10344" s="1342"/>
      <c r="C10344" s="1342"/>
      <c r="D10344" s="1342"/>
      <c r="E10344" s="1342"/>
      <c r="F10344" s="1342"/>
      <c r="G10344" s="1342"/>
      <c r="H10344" s="1342"/>
      <c r="I10344" s="1342"/>
      <c r="J10344" s="1342"/>
      <c r="K10344" s="1342"/>
    </row>
    <row r="10345" spans="2:11" ht="14" hidden="1">
      <c r="B10345" s="1342"/>
      <c r="C10345" s="1342"/>
      <c r="D10345" s="1342"/>
      <c r="E10345" s="1342"/>
      <c r="F10345" s="1342"/>
      <c r="G10345" s="1342"/>
      <c r="H10345" s="1342"/>
      <c r="I10345" s="1342"/>
      <c r="J10345" s="1342"/>
      <c r="K10345" s="1342"/>
    </row>
    <row r="10346" spans="2:11" ht="14" hidden="1">
      <c r="B10346" s="1342"/>
      <c r="C10346" s="1342"/>
      <c r="D10346" s="1342"/>
      <c r="E10346" s="1342"/>
      <c r="F10346" s="1342"/>
      <c r="G10346" s="1342"/>
      <c r="H10346" s="1342"/>
      <c r="I10346" s="1342"/>
      <c r="J10346" s="1342"/>
      <c r="K10346" s="1342"/>
    </row>
    <row r="10347" spans="2:11" ht="14" hidden="1">
      <c r="B10347" s="1342"/>
      <c r="C10347" s="1342"/>
      <c r="D10347" s="1342"/>
      <c r="E10347" s="1342"/>
      <c r="F10347" s="1342"/>
      <c r="G10347" s="1342"/>
      <c r="H10347" s="1342"/>
      <c r="I10347" s="1342"/>
      <c r="J10347" s="1342"/>
      <c r="K10347" s="1342"/>
    </row>
    <row r="10348" spans="2:11" ht="14" hidden="1">
      <c r="B10348" s="1342"/>
      <c r="C10348" s="1342"/>
      <c r="D10348" s="1342"/>
      <c r="E10348" s="1342"/>
      <c r="F10348" s="1342"/>
      <c r="G10348" s="1342"/>
      <c r="H10348" s="1342"/>
      <c r="I10348" s="1342"/>
      <c r="J10348" s="1342"/>
      <c r="K10348" s="1342"/>
    </row>
    <row r="10349" spans="2:11" ht="14" hidden="1">
      <c r="B10349" s="1342"/>
      <c r="C10349" s="1342"/>
      <c r="D10349" s="1342"/>
      <c r="E10349" s="1342"/>
      <c r="F10349" s="1342"/>
      <c r="G10349" s="1342"/>
      <c r="H10349" s="1342"/>
      <c r="I10349" s="1342"/>
      <c r="J10349" s="1342"/>
      <c r="K10349" s="1342"/>
    </row>
    <row r="10350" spans="2:11" ht="14" hidden="1">
      <c r="B10350" s="1342"/>
      <c r="C10350" s="1342"/>
      <c r="D10350" s="1342"/>
      <c r="E10350" s="1342"/>
      <c r="F10350" s="1342"/>
      <c r="G10350" s="1342"/>
      <c r="H10350" s="1342"/>
      <c r="I10350" s="1342"/>
      <c r="J10350" s="1342"/>
      <c r="K10350" s="1342"/>
    </row>
    <row r="10351" spans="2:11" ht="14" hidden="1">
      <c r="B10351" s="1342"/>
      <c r="C10351" s="1342"/>
      <c r="D10351" s="1342"/>
      <c r="E10351" s="1342"/>
      <c r="F10351" s="1342"/>
      <c r="G10351" s="1342"/>
      <c r="H10351" s="1342"/>
      <c r="I10351" s="1342"/>
      <c r="J10351" s="1342"/>
      <c r="K10351" s="1342"/>
    </row>
    <row r="10352" spans="2:11" ht="14" hidden="1">
      <c r="B10352" s="1342"/>
      <c r="C10352" s="1342"/>
      <c r="D10352" s="1342"/>
      <c r="E10352" s="1342"/>
      <c r="F10352" s="1342"/>
      <c r="G10352" s="1342"/>
      <c r="H10352" s="1342"/>
      <c r="I10352" s="1342"/>
      <c r="J10352" s="1342"/>
      <c r="K10352" s="1342"/>
    </row>
    <row r="10353" spans="2:11" ht="14" hidden="1">
      <c r="B10353" s="1342"/>
      <c r="C10353" s="1342"/>
      <c r="D10353" s="1342"/>
      <c r="E10353" s="1342"/>
      <c r="F10353" s="1342"/>
      <c r="G10353" s="1342"/>
      <c r="H10353" s="1342"/>
      <c r="I10353" s="1342"/>
      <c r="J10353" s="1342"/>
      <c r="K10353" s="1342"/>
    </row>
    <row r="10354" spans="2:11" ht="14" hidden="1">
      <c r="B10354" s="1342"/>
      <c r="C10354" s="1342"/>
      <c r="D10354" s="1342"/>
      <c r="E10354" s="1342"/>
      <c r="F10354" s="1342"/>
      <c r="G10354" s="1342"/>
      <c r="H10354" s="1342"/>
      <c r="I10354" s="1342"/>
      <c r="J10354" s="1342"/>
      <c r="K10354" s="1342"/>
    </row>
    <row r="10355" spans="2:11" ht="14" hidden="1">
      <c r="B10355" s="1342"/>
      <c r="C10355" s="1342"/>
      <c r="D10355" s="1342"/>
      <c r="E10355" s="1342"/>
      <c r="F10355" s="1342"/>
      <c r="G10355" s="1342"/>
      <c r="H10355" s="1342"/>
      <c r="I10355" s="1342"/>
      <c r="J10355" s="1342"/>
      <c r="K10355" s="1342"/>
    </row>
    <row r="10356" spans="2:11" ht="14" hidden="1">
      <c r="B10356" s="1342"/>
      <c r="C10356" s="1342"/>
      <c r="D10356" s="1342"/>
      <c r="E10356" s="1342"/>
      <c r="F10356" s="1342"/>
      <c r="G10356" s="1342"/>
      <c r="H10356" s="1342"/>
      <c r="I10356" s="1342"/>
      <c r="J10356" s="1342"/>
      <c r="K10356" s="1342"/>
    </row>
    <row r="10357" spans="2:11" ht="14" hidden="1">
      <c r="B10357" s="1342"/>
      <c r="C10357" s="1342"/>
      <c r="D10357" s="1342"/>
      <c r="E10357" s="1342"/>
      <c r="F10357" s="1342"/>
      <c r="G10357" s="1342"/>
      <c r="H10357" s="1342"/>
      <c r="I10357" s="1342"/>
      <c r="J10357" s="1342"/>
      <c r="K10357" s="1342"/>
    </row>
    <row r="10358" spans="2:11" ht="14" hidden="1">
      <c r="B10358" s="1342"/>
      <c r="C10358" s="1342"/>
      <c r="D10358" s="1342"/>
      <c r="E10358" s="1342"/>
      <c r="F10358" s="1342"/>
      <c r="G10358" s="1342"/>
      <c r="H10358" s="1342"/>
      <c r="I10358" s="1342"/>
      <c r="J10358" s="1342"/>
      <c r="K10358" s="1342"/>
    </row>
    <row r="10359" spans="2:11" ht="14" hidden="1">
      <c r="B10359" s="1342"/>
      <c r="C10359" s="1342"/>
      <c r="D10359" s="1342"/>
      <c r="E10359" s="1342"/>
      <c r="F10359" s="1342"/>
      <c r="G10359" s="1342"/>
      <c r="H10359" s="1342"/>
      <c r="I10359" s="1342"/>
      <c r="J10359" s="1342"/>
      <c r="K10359" s="1342"/>
    </row>
    <row r="10360" spans="2:11" ht="14" hidden="1">
      <c r="B10360" s="1342"/>
      <c r="C10360" s="1342"/>
      <c r="D10360" s="1342"/>
      <c r="E10360" s="1342"/>
      <c r="F10360" s="1342"/>
      <c r="G10360" s="1342"/>
      <c r="H10360" s="1342"/>
      <c r="I10360" s="1342"/>
      <c r="J10360" s="1342"/>
      <c r="K10360" s="1342"/>
    </row>
    <row r="10361" spans="2:11" ht="14" hidden="1">
      <c r="B10361" s="1342"/>
      <c r="C10361" s="1342"/>
      <c r="D10361" s="1342"/>
      <c r="E10361" s="1342"/>
      <c r="F10361" s="1342"/>
      <c r="G10361" s="1342"/>
      <c r="H10361" s="1342"/>
      <c r="I10361" s="1342"/>
      <c r="J10361" s="1342"/>
      <c r="K10361" s="1342"/>
    </row>
    <row r="10362" spans="2:11" ht="14" hidden="1">
      <c r="B10362" s="1342"/>
      <c r="C10362" s="1342"/>
      <c r="D10362" s="1342"/>
      <c r="E10362" s="1342"/>
      <c r="F10362" s="1342"/>
      <c r="G10362" s="1342"/>
      <c r="H10362" s="1342"/>
      <c r="I10362" s="1342"/>
      <c r="J10362" s="1342"/>
      <c r="K10362" s="1342"/>
    </row>
    <row r="10363" spans="2:11" ht="14" hidden="1">
      <c r="B10363" s="1342"/>
      <c r="C10363" s="1342"/>
      <c r="D10363" s="1342"/>
      <c r="E10363" s="1342"/>
      <c r="F10363" s="1342"/>
      <c r="G10363" s="1342"/>
      <c r="H10363" s="1342"/>
      <c r="I10363" s="1342"/>
      <c r="J10363" s="1342"/>
      <c r="K10363" s="1342"/>
    </row>
    <row r="10364" spans="2:11" ht="14" hidden="1">
      <c r="B10364" s="1342"/>
      <c r="C10364" s="1342"/>
      <c r="D10364" s="1342"/>
      <c r="E10364" s="1342"/>
      <c r="F10364" s="1342"/>
      <c r="G10364" s="1342"/>
      <c r="H10364" s="1342"/>
      <c r="I10364" s="1342"/>
      <c r="J10364" s="1342"/>
      <c r="K10364" s="1342"/>
    </row>
    <row r="10365" spans="2:11" ht="14" hidden="1">
      <c r="B10365" s="1342"/>
      <c r="C10365" s="1342"/>
      <c r="D10365" s="1342"/>
      <c r="E10365" s="1342"/>
      <c r="F10365" s="1342"/>
      <c r="G10365" s="1342"/>
      <c r="H10365" s="1342"/>
      <c r="I10365" s="1342"/>
      <c r="J10365" s="1342"/>
      <c r="K10365" s="1342"/>
    </row>
    <row r="10366" spans="2:11" ht="14" hidden="1">
      <c r="B10366" s="1342"/>
      <c r="C10366" s="1342"/>
      <c r="D10366" s="1342"/>
      <c r="E10366" s="1342"/>
      <c r="F10366" s="1342"/>
      <c r="G10366" s="1342"/>
      <c r="H10366" s="1342"/>
      <c r="I10366" s="1342"/>
      <c r="J10366" s="1342"/>
      <c r="K10366" s="1342"/>
    </row>
    <row r="10367" spans="2:11" ht="14" hidden="1">
      <c r="B10367" s="1342"/>
      <c r="C10367" s="1342"/>
      <c r="D10367" s="1342"/>
      <c r="E10367" s="1342"/>
      <c r="F10367" s="1342"/>
      <c r="G10367" s="1342"/>
      <c r="H10367" s="1342"/>
      <c r="I10367" s="1342"/>
      <c r="J10367" s="1342"/>
      <c r="K10367" s="1342"/>
    </row>
    <row r="10368" spans="2:11" ht="14" hidden="1">
      <c r="B10368" s="1342"/>
      <c r="C10368" s="1342"/>
      <c r="D10368" s="1342"/>
      <c r="E10368" s="1342"/>
      <c r="F10368" s="1342"/>
      <c r="G10368" s="1342"/>
      <c r="H10368" s="1342"/>
      <c r="I10368" s="1342"/>
      <c r="J10368" s="1342"/>
      <c r="K10368" s="1342"/>
    </row>
    <row r="10369" spans="2:11" ht="14" hidden="1">
      <c r="B10369" s="1342"/>
      <c r="C10369" s="1342"/>
      <c r="D10369" s="1342"/>
      <c r="E10369" s="1342"/>
      <c r="F10369" s="1342"/>
      <c r="G10369" s="1342"/>
      <c r="H10369" s="1342"/>
      <c r="I10369" s="1342"/>
      <c r="J10369" s="1342"/>
      <c r="K10369" s="1342"/>
    </row>
    <row r="10370" spans="2:11" ht="14" hidden="1">
      <c r="B10370" s="1342"/>
      <c r="C10370" s="1342"/>
      <c r="D10370" s="1342"/>
      <c r="E10370" s="1342"/>
      <c r="F10370" s="1342"/>
      <c r="G10370" s="1342"/>
      <c r="H10370" s="1342"/>
      <c r="I10370" s="1342"/>
      <c r="J10370" s="1342"/>
      <c r="K10370" s="1342"/>
    </row>
    <row r="10371" spans="2:11" ht="14" hidden="1">
      <c r="B10371" s="1342"/>
      <c r="C10371" s="1342"/>
      <c r="D10371" s="1342"/>
      <c r="E10371" s="1342"/>
      <c r="F10371" s="1342"/>
      <c r="G10371" s="1342"/>
      <c r="H10371" s="1342"/>
      <c r="I10371" s="1342"/>
      <c r="J10371" s="1342"/>
      <c r="K10371" s="1342"/>
    </row>
    <row r="10372" spans="2:11" ht="14" hidden="1">
      <c r="B10372" s="1342"/>
      <c r="C10372" s="1342"/>
      <c r="D10372" s="1342"/>
      <c r="E10372" s="1342"/>
      <c r="F10372" s="1342"/>
      <c r="G10372" s="1342"/>
      <c r="H10372" s="1342"/>
      <c r="I10372" s="1342"/>
      <c r="J10372" s="1342"/>
      <c r="K10372" s="1342"/>
    </row>
    <row r="10373" spans="2:11" ht="14" hidden="1">
      <c r="B10373" s="1342"/>
      <c r="C10373" s="1342"/>
      <c r="D10373" s="1342"/>
      <c r="E10373" s="1342"/>
      <c r="F10373" s="1342"/>
      <c r="G10373" s="1342"/>
      <c r="H10373" s="1342"/>
      <c r="I10373" s="1342"/>
      <c r="J10373" s="1342"/>
      <c r="K10373" s="1342"/>
    </row>
    <row r="10374" spans="2:11" ht="14" hidden="1">
      <c r="B10374" s="1342"/>
      <c r="C10374" s="1342"/>
      <c r="D10374" s="1342"/>
      <c r="E10374" s="1342"/>
      <c r="F10374" s="1342"/>
      <c r="G10374" s="1342"/>
      <c r="H10374" s="1342"/>
      <c r="I10374" s="1342"/>
      <c r="J10374" s="1342"/>
      <c r="K10374" s="1342"/>
    </row>
    <row r="10375" spans="2:11" ht="14" hidden="1">
      <c r="B10375" s="1342"/>
      <c r="C10375" s="1342"/>
      <c r="D10375" s="1342"/>
      <c r="E10375" s="1342"/>
      <c r="F10375" s="1342"/>
      <c r="G10375" s="1342"/>
      <c r="H10375" s="1342"/>
      <c r="I10375" s="1342"/>
      <c r="J10375" s="1342"/>
      <c r="K10375" s="1342"/>
    </row>
    <row r="10376" spans="2:11" ht="14" hidden="1">
      <c r="B10376" s="1342"/>
      <c r="C10376" s="1342"/>
      <c r="D10376" s="1342"/>
      <c r="E10376" s="1342"/>
      <c r="F10376" s="1342"/>
      <c r="G10376" s="1342"/>
      <c r="H10376" s="1342"/>
      <c r="I10376" s="1342"/>
      <c r="J10376" s="1342"/>
      <c r="K10376" s="1342"/>
    </row>
    <row r="10377" spans="2:11" ht="14" hidden="1">
      <c r="B10377" s="1342"/>
      <c r="C10377" s="1342"/>
      <c r="D10377" s="1342"/>
      <c r="E10377" s="1342"/>
      <c r="F10377" s="1342"/>
      <c r="G10377" s="1342"/>
      <c r="H10377" s="1342"/>
      <c r="I10377" s="1342"/>
      <c r="J10377" s="1342"/>
      <c r="K10377" s="1342"/>
    </row>
    <row r="10378" spans="2:11" ht="14" hidden="1">
      <c r="B10378" s="1342"/>
      <c r="C10378" s="1342"/>
      <c r="D10378" s="1342"/>
      <c r="E10378" s="1342"/>
      <c r="F10378" s="1342"/>
      <c r="G10378" s="1342"/>
      <c r="H10378" s="1342"/>
      <c r="I10378" s="1342"/>
      <c r="J10378" s="1342"/>
      <c r="K10378" s="1342"/>
    </row>
    <row r="10379" spans="2:11" ht="14" hidden="1">
      <c r="B10379" s="1342"/>
      <c r="C10379" s="1342"/>
      <c r="D10379" s="1342"/>
      <c r="E10379" s="1342"/>
      <c r="F10379" s="1342"/>
      <c r="G10379" s="1342"/>
      <c r="H10379" s="1342"/>
      <c r="I10379" s="1342"/>
      <c r="J10379" s="1342"/>
      <c r="K10379" s="1342"/>
    </row>
    <row r="10380" spans="2:11" ht="14" hidden="1">
      <c r="B10380" s="1342"/>
      <c r="C10380" s="1342"/>
      <c r="D10380" s="1342"/>
      <c r="E10380" s="1342"/>
      <c r="F10380" s="1342"/>
      <c r="G10380" s="1342"/>
      <c r="H10380" s="1342"/>
      <c r="I10380" s="1342"/>
      <c r="J10380" s="1342"/>
      <c r="K10380" s="1342"/>
    </row>
    <row r="10381" spans="2:11" ht="14" hidden="1">
      <c r="B10381" s="1342"/>
      <c r="C10381" s="1342"/>
      <c r="D10381" s="1342"/>
      <c r="E10381" s="1342"/>
      <c r="F10381" s="1342"/>
      <c r="G10381" s="1342"/>
      <c r="H10381" s="1342"/>
      <c r="I10381" s="1342"/>
      <c r="J10381" s="1342"/>
      <c r="K10381" s="1342"/>
    </row>
    <row r="10382" spans="2:11" ht="14" hidden="1">
      <c r="B10382" s="1342"/>
      <c r="C10382" s="1342"/>
      <c r="D10382" s="1342"/>
      <c r="E10382" s="1342"/>
      <c r="F10382" s="1342"/>
      <c r="G10382" s="1342"/>
      <c r="H10382" s="1342"/>
      <c r="I10382" s="1342"/>
      <c r="J10382" s="1342"/>
      <c r="K10382" s="1342"/>
    </row>
    <row r="10383" spans="2:11" ht="14" hidden="1">
      <c r="B10383" s="1342"/>
      <c r="C10383" s="1342"/>
      <c r="D10383" s="1342"/>
      <c r="E10383" s="1342"/>
      <c r="F10383" s="1342"/>
      <c r="G10383" s="1342"/>
      <c r="H10383" s="1342"/>
      <c r="I10383" s="1342"/>
      <c r="J10383" s="1342"/>
      <c r="K10383" s="1342"/>
    </row>
    <row r="10384" spans="2:11" ht="14" hidden="1">
      <c r="B10384" s="1342"/>
      <c r="C10384" s="1342"/>
      <c r="D10384" s="1342"/>
      <c r="E10384" s="1342"/>
      <c r="F10384" s="1342"/>
      <c r="G10384" s="1342"/>
      <c r="H10384" s="1342"/>
      <c r="I10384" s="1342"/>
      <c r="J10384" s="1342"/>
      <c r="K10384" s="1342"/>
    </row>
    <row r="10385" spans="2:11" ht="14" hidden="1">
      <c r="B10385" s="1342"/>
      <c r="C10385" s="1342"/>
      <c r="D10385" s="1342"/>
      <c r="E10385" s="1342"/>
      <c r="F10385" s="1342"/>
      <c r="G10385" s="1342"/>
      <c r="H10385" s="1342"/>
      <c r="I10385" s="1342"/>
      <c r="J10385" s="1342"/>
      <c r="K10385" s="1342"/>
    </row>
    <row r="10386" spans="2:11" ht="14" hidden="1">
      <c r="B10386" s="1342"/>
      <c r="C10386" s="1342"/>
      <c r="D10386" s="1342"/>
      <c r="E10386" s="1342"/>
      <c r="F10386" s="1342"/>
      <c r="G10386" s="1342"/>
      <c r="H10386" s="1342"/>
      <c r="I10386" s="1342"/>
      <c r="J10386" s="1342"/>
      <c r="K10386" s="1342"/>
    </row>
    <row r="10387" spans="2:11" ht="14" hidden="1">
      <c r="B10387" s="1342"/>
      <c r="C10387" s="1342"/>
      <c r="D10387" s="1342"/>
      <c r="E10387" s="1342"/>
      <c r="F10387" s="1342"/>
      <c r="G10387" s="1342"/>
      <c r="H10387" s="1342"/>
      <c r="I10387" s="1342"/>
      <c r="J10387" s="1342"/>
      <c r="K10387" s="1342"/>
    </row>
    <row r="10388" spans="2:11" ht="14" hidden="1">
      <c r="B10388" s="1342"/>
      <c r="C10388" s="1342"/>
      <c r="D10388" s="1342"/>
      <c r="E10388" s="1342"/>
      <c r="F10388" s="1342"/>
      <c r="G10388" s="1342"/>
      <c r="H10388" s="1342"/>
      <c r="I10388" s="1342"/>
      <c r="J10388" s="1342"/>
      <c r="K10388" s="1342"/>
    </row>
    <row r="10389" spans="2:11" ht="14" hidden="1">
      <c r="B10389" s="1342"/>
      <c r="C10389" s="1342"/>
      <c r="D10389" s="1342"/>
      <c r="E10389" s="1342"/>
      <c r="F10389" s="1342"/>
      <c r="G10389" s="1342"/>
      <c r="H10389" s="1342"/>
      <c r="I10389" s="1342"/>
      <c r="J10389" s="1342"/>
      <c r="K10389" s="1342"/>
    </row>
    <row r="10390" spans="2:11" ht="14" hidden="1">
      <c r="B10390" s="1342"/>
      <c r="C10390" s="1342"/>
      <c r="D10390" s="1342"/>
      <c r="E10390" s="1342"/>
      <c r="F10390" s="1342"/>
      <c r="G10390" s="1342"/>
      <c r="H10390" s="1342"/>
      <c r="I10390" s="1342"/>
      <c r="J10390" s="1342"/>
      <c r="K10390" s="1342"/>
    </row>
    <row r="10391" spans="2:11" ht="14" hidden="1">
      <c r="B10391" s="1342"/>
      <c r="C10391" s="1342"/>
      <c r="D10391" s="1342"/>
      <c r="E10391" s="1342"/>
      <c r="F10391" s="1342"/>
      <c r="G10391" s="1342"/>
      <c r="H10391" s="1342"/>
      <c r="I10391" s="1342"/>
      <c r="J10391" s="1342"/>
      <c r="K10391" s="1342"/>
    </row>
    <row r="10392" spans="2:11" ht="14" hidden="1">
      <c r="B10392" s="1342"/>
      <c r="C10392" s="1342"/>
      <c r="D10392" s="1342"/>
      <c r="E10392" s="1342"/>
      <c r="F10392" s="1342"/>
      <c r="G10392" s="1342"/>
      <c r="H10392" s="1342"/>
      <c r="I10392" s="1342"/>
      <c r="J10392" s="1342"/>
      <c r="K10392" s="1342"/>
    </row>
    <row r="10393" spans="2:11" ht="14" hidden="1">
      <c r="B10393" s="1342"/>
      <c r="C10393" s="1342"/>
      <c r="D10393" s="1342"/>
      <c r="E10393" s="1342"/>
      <c r="F10393" s="1342"/>
      <c r="G10393" s="1342"/>
      <c r="H10393" s="1342"/>
      <c r="I10393" s="1342"/>
      <c r="J10393" s="1342"/>
      <c r="K10393" s="1342"/>
    </row>
    <row r="10394" spans="2:11" ht="14" hidden="1">
      <c r="B10394" s="1342"/>
      <c r="C10394" s="1342"/>
      <c r="D10394" s="1342"/>
      <c r="E10394" s="1342"/>
      <c r="F10394" s="1342"/>
      <c r="G10394" s="1342"/>
      <c r="H10394" s="1342"/>
      <c r="I10394" s="1342"/>
      <c r="J10394" s="1342"/>
      <c r="K10394" s="1342"/>
    </row>
    <row r="10395" spans="2:11" ht="14" hidden="1">
      <c r="B10395" s="1342"/>
      <c r="C10395" s="1342"/>
      <c r="D10395" s="1342"/>
      <c r="E10395" s="1342"/>
      <c r="F10395" s="1342"/>
      <c r="G10395" s="1342"/>
      <c r="H10395" s="1342"/>
      <c r="I10395" s="1342"/>
      <c r="J10395" s="1342"/>
      <c r="K10395" s="1342"/>
    </row>
    <row r="10396" spans="2:11" ht="14" hidden="1">
      <c r="B10396" s="1342"/>
      <c r="C10396" s="1342"/>
      <c r="D10396" s="1342"/>
      <c r="E10396" s="1342"/>
      <c r="F10396" s="1342"/>
      <c r="G10396" s="1342"/>
      <c r="H10396" s="1342"/>
      <c r="I10396" s="1342"/>
      <c r="J10396" s="1342"/>
      <c r="K10396" s="1342"/>
    </row>
    <row r="10397" spans="2:11" ht="14" hidden="1">
      <c r="B10397" s="1342"/>
      <c r="C10397" s="1342"/>
      <c r="D10397" s="1342"/>
      <c r="E10397" s="1342"/>
      <c r="F10397" s="1342"/>
      <c r="G10397" s="1342"/>
      <c r="H10397" s="1342"/>
      <c r="I10397" s="1342"/>
      <c r="J10397" s="1342"/>
      <c r="K10397" s="1342"/>
    </row>
    <row r="10398" spans="2:11" ht="14" hidden="1">
      <c r="B10398" s="1342"/>
      <c r="C10398" s="1342"/>
      <c r="D10398" s="1342"/>
      <c r="E10398" s="1342"/>
      <c r="F10398" s="1342"/>
      <c r="G10398" s="1342"/>
      <c r="H10398" s="1342"/>
      <c r="I10398" s="1342"/>
      <c r="J10398" s="1342"/>
      <c r="K10398" s="1342"/>
    </row>
    <row r="10399" spans="2:11" ht="14" hidden="1">
      <c r="B10399" s="1342"/>
      <c r="C10399" s="1342"/>
      <c r="D10399" s="1342"/>
      <c r="E10399" s="1342"/>
      <c r="F10399" s="1342"/>
      <c r="G10399" s="1342"/>
      <c r="H10399" s="1342"/>
      <c r="I10399" s="1342"/>
      <c r="J10399" s="1342"/>
      <c r="K10399" s="1342"/>
    </row>
    <row r="10400" spans="2:11" ht="14" hidden="1">
      <c r="B10400" s="1342"/>
      <c r="C10400" s="1342"/>
      <c r="D10400" s="1342"/>
      <c r="E10400" s="1342"/>
      <c r="F10400" s="1342"/>
      <c r="G10400" s="1342"/>
      <c r="H10400" s="1342"/>
      <c r="I10400" s="1342"/>
      <c r="J10400" s="1342"/>
      <c r="K10400" s="1342"/>
    </row>
    <row r="10401" spans="2:11" ht="14" hidden="1">
      <c r="B10401" s="1342"/>
      <c r="C10401" s="1342"/>
      <c r="D10401" s="1342"/>
      <c r="E10401" s="1342"/>
      <c r="F10401" s="1342"/>
      <c r="G10401" s="1342"/>
      <c r="H10401" s="1342"/>
      <c r="I10401" s="1342"/>
      <c r="J10401" s="1342"/>
      <c r="K10401" s="1342"/>
    </row>
    <row r="10402" spans="2:11" ht="14" hidden="1">
      <c r="B10402" s="1342"/>
      <c r="C10402" s="1342"/>
      <c r="D10402" s="1342"/>
      <c r="E10402" s="1342"/>
      <c r="F10402" s="1342"/>
      <c r="G10402" s="1342"/>
      <c r="H10402" s="1342"/>
      <c r="I10402" s="1342"/>
      <c r="J10402" s="1342"/>
      <c r="K10402" s="1342"/>
    </row>
    <row r="10403" spans="2:11" ht="14" hidden="1">
      <c r="B10403" s="1342"/>
      <c r="C10403" s="1342"/>
      <c r="D10403" s="1342"/>
      <c r="E10403" s="1342"/>
      <c r="F10403" s="1342"/>
      <c r="G10403" s="1342"/>
      <c r="H10403" s="1342"/>
      <c r="I10403" s="1342"/>
      <c r="J10403" s="1342"/>
      <c r="K10403" s="1342"/>
    </row>
    <row r="10404" spans="2:11" ht="14" hidden="1">
      <c r="B10404" s="1342"/>
      <c r="C10404" s="1342"/>
      <c r="D10404" s="1342"/>
      <c r="E10404" s="1342"/>
      <c r="F10404" s="1342"/>
      <c r="G10404" s="1342"/>
      <c r="H10404" s="1342"/>
      <c r="I10404" s="1342"/>
      <c r="J10404" s="1342"/>
      <c r="K10404" s="1342"/>
    </row>
    <row r="10405" spans="2:11" ht="14" hidden="1">
      <c r="B10405" s="1342"/>
      <c r="C10405" s="1342"/>
      <c r="D10405" s="1342"/>
      <c r="E10405" s="1342"/>
      <c r="F10405" s="1342"/>
      <c r="G10405" s="1342"/>
      <c r="H10405" s="1342"/>
      <c r="I10405" s="1342"/>
      <c r="J10405" s="1342"/>
      <c r="K10405" s="1342"/>
    </row>
    <row r="10406" spans="2:11" ht="14" hidden="1">
      <c r="B10406" s="1342"/>
      <c r="C10406" s="1342"/>
      <c r="D10406" s="1342"/>
      <c r="E10406" s="1342"/>
      <c r="F10406" s="1342"/>
      <c r="G10406" s="1342"/>
      <c r="H10406" s="1342"/>
      <c r="I10406" s="1342"/>
      <c r="J10406" s="1342"/>
      <c r="K10406" s="1342"/>
    </row>
    <row r="10407" spans="2:11" ht="14" hidden="1">
      <c r="B10407" s="1342"/>
      <c r="C10407" s="1342"/>
      <c r="D10407" s="1342"/>
      <c r="E10407" s="1342"/>
      <c r="F10407" s="1342"/>
      <c r="G10407" s="1342"/>
      <c r="H10407" s="1342"/>
      <c r="I10407" s="1342"/>
      <c r="J10407" s="1342"/>
      <c r="K10407" s="1342"/>
    </row>
    <row r="10408" spans="2:11" ht="14" hidden="1">
      <c r="B10408" s="1342"/>
      <c r="C10408" s="1342"/>
      <c r="D10408" s="1342"/>
      <c r="E10408" s="1342"/>
      <c r="F10408" s="1342"/>
      <c r="G10408" s="1342"/>
      <c r="H10408" s="1342"/>
      <c r="I10408" s="1342"/>
      <c r="J10408" s="1342"/>
      <c r="K10408" s="1342"/>
    </row>
    <row r="10409" spans="2:11" ht="14" hidden="1">
      <c r="B10409" s="1342"/>
      <c r="C10409" s="1342"/>
      <c r="D10409" s="1342"/>
      <c r="E10409" s="1342"/>
      <c r="F10409" s="1342"/>
      <c r="G10409" s="1342"/>
      <c r="H10409" s="1342"/>
      <c r="I10409" s="1342"/>
      <c r="J10409" s="1342"/>
      <c r="K10409" s="1342"/>
    </row>
    <row r="10410" spans="2:11" ht="14" hidden="1">
      <c r="B10410" s="1342"/>
      <c r="C10410" s="1342"/>
      <c r="D10410" s="1342"/>
      <c r="E10410" s="1342"/>
      <c r="F10410" s="1342"/>
      <c r="G10410" s="1342"/>
      <c r="H10410" s="1342"/>
      <c r="I10410" s="1342"/>
      <c r="J10410" s="1342"/>
      <c r="K10410" s="1342"/>
    </row>
    <row r="10411" spans="2:11" ht="14" hidden="1">
      <c r="B10411" s="1342"/>
      <c r="C10411" s="1342"/>
      <c r="D10411" s="1342"/>
      <c r="E10411" s="1342"/>
      <c r="F10411" s="1342"/>
      <c r="G10411" s="1342"/>
      <c r="H10411" s="1342"/>
      <c r="I10411" s="1342"/>
      <c r="J10411" s="1342"/>
      <c r="K10411" s="1342"/>
    </row>
    <row r="10412" spans="2:11" ht="14" hidden="1">
      <c r="B10412" s="1342"/>
      <c r="C10412" s="1342"/>
      <c r="D10412" s="1342"/>
      <c r="E10412" s="1342"/>
      <c r="F10412" s="1342"/>
      <c r="G10412" s="1342"/>
      <c r="H10412" s="1342"/>
      <c r="I10412" s="1342"/>
      <c r="J10412" s="1342"/>
      <c r="K10412" s="1342"/>
    </row>
    <row r="10413" spans="2:11" ht="14" hidden="1">
      <c r="B10413" s="1342"/>
      <c r="C10413" s="1342"/>
      <c r="D10413" s="1342"/>
      <c r="E10413" s="1342"/>
      <c r="F10413" s="1342"/>
      <c r="G10413" s="1342"/>
      <c r="H10413" s="1342"/>
      <c r="I10413" s="1342"/>
      <c r="J10413" s="1342"/>
      <c r="K10413" s="1342"/>
    </row>
    <row r="10414" spans="2:11" ht="14" hidden="1">
      <c r="B10414" s="1342"/>
      <c r="C10414" s="1342"/>
      <c r="D10414" s="1342"/>
      <c r="E10414" s="1342"/>
      <c r="F10414" s="1342"/>
      <c r="G10414" s="1342"/>
      <c r="H10414" s="1342"/>
      <c r="I10414" s="1342"/>
      <c r="J10414" s="1342"/>
      <c r="K10414" s="1342"/>
    </row>
    <row r="10415" spans="2:11" ht="14" hidden="1">
      <c r="B10415" s="1342"/>
      <c r="C10415" s="1342"/>
      <c r="D10415" s="1342"/>
      <c r="E10415" s="1342"/>
      <c r="F10415" s="1342"/>
      <c r="G10415" s="1342"/>
      <c r="H10415" s="1342"/>
      <c r="I10415" s="1342"/>
      <c r="J10415" s="1342"/>
      <c r="K10415" s="1342"/>
    </row>
    <row r="10416" spans="2:11" ht="14" hidden="1">
      <c r="B10416" s="1342"/>
      <c r="C10416" s="1342"/>
      <c r="D10416" s="1342"/>
      <c r="E10416" s="1342"/>
      <c r="F10416" s="1342"/>
      <c r="G10416" s="1342"/>
      <c r="H10416" s="1342"/>
      <c r="I10416" s="1342"/>
      <c r="J10416" s="1342"/>
      <c r="K10416" s="1342"/>
    </row>
    <row r="10417" spans="2:11" ht="14" hidden="1">
      <c r="B10417" s="1342"/>
      <c r="C10417" s="1342"/>
      <c r="D10417" s="1342"/>
      <c r="E10417" s="1342"/>
      <c r="F10417" s="1342"/>
      <c r="G10417" s="1342"/>
      <c r="H10417" s="1342"/>
      <c r="I10417" s="1342"/>
      <c r="J10417" s="1342"/>
      <c r="K10417" s="1342"/>
    </row>
    <row r="10418" spans="2:11" ht="14" hidden="1">
      <c r="B10418" s="1342"/>
      <c r="C10418" s="1342"/>
      <c r="D10418" s="1342"/>
      <c r="E10418" s="1342"/>
      <c r="F10418" s="1342"/>
      <c r="G10418" s="1342"/>
      <c r="H10418" s="1342"/>
      <c r="I10418" s="1342"/>
      <c r="J10418" s="1342"/>
      <c r="K10418" s="1342"/>
    </row>
    <row r="10419" spans="2:11" ht="14" hidden="1">
      <c r="B10419" s="1342"/>
      <c r="C10419" s="1342"/>
      <c r="D10419" s="1342"/>
      <c r="E10419" s="1342"/>
      <c r="F10419" s="1342"/>
      <c r="G10419" s="1342"/>
      <c r="H10419" s="1342"/>
      <c r="I10419" s="1342"/>
      <c r="J10419" s="1342"/>
      <c r="K10419" s="1342"/>
    </row>
    <row r="10420" spans="2:11" ht="14" hidden="1">
      <c r="B10420" s="1342"/>
      <c r="C10420" s="1342"/>
      <c r="D10420" s="1342"/>
      <c r="E10420" s="1342"/>
      <c r="F10420" s="1342"/>
      <c r="G10420" s="1342"/>
      <c r="H10420" s="1342"/>
      <c r="I10420" s="1342"/>
      <c r="J10420" s="1342"/>
      <c r="K10420" s="1342"/>
    </row>
    <row r="10421" spans="2:11" ht="14" hidden="1">
      <c r="B10421" s="1342"/>
      <c r="C10421" s="1342"/>
      <c r="D10421" s="1342"/>
      <c r="E10421" s="1342"/>
      <c r="F10421" s="1342"/>
      <c r="G10421" s="1342"/>
      <c r="H10421" s="1342"/>
      <c r="I10421" s="1342"/>
      <c r="J10421" s="1342"/>
      <c r="K10421" s="1342"/>
    </row>
    <row r="10422" spans="2:11" ht="14" hidden="1">
      <c r="B10422" s="1342"/>
      <c r="C10422" s="1342"/>
      <c r="D10422" s="1342"/>
      <c r="E10422" s="1342"/>
      <c r="F10422" s="1342"/>
      <c r="G10422" s="1342"/>
      <c r="H10422" s="1342"/>
      <c r="I10422" s="1342"/>
      <c r="J10422" s="1342"/>
      <c r="K10422" s="1342"/>
    </row>
    <row r="10423" spans="2:11" ht="14" hidden="1">
      <c r="B10423" s="1342"/>
      <c r="C10423" s="1342"/>
      <c r="D10423" s="1342"/>
      <c r="E10423" s="1342"/>
      <c r="F10423" s="1342"/>
      <c r="G10423" s="1342"/>
      <c r="H10423" s="1342"/>
      <c r="I10423" s="1342"/>
      <c r="J10423" s="1342"/>
      <c r="K10423" s="1342"/>
    </row>
    <row r="10424" spans="2:11" ht="14" hidden="1">
      <c r="B10424" s="1342"/>
      <c r="C10424" s="1342"/>
      <c r="D10424" s="1342"/>
      <c r="E10424" s="1342"/>
      <c r="F10424" s="1342"/>
      <c r="G10424" s="1342"/>
      <c r="H10424" s="1342"/>
      <c r="I10424" s="1342"/>
      <c r="J10424" s="1342"/>
      <c r="K10424" s="1342"/>
    </row>
    <row r="10425" spans="2:11" ht="14" hidden="1">
      <c r="B10425" s="1342"/>
      <c r="C10425" s="1342"/>
      <c r="D10425" s="1342"/>
      <c r="E10425" s="1342"/>
      <c r="F10425" s="1342"/>
      <c r="G10425" s="1342"/>
      <c r="H10425" s="1342"/>
      <c r="I10425" s="1342"/>
      <c r="J10425" s="1342"/>
      <c r="K10425" s="1342"/>
    </row>
    <row r="10426" spans="2:11" ht="14" hidden="1">
      <c r="B10426" s="1342"/>
      <c r="C10426" s="1342"/>
      <c r="D10426" s="1342"/>
      <c r="E10426" s="1342"/>
      <c r="F10426" s="1342"/>
      <c r="G10426" s="1342"/>
      <c r="H10426" s="1342"/>
      <c r="I10426" s="1342"/>
      <c r="J10426" s="1342"/>
      <c r="K10426" s="1342"/>
    </row>
    <row r="10427" spans="2:11" ht="14" hidden="1">
      <c r="B10427" s="1342"/>
      <c r="C10427" s="1342"/>
      <c r="D10427" s="1342"/>
      <c r="E10427" s="1342"/>
      <c r="F10427" s="1342"/>
      <c r="G10427" s="1342"/>
      <c r="H10427" s="1342"/>
      <c r="I10427" s="1342"/>
      <c r="J10427" s="1342"/>
      <c r="K10427" s="1342"/>
    </row>
    <row r="10428" spans="2:11" ht="14" hidden="1">
      <c r="B10428" s="1342"/>
      <c r="C10428" s="1342"/>
      <c r="D10428" s="1342"/>
      <c r="E10428" s="1342"/>
      <c r="F10428" s="1342"/>
      <c r="G10428" s="1342"/>
      <c r="H10428" s="1342"/>
      <c r="I10428" s="1342"/>
      <c r="J10428" s="1342"/>
      <c r="K10428" s="1342"/>
    </row>
    <row r="10429" spans="2:11" ht="14" hidden="1">
      <c r="B10429" s="1342"/>
      <c r="C10429" s="1342"/>
      <c r="D10429" s="1342"/>
      <c r="E10429" s="1342"/>
      <c r="F10429" s="1342"/>
      <c r="G10429" s="1342"/>
      <c r="H10429" s="1342"/>
      <c r="I10429" s="1342"/>
      <c r="J10429" s="1342"/>
      <c r="K10429" s="1342"/>
    </row>
    <row r="10430" spans="2:11" ht="14" hidden="1">
      <c r="B10430" s="1342"/>
      <c r="C10430" s="1342"/>
      <c r="D10430" s="1342"/>
      <c r="E10430" s="1342"/>
      <c r="F10430" s="1342"/>
      <c r="G10430" s="1342"/>
      <c r="H10430" s="1342"/>
      <c r="I10430" s="1342"/>
      <c r="J10430" s="1342"/>
      <c r="K10430" s="1342"/>
    </row>
    <row r="10431" spans="2:11" ht="14" hidden="1">
      <c r="B10431" s="1342"/>
      <c r="C10431" s="1342"/>
      <c r="D10431" s="1342"/>
      <c r="E10431" s="1342"/>
      <c r="F10431" s="1342"/>
      <c r="G10431" s="1342"/>
      <c r="H10431" s="1342"/>
      <c r="I10431" s="1342"/>
      <c r="J10431" s="1342"/>
      <c r="K10431" s="1342"/>
    </row>
    <row r="10432" spans="2:11" ht="14" hidden="1">
      <c r="B10432" s="1342"/>
      <c r="C10432" s="1342"/>
      <c r="D10432" s="1342"/>
      <c r="E10432" s="1342"/>
      <c r="F10432" s="1342"/>
      <c r="G10432" s="1342"/>
      <c r="H10432" s="1342"/>
      <c r="I10432" s="1342"/>
      <c r="J10432" s="1342"/>
      <c r="K10432" s="1342"/>
    </row>
    <row r="10433" spans="2:11" ht="14" hidden="1">
      <c r="B10433" s="1342"/>
      <c r="C10433" s="1342"/>
      <c r="D10433" s="1342"/>
      <c r="E10433" s="1342"/>
      <c r="F10433" s="1342"/>
      <c r="G10433" s="1342"/>
      <c r="H10433" s="1342"/>
      <c r="I10433" s="1342"/>
      <c r="J10433" s="1342"/>
      <c r="K10433" s="1342"/>
    </row>
    <row r="10434" spans="2:11" ht="14" hidden="1">
      <c r="B10434" s="1342"/>
      <c r="C10434" s="1342"/>
      <c r="D10434" s="1342"/>
      <c r="E10434" s="1342"/>
      <c r="F10434" s="1342"/>
      <c r="G10434" s="1342"/>
      <c r="H10434" s="1342"/>
      <c r="I10434" s="1342"/>
      <c r="J10434" s="1342"/>
      <c r="K10434" s="1342"/>
    </row>
    <row r="10435" spans="2:11" ht="14" hidden="1">
      <c r="B10435" s="1342"/>
      <c r="C10435" s="1342"/>
      <c r="D10435" s="1342"/>
      <c r="E10435" s="1342"/>
      <c r="F10435" s="1342"/>
      <c r="G10435" s="1342"/>
      <c r="H10435" s="1342"/>
      <c r="I10435" s="1342"/>
      <c r="J10435" s="1342"/>
      <c r="K10435" s="1342"/>
    </row>
    <row r="10436" spans="2:11" ht="14" hidden="1">
      <c r="B10436" s="1342"/>
      <c r="C10436" s="1342"/>
      <c r="D10436" s="1342"/>
      <c r="E10436" s="1342"/>
      <c r="F10436" s="1342"/>
      <c r="G10436" s="1342"/>
      <c r="H10436" s="1342"/>
      <c r="I10436" s="1342"/>
      <c r="J10436" s="1342"/>
      <c r="K10436" s="1342"/>
    </row>
    <row r="10437" spans="2:11" ht="14" hidden="1">
      <c r="B10437" s="1342"/>
      <c r="C10437" s="1342"/>
      <c r="D10437" s="1342"/>
      <c r="E10437" s="1342"/>
      <c r="F10437" s="1342"/>
      <c r="G10437" s="1342"/>
      <c r="H10437" s="1342"/>
      <c r="I10437" s="1342"/>
      <c r="J10437" s="1342"/>
      <c r="K10437" s="1342"/>
    </row>
    <row r="10438" spans="2:11" ht="14" hidden="1">
      <c r="B10438" s="1342"/>
      <c r="C10438" s="1342"/>
      <c r="D10438" s="1342"/>
      <c r="E10438" s="1342"/>
      <c r="F10438" s="1342"/>
      <c r="G10438" s="1342"/>
      <c r="H10438" s="1342"/>
      <c r="I10438" s="1342"/>
      <c r="J10438" s="1342"/>
      <c r="K10438" s="1342"/>
    </row>
    <row r="10439" spans="2:11" ht="14" hidden="1">
      <c r="B10439" s="1342"/>
      <c r="C10439" s="1342"/>
      <c r="D10439" s="1342"/>
      <c r="E10439" s="1342"/>
      <c r="F10439" s="1342"/>
      <c r="G10439" s="1342"/>
      <c r="H10439" s="1342"/>
      <c r="I10439" s="1342"/>
      <c r="J10439" s="1342"/>
      <c r="K10439" s="1342"/>
    </row>
    <row r="10440" spans="2:11" ht="14" hidden="1">
      <c r="B10440" s="1342"/>
      <c r="C10440" s="1342"/>
      <c r="D10440" s="1342"/>
      <c r="E10440" s="1342"/>
      <c r="F10440" s="1342"/>
      <c r="G10440" s="1342"/>
      <c r="H10440" s="1342"/>
      <c r="I10440" s="1342"/>
      <c r="J10440" s="1342"/>
      <c r="K10440" s="1342"/>
    </row>
    <row r="10441" spans="2:11" ht="14" hidden="1">
      <c r="B10441" s="1342"/>
      <c r="C10441" s="1342"/>
      <c r="D10441" s="1342"/>
      <c r="E10441" s="1342"/>
      <c r="F10441" s="1342"/>
      <c r="G10441" s="1342"/>
      <c r="H10441" s="1342"/>
      <c r="I10441" s="1342"/>
      <c r="J10441" s="1342"/>
      <c r="K10441" s="1342"/>
    </row>
    <row r="10442" spans="2:11" ht="14" hidden="1">
      <c r="B10442" s="1342"/>
      <c r="C10442" s="1342"/>
      <c r="D10442" s="1342"/>
      <c r="E10442" s="1342"/>
      <c r="F10442" s="1342"/>
      <c r="G10442" s="1342"/>
      <c r="H10442" s="1342"/>
      <c r="I10442" s="1342"/>
      <c r="J10442" s="1342"/>
      <c r="K10442" s="1342"/>
    </row>
    <row r="10443" spans="2:11" ht="14" hidden="1">
      <c r="B10443" s="1342"/>
      <c r="C10443" s="1342"/>
      <c r="D10443" s="1342"/>
      <c r="E10443" s="1342"/>
      <c r="F10443" s="1342"/>
      <c r="G10443" s="1342"/>
      <c r="H10443" s="1342"/>
      <c r="I10443" s="1342"/>
      <c r="J10443" s="1342"/>
      <c r="K10443" s="1342"/>
    </row>
    <row r="10444" spans="2:11" ht="14" hidden="1">
      <c r="B10444" s="1342"/>
      <c r="C10444" s="1342"/>
      <c r="D10444" s="1342"/>
      <c r="E10444" s="1342"/>
      <c r="F10444" s="1342"/>
      <c r="G10444" s="1342"/>
      <c r="H10444" s="1342"/>
      <c r="I10444" s="1342"/>
      <c r="J10444" s="1342"/>
      <c r="K10444" s="1342"/>
    </row>
    <row r="10445" spans="2:11" ht="14" hidden="1">
      <c r="B10445" s="1342"/>
      <c r="C10445" s="1342"/>
      <c r="D10445" s="1342"/>
      <c r="E10445" s="1342"/>
      <c r="F10445" s="1342"/>
      <c r="G10445" s="1342"/>
      <c r="H10445" s="1342"/>
      <c r="I10445" s="1342"/>
      <c r="J10445" s="1342"/>
      <c r="K10445" s="1342"/>
    </row>
    <row r="10446" spans="2:11" ht="14" hidden="1">
      <c r="B10446" s="1342"/>
      <c r="C10446" s="1342"/>
      <c r="D10446" s="1342"/>
      <c r="E10446" s="1342"/>
      <c r="F10446" s="1342"/>
      <c r="G10446" s="1342"/>
      <c r="H10446" s="1342"/>
      <c r="I10446" s="1342"/>
      <c r="J10446" s="1342"/>
      <c r="K10446" s="1342"/>
    </row>
    <row r="10447" spans="2:11" ht="14" hidden="1">
      <c r="B10447" s="1342"/>
      <c r="C10447" s="1342"/>
      <c r="D10447" s="1342"/>
      <c r="E10447" s="1342"/>
      <c r="F10447" s="1342"/>
      <c r="G10447" s="1342"/>
      <c r="H10447" s="1342"/>
      <c r="I10447" s="1342"/>
      <c r="J10447" s="1342"/>
      <c r="K10447" s="1342"/>
    </row>
    <row r="10448" spans="2:11" ht="14" hidden="1">
      <c r="B10448" s="1342"/>
      <c r="C10448" s="1342"/>
      <c r="D10448" s="1342"/>
      <c r="E10448" s="1342"/>
      <c r="F10448" s="1342"/>
      <c r="G10448" s="1342"/>
      <c r="H10448" s="1342"/>
      <c r="I10448" s="1342"/>
      <c r="J10448" s="1342"/>
      <c r="K10448" s="1342"/>
    </row>
    <row r="10449" spans="2:11" ht="14" hidden="1">
      <c r="B10449" s="1342"/>
      <c r="C10449" s="1342"/>
      <c r="D10449" s="1342"/>
      <c r="E10449" s="1342"/>
      <c r="F10449" s="1342"/>
      <c r="G10449" s="1342"/>
      <c r="H10449" s="1342"/>
      <c r="I10449" s="1342"/>
      <c r="J10449" s="1342"/>
      <c r="K10449" s="1342"/>
    </row>
    <row r="10450" spans="2:11" ht="14" hidden="1">
      <c r="B10450" s="1342"/>
      <c r="C10450" s="1342"/>
      <c r="D10450" s="1342"/>
      <c r="E10450" s="1342"/>
      <c r="F10450" s="1342"/>
      <c r="G10450" s="1342"/>
      <c r="H10450" s="1342"/>
      <c r="I10450" s="1342"/>
      <c r="J10450" s="1342"/>
      <c r="K10450" s="1342"/>
    </row>
    <row r="10451" spans="2:11" ht="14" hidden="1">
      <c r="B10451" s="1342"/>
      <c r="C10451" s="1342"/>
      <c r="D10451" s="1342"/>
      <c r="E10451" s="1342"/>
      <c r="F10451" s="1342"/>
      <c r="G10451" s="1342"/>
      <c r="H10451" s="1342"/>
      <c r="I10451" s="1342"/>
      <c r="J10451" s="1342"/>
      <c r="K10451" s="1342"/>
    </row>
    <row r="10452" spans="2:11" ht="14" hidden="1">
      <c r="B10452" s="1342"/>
      <c r="C10452" s="1342"/>
      <c r="D10452" s="1342"/>
      <c r="E10452" s="1342"/>
      <c r="F10452" s="1342"/>
      <c r="G10452" s="1342"/>
      <c r="H10452" s="1342"/>
      <c r="I10452" s="1342"/>
      <c r="J10452" s="1342"/>
      <c r="K10452" s="1342"/>
    </row>
    <row r="10453" spans="2:11" ht="14" hidden="1">
      <c r="B10453" s="1342"/>
      <c r="C10453" s="1342"/>
      <c r="D10453" s="1342"/>
      <c r="E10453" s="1342"/>
      <c r="F10453" s="1342"/>
      <c r="G10453" s="1342"/>
      <c r="H10453" s="1342"/>
      <c r="I10453" s="1342"/>
      <c r="J10453" s="1342"/>
      <c r="K10453" s="1342"/>
    </row>
    <row r="10454" spans="2:11" ht="14" hidden="1">
      <c r="B10454" s="1342"/>
      <c r="C10454" s="1342"/>
      <c r="D10454" s="1342"/>
      <c r="E10454" s="1342"/>
      <c r="F10454" s="1342"/>
      <c r="G10454" s="1342"/>
      <c r="H10454" s="1342"/>
      <c r="I10454" s="1342"/>
      <c r="J10454" s="1342"/>
      <c r="K10454" s="1342"/>
    </row>
    <row r="10455" spans="2:11" ht="14" hidden="1">
      <c r="B10455" s="1342"/>
      <c r="C10455" s="1342"/>
      <c r="D10455" s="1342"/>
      <c r="E10455" s="1342"/>
      <c r="F10455" s="1342"/>
      <c r="G10455" s="1342"/>
      <c r="H10455" s="1342"/>
      <c r="I10455" s="1342"/>
      <c r="J10455" s="1342"/>
      <c r="K10455" s="1342"/>
    </row>
    <row r="10456" spans="2:11" ht="14" hidden="1">
      <c r="B10456" s="1342"/>
      <c r="C10456" s="1342"/>
      <c r="D10456" s="1342"/>
      <c r="E10456" s="1342"/>
      <c r="F10456" s="1342"/>
      <c r="G10456" s="1342"/>
      <c r="H10456" s="1342"/>
      <c r="I10456" s="1342"/>
      <c r="J10456" s="1342"/>
      <c r="K10456" s="1342"/>
    </row>
    <row r="10457" spans="2:11" ht="14" hidden="1">
      <c r="B10457" s="1342"/>
      <c r="C10457" s="1342"/>
      <c r="D10457" s="1342"/>
      <c r="E10457" s="1342"/>
      <c r="F10457" s="1342"/>
      <c r="G10457" s="1342"/>
      <c r="H10457" s="1342"/>
      <c r="I10457" s="1342"/>
      <c r="J10457" s="1342"/>
      <c r="K10457" s="1342"/>
    </row>
    <row r="10458" spans="2:11" ht="14" hidden="1">
      <c r="B10458" s="1342"/>
      <c r="C10458" s="1342"/>
      <c r="D10458" s="1342"/>
      <c r="E10458" s="1342"/>
      <c r="F10458" s="1342"/>
      <c r="G10458" s="1342"/>
      <c r="H10458" s="1342"/>
      <c r="I10458" s="1342"/>
      <c r="J10458" s="1342"/>
      <c r="K10458" s="1342"/>
    </row>
    <row r="10459" spans="2:11" ht="14" hidden="1">
      <c r="B10459" s="1342"/>
      <c r="C10459" s="1342"/>
      <c r="D10459" s="1342"/>
      <c r="E10459" s="1342"/>
      <c r="F10459" s="1342"/>
      <c r="G10459" s="1342"/>
      <c r="H10459" s="1342"/>
      <c r="I10459" s="1342"/>
      <c r="J10459" s="1342"/>
      <c r="K10459" s="1342"/>
    </row>
    <row r="10460" spans="2:11" ht="14" hidden="1">
      <c r="B10460" s="1342"/>
      <c r="C10460" s="1342"/>
      <c r="D10460" s="1342"/>
      <c r="E10460" s="1342"/>
      <c r="F10460" s="1342"/>
      <c r="G10460" s="1342"/>
      <c r="H10460" s="1342"/>
      <c r="I10460" s="1342"/>
      <c r="J10460" s="1342"/>
      <c r="K10460" s="1342"/>
    </row>
    <row r="10461" spans="2:11" ht="14" hidden="1">
      <c r="B10461" s="1342"/>
      <c r="C10461" s="1342"/>
      <c r="D10461" s="1342"/>
      <c r="E10461" s="1342"/>
      <c r="F10461" s="1342"/>
      <c r="G10461" s="1342"/>
      <c r="H10461" s="1342"/>
      <c r="I10461" s="1342"/>
      <c r="J10461" s="1342"/>
      <c r="K10461" s="1342"/>
    </row>
    <row r="10462" spans="2:11" ht="14" hidden="1">
      <c r="B10462" s="1342"/>
      <c r="C10462" s="1342"/>
      <c r="D10462" s="1342"/>
      <c r="E10462" s="1342"/>
      <c r="F10462" s="1342"/>
      <c r="G10462" s="1342"/>
      <c r="H10462" s="1342"/>
      <c r="I10462" s="1342"/>
      <c r="J10462" s="1342"/>
      <c r="K10462" s="1342"/>
    </row>
    <row r="10463" spans="2:11" ht="14" hidden="1">
      <c r="B10463" s="1342"/>
      <c r="C10463" s="1342"/>
      <c r="D10463" s="1342"/>
      <c r="E10463" s="1342"/>
      <c r="F10463" s="1342"/>
      <c r="G10463" s="1342"/>
      <c r="H10463" s="1342"/>
      <c r="I10463" s="1342"/>
      <c r="J10463" s="1342"/>
      <c r="K10463" s="1342"/>
    </row>
    <row r="10464" spans="2:11" ht="14" hidden="1">
      <c r="B10464" s="1342"/>
      <c r="C10464" s="1342"/>
      <c r="D10464" s="1342"/>
      <c r="E10464" s="1342"/>
      <c r="F10464" s="1342"/>
      <c r="G10464" s="1342"/>
      <c r="H10464" s="1342"/>
      <c r="I10464" s="1342"/>
      <c r="J10464" s="1342"/>
      <c r="K10464" s="1342"/>
    </row>
    <row r="10465" spans="2:11" ht="14" hidden="1">
      <c r="B10465" s="1342"/>
      <c r="C10465" s="1342"/>
      <c r="D10465" s="1342"/>
      <c r="E10465" s="1342"/>
      <c r="F10465" s="1342"/>
      <c r="G10465" s="1342"/>
      <c r="H10465" s="1342"/>
      <c r="I10465" s="1342"/>
      <c r="J10465" s="1342"/>
      <c r="K10465" s="1342"/>
    </row>
    <row r="10466" spans="2:11" ht="14" hidden="1">
      <c r="B10466" s="1342"/>
      <c r="C10466" s="1342"/>
      <c r="D10466" s="1342"/>
      <c r="E10466" s="1342"/>
      <c r="F10466" s="1342"/>
      <c r="G10466" s="1342"/>
      <c r="H10466" s="1342"/>
      <c r="I10466" s="1342"/>
      <c r="J10466" s="1342"/>
      <c r="K10466" s="1342"/>
    </row>
    <row r="10467" spans="2:11" ht="14" hidden="1">
      <c r="B10467" s="1342"/>
      <c r="C10467" s="1342"/>
      <c r="D10467" s="1342"/>
      <c r="E10467" s="1342"/>
      <c r="F10467" s="1342"/>
      <c r="G10467" s="1342"/>
      <c r="H10467" s="1342"/>
      <c r="I10467" s="1342"/>
      <c r="J10467" s="1342"/>
      <c r="K10467" s="1342"/>
    </row>
    <row r="10468" spans="2:11" ht="14" hidden="1">
      <c r="B10468" s="1342"/>
      <c r="C10468" s="1342"/>
      <c r="D10468" s="1342"/>
      <c r="E10468" s="1342"/>
      <c r="F10468" s="1342"/>
      <c r="G10468" s="1342"/>
      <c r="H10468" s="1342"/>
      <c r="I10468" s="1342"/>
      <c r="J10468" s="1342"/>
      <c r="K10468" s="1342"/>
    </row>
    <row r="10469" spans="2:11" ht="14" hidden="1">
      <c r="B10469" s="1342"/>
      <c r="C10469" s="1342"/>
      <c r="D10469" s="1342"/>
      <c r="E10469" s="1342"/>
      <c r="F10469" s="1342"/>
      <c r="G10469" s="1342"/>
      <c r="H10469" s="1342"/>
      <c r="I10469" s="1342"/>
      <c r="J10469" s="1342"/>
      <c r="K10469" s="1342"/>
    </row>
    <row r="10470" spans="2:11" ht="14" hidden="1">
      <c r="B10470" s="1342"/>
      <c r="C10470" s="1342"/>
      <c r="D10470" s="1342"/>
      <c r="E10470" s="1342"/>
      <c r="F10470" s="1342"/>
      <c r="G10470" s="1342"/>
      <c r="H10470" s="1342"/>
      <c r="I10470" s="1342"/>
      <c r="J10470" s="1342"/>
      <c r="K10470" s="1342"/>
    </row>
    <row r="10471" spans="2:11" ht="14" hidden="1">
      <c r="B10471" s="1342"/>
      <c r="C10471" s="1342"/>
      <c r="D10471" s="1342"/>
      <c r="E10471" s="1342"/>
      <c r="F10471" s="1342"/>
      <c r="G10471" s="1342"/>
      <c r="H10471" s="1342"/>
      <c r="I10471" s="1342"/>
      <c r="J10471" s="1342"/>
      <c r="K10471" s="1342"/>
    </row>
    <row r="10472" spans="2:11" ht="14" hidden="1">
      <c r="B10472" s="1342"/>
      <c r="C10472" s="1342"/>
      <c r="D10472" s="1342"/>
      <c r="E10472" s="1342"/>
      <c r="F10472" s="1342"/>
      <c r="G10472" s="1342"/>
      <c r="H10472" s="1342"/>
      <c r="I10472" s="1342"/>
      <c r="J10472" s="1342"/>
      <c r="K10472" s="1342"/>
    </row>
    <row r="10473" spans="2:11" ht="14" hidden="1">
      <c r="B10473" s="1342"/>
      <c r="C10473" s="1342"/>
      <c r="D10473" s="1342"/>
      <c r="E10473" s="1342"/>
      <c r="F10473" s="1342"/>
      <c r="G10473" s="1342"/>
      <c r="H10473" s="1342"/>
      <c r="I10473" s="1342"/>
      <c r="J10473" s="1342"/>
      <c r="K10473" s="1342"/>
    </row>
    <row r="10474" spans="2:11" ht="14" hidden="1">
      <c r="B10474" s="1342"/>
      <c r="C10474" s="1342"/>
      <c r="D10474" s="1342"/>
      <c r="E10474" s="1342"/>
      <c r="F10474" s="1342"/>
      <c r="G10474" s="1342"/>
      <c r="H10474" s="1342"/>
      <c r="I10474" s="1342"/>
      <c r="J10474" s="1342"/>
      <c r="K10474" s="1342"/>
    </row>
    <row r="10475" spans="2:11" ht="14" hidden="1">
      <c r="B10475" s="1342"/>
      <c r="C10475" s="1342"/>
      <c r="D10475" s="1342"/>
      <c r="E10475" s="1342"/>
      <c r="F10475" s="1342"/>
      <c r="G10475" s="1342"/>
      <c r="H10475" s="1342"/>
      <c r="I10475" s="1342"/>
      <c r="J10475" s="1342"/>
      <c r="K10475" s="1342"/>
    </row>
    <row r="10476" spans="2:11" ht="14" hidden="1">
      <c r="B10476" s="1342"/>
      <c r="C10476" s="1342"/>
      <c r="D10476" s="1342"/>
      <c r="E10476" s="1342"/>
      <c r="F10476" s="1342"/>
      <c r="G10476" s="1342"/>
      <c r="H10476" s="1342"/>
      <c r="I10476" s="1342"/>
      <c r="J10476" s="1342"/>
      <c r="K10476" s="1342"/>
    </row>
    <row r="10477" spans="2:11" ht="14" hidden="1">
      <c r="B10477" s="1342"/>
      <c r="C10477" s="1342"/>
      <c r="D10477" s="1342"/>
      <c r="E10477" s="1342"/>
      <c r="F10477" s="1342"/>
      <c r="G10477" s="1342"/>
      <c r="H10477" s="1342"/>
      <c r="I10477" s="1342"/>
      <c r="J10477" s="1342"/>
      <c r="K10477" s="1342"/>
    </row>
    <row r="10478" spans="2:11" ht="14" hidden="1">
      <c r="B10478" s="1342"/>
      <c r="C10478" s="1342"/>
      <c r="D10478" s="1342"/>
      <c r="E10478" s="1342"/>
      <c r="F10478" s="1342"/>
      <c r="G10478" s="1342"/>
      <c r="H10478" s="1342"/>
      <c r="I10478" s="1342"/>
      <c r="J10478" s="1342"/>
      <c r="K10478" s="1342"/>
    </row>
    <row r="10479" spans="2:11" ht="14" hidden="1">
      <c r="B10479" s="1342"/>
      <c r="C10479" s="1342"/>
      <c r="D10479" s="1342"/>
      <c r="E10479" s="1342"/>
      <c r="F10479" s="1342"/>
      <c r="G10479" s="1342"/>
      <c r="H10479" s="1342"/>
      <c r="I10479" s="1342"/>
      <c r="J10479" s="1342"/>
      <c r="K10479" s="1342"/>
    </row>
    <row r="10480" spans="2:11" ht="14" hidden="1">
      <c r="B10480" s="1342"/>
      <c r="C10480" s="1342"/>
      <c r="D10480" s="1342"/>
      <c r="E10480" s="1342"/>
      <c r="F10480" s="1342"/>
      <c r="G10480" s="1342"/>
      <c r="H10480" s="1342"/>
      <c r="I10480" s="1342"/>
      <c r="J10480" s="1342"/>
      <c r="K10480" s="1342"/>
    </row>
    <row r="10481" spans="2:11" ht="14" hidden="1">
      <c r="B10481" s="1342"/>
      <c r="C10481" s="1342"/>
      <c r="D10481" s="1342"/>
      <c r="E10481" s="1342"/>
      <c r="F10481" s="1342"/>
      <c r="G10481" s="1342"/>
      <c r="H10481" s="1342"/>
      <c r="I10481" s="1342"/>
      <c r="J10481" s="1342"/>
      <c r="K10481" s="1342"/>
    </row>
    <row r="10482" spans="2:11" ht="14" hidden="1">
      <c r="B10482" s="1342"/>
      <c r="C10482" s="1342"/>
      <c r="D10482" s="1342"/>
      <c r="E10482" s="1342"/>
      <c r="F10482" s="1342"/>
      <c r="G10482" s="1342"/>
      <c r="H10482" s="1342"/>
      <c r="I10482" s="1342"/>
      <c r="J10482" s="1342"/>
      <c r="K10482" s="1342"/>
    </row>
    <row r="10483" spans="2:11" ht="14" hidden="1">
      <c r="B10483" s="1342"/>
      <c r="C10483" s="1342"/>
      <c r="D10483" s="1342"/>
      <c r="E10483" s="1342"/>
      <c r="F10483" s="1342"/>
      <c r="G10483" s="1342"/>
      <c r="H10483" s="1342"/>
      <c r="I10483" s="1342"/>
      <c r="J10483" s="1342"/>
      <c r="K10483" s="1342"/>
    </row>
    <row r="10484" spans="2:11" ht="14" hidden="1">
      <c r="B10484" s="1342"/>
      <c r="C10484" s="1342"/>
      <c r="D10484" s="1342"/>
      <c r="E10484" s="1342"/>
      <c r="F10484" s="1342"/>
      <c r="G10484" s="1342"/>
      <c r="H10484" s="1342"/>
      <c r="I10484" s="1342"/>
      <c r="J10484" s="1342"/>
      <c r="K10484" s="1342"/>
    </row>
    <row r="10485" spans="2:11" ht="14" hidden="1">
      <c r="B10485" s="1342"/>
      <c r="C10485" s="1342"/>
      <c r="D10485" s="1342"/>
      <c r="E10485" s="1342"/>
      <c r="F10485" s="1342"/>
      <c r="G10485" s="1342"/>
      <c r="H10485" s="1342"/>
      <c r="I10485" s="1342"/>
      <c r="J10485" s="1342"/>
      <c r="K10485" s="1342"/>
    </row>
    <row r="10486" spans="2:11" ht="14" hidden="1">
      <c r="B10486" s="1342"/>
      <c r="C10486" s="1342"/>
      <c r="D10486" s="1342"/>
      <c r="E10486" s="1342"/>
      <c r="F10486" s="1342"/>
      <c r="G10486" s="1342"/>
      <c r="H10486" s="1342"/>
      <c r="I10486" s="1342"/>
      <c r="J10486" s="1342"/>
      <c r="K10486" s="1342"/>
    </row>
    <row r="10487" spans="2:11" ht="14" hidden="1">
      <c r="B10487" s="1342"/>
      <c r="C10487" s="1342"/>
      <c r="D10487" s="1342"/>
      <c r="E10487" s="1342"/>
      <c r="F10487" s="1342"/>
      <c r="G10487" s="1342"/>
      <c r="H10487" s="1342"/>
      <c r="I10487" s="1342"/>
      <c r="J10487" s="1342"/>
      <c r="K10487" s="1342"/>
    </row>
    <row r="10488" spans="2:11" ht="14" hidden="1">
      <c r="B10488" s="1342"/>
      <c r="C10488" s="1342"/>
      <c r="D10488" s="1342"/>
      <c r="E10488" s="1342"/>
      <c r="F10488" s="1342"/>
      <c r="G10488" s="1342"/>
      <c r="H10488" s="1342"/>
      <c r="I10488" s="1342"/>
      <c r="J10488" s="1342"/>
      <c r="K10488" s="1342"/>
    </row>
    <row r="10489" spans="2:11" ht="14" hidden="1">
      <c r="B10489" s="1342"/>
      <c r="C10489" s="1342"/>
      <c r="D10489" s="1342"/>
      <c r="E10489" s="1342"/>
      <c r="F10489" s="1342"/>
      <c r="G10489" s="1342"/>
      <c r="H10489" s="1342"/>
      <c r="I10489" s="1342"/>
      <c r="J10489" s="1342"/>
      <c r="K10489" s="1342"/>
    </row>
    <row r="10490" spans="2:11" ht="14" hidden="1">
      <c r="B10490" s="1342"/>
      <c r="C10490" s="1342"/>
      <c r="D10490" s="1342"/>
      <c r="E10490" s="1342"/>
      <c r="F10490" s="1342"/>
      <c r="G10490" s="1342"/>
      <c r="H10490" s="1342"/>
      <c r="I10490" s="1342"/>
      <c r="J10490" s="1342"/>
      <c r="K10490" s="1342"/>
    </row>
    <row r="10491" spans="2:11" ht="14" hidden="1">
      <c r="B10491" s="1342"/>
      <c r="C10491" s="1342"/>
      <c r="D10491" s="1342"/>
      <c r="E10491" s="1342"/>
      <c r="F10491" s="1342"/>
      <c r="G10491" s="1342"/>
      <c r="H10491" s="1342"/>
      <c r="I10491" s="1342"/>
      <c r="J10491" s="1342"/>
      <c r="K10491" s="1342"/>
    </row>
    <row r="10492" spans="2:11" ht="14" hidden="1">
      <c r="B10492" s="1342"/>
      <c r="C10492" s="1342"/>
      <c r="D10492" s="1342"/>
      <c r="E10492" s="1342"/>
      <c r="F10492" s="1342"/>
      <c r="G10492" s="1342"/>
      <c r="H10492" s="1342"/>
      <c r="I10492" s="1342"/>
      <c r="J10492" s="1342"/>
      <c r="K10492" s="1342"/>
    </row>
    <row r="10493" spans="2:11" ht="14" hidden="1">
      <c r="B10493" s="1342"/>
      <c r="C10493" s="1342"/>
      <c r="D10493" s="1342"/>
      <c r="E10493" s="1342"/>
      <c r="F10493" s="1342"/>
      <c r="G10493" s="1342"/>
      <c r="H10493" s="1342"/>
      <c r="I10493" s="1342"/>
      <c r="J10493" s="1342"/>
      <c r="K10493" s="1342"/>
    </row>
    <row r="10494" spans="2:11" ht="14" hidden="1">
      <c r="B10494" s="1342"/>
      <c r="C10494" s="1342"/>
      <c r="D10494" s="1342"/>
      <c r="E10494" s="1342"/>
      <c r="F10494" s="1342"/>
      <c r="G10494" s="1342"/>
      <c r="H10494" s="1342"/>
      <c r="I10494" s="1342"/>
      <c r="J10494" s="1342"/>
      <c r="K10494" s="1342"/>
    </row>
    <row r="10495" spans="2:11" ht="14" hidden="1">
      <c r="B10495" s="1342"/>
      <c r="C10495" s="1342"/>
      <c r="D10495" s="1342"/>
      <c r="E10495" s="1342"/>
      <c r="F10495" s="1342"/>
      <c r="G10495" s="1342"/>
      <c r="H10495" s="1342"/>
      <c r="I10495" s="1342"/>
      <c r="J10495" s="1342"/>
      <c r="K10495" s="1342"/>
    </row>
    <row r="10496" spans="2:11" ht="14" hidden="1">
      <c r="B10496" s="1342"/>
      <c r="C10496" s="1342"/>
      <c r="D10496" s="1342"/>
      <c r="E10496" s="1342"/>
      <c r="F10496" s="1342"/>
      <c r="G10496" s="1342"/>
      <c r="H10496" s="1342"/>
      <c r="I10496" s="1342"/>
      <c r="J10496" s="1342"/>
      <c r="K10496" s="1342"/>
    </row>
    <row r="10497" spans="2:11" ht="14" hidden="1">
      <c r="B10497" s="1342"/>
      <c r="C10497" s="1342"/>
      <c r="D10497" s="1342"/>
      <c r="E10497" s="1342"/>
      <c r="F10497" s="1342"/>
      <c r="G10497" s="1342"/>
      <c r="H10497" s="1342"/>
      <c r="I10497" s="1342"/>
      <c r="J10497" s="1342"/>
      <c r="K10497" s="1342"/>
    </row>
    <row r="10498" spans="2:11" ht="14" hidden="1">
      <c r="B10498" s="1342"/>
      <c r="C10498" s="1342"/>
      <c r="D10498" s="1342"/>
      <c r="E10498" s="1342"/>
      <c r="F10498" s="1342"/>
      <c r="G10498" s="1342"/>
      <c r="H10498" s="1342"/>
      <c r="I10498" s="1342"/>
      <c r="J10498" s="1342"/>
      <c r="K10498" s="1342"/>
    </row>
    <row r="10499" spans="2:11" ht="14" hidden="1">
      <c r="B10499" s="1342"/>
      <c r="C10499" s="1342"/>
      <c r="D10499" s="1342"/>
      <c r="E10499" s="1342"/>
      <c r="F10499" s="1342"/>
      <c r="G10499" s="1342"/>
      <c r="H10499" s="1342"/>
      <c r="I10499" s="1342"/>
      <c r="J10499" s="1342"/>
      <c r="K10499" s="1342"/>
    </row>
    <row r="10500" spans="2:11" ht="14" hidden="1">
      <c r="B10500" s="1342"/>
      <c r="C10500" s="1342"/>
      <c r="D10500" s="1342"/>
      <c r="E10500" s="1342"/>
      <c r="F10500" s="1342"/>
      <c r="G10500" s="1342"/>
      <c r="H10500" s="1342"/>
      <c r="I10500" s="1342"/>
      <c r="J10500" s="1342"/>
      <c r="K10500" s="1342"/>
    </row>
    <row r="10501" spans="2:11" ht="14" hidden="1">
      <c r="B10501" s="1342"/>
      <c r="C10501" s="1342"/>
      <c r="D10501" s="1342"/>
      <c r="E10501" s="1342"/>
      <c r="F10501" s="1342"/>
      <c r="G10501" s="1342"/>
      <c r="H10501" s="1342"/>
      <c r="I10501" s="1342"/>
      <c r="J10501" s="1342"/>
      <c r="K10501" s="1342"/>
    </row>
    <row r="10502" spans="2:11" ht="14" hidden="1">
      <c r="B10502" s="1342"/>
      <c r="C10502" s="1342"/>
      <c r="D10502" s="1342"/>
      <c r="E10502" s="1342"/>
      <c r="F10502" s="1342"/>
      <c r="G10502" s="1342"/>
      <c r="H10502" s="1342"/>
      <c r="I10502" s="1342"/>
      <c r="J10502" s="1342"/>
      <c r="K10502" s="1342"/>
    </row>
    <row r="10503" spans="2:11" ht="14" hidden="1">
      <c r="B10503" s="1342"/>
      <c r="C10503" s="1342"/>
      <c r="D10503" s="1342"/>
      <c r="E10503" s="1342"/>
      <c r="F10503" s="1342"/>
      <c r="G10503" s="1342"/>
      <c r="H10503" s="1342"/>
      <c r="I10503" s="1342"/>
      <c r="J10503" s="1342"/>
      <c r="K10503" s="1342"/>
    </row>
    <row r="10504" spans="2:11" ht="14" hidden="1">
      <c r="B10504" s="1342"/>
      <c r="C10504" s="1342"/>
      <c r="D10504" s="1342"/>
      <c r="E10504" s="1342"/>
      <c r="F10504" s="1342"/>
      <c r="G10504" s="1342"/>
      <c r="H10504" s="1342"/>
      <c r="I10504" s="1342"/>
      <c r="J10504" s="1342"/>
      <c r="K10504" s="1342"/>
    </row>
    <row r="10505" spans="2:11" ht="14" hidden="1">
      <c r="B10505" s="1342"/>
      <c r="C10505" s="1342"/>
      <c r="D10505" s="1342"/>
      <c r="E10505" s="1342"/>
      <c r="F10505" s="1342"/>
      <c r="G10505" s="1342"/>
      <c r="H10505" s="1342"/>
      <c r="I10505" s="1342"/>
      <c r="J10505" s="1342"/>
      <c r="K10505" s="1342"/>
    </row>
    <row r="10506" spans="2:11" ht="14" hidden="1">
      <c r="B10506" s="1342"/>
      <c r="C10506" s="1342"/>
      <c r="D10506" s="1342"/>
      <c r="E10506" s="1342"/>
      <c r="F10506" s="1342"/>
      <c r="G10506" s="1342"/>
      <c r="H10506" s="1342"/>
      <c r="I10506" s="1342"/>
      <c r="J10506" s="1342"/>
      <c r="K10506" s="1342"/>
    </row>
    <row r="10507" spans="2:11" ht="14" hidden="1">
      <c r="B10507" s="1342"/>
      <c r="C10507" s="1342"/>
      <c r="D10507" s="1342"/>
      <c r="E10507" s="1342"/>
      <c r="F10507" s="1342"/>
      <c r="G10507" s="1342"/>
      <c r="H10507" s="1342"/>
      <c r="I10507" s="1342"/>
      <c r="J10507" s="1342"/>
      <c r="K10507" s="1342"/>
    </row>
    <row r="10508" spans="2:11" ht="14" hidden="1">
      <c r="B10508" s="1342"/>
      <c r="C10508" s="1342"/>
      <c r="D10508" s="1342"/>
      <c r="E10508" s="1342"/>
      <c r="F10508" s="1342"/>
      <c r="G10508" s="1342"/>
      <c r="H10508" s="1342"/>
      <c r="I10508" s="1342"/>
      <c r="J10508" s="1342"/>
      <c r="K10508" s="1342"/>
    </row>
    <row r="10509" spans="2:11" ht="14" hidden="1">
      <c r="B10509" s="1342"/>
      <c r="C10509" s="1342"/>
      <c r="D10509" s="1342"/>
      <c r="E10509" s="1342"/>
      <c r="F10509" s="1342"/>
      <c r="G10509" s="1342"/>
      <c r="H10509" s="1342"/>
      <c r="I10509" s="1342"/>
      <c r="J10509" s="1342"/>
      <c r="K10509" s="1342"/>
    </row>
    <row r="10510" spans="2:11" ht="14" hidden="1">
      <c r="B10510" s="1342"/>
      <c r="C10510" s="1342"/>
      <c r="D10510" s="1342"/>
      <c r="E10510" s="1342"/>
      <c r="F10510" s="1342"/>
      <c r="G10510" s="1342"/>
      <c r="H10510" s="1342"/>
      <c r="I10510" s="1342"/>
      <c r="J10510" s="1342"/>
      <c r="K10510" s="1342"/>
    </row>
    <row r="10511" spans="2:11" ht="14" hidden="1">
      <c r="B10511" s="1342"/>
      <c r="C10511" s="1342"/>
      <c r="D10511" s="1342"/>
      <c r="E10511" s="1342"/>
      <c r="F10511" s="1342"/>
      <c r="G10511" s="1342"/>
      <c r="H10511" s="1342"/>
      <c r="I10511" s="1342"/>
      <c r="J10511" s="1342"/>
      <c r="K10511" s="1342"/>
    </row>
    <row r="10512" spans="2:11" ht="14" hidden="1">
      <c r="B10512" s="1342"/>
      <c r="C10512" s="1342"/>
      <c r="D10512" s="1342"/>
      <c r="E10512" s="1342"/>
      <c r="F10512" s="1342"/>
      <c r="G10512" s="1342"/>
      <c r="H10512" s="1342"/>
      <c r="I10512" s="1342"/>
      <c r="J10512" s="1342"/>
      <c r="K10512" s="1342"/>
    </row>
    <row r="10513" spans="2:11" ht="14" hidden="1">
      <c r="B10513" s="1342"/>
      <c r="C10513" s="1342"/>
      <c r="D10513" s="1342"/>
      <c r="E10513" s="1342"/>
      <c r="F10513" s="1342"/>
      <c r="G10513" s="1342"/>
      <c r="H10513" s="1342"/>
      <c r="I10513" s="1342"/>
      <c r="J10513" s="1342"/>
      <c r="K10513" s="1342"/>
    </row>
    <row r="10514" spans="2:11" ht="14" hidden="1">
      <c r="B10514" s="1342"/>
      <c r="C10514" s="1342"/>
      <c r="D10514" s="1342"/>
      <c r="E10514" s="1342"/>
      <c r="F10514" s="1342"/>
      <c r="G10514" s="1342"/>
      <c r="H10514" s="1342"/>
      <c r="I10514" s="1342"/>
      <c r="J10514" s="1342"/>
      <c r="K10514" s="1342"/>
    </row>
    <row r="10515" spans="2:11" ht="14" hidden="1">
      <c r="B10515" s="1342"/>
      <c r="C10515" s="1342"/>
      <c r="D10515" s="1342"/>
      <c r="E10515" s="1342"/>
      <c r="F10515" s="1342"/>
      <c r="G10515" s="1342"/>
      <c r="H10515" s="1342"/>
      <c r="I10515" s="1342"/>
      <c r="J10515" s="1342"/>
      <c r="K10515" s="1342"/>
    </row>
    <row r="10516" spans="2:11" ht="14" hidden="1">
      <c r="B10516" s="1342"/>
      <c r="C10516" s="1342"/>
      <c r="D10516" s="1342"/>
      <c r="E10516" s="1342"/>
      <c r="F10516" s="1342"/>
      <c r="G10516" s="1342"/>
      <c r="H10516" s="1342"/>
      <c r="I10516" s="1342"/>
      <c r="J10516" s="1342"/>
      <c r="K10516" s="1342"/>
    </row>
    <row r="10517" spans="2:11" ht="14" hidden="1">
      <c r="B10517" s="1342"/>
      <c r="C10517" s="1342"/>
      <c r="D10517" s="1342"/>
      <c r="E10517" s="1342"/>
      <c r="F10517" s="1342"/>
      <c r="G10517" s="1342"/>
      <c r="H10517" s="1342"/>
      <c r="I10517" s="1342"/>
      <c r="J10517" s="1342"/>
      <c r="K10517" s="1342"/>
    </row>
    <row r="10518" spans="2:11" ht="14" hidden="1">
      <c r="B10518" s="1342"/>
      <c r="C10518" s="1342"/>
      <c r="D10518" s="1342"/>
      <c r="E10518" s="1342"/>
      <c r="F10518" s="1342"/>
      <c r="G10518" s="1342"/>
      <c r="H10518" s="1342"/>
      <c r="I10518" s="1342"/>
      <c r="J10518" s="1342"/>
      <c r="K10518" s="1342"/>
    </row>
    <row r="10519" spans="2:11" ht="14" hidden="1">
      <c r="B10519" s="1342"/>
      <c r="C10519" s="1342"/>
      <c r="D10519" s="1342"/>
      <c r="E10519" s="1342"/>
      <c r="F10519" s="1342"/>
      <c r="G10519" s="1342"/>
      <c r="H10519" s="1342"/>
      <c r="I10519" s="1342"/>
      <c r="J10519" s="1342"/>
      <c r="K10519" s="1342"/>
    </row>
    <row r="10520" spans="2:11" ht="14" hidden="1">
      <c r="B10520" s="1342"/>
      <c r="C10520" s="1342"/>
      <c r="D10520" s="1342"/>
      <c r="E10520" s="1342"/>
      <c r="F10520" s="1342"/>
      <c r="G10520" s="1342"/>
      <c r="H10520" s="1342"/>
      <c r="I10520" s="1342"/>
      <c r="J10520" s="1342"/>
      <c r="K10520" s="1342"/>
    </row>
    <row r="10521" spans="2:11" ht="14" hidden="1">
      <c r="B10521" s="1342"/>
      <c r="C10521" s="1342"/>
      <c r="D10521" s="1342"/>
      <c r="E10521" s="1342"/>
      <c r="F10521" s="1342"/>
      <c r="G10521" s="1342"/>
      <c r="H10521" s="1342"/>
      <c r="I10521" s="1342"/>
      <c r="J10521" s="1342"/>
      <c r="K10521" s="1342"/>
    </row>
    <row r="10522" spans="2:11" ht="14" hidden="1">
      <c r="B10522" s="1342"/>
      <c r="C10522" s="1342"/>
      <c r="D10522" s="1342"/>
      <c r="E10522" s="1342"/>
      <c r="F10522" s="1342"/>
      <c r="G10522" s="1342"/>
      <c r="H10522" s="1342"/>
      <c r="I10522" s="1342"/>
      <c r="J10522" s="1342"/>
      <c r="K10522" s="1342"/>
    </row>
    <row r="10523" spans="2:11" ht="14" hidden="1">
      <c r="B10523" s="1342"/>
      <c r="C10523" s="1342"/>
      <c r="D10523" s="1342"/>
      <c r="E10523" s="1342"/>
      <c r="F10523" s="1342"/>
      <c r="G10523" s="1342"/>
      <c r="H10523" s="1342"/>
      <c r="I10523" s="1342"/>
      <c r="J10523" s="1342"/>
      <c r="K10523" s="1342"/>
    </row>
    <row r="10524" spans="2:11" ht="14" hidden="1">
      <c r="B10524" s="1342"/>
      <c r="C10524" s="1342"/>
      <c r="D10524" s="1342"/>
      <c r="E10524" s="1342"/>
      <c r="F10524" s="1342"/>
      <c r="G10524" s="1342"/>
      <c r="H10524" s="1342"/>
      <c r="I10524" s="1342"/>
      <c r="J10524" s="1342"/>
      <c r="K10524" s="1342"/>
    </row>
    <row r="10525" spans="2:11" ht="14" hidden="1">
      <c r="B10525" s="1342"/>
      <c r="C10525" s="1342"/>
      <c r="D10525" s="1342"/>
      <c r="E10525" s="1342"/>
      <c r="F10525" s="1342"/>
      <c r="G10525" s="1342"/>
      <c r="H10525" s="1342"/>
      <c r="I10525" s="1342"/>
      <c r="J10525" s="1342"/>
      <c r="K10525" s="1342"/>
    </row>
    <row r="10526" spans="2:11" ht="14" hidden="1">
      <c r="B10526" s="1342"/>
      <c r="C10526" s="1342"/>
      <c r="D10526" s="1342"/>
      <c r="E10526" s="1342"/>
      <c r="F10526" s="1342"/>
      <c r="G10526" s="1342"/>
      <c r="H10526" s="1342"/>
      <c r="I10526" s="1342"/>
      <c r="J10526" s="1342"/>
      <c r="K10526" s="1342"/>
    </row>
    <row r="10527" spans="2:11" ht="14" hidden="1">
      <c r="B10527" s="1342"/>
      <c r="C10527" s="1342"/>
      <c r="D10527" s="1342"/>
      <c r="E10527" s="1342"/>
      <c r="F10527" s="1342"/>
      <c r="G10527" s="1342"/>
      <c r="H10527" s="1342"/>
      <c r="I10527" s="1342"/>
      <c r="J10527" s="1342"/>
      <c r="K10527" s="1342"/>
    </row>
    <row r="10528" spans="2:11" ht="14" hidden="1">
      <c r="B10528" s="1342"/>
      <c r="C10528" s="1342"/>
      <c r="D10528" s="1342"/>
      <c r="E10528" s="1342"/>
      <c r="F10528" s="1342"/>
      <c r="G10528" s="1342"/>
      <c r="H10528" s="1342"/>
      <c r="I10528" s="1342"/>
      <c r="J10528" s="1342"/>
      <c r="K10528" s="1342"/>
    </row>
    <row r="10529" spans="2:11" ht="14" hidden="1">
      <c r="B10529" s="1342"/>
      <c r="C10529" s="1342"/>
      <c r="D10529" s="1342"/>
      <c r="E10529" s="1342"/>
      <c r="F10529" s="1342"/>
      <c r="G10529" s="1342"/>
      <c r="H10529" s="1342"/>
      <c r="I10529" s="1342"/>
      <c r="J10529" s="1342"/>
      <c r="K10529" s="1342"/>
    </row>
    <row r="10530" spans="2:11" ht="14" hidden="1">
      <c r="B10530" s="1342"/>
      <c r="C10530" s="1342"/>
      <c r="D10530" s="1342"/>
      <c r="E10530" s="1342"/>
      <c r="F10530" s="1342"/>
      <c r="G10530" s="1342"/>
      <c r="H10530" s="1342"/>
      <c r="I10530" s="1342"/>
      <c r="J10530" s="1342"/>
      <c r="K10530" s="1342"/>
    </row>
    <row r="10531" spans="2:11" ht="14" hidden="1">
      <c r="B10531" s="1342"/>
      <c r="C10531" s="1342"/>
      <c r="D10531" s="1342"/>
      <c r="E10531" s="1342"/>
      <c r="F10531" s="1342"/>
      <c r="G10531" s="1342"/>
      <c r="H10531" s="1342"/>
      <c r="I10531" s="1342"/>
      <c r="J10531" s="1342"/>
      <c r="K10531" s="1342"/>
    </row>
    <row r="10532" spans="2:11" ht="14" hidden="1">
      <c r="B10532" s="1342"/>
      <c r="C10532" s="1342"/>
      <c r="D10532" s="1342"/>
      <c r="E10532" s="1342"/>
      <c r="F10532" s="1342"/>
      <c r="G10532" s="1342"/>
      <c r="H10532" s="1342"/>
      <c r="I10532" s="1342"/>
      <c r="J10532" s="1342"/>
      <c r="K10532" s="1342"/>
    </row>
    <row r="10533" spans="2:11" ht="14" hidden="1">
      <c r="B10533" s="1342"/>
      <c r="C10533" s="1342"/>
      <c r="D10533" s="1342"/>
      <c r="E10533" s="1342"/>
      <c r="F10533" s="1342"/>
      <c r="G10533" s="1342"/>
      <c r="H10533" s="1342"/>
      <c r="I10533" s="1342"/>
      <c r="J10533" s="1342"/>
      <c r="K10533" s="1342"/>
    </row>
    <row r="10534" spans="2:11" ht="14" hidden="1">
      <c r="B10534" s="1342"/>
      <c r="C10534" s="1342"/>
      <c r="D10534" s="1342"/>
      <c r="E10534" s="1342"/>
      <c r="F10534" s="1342"/>
      <c r="G10534" s="1342"/>
      <c r="H10534" s="1342"/>
      <c r="I10534" s="1342"/>
      <c r="J10534" s="1342"/>
      <c r="K10534" s="1342"/>
    </row>
    <row r="10535" spans="2:11" ht="14" hidden="1">
      <c r="B10535" s="1342"/>
      <c r="C10535" s="1342"/>
      <c r="D10535" s="1342"/>
      <c r="E10535" s="1342"/>
      <c r="F10535" s="1342"/>
      <c r="G10535" s="1342"/>
      <c r="H10535" s="1342"/>
      <c r="I10535" s="1342"/>
      <c r="J10535" s="1342"/>
      <c r="K10535" s="1342"/>
    </row>
    <row r="10536" spans="2:11" ht="14" hidden="1">
      <c r="B10536" s="1342"/>
      <c r="C10536" s="1342"/>
      <c r="D10536" s="1342"/>
      <c r="E10536" s="1342"/>
      <c r="F10536" s="1342"/>
      <c r="G10536" s="1342"/>
      <c r="H10536" s="1342"/>
      <c r="I10536" s="1342"/>
      <c r="J10536" s="1342"/>
      <c r="K10536" s="1342"/>
    </row>
    <row r="10537" spans="2:11" ht="14" hidden="1">
      <c r="B10537" s="1342"/>
      <c r="C10537" s="1342"/>
      <c r="D10537" s="1342"/>
      <c r="E10537" s="1342"/>
      <c r="F10537" s="1342"/>
      <c r="G10537" s="1342"/>
      <c r="H10537" s="1342"/>
      <c r="I10537" s="1342"/>
      <c r="J10537" s="1342"/>
      <c r="K10537" s="1342"/>
    </row>
    <row r="10538" spans="2:11" ht="14" hidden="1">
      <c r="B10538" s="1342"/>
      <c r="C10538" s="1342"/>
      <c r="D10538" s="1342"/>
      <c r="E10538" s="1342"/>
      <c r="F10538" s="1342"/>
      <c r="G10538" s="1342"/>
      <c r="H10538" s="1342"/>
      <c r="I10538" s="1342"/>
      <c r="J10538" s="1342"/>
      <c r="K10538" s="1342"/>
    </row>
    <row r="10539" spans="2:11" ht="14" hidden="1">
      <c r="B10539" s="1342"/>
      <c r="C10539" s="1342"/>
      <c r="D10539" s="1342"/>
      <c r="E10539" s="1342"/>
      <c r="F10539" s="1342"/>
      <c r="G10539" s="1342"/>
      <c r="H10539" s="1342"/>
      <c r="I10539" s="1342"/>
      <c r="J10539" s="1342"/>
      <c r="K10539" s="1342"/>
    </row>
    <row r="10540" spans="2:11" ht="14" hidden="1">
      <c r="B10540" s="1342"/>
      <c r="C10540" s="1342"/>
      <c r="D10540" s="1342"/>
      <c r="E10540" s="1342"/>
      <c r="F10540" s="1342"/>
      <c r="G10540" s="1342"/>
      <c r="H10540" s="1342"/>
      <c r="I10540" s="1342"/>
      <c r="J10540" s="1342"/>
      <c r="K10540" s="1342"/>
    </row>
    <row r="10541" spans="2:11" ht="14" hidden="1">
      <c r="B10541" s="1342"/>
      <c r="C10541" s="1342"/>
      <c r="D10541" s="1342"/>
      <c r="E10541" s="1342"/>
      <c r="F10541" s="1342"/>
      <c r="G10541" s="1342"/>
      <c r="H10541" s="1342"/>
      <c r="I10541" s="1342"/>
      <c r="J10541" s="1342"/>
      <c r="K10541" s="1342"/>
    </row>
    <row r="10542" spans="2:11" ht="14" hidden="1">
      <c r="B10542" s="1342"/>
      <c r="C10542" s="1342"/>
      <c r="D10542" s="1342"/>
      <c r="E10542" s="1342"/>
      <c r="F10542" s="1342"/>
      <c r="G10542" s="1342"/>
      <c r="H10542" s="1342"/>
      <c r="I10542" s="1342"/>
      <c r="J10542" s="1342"/>
      <c r="K10542" s="1342"/>
    </row>
    <row r="10543" spans="2:11" ht="14" hidden="1">
      <c r="B10543" s="1342"/>
      <c r="C10543" s="1342"/>
      <c r="D10543" s="1342"/>
      <c r="E10543" s="1342"/>
      <c r="F10543" s="1342"/>
      <c r="G10543" s="1342"/>
      <c r="H10543" s="1342"/>
      <c r="I10543" s="1342"/>
      <c r="J10543" s="1342"/>
      <c r="K10543" s="1342"/>
    </row>
    <row r="10544" spans="2:11" ht="14" hidden="1">
      <c r="B10544" s="1342"/>
      <c r="C10544" s="1342"/>
      <c r="D10544" s="1342"/>
      <c r="E10544" s="1342"/>
      <c r="F10544" s="1342"/>
      <c r="G10544" s="1342"/>
      <c r="H10544" s="1342"/>
      <c r="I10544" s="1342"/>
      <c r="J10544" s="1342"/>
      <c r="K10544" s="1342"/>
    </row>
    <row r="10545" spans="2:11" ht="14" hidden="1">
      <c r="B10545" s="1342"/>
      <c r="C10545" s="1342"/>
      <c r="D10545" s="1342"/>
      <c r="E10545" s="1342"/>
      <c r="F10545" s="1342"/>
      <c r="G10545" s="1342"/>
      <c r="H10545" s="1342"/>
      <c r="I10545" s="1342"/>
      <c r="J10545" s="1342"/>
      <c r="K10545" s="1342"/>
    </row>
    <row r="10546" spans="2:11" ht="14" hidden="1">
      <c r="B10546" s="1342"/>
      <c r="C10546" s="1342"/>
      <c r="D10546" s="1342"/>
      <c r="E10546" s="1342"/>
      <c r="F10546" s="1342"/>
      <c r="G10546" s="1342"/>
      <c r="H10546" s="1342"/>
      <c r="I10546" s="1342"/>
      <c r="J10546" s="1342"/>
      <c r="K10546" s="1342"/>
    </row>
    <row r="10547" spans="2:11" ht="14" hidden="1">
      <c r="B10547" s="1342"/>
      <c r="C10547" s="1342"/>
      <c r="D10547" s="1342"/>
      <c r="E10547" s="1342"/>
      <c r="F10547" s="1342"/>
      <c r="G10547" s="1342"/>
      <c r="H10547" s="1342"/>
      <c r="I10547" s="1342"/>
      <c r="J10547" s="1342"/>
      <c r="K10547" s="1342"/>
    </row>
    <row r="10548" spans="2:11" ht="14" hidden="1">
      <c r="B10548" s="1342"/>
      <c r="C10548" s="1342"/>
      <c r="D10548" s="1342"/>
      <c r="E10548" s="1342"/>
      <c r="F10548" s="1342"/>
      <c r="G10548" s="1342"/>
      <c r="H10548" s="1342"/>
      <c r="I10548" s="1342"/>
      <c r="J10548" s="1342"/>
      <c r="K10548" s="1342"/>
    </row>
    <row r="10549" spans="2:11" ht="14" hidden="1">
      <c r="B10549" s="1342"/>
      <c r="C10549" s="1342"/>
      <c r="D10549" s="1342"/>
      <c r="E10549" s="1342"/>
      <c r="F10549" s="1342"/>
      <c r="G10549" s="1342"/>
      <c r="H10549" s="1342"/>
      <c r="I10549" s="1342"/>
      <c r="J10549" s="1342"/>
      <c r="K10549" s="1342"/>
    </row>
    <row r="10550" spans="2:11" ht="14" hidden="1">
      <c r="B10550" s="1342"/>
      <c r="C10550" s="1342"/>
      <c r="D10550" s="1342"/>
      <c r="E10550" s="1342"/>
      <c r="F10550" s="1342"/>
      <c r="G10550" s="1342"/>
      <c r="H10550" s="1342"/>
      <c r="I10550" s="1342"/>
      <c r="J10550" s="1342"/>
      <c r="K10550" s="1342"/>
    </row>
    <row r="10551" spans="2:11" ht="14" hidden="1">
      <c r="B10551" s="1342"/>
      <c r="C10551" s="1342"/>
      <c r="D10551" s="1342"/>
      <c r="E10551" s="1342"/>
      <c r="F10551" s="1342"/>
      <c r="G10551" s="1342"/>
      <c r="H10551" s="1342"/>
      <c r="I10551" s="1342"/>
      <c r="J10551" s="1342"/>
      <c r="K10551" s="1342"/>
    </row>
    <row r="10552" spans="2:11" ht="14" hidden="1">
      <c r="B10552" s="1342"/>
      <c r="C10552" s="1342"/>
      <c r="D10552" s="1342"/>
      <c r="E10552" s="1342"/>
      <c r="F10552" s="1342"/>
      <c r="G10552" s="1342"/>
      <c r="H10552" s="1342"/>
      <c r="I10552" s="1342"/>
      <c r="J10552" s="1342"/>
      <c r="K10552" s="1342"/>
    </row>
    <row r="10553" spans="2:11" ht="14" hidden="1">
      <c r="B10553" s="1342"/>
      <c r="C10553" s="1342"/>
      <c r="D10553" s="1342"/>
      <c r="E10553" s="1342"/>
      <c r="F10553" s="1342"/>
      <c r="G10553" s="1342"/>
      <c r="H10553" s="1342"/>
      <c r="I10553" s="1342"/>
      <c r="J10553" s="1342"/>
      <c r="K10553" s="1342"/>
    </row>
    <row r="10554" spans="2:11" ht="14" hidden="1">
      <c r="B10554" s="1342"/>
      <c r="C10554" s="1342"/>
      <c r="D10554" s="1342"/>
      <c r="E10554" s="1342"/>
      <c r="F10554" s="1342"/>
      <c r="G10554" s="1342"/>
      <c r="H10554" s="1342"/>
      <c r="I10554" s="1342"/>
      <c r="J10554" s="1342"/>
      <c r="K10554" s="1342"/>
    </row>
    <row r="10555" spans="2:11" ht="14" hidden="1">
      <c r="B10555" s="1342"/>
      <c r="C10555" s="1342"/>
      <c r="D10555" s="1342"/>
      <c r="E10555" s="1342"/>
      <c r="F10555" s="1342"/>
      <c r="G10555" s="1342"/>
      <c r="H10555" s="1342"/>
      <c r="I10555" s="1342"/>
      <c r="J10555" s="1342"/>
      <c r="K10555" s="1342"/>
    </row>
    <row r="10556" spans="2:11" ht="14" hidden="1">
      <c r="B10556" s="1342"/>
      <c r="C10556" s="1342"/>
      <c r="D10556" s="1342"/>
      <c r="E10556" s="1342"/>
      <c r="F10556" s="1342"/>
      <c r="G10556" s="1342"/>
      <c r="H10556" s="1342"/>
      <c r="I10556" s="1342"/>
      <c r="J10556" s="1342"/>
      <c r="K10556" s="1342"/>
    </row>
    <row r="10557" spans="2:11" ht="14" hidden="1">
      <c r="B10557" s="1342"/>
      <c r="C10557" s="1342"/>
      <c r="D10557" s="1342"/>
      <c r="E10557" s="1342"/>
      <c r="F10557" s="1342"/>
      <c r="G10557" s="1342"/>
      <c r="H10557" s="1342"/>
      <c r="I10557" s="1342"/>
      <c r="J10557" s="1342"/>
      <c r="K10557" s="1342"/>
    </row>
    <row r="10558" spans="2:11" ht="14" hidden="1">
      <c r="B10558" s="1342"/>
      <c r="C10558" s="1342"/>
      <c r="D10558" s="1342"/>
      <c r="E10558" s="1342"/>
      <c r="F10558" s="1342"/>
      <c r="G10558" s="1342"/>
      <c r="H10558" s="1342"/>
      <c r="I10558" s="1342"/>
      <c r="J10558" s="1342"/>
      <c r="K10558" s="1342"/>
    </row>
    <row r="10559" spans="2:11" ht="14" hidden="1">
      <c r="B10559" s="1342"/>
      <c r="C10559" s="1342"/>
      <c r="D10559" s="1342"/>
      <c r="E10559" s="1342"/>
      <c r="F10559" s="1342"/>
      <c r="G10559" s="1342"/>
      <c r="H10559" s="1342"/>
      <c r="I10559" s="1342"/>
      <c r="J10559" s="1342"/>
      <c r="K10559" s="1342"/>
    </row>
    <row r="10560" spans="2:11" ht="14" hidden="1">
      <c r="B10560" s="1342"/>
      <c r="C10560" s="1342"/>
      <c r="D10560" s="1342"/>
      <c r="E10560" s="1342"/>
      <c r="F10560" s="1342"/>
      <c r="G10560" s="1342"/>
      <c r="H10560" s="1342"/>
      <c r="I10560" s="1342"/>
      <c r="J10560" s="1342"/>
      <c r="K10560" s="1342"/>
    </row>
    <row r="10561" spans="2:11" ht="14" hidden="1">
      <c r="B10561" s="1342"/>
      <c r="C10561" s="1342"/>
      <c r="D10561" s="1342"/>
      <c r="E10561" s="1342"/>
      <c r="F10561" s="1342"/>
      <c r="G10561" s="1342"/>
      <c r="H10561" s="1342"/>
      <c r="I10561" s="1342"/>
      <c r="J10561" s="1342"/>
      <c r="K10561" s="1342"/>
    </row>
    <row r="10562" spans="2:11" ht="14" hidden="1">
      <c r="B10562" s="1342"/>
      <c r="C10562" s="1342"/>
      <c r="D10562" s="1342"/>
      <c r="E10562" s="1342"/>
      <c r="F10562" s="1342"/>
      <c r="G10562" s="1342"/>
      <c r="H10562" s="1342"/>
      <c r="I10562" s="1342"/>
      <c r="J10562" s="1342"/>
      <c r="K10562" s="1342"/>
    </row>
    <row r="10563" spans="2:11" ht="14" hidden="1">
      <c r="B10563" s="1342"/>
      <c r="C10563" s="1342"/>
      <c r="D10563" s="1342"/>
      <c r="E10563" s="1342"/>
      <c r="F10563" s="1342"/>
      <c r="G10563" s="1342"/>
      <c r="H10563" s="1342"/>
      <c r="I10563" s="1342"/>
      <c r="J10563" s="1342"/>
      <c r="K10563" s="1342"/>
    </row>
    <row r="10564" spans="2:11" ht="14" hidden="1">
      <c r="B10564" s="1342"/>
      <c r="C10564" s="1342"/>
      <c r="D10564" s="1342"/>
      <c r="E10564" s="1342"/>
      <c r="F10564" s="1342"/>
      <c r="G10564" s="1342"/>
      <c r="H10564" s="1342"/>
      <c r="I10564" s="1342"/>
      <c r="J10564" s="1342"/>
      <c r="K10564" s="1342"/>
    </row>
    <row r="10565" spans="2:11" ht="14" hidden="1">
      <c r="B10565" s="1342"/>
      <c r="C10565" s="1342"/>
      <c r="D10565" s="1342"/>
      <c r="E10565" s="1342"/>
      <c r="F10565" s="1342"/>
      <c r="G10565" s="1342"/>
      <c r="H10565" s="1342"/>
      <c r="I10565" s="1342"/>
      <c r="J10565" s="1342"/>
      <c r="K10565" s="1342"/>
    </row>
    <row r="10566" spans="2:11" ht="14" hidden="1">
      <c r="B10566" s="1342"/>
      <c r="C10566" s="1342"/>
      <c r="D10566" s="1342"/>
      <c r="E10566" s="1342"/>
      <c r="F10566" s="1342"/>
      <c r="G10566" s="1342"/>
      <c r="H10566" s="1342"/>
      <c r="I10566" s="1342"/>
      <c r="J10566" s="1342"/>
      <c r="K10566" s="1342"/>
    </row>
    <row r="10567" spans="2:11" ht="14" hidden="1">
      <c r="B10567" s="1342"/>
      <c r="C10567" s="1342"/>
      <c r="D10567" s="1342"/>
      <c r="E10567" s="1342"/>
      <c r="F10567" s="1342"/>
      <c r="G10567" s="1342"/>
      <c r="H10567" s="1342"/>
      <c r="I10567" s="1342"/>
      <c r="J10567" s="1342"/>
      <c r="K10567" s="1342"/>
    </row>
    <row r="10568" spans="2:11" ht="14" hidden="1">
      <c r="B10568" s="1342"/>
      <c r="C10568" s="1342"/>
      <c r="D10568" s="1342"/>
      <c r="E10568" s="1342"/>
      <c r="F10568" s="1342"/>
      <c r="G10568" s="1342"/>
      <c r="H10568" s="1342"/>
      <c r="I10568" s="1342"/>
      <c r="J10568" s="1342"/>
      <c r="K10568" s="1342"/>
    </row>
    <row r="10569" spans="2:11" ht="14" hidden="1">
      <c r="B10569" s="1342"/>
      <c r="C10569" s="1342"/>
      <c r="D10569" s="1342"/>
      <c r="E10569" s="1342"/>
      <c r="F10569" s="1342"/>
      <c r="G10569" s="1342"/>
      <c r="H10569" s="1342"/>
      <c r="I10569" s="1342"/>
      <c r="J10569" s="1342"/>
      <c r="K10569" s="1342"/>
    </row>
    <row r="10570" spans="2:11" ht="14" hidden="1">
      <c r="B10570" s="1342"/>
      <c r="C10570" s="1342"/>
      <c r="D10570" s="1342"/>
      <c r="E10570" s="1342"/>
      <c r="F10570" s="1342"/>
      <c r="G10570" s="1342"/>
      <c r="H10570" s="1342"/>
      <c r="I10570" s="1342"/>
      <c r="J10570" s="1342"/>
      <c r="K10570" s="1342"/>
    </row>
    <row r="10571" spans="2:11" ht="14" hidden="1">
      <c r="B10571" s="1342"/>
      <c r="C10571" s="1342"/>
      <c r="D10571" s="1342"/>
      <c r="E10571" s="1342"/>
      <c r="F10571" s="1342"/>
      <c r="G10571" s="1342"/>
      <c r="H10571" s="1342"/>
      <c r="I10571" s="1342"/>
      <c r="J10571" s="1342"/>
      <c r="K10571" s="1342"/>
    </row>
    <row r="10572" spans="2:11" ht="14" hidden="1">
      <c r="B10572" s="1342"/>
      <c r="C10572" s="1342"/>
      <c r="D10572" s="1342"/>
      <c r="E10572" s="1342"/>
      <c r="F10572" s="1342"/>
      <c r="G10572" s="1342"/>
      <c r="H10572" s="1342"/>
      <c r="I10572" s="1342"/>
      <c r="J10572" s="1342"/>
      <c r="K10572" s="1342"/>
    </row>
    <row r="10573" spans="2:11" ht="14" hidden="1">
      <c r="B10573" s="1342"/>
      <c r="C10573" s="1342"/>
      <c r="D10573" s="1342"/>
      <c r="E10573" s="1342"/>
      <c r="F10573" s="1342"/>
      <c r="G10573" s="1342"/>
      <c r="H10573" s="1342"/>
      <c r="I10573" s="1342"/>
      <c r="J10573" s="1342"/>
      <c r="K10573" s="1342"/>
    </row>
    <row r="10574" spans="2:11" ht="14" hidden="1">
      <c r="B10574" s="1342"/>
      <c r="C10574" s="1342"/>
      <c r="D10574" s="1342"/>
      <c r="E10574" s="1342"/>
      <c r="F10574" s="1342"/>
      <c r="G10574" s="1342"/>
      <c r="H10574" s="1342"/>
      <c r="I10574" s="1342"/>
      <c r="J10574" s="1342"/>
      <c r="K10574" s="1342"/>
    </row>
    <row r="10575" spans="2:11" ht="14" hidden="1">
      <c r="B10575" s="1342"/>
      <c r="C10575" s="1342"/>
      <c r="D10575" s="1342"/>
      <c r="E10575" s="1342"/>
      <c r="F10575" s="1342"/>
      <c r="G10575" s="1342"/>
      <c r="H10575" s="1342"/>
      <c r="I10575" s="1342"/>
      <c r="J10575" s="1342"/>
      <c r="K10575" s="1342"/>
    </row>
    <row r="10576" spans="2:11" ht="14" hidden="1">
      <c r="B10576" s="1342"/>
      <c r="C10576" s="1342"/>
      <c r="D10576" s="1342"/>
      <c r="E10576" s="1342"/>
      <c r="F10576" s="1342"/>
      <c r="G10576" s="1342"/>
      <c r="H10576" s="1342"/>
      <c r="I10576" s="1342"/>
      <c r="J10576" s="1342"/>
      <c r="K10576" s="1342"/>
    </row>
    <row r="10577" spans="2:11" ht="14" hidden="1">
      <c r="B10577" s="1342"/>
      <c r="C10577" s="1342"/>
      <c r="D10577" s="1342"/>
      <c r="E10577" s="1342"/>
      <c r="F10577" s="1342"/>
      <c r="G10577" s="1342"/>
      <c r="H10577" s="1342"/>
      <c r="I10577" s="1342"/>
      <c r="J10577" s="1342"/>
      <c r="K10577" s="1342"/>
    </row>
    <row r="10578" spans="2:11" ht="14" hidden="1">
      <c r="B10578" s="1342"/>
      <c r="C10578" s="1342"/>
      <c r="D10578" s="1342"/>
      <c r="E10578" s="1342"/>
      <c r="F10578" s="1342"/>
      <c r="G10578" s="1342"/>
      <c r="H10578" s="1342"/>
      <c r="I10578" s="1342"/>
      <c r="J10578" s="1342"/>
      <c r="K10578" s="1342"/>
    </row>
    <row r="10579" spans="2:11" ht="14" hidden="1">
      <c r="B10579" s="1342"/>
      <c r="C10579" s="1342"/>
      <c r="D10579" s="1342"/>
      <c r="E10579" s="1342"/>
      <c r="F10579" s="1342"/>
      <c r="G10579" s="1342"/>
      <c r="H10579" s="1342"/>
      <c r="I10579" s="1342"/>
      <c r="J10579" s="1342"/>
      <c r="K10579" s="1342"/>
    </row>
    <row r="10580" spans="2:11" ht="14" hidden="1">
      <c r="B10580" s="1342"/>
      <c r="C10580" s="1342"/>
      <c r="D10580" s="1342"/>
      <c r="E10580" s="1342"/>
      <c r="F10580" s="1342"/>
      <c r="G10580" s="1342"/>
      <c r="H10580" s="1342"/>
      <c r="I10580" s="1342"/>
      <c r="J10580" s="1342"/>
      <c r="K10580" s="1342"/>
    </row>
    <row r="10581" spans="2:11" ht="14" hidden="1">
      <c r="B10581" s="1342"/>
      <c r="C10581" s="1342"/>
      <c r="D10581" s="1342"/>
      <c r="E10581" s="1342"/>
      <c r="F10581" s="1342"/>
      <c r="G10581" s="1342"/>
      <c r="H10581" s="1342"/>
      <c r="I10581" s="1342"/>
      <c r="J10581" s="1342"/>
      <c r="K10581" s="1342"/>
    </row>
    <row r="10582" spans="2:11" ht="14" hidden="1">
      <c r="B10582" s="1342"/>
      <c r="C10582" s="1342"/>
      <c r="D10582" s="1342"/>
      <c r="E10582" s="1342"/>
      <c r="F10582" s="1342"/>
      <c r="G10582" s="1342"/>
      <c r="H10582" s="1342"/>
      <c r="I10582" s="1342"/>
      <c r="J10582" s="1342"/>
      <c r="K10582" s="1342"/>
    </row>
    <row r="10583" spans="2:11" ht="14" hidden="1">
      <c r="B10583" s="1342"/>
      <c r="C10583" s="1342"/>
      <c r="D10583" s="1342"/>
      <c r="E10583" s="1342"/>
      <c r="F10583" s="1342"/>
      <c r="G10583" s="1342"/>
      <c r="H10583" s="1342"/>
      <c r="I10583" s="1342"/>
      <c r="J10583" s="1342"/>
      <c r="K10583" s="1342"/>
    </row>
    <row r="10584" spans="2:11" ht="14" hidden="1">
      <c r="B10584" s="1342"/>
      <c r="C10584" s="1342"/>
      <c r="D10584" s="1342"/>
      <c r="E10584" s="1342"/>
      <c r="F10584" s="1342"/>
      <c r="G10584" s="1342"/>
      <c r="H10584" s="1342"/>
      <c r="I10584" s="1342"/>
      <c r="J10584" s="1342"/>
      <c r="K10584" s="1342"/>
    </row>
    <row r="10585" spans="2:11" ht="14" hidden="1">
      <c r="B10585" s="1342"/>
      <c r="C10585" s="1342"/>
      <c r="D10585" s="1342"/>
      <c r="E10585" s="1342"/>
      <c r="F10585" s="1342"/>
      <c r="G10585" s="1342"/>
      <c r="H10585" s="1342"/>
      <c r="I10585" s="1342"/>
      <c r="J10585" s="1342"/>
      <c r="K10585" s="1342"/>
    </row>
    <row r="10586" spans="2:11" ht="14" hidden="1">
      <c r="B10586" s="1342"/>
      <c r="C10586" s="1342"/>
      <c r="D10586" s="1342"/>
      <c r="E10586" s="1342"/>
      <c r="F10586" s="1342"/>
      <c r="G10586" s="1342"/>
      <c r="H10586" s="1342"/>
      <c r="I10586" s="1342"/>
      <c r="J10586" s="1342"/>
      <c r="K10586" s="1342"/>
    </row>
    <row r="10587" spans="2:11" ht="14" hidden="1">
      <c r="B10587" s="1342"/>
      <c r="C10587" s="1342"/>
      <c r="D10587" s="1342"/>
      <c r="E10587" s="1342"/>
      <c r="F10587" s="1342"/>
      <c r="G10587" s="1342"/>
      <c r="H10587" s="1342"/>
      <c r="I10587" s="1342"/>
      <c r="J10587" s="1342"/>
      <c r="K10587" s="1342"/>
    </row>
    <row r="10588" spans="2:11" ht="14" hidden="1">
      <c r="B10588" s="1342"/>
      <c r="C10588" s="1342"/>
      <c r="D10588" s="1342"/>
      <c r="E10588" s="1342"/>
      <c r="F10588" s="1342"/>
      <c r="G10588" s="1342"/>
      <c r="H10588" s="1342"/>
      <c r="I10588" s="1342"/>
      <c r="J10588" s="1342"/>
      <c r="K10588" s="1342"/>
    </row>
    <row r="10589" spans="2:11" ht="14" hidden="1">
      <c r="B10589" s="1342"/>
      <c r="C10589" s="1342"/>
      <c r="D10589" s="1342"/>
      <c r="E10589" s="1342"/>
      <c r="F10589" s="1342"/>
      <c r="G10589" s="1342"/>
      <c r="H10589" s="1342"/>
      <c r="I10589" s="1342"/>
      <c r="J10589" s="1342"/>
      <c r="K10589" s="1342"/>
    </row>
    <row r="10590" spans="2:11" ht="14" hidden="1">
      <c r="B10590" s="1342"/>
      <c r="C10590" s="1342"/>
      <c r="D10590" s="1342"/>
      <c r="E10590" s="1342"/>
      <c r="F10590" s="1342"/>
      <c r="G10590" s="1342"/>
      <c r="H10590" s="1342"/>
      <c r="I10590" s="1342"/>
      <c r="J10590" s="1342"/>
      <c r="K10590" s="1342"/>
    </row>
    <row r="10591" spans="2:11" ht="14" hidden="1">
      <c r="B10591" s="1342"/>
      <c r="C10591" s="1342"/>
      <c r="D10591" s="1342"/>
      <c r="E10591" s="1342"/>
      <c r="F10591" s="1342"/>
      <c r="G10591" s="1342"/>
      <c r="H10591" s="1342"/>
      <c r="I10591" s="1342"/>
      <c r="J10591" s="1342"/>
      <c r="K10591" s="1342"/>
    </row>
    <row r="10592" spans="2:11" ht="14" hidden="1">
      <c r="B10592" s="1342"/>
      <c r="C10592" s="1342"/>
      <c r="D10592" s="1342"/>
      <c r="E10592" s="1342"/>
      <c r="F10592" s="1342"/>
      <c r="G10592" s="1342"/>
      <c r="H10592" s="1342"/>
      <c r="I10592" s="1342"/>
      <c r="J10592" s="1342"/>
      <c r="K10592" s="1342"/>
    </row>
    <row r="10593" spans="2:11" ht="14" hidden="1">
      <c r="B10593" s="1342"/>
      <c r="C10593" s="1342"/>
      <c r="D10593" s="1342"/>
      <c r="E10593" s="1342"/>
      <c r="F10593" s="1342"/>
      <c r="G10593" s="1342"/>
      <c r="H10593" s="1342"/>
      <c r="I10593" s="1342"/>
      <c r="J10593" s="1342"/>
      <c r="K10593" s="1342"/>
    </row>
    <row r="10594" spans="2:11" ht="14" hidden="1">
      <c r="B10594" s="1342"/>
      <c r="C10594" s="1342"/>
      <c r="D10594" s="1342"/>
      <c r="E10594" s="1342"/>
      <c r="F10594" s="1342"/>
      <c r="G10594" s="1342"/>
      <c r="H10594" s="1342"/>
      <c r="I10594" s="1342"/>
      <c r="J10594" s="1342"/>
      <c r="K10594" s="1342"/>
    </row>
    <row r="10595" spans="2:11" ht="14" hidden="1">
      <c r="B10595" s="1342"/>
      <c r="C10595" s="1342"/>
      <c r="D10595" s="1342"/>
      <c r="E10595" s="1342"/>
      <c r="F10595" s="1342"/>
      <c r="G10595" s="1342"/>
      <c r="H10595" s="1342"/>
      <c r="I10595" s="1342"/>
      <c r="J10595" s="1342"/>
      <c r="K10595" s="1342"/>
    </row>
    <row r="10596" spans="2:11" ht="14" hidden="1">
      <c r="B10596" s="1342"/>
      <c r="C10596" s="1342"/>
      <c r="D10596" s="1342"/>
      <c r="E10596" s="1342"/>
      <c r="F10596" s="1342"/>
      <c r="G10596" s="1342"/>
      <c r="H10596" s="1342"/>
      <c r="I10596" s="1342"/>
      <c r="J10596" s="1342"/>
      <c r="K10596" s="1342"/>
    </row>
    <row r="10597" spans="2:11" ht="14" hidden="1">
      <c r="B10597" s="1342"/>
      <c r="C10597" s="1342"/>
      <c r="D10597" s="1342"/>
      <c r="E10597" s="1342"/>
      <c r="F10597" s="1342"/>
      <c r="G10597" s="1342"/>
      <c r="H10597" s="1342"/>
      <c r="I10597" s="1342"/>
      <c r="J10597" s="1342"/>
      <c r="K10597" s="1342"/>
    </row>
    <row r="10598" spans="2:11" ht="14" hidden="1">
      <c r="B10598" s="1342"/>
      <c r="C10598" s="1342"/>
      <c r="D10598" s="1342"/>
      <c r="E10598" s="1342"/>
      <c r="F10598" s="1342"/>
      <c r="G10598" s="1342"/>
      <c r="H10598" s="1342"/>
      <c r="I10598" s="1342"/>
      <c r="J10598" s="1342"/>
      <c r="K10598" s="1342"/>
    </row>
    <row r="10599" spans="2:11" ht="14" hidden="1">
      <c r="B10599" s="1342"/>
      <c r="C10599" s="1342"/>
      <c r="D10599" s="1342"/>
      <c r="E10599" s="1342"/>
      <c r="F10599" s="1342"/>
      <c r="G10599" s="1342"/>
      <c r="H10599" s="1342"/>
      <c r="I10599" s="1342"/>
      <c r="J10599" s="1342"/>
      <c r="K10599" s="1342"/>
    </row>
    <row r="10600" spans="2:11" ht="14" hidden="1">
      <c r="B10600" s="1342"/>
      <c r="C10600" s="1342"/>
      <c r="D10600" s="1342"/>
      <c r="E10600" s="1342"/>
      <c r="F10600" s="1342"/>
      <c r="G10600" s="1342"/>
      <c r="H10600" s="1342"/>
      <c r="I10600" s="1342"/>
      <c r="J10600" s="1342"/>
      <c r="K10600" s="1342"/>
    </row>
    <row r="10601" spans="2:11" ht="14" hidden="1">
      <c r="B10601" s="1342"/>
      <c r="C10601" s="1342"/>
      <c r="D10601" s="1342"/>
      <c r="E10601" s="1342"/>
      <c r="F10601" s="1342"/>
      <c r="G10601" s="1342"/>
      <c r="H10601" s="1342"/>
      <c r="I10601" s="1342"/>
      <c r="J10601" s="1342"/>
      <c r="K10601" s="1342"/>
    </row>
    <row r="10602" spans="2:11" ht="14" hidden="1">
      <c r="B10602" s="1342"/>
      <c r="C10602" s="1342"/>
      <c r="D10602" s="1342"/>
      <c r="E10602" s="1342"/>
      <c r="F10602" s="1342"/>
      <c r="G10602" s="1342"/>
      <c r="H10602" s="1342"/>
      <c r="I10602" s="1342"/>
      <c r="J10602" s="1342"/>
      <c r="K10602" s="1342"/>
    </row>
    <row r="10603" spans="2:11" ht="14" hidden="1">
      <c r="B10603" s="1342"/>
      <c r="C10603" s="1342"/>
      <c r="D10603" s="1342"/>
      <c r="E10603" s="1342"/>
      <c r="F10603" s="1342"/>
      <c r="G10603" s="1342"/>
      <c r="H10603" s="1342"/>
      <c r="I10603" s="1342"/>
      <c r="J10603" s="1342"/>
      <c r="K10603" s="1342"/>
    </row>
    <row r="10604" spans="2:11" ht="14" hidden="1">
      <c r="B10604" s="1342"/>
      <c r="C10604" s="1342"/>
      <c r="D10604" s="1342"/>
      <c r="E10604" s="1342"/>
      <c r="F10604" s="1342"/>
      <c r="G10604" s="1342"/>
      <c r="H10604" s="1342"/>
      <c r="I10604" s="1342"/>
      <c r="J10604" s="1342"/>
      <c r="K10604" s="1342"/>
    </row>
    <row r="10605" spans="2:11" ht="14" hidden="1">
      <c r="B10605" s="1342"/>
      <c r="C10605" s="1342"/>
      <c r="D10605" s="1342"/>
      <c r="E10605" s="1342"/>
      <c r="F10605" s="1342"/>
      <c r="G10605" s="1342"/>
      <c r="H10605" s="1342"/>
      <c r="I10605" s="1342"/>
      <c r="J10605" s="1342"/>
      <c r="K10605" s="1342"/>
    </row>
    <row r="10606" spans="2:11" ht="14" hidden="1">
      <c r="B10606" s="1342"/>
      <c r="C10606" s="1342"/>
      <c r="D10606" s="1342"/>
      <c r="E10606" s="1342"/>
      <c r="F10606" s="1342"/>
      <c r="G10606" s="1342"/>
      <c r="H10606" s="1342"/>
      <c r="I10606" s="1342"/>
      <c r="J10606" s="1342"/>
      <c r="K10606" s="1342"/>
    </row>
    <row r="10607" spans="2:11" ht="14" hidden="1">
      <c r="B10607" s="1342"/>
      <c r="C10607" s="1342"/>
      <c r="D10607" s="1342"/>
      <c r="E10607" s="1342"/>
      <c r="F10607" s="1342"/>
      <c r="G10607" s="1342"/>
      <c r="H10607" s="1342"/>
      <c r="I10607" s="1342"/>
      <c r="J10607" s="1342"/>
      <c r="K10607" s="1342"/>
    </row>
    <row r="10608" spans="2:11" ht="14" hidden="1">
      <c r="B10608" s="1342"/>
      <c r="C10608" s="1342"/>
      <c r="D10608" s="1342"/>
      <c r="E10608" s="1342"/>
      <c r="F10608" s="1342"/>
      <c r="G10608" s="1342"/>
      <c r="H10608" s="1342"/>
      <c r="I10608" s="1342"/>
      <c r="J10608" s="1342"/>
      <c r="K10608" s="1342"/>
    </row>
    <row r="10609" spans="2:11" ht="14" hidden="1">
      <c r="B10609" s="1342"/>
      <c r="C10609" s="1342"/>
      <c r="D10609" s="1342"/>
      <c r="E10609" s="1342"/>
      <c r="F10609" s="1342"/>
      <c r="G10609" s="1342"/>
      <c r="H10609" s="1342"/>
      <c r="I10609" s="1342"/>
      <c r="J10609" s="1342"/>
      <c r="K10609" s="1342"/>
    </row>
    <row r="10610" spans="2:11" ht="14" hidden="1">
      <c r="B10610" s="1342"/>
      <c r="C10610" s="1342"/>
      <c r="D10610" s="1342"/>
      <c r="E10610" s="1342"/>
      <c r="F10610" s="1342"/>
      <c r="G10610" s="1342"/>
      <c r="H10610" s="1342"/>
      <c r="I10610" s="1342"/>
      <c r="J10610" s="1342"/>
      <c r="K10610" s="1342"/>
    </row>
    <row r="10611" spans="2:11" ht="14" hidden="1">
      <c r="B10611" s="1342"/>
      <c r="C10611" s="1342"/>
      <c r="D10611" s="1342"/>
      <c r="E10611" s="1342"/>
      <c r="F10611" s="1342"/>
      <c r="G10611" s="1342"/>
      <c r="H10611" s="1342"/>
      <c r="I10611" s="1342"/>
      <c r="J10611" s="1342"/>
      <c r="K10611" s="1342"/>
    </row>
    <row r="10612" spans="2:11" ht="14" hidden="1">
      <c r="B10612" s="1342"/>
      <c r="C10612" s="1342"/>
      <c r="D10612" s="1342"/>
      <c r="E10612" s="1342"/>
      <c r="F10612" s="1342"/>
      <c r="G10612" s="1342"/>
      <c r="H10612" s="1342"/>
      <c r="I10612" s="1342"/>
      <c r="J10612" s="1342"/>
      <c r="K10612" s="1342"/>
    </row>
    <row r="10613" spans="2:11" ht="14" hidden="1">
      <c r="B10613" s="1342"/>
      <c r="C10613" s="1342"/>
      <c r="D10613" s="1342"/>
      <c r="E10613" s="1342"/>
      <c r="F10613" s="1342"/>
      <c r="G10613" s="1342"/>
      <c r="H10613" s="1342"/>
      <c r="I10613" s="1342"/>
      <c r="J10613" s="1342"/>
      <c r="K10613" s="1342"/>
    </row>
    <row r="10614" spans="2:11" ht="14" hidden="1">
      <c r="B10614" s="1342"/>
      <c r="C10614" s="1342"/>
      <c r="D10614" s="1342"/>
      <c r="E10614" s="1342"/>
      <c r="F10614" s="1342"/>
      <c r="G10614" s="1342"/>
      <c r="H10614" s="1342"/>
      <c r="I10614" s="1342"/>
      <c r="J10614" s="1342"/>
      <c r="K10614" s="1342"/>
    </row>
    <row r="10615" spans="2:11" ht="14" hidden="1">
      <c r="B10615" s="1342"/>
      <c r="C10615" s="1342"/>
      <c r="D10615" s="1342"/>
      <c r="E10615" s="1342"/>
      <c r="F10615" s="1342"/>
      <c r="G10615" s="1342"/>
      <c r="H10615" s="1342"/>
      <c r="I10615" s="1342"/>
      <c r="J10615" s="1342"/>
      <c r="K10615" s="1342"/>
    </row>
    <row r="10616" spans="2:11" ht="14" hidden="1">
      <c r="B10616" s="1342"/>
      <c r="C10616" s="1342"/>
      <c r="D10616" s="1342"/>
      <c r="E10616" s="1342"/>
      <c r="F10616" s="1342"/>
      <c r="G10616" s="1342"/>
      <c r="H10616" s="1342"/>
      <c r="I10616" s="1342"/>
      <c r="J10616" s="1342"/>
      <c r="K10616" s="1342"/>
    </row>
    <row r="10617" spans="2:11" ht="14" hidden="1">
      <c r="B10617" s="1342"/>
      <c r="C10617" s="1342"/>
      <c r="D10617" s="1342"/>
      <c r="E10617" s="1342"/>
      <c r="F10617" s="1342"/>
      <c r="G10617" s="1342"/>
      <c r="H10617" s="1342"/>
      <c r="I10617" s="1342"/>
      <c r="J10617" s="1342"/>
      <c r="K10617" s="1342"/>
    </row>
    <row r="10618" spans="2:11" ht="14" hidden="1">
      <c r="B10618" s="1342"/>
      <c r="C10618" s="1342"/>
      <c r="D10618" s="1342"/>
      <c r="E10618" s="1342"/>
      <c r="F10618" s="1342"/>
      <c r="G10618" s="1342"/>
      <c r="H10618" s="1342"/>
      <c r="I10618" s="1342"/>
      <c r="J10618" s="1342"/>
      <c r="K10618" s="1342"/>
    </row>
    <row r="10619" spans="2:11" ht="14" hidden="1">
      <c r="B10619" s="1342"/>
      <c r="C10619" s="1342"/>
      <c r="D10619" s="1342"/>
      <c r="E10619" s="1342"/>
      <c r="F10619" s="1342"/>
      <c r="G10619" s="1342"/>
      <c r="H10619" s="1342"/>
      <c r="I10619" s="1342"/>
      <c r="J10619" s="1342"/>
      <c r="K10619" s="1342"/>
    </row>
    <row r="10620" spans="2:11" ht="14" hidden="1">
      <c r="B10620" s="1342"/>
      <c r="C10620" s="1342"/>
      <c r="D10620" s="1342"/>
      <c r="E10620" s="1342"/>
      <c r="F10620" s="1342"/>
      <c r="G10620" s="1342"/>
      <c r="H10620" s="1342"/>
      <c r="I10620" s="1342"/>
      <c r="J10620" s="1342"/>
      <c r="K10620" s="1342"/>
    </row>
    <row r="10621" spans="2:11" ht="14" hidden="1">
      <c r="B10621" s="1342"/>
      <c r="C10621" s="1342"/>
      <c r="D10621" s="1342"/>
      <c r="E10621" s="1342"/>
      <c r="F10621" s="1342"/>
      <c r="G10621" s="1342"/>
      <c r="H10621" s="1342"/>
      <c r="I10621" s="1342"/>
      <c r="J10621" s="1342"/>
      <c r="K10621" s="1342"/>
    </row>
    <row r="10622" spans="2:11" ht="14" hidden="1">
      <c r="B10622" s="1342"/>
      <c r="C10622" s="1342"/>
      <c r="D10622" s="1342"/>
      <c r="E10622" s="1342"/>
      <c r="F10622" s="1342"/>
      <c r="G10622" s="1342"/>
      <c r="H10622" s="1342"/>
      <c r="I10622" s="1342"/>
      <c r="J10622" s="1342"/>
      <c r="K10622" s="1342"/>
    </row>
    <row r="10623" spans="2:11" ht="14" hidden="1">
      <c r="B10623" s="1342"/>
      <c r="C10623" s="1342"/>
      <c r="D10623" s="1342"/>
      <c r="E10623" s="1342"/>
      <c r="F10623" s="1342"/>
      <c r="G10623" s="1342"/>
      <c r="H10623" s="1342"/>
      <c r="I10623" s="1342"/>
      <c r="J10623" s="1342"/>
      <c r="K10623" s="1342"/>
    </row>
    <row r="10624" spans="2:11" ht="14" hidden="1">
      <c r="B10624" s="1342"/>
      <c r="C10624" s="1342"/>
      <c r="D10624" s="1342"/>
      <c r="E10624" s="1342"/>
      <c r="F10624" s="1342"/>
      <c r="G10624" s="1342"/>
      <c r="H10624" s="1342"/>
      <c r="I10624" s="1342"/>
      <c r="J10624" s="1342"/>
      <c r="K10624" s="1342"/>
    </row>
    <row r="10625" spans="2:11" ht="14" hidden="1">
      <c r="B10625" s="1342"/>
      <c r="C10625" s="1342"/>
      <c r="D10625" s="1342"/>
      <c r="E10625" s="1342"/>
      <c r="F10625" s="1342"/>
      <c r="G10625" s="1342"/>
      <c r="H10625" s="1342"/>
      <c r="I10625" s="1342"/>
      <c r="J10625" s="1342"/>
      <c r="K10625" s="1342"/>
    </row>
    <row r="10626" spans="2:11" ht="14" hidden="1">
      <c r="B10626" s="1342"/>
      <c r="C10626" s="1342"/>
      <c r="D10626" s="1342"/>
      <c r="E10626" s="1342"/>
      <c r="F10626" s="1342"/>
      <c r="G10626" s="1342"/>
      <c r="H10626" s="1342"/>
      <c r="I10626" s="1342"/>
      <c r="J10626" s="1342"/>
      <c r="K10626" s="1342"/>
    </row>
    <row r="10627" spans="2:11" ht="14" hidden="1">
      <c r="B10627" s="1342"/>
      <c r="C10627" s="1342"/>
      <c r="D10627" s="1342"/>
      <c r="E10627" s="1342"/>
      <c r="F10627" s="1342"/>
      <c r="G10627" s="1342"/>
      <c r="H10627" s="1342"/>
      <c r="I10627" s="1342"/>
      <c r="J10627" s="1342"/>
      <c r="K10627" s="1342"/>
    </row>
    <row r="10628" spans="2:11" ht="14" hidden="1">
      <c r="B10628" s="1342"/>
      <c r="C10628" s="1342"/>
      <c r="D10628" s="1342"/>
      <c r="E10628" s="1342"/>
      <c r="F10628" s="1342"/>
      <c r="G10628" s="1342"/>
      <c r="H10628" s="1342"/>
      <c r="I10628" s="1342"/>
      <c r="J10628" s="1342"/>
      <c r="K10628" s="1342"/>
    </row>
    <row r="10629" spans="2:11" ht="14" hidden="1">
      <c r="B10629" s="1342"/>
      <c r="C10629" s="1342"/>
      <c r="D10629" s="1342"/>
      <c r="E10629" s="1342"/>
      <c r="F10629" s="1342"/>
      <c r="G10629" s="1342"/>
      <c r="H10629" s="1342"/>
      <c r="I10629" s="1342"/>
      <c r="J10629" s="1342"/>
      <c r="K10629" s="1342"/>
    </row>
    <row r="10630" spans="2:11" ht="14" hidden="1">
      <c r="B10630" s="1342"/>
      <c r="C10630" s="1342"/>
      <c r="D10630" s="1342"/>
      <c r="E10630" s="1342"/>
      <c r="F10630" s="1342"/>
      <c r="G10630" s="1342"/>
      <c r="H10630" s="1342"/>
      <c r="I10630" s="1342"/>
      <c r="J10630" s="1342"/>
      <c r="K10630" s="1342"/>
    </row>
    <row r="10631" spans="2:11" ht="14" hidden="1">
      <c r="B10631" s="1342"/>
      <c r="C10631" s="1342"/>
      <c r="D10631" s="1342"/>
      <c r="E10631" s="1342"/>
      <c r="F10631" s="1342"/>
      <c r="G10631" s="1342"/>
      <c r="H10631" s="1342"/>
      <c r="I10631" s="1342"/>
      <c r="J10631" s="1342"/>
      <c r="K10631" s="1342"/>
    </row>
    <row r="10632" spans="2:11" ht="14" hidden="1">
      <c r="B10632" s="1342"/>
      <c r="C10632" s="1342"/>
      <c r="D10632" s="1342"/>
      <c r="E10632" s="1342"/>
      <c r="F10632" s="1342"/>
      <c r="G10632" s="1342"/>
      <c r="H10632" s="1342"/>
      <c r="I10632" s="1342"/>
      <c r="J10632" s="1342"/>
      <c r="K10632" s="1342"/>
    </row>
    <row r="10633" spans="2:11" ht="14" hidden="1">
      <c r="B10633" s="1342"/>
      <c r="C10633" s="1342"/>
      <c r="D10633" s="1342"/>
      <c r="E10633" s="1342"/>
      <c r="F10633" s="1342"/>
      <c r="G10633" s="1342"/>
      <c r="H10633" s="1342"/>
      <c r="I10633" s="1342"/>
      <c r="J10633" s="1342"/>
      <c r="K10633" s="1342"/>
    </row>
    <row r="10634" spans="2:11" ht="14" hidden="1">
      <c r="B10634" s="1342"/>
      <c r="C10634" s="1342"/>
      <c r="D10634" s="1342"/>
      <c r="E10634" s="1342"/>
      <c r="F10634" s="1342"/>
      <c r="G10634" s="1342"/>
      <c r="H10634" s="1342"/>
      <c r="I10634" s="1342"/>
      <c r="J10634" s="1342"/>
      <c r="K10634" s="1342"/>
    </row>
    <row r="10635" spans="2:11" ht="14" hidden="1">
      <c r="B10635" s="1342"/>
      <c r="C10635" s="1342"/>
      <c r="D10635" s="1342"/>
      <c r="E10635" s="1342"/>
      <c r="F10635" s="1342"/>
      <c r="G10635" s="1342"/>
      <c r="H10635" s="1342"/>
      <c r="I10635" s="1342"/>
      <c r="J10635" s="1342"/>
      <c r="K10635" s="1342"/>
    </row>
    <row r="10636" spans="2:11" ht="14" hidden="1">
      <c r="B10636" s="1342"/>
      <c r="C10636" s="1342"/>
      <c r="D10636" s="1342"/>
      <c r="E10636" s="1342"/>
      <c r="F10636" s="1342"/>
      <c r="G10636" s="1342"/>
      <c r="H10636" s="1342"/>
      <c r="I10636" s="1342"/>
      <c r="J10636" s="1342"/>
      <c r="K10636" s="1342"/>
    </row>
    <row r="10637" spans="2:11" ht="14" hidden="1">
      <c r="B10637" s="1342"/>
      <c r="C10637" s="1342"/>
      <c r="D10637" s="1342"/>
      <c r="E10637" s="1342"/>
      <c r="F10637" s="1342"/>
      <c r="G10637" s="1342"/>
      <c r="H10637" s="1342"/>
      <c r="I10637" s="1342"/>
      <c r="J10637" s="1342"/>
      <c r="K10637" s="1342"/>
    </row>
    <row r="10638" spans="2:11" ht="14" hidden="1">
      <c r="B10638" s="1342"/>
      <c r="C10638" s="1342"/>
      <c r="D10638" s="1342"/>
      <c r="E10638" s="1342"/>
      <c r="F10638" s="1342"/>
      <c r="G10638" s="1342"/>
      <c r="H10638" s="1342"/>
      <c r="I10638" s="1342"/>
      <c r="J10638" s="1342"/>
      <c r="K10638" s="1342"/>
    </row>
    <row r="10639" spans="2:11" ht="14" hidden="1">
      <c r="B10639" s="1342"/>
      <c r="C10639" s="1342"/>
      <c r="D10639" s="1342"/>
      <c r="E10639" s="1342"/>
      <c r="F10639" s="1342"/>
      <c r="G10639" s="1342"/>
      <c r="H10639" s="1342"/>
      <c r="I10639" s="1342"/>
      <c r="J10639" s="1342"/>
      <c r="K10639" s="1342"/>
    </row>
    <row r="10640" spans="2:11" ht="14" hidden="1">
      <c r="B10640" s="1342"/>
      <c r="C10640" s="1342"/>
      <c r="D10640" s="1342"/>
      <c r="E10640" s="1342"/>
      <c r="F10640" s="1342"/>
      <c r="G10640" s="1342"/>
      <c r="H10640" s="1342"/>
      <c r="I10640" s="1342"/>
      <c r="J10640" s="1342"/>
      <c r="K10640" s="1342"/>
    </row>
    <row r="10641" spans="2:11" ht="14" hidden="1">
      <c r="B10641" s="1342"/>
      <c r="C10641" s="1342"/>
      <c r="D10641" s="1342"/>
      <c r="E10641" s="1342"/>
      <c r="F10641" s="1342"/>
      <c r="G10641" s="1342"/>
      <c r="H10641" s="1342"/>
      <c r="I10641" s="1342"/>
      <c r="J10641" s="1342"/>
      <c r="K10641" s="1342"/>
    </row>
    <row r="10642" spans="2:11" ht="14" hidden="1">
      <c r="B10642" s="1342"/>
      <c r="C10642" s="1342"/>
      <c r="D10642" s="1342"/>
      <c r="E10642" s="1342"/>
      <c r="F10642" s="1342"/>
      <c r="G10642" s="1342"/>
      <c r="H10642" s="1342"/>
      <c r="I10642" s="1342"/>
      <c r="J10642" s="1342"/>
      <c r="K10642" s="1342"/>
    </row>
    <row r="10643" spans="2:11" ht="14" hidden="1">
      <c r="B10643" s="1342"/>
      <c r="C10643" s="1342"/>
      <c r="D10643" s="1342"/>
      <c r="E10643" s="1342"/>
      <c r="F10643" s="1342"/>
      <c r="G10643" s="1342"/>
      <c r="H10643" s="1342"/>
      <c r="I10643" s="1342"/>
      <c r="J10643" s="1342"/>
      <c r="K10643" s="1342"/>
    </row>
    <row r="10644" spans="2:11" ht="14" hidden="1">
      <c r="B10644" s="1342"/>
      <c r="C10644" s="1342"/>
      <c r="D10644" s="1342"/>
      <c r="E10644" s="1342"/>
      <c r="F10644" s="1342"/>
      <c r="G10644" s="1342"/>
      <c r="H10644" s="1342"/>
      <c r="I10644" s="1342"/>
      <c r="J10644" s="1342"/>
      <c r="K10644" s="1342"/>
    </row>
    <row r="10645" spans="2:11" ht="14" hidden="1">
      <c r="B10645" s="1342"/>
      <c r="C10645" s="1342"/>
      <c r="D10645" s="1342"/>
      <c r="E10645" s="1342"/>
      <c r="F10645" s="1342"/>
      <c r="G10645" s="1342"/>
      <c r="H10645" s="1342"/>
      <c r="I10645" s="1342"/>
      <c r="J10645" s="1342"/>
      <c r="K10645" s="1342"/>
    </row>
    <row r="10646" spans="2:11" ht="14" hidden="1">
      <c r="B10646" s="1342"/>
      <c r="C10646" s="1342"/>
      <c r="D10646" s="1342"/>
      <c r="E10646" s="1342"/>
      <c r="F10646" s="1342"/>
      <c r="G10646" s="1342"/>
      <c r="H10646" s="1342"/>
      <c r="I10646" s="1342"/>
      <c r="J10646" s="1342"/>
      <c r="K10646" s="1342"/>
    </row>
    <row r="10647" spans="2:11" ht="14" hidden="1">
      <c r="B10647" s="1342"/>
      <c r="C10647" s="1342"/>
      <c r="D10647" s="1342"/>
      <c r="E10647" s="1342"/>
      <c r="F10647" s="1342"/>
      <c r="G10647" s="1342"/>
      <c r="H10647" s="1342"/>
      <c r="I10647" s="1342"/>
      <c r="J10647" s="1342"/>
      <c r="K10647" s="1342"/>
    </row>
    <row r="10648" spans="2:11" ht="14" hidden="1">
      <c r="B10648" s="1342"/>
      <c r="C10648" s="1342"/>
      <c r="D10648" s="1342"/>
      <c r="E10648" s="1342"/>
      <c r="F10648" s="1342"/>
      <c r="G10648" s="1342"/>
      <c r="H10648" s="1342"/>
      <c r="I10648" s="1342"/>
      <c r="J10648" s="1342"/>
      <c r="K10648" s="1342"/>
    </row>
    <row r="10649" spans="2:11" ht="14" hidden="1">
      <c r="B10649" s="1342"/>
      <c r="C10649" s="1342"/>
      <c r="D10649" s="1342"/>
      <c r="E10649" s="1342"/>
      <c r="F10649" s="1342"/>
      <c r="G10649" s="1342"/>
      <c r="H10649" s="1342"/>
      <c r="I10649" s="1342"/>
      <c r="J10649" s="1342"/>
      <c r="K10649" s="1342"/>
    </row>
    <row r="10650" spans="2:11" ht="14" hidden="1">
      <c r="B10650" s="1342"/>
      <c r="C10650" s="1342"/>
      <c r="D10650" s="1342"/>
      <c r="E10650" s="1342"/>
      <c r="F10650" s="1342"/>
      <c r="G10650" s="1342"/>
      <c r="H10650" s="1342"/>
      <c r="I10650" s="1342"/>
      <c r="J10650" s="1342"/>
      <c r="K10650" s="1342"/>
    </row>
    <row r="10651" spans="2:11" ht="14" hidden="1">
      <c r="B10651" s="1342"/>
      <c r="C10651" s="1342"/>
      <c r="D10651" s="1342"/>
      <c r="E10651" s="1342"/>
      <c r="F10651" s="1342"/>
      <c r="G10651" s="1342"/>
      <c r="H10651" s="1342"/>
      <c r="I10651" s="1342"/>
      <c r="J10651" s="1342"/>
      <c r="K10651" s="1342"/>
    </row>
    <row r="10652" spans="2:11" ht="14" hidden="1">
      <c r="B10652" s="1342"/>
      <c r="C10652" s="1342"/>
      <c r="D10652" s="1342"/>
      <c r="E10652" s="1342"/>
      <c r="F10652" s="1342"/>
      <c r="G10652" s="1342"/>
      <c r="H10652" s="1342"/>
      <c r="I10652" s="1342"/>
      <c r="J10652" s="1342"/>
      <c r="K10652" s="1342"/>
    </row>
    <row r="10653" spans="2:11" ht="14" hidden="1">
      <c r="B10653" s="1342"/>
      <c r="C10653" s="1342"/>
      <c r="D10653" s="1342"/>
      <c r="E10653" s="1342"/>
      <c r="F10653" s="1342"/>
      <c r="G10653" s="1342"/>
      <c r="H10653" s="1342"/>
      <c r="I10653" s="1342"/>
      <c r="J10653" s="1342"/>
      <c r="K10653" s="1342"/>
    </row>
    <row r="10654" spans="2:11" ht="14" hidden="1">
      <c r="B10654" s="1342"/>
      <c r="C10654" s="1342"/>
      <c r="D10654" s="1342"/>
      <c r="E10654" s="1342"/>
      <c r="F10654" s="1342"/>
      <c r="G10654" s="1342"/>
      <c r="H10654" s="1342"/>
      <c r="I10654" s="1342"/>
      <c r="J10654" s="1342"/>
      <c r="K10654" s="1342"/>
    </row>
    <row r="10655" spans="2:11" ht="14" hidden="1">
      <c r="B10655" s="1342"/>
      <c r="C10655" s="1342"/>
      <c r="D10655" s="1342"/>
      <c r="E10655" s="1342"/>
      <c r="F10655" s="1342"/>
      <c r="G10655" s="1342"/>
      <c r="H10655" s="1342"/>
      <c r="I10655" s="1342"/>
      <c r="J10655" s="1342"/>
      <c r="K10655" s="1342"/>
    </row>
    <row r="10656" spans="2:11" ht="14" hidden="1">
      <c r="B10656" s="1342"/>
      <c r="C10656" s="1342"/>
      <c r="D10656" s="1342"/>
      <c r="E10656" s="1342"/>
      <c r="F10656" s="1342"/>
      <c r="G10656" s="1342"/>
      <c r="H10656" s="1342"/>
      <c r="I10656" s="1342"/>
      <c r="J10656" s="1342"/>
      <c r="K10656" s="1342"/>
    </row>
    <row r="10657" spans="2:11" ht="14" hidden="1">
      <c r="B10657" s="1342"/>
      <c r="C10657" s="1342"/>
      <c r="D10657" s="1342"/>
      <c r="E10657" s="1342"/>
      <c r="F10657" s="1342"/>
      <c r="G10657" s="1342"/>
      <c r="H10657" s="1342"/>
      <c r="I10657" s="1342"/>
      <c r="J10657" s="1342"/>
      <c r="K10657" s="1342"/>
    </row>
    <row r="10658" spans="2:11" ht="14" hidden="1">
      <c r="B10658" s="1342"/>
      <c r="C10658" s="1342"/>
      <c r="D10658" s="1342"/>
      <c r="E10658" s="1342"/>
      <c r="F10658" s="1342"/>
      <c r="G10658" s="1342"/>
      <c r="H10658" s="1342"/>
      <c r="I10658" s="1342"/>
      <c r="J10658" s="1342"/>
      <c r="K10658" s="1342"/>
    </row>
    <row r="10659" spans="2:11" ht="14" hidden="1">
      <c r="B10659" s="1342"/>
      <c r="C10659" s="1342"/>
      <c r="D10659" s="1342"/>
      <c r="E10659" s="1342"/>
      <c r="F10659" s="1342"/>
      <c r="G10659" s="1342"/>
      <c r="H10659" s="1342"/>
      <c r="I10659" s="1342"/>
      <c r="J10659" s="1342"/>
      <c r="K10659" s="1342"/>
    </row>
    <row r="10660" spans="2:11" ht="14" hidden="1">
      <c r="B10660" s="1342"/>
      <c r="C10660" s="1342"/>
      <c r="D10660" s="1342"/>
      <c r="E10660" s="1342"/>
      <c r="F10660" s="1342"/>
      <c r="G10660" s="1342"/>
      <c r="H10660" s="1342"/>
      <c r="I10660" s="1342"/>
      <c r="J10660" s="1342"/>
      <c r="K10660" s="1342"/>
    </row>
    <row r="10661" spans="2:11" ht="14" hidden="1">
      <c r="B10661" s="1342"/>
      <c r="C10661" s="1342"/>
      <c r="D10661" s="1342"/>
      <c r="E10661" s="1342"/>
      <c r="F10661" s="1342"/>
      <c r="G10661" s="1342"/>
      <c r="H10661" s="1342"/>
      <c r="I10661" s="1342"/>
      <c r="J10661" s="1342"/>
      <c r="K10661" s="1342"/>
    </row>
    <row r="10662" spans="2:11" ht="14" hidden="1">
      <c r="B10662" s="1342"/>
      <c r="C10662" s="1342"/>
      <c r="D10662" s="1342"/>
      <c r="E10662" s="1342"/>
      <c r="F10662" s="1342"/>
      <c r="G10662" s="1342"/>
      <c r="H10662" s="1342"/>
      <c r="I10662" s="1342"/>
      <c r="J10662" s="1342"/>
      <c r="K10662" s="1342"/>
    </row>
    <row r="10663" spans="2:11" ht="14" hidden="1">
      <c r="B10663" s="1342"/>
      <c r="C10663" s="1342"/>
      <c r="D10663" s="1342"/>
      <c r="E10663" s="1342"/>
      <c r="F10663" s="1342"/>
      <c r="G10663" s="1342"/>
      <c r="H10663" s="1342"/>
      <c r="I10663" s="1342"/>
      <c r="J10663" s="1342"/>
      <c r="K10663" s="1342"/>
    </row>
    <row r="10664" spans="2:11" ht="14" hidden="1">
      <c r="B10664" s="1342"/>
      <c r="C10664" s="1342"/>
      <c r="D10664" s="1342"/>
      <c r="E10664" s="1342"/>
      <c r="F10664" s="1342"/>
      <c r="G10664" s="1342"/>
      <c r="H10664" s="1342"/>
      <c r="I10664" s="1342"/>
      <c r="J10664" s="1342"/>
      <c r="K10664" s="1342"/>
    </row>
    <row r="10665" spans="2:11" ht="14" hidden="1">
      <c r="B10665" s="1342"/>
      <c r="C10665" s="1342"/>
      <c r="D10665" s="1342"/>
      <c r="E10665" s="1342"/>
      <c r="F10665" s="1342"/>
      <c r="G10665" s="1342"/>
      <c r="H10665" s="1342"/>
      <c r="I10665" s="1342"/>
      <c r="J10665" s="1342"/>
      <c r="K10665" s="1342"/>
    </row>
    <row r="10666" spans="2:11" ht="14" hidden="1">
      <c r="B10666" s="1342"/>
      <c r="C10666" s="1342"/>
      <c r="D10666" s="1342"/>
      <c r="E10666" s="1342"/>
      <c r="F10666" s="1342"/>
      <c r="G10666" s="1342"/>
      <c r="H10666" s="1342"/>
      <c r="I10666" s="1342"/>
      <c r="J10666" s="1342"/>
      <c r="K10666" s="1342"/>
    </row>
    <row r="10667" spans="2:11" ht="14" hidden="1">
      <c r="B10667" s="1342"/>
      <c r="C10667" s="1342"/>
      <c r="D10667" s="1342"/>
      <c r="E10667" s="1342"/>
      <c r="F10667" s="1342"/>
      <c r="G10667" s="1342"/>
      <c r="H10667" s="1342"/>
      <c r="I10667" s="1342"/>
      <c r="J10667" s="1342"/>
      <c r="K10667" s="1342"/>
    </row>
    <row r="10668" spans="2:11" ht="14" hidden="1">
      <c r="B10668" s="1342"/>
      <c r="C10668" s="1342"/>
      <c r="D10668" s="1342"/>
      <c r="E10668" s="1342"/>
      <c r="F10668" s="1342"/>
      <c r="G10668" s="1342"/>
      <c r="H10668" s="1342"/>
      <c r="I10668" s="1342"/>
      <c r="J10668" s="1342"/>
      <c r="K10668" s="1342"/>
    </row>
    <row r="10669" spans="2:11" ht="14" hidden="1">
      <c r="B10669" s="1342"/>
      <c r="C10669" s="1342"/>
      <c r="D10669" s="1342"/>
      <c r="E10669" s="1342"/>
      <c r="F10669" s="1342"/>
      <c r="G10669" s="1342"/>
      <c r="H10669" s="1342"/>
      <c r="I10669" s="1342"/>
      <c r="J10669" s="1342"/>
      <c r="K10669" s="1342"/>
    </row>
    <row r="10670" spans="2:11" ht="14" hidden="1">
      <c r="B10670" s="1342"/>
      <c r="C10670" s="1342"/>
      <c r="D10670" s="1342"/>
      <c r="E10670" s="1342"/>
      <c r="F10670" s="1342"/>
      <c r="G10670" s="1342"/>
      <c r="H10670" s="1342"/>
      <c r="I10670" s="1342"/>
      <c r="J10670" s="1342"/>
      <c r="K10670" s="1342"/>
    </row>
    <row r="10671" spans="2:11" ht="14" hidden="1">
      <c r="B10671" s="1342"/>
      <c r="C10671" s="1342"/>
      <c r="D10671" s="1342"/>
      <c r="E10671" s="1342"/>
      <c r="F10671" s="1342"/>
      <c r="G10671" s="1342"/>
      <c r="H10671" s="1342"/>
      <c r="I10671" s="1342"/>
      <c r="J10671" s="1342"/>
      <c r="K10671" s="1342"/>
    </row>
    <row r="10672" spans="2:11" ht="14" hidden="1">
      <c r="B10672" s="1342"/>
      <c r="C10672" s="1342"/>
      <c r="D10672" s="1342"/>
      <c r="E10672" s="1342"/>
      <c r="F10672" s="1342"/>
      <c r="G10672" s="1342"/>
      <c r="H10672" s="1342"/>
      <c r="I10672" s="1342"/>
      <c r="J10672" s="1342"/>
      <c r="K10672" s="1342"/>
    </row>
    <row r="10673" spans="2:11" ht="14" hidden="1">
      <c r="B10673" s="1342"/>
      <c r="C10673" s="1342"/>
      <c r="D10673" s="1342"/>
      <c r="E10673" s="1342"/>
      <c r="F10673" s="1342"/>
      <c r="G10673" s="1342"/>
      <c r="H10673" s="1342"/>
      <c r="I10673" s="1342"/>
      <c r="J10673" s="1342"/>
      <c r="K10673" s="1342"/>
    </row>
    <row r="10674" spans="2:11" ht="14" hidden="1">
      <c r="B10674" s="1342"/>
      <c r="C10674" s="1342"/>
      <c r="D10674" s="1342"/>
      <c r="E10674" s="1342"/>
      <c r="F10674" s="1342"/>
      <c r="G10674" s="1342"/>
      <c r="H10674" s="1342"/>
      <c r="I10674" s="1342"/>
      <c r="J10674" s="1342"/>
      <c r="K10674" s="1342"/>
    </row>
    <row r="10675" spans="2:11" ht="14" hidden="1">
      <c r="B10675" s="1342"/>
      <c r="C10675" s="1342"/>
      <c r="D10675" s="1342"/>
      <c r="E10675" s="1342"/>
      <c r="F10675" s="1342"/>
      <c r="G10675" s="1342"/>
      <c r="H10675" s="1342"/>
      <c r="I10675" s="1342"/>
      <c r="J10675" s="1342"/>
      <c r="K10675" s="1342"/>
    </row>
    <row r="10676" spans="2:11" ht="14" hidden="1">
      <c r="B10676" s="1342"/>
      <c r="C10676" s="1342"/>
      <c r="D10676" s="1342"/>
      <c r="E10676" s="1342"/>
      <c r="F10676" s="1342"/>
      <c r="G10676" s="1342"/>
      <c r="H10676" s="1342"/>
      <c r="I10676" s="1342"/>
      <c r="J10676" s="1342"/>
      <c r="K10676" s="1342"/>
    </row>
    <row r="10677" spans="2:11" ht="14" hidden="1">
      <c r="B10677" s="1342"/>
      <c r="C10677" s="1342"/>
      <c r="D10677" s="1342"/>
      <c r="E10677" s="1342"/>
      <c r="F10677" s="1342"/>
      <c r="G10677" s="1342"/>
      <c r="H10677" s="1342"/>
      <c r="I10677" s="1342"/>
      <c r="J10677" s="1342"/>
      <c r="K10677" s="1342"/>
    </row>
    <row r="10678" spans="2:11" ht="14" hidden="1">
      <c r="B10678" s="1342"/>
      <c r="C10678" s="1342"/>
      <c r="D10678" s="1342"/>
      <c r="E10678" s="1342"/>
      <c r="F10678" s="1342"/>
      <c r="G10678" s="1342"/>
      <c r="H10678" s="1342"/>
      <c r="I10678" s="1342"/>
      <c r="J10678" s="1342"/>
      <c r="K10678" s="1342"/>
    </row>
    <row r="10679" spans="2:11" ht="14" hidden="1">
      <c r="B10679" s="1342"/>
      <c r="C10679" s="1342"/>
      <c r="D10679" s="1342"/>
      <c r="E10679" s="1342"/>
      <c r="F10679" s="1342"/>
      <c r="G10679" s="1342"/>
      <c r="H10679" s="1342"/>
      <c r="I10679" s="1342"/>
      <c r="J10679" s="1342"/>
      <c r="K10679" s="1342"/>
    </row>
    <row r="10680" spans="2:11" ht="14" hidden="1">
      <c r="B10680" s="1342"/>
      <c r="C10680" s="1342"/>
      <c r="D10680" s="1342"/>
      <c r="E10680" s="1342"/>
      <c r="F10680" s="1342"/>
      <c r="G10680" s="1342"/>
      <c r="H10680" s="1342"/>
      <c r="I10680" s="1342"/>
      <c r="J10680" s="1342"/>
      <c r="K10680" s="1342"/>
    </row>
    <row r="10681" spans="2:11" ht="14" hidden="1">
      <c r="B10681" s="1342"/>
      <c r="C10681" s="1342"/>
      <c r="D10681" s="1342"/>
      <c r="E10681" s="1342"/>
      <c r="F10681" s="1342"/>
      <c r="G10681" s="1342"/>
      <c r="H10681" s="1342"/>
      <c r="I10681" s="1342"/>
      <c r="J10681" s="1342"/>
      <c r="K10681" s="1342"/>
    </row>
    <row r="10682" spans="2:11" ht="14" hidden="1">
      <c r="B10682" s="1342"/>
      <c r="C10682" s="1342"/>
      <c r="D10682" s="1342"/>
      <c r="E10682" s="1342"/>
      <c r="F10682" s="1342"/>
      <c r="G10682" s="1342"/>
      <c r="H10682" s="1342"/>
      <c r="I10682" s="1342"/>
      <c r="J10682" s="1342"/>
      <c r="K10682" s="1342"/>
    </row>
    <row r="10683" spans="2:11" ht="14" hidden="1">
      <c r="B10683" s="1342"/>
      <c r="C10683" s="1342"/>
      <c r="D10683" s="1342"/>
      <c r="E10683" s="1342"/>
      <c r="F10683" s="1342"/>
      <c r="G10683" s="1342"/>
      <c r="H10683" s="1342"/>
      <c r="I10683" s="1342"/>
      <c r="J10683" s="1342"/>
      <c r="K10683" s="1342"/>
    </row>
    <row r="10684" spans="2:11" ht="14" hidden="1">
      <c r="B10684" s="1342"/>
      <c r="C10684" s="1342"/>
      <c r="D10684" s="1342"/>
      <c r="E10684" s="1342"/>
      <c r="F10684" s="1342"/>
      <c r="G10684" s="1342"/>
      <c r="H10684" s="1342"/>
      <c r="I10684" s="1342"/>
      <c r="J10684" s="1342"/>
      <c r="K10684" s="1342"/>
    </row>
    <row r="10685" spans="2:11" ht="14" hidden="1">
      <c r="B10685" s="1342"/>
      <c r="C10685" s="1342"/>
      <c r="D10685" s="1342"/>
      <c r="E10685" s="1342"/>
      <c r="F10685" s="1342"/>
      <c r="G10685" s="1342"/>
      <c r="H10685" s="1342"/>
      <c r="I10685" s="1342"/>
      <c r="J10685" s="1342"/>
      <c r="K10685" s="1342"/>
    </row>
    <row r="10686" spans="2:11" ht="14" hidden="1">
      <c r="B10686" s="1342"/>
      <c r="C10686" s="1342"/>
      <c r="D10686" s="1342"/>
      <c r="E10686" s="1342"/>
      <c r="F10686" s="1342"/>
      <c r="G10686" s="1342"/>
      <c r="H10686" s="1342"/>
      <c r="I10686" s="1342"/>
      <c r="J10686" s="1342"/>
      <c r="K10686" s="1342"/>
    </row>
    <row r="10687" spans="2:11" ht="14" hidden="1">
      <c r="B10687" s="1342"/>
      <c r="C10687" s="1342"/>
      <c r="D10687" s="1342"/>
      <c r="E10687" s="1342"/>
      <c r="F10687" s="1342"/>
      <c r="G10687" s="1342"/>
      <c r="H10687" s="1342"/>
      <c r="I10687" s="1342"/>
      <c r="J10687" s="1342"/>
      <c r="K10687" s="1342"/>
    </row>
    <row r="10688" spans="2:11" ht="14" hidden="1">
      <c r="B10688" s="1342"/>
      <c r="C10688" s="1342"/>
      <c r="D10688" s="1342"/>
      <c r="E10688" s="1342"/>
      <c r="F10688" s="1342"/>
      <c r="G10688" s="1342"/>
      <c r="H10688" s="1342"/>
      <c r="I10688" s="1342"/>
      <c r="J10688" s="1342"/>
      <c r="K10688" s="1342"/>
    </row>
    <row r="10689" spans="2:11" ht="14" hidden="1">
      <c r="B10689" s="1342"/>
      <c r="C10689" s="1342"/>
      <c r="D10689" s="1342"/>
      <c r="E10689" s="1342"/>
      <c r="F10689" s="1342"/>
      <c r="G10689" s="1342"/>
      <c r="H10689" s="1342"/>
      <c r="I10689" s="1342"/>
      <c r="J10689" s="1342"/>
      <c r="K10689" s="1342"/>
    </row>
    <row r="10690" spans="2:11" ht="14" hidden="1">
      <c r="B10690" s="1342"/>
      <c r="C10690" s="1342"/>
      <c r="D10690" s="1342"/>
      <c r="E10690" s="1342"/>
      <c r="F10690" s="1342"/>
      <c r="G10690" s="1342"/>
      <c r="H10690" s="1342"/>
      <c r="I10690" s="1342"/>
      <c r="J10690" s="1342"/>
      <c r="K10690" s="1342"/>
    </row>
    <row r="10691" spans="2:11" ht="14" hidden="1">
      <c r="B10691" s="1342"/>
      <c r="C10691" s="1342"/>
      <c r="D10691" s="1342"/>
      <c r="E10691" s="1342"/>
      <c r="F10691" s="1342"/>
      <c r="G10691" s="1342"/>
      <c r="H10691" s="1342"/>
      <c r="I10691" s="1342"/>
      <c r="J10691" s="1342"/>
      <c r="K10691" s="1342"/>
    </row>
    <row r="10692" spans="2:11" ht="14" hidden="1">
      <c r="B10692" s="1342"/>
      <c r="C10692" s="1342"/>
      <c r="D10692" s="1342"/>
      <c r="E10692" s="1342"/>
      <c r="F10692" s="1342"/>
      <c r="G10692" s="1342"/>
      <c r="H10692" s="1342"/>
      <c r="I10692" s="1342"/>
      <c r="J10692" s="1342"/>
      <c r="K10692" s="1342"/>
    </row>
    <row r="10693" spans="2:11" ht="14" hidden="1">
      <c r="B10693" s="1342"/>
      <c r="C10693" s="1342"/>
      <c r="D10693" s="1342"/>
      <c r="E10693" s="1342"/>
      <c r="F10693" s="1342"/>
      <c r="G10693" s="1342"/>
      <c r="H10693" s="1342"/>
      <c r="I10693" s="1342"/>
      <c r="J10693" s="1342"/>
      <c r="K10693" s="1342"/>
    </row>
    <row r="10694" spans="2:11" ht="14" hidden="1">
      <c r="B10694" s="1342"/>
      <c r="C10694" s="1342"/>
      <c r="D10694" s="1342"/>
      <c r="E10694" s="1342"/>
      <c r="F10694" s="1342"/>
      <c r="G10694" s="1342"/>
      <c r="H10694" s="1342"/>
      <c r="I10694" s="1342"/>
      <c r="J10694" s="1342"/>
      <c r="K10694" s="1342"/>
    </row>
    <row r="10695" spans="2:11" ht="14" hidden="1">
      <c r="B10695" s="1342"/>
      <c r="C10695" s="1342"/>
      <c r="D10695" s="1342"/>
      <c r="E10695" s="1342"/>
      <c r="F10695" s="1342"/>
      <c r="G10695" s="1342"/>
      <c r="H10695" s="1342"/>
      <c r="I10695" s="1342"/>
      <c r="J10695" s="1342"/>
      <c r="K10695" s="1342"/>
    </row>
    <row r="10696" spans="2:11" ht="14" hidden="1">
      <c r="B10696" s="1342"/>
      <c r="C10696" s="1342"/>
      <c r="D10696" s="1342"/>
      <c r="E10696" s="1342"/>
      <c r="F10696" s="1342"/>
      <c r="G10696" s="1342"/>
      <c r="H10696" s="1342"/>
      <c r="I10696" s="1342"/>
      <c r="J10696" s="1342"/>
      <c r="K10696" s="1342"/>
    </row>
    <row r="10697" spans="2:11" ht="14" hidden="1">
      <c r="B10697" s="1342"/>
      <c r="C10697" s="1342"/>
      <c r="D10697" s="1342"/>
      <c r="E10697" s="1342"/>
      <c r="F10697" s="1342"/>
      <c r="G10697" s="1342"/>
      <c r="H10697" s="1342"/>
      <c r="I10697" s="1342"/>
      <c r="J10697" s="1342"/>
      <c r="K10697" s="1342"/>
    </row>
    <row r="10698" spans="2:11" ht="14" hidden="1">
      <c r="B10698" s="1342"/>
      <c r="C10698" s="1342"/>
      <c r="D10698" s="1342"/>
      <c r="E10698" s="1342"/>
      <c r="F10698" s="1342"/>
      <c r="G10698" s="1342"/>
      <c r="H10698" s="1342"/>
      <c r="I10698" s="1342"/>
      <c r="J10698" s="1342"/>
      <c r="K10698" s="1342"/>
    </row>
    <row r="10699" spans="2:11" ht="14" hidden="1">
      <c r="B10699" s="1342"/>
      <c r="C10699" s="1342"/>
      <c r="D10699" s="1342"/>
      <c r="E10699" s="1342"/>
      <c r="F10699" s="1342"/>
      <c r="G10699" s="1342"/>
      <c r="H10699" s="1342"/>
      <c r="I10699" s="1342"/>
      <c r="J10699" s="1342"/>
      <c r="K10699" s="1342"/>
    </row>
    <row r="10700" spans="2:11" ht="14" hidden="1">
      <c r="B10700" s="1342"/>
      <c r="C10700" s="1342"/>
      <c r="D10700" s="1342"/>
      <c r="E10700" s="1342"/>
      <c r="F10700" s="1342"/>
      <c r="G10700" s="1342"/>
      <c r="H10700" s="1342"/>
      <c r="I10700" s="1342"/>
      <c r="J10700" s="1342"/>
      <c r="K10700" s="1342"/>
    </row>
    <row r="10701" spans="2:11" ht="14" hidden="1">
      <c r="B10701" s="1342"/>
      <c r="C10701" s="1342"/>
      <c r="D10701" s="1342"/>
      <c r="E10701" s="1342"/>
      <c r="F10701" s="1342"/>
      <c r="G10701" s="1342"/>
      <c r="H10701" s="1342"/>
      <c r="I10701" s="1342"/>
      <c r="J10701" s="1342"/>
      <c r="K10701" s="1342"/>
    </row>
    <row r="10702" spans="2:11" ht="14" hidden="1">
      <c r="B10702" s="1342"/>
      <c r="C10702" s="1342"/>
      <c r="D10702" s="1342"/>
      <c r="E10702" s="1342"/>
      <c r="F10702" s="1342"/>
      <c r="G10702" s="1342"/>
      <c r="H10702" s="1342"/>
      <c r="I10702" s="1342"/>
      <c r="J10702" s="1342"/>
      <c r="K10702" s="1342"/>
    </row>
    <row r="10703" spans="2:11" ht="14" hidden="1">
      <c r="B10703" s="1342"/>
      <c r="C10703" s="1342"/>
      <c r="D10703" s="1342"/>
      <c r="E10703" s="1342"/>
      <c r="F10703" s="1342"/>
      <c r="G10703" s="1342"/>
      <c r="H10703" s="1342"/>
      <c r="I10703" s="1342"/>
      <c r="J10703" s="1342"/>
      <c r="K10703" s="1342"/>
    </row>
    <row r="10704" spans="2:11" ht="14" hidden="1">
      <c r="B10704" s="1342"/>
      <c r="C10704" s="1342"/>
      <c r="D10704" s="1342"/>
      <c r="E10704" s="1342"/>
      <c r="F10704" s="1342"/>
      <c r="G10704" s="1342"/>
      <c r="H10704" s="1342"/>
      <c r="I10704" s="1342"/>
      <c r="J10704" s="1342"/>
      <c r="K10704" s="1342"/>
    </row>
    <row r="10705" spans="2:11" ht="14" hidden="1">
      <c r="B10705" s="1342"/>
      <c r="C10705" s="1342"/>
      <c r="D10705" s="1342"/>
      <c r="E10705" s="1342"/>
      <c r="F10705" s="1342"/>
      <c r="G10705" s="1342"/>
      <c r="H10705" s="1342"/>
      <c r="I10705" s="1342"/>
      <c r="J10705" s="1342"/>
      <c r="K10705" s="1342"/>
    </row>
    <row r="10706" spans="2:11" ht="14" hidden="1">
      <c r="B10706" s="1342"/>
      <c r="C10706" s="1342"/>
      <c r="D10706" s="1342"/>
      <c r="E10706" s="1342"/>
      <c r="F10706" s="1342"/>
      <c r="G10706" s="1342"/>
      <c r="H10706" s="1342"/>
      <c r="I10706" s="1342"/>
      <c r="J10706" s="1342"/>
      <c r="K10706" s="1342"/>
    </row>
    <row r="10707" spans="2:11" ht="14" hidden="1">
      <c r="B10707" s="1342"/>
      <c r="C10707" s="1342"/>
      <c r="D10707" s="1342"/>
      <c r="E10707" s="1342"/>
      <c r="F10707" s="1342"/>
      <c r="G10707" s="1342"/>
      <c r="H10707" s="1342"/>
      <c r="I10707" s="1342"/>
      <c r="J10707" s="1342"/>
      <c r="K10707" s="1342"/>
    </row>
    <row r="10708" spans="2:11" ht="14" hidden="1">
      <c r="B10708" s="1342"/>
      <c r="C10708" s="1342"/>
      <c r="D10708" s="1342"/>
      <c r="E10708" s="1342"/>
      <c r="F10708" s="1342"/>
      <c r="G10708" s="1342"/>
      <c r="H10708" s="1342"/>
      <c r="I10708" s="1342"/>
      <c r="J10708" s="1342"/>
      <c r="K10708" s="1342"/>
    </row>
    <row r="10709" spans="2:11" ht="14" hidden="1">
      <c r="B10709" s="1342"/>
      <c r="C10709" s="1342"/>
      <c r="D10709" s="1342"/>
      <c r="E10709" s="1342"/>
      <c r="F10709" s="1342"/>
      <c r="G10709" s="1342"/>
      <c r="H10709" s="1342"/>
      <c r="I10709" s="1342"/>
      <c r="J10709" s="1342"/>
      <c r="K10709" s="1342"/>
    </row>
    <row r="10710" spans="2:11" ht="14" hidden="1">
      <c r="B10710" s="1342"/>
      <c r="C10710" s="1342"/>
      <c r="D10710" s="1342"/>
      <c r="E10710" s="1342"/>
      <c r="F10710" s="1342"/>
      <c r="G10710" s="1342"/>
      <c r="H10710" s="1342"/>
      <c r="I10710" s="1342"/>
      <c r="J10710" s="1342"/>
      <c r="K10710" s="1342"/>
    </row>
    <row r="10711" spans="2:11" ht="14" hidden="1">
      <c r="B10711" s="1342"/>
      <c r="C10711" s="1342"/>
      <c r="D10711" s="1342"/>
      <c r="E10711" s="1342"/>
      <c r="F10711" s="1342"/>
      <c r="G10711" s="1342"/>
      <c r="H10711" s="1342"/>
      <c r="I10711" s="1342"/>
      <c r="J10711" s="1342"/>
      <c r="K10711" s="1342"/>
    </row>
    <row r="10712" spans="2:11" ht="14" hidden="1">
      <c r="B10712" s="1342"/>
      <c r="C10712" s="1342"/>
      <c r="D10712" s="1342"/>
      <c r="E10712" s="1342"/>
      <c r="F10712" s="1342"/>
      <c r="G10712" s="1342"/>
      <c r="H10712" s="1342"/>
      <c r="I10712" s="1342"/>
      <c r="J10712" s="1342"/>
      <c r="K10712" s="1342"/>
    </row>
    <row r="10713" spans="2:11" ht="14" hidden="1">
      <c r="B10713" s="1342"/>
      <c r="C10713" s="1342"/>
      <c r="D10713" s="1342"/>
      <c r="E10713" s="1342"/>
      <c r="F10713" s="1342"/>
      <c r="G10713" s="1342"/>
      <c r="H10713" s="1342"/>
      <c r="I10713" s="1342"/>
      <c r="J10713" s="1342"/>
      <c r="K10713" s="1342"/>
    </row>
    <row r="10714" spans="2:11" ht="14" hidden="1">
      <c r="B10714" s="1342"/>
      <c r="C10714" s="1342"/>
      <c r="D10714" s="1342"/>
      <c r="E10714" s="1342"/>
      <c r="F10714" s="1342"/>
      <c r="G10714" s="1342"/>
      <c r="H10714" s="1342"/>
      <c r="I10714" s="1342"/>
      <c r="J10714" s="1342"/>
      <c r="K10714" s="1342"/>
    </row>
    <row r="10715" spans="2:11" ht="14" hidden="1">
      <c r="B10715" s="1342"/>
      <c r="C10715" s="1342"/>
      <c r="D10715" s="1342"/>
      <c r="E10715" s="1342"/>
      <c r="F10715" s="1342"/>
      <c r="G10715" s="1342"/>
      <c r="H10715" s="1342"/>
      <c r="I10715" s="1342"/>
      <c r="J10715" s="1342"/>
      <c r="K10715" s="1342"/>
    </row>
    <row r="10716" spans="2:11" ht="14" hidden="1">
      <c r="B10716" s="1342"/>
      <c r="C10716" s="1342"/>
      <c r="D10716" s="1342"/>
      <c r="E10716" s="1342"/>
      <c r="F10716" s="1342"/>
      <c r="G10716" s="1342"/>
      <c r="H10716" s="1342"/>
      <c r="I10716" s="1342"/>
      <c r="J10716" s="1342"/>
      <c r="K10716" s="1342"/>
    </row>
    <row r="10717" spans="2:11" ht="14" hidden="1">
      <c r="B10717" s="1342"/>
      <c r="C10717" s="1342"/>
      <c r="D10717" s="1342"/>
      <c r="E10717" s="1342"/>
      <c r="F10717" s="1342"/>
      <c r="G10717" s="1342"/>
      <c r="H10717" s="1342"/>
      <c r="I10717" s="1342"/>
      <c r="J10717" s="1342"/>
      <c r="K10717" s="1342"/>
    </row>
    <row r="10718" spans="2:11" ht="14" hidden="1">
      <c r="B10718" s="1342"/>
      <c r="C10718" s="1342"/>
      <c r="D10718" s="1342"/>
      <c r="E10718" s="1342"/>
      <c r="F10718" s="1342"/>
      <c r="G10718" s="1342"/>
      <c r="H10718" s="1342"/>
      <c r="I10718" s="1342"/>
      <c r="J10718" s="1342"/>
      <c r="K10718" s="1342"/>
    </row>
    <row r="10719" spans="2:11" ht="14" hidden="1">
      <c r="B10719" s="1342"/>
      <c r="C10719" s="1342"/>
      <c r="D10719" s="1342"/>
      <c r="E10719" s="1342"/>
      <c r="F10719" s="1342"/>
      <c r="G10719" s="1342"/>
      <c r="H10719" s="1342"/>
      <c r="I10719" s="1342"/>
      <c r="J10719" s="1342"/>
      <c r="K10719" s="1342"/>
    </row>
    <row r="10720" spans="2:11" ht="14" hidden="1">
      <c r="B10720" s="1342"/>
      <c r="C10720" s="1342"/>
      <c r="D10720" s="1342"/>
      <c r="E10720" s="1342"/>
      <c r="F10720" s="1342"/>
      <c r="G10720" s="1342"/>
      <c r="H10720" s="1342"/>
      <c r="I10720" s="1342"/>
      <c r="J10720" s="1342"/>
      <c r="K10720" s="1342"/>
    </row>
    <row r="10721" spans="2:11" ht="14" hidden="1">
      <c r="B10721" s="1342"/>
      <c r="C10721" s="1342"/>
      <c r="D10721" s="1342"/>
      <c r="E10721" s="1342"/>
      <c r="F10721" s="1342"/>
      <c r="G10721" s="1342"/>
      <c r="H10721" s="1342"/>
      <c r="I10721" s="1342"/>
      <c r="J10721" s="1342"/>
      <c r="K10721" s="1342"/>
    </row>
    <row r="10722" spans="2:11" ht="14" hidden="1">
      <c r="B10722" s="1342"/>
      <c r="C10722" s="1342"/>
      <c r="D10722" s="1342"/>
      <c r="E10722" s="1342"/>
      <c r="F10722" s="1342"/>
      <c r="G10722" s="1342"/>
      <c r="H10722" s="1342"/>
      <c r="I10722" s="1342"/>
      <c r="J10722" s="1342"/>
      <c r="K10722" s="1342"/>
    </row>
    <row r="10723" spans="2:11" ht="14" hidden="1">
      <c r="B10723" s="1342"/>
      <c r="C10723" s="1342"/>
      <c r="D10723" s="1342"/>
      <c r="E10723" s="1342"/>
      <c r="F10723" s="1342"/>
      <c r="G10723" s="1342"/>
      <c r="H10723" s="1342"/>
      <c r="I10723" s="1342"/>
      <c r="J10723" s="1342"/>
      <c r="K10723" s="1342"/>
    </row>
    <row r="10724" spans="2:11" ht="14" hidden="1">
      <c r="B10724" s="1342"/>
      <c r="C10724" s="1342"/>
      <c r="D10724" s="1342"/>
      <c r="E10724" s="1342"/>
      <c r="F10724" s="1342"/>
      <c r="G10724" s="1342"/>
      <c r="H10724" s="1342"/>
      <c r="I10724" s="1342"/>
      <c r="J10724" s="1342"/>
      <c r="K10724" s="1342"/>
    </row>
    <row r="10725" spans="2:11" ht="14" hidden="1">
      <c r="B10725" s="1342"/>
      <c r="C10725" s="1342"/>
      <c r="D10725" s="1342"/>
      <c r="E10725" s="1342"/>
      <c r="F10725" s="1342"/>
      <c r="G10725" s="1342"/>
      <c r="H10725" s="1342"/>
      <c r="I10725" s="1342"/>
      <c r="J10725" s="1342"/>
      <c r="K10725" s="1342"/>
    </row>
    <row r="10726" spans="2:11" ht="14" hidden="1">
      <c r="B10726" s="1342"/>
      <c r="C10726" s="1342"/>
      <c r="D10726" s="1342"/>
      <c r="E10726" s="1342"/>
      <c r="F10726" s="1342"/>
      <c r="G10726" s="1342"/>
      <c r="H10726" s="1342"/>
      <c r="I10726" s="1342"/>
      <c r="J10726" s="1342"/>
      <c r="K10726" s="1342"/>
    </row>
    <row r="10727" spans="2:11" ht="14" hidden="1">
      <c r="B10727" s="1342"/>
      <c r="C10727" s="1342"/>
      <c r="D10727" s="1342"/>
      <c r="E10727" s="1342"/>
      <c r="F10727" s="1342"/>
      <c r="G10727" s="1342"/>
      <c r="H10727" s="1342"/>
      <c r="I10727" s="1342"/>
      <c r="J10727" s="1342"/>
      <c r="K10727" s="1342"/>
    </row>
    <row r="10728" spans="2:11" ht="14" hidden="1">
      <c r="B10728" s="1342"/>
      <c r="C10728" s="1342"/>
      <c r="D10728" s="1342"/>
      <c r="E10728" s="1342"/>
      <c r="F10728" s="1342"/>
      <c r="G10728" s="1342"/>
      <c r="H10728" s="1342"/>
      <c r="I10728" s="1342"/>
      <c r="J10728" s="1342"/>
      <c r="K10728" s="1342"/>
    </row>
    <row r="10729" spans="2:11" ht="14" hidden="1">
      <c r="B10729" s="1342"/>
      <c r="C10729" s="1342"/>
      <c r="D10729" s="1342"/>
      <c r="E10729" s="1342"/>
      <c r="F10729" s="1342"/>
      <c r="G10729" s="1342"/>
      <c r="H10729" s="1342"/>
      <c r="I10729" s="1342"/>
      <c r="J10729" s="1342"/>
      <c r="K10729" s="1342"/>
    </row>
    <row r="10730" spans="2:11" ht="14" hidden="1">
      <c r="B10730" s="1342"/>
      <c r="C10730" s="1342"/>
      <c r="D10730" s="1342"/>
      <c r="E10730" s="1342"/>
      <c r="F10730" s="1342"/>
      <c r="G10730" s="1342"/>
      <c r="H10730" s="1342"/>
      <c r="I10730" s="1342"/>
      <c r="J10730" s="1342"/>
      <c r="K10730" s="1342"/>
    </row>
    <row r="10731" spans="2:11" ht="14" hidden="1">
      <c r="B10731" s="1342"/>
      <c r="C10731" s="1342"/>
      <c r="D10731" s="1342"/>
      <c r="E10731" s="1342"/>
      <c r="F10731" s="1342"/>
      <c r="G10731" s="1342"/>
      <c r="H10731" s="1342"/>
      <c r="I10731" s="1342"/>
      <c r="J10731" s="1342"/>
      <c r="K10731" s="1342"/>
    </row>
    <row r="10732" spans="2:11" ht="14" hidden="1">
      <c r="B10732" s="1342"/>
      <c r="C10732" s="1342"/>
      <c r="D10732" s="1342"/>
      <c r="E10732" s="1342"/>
      <c r="F10732" s="1342"/>
      <c r="G10732" s="1342"/>
      <c r="H10732" s="1342"/>
      <c r="I10732" s="1342"/>
      <c r="J10732" s="1342"/>
      <c r="K10732" s="1342"/>
    </row>
    <row r="10733" spans="2:11" ht="14" hidden="1">
      <c r="B10733" s="1342"/>
      <c r="C10733" s="1342"/>
      <c r="D10733" s="1342"/>
      <c r="E10733" s="1342"/>
      <c r="F10733" s="1342"/>
      <c r="G10733" s="1342"/>
      <c r="H10733" s="1342"/>
      <c r="I10733" s="1342"/>
      <c r="J10733" s="1342"/>
      <c r="K10733" s="1342"/>
    </row>
    <row r="10734" spans="2:11" ht="14" hidden="1">
      <c r="B10734" s="1342"/>
      <c r="C10734" s="1342"/>
      <c r="D10734" s="1342"/>
      <c r="E10734" s="1342"/>
      <c r="F10734" s="1342"/>
      <c r="G10734" s="1342"/>
      <c r="H10734" s="1342"/>
      <c r="I10734" s="1342"/>
      <c r="J10734" s="1342"/>
      <c r="K10734" s="1342"/>
    </row>
    <row r="10735" spans="2:11" ht="14" hidden="1">
      <c r="B10735" s="1342"/>
      <c r="C10735" s="1342"/>
      <c r="D10735" s="1342"/>
      <c r="E10735" s="1342"/>
      <c r="F10735" s="1342"/>
      <c r="G10735" s="1342"/>
      <c r="H10735" s="1342"/>
      <c r="I10735" s="1342"/>
      <c r="J10735" s="1342"/>
      <c r="K10735" s="1342"/>
    </row>
    <row r="10736" spans="2:11" ht="14" hidden="1">
      <c r="B10736" s="1342"/>
      <c r="C10736" s="1342"/>
      <c r="D10736" s="1342"/>
      <c r="E10736" s="1342"/>
      <c r="F10736" s="1342"/>
      <c r="G10736" s="1342"/>
      <c r="H10736" s="1342"/>
      <c r="I10736" s="1342"/>
      <c r="J10736" s="1342"/>
      <c r="K10736" s="1342"/>
    </row>
    <row r="10737" spans="2:11" ht="14" hidden="1">
      <c r="B10737" s="1342"/>
      <c r="C10737" s="1342"/>
      <c r="D10737" s="1342"/>
      <c r="E10737" s="1342"/>
      <c r="F10737" s="1342"/>
      <c r="G10737" s="1342"/>
      <c r="H10737" s="1342"/>
      <c r="I10737" s="1342"/>
      <c r="J10737" s="1342"/>
      <c r="K10737" s="1342"/>
    </row>
    <row r="10738" spans="2:11" ht="14" hidden="1">
      <c r="B10738" s="1342"/>
      <c r="C10738" s="1342"/>
      <c r="D10738" s="1342"/>
      <c r="E10738" s="1342"/>
      <c r="F10738" s="1342"/>
      <c r="G10738" s="1342"/>
      <c r="H10738" s="1342"/>
      <c r="I10738" s="1342"/>
      <c r="J10738" s="1342"/>
      <c r="K10738" s="1342"/>
    </row>
    <row r="10739" spans="2:11" ht="14" hidden="1">
      <c r="B10739" s="1342"/>
      <c r="C10739" s="1342"/>
      <c r="D10739" s="1342"/>
      <c r="E10739" s="1342"/>
      <c r="F10739" s="1342"/>
      <c r="G10739" s="1342"/>
      <c r="H10739" s="1342"/>
      <c r="I10739" s="1342"/>
      <c r="J10739" s="1342"/>
      <c r="K10739" s="1342"/>
    </row>
    <row r="10740" spans="2:11" ht="14" hidden="1">
      <c r="B10740" s="1342"/>
      <c r="C10740" s="1342"/>
      <c r="D10740" s="1342"/>
      <c r="E10740" s="1342"/>
      <c r="F10740" s="1342"/>
      <c r="G10740" s="1342"/>
      <c r="H10740" s="1342"/>
      <c r="I10740" s="1342"/>
      <c r="J10740" s="1342"/>
      <c r="K10740" s="1342"/>
    </row>
    <row r="10741" spans="2:11" ht="14" hidden="1">
      <c r="B10741" s="1342"/>
      <c r="C10741" s="1342"/>
      <c r="D10741" s="1342"/>
      <c r="E10741" s="1342"/>
      <c r="F10741" s="1342"/>
      <c r="G10741" s="1342"/>
      <c r="H10741" s="1342"/>
      <c r="I10741" s="1342"/>
      <c r="J10741" s="1342"/>
      <c r="K10741" s="1342"/>
    </row>
    <row r="10742" spans="2:11" ht="14" hidden="1">
      <c r="B10742" s="1342"/>
      <c r="C10742" s="1342"/>
      <c r="D10742" s="1342"/>
      <c r="E10742" s="1342"/>
      <c r="F10742" s="1342"/>
      <c r="G10742" s="1342"/>
      <c r="H10742" s="1342"/>
      <c r="I10742" s="1342"/>
      <c r="J10742" s="1342"/>
      <c r="K10742" s="1342"/>
    </row>
    <row r="10743" spans="2:11" ht="14" hidden="1">
      <c r="B10743" s="1342"/>
      <c r="C10743" s="1342"/>
      <c r="D10743" s="1342"/>
      <c r="E10743" s="1342"/>
      <c r="F10743" s="1342"/>
      <c r="G10743" s="1342"/>
      <c r="H10743" s="1342"/>
      <c r="I10743" s="1342"/>
      <c r="J10743" s="1342"/>
      <c r="K10743" s="1342"/>
    </row>
    <row r="10744" spans="2:11" ht="14" hidden="1">
      <c r="B10744" s="1342"/>
      <c r="C10744" s="1342"/>
      <c r="D10744" s="1342"/>
      <c r="E10744" s="1342"/>
      <c r="F10744" s="1342"/>
      <c r="G10744" s="1342"/>
      <c r="H10744" s="1342"/>
      <c r="I10744" s="1342"/>
      <c r="J10744" s="1342"/>
      <c r="K10744" s="1342"/>
    </row>
    <row r="10745" spans="2:11" ht="14" hidden="1">
      <c r="B10745" s="1342"/>
      <c r="C10745" s="1342"/>
      <c r="D10745" s="1342"/>
      <c r="E10745" s="1342"/>
      <c r="F10745" s="1342"/>
      <c r="G10745" s="1342"/>
      <c r="H10745" s="1342"/>
      <c r="I10745" s="1342"/>
      <c r="J10745" s="1342"/>
      <c r="K10745" s="1342"/>
    </row>
    <row r="10746" spans="2:11" ht="14" hidden="1">
      <c r="B10746" s="1342"/>
      <c r="C10746" s="1342"/>
      <c r="D10746" s="1342"/>
      <c r="E10746" s="1342"/>
      <c r="F10746" s="1342"/>
      <c r="G10746" s="1342"/>
      <c r="H10746" s="1342"/>
      <c r="I10746" s="1342"/>
      <c r="J10746" s="1342"/>
      <c r="K10746" s="1342"/>
    </row>
    <row r="10747" spans="2:11" ht="14" hidden="1">
      <c r="B10747" s="1342"/>
      <c r="C10747" s="1342"/>
      <c r="D10747" s="1342"/>
      <c r="E10747" s="1342"/>
      <c r="F10747" s="1342"/>
      <c r="G10747" s="1342"/>
      <c r="H10747" s="1342"/>
      <c r="I10747" s="1342"/>
      <c r="J10747" s="1342"/>
      <c r="K10747" s="1342"/>
    </row>
    <row r="10748" spans="2:11" ht="14" hidden="1">
      <c r="B10748" s="1342"/>
      <c r="C10748" s="1342"/>
      <c r="D10748" s="1342"/>
      <c r="E10748" s="1342"/>
      <c r="F10748" s="1342"/>
      <c r="G10748" s="1342"/>
      <c r="H10748" s="1342"/>
      <c r="I10748" s="1342"/>
      <c r="J10748" s="1342"/>
      <c r="K10748" s="1342"/>
    </row>
    <row r="10749" spans="2:11" ht="14" hidden="1">
      <c r="B10749" s="1342"/>
      <c r="C10749" s="1342"/>
      <c r="D10749" s="1342"/>
      <c r="E10749" s="1342"/>
      <c r="F10749" s="1342"/>
      <c r="G10749" s="1342"/>
      <c r="H10749" s="1342"/>
      <c r="I10749" s="1342"/>
      <c r="J10749" s="1342"/>
      <c r="K10749" s="1342"/>
    </row>
    <row r="10750" spans="2:11" ht="14" hidden="1">
      <c r="B10750" s="1342"/>
      <c r="C10750" s="1342"/>
      <c r="D10750" s="1342"/>
      <c r="E10750" s="1342"/>
      <c r="F10750" s="1342"/>
      <c r="G10750" s="1342"/>
      <c r="H10750" s="1342"/>
      <c r="I10750" s="1342"/>
      <c r="J10750" s="1342"/>
      <c r="K10750" s="1342"/>
    </row>
    <row r="10751" spans="2:11" ht="14" hidden="1">
      <c r="B10751" s="1342"/>
      <c r="C10751" s="1342"/>
      <c r="D10751" s="1342"/>
      <c r="E10751" s="1342"/>
      <c r="F10751" s="1342"/>
      <c r="G10751" s="1342"/>
      <c r="H10751" s="1342"/>
      <c r="I10751" s="1342"/>
      <c r="J10751" s="1342"/>
      <c r="K10751" s="1342"/>
    </row>
    <row r="10752" spans="2:11" ht="14" hidden="1">
      <c r="B10752" s="1342"/>
      <c r="C10752" s="1342"/>
      <c r="D10752" s="1342"/>
      <c r="E10752" s="1342"/>
      <c r="F10752" s="1342"/>
      <c r="G10752" s="1342"/>
      <c r="H10752" s="1342"/>
      <c r="I10752" s="1342"/>
      <c r="J10752" s="1342"/>
      <c r="K10752" s="1342"/>
    </row>
    <row r="10753" spans="2:11" ht="14" hidden="1">
      <c r="B10753" s="1342"/>
      <c r="C10753" s="1342"/>
      <c r="D10753" s="1342"/>
      <c r="E10753" s="1342"/>
      <c r="F10753" s="1342"/>
      <c r="G10753" s="1342"/>
      <c r="H10753" s="1342"/>
      <c r="I10753" s="1342"/>
      <c r="J10753" s="1342"/>
      <c r="K10753" s="1342"/>
    </row>
    <row r="10754" spans="2:11" ht="14" hidden="1">
      <c r="B10754" s="1342"/>
      <c r="C10754" s="1342"/>
      <c r="D10754" s="1342"/>
      <c r="E10754" s="1342"/>
      <c r="F10754" s="1342"/>
      <c r="G10754" s="1342"/>
      <c r="H10754" s="1342"/>
      <c r="I10754" s="1342"/>
      <c r="J10754" s="1342"/>
      <c r="K10754" s="1342"/>
    </row>
    <row r="10755" spans="2:11" ht="14" hidden="1">
      <c r="B10755" s="1342"/>
      <c r="C10755" s="1342"/>
      <c r="D10755" s="1342"/>
      <c r="E10755" s="1342"/>
      <c r="F10755" s="1342"/>
      <c r="G10755" s="1342"/>
      <c r="H10755" s="1342"/>
      <c r="I10755" s="1342"/>
      <c r="J10755" s="1342"/>
      <c r="K10755" s="1342"/>
    </row>
    <row r="10756" spans="2:11" ht="14" hidden="1">
      <c r="B10756" s="1342"/>
      <c r="C10756" s="1342"/>
      <c r="D10756" s="1342"/>
      <c r="E10756" s="1342"/>
      <c r="F10756" s="1342"/>
      <c r="G10756" s="1342"/>
      <c r="H10756" s="1342"/>
      <c r="I10756" s="1342"/>
      <c r="J10756" s="1342"/>
      <c r="K10756" s="1342"/>
    </row>
    <row r="10757" spans="2:11" ht="14" hidden="1">
      <c r="B10757" s="1342"/>
      <c r="C10757" s="1342"/>
      <c r="D10757" s="1342"/>
      <c r="E10757" s="1342"/>
      <c r="F10757" s="1342"/>
      <c r="G10757" s="1342"/>
      <c r="H10757" s="1342"/>
      <c r="I10757" s="1342"/>
      <c r="J10757" s="1342"/>
      <c r="K10757" s="1342"/>
    </row>
    <row r="10758" spans="2:11" ht="14" hidden="1">
      <c r="B10758" s="1342"/>
      <c r="C10758" s="1342"/>
      <c r="D10758" s="1342"/>
      <c r="E10758" s="1342"/>
      <c r="F10758" s="1342"/>
      <c r="G10758" s="1342"/>
      <c r="H10758" s="1342"/>
      <c r="I10758" s="1342"/>
      <c r="J10758" s="1342"/>
      <c r="K10758" s="1342"/>
    </row>
    <row r="10759" spans="2:11" ht="14" hidden="1">
      <c r="B10759" s="1342"/>
      <c r="C10759" s="1342"/>
      <c r="D10759" s="1342"/>
      <c r="E10759" s="1342"/>
      <c r="F10759" s="1342"/>
      <c r="G10759" s="1342"/>
      <c r="H10759" s="1342"/>
      <c r="I10759" s="1342"/>
      <c r="J10759" s="1342"/>
      <c r="K10759" s="1342"/>
    </row>
    <row r="10760" spans="2:11" ht="14" hidden="1">
      <c r="B10760" s="1342"/>
      <c r="C10760" s="1342"/>
      <c r="D10760" s="1342"/>
      <c r="E10760" s="1342"/>
      <c r="F10760" s="1342"/>
      <c r="G10760" s="1342"/>
      <c r="H10760" s="1342"/>
      <c r="I10760" s="1342"/>
      <c r="J10760" s="1342"/>
      <c r="K10760" s="1342"/>
    </row>
    <row r="10761" spans="2:11" ht="14" hidden="1">
      <c r="B10761" s="1342"/>
      <c r="C10761" s="1342"/>
      <c r="D10761" s="1342"/>
      <c r="E10761" s="1342"/>
      <c r="F10761" s="1342"/>
      <c r="G10761" s="1342"/>
      <c r="H10761" s="1342"/>
      <c r="I10761" s="1342"/>
      <c r="J10761" s="1342"/>
      <c r="K10761" s="1342"/>
    </row>
    <row r="10762" spans="2:11" ht="14" hidden="1">
      <c r="B10762" s="1342"/>
      <c r="C10762" s="1342"/>
      <c r="D10762" s="1342"/>
      <c r="E10762" s="1342"/>
      <c r="F10762" s="1342"/>
      <c r="G10762" s="1342"/>
      <c r="H10762" s="1342"/>
      <c r="I10762" s="1342"/>
      <c r="J10762" s="1342"/>
      <c r="K10762" s="1342"/>
    </row>
    <row r="10763" spans="2:11" ht="14" hidden="1">
      <c r="B10763" s="1342"/>
      <c r="C10763" s="1342"/>
      <c r="D10763" s="1342"/>
      <c r="E10763" s="1342"/>
      <c r="F10763" s="1342"/>
      <c r="G10763" s="1342"/>
      <c r="H10763" s="1342"/>
      <c r="I10763" s="1342"/>
      <c r="J10763" s="1342"/>
      <c r="K10763" s="1342"/>
    </row>
    <row r="10764" spans="2:11" ht="14" hidden="1">
      <c r="B10764" s="1342"/>
      <c r="C10764" s="1342"/>
      <c r="D10764" s="1342"/>
      <c r="E10764" s="1342"/>
      <c r="F10764" s="1342"/>
      <c r="G10764" s="1342"/>
      <c r="H10764" s="1342"/>
      <c r="I10764" s="1342"/>
      <c r="J10764" s="1342"/>
      <c r="K10764" s="1342"/>
    </row>
    <row r="10765" spans="2:11" ht="14" hidden="1">
      <c r="B10765" s="1342"/>
      <c r="C10765" s="1342"/>
      <c r="D10765" s="1342"/>
      <c r="E10765" s="1342"/>
      <c r="F10765" s="1342"/>
      <c r="G10765" s="1342"/>
      <c r="H10765" s="1342"/>
      <c r="I10765" s="1342"/>
      <c r="J10765" s="1342"/>
      <c r="K10765" s="1342"/>
    </row>
    <row r="10766" spans="2:11" ht="14" hidden="1">
      <c r="B10766" s="1342"/>
      <c r="C10766" s="1342"/>
      <c r="D10766" s="1342"/>
      <c r="E10766" s="1342"/>
      <c r="F10766" s="1342"/>
      <c r="G10766" s="1342"/>
      <c r="H10766" s="1342"/>
      <c r="I10766" s="1342"/>
      <c r="J10766" s="1342"/>
      <c r="K10766" s="1342"/>
    </row>
    <row r="10767" spans="2:11" ht="14" hidden="1">
      <c r="B10767" s="1342"/>
      <c r="C10767" s="1342"/>
      <c r="D10767" s="1342"/>
      <c r="E10767" s="1342"/>
      <c r="F10767" s="1342"/>
      <c r="G10767" s="1342"/>
      <c r="H10767" s="1342"/>
      <c r="I10767" s="1342"/>
      <c r="J10767" s="1342"/>
      <c r="K10767" s="1342"/>
    </row>
    <row r="10768" spans="2:11" ht="14" hidden="1">
      <c r="B10768" s="1342"/>
      <c r="C10768" s="1342"/>
      <c r="D10768" s="1342"/>
      <c r="E10768" s="1342"/>
      <c r="F10768" s="1342"/>
      <c r="G10768" s="1342"/>
      <c r="H10768" s="1342"/>
      <c r="I10768" s="1342"/>
      <c r="J10768" s="1342"/>
      <c r="K10768" s="1342"/>
    </row>
    <row r="10769" spans="2:11" ht="14" hidden="1">
      <c r="B10769" s="1342"/>
      <c r="C10769" s="1342"/>
      <c r="D10769" s="1342"/>
      <c r="E10769" s="1342"/>
      <c r="F10769" s="1342"/>
      <c r="G10769" s="1342"/>
      <c r="H10769" s="1342"/>
      <c r="I10769" s="1342"/>
      <c r="J10769" s="1342"/>
      <c r="K10769" s="1342"/>
    </row>
    <row r="10770" spans="2:11" ht="14" hidden="1">
      <c r="B10770" s="1342"/>
      <c r="C10770" s="1342"/>
      <c r="D10770" s="1342"/>
      <c r="E10770" s="1342"/>
      <c r="F10770" s="1342"/>
      <c r="G10770" s="1342"/>
      <c r="H10770" s="1342"/>
      <c r="I10770" s="1342"/>
      <c r="J10770" s="1342"/>
      <c r="K10770" s="1342"/>
    </row>
    <row r="10771" spans="2:11" ht="14" hidden="1">
      <c r="B10771" s="1342"/>
      <c r="C10771" s="1342"/>
      <c r="D10771" s="1342"/>
      <c r="E10771" s="1342"/>
      <c r="F10771" s="1342"/>
      <c r="G10771" s="1342"/>
      <c r="H10771" s="1342"/>
      <c r="I10771" s="1342"/>
      <c r="J10771" s="1342"/>
      <c r="K10771" s="1342"/>
    </row>
    <row r="10772" spans="2:11" ht="14" hidden="1">
      <c r="B10772" s="1342"/>
      <c r="C10772" s="1342"/>
      <c r="D10772" s="1342"/>
      <c r="E10772" s="1342"/>
      <c r="F10772" s="1342"/>
      <c r="G10772" s="1342"/>
      <c r="H10772" s="1342"/>
      <c r="I10772" s="1342"/>
      <c r="J10772" s="1342"/>
      <c r="K10772" s="1342"/>
    </row>
    <row r="10773" spans="2:11" ht="14" hidden="1">
      <c r="B10773" s="1342"/>
      <c r="C10773" s="1342"/>
      <c r="D10773" s="1342"/>
      <c r="E10773" s="1342"/>
      <c r="F10773" s="1342"/>
      <c r="G10773" s="1342"/>
      <c r="H10773" s="1342"/>
      <c r="I10773" s="1342"/>
      <c r="J10773" s="1342"/>
      <c r="K10773" s="1342"/>
    </row>
    <row r="10774" spans="2:11" ht="14" hidden="1">
      <c r="B10774" s="1342"/>
      <c r="C10774" s="1342"/>
      <c r="D10774" s="1342"/>
      <c r="E10774" s="1342"/>
      <c r="F10774" s="1342"/>
      <c r="G10774" s="1342"/>
      <c r="H10774" s="1342"/>
      <c r="I10774" s="1342"/>
      <c r="J10774" s="1342"/>
      <c r="K10774" s="1342"/>
    </row>
    <row r="10775" spans="2:11" ht="14" hidden="1">
      <c r="B10775" s="1342"/>
      <c r="C10775" s="1342"/>
      <c r="D10775" s="1342"/>
      <c r="E10775" s="1342"/>
      <c r="F10775" s="1342"/>
      <c r="G10775" s="1342"/>
      <c r="H10775" s="1342"/>
      <c r="I10775" s="1342"/>
      <c r="J10775" s="1342"/>
      <c r="K10775" s="1342"/>
    </row>
    <row r="10776" spans="2:11" ht="14" hidden="1">
      <c r="B10776" s="1342"/>
      <c r="C10776" s="1342"/>
      <c r="D10776" s="1342"/>
      <c r="E10776" s="1342"/>
      <c r="F10776" s="1342"/>
      <c r="G10776" s="1342"/>
      <c r="H10776" s="1342"/>
      <c r="I10776" s="1342"/>
      <c r="J10776" s="1342"/>
      <c r="K10776" s="1342"/>
    </row>
    <row r="10777" spans="2:11" ht="14" hidden="1">
      <c r="B10777" s="1342"/>
      <c r="C10777" s="1342"/>
      <c r="D10777" s="1342"/>
      <c r="E10777" s="1342"/>
      <c r="F10777" s="1342"/>
      <c r="G10777" s="1342"/>
      <c r="H10777" s="1342"/>
      <c r="I10777" s="1342"/>
      <c r="J10777" s="1342"/>
      <c r="K10777" s="1342"/>
    </row>
    <row r="10778" spans="2:11" ht="14" hidden="1">
      <c r="B10778" s="1342"/>
      <c r="C10778" s="1342"/>
      <c r="D10778" s="1342"/>
      <c r="E10778" s="1342"/>
      <c r="F10778" s="1342"/>
      <c r="G10778" s="1342"/>
      <c r="H10778" s="1342"/>
      <c r="I10778" s="1342"/>
      <c r="J10778" s="1342"/>
      <c r="K10778" s="1342"/>
    </row>
    <row r="10779" spans="2:11" ht="14" hidden="1">
      <c r="B10779" s="1342"/>
      <c r="C10779" s="1342"/>
      <c r="D10779" s="1342"/>
      <c r="E10779" s="1342"/>
      <c r="F10779" s="1342"/>
      <c r="G10779" s="1342"/>
      <c r="H10779" s="1342"/>
      <c r="I10779" s="1342"/>
      <c r="J10779" s="1342"/>
      <c r="K10779" s="1342"/>
    </row>
    <row r="10780" spans="2:11" ht="14" hidden="1">
      <c r="B10780" s="1342"/>
      <c r="C10780" s="1342"/>
      <c r="D10780" s="1342"/>
      <c r="E10780" s="1342"/>
      <c r="F10780" s="1342"/>
      <c r="G10780" s="1342"/>
      <c r="H10780" s="1342"/>
      <c r="I10780" s="1342"/>
      <c r="J10780" s="1342"/>
      <c r="K10780" s="1342"/>
    </row>
    <row r="10781" spans="2:11" ht="14" hidden="1">
      <c r="B10781" s="1342"/>
      <c r="C10781" s="1342"/>
      <c r="D10781" s="1342"/>
      <c r="E10781" s="1342"/>
      <c r="F10781" s="1342"/>
      <c r="G10781" s="1342"/>
      <c r="H10781" s="1342"/>
      <c r="I10781" s="1342"/>
      <c r="J10781" s="1342"/>
      <c r="K10781" s="1342"/>
    </row>
    <row r="10782" spans="2:11" ht="14" hidden="1">
      <c r="B10782" s="1342"/>
      <c r="C10782" s="1342"/>
      <c r="D10782" s="1342"/>
      <c r="E10782" s="1342"/>
      <c r="F10782" s="1342"/>
      <c r="G10782" s="1342"/>
      <c r="H10782" s="1342"/>
      <c r="I10782" s="1342"/>
      <c r="J10782" s="1342"/>
      <c r="K10782" s="1342"/>
    </row>
    <row r="10783" spans="2:11" ht="14" hidden="1">
      <c r="B10783" s="1342"/>
      <c r="C10783" s="1342"/>
      <c r="D10783" s="1342"/>
      <c r="E10783" s="1342"/>
      <c r="F10783" s="1342"/>
      <c r="G10783" s="1342"/>
      <c r="H10783" s="1342"/>
      <c r="I10783" s="1342"/>
      <c r="J10783" s="1342"/>
      <c r="K10783" s="1342"/>
    </row>
    <row r="10784" spans="2:11" ht="14" hidden="1">
      <c r="B10784" s="1342"/>
      <c r="C10784" s="1342"/>
      <c r="D10784" s="1342"/>
      <c r="E10784" s="1342"/>
      <c r="F10784" s="1342"/>
      <c r="G10784" s="1342"/>
      <c r="H10784" s="1342"/>
      <c r="I10784" s="1342"/>
      <c r="J10784" s="1342"/>
      <c r="K10784" s="1342"/>
    </row>
    <row r="10785" spans="2:11" ht="14" hidden="1">
      <c r="B10785" s="1342"/>
      <c r="C10785" s="1342"/>
      <c r="D10785" s="1342"/>
      <c r="E10785" s="1342"/>
      <c r="F10785" s="1342"/>
      <c r="G10785" s="1342"/>
      <c r="H10785" s="1342"/>
      <c r="I10785" s="1342"/>
      <c r="J10785" s="1342"/>
      <c r="K10785" s="1342"/>
    </row>
    <row r="10786" spans="2:11" ht="14" hidden="1">
      <c r="B10786" s="1342"/>
      <c r="C10786" s="1342"/>
      <c r="D10786" s="1342"/>
      <c r="E10786" s="1342"/>
      <c r="F10786" s="1342"/>
      <c r="G10786" s="1342"/>
      <c r="H10786" s="1342"/>
      <c r="I10786" s="1342"/>
      <c r="J10786" s="1342"/>
      <c r="K10786" s="1342"/>
    </row>
    <row r="10787" spans="2:11" ht="14" hidden="1">
      <c r="B10787" s="1342"/>
      <c r="C10787" s="1342"/>
      <c r="D10787" s="1342"/>
      <c r="E10787" s="1342"/>
      <c r="F10787" s="1342"/>
      <c r="G10787" s="1342"/>
      <c r="H10787" s="1342"/>
      <c r="I10787" s="1342"/>
      <c r="J10787" s="1342"/>
      <c r="K10787" s="1342"/>
    </row>
    <row r="10788" spans="2:11" ht="14" hidden="1">
      <c r="B10788" s="1342"/>
      <c r="C10788" s="1342"/>
      <c r="D10788" s="1342"/>
      <c r="E10788" s="1342"/>
      <c r="F10788" s="1342"/>
      <c r="G10788" s="1342"/>
      <c r="H10788" s="1342"/>
      <c r="I10788" s="1342"/>
      <c r="J10788" s="1342"/>
      <c r="K10788" s="1342"/>
    </row>
    <row r="10789" spans="2:11" ht="14" hidden="1">
      <c r="B10789" s="1342"/>
      <c r="C10789" s="1342"/>
      <c r="D10789" s="1342"/>
      <c r="E10789" s="1342"/>
      <c r="F10789" s="1342"/>
      <c r="G10789" s="1342"/>
      <c r="H10789" s="1342"/>
      <c r="I10789" s="1342"/>
      <c r="J10789" s="1342"/>
      <c r="K10789" s="1342"/>
    </row>
    <row r="10790" spans="2:11" ht="14" hidden="1">
      <c r="B10790" s="1342"/>
      <c r="C10790" s="1342"/>
      <c r="D10790" s="1342"/>
      <c r="E10790" s="1342"/>
      <c r="F10790" s="1342"/>
      <c r="G10790" s="1342"/>
      <c r="H10790" s="1342"/>
      <c r="I10790" s="1342"/>
      <c r="J10790" s="1342"/>
      <c r="K10790" s="1342"/>
    </row>
    <row r="10791" spans="2:11" ht="14" hidden="1">
      <c r="B10791" s="1342"/>
      <c r="C10791" s="1342"/>
      <c r="D10791" s="1342"/>
      <c r="E10791" s="1342"/>
      <c r="F10791" s="1342"/>
      <c r="G10791" s="1342"/>
      <c r="H10791" s="1342"/>
      <c r="I10791" s="1342"/>
      <c r="J10791" s="1342"/>
      <c r="K10791" s="1342"/>
    </row>
    <row r="10792" spans="2:11" ht="14" hidden="1">
      <c r="B10792" s="1342"/>
      <c r="C10792" s="1342"/>
      <c r="D10792" s="1342"/>
      <c r="E10792" s="1342"/>
      <c r="F10792" s="1342"/>
      <c r="G10792" s="1342"/>
      <c r="H10792" s="1342"/>
      <c r="I10792" s="1342"/>
      <c r="J10792" s="1342"/>
      <c r="K10792" s="1342"/>
    </row>
    <row r="10793" spans="2:11" ht="14" hidden="1">
      <c r="B10793" s="1342"/>
      <c r="C10793" s="1342"/>
      <c r="D10793" s="1342"/>
      <c r="E10793" s="1342"/>
      <c r="F10793" s="1342"/>
      <c r="G10793" s="1342"/>
      <c r="H10793" s="1342"/>
      <c r="I10793" s="1342"/>
      <c r="J10793" s="1342"/>
      <c r="K10793" s="1342"/>
    </row>
    <row r="10794" spans="2:11" ht="14" hidden="1">
      <c r="B10794" s="1342"/>
      <c r="C10794" s="1342"/>
      <c r="D10794" s="1342"/>
      <c r="E10794" s="1342"/>
      <c r="F10794" s="1342"/>
      <c r="G10794" s="1342"/>
      <c r="H10794" s="1342"/>
      <c r="I10794" s="1342"/>
      <c r="J10794" s="1342"/>
      <c r="K10794" s="1342"/>
    </row>
    <row r="10795" spans="2:11" ht="14" hidden="1">
      <c r="B10795" s="1342"/>
      <c r="C10795" s="1342"/>
      <c r="D10795" s="1342"/>
      <c r="E10795" s="1342"/>
      <c r="F10795" s="1342"/>
      <c r="G10795" s="1342"/>
      <c r="H10795" s="1342"/>
      <c r="I10795" s="1342"/>
      <c r="J10795" s="1342"/>
      <c r="K10795" s="1342"/>
    </row>
    <row r="10796" spans="2:11" ht="14" hidden="1">
      <c r="B10796" s="1342"/>
      <c r="C10796" s="1342"/>
      <c r="D10796" s="1342"/>
      <c r="E10796" s="1342"/>
      <c r="F10796" s="1342"/>
      <c r="G10796" s="1342"/>
      <c r="H10796" s="1342"/>
      <c r="I10796" s="1342"/>
      <c r="J10796" s="1342"/>
      <c r="K10796" s="1342"/>
    </row>
    <row r="10797" spans="2:11" ht="14" hidden="1">
      <c r="B10797" s="1342"/>
      <c r="C10797" s="1342"/>
      <c r="D10797" s="1342"/>
      <c r="E10797" s="1342"/>
      <c r="F10797" s="1342"/>
      <c r="G10797" s="1342"/>
      <c r="H10797" s="1342"/>
      <c r="I10797" s="1342"/>
      <c r="J10797" s="1342"/>
      <c r="K10797" s="1342"/>
    </row>
    <row r="10798" spans="2:11" ht="14" hidden="1">
      <c r="B10798" s="1342"/>
      <c r="C10798" s="1342"/>
      <c r="D10798" s="1342"/>
      <c r="E10798" s="1342"/>
      <c r="F10798" s="1342"/>
      <c r="G10798" s="1342"/>
      <c r="H10798" s="1342"/>
      <c r="I10798" s="1342"/>
      <c r="J10798" s="1342"/>
      <c r="K10798" s="1342"/>
    </row>
    <row r="10799" spans="2:11" ht="14" hidden="1">
      <c r="B10799" s="1342"/>
      <c r="C10799" s="1342"/>
      <c r="D10799" s="1342"/>
      <c r="E10799" s="1342"/>
      <c r="F10799" s="1342"/>
      <c r="G10799" s="1342"/>
      <c r="H10799" s="1342"/>
      <c r="I10799" s="1342"/>
      <c r="J10799" s="1342"/>
      <c r="K10799" s="1342"/>
    </row>
    <row r="10800" spans="2:11" ht="14" hidden="1">
      <c r="B10800" s="1342"/>
      <c r="C10800" s="1342"/>
      <c r="D10800" s="1342"/>
      <c r="E10800" s="1342"/>
      <c r="F10800" s="1342"/>
      <c r="G10800" s="1342"/>
      <c r="H10800" s="1342"/>
      <c r="I10800" s="1342"/>
      <c r="J10800" s="1342"/>
      <c r="K10800" s="1342"/>
    </row>
    <row r="10801" spans="2:11" ht="14" hidden="1">
      <c r="B10801" s="1342"/>
      <c r="C10801" s="1342"/>
      <c r="D10801" s="1342"/>
      <c r="E10801" s="1342"/>
      <c r="F10801" s="1342"/>
      <c r="G10801" s="1342"/>
      <c r="H10801" s="1342"/>
      <c r="I10801" s="1342"/>
      <c r="J10801" s="1342"/>
      <c r="K10801" s="1342"/>
    </row>
    <row r="10802" spans="2:11" ht="14" hidden="1">
      <c r="B10802" s="1342"/>
      <c r="C10802" s="1342"/>
      <c r="D10802" s="1342"/>
      <c r="E10802" s="1342"/>
      <c r="F10802" s="1342"/>
      <c r="G10802" s="1342"/>
      <c r="H10802" s="1342"/>
      <c r="I10802" s="1342"/>
      <c r="J10802" s="1342"/>
      <c r="K10802" s="1342"/>
    </row>
    <row r="10803" spans="2:11" ht="14" hidden="1">
      <c r="B10803" s="1342"/>
      <c r="C10803" s="1342"/>
      <c r="D10803" s="1342"/>
      <c r="E10803" s="1342"/>
      <c r="F10803" s="1342"/>
      <c r="G10803" s="1342"/>
      <c r="H10803" s="1342"/>
      <c r="I10803" s="1342"/>
      <c r="J10803" s="1342"/>
      <c r="K10803" s="1342"/>
    </row>
    <row r="10804" spans="2:11" ht="14" hidden="1">
      <c r="B10804" s="1342"/>
      <c r="C10804" s="1342"/>
      <c r="D10804" s="1342"/>
      <c r="E10804" s="1342"/>
      <c r="F10804" s="1342"/>
      <c r="G10804" s="1342"/>
      <c r="H10804" s="1342"/>
      <c r="I10804" s="1342"/>
      <c r="J10804" s="1342"/>
      <c r="K10804" s="1342"/>
    </row>
    <row r="10805" spans="2:11" ht="14" hidden="1">
      <c r="B10805" s="1342"/>
      <c r="C10805" s="1342"/>
      <c r="D10805" s="1342"/>
      <c r="E10805" s="1342"/>
      <c r="F10805" s="1342"/>
      <c r="G10805" s="1342"/>
      <c r="H10805" s="1342"/>
      <c r="I10805" s="1342"/>
      <c r="J10805" s="1342"/>
      <c r="K10805" s="1342"/>
    </row>
    <row r="10806" spans="2:11" ht="14" hidden="1">
      <c r="B10806" s="1342"/>
      <c r="C10806" s="1342"/>
      <c r="D10806" s="1342"/>
      <c r="E10806" s="1342"/>
      <c r="F10806" s="1342"/>
      <c r="G10806" s="1342"/>
      <c r="H10806" s="1342"/>
      <c r="I10806" s="1342"/>
      <c r="J10806" s="1342"/>
      <c r="K10806" s="1342"/>
    </row>
    <row r="10807" spans="2:11" ht="14" hidden="1">
      <c r="B10807" s="1342"/>
      <c r="C10807" s="1342"/>
      <c r="D10807" s="1342"/>
      <c r="E10807" s="1342"/>
      <c r="F10807" s="1342"/>
      <c r="G10807" s="1342"/>
      <c r="H10807" s="1342"/>
      <c r="I10807" s="1342"/>
      <c r="J10807" s="1342"/>
      <c r="K10807" s="1342"/>
    </row>
    <row r="10808" spans="2:11" ht="14" hidden="1">
      <c r="B10808" s="1342"/>
      <c r="C10808" s="1342"/>
      <c r="D10808" s="1342"/>
      <c r="E10808" s="1342"/>
      <c r="F10808" s="1342"/>
      <c r="G10808" s="1342"/>
      <c r="H10808" s="1342"/>
      <c r="I10808" s="1342"/>
      <c r="J10808" s="1342"/>
      <c r="K10808" s="1342"/>
    </row>
    <row r="10809" spans="2:11" ht="14" hidden="1">
      <c r="B10809" s="1342"/>
      <c r="C10809" s="1342"/>
      <c r="D10809" s="1342"/>
      <c r="E10809" s="1342"/>
      <c r="F10809" s="1342"/>
      <c r="G10809" s="1342"/>
      <c r="H10809" s="1342"/>
      <c r="I10809" s="1342"/>
      <c r="J10809" s="1342"/>
      <c r="K10809" s="1342"/>
    </row>
    <row r="10810" spans="2:11" ht="14" hidden="1">
      <c r="B10810" s="1342"/>
      <c r="C10810" s="1342"/>
      <c r="D10810" s="1342"/>
      <c r="E10810" s="1342"/>
      <c r="F10810" s="1342"/>
      <c r="G10810" s="1342"/>
      <c r="H10810" s="1342"/>
      <c r="I10810" s="1342"/>
      <c r="J10810" s="1342"/>
      <c r="K10810" s="1342"/>
    </row>
    <row r="10811" spans="2:11" ht="14" hidden="1">
      <c r="B10811" s="1342"/>
      <c r="C10811" s="1342"/>
      <c r="D10811" s="1342"/>
      <c r="E10811" s="1342"/>
      <c r="F10811" s="1342"/>
      <c r="G10811" s="1342"/>
      <c r="H10811" s="1342"/>
      <c r="I10811" s="1342"/>
      <c r="J10811" s="1342"/>
      <c r="K10811" s="1342"/>
    </row>
    <row r="10812" spans="2:11" ht="14" hidden="1">
      <c r="B10812" s="1342"/>
      <c r="C10812" s="1342"/>
      <c r="D10812" s="1342"/>
      <c r="E10812" s="1342"/>
      <c r="F10812" s="1342"/>
      <c r="G10812" s="1342"/>
      <c r="H10812" s="1342"/>
      <c r="I10812" s="1342"/>
      <c r="J10812" s="1342"/>
      <c r="K10812" s="1342"/>
    </row>
    <row r="10813" spans="2:11" ht="14" hidden="1">
      <c r="B10813" s="1342"/>
      <c r="C10813" s="1342"/>
      <c r="D10813" s="1342"/>
      <c r="E10813" s="1342"/>
      <c r="F10813" s="1342"/>
      <c r="G10813" s="1342"/>
      <c r="H10813" s="1342"/>
      <c r="I10813" s="1342"/>
      <c r="J10813" s="1342"/>
      <c r="K10813" s="1342"/>
    </row>
    <row r="10814" spans="2:11" ht="14" hidden="1">
      <c r="B10814" s="1342"/>
      <c r="C10814" s="1342"/>
      <c r="D10814" s="1342"/>
      <c r="E10814" s="1342"/>
      <c r="F10814" s="1342"/>
      <c r="G10814" s="1342"/>
      <c r="H10814" s="1342"/>
      <c r="I10814" s="1342"/>
      <c r="J10814" s="1342"/>
      <c r="K10814" s="1342"/>
    </row>
    <row r="10815" spans="2:11" ht="14" hidden="1">
      <c r="B10815" s="1342"/>
      <c r="C10815" s="1342"/>
      <c r="D10815" s="1342"/>
      <c r="E10815" s="1342"/>
      <c r="F10815" s="1342"/>
      <c r="G10815" s="1342"/>
      <c r="H10815" s="1342"/>
      <c r="I10815" s="1342"/>
      <c r="J10815" s="1342"/>
      <c r="K10815" s="1342"/>
    </row>
    <row r="10816" spans="2:11" ht="14" hidden="1">
      <c r="B10816" s="1342"/>
      <c r="C10816" s="1342"/>
      <c r="D10816" s="1342"/>
      <c r="E10816" s="1342"/>
      <c r="F10816" s="1342"/>
      <c r="G10816" s="1342"/>
      <c r="H10816" s="1342"/>
      <c r="I10816" s="1342"/>
      <c r="J10816" s="1342"/>
      <c r="K10816" s="1342"/>
    </row>
    <row r="10817" spans="2:11" ht="14" hidden="1">
      <c r="B10817" s="1342"/>
      <c r="C10817" s="1342"/>
      <c r="D10817" s="1342"/>
      <c r="E10817" s="1342"/>
      <c r="F10817" s="1342"/>
      <c r="G10817" s="1342"/>
      <c r="H10817" s="1342"/>
      <c r="I10817" s="1342"/>
      <c r="J10817" s="1342"/>
      <c r="K10817" s="1342"/>
    </row>
    <row r="10818" spans="2:11" ht="14" hidden="1">
      <c r="B10818" s="1342"/>
      <c r="C10818" s="1342"/>
      <c r="D10818" s="1342"/>
      <c r="E10818" s="1342"/>
      <c r="F10818" s="1342"/>
      <c r="G10818" s="1342"/>
      <c r="H10818" s="1342"/>
      <c r="I10818" s="1342"/>
      <c r="J10818" s="1342"/>
      <c r="K10818" s="1342"/>
    </row>
    <row r="10819" spans="2:11" ht="14" hidden="1">
      <c r="B10819" s="1342"/>
      <c r="C10819" s="1342"/>
      <c r="D10819" s="1342"/>
      <c r="E10819" s="1342"/>
      <c r="F10819" s="1342"/>
      <c r="G10819" s="1342"/>
      <c r="H10819" s="1342"/>
      <c r="I10819" s="1342"/>
      <c r="J10819" s="1342"/>
      <c r="K10819" s="1342"/>
    </row>
    <row r="10820" spans="2:11" ht="14" hidden="1">
      <c r="B10820" s="1342"/>
      <c r="C10820" s="1342"/>
      <c r="D10820" s="1342"/>
      <c r="E10820" s="1342"/>
      <c r="F10820" s="1342"/>
      <c r="G10820" s="1342"/>
      <c r="H10820" s="1342"/>
      <c r="I10820" s="1342"/>
      <c r="J10820" s="1342"/>
      <c r="K10820" s="1342"/>
    </row>
    <row r="10821" spans="2:11" ht="14" hidden="1">
      <c r="B10821" s="1342"/>
      <c r="C10821" s="1342"/>
      <c r="D10821" s="1342"/>
      <c r="E10821" s="1342"/>
      <c r="F10821" s="1342"/>
      <c r="G10821" s="1342"/>
      <c r="H10821" s="1342"/>
      <c r="I10821" s="1342"/>
      <c r="J10821" s="1342"/>
      <c r="K10821" s="1342"/>
    </row>
    <row r="10822" spans="2:11" ht="14" hidden="1">
      <c r="B10822" s="1342"/>
      <c r="C10822" s="1342"/>
      <c r="D10822" s="1342"/>
      <c r="E10822" s="1342"/>
      <c r="F10822" s="1342"/>
      <c r="G10822" s="1342"/>
      <c r="H10822" s="1342"/>
      <c r="I10822" s="1342"/>
      <c r="J10822" s="1342"/>
      <c r="K10822" s="1342"/>
    </row>
    <row r="10823" spans="2:11" ht="14" hidden="1">
      <c r="B10823" s="1342"/>
      <c r="C10823" s="1342"/>
      <c r="D10823" s="1342"/>
      <c r="E10823" s="1342"/>
      <c r="F10823" s="1342"/>
      <c r="G10823" s="1342"/>
      <c r="H10823" s="1342"/>
      <c r="I10823" s="1342"/>
      <c r="J10823" s="1342"/>
      <c r="K10823" s="1342"/>
    </row>
    <row r="10824" spans="2:11" ht="14" hidden="1">
      <c r="B10824" s="1342"/>
      <c r="C10824" s="1342"/>
      <c r="D10824" s="1342"/>
      <c r="E10824" s="1342"/>
      <c r="F10824" s="1342"/>
      <c r="G10824" s="1342"/>
      <c r="H10824" s="1342"/>
      <c r="I10824" s="1342"/>
      <c r="J10824" s="1342"/>
      <c r="K10824" s="1342"/>
    </row>
    <row r="10825" spans="2:11" ht="14" hidden="1">
      <c r="B10825" s="1342"/>
      <c r="C10825" s="1342"/>
      <c r="D10825" s="1342"/>
      <c r="E10825" s="1342"/>
      <c r="F10825" s="1342"/>
      <c r="G10825" s="1342"/>
      <c r="H10825" s="1342"/>
      <c r="I10825" s="1342"/>
      <c r="J10825" s="1342"/>
      <c r="K10825" s="1342"/>
    </row>
    <row r="10826" spans="2:11" ht="14" hidden="1">
      <c r="B10826" s="1342"/>
      <c r="C10826" s="1342"/>
      <c r="D10826" s="1342"/>
      <c r="E10826" s="1342"/>
      <c r="F10826" s="1342"/>
      <c r="G10826" s="1342"/>
      <c r="H10826" s="1342"/>
      <c r="I10826" s="1342"/>
      <c r="J10826" s="1342"/>
      <c r="K10826" s="1342"/>
    </row>
    <row r="10827" spans="2:11" ht="14" hidden="1">
      <c r="B10827" s="1342"/>
      <c r="C10827" s="1342"/>
      <c r="D10827" s="1342"/>
      <c r="E10827" s="1342"/>
      <c r="F10827" s="1342"/>
      <c r="G10827" s="1342"/>
      <c r="H10827" s="1342"/>
      <c r="I10827" s="1342"/>
      <c r="J10827" s="1342"/>
      <c r="K10827" s="1342"/>
    </row>
    <row r="10828" spans="2:11" ht="14" hidden="1">
      <c r="B10828" s="1342"/>
      <c r="C10828" s="1342"/>
      <c r="D10828" s="1342"/>
      <c r="E10828" s="1342"/>
      <c r="F10828" s="1342"/>
      <c r="G10828" s="1342"/>
      <c r="H10828" s="1342"/>
      <c r="I10828" s="1342"/>
      <c r="J10828" s="1342"/>
      <c r="K10828" s="1342"/>
    </row>
    <row r="10829" spans="2:11" ht="14" hidden="1">
      <c r="B10829" s="1342"/>
      <c r="C10829" s="1342"/>
      <c r="D10829" s="1342"/>
      <c r="E10829" s="1342"/>
      <c r="F10829" s="1342"/>
      <c r="G10829" s="1342"/>
      <c r="H10829" s="1342"/>
      <c r="I10829" s="1342"/>
      <c r="J10829" s="1342"/>
      <c r="K10829" s="1342"/>
    </row>
    <row r="10830" spans="2:11" ht="14" hidden="1">
      <c r="B10830" s="1342"/>
      <c r="C10830" s="1342"/>
      <c r="D10830" s="1342"/>
      <c r="E10830" s="1342"/>
      <c r="F10830" s="1342"/>
      <c r="G10830" s="1342"/>
      <c r="H10830" s="1342"/>
      <c r="I10830" s="1342"/>
      <c r="J10830" s="1342"/>
      <c r="K10830" s="1342"/>
    </row>
    <row r="10831" spans="2:11" ht="14" hidden="1">
      <c r="B10831" s="1342"/>
      <c r="C10831" s="1342"/>
      <c r="D10831" s="1342"/>
      <c r="E10831" s="1342"/>
      <c r="F10831" s="1342"/>
      <c r="G10831" s="1342"/>
      <c r="H10831" s="1342"/>
      <c r="I10831" s="1342"/>
      <c r="J10831" s="1342"/>
      <c r="K10831" s="1342"/>
    </row>
    <row r="10832" spans="2:11" ht="14" hidden="1">
      <c r="B10832" s="1342"/>
      <c r="C10832" s="1342"/>
      <c r="D10832" s="1342"/>
      <c r="E10832" s="1342"/>
      <c r="F10832" s="1342"/>
      <c r="G10832" s="1342"/>
      <c r="H10832" s="1342"/>
      <c r="I10832" s="1342"/>
      <c r="J10832" s="1342"/>
      <c r="K10832" s="1342"/>
    </row>
    <row r="10833" spans="2:11" ht="14" hidden="1">
      <c r="B10833" s="1342"/>
      <c r="C10833" s="1342"/>
      <c r="D10833" s="1342"/>
      <c r="E10833" s="1342"/>
      <c r="F10833" s="1342"/>
      <c r="G10833" s="1342"/>
      <c r="H10833" s="1342"/>
      <c r="I10833" s="1342"/>
      <c r="J10833" s="1342"/>
      <c r="K10833" s="1342"/>
    </row>
    <row r="10834" spans="2:11" ht="14" hidden="1">
      <c r="B10834" s="1342"/>
      <c r="C10834" s="1342"/>
      <c r="D10834" s="1342"/>
      <c r="E10834" s="1342"/>
      <c r="F10834" s="1342"/>
      <c r="G10834" s="1342"/>
      <c r="H10834" s="1342"/>
      <c r="I10834" s="1342"/>
      <c r="J10834" s="1342"/>
      <c r="K10834" s="1342"/>
    </row>
    <row r="10835" spans="2:11" ht="14" hidden="1">
      <c r="B10835" s="1342"/>
      <c r="C10835" s="1342"/>
      <c r="D10835" s="1342"/>
      <c r="E10835" s="1342"/>
      <c r="F10835" s="1342"/>
      <c r="G10835" s="1342"/>
      <c r="H10835" s="1342"/>
      <c r="I10835" s="1342"/>
      <c r="J10835" s="1342"/>
      <c r="K10835" s="1342"/>
    </row>
    <row r="10836" spans="2:11" ht="14" hidden="1">
      <c r="B10836" s="1342"/>
      <c r="C10836" s="1342"/>
      <c r="D10836" s="1342"/>
      <c r="E10836" s="1342"/>
      <c r="F10836" s="1342"/>
      <c r="G10836" s="1342"/>
      <c r="H10836" s="1342"/>
      <c r="I10836" s="1342"/>
      <c r="J10836" s="1342"/>
      <c r="K10836" s="1342"/>
    </row>
    <row r="10837" spans="2:11" ht="14" hidden="1">
      <c r="B10837" s="1342"/>
      <c r="C10837" s="1342"/>
      <c r="D10837" s="1342"/>
      <c r="E10837" s="1342"/>
      <c r="F10837" s="1342"/>
      <c r="G10837" s="1342"/>
      <c r="H10837" s="1342"/>
      <c r="I10837" s="1342"/>
      <c r="J10837" s="1342"/>
      <c r="K10837" s="1342"/>
    </row>
    <row r="10838" spans="2:11" ht="14" hidden="1">
      <c r="B10838" s="1342"/>
      <c r="C10838" s="1342"/>
      <c r="D10838" s="1342"/>
      <c r="E10838" s="1342"/>
      <c r="F10838" s="1342"/>
      <c r="G10838" s="1342"/>
      <c r="H10838" s="1342"/>
      <c r="I10838" s="1342"/>
      <c r="J10838" s="1342"/>
      <c r="K10838" s="1342"/>
    </row>
    <row r="10839" spans="2:11" ht="14" hidden="1">
      <c r="B10839" s="1342"/>
      <c r="C10839" s="1342"/>
      <c r="D10839" s="1342"/>
      <c r="E10839" s="1342"/>
      <c r="F10839" s="1342"/>
      <c r="G10839" s="1342"/>
      <c r="H10839" s="1342"/>
      <c r="I10839" s="1342"/>
      <c r="J10839" s="1342"/>
      <c r="K10839" s="1342"/>
    </row>
    <row r="10840" spans="2:11" ht="14" hidden="1">
      <c r="B10840" s="1342"/>
      <c r="C10840" s="1342"/>
      <c r="D10840" s="1342"/>
      <c r="E10840" s="1342"/>
      <c r="F10840" s="1342"/>
      <c r="G10840" s="1342"/>
      <c r="H10840" s="1342"/>
      <c r="I10840" s="1342"/>
      <c r="J10840" s="1342"/>
      <c r="K10840" s="1342"/>
    </row>
    <row r="10841" spans="2:11" ht="14" hidden="1">
      <c r="B10841" s="1342"/>
      <c r="C10841" s="1342"/>
      <c r="D10841" s="1342"/>
      <c r="E10841" s="1342"/>
      <c r="F10841" s="1342"/>
      <c r="G10841" s="1342"/>
      <c r="H10841" s="1342"/>
      <c r="I10841" s="1342"/>
      <c r="J10841" s="1342"/>
      <c r="K10841" s="1342"/>
    </row>
    <row r="10842" spans="2:11" ht="14" hidden="1">
      <c r="B10842" s="1342"/>
      <c r="C10842" s="1342"/>
      <c r="D10842" s="1342"/>
      <c r="E10842" s="1342"/>
      <c r="F10842" s="1342"/>
      <c r="G10842" s="1342"/>
      <c r="H10842" s="1342"/>
      <c r="I10842" s="1342"/>
      <c r="J10842" s="1342"/>
      <c r="K10842" s="1342"/>
    </row>
    <row r="10843" spans="2:11" ht="14" hidden="1">
      <c r="B10843" s="1342"/>
      <c r="C10843" s="1342"/>
      <c r="D10843" s="1342"/>
      <c r="E10843" s="1342"/>
      <c r="F10843" s="1342"/>
      <c r="G10843" s="1342"/>
      <c r="H10843" s="1342"/>
      <c r="I10843" s="1342"/>
      <c r="J10843" s="1342"/>
      <c r="K10843" s="1342"/>
    </row>
    <row r="10844" spans="2:11" ht="14" hidden="1">
      <c r="B10844" s="1342"/>
      <c r="C10844" s="1342"/>
      <c r="D10844" s="1342"/>
      <c r="E10844" s="1342"/>
      <c r="F10844" s="1342"/>
      <c r="G10844" s="1342"/>
      <c r="H10844" s="1342"/>
      <c r="I10844" s="1342"/>
      <c r="J10844" s="1342"/>
      <c r="K10844" s="1342"/>
    </row>
    <row r="10845" spans="2:11" ht="14" hidden="1">
      <c r="B10845" s="1342"/>
      <c r="C10845" s="1342"/>
      <c r="D10845" s="1342"/>
      <c r="E10845" s="1342"/>
      <c r="F10845" s="1342"/>
      <c r="G10845" s="1342"/>
      <c r="H10845" s="1342"/>
      <c r="I10845" s="1342"/>
      <c r="J10845" s="1342"/>
      <c r="K10845" s="1342"/>
    </row>
    <row r="10846" spans="2:11" ht="14" hidden="1">
      <c r="B10846" s="1342"/>
      <c r="C10846" s="1342"/>
      <c r="D10846" s="1342"/>
      <c r="E10846" s="1342"/>
      <c r="F10846" s="1342"/>
      <c r="G10846" s="1342"/>
      <c r="H10846" s="1342"/>
      <c r="I10846" s="1342"/>
      <c r="J10846" s="1342"/>
      <c r="K10846" s="1342"/>
    </row>
    <row r="10847" spans="2:11" ht="14" hidden="1">
      <c r="B10847" s="1342"/>
      <c r="C10847" s="1342"/>
      <c r="D10847" s="1342"/>
      <c r="E10847" s="1342"/>
      <c r="F10847" s="1342"/>
      <c r="G10847" s="1342"/>
      <c r="H10847" s="1342"/>
      <c r="I10847" s="1342"/>
      <c r="J10847" s="1342"/>
      <c r="K10847" s="1342"/>
    </row>
    <row r="10848" spans="2:11" ht="14" hidden="1">
      <c r="B10848" s="1342"/>
      <c r="C10848" s="1342"/>
      <c r="D10848" s="1342"/>
      <c r="E10848" s="1342"/>
      <c r="F10848" s="1342"/>
      <c r="G10848" s="1342"/>
      <c r="H10848" s="1342"/>
      <c r="I10848" s="1342"/>
      <c r="J10848" s="1342"/>
      <c r="K10848" s="1342"/>
    </row>
    <row r="10849" spans="2:11" ht="14" hidden="1">
      <c r="B10849" s="1342"/>
      <c r="C10849" s="1342"/>
      <c r="D10849" s="1342"/>
      <c r="E10849" s="1342"/>
      <c r="F10849" s="1342"/>
      <c r="G10849" s="1342"/>
      <c r="H10849" s="1342"/>
      <c r="I10849" s="1342"/>
      <c r="J10849" s="1342"/>
      <c r="K10849" s="1342"/>
    </row>
    <row r="10850" spans="2:11" ht="14" hidden="1">
      <c r="B10850" s="1342"/>
      <c r="C10850" s="1342"/>
      <c r="D10850" s="1342"/>
      <c r="E10850" s="1342"/>
      <c r="F10850" s="1342"/>
      <c r="G10850" s="1342"/>
      <c r="H10850" s="1342"/>
      <c r="I10850" s="1342"/>
      <c r="J10850" s="1342"/>
      <c r="K10850" s="1342"/>
    </row>
    <row r="10851" spans="2:11" ht="14" hidden="1">
      <c r="B10851" s="1342"/>
      <c r="C10851" s="1342"/>
      <c r="D10851" s="1342"/>
      <c r="E10851" s="1342"/>
      <c r="F10851" s="1342"/>
      <c r="G10851" s="1342"/>
      <c r="H10851" s="1342"/>
      <c r="I10851" s="1342"/>
      <c r="J10851" s="1342"/>
      <c r="K10851" s="1342"/>
    </row>
    <row r="10852" spans="2:11" ht="14" hidden="1">
      <c r="B10852" s="1342"/>
      <c r="C10852" s="1342"/>
      <c r="D10852" s="1342"/>
      <c r="E10852" s="1342"/>
      <c r="F10852" s="1342"/>
      <c r="G10852" s="1342"/>
      <c r="H10852" s="1342"/>
      <c r="I10852" s="1342"/>
      <c r="J10852" s="1342"/>
      <c r="K10852" s="1342"/>
    </row>
    <row r="10853" spans="2:11" ht="14" hidden="1">
      <c r="B10853" s="1342"/>
      <c r="C10853" s="1342"/>
      <c r="D10853" s="1342"/>
      <c r="E10853" s="1342"/>
      <c r="F10853" s="1342"/>
      <c r="G10853" s="1342"/>
      <c r="H10853" s="1342"/>
      <c r="I10853" s="1342"/>
      <c r="J10853" s="1342"/>
      <c r="K10853" s="1342"/>
    </row>
    <row r="10854" spans="2:11" ht="14" hidden="1">
      <c r="B10854" s="1342"/>
      <c r="C10854" s="1342"/>
      <c r="D10854" s="1342"/>
      <c r="E10854" s="1342"/>
      <c r="F10854" s="1342"/>
      <c r="G10854" s="1342"/>
      <c r="H10854" s="1342"/>
      <c r="I10854" s="1342"/>
      <c r="J10854" s="1342"/>
      <c r="K10854" s="1342"/>
    </row>
    <row r="10855" spans="2:11" ht="14" hidden="1">
      <c r="B10855" s="1342"/>
      <c r="C10855" s="1342"/>
      <c r="D10855" s="1342"/>
      <c r="E10855" s="1342"/>
      <c r="F10855" s="1342"/>
      <c r="G10855" s="1342"/>
      <c r="H10855" s="1342"/>
      <c r="I10855" s="1342"/>
      <c r="J10855" s="1342"/>
      <c r="K10855" s="1342"/>
    </row>
    <row r="10856" spans="2:11" ht="14" hidden="1">
      <c r="B10856" s="1342"/>
      <c r="C10856" s="1342"/>
      <c r="D10856" s="1342"/>
      <c r="E10856" s="1342"/>
      <c r="F10856" s="1342"/>
      <c r="G10856" s="1342"/>
      <c r="H10856" s="1342"/>
      <c r="I10856" s="1342"/>
      <c r="J10856" s="1342"/>
      <c r="K10856" s="1342"/>
    </row>
    <row r="10857" spans="2:11" ht="14" hidden="1">
      <c r="B10857" s="1342"/>
      <c r="C10857" s="1342"/>
      <c r="D10857" s="1342"/>
      <c r="E10857" s="1342"/>
      <c r="F10857" s="1342"/>
      <c r="G10857" s="1342"/>
      <c r="H10857" s="1342"/>
      <c r="I10857" s="1342"/>
      <c r="J10857" s="1342"/>
      <c r="K10857" s="1342"/>
    </row>
    <row r="10858" spans="2:11" ht="14" hidden="1">
      <c r="B10858" s="1342"/>
      <c r="C10858" s="1342"/>
      <c r="D10858" s="1342"/>
      <c r="E10858" s="1342"/>
      <c r="F10858" s="1342"/>
      <c r="G10858" s="1342"/>
      <c r="H10858" s="1342"/>
      <c r="I10858" s="1342"/>
      <c r="J10858" s="1342"/>
      <c r="K10858" s="1342"/>
    </row>
    <row r="10859" spans="2:11" ht="14" hidden="1">
      <c r="B10859" s="1342"/>
      <c r="C10859" s="1342"/>
      <c r="D10859" s="1342"/>
      <c r="E10859" s="1342"/>
      <c r="F10859" s="1342"/>
      <c r="G10859" s="1342"/>
      <c r="H10859" s="1342"/>
      <c r="I10859" s="1342"/>
      <c r="J10859" s="1342"/>
      <c r="K10859" s="1342"/>
    </row>
    <row r="10860" spans="2:11" ht="14" hidden="1">
      <c r="B10860" s="1342"/>
      <c r="C10860" s="1342"/>
      <c r="D10860" s="1342"/>
      <c r="E10860" s="1342"/>
      <c r="F10860" s="1342"/>
      <c r="G10860" s="1342"/>
      <c r="H10860" s="1342"/>
      <c r="I10860" s="1342"/>
      <c r="J10860" s="1342"/>
      <c r="K10860" s="1342"/>
    </row>
    <row r="10861" spans="2:11" ht="14" hidden="1">
      <c r="B10861" s="1342"/>
      <c r="C10861" s="1342"/>
      <c r="D10861" s="1342"/>
      <c r="E10861" s="1342"/>
      <c r="F10861" s="1342"/>
      <c r="G10861" s="1342"/>
      <c r="H10861" s="1342"/>
      <c r="I10861" s="1342"/>
      <c r="J10861" s="1342"/>
      <c r="K10861" s="1342"/>
    </row>
    <row r="10862" spans="2:11" ht="14" hidden="1">
      <c r="B10862" s="1342"/>
      <c r="C10862" s="1342"/>
      <c r="D10862" s="1342"/>
      <c r="E10862" s="1342"/>
      <c r="F10862" s="1342"/>
      <c r="G10862" s="1342"/>
      <c r="H10862" s="1342"/>
      <c r="I10862" s="1342"/>
      <c r="J10862" s="1342"/>
      <c r="K10862" s="1342"/>
    </row>
    <row r="10863" spans="2:11" ht="14" hidden="1">
      <c r="B10863" s="1342"/>
      <c r="C10863" s="1342"/>
      <c r="D10863" s="1342"/>
      <c r="E10863" s="1342"/>
      <c r="F10863" s="1342"/>
      <c r="G10863" s="1342"/>
      <c r="H10863" s="1342"/>
      <c r="I10863" s="1342"/>
      <c r="J10863" s="1342"/>
      <c r="K10863" s="1342"/>
    </row>
    <row r="10864" spans="2:11" ht="14" hidden="1">
      <c r="B10864" s="1342"/>
      <c r="C10864" s="1342"/>
      <c r="D10864" s="1342"/>
      <c r="E10864" s="1342"/>
      <c r="F10864" s="1342"/>
      <c r="G10864" s="1342"/>
      <c r="H10864" s="1342"/>
      <c r="I10864" s="1342"/>
      <c r="J10864" s="1342"/>
      <c r="K10864" s="1342"/>
    </row>
    <row r="10865" spans="2:11" ht="14" hidden="1">
      <c r="B10865" s="1342"/>
      <c r="C10865" s="1342"/>
      <c r="D10865" s="1342"/>
      <c r="E10865" s="1342"/>
      <c r="F10865" s="1342"/>
      <c r="G10865" s="1342"/>
      <c r="H10865" s="1342"/>
      <c r="I10865" s="1342"/>
      <c r="J10865" s="1342"/>
      <c r="K10865" s="1342"/>
    </row>
    <row r="10866" spans="2:11" ht="14" hidden="1">
      <c r="B10866" s="1342"/>
      <c r="C10866" s="1342"/>
      <c r="D10866" s="1342"/>
      <c r="E10866" s="1342"/>
      <c r="F10866" s="1342"/>
      <c r="G10866" s="1342"/>
      <c r="H10866" s="1342"/>
      <c r="I10866" s="1342"/>
      <c r="J10866" s="1342"/>
      <c r="K10866" s="1342"/>
    </row>
    <row r="10867" spans="2:11" ht="14" hidden="1">
      <c r="B10867" s="1342"/>
      <c r="C10867" s="1342"/>
      <c r="D10867" s="1342"/>
      <c r="E10867" s="1342"/>
      <c r="F10867" s="1342"/>
      <c r="G10867" s="1342"/>
      <c r="H10867" s="1342"/>
      <c r="I10867" s="1342"/>
      <c r="J10867" s="1342"/>
      <c r="K10867" s="1342"/>
    </row>
    <row r="10868" spans="2:11" ht="14" hidden="1">
      <c r="B10868" s="1342"/>
      <c r="C10868" s="1342"/>
      <c r="D10868" s="1342"/>
      <c r="E10868" s="1342"/>
      <c r="F10868" s="1342"/>
      <c r="G10868" s="1342"/>
      <c r="H10868" s="1342"/>
      <c r="I10868" s="1342"/>
      <c r="J10868" s="1342"/>
      <c r="K10868" s="1342"/>
    </row>
    <row r="10869" spans="2:11" ht="14" hidden="1">
      <c r="B10869" s="1342"/>
      <c r="C10869" s="1342"/>
      <c r="D10869" s="1342"/>
      <c r="E10869" s="1342"/>
      <c r="F10869" s="1342"/>
      <c r="G10869" s="1342"/>
      <c r="H10869" s="1342"/>
      <c r="I10869" s="1342"/>
      <c r="J10869" s="1342"/>
      <c r="K10869" s="1342"/>
    </row>
    <row r="10870" spans="2:11" ht="14" hidden="1">
      <c r="B10870" s="1342"/>
      <c r="C10870" s="1342"/>
      <c r="D10870" s="1342"/>
      <c r="E10870" s="1342"/>
      <c r="F10870" s="1342"/>
      <c r="G10870" s="1342"/>
      <c r="H10870" s="1342"/>
      <c r="I10870" s="1342"/>
      <c r="J10870" s="1342"/>
      <c r="K10870" s="1342"/>
    </row>
    <row r="10871" spans="2:11" ht="14" hidden="1">
      <c r="B10871" s="1342"/>
      <c r="C10871" s="1342"/>
      <c r="D10871" s="1342"/>
      <c r="E10871" s="1342"/>
      <c r="F10871" s="1342"/>
      <c r="G10871" s="1342"/>
      <c r="H10871" s="1342"/>
      <c r="I10871" s="1342"/>
      <c r="J10871" s="1342"/>
      <c r="K10871" s="1342"/>
    </row>
    <row r="10872" spans="2:11" ht="14" hidden="1">
      <c r="B10872" s="1342"/>
      <c r="C10872" s="1342"/>
      <c r="D10872" s="1342"/>
      <c r="E10872" s="1342"/>
      <c r="F10872" s="1342"/>
      <c r="G10872" s="1342"/>
      <c r="H10872" s="1342"/>
      <c r="I10872" s="1342"/>
      <c r="J10872" s="1342"/>
      <c r="K10872" s="1342"/>
    </row>
    <row r="10873" spans="2:11" ht="14" hidden="1">
      <c r="B10873" s="1342"/>
      <c r="C10873" s="1342"/>
      <c r="D10873" s="1342"/>
      <c r="E10873" s="1342"/>
      <c r="F10873" s="1342"/>
      <c r="G10873" s="1342"/>
      <c r="H10873" s="1342"/>
      <c r="I10873" s="1342"/>
      <c r="J10873" s="1342"/>
      <c r="K10873" s="1342"/>
    </row>
    <row r="10874" spans="2:11" ht="14" hidden="1">
      <c r="B10874" s="1342"/>
      <c r="C10874" s="1342"/>
      <c r="D10874" s="1342"/>
      <c r="E10874" s="1342"/>
      <c r="F10874" s="1342"/>
      <c r="G10874" s="1342"/>
      <c r="H10874" s="1342"/>
      <c r="I10874" s="1342"/>
      <c r="J10874" s="1342"/>
      <c r="K10874" s="1342"/>
    </row>
    <row r="10875" spans="2:11" ht="14" hidden="1">
      <c r="B10875" s="1342"/>
      <c r="C10875" s="1342"/>
      <c r="D10875" s="1342"/>
      <c r="E10875" s="1342"/>
      <c r="F10875" s="1342"/>
      <c r="G10875" s="1342"/>
      <c r="H10875" s="1342"/>
      <c r="I10875" s="1342"/>
      <c r="J10875" s="1342"/>
      <c r="K10875" s="1342"/>
    </row>
    <row r="10876" spans="2:11" ht="14" hidden="1">
      <c r="B10876" s="1342"/>
      <c r="C10876" s="1342"/>
      <c r="D10876" s="1342"/>
      <c r="E10876" s="1342"/>
      <c r="F10876" s="1342"/>
      <c r="G10876" s="1342"/>
      <c r="H10876" s="1342"/>
      <c r="I10876" s="1342"/>
      <c r="J10876" s="1342"/>
      <c r="K10876" s="1342"/>
    </row>
    <row r="10877" spans="2:11" ht="14" hidden="1">
      <c r="B10877" s="1342"/>
      <c r="C10877" s="1342"/>
      <c r="D10877" s="1342"/>
      <c r="E10877" s="1342"/>
      <c r="F10877" s="1342"/>
      <c r="G10877" s="1342"/>
      <c r="H10877" s="1342"/>
      <c r="I10877" s="1342"/>
      <c r="J10877" s="1342"/>
      <c r="K10877" s="1342"/>
    </row>
    <row r="10878" spans="2:11" ht="14" hidden="1">
      <c r="B10878" s="1342"/>
      <c r="C10878" s="1342"/>
      <c r="D10878" s="1342"/>
      <c r="E10878" s="1342"/>
      <c r="F10878" s="1342"/>
      <c r="G10878" s="1342"/>
      <c r="H10878" s="1342"/>
      <c r="I10878" s="1342"/>
      <c r="J10878" s="1342"/>
      <c r="K10878" s="1342"/>
    </row>
    <row r="10879" spans="2:11" ht="14" hidden="1">
      <c r="B10879" s="1342"/>
      <c r="C10879" s="1342"/>
      <c r="D10879" s="1342"/>
      <c r="E10879" s="1342"/>
      <c r="F10879" s="1342"/>
      <c r="G10879" s="1342"/>
      <c r="H10879" s="1342"/>
      <c r="I10879" s="1342"/>
      <c r="J10879" s="1342"/>
      <c r="K10879" s="1342"/>
    </row>
    <row r="10880" spans="2:11" ht="14" hidden="1">
      <c r="B10880" s="1342"/>
      <c r="C10880" s="1342"/>
      <c r="D10880" s="1342"/>
      <c r="E10880" s="1342"/>
      <c r="F10880" s="1342"/>
      <c r="G10880" s="1342"/>
      <c r="H10880" s="1342"/>
      <c r="I10880" s="1342"/>
      <c r="J10880" s="1342"/>
      <c r="K10880" s="1342"/>
    </row>
    <row r="10881" spans="2:11" ht="14" hidden="1">
      <c r="B10881" s="1342"/>
      <c r="C10881" s="1342"/>
      <c r="D10881" s="1342"/>
      <c r="E10881" s="1342"/>
      <c r="F10881" s="1342"/>
      <c r="G10881" s="1342"/>
      <c r="H10881" s="1342"/>
      <c r="I10881" s="1342"/>
      <c r="J10881" s="1342"/>
      <c r="K10881" s="1342"/>
    </row>
    <row r="10882" spans="2:11" ht="14" hidden="1">
      <c r="B10882" s="1342"/>
      <c r="C10882" s="1342"/>
      <c r="D10882" s="1342"/>
      <c r="E10882" s="1342"/>
      <c r="F10882" s="1342"/>
      <c r="G10882" s="1342"/>
      <c r="H10882" s="1342"/>
      <c r="I10882" s="1342"/>
      <c r="J10882" s="1342"/>
      <c r="K10882" s="1342"/>
    </row>
    <row r="10883" spans="2:11" ht="14" hidden="1">
      <c r="B10883" s="1342"/>
      <c r="C10883" s="1342"/>
      <c r="D10883" s="1342"/>
      <c r="E10883" s="1342"/>
      <c r="F10883" s="1342"/>
      <c r="G10883" s="1342"/>
      <c r="H10883" s="1342"/>
      <c r="I10883" s="1342"/>
      <c r="J10883" s="1342"/>
      <c r="K10883" s="1342"/>
    </row>
    <row r="10884" spans="2:11" ht="14" hidden="1">
      <c r="B10884" s="1342"/>
      <c r="C10884" s="1342"/>
      <c r="D10884" s="1342"/>
      <c r="E10884" s="1342"/>
      <c r="F10884" s="1342"/>
      <c r="G10884" s="1342"/>
      <c r="H10884" s="1342"/>
      <c r="I10884" s="1342"/>
      <c r="J10884" s="1342"/>
      <c r="K10884" s="1342"/>
    </row>
    <row r="10885" spans="2:11" ht="14" hidden="1">
      <c r="B10885" s="1342"/>
      <c r="C10885" s="1342"/>
      <c r="D10885" s="1342"/>
      <c r="E10885" s="1342"/>
      <c r="F10885" s="1342"/>
      <c r="G10885" s="1342"/>
      <c r="H10885" s="1342"/>
      <c r="I10885" s="1342"/>
      <c r="J10885" s="1342"/>
      <c r="K10885" s="1342"/>
    </row>
    <row r="10886" spans="2:11" ht="14" hidden="1">
      <c r="B10886" s="1342"/>
      <c r="C10886" s="1342"/>
      <c r="D10886" s="1342"/>
      <c r="E10886" s="1342"/>
      <c r="F10886" s="1342"/>
      <c r="G10886" s="1342"/>
      <c r="H10886" s="1342"/>
      <c r="I10886" s="1342"/>
      <c r="J10886" s="1342"/>
      <c r="K10886" s="1342"/>
    </row>
    <row r="10887" spans="2:11" ht="14" hidden="1">
      <c r="B10887" s="1342"/>
      <c r="C10887" s="1342"/>
      <c r="D10887" s="1342"/>
      <c r="E10887" s="1342"/>
      <c r="F10887" s="1342"/>
      <c r="G10887" s="1342"/>
      <c r="H10887" s="1342"/>
      <c r="I10887" s="1342"/>
      <c r="J10887" s="1342"/>
      <c r="K10887" s="1342"/>
    </row>
    <row r="10888" spans="2:11" ht="14" hidden="1">
      <c r="B10888" s="1342"/>
      <c r="C10888" s="1342"/>
      <c r="D10888" s="1342"/>
      <c r="E10888" s="1342"/>
      <c r="F10888" s="1342"/>
      <c r="G10888" s="1342"/>
      <c r="H10888" s="1342"/>
      <c r="I10888" s="1342"/>
      <c r="J10888" s="1342"/>
      <c r="K10888" s="1342"/>
    </row>
    <row r="10889" spans="2:11" ht="14" hidden="1">
      <c r="B10889" s="1342"/>
      <c r="C10889" s="1342"/>
      <c r="D10889" s="1342"/>
      <c r="E10889" s="1342"/>
      <c r="F10889" s="1342"/>
      <c r="G10889" s="1342"/>
      <c r="H10889" s="1342"/>
      <c r="I10889" s="1342"/>
      <c r="J10889" s="1342"/>
      <c r="K10889" s="1342"/>
    </row>
    <row r="10890" spans="2:11" ht="14" hidden="1">
      <c r="B10890" s="1342"/>
      <c r="C10890" s="1342"/>
      <c r="D10890" s="1342"/>
      <c r="E10890" s="1342"/>
      <c r="F10890" s="1342"/>
      <c r="G10890" s="1342"/>
      <c r="H10890" s="1342"/>
      <c r="I10890" s="1342"/>
      <c r="J10890" s="1342"/>
      <c r="K10890" s="1342"/>
    </row>
    <row r="10891" spans="2:11" ht="14" hidden="1">
      <c r="B10891" s="1342"/>
      <c r="C10891" s="1342"/>
      <c r="D10891" s="1342"/>
      <c r="E10891" s="1342"/>
      <c r="F10891" s="1342"/>
      <c r="G10891" s="1342"/>
      <c r="H10891" s="1342"/>
      <c r="I10891" s="1342"/>
      <c r="J10891" s="1342"/>
      <c r="K10891" s="1342"/>
    </row>
    <row r="10892" spans="2:11" ht="14" hidden="1">
      <c r="B10892" s="1342"/>
      <c r="C10892" s="1342"/>
      <c r="D10892" s="1342"/>
      <c r="E10892" s="1342"/>
      <c r="F10892" s="1342"/>
      <c r="G10892" s="1342"/>
      <c r="H10892" s="1342"/>
      <c r="I10892" s="1342"/>
      <c r="J10892" s="1342"/>
      <c r="K10892" s="1342"/>
    </row>
    <row r="10893" spans="2:11" ht="14" hidden="1">
      <c r="B10893" s="1342"/>
      <c r="C10893" s="1342"/>
      <c r="D10893" s="1342"/>
      <c r="E10893" s="1342"/>
      <c r="F10893" s="1342"/>
      <c r="G10893" s="1342"/>
      <c r="H10893" s="1342"/>
      <c r="I10893" s="1342"/>
      <c r="J10893" s="1342"/>
      <c r="K10893" s="1342"/>
    </row>
    <row r="10894" spans="2:11" ht="14" hidden="1">
      <c r="B10894" s="1342"/>
      <c r="C10894" s="1342"/>
      <c r="D10894" s="1342"/>
      <c r="E10894" s="1342"/>
      <c r="F10894" s="1342"/>
      <c r="G10894" s="1342"/>
      <c r="H10894" s="1342"/>
      <c r="I10894" s="1342"/>
      <c r="J10894" s="1342"/>
      <c r="K10894" s="1342"/>
    </row>
    <row r="10895" spans="2:11" ht="14" hidden="1">
      <c r="B10895" s="1342"/>
      <c r="C10895" s="1342"/>
      <c r="D10895" s="1342"/>
      <c r="E10895" s="1342"/>
      <c r="F10895" s="1342"/>
      <c r="G10895" s="1342"/>
      <c r="H10895" s="1342"/>
      <c r="I10895" s="1342"/>
      <c r="J10895" s="1342"/>
      <c r="K10895" s="1342"/>
    </row>
    <row r="10896" spans="2:11" ht="14" hidden="1">
      <c r="B10896" s="1342"/>
      <c r="C10896" s="1342"/>
      <c r="D10896" s="1342"/>
      <c r="E10896" s="1342"/>
      <c r="F10896" s="1342"/>
      <c r="G10896" s="1342"/>
      <c r="H10896" s="1342"/>
      <c r="I10896" s="1342"/>
      <c r="J10896" s="1342"/>
      <c r="K10896" s="1342"/>
    </row>
    <row r="10897" spans="2:11" ht="14" hidden="1">
      <c r="B10897" s="1342"/>
      <c r="C10897" s="1342"/>
      <c r="D10897" s="1342"/>
      <c r="E10897" s="1342"/>
      <c r="F10897" s="1342"/>
      <c r="G10897" s="1342"/>
      <c r="H10897" s="1342"/>
      <c r="I10897" s="1342"/>
      <c r="J10897" s="1342"/>
      <c r="K10897" s="1342"/>
    </row>
    <row r="10898" spans="2:11" ht="14" hidden="1">
      <c r="B10898" s="1342"/>
      <c r="C10898" s="1342"/>
      <c r="D10898" s="1342"/>
      <c r="E10898" s="1342"/>
      <c r="F10898" s="1342"/>
      <c r="G10898" s="1342"/>
      <c r="H10898" s="1342"/>
      <c r="I10898" s="1342"/>
      <c r="J10898" s="1342"/>
      <c r="K10898" s="1342"/>
    </row>
    <row r="10899" spans="2:11" ht="14" hidden="1">
      <c r="B10899" s="1342"/>
      <c r="C10899" s="1342"/>
      <c r="D10899" s="1342"/>
      <c r="E10899" s="1342"/>
      <c r="F10899" s="1342"/>
      <c r="G10899" s="1342"/>
      <c r="H10899" s="1342"/>
      <c r="I10899" s="1342"/>
      <c r="J10899" s="1342"/>
      <c r="K10899" s="1342"/>
    </row>
    <row r="10900" spans="2:11" ht="14" hidden="1">
      <c r="B10900" s="1342"/>
      <c r="C10900" s="1342"/>
      <c r="D10900" s="1342"/>
      <c r="E10900" s="1342"/>
      <c r="F10900" s="1342"/>
      <c r="G10900" s="1342"/>
      <c r="H10900" s="1342"/>
      <c r="I10900" s="1342"/>
      <c r="J10900" s="1342"/>
      <c r="K10900" s="1342"/>
    </row>
    <row r="10901" spans="2:11" ht="14" hidden="1">
      <c r="B10901" s="1342"/>
      <c r="C10901" s="1342"/>
      <c r="D10901" s="1342"/>
      <c r="E10901" s="1342"/>
      <c r="F10901" s="1342"/>
      <c r="G10901" s="1342"/>
      <c r="H10901" s="1342"/>
      <c r="I10901" s="1342"/>
      <c r="J10901" s="1342"/>
      <c r="K10901" s="1342"/>
    </row>
    <row r="10902" spans="2:11" ht="14" hidden="1">
      <c r="B10902" s="1342"/>
      <c r="C10902" s="1342"/>
      <c r="D10902" s="1342"/>
      <c r="E10902" s="1342"/>
      <c r="F10902" s="1342"/>
      <c r="G10902" s="1342"/>
      <c r="H10902" s="1342"/>
      <c r="I10902" s="1342"/>
      <c r="J10902" s="1342"/>
      <c r="K10902" s="1342"/>
    </row>
    <row r="10903" spans="2:11" ht="14" hidden="1">
      <c r="B10903" s="1342"/>
      <c r="C10903" s="1342"/>
      <c r="D10903" s="1342"/>
      <c r="E10903" s="1342"/>
      <c r="F10903" s="1342"/>
      <c r="G10903" s="1342"/>
      <c r="H10903" s="1342"/>
      <c r="I10903" s="1342"/>
      <c r="J10903" s="1342"/>
      <c r="K10903" s="1342"/>
    </row>
    <row r="10904" spans="2:11" ht="14" hidden="1">
      <c r="B10904" s="1342"/>
      <c r="C10904" s="1342"/>
      <c r="D10904" s="1342"/>
      <c r="E10904" s="1342"/>
      <c r="F10904" s="1342"/>
      <c r="G10904" s="1342"/>
      <c r="H10904" s="1342"/>
      <c r="I10904" s="1342"/>
      <c r="J10904" s="1342"/>
      <c r="K10904" s="1342"/>
    </row>
    <row r="10905" spans="2:11" ht="14" hidden="1">
      <c r="B10905" s="1342"/>
      <c r="C10905" s="1342"/>
      <c r="D10905" s="1342"/>
      <c r="E10905" s="1342"/>
      <c r="F10905" s="1342"/>
      <c r="G10905" s="1342"/>
      <c r="H10905" s="1342"/>
      <c r="I10905" s="1342"/>
      <c r="J10905" s="1342"/>
      <c r="K10905" s="1342"/>
    </row>
    <row r="10906" spans="2:11" ht="14" hidden="1">
      <c r="B10906" s="1342"/>
      <c r="C10906" s="1342"/>
      <c r="D10906" s="1342"/>
      <c r="E10906" s="1342"/>
      <c r="F10906" s="1342"/>
      <c r="G10906" s="1342"/>
      <c r="H10906" s="1342"/>
      <c r="I10906" s="1342"/>
      <c r="J10906" s="1342"/>
      <c r="K10906" s="1342"/>
    </row>
    <row r="10907" spans="2:11" ht="14" hidden="1">
      <c r="B10907" s="1342"/>
      <c r="C10907" s="1342"/>
      <c r="D10907" s="1342"/>
      <c r="E10907" s="1342"/>
      <c r="F10907" s="1342"/>
      <c r="G10907" s="1342"/>
      <c r="H10907" s="1342"/>
      <c r="I10907" s="1342"/>
      <c r="J10907" s="1342"/>
      <c r="K10907" s="1342"/>
    </row>
    <row r="10908" spans="2:11" ht="14" hidden="1">
      <c r="B10908" s="1342"/>
      <c r="C10908" s="1342"/>
      <c r="D10908" s="1342"/>
      <c r="E10908" s="1342"/>
      <c r="F10908" s="1342"/>
      <c r="G10908" s="1342"/>
      <c r="H10908" s="1342"/>
      <c r="I10908" s="1342"/>
      <c r="J10908" s="1342"/>
      <c r="K10908" s="1342"/>
    </row>
    <row r="10909" spans="2:11" ht="14" hidden="1">
      <c r="B10909" s="1342"/>
      <c r="C10909" s="1342"/>
      <c r="D10909" s="1342"/>
      <c r="E10909" s="1342"/>
      <c r="F10909" s="1342"/>
      <c r="G10909" s="1342"/>
      <c r="H10909" s="1342"/>
      <c r="I10909" s="1342"/>
      <c r="J10909" s="1342"/>
      <c r="K10909" s="1342"/>
    </row>
    <row r="10910" spans="2:11" ht="14" hidden="1">
      <c r="B10910" s="1342"/>
      <c r="C10910" s="1342"/>
      <c r="D10910" s="1342"/>
      <c r="E10910" s="1342"/>
      <c r="F10910" s="1342"/>
      <c r="G10910" s="1342"/>
      <c r="H10910" s="1342"/>
      <c r="I10910" s="1342"/>
      <c r="J10910" s="1342"/>
      <c r="K10910" s="1342"/>
    </row>
    <row r="10911" spans="2:11" ht="14" hidden="1">
      <c r="B10911" s="1342"/>
      <c r="C10911" s="1342"/>
      <c r="D10911" s="1342"/>
      <c r="E10911" s="1342"/>
      <c r="F10911" s="1342"/>
      <c r="G10911" s="1342"/>
      <c r="H10911" s="1342"/>
      <c r="I10911" s="1342"/>
      <c r="J10911" s="1342"/>
      <c r="K10911" s="1342"/>
    </row>
    <row r="10912" spans="2:11" ht="14" hidden="1">
      <c r="B10912" s="1342"/>
      <c r="C10912" s="1342"/>
      <c r="D10912" s="1342"/>
      <c r="E10912" s="1342"/>
      <c r="F10912" s="1342"/>
      <c r="G10912" s="1342"/>
      <c r="H10912" s="1342"/>
      <c r="I10912" s="1342"/>
      <c r="J10912" s="1342"/>
      <c r="K10912" s="1342"/>
    </row>
    <row r="10913" spans="2:11" ht="14" hidden="1">
      <c r="B10913" s="1342"/>
      <c r="C10913" s="1342"/>
      <c r="D10913" s="1342"/>
      <c r="E10913" s="1342"/>
      <c r="F10913" s="1342"/>
      <c r="G10913" s="1342"/>
      <c r="H10913" s="1342"/>
      <c r="I10913" s="1342"/>
      <c r="J10913" s="1342"/>
      <c r="K10913" s="1342"/>
    </row>
    <row r="10914" spans="2:11" ht="14" hidden="1">
      <c r="B10914" s="1342"/>
      <c r="C10914" s="1342"/>
      <c r="D10914" s="1342"/>
      <c r="E10914" s="1342"/>
      <c r="F10914" s="1342"/>
      <c r="G10914" s="1342"/>
      <c r="H10914" s="1342"/>
      <c r="I10914" s="1342"/>
      <c r="J10914" s="1342"/>
      <c r="K10914" s="1342"/>
    </row>
    <row r="10915" spans="2:11" ht="14" hidden="1">
      <c r="B10915" s="1342"/>
      <c r="C10915" s="1342"/>
      <c r="D10915" s="1342"/>
      <c r="E10915" s="1342"/>
      <c r="F10915" s="1342"/>
      <c r="G10915" s="1342"/>
      <c r="H10915" s="1342"/>
      <c r="I10915" s="1342"/>
      <c r="J10915" s="1342"/>
      <c r="K10915" s="1342"/>
    </row>
    <row r="10916" spans="2:11" ht="14" hidden="1">
      <c r="B10916" s="1342"/>
      <c r="C10916" s="1342"/>
      <c r="D10916" s="1342"/>
      <c r="E10916" s="1342"/>
      <c r="F10916" s="1342"/>
      <c r="G10916" s="1342"/>
      <c r="H10916" s="1342"/>
      <c r="I10916" s="1342"/>
      <c r="J10916" s="1342"/>
      <c r="K10916" s="1342"/>
    </row>
    <row r="10917" spans="2:11" ht="14" hidden="1">
      <c r="B10917" s="1342"/>
      <c r="C10917" s="1342"/>
      <c r="D10917" s="1342"/>
      <c r="E10917" s="1342"/>
      <c r="F10917" s="1342"/>
      <c r="G10917" s="1342"/>
      <c r="H10917" s="1342"/>
      <c r="I10917" s="1342"/>
      <c r="J10917" s="1342"/>
      <c r="K10917" s="1342"/>
    </row>
    <row r="10918" spans="2:11" ht="14" hidden="1">
      <c r="B10918" s="1342"/>
      <c r="C10918" s="1342"/>
      <c r="D10918" s="1342"/>
      <c r="E10918" s="1342"/>
      <c r="F10918" s="1342"/>
      <c r="G10918" s="1342"/>
      <c r="H10918" s="1342"/>
      <c r="I10918" s="1342"/>
      <c r="J10918" s="1342"/>
      <c r="K10918" s="1342"/>
    </row>
    <row r="10919" spans="2:11" ht="14" hidden="1">
      <c r="B10919" s="1342"/>
      <c r="C10919" s="1342"/>
      <c r="D10919" s="1342"/>
      <c r="E10919" s="1342"/>
      <c r="F10919" s="1342"/>
      <c r="G10919" s="1342"/>
      <c r="H10919" s="1342"/>
      <c r="I10919" s="1342"/>
      <c r="J10919" s="1342"/>
      <c r="K10919" s="1342"/>
    </row>
    <row r="10920" spans="2:11" ht="14" hidden="1">
      <c r="B10920" s="1342"/>
      <c r="C10920" s="1342"/>
      <c r="D10920" s="1342"/>
      <c r="E10920" s="1342"/>
      <c r="F10920" s="1342"/>
      <c r="G10920" s="1342"/>
      <c r="H10920" s="1342"/>
      <c r="I10920" s="1342"/>
      <c r="J10920" s="1342"/>
      <c r="K10920" s="1342"/>
    </row>
    <row r="10921" spans="2:11" ht="14" hidden="1">
      <c r="B10921" s="1342"/>
      <c r="C10921" s="1342"/>
      <c r="D10921" s="1342"/>
      <c r="E10921" s="1342"/>
      <c r="F10921" s="1342"/>
      <c r="G10921" s="1342"/>
      <c r="H10921" s="1342"/>
      <c r="I10921" s="1342"/>
      <c r="J10921" s="1342"/>
      <c r="K10921" s="1342"/>
    </row>
    <row r="10922" spans="2:11" ht="14" hidden="1">
      <c r="B10922" s="1342"/>
      <c r="C10922" s="1342"/>
      <c r="D10922" s="1342"/>
      <c r="E10922" s="1342"/>
      <c r="F10922" s="1342"/>
      <c r="G10922" s="1342"/>
      <c r="H10922" s="1342"/>
      <c r="I10922" s="1342"/>
      <c r="J10922" s="1342"/>
      <c r="K10922" s="1342"/>
    </row>
    <row r="10923" spans="2:11" ht="14" hidden="1">
      <c r="B10923" s="1342"/>
      <c r="C10923" s="1342"/>
      <c r="D10923" s="1342"/>
      <c r="E10923" s="1342"/>
      <c r="F10923" s="1342"/>
      <c r="G10923" s="1342"/>
      <c r="H10923" s="1342"/>
      <c r="I10923" s="1342"/>
      <c r="J10923" s="1342"/>
      <c r="K10923" s="1342"/>
    </row>
    <row r="10924" spans="2:11" ht="14" hidden="1">
      <c r="B10924" s="1342"/>
      <c r="C10924" s="1342"/>
      <c r="D10924" s="1342"/>
      <c r="E10924" s="1342"/>
      <c r="F10924" s="1342"/>
      <c r="G10924" s="1342"/>
      <c r="H10924" s="1342"/>
      <c r="I10924" s="1342"/>
      <c r="J10924" s="1342"/>
      <c r="K10924" s="1342"/>
    </row>
    <row r="10925" spans="2:11" ht="14" hidden="1">
      <c r="B10925" s="1342"/>
      <c r="C10925" s="1342"/>
      <c r="D10925" s="1342"/>
      <c r="E10925" s="1342"/>
      <c r="F10925" s="1342"/>
      <c r="G10925" s="1342"/>
      <c r="H10925" s="1342"/>
      <c r="I10925" s="1342"/>
      <c r="J10925" s="1342"/>
      <c r="K10925" s="1342"/>
    </row>
    <row r="10926" spans="2:11" ht="14" hidden="1">
      <c r="B10926" s="1342"/>
      <c r="C10926" s="1342"/>
      <c r="D10926" s="1342"/>
      <c r="E10926" s="1342"/>
      <c r="F10926" s="1342"/>
      <c r="G10926" s="1342"/>
      <c r="H10926" s="1342"/>
      <c r="I10926" s="1342"/>
      <c r="J10926" s="1342"/>
      <c r="K10926" s="1342"/>
    </row>
    <row r="10927" spans="2:11" ht="14" hidden="1">
      <c r="B10927" s="1342"/>
      <c r="C10927" s="1342"/>
      <c r="D10927" s="1342"/>
      <c r="E10927" s="1342"/>
      <c r="F10927" s="1342"/>
      <c r="G10927" s="1342"/>
      <c r="H10927" s="1342"/>
      <c r="I10927" s="1342"/>
      <c r="J10927" s="1342"/>
      <c r="K10927" s="1342"/>
    </row>
    <row r="10928" spans="2:11" ht="14" hidden="1">
      <c r="B10928" s="1342"/>
      <c r="C10928" s="1342"/>
      <c r="D10928" s="1342"/>
      <c r="E10928" s="1342"/>
      <c r="F10928" s="1342"/>
      <c r="G10928" s="1342"/>
      <c r="H10928" s="1342"/>
      <c r="I10928" s="1342"/>
      <c r="J10928" s="1342"/>
      <c r="K10928" s="1342"/>
    </row>
    <row r="10929" spans="2:11" ht="14" hidden="1">
      <c r="B10929" s="1342"/>
      <c r="C10929" s="1342"/>
      <c r="D10929" s="1342"/>
      <c r="E10929" s="1342"/>
      <c r="F10929" s="1342"/>
      <c r="G10929" s="1342"/>
      <c r="H10929" s="1342"/>
      <c r="I10929" s="1342"/>
      <c r="J10929" s="1342"/>
      <c r="K10929" s="1342"/>
    </row>
    <row r="10930" spans="2:11" ht="14" hidden="1">
      <c r="B10930" s="1342"/>
      <c r="C10930" s="1342"/>
      <c r="D10930" s="1342"/>
      <c r="E10930" s="1342"/>
      <c r="F10930" s="1342"/>
      <c r="G10930" s="1342"/>
      <c r="H10930" s="1342"/>
      <c r="I10930" s="1342"/>
      <c r="J10930" s="1342"/>
      <c r="K10930" s="1342"/>
    </row>
    <row r="10931" spans="2:11" ht="14" hidden="1">
      <c r="B10931" s="1342"/>
      <c r="C10931" s="1342"/>
      <c r="D10931" s="1342"/>
      <c r="E10931" s="1342"/>
      <c r="F10931" s="1342"/>
      <c r="G10931" s="1342"/>
      <c r="H10931" s="1342"/>
      <c r="I10931" s="1342"/>
      <c r="J10931" s="1342"/>
      <c r="K10931" s="1342"/>
    </row>
    <row r="10932" spans="2:11" ht="14" hidden="1">
      <c r="B10932" s="1342"/>
      <c r="C10932" s="1342"/>
      <c r="D10932" s="1342"/>
      <c r="E10932" s="1342"/>
      <c r="F10932" s="1342"/>
      <c r="G10932" s="1342"/>
      <c r="H10932" s="1342"/>
      <c r="I10932" s="1342"/>
      <c r="J10932" s="1342"/>
      <c r="K10932" s="1342"/>
    </row>
    <row r="10933" spans="2:11" ht="14" hidden="1">
      <c r="B10933" s="1342"/>
      <c r="C10933" s="1342"/>
      <c r="D10933" s="1342"/>
      <c r="E10933" s="1342"/>
      <c r="F10933" s="1342"/>
      <c r="G10933" s="1342"/>
      <c r="H10933" s="1342"/>
      <c r="I10933" s="1342"/>
      <c r="J10933" s="1342"/>
      <c r="K10933" s="1342"/>
    </row>
    <row r="10934" spans="2:11" ht="14" hidden="1">
      <c r="B10934" s="1342"/>
      <c r="C10934" s="1342"/>
      <c r="D10934" s="1342"/>
      <c r="E10934" s="1342"/>
      <c r="F10934" s="1342"/>
      <c r="G10934" s="1342"/>
      <c r="H10934" s="1342"/>
      <c r="I10934" s="1342"/>
      <c r="J10934" s="1342"/>
      <c r="K10934" s="1342"/>
    </row>
    <row r="10935" spans="2:11" ht="14" hidden="1">
      <c r="B10935" s="1342"/>
      <c r="C10935" s="1342"/>
      <c r="D10935" s="1342"/>
      <c r="E10935" s="1342"/>
      <c r="F10935" s="1342"/>
      <c r="G10935" s="1342"/>
      <c r="H10935" s="1342"/>
      <c r="I10935" s="1342"/>
      <c r="J10935" s="1342"/>
      <c r="K10935" s="1342"/>
    </row>
    <row r="10936" spans="2:11" ht="14" hidden="1">
      <c r="B10936" s="1342"/>
      <c r="C10936" s="1342"/>
      <c r="D10936" s="1342"/>
      <c r="E10936" s="1342"/>
      <c r="F10936" s="1342"/>
      <c r="G10936" s="1342"/>
      <c r="H10936" s="1342"/>
      <c r="I10936" s="1342"/>
      <c r="J10936" s="1342"/>
      <c r="K10936" s="1342"/>
    </row>
    <row r="10937" spans="2:11" ht="14" hidden="1">
      <c r="B10937" s="1342"/>
      <c r="C10937" s="1342"/>
      <c r="D10937" s="1342"/>
      <c r="E10937" s="1342"/>
      <c r="F10937" s="1342"/>
      <c r="G10937" s="1342"/>
      <c r="H10937" s="1342"/>
      <c r="I10937" s="1342"/>
      <c r="J10937" s="1342"/>
      <c r="K10937" s="1342"/>
    </row>
    <row r="10938" spans="2:11" ht="14" hidden="1">
      <c r="B10938" s="1342"/>
      <c r="C10938" s="1342"/>
      <c r="D10938" s="1342"/>
      <c r="E10938" s="1342"/>
      <c r="F10938" s="1342"/>
      <c r="G10938" s="1342"/>
      <c r="H10938" s="1342"/>
      <c r="I10938" s="1342"/>
      <c r="J10938" s="1342"/>
      <c r="K10938" s="1342"/>
    </row>
    <row r="10939" spans="2:11" ht="14" hidden="1">
      <c r="B10939" s="1342"/>
      <c r="C10939" s="1342"/>
      <c r="D10939" s="1342"/>
      <c r="E10939" s="1342"/>
      <c r="F10939" s="1342"/>
      <c r="G10939" s="1342"/>
      <c r="H10939" s="1342"/>
      <c r="I10939" s="1342"/>
      <c r="J10939" s="1342"/>
      <c r="K10939" s="1342"/>
    </row>
    <row r="10940" spans="2:11" ht="14" hidden="1">
      <c r="B10940" s="1342"/>
      <c r="C10940" s="1342"/>
      <c r="D10940" s="1342"/>
      <c r="E10940" s="1342"/>
      <c r="F10940" s="1342"/>
      <c r="G10940" s="1342"/>
      <c r="H10940" s="1342"/>
      <c r="I10940" s="1342"/>
      <c r="J10940" s="1342"/>
      <c r="K10940" s="1342"/>
    </row>
    <row r="10941" spans="2:11" ht="14" hidden="1">
      <c r="B10941" s="1342"/>
      <c r="C10941" s="1342"/>
      <c r="D10941" s="1342"/>
      <c r="E10941" s="1342"/>
      <c r="F10941" s="1342"/>
      <c r="G10941" s="1342"/>
      <c r="H10941" s="1342"/>
      <c r="I10941" s="1342"/>
      <c r="J10941" s="1342"/>
      <c r="K10941" s="1342"/>
    </row>
    <row r="10942" spans="2:11" ht="14" hidden="1">
      <c r="B10942" s="1342"/>
      <c r="C10942" s="1342"/>
      <c r="D10942" s="1342"/>
      <c r="E10942" s="1342"/>
      <c r="F10942" s="1342"/>
      <c r="G10942" s="1342"/>
      <c r="H10942" s="1342"/>
      <c r="I10942" s="1342"/>
      <c r="J10942" s="1342"/>
      <c r="K10942" s="1342"/>
    </row>
    <row r="10943" spans="2:11" ht="14" hidden="1">
      <c r="B10943" s="1342"/>
      <c r="C10943" s="1342"/>
      <c r="D10943" s="1342"/>
      <c r="E10943" s="1342"/>
      <c r="F10943" s="1342"/>
      <c r="G10943" s="1342"/>
      <c r="H10943" s="1342"/>
      <c r="I10943" s="1342"/>
      <c r="J10943" s="1342"/>
      <c r="K10943" s="1342"/>
    </row>
    <row r="10944" spans="2:11" ht="14" hidden="1">
      <c r="B10944" s="1342"/>
      <c r="C10944" s="1342"/>
      <c r="D10944" s="1342"/>
      <c r="E10944" s="1342"/>
      <c r="F10944" s="1342"/>
      <c r="G10944" s="1342"/>
      <c r="H10944" s="1342"/>
      <c r="I10944" s="1342"/>
      <c r="J10944" s="1342"/>
      <c r="K10944" s="1342"/>
    </row>
    <row r="10945" spans="2:11" ht="14" hidden="1">
      <c r="B10945" s="1342"/>
      <c r="C10945" s="1342"/>
      <c r="D10945" s="1342"/>
      <c r="E10945" s="1342"/>
      <c r="F10945" s="1342"/>
      <c r="G10945" s="1342"/>
      <c r="H10945" s="1342"/>
      <c r="I10945" s="1342"/>
      <c r="J10945" s="1342"/>
      <c r="K10945" s="1342"/>
    </row>
    <row r="10946" spans="2:11" ht="14" hidden="1">
      <c r="B10946" s="1342"/>
      <c r="C10946" s="1342"/>
      <c r="D10946" s="1342"/>
      <c r="E10946" s="1342"/>
      <c r="F10946" s="1342"/>
      <c r="G10946" s="1342"/>
      <c r="H10946" s="1342"/>
      <c r="I10946" s="1342"/>
      <c r="J10946" s="1342"/>
      <c r="K10946" s="1342"/>
    </row>
    <row r="10947" spans="2:11" ht="14" hidden="1">
      <c r="B10947" s="1342"/>
      <c r="C10947" s="1342"/>
      <c r="D10947" s="1342"/>
      <c r="E10947" s="1342"/>
      <c r="F10947" s="1342"/>
      <c r="G10947" s="1342"/>
      <c r="H10947" s="1342"/>
      <c r="I10947" s="1342"/>
      <c r="J10947" s="1342"/>
      <c r="K10947" s="1342"/>
    </row>
    <row r="10948" spans="2:11" ht="14" hidden="1">
      <c r="B10948" s="1342"/>
      <c r="C10948" s="1342"/>
      <c r="D10948" s="1342"/>
      <c r="E10948" s="1342"/>
      <c r="F10948" s="1342"/>
      <c r="G10948" s="1342"/>
      <c r="H10948" s="1342"/>
      <c r="I10948" s="1342"/>
      <c r="J10948" s="1342"/>
      <c r="K10948" s="1342"/>
    </row>
    <row r="10949" spans="2:11" ht="14" hidden="1">
      <c r="B10949" s="1342"/>
      <c r="C10949" s="1342"/>
      <c r="D10949" s="1342"/>
      <c r="E10949" s="1342"/>
      <c r="F10949" s="1342"/>
      <c r="G10949" s="1342"/>
      <c r="H10949" s="1342"/>
      <c r="I10949" s="1342"/>
      <c r="J10949" s="1342"/>
      <c r="K10949" s="1342"/>
    </row>
    <row r="10950" spans="2:11" ht="14" hidden="1">
      <c r="B10950" s="1342"/>
      <c r="C10950" s="1342"/>
      <c r="D10950" s="1342"/>
      <c r="E10950" s="1342"/>
      <c r="F10950" s="1342"/>
      <c r="G10950" s="1342"/>
      <c r="H10950" s="1342"/>
      <c r="I10950" s="1342"/>
      <c r="J10950" s="1342"/>
      <c r="K10950" s="1342"/>
    </row>
    <row r="10951" spans="2:11" ht="14" hidden="1">
      <c r="B10951" s="1342"/>
      <c r="C10951" s="1342"/>
      <c r="D10951" s="1342"/>
      <c r="E10951" s="1342"/>
      <c r="F10951" s="1342"/>
      <c r="G10951" s="1342"/>
      <c r="H10951" s="1342"/>
      <c r="I10951" s="1342"/>
      <c r="J10951" s="1342"/>
      <c r="K10951" s="1342"/>
    </row>
    <row r="10952" spans="2:11" ht="14" hidden="1">
      <c r="B10952" s="1342"/>
      <c r="C10952" s="1342"/>
      <c r="D10952" s="1342"/>
      <c r="E10952" s="1342"/>
      <c r="F10952" s="1342"/>
      <c r="G10952" s="1342"/>
      <c r="H10952" s="1342"/>
      <c r="I10952" s="1342"/>
      <c r="J10952" s="1342"/>
      <c r="K10952" s="1342"/>
    </row>
    <row r="10953" spans="2:11" ht="14" hidden="1">
      <c r="B10953" s="1342"/>
      <c r="C10953" s="1342"/>
      <c r="D10953" s="1342"/>
      <c r="E10953" s="1342"/>
      <c r="F10953" s="1342"/>
      <c r="G10953" s="1342"/>
      <c r="H10953" s="1342"/>
      <c r="I10953" s="1342"/>
      <c r="J10953" s="1342"/>
      <c r="K10953" s="1342"/>
    </row>
    <row r="10954" spans="2:11" ht="14" hidden="1">
      <c r="B10954" s="1342"/>
      <c r="C10954" s="1342"/>
      <c r="D10954" s="1342"/>
      <c r="E10954" s="1342"/>
      <c r="F10954" s="1342"/>
      <c r="G10954" s="1342"/>
      <c r="H10954" s="1342"/>
      <c r="I10954" s="1342"/>
      <c r="J10954" s="1342"/>
      <c r="K10954" s="1342"/>
    </row>
    <row r="10955" spans="2:11" ht="14" hidden="1">
      <c r="B10955" s="1342"/>
      <c r="C10955" s="1342"/>
      <c r="D10955" s="1342"/>
      <c r="E10955" s="1342"/>
      <c r="F10955" s="1342"/>
      <c r="G10955" s="1342"/>
      <c r="H10955" s="1342"/>
      <c r="I10955" s="1342"/>
      <c r="J10955" s="1342"/>
      <c r="K10955" s="1342"/>
    </row>
    <row r="10956" spans="2:11" ht="14" hidden="1">
      <c r="B10956" s="1342"/>
      <c r="C10956" s="1342"/>
      <c r="D10956" s="1342"/>
      <c r="E10956" s="1342"/>
      <c r="F10956" s="1342"/>
      <c r="G10956" s="1342"/>
      <c r="H10956" s="1342"/>
      <c r="I10956" s="1342"/>
      <c r="J10956" s="1342"/>
      <c r="K10956" s="1342"/>
    </row>
    <row r="10957" spans="2:11" ht="14" hidden="1">
      <c r="B10957" s="1342"/>
      <c r="C10957" s="1342"/>
      <c r="D10957" s="1342"/>
      <c r="E10957" s="1342"/>
      <c r="F10957" s="1342"/>
      <c r="G10957" s="1342"/>
      <c r="H10957" s="1342"/>
      <c r="I10957" s="1342"/>
      <c r="J10957" s="1342"/>
      <c r="K10957" s="1342"/>
    </row>
    <row r="10958" spans="2:11" ht="14" hidden="1">
      <c r="B10958" s="1342"/>
      <c r="C10958" s="1342"/>
      <c r="D10958" s="1342"/>
      <c r="E10958" s="1342"/>
      <c r="F10958" s="1342"/>
      <c r="G10958" s="1342"/>
      <c r="H10958" s="1342"/>
      <c r="I10958" s="1342"/>
      <c r="J10958" s="1342"/>
      <c r="K10958" s="1342"/>
    </row>
    <row r="10959" spans="2:11" ht="14" hidden="1">
      <c r="B10959" s="1342"/>
      <c r="C10959" s="1342"/>
      <c r="D10959" s="1342"/>
      <c r="E10959" s="1342"/>
      <c r="F10959" s="1342"/>
      <c r="G10959" s="1342"/>
      <c r="H10959" s="1342"/>
      <c r="I10959" s="1342"/>
      <c r="J10959" s="1342"/>
      <c r="K10959" s="1342"/>
    </row>
    <row r="10960" spans="2:11" ht="14" hidden="1">
      <c r="B10960" s="1342"/>
      <c r="C10960" s="1342"/>
      <c r="D10960" s="1342"/>
      <c r="E10960" s="1342"/>
      <c r="F10960" s="1342"/>
      <c r="G10960" s="1342"/>
      <c r="H10960" s="1342"/>
      <c r="I10960" s="1342"/>
      <c r="J10960" s="1342"/>
      <c r="K10960" s="1342"/>
    </row>
    <row r="10961" spans="2:11" ht="14" hidden="1">
      <c r="B10961" s="1342"/>
      <c r="C10961" s="1342"/>
      <c r="D10961" s="1342"/>
      <c r="E10961" s="1342"/>
      <c r="F10961" s="1342"/>
      <c r="G10961" s="1342"/>
      <c r="H10961" s="1342"/>
      <c r="I10961" s="1342"/>
      <c r="J10961" s="1342"/>
      <c r="K10961" s="1342"/>
    </row>
    <row r="10962" spans="2:11" ht="14" hidden="1">
      <c r="B10962" s="1342"/>
      <c r="C10962" s="1342"/>
      <c r="D10962" s="1342"/>
      <c r="E10962" s="1342"/>
      <c r="F10962" s="1342"/>
      <c r="G10962" s="1342"/>
      <c r="H10962" s="1342"/>
      <c r="I10962" s="1342"/>
      <c r="J10962" s="1342"/>
      <c r="K10962" s="1342"/>
    </row>
    <row r="10963" spans="2:11" ht="14" hidden="1">
      <c r="B10963" s="1342"/>
      <c r="C10963" s="1342"/>
      <c r="D10963" s="1342"/>
      <c r="E10963" s="1342"/>
      <c r="F10963" s="1342"/>
      <c r="G10963" s="1342"/>
      <c r="H10963" s="1342"/>
      <c r="I10963" s="1342"/>
      <c r="J10963" s="1342"/>
      <c r="K10963" s="1342"/>
    </row>
    <row r="10964" spans="2:11" ht="14" hidden="1">
      <c r="B10964" s="1342"/>
      <c r="C10964" s="1342"/>
      <c r="D10964" s="1342"/>
      <c r="E10964" s="1342"/>
      <c r="F10964" s="1342"/>
      <c r="G10964" s="1342"/>
      <c r="H10964" s="1342"/>
      <c r="I10964" s="1342"/>
      <c r="J10964" s="1342"/>
      <c r="K10964" s="1342"/>
    </row>
    <row r="10965" spans="2:11" ht="14" hidden="1">
      <c r="B10965" s="1342"/>
      <c r="C10965" s="1342"/>
      <c r="D10965" s="1342"/>
      <c r="E10965" s="1342"/>
      <c r="F10965" s="1342"/>
      <c r="G10965" s="1342"/>
      <c r="H10965" s="1342"/>
      <c r="I10965" s="1342"/>
      <c r="J10965" s="1342"/>
      <c r="K10965" s="1342"/>
    </row>
    <row r="10966" spans="2:11" ht="14" hidden="1">
      <c r="B10966" s="1342"/>
      <c r="C10966" s="1342"/>
      <c r="D10966" s="1342"/>
      <c r="E10966" s="1342"/>
      <c r="F10966" s="1342"/>
      <c r="G10966" s="1342"/>
      <c r="H10966" s="1342"/>
      <c r="I10966" s="1342"/>
      <c r="J10966" s="1342"/>
      <c r="K10966" s="1342"/>
    </row>
    <row r="10967" spans="2:11" ht="14" hidden="1">
      <c r="B10967" s="1342"/>
      <c r="C10967" s="1342"/>
      <c r="D10967" s="1342"/>
      <c r="E10967" s="1342"/>
      <c r="F10967" s="1342"/>
      <c r="G10967" s="1342"/>
      <c r="H10967" s="1342"/>
      <c r="I10967" s="1342"/>
      <c r="J10967" s="1342"/>
      <c r="K10967" s="1342"/>
    </row>
    <row r="10968" spans="2:11" ht="14" hidden="1">
      <c r="B10968" s="1342"/>
      <c r="C10968" s="1342"/>
      <c r="D10968" s="1342"/>
      <c r="E10968" s="1342"/>
      <c r="F10968" s="1342"/>
      <c r="G10968" s="1342"/>
      <c r="H10968" s="1342"/>
      <c r="I10968" s="1342"/>
      <c r="J10968" s="1342"/>
      <c r="K10968" s="1342"/>
    </row>
    <row r="10969" spans="2:11" ht="14" hidden="1">
      <c r="B10969" s="1342"/>
      <c r="C10969" s="1342"/>
      <c r="D10969" s="1342"/>
      <c r="E10969" s="1342"/>
      <c r="F10969" s="1342"/>
      <c r="G10969" s="1342"/>
      <c r="H10969" s="1342"/>
      <c r="I10969" s="1342"/>
      <c r="J10969" s="1342"/>
      <c r="K10969" s="1342"/>
    </row>
    <row r="10970" spans="2:11" ht="14" hidden="1">
      <c r="B10970" s="1342"/>
      <c r="C10970" s="1342"/>
      <c r="D10970" s="1342"/>
      <c r="E10970" s="1342"/>
      <c r="F10970" s="1342"/>
      <c r="G10970" s="1342"/>
      <c r="H10970" s="1342"/>
      <c r="I10970" s="1342"/>
      <c r="J10970" s="1342"/>
      <c r="K10970" s="1342"/>
    </row>
    <row r="10971" spans="2:11" ht="14" hidden="1">
      <c r="B10971" s="1342"/>
      <c r="C10971" s="1342"/>
      <c r="D10971" s="1342"/>
      <c r="E10971" s="1342"/>
      <c r="F10971" s="1342"/>
      <c r="G10971" s="1342"/>
      <c r="H10971" s="1342"/>
      <c r="I10971" s="1342"/>
      <c r="J10971" s="1342"/>
      <c r="K10971" s="1342"/>
    </row>
    <row r="10972" spans="2:11" ht="14" hidden="1">
      <c r="B10972" s="1342"/>
      <c r="C10972" s="1342"/>
      <c r="D10972" s="1342"/>
      <c r="E10972" s="1342"/>
      <c r="F10972" s="1342"/>
      <c r="G10972" s="1342"/>
      <c r="H10972" s="1342"/>
      <c r="I10972" s="1342"/>
      <c r="J10972" s="1342"/>
      <c r="K10972" s="1342"/>
    </row>
    <row r="10973" spans="2:11" ht="14" hidden="1">
      <c r="B10973" s="1342"/>
      <c r="C10973" s="1342"/>
      <c r="D10973" s="1342"/>
      <c r="E10973" s="1342"/>
      <c r="F10973" s="1342"/>
      <c r="G10973" s="1342"/>
      <c r="H10973" s="1342"/>
      <c r="I10973" s="1342"/>
      <c r="J10973" s="1342"/>
      <c r="K10973" s="1342"/>
    </row>
    <row r="10974" spans="2:11" ht="14" hidden="1">
      <c r="B10974" s="1342"/>
      <c r="C10974" s="1342"/>
      <c r="D10974" s="1342"/>
      <c r="E10974" s="1342"/>
      <c r="F10974" s="1342"/>
      <c r="G10974" s="1342"/>
      <c r="H10974" s="1342"/>
      <c r="I10974" s="1342"/>
      <c r="J10974" s="1342"/>
      <c r="K10974" s="1342"/>
    </row>
    <row r="10975" spans="2:11" ht="14" hidden="1">
      <c r="B10975" s="1342"/>
      <c r="C10975" s="1342"/>
      <c r="D10975" s="1342"/>
      <c r="E10975" s="1342"/>
      <c r="F10975" s="1342"/>
      <c r="G10975" s="1342"/>
      <c r="H10975" s="1342"/>
      <c r="I10975" s="1342"/>
      <c r="J10975" s="1342"/>
      <c r="K10975" s="1342"/>
    </row>
    <row r="10976" spans="2:11" ht="14" hidden="1">
      <c r="B10976" s="1342"/>
      <c r="C10976" s="1342"/>
      <c r="D10976" s="1342"/>
      <c r="E10976" s="1342"/>
      <c r="F10976" s="1342"/>
      <c r="G10976" s="1342"/>
      <c r="H10976" s="1342"/>
      <c r="I10976" s="1342"/>
      <c r="J10976" s="1342"/>
      <c r="K10976" s="1342"/>
    </row>
    <row r="10977" spans="2:11" ht="14" hidden="1">
      <c r="B10977" s="1342"/>
      <c r="C10977" s="1342"/>
      <c r="D10977" s="1342"/>
      <c r="E10977" s="1342"/>
      <c r="F10977" s="1342"/>
      <c r="G10977" s="1342"/>
      <c r="H10977" s="1342"/>
      <c r="I10977" s="1342"/>
      <c r="J10977" s="1342"/>
      <c r="K10977" s="1342"/>
    </row>
    <row r="10978" spans="2:11" ht="14" hidden="1">
      <c r="B10978" s="1342"/>
      <c r="C10978" s="1342"/>
      <c r="D10978" s="1342"/>
      <c r="E10978" s="1342"/>
      <c r="F10978" s="1342"/>
      <c r="G10978" s="1342"/>
      <c r="H10978" s="1342"/>
      <c r="I10978" s="1342"/>
      <c r="J10978" s="1342"/>
      <c r="K10978" s="1342"/>
    </row>
    <row r="10979" spans="2:11" ht="14" hidden="1">
      <c r="B10979" s="1342"/>
      <c r="C10979" s="1342"/>
      <c r="D10979" s="1342"/>
      <c r="E10979" s="1342"/>
      <c r="F10979" s="1342"/>
      <c r="G10979" s="1342"/>
      <c r="H10979" s="1342"/>
      <c r="I10979" s="1342"/>
      <c r="J10979" s="1342"/>
      <c r="K10979" s="1342"/>
    </row>
    <row r="10980" spans="2:11" ht="14" hidden="1">
      <c r="B10980" s="1342"/>
      <c r="C10980" s="1342"/>
      <c r="D10980" s="1342"/>
      <c r="E10980" s="1342"/>
      <c r="F10980" s="1342"/>
      <c r="G10980" s="1342"/>
      <c r="H10980" s="1342"/>
      <c r="I10980" s="1342"/>
      <c r="J10980" s="1342"/>
      <c r="K10980" s="1342"/>
    </row>
    <row r="10981" spans="2:11" ht="14" hidden="1">
      <c r="B10981" s="1342"/>
      <c r="C10981" s="1342"/>
      <c r="D10981" s="1342"/>
      <c r="E10981" s="1342"/>
      <c r="F10981" s="1342"/>
      <c r="G10981" s="1342"/>
      <c r="H10981" s="1342"/>
      <c r="I10981" s="1342"/>
      <c r="J10981" s="1342"/>
      <c r="K10981" s="1342"/>
    </row>
    <row r="10982" spans="2:11" ht="14" hidden="1">
      <c r="B10982" s="1342"/>
      <c r="C10982" s="1342"/>
      <c r="D10982" s="1342"/>
      <c r="E10982" s="1342"/>
      <c r="F10982" s="1342"/>
      <c r="G10982" s="1342"/>
      <c r="H10982" s="1342"/>
      <c r="I10982" s="1342"/>
      <c r="J10982" s="1342"/>
      <c r="K10982" s="1342"/>
    </row>
    <row r="10983" spans="2:11" ht="14" hidden="1">
      <c r="B10983" s="1342"/>
      <c r="C10983" s="1342"/>
      <c r="D10983" s="1342"/>
      <c r="E10983" s="1342"/>
      <c r="F10983" s="1342"/>
      <c r="G10983" s="1342"/>
      <c r="H10983" s="1342"/>
      <c r="I10983" s="1342"/>
      <c r="J10983" s="1342"/>
      <c r="K10983" s="1342"/>
    </row>
    <row r="10984" spans="2:11" ht="14" hidden="1">
      <c r="B10984" s="1342"/>
      <c r="C10984" s="1342"/>
      <c r="D10984" s="1342"/>
      <c r="E10984" s="1342"/>
      <c r="F10984" s="1342"/>
      <c r="G10984" s="1342"/>
      <c r="H10984" s="1342"/>
      <c r="I10984" s="1342"/>
      <c r="J10984" s="1342"/>
      <c r="K10984" s="1342"/>
    </row>
    <row r="10985" spans="2:11" ht="14" hidden="1">
      <c r="B10985" s="1342"/>
      <c r="C10985" s="1342"/>
      <c r="D10985" s="1342"/>
      <c r="E10985" s="1342"/>
      <c r="F10985" s="1342"/>
      <c r="G10985" s="1342"/>
      <c r="H10985" s="1342"/>
      <c r="I10985" s="1342"/>
      <c r="J10985" s="1342"/>
      <c r="K10985" s="1342"/>
    </row>
    <row r="10986" spans="2:11" ht="14" hidden="1">
      <c r="B10986" s="1342"/>
      <c r="C10986" s="1342"/>
      <c r="D10986" s="1342"/>
      <c r="E10986" s="1342"/>
      <c r="F10986" s="1342"/>
      <c r="G10986" s="1342"/>
      <c r="H10986" s="1342"/>
      <c r="I10986" s="1342"/>
      <c r="J10986" s="1342"/>
      <c r="K10986" s="1342"/>
    </row>
    <row r="10987" spans="2:11" ht="14" hidden="1">
      <c r="B10987" s="1342"/>
      <c r="C10987" s="1342"/>
      <c r="D10987" s="1342"/>
      <c r="E10987" s="1342"/>
      <c r="F10987" s="1342"/>
      <c r="G10987" s="1342"/>
      <c r="H10987" s="1342"/>
      <c r="I10987" s="1342"/>
      <c r="J10987" s="1342"/>
      <c r="K10987" s="1342"/>
    </row>
    <row r="10988" spans="2:11" ht="14" hidden="1">
      <c r="B10988" s="1342"/>
      <c r="C10988" s="1342"/>
      <c r="D10988" s="1342"/>
      <c r="E10988" s="1342"/>
      <c r="F10988" s="1342"/>
      <c r="G10988" s="1342"/>
      <c r="H10988" s="1342"/>
      <c r="I10988" s="1342"/>
      <c r="J10988" s="1342"/>
      <c r="K10988" s="1342"/>
    </row>
    <row r="10989" spans="2:11" ht="14" hidden="1">
      <c r="B10989" s="1342"/>
      <c r="C10989" s="1342"/>
      <c r="D10989" s="1342"/>
      <c r="E10989" s="1342"/>
      <c r="F10989" s="1342"/>
      <c r="G10989" s="1342"/>
      <c r="H10989" s="1342"/>
      <c r="I10989" s="1342"/>
      <c r="J10989" s="1342"/>
      <c r="K10989" s="1342"/>
    </row>
    <row r="10990" spans="2:11" ht="14" hidden="1">
      <c r="B10990" s="1342"/>
      <c r="C10990" s="1342"/>
      <c r="D10990" s="1342"/>
      <c r="E10990" s="1342"/>
      <c r="F10990" s="1342"/>
      <c r="G10990" s="1342"/>
      <c r="H10990" s="1342"/>
      <c r="I10990" s="1342"/>
      <c r="J10990" s="1342"/>
      <c r="K10990" s="1342"/>
    </row>
    <row r="10991" spans="2:11" ht="14" hidden="1">
      <c r="B10991" s="1342"/>
      <c r="C10991" s="1342"/>
      <c r="D10991" s="1342"/>
      <c r="E10991" s="1342"/>
      <c r="F10991" s="1342"/>
      <c r="G10991" s="1342"/>
      <c r="H10991" s="1342"/>
      <c r="I10991" s="1342"/>
      <c r="J10991" s="1342"/>
      <c r="K10991" s="1342"/>
    </row>
    <row r="10992" spans="2:11" ht="14" hidden="1">
      <c r="B10992" s="1342"/>
      <c r="C10992" s="1342"/>
      <c r="D10992" s="1342"/>
      <c r="E10992" s="1342"/>
      <c r="F10992" s="1342"/>
      <c r="G10992" s="1342"/>
      <c r="H10992" s="1342"/>
      <c r="I10992" s="1342"/>
      <c r="J10992" s="1342"/>
      <c r="K10992" s="1342"/>
    </row>
    <row r="10993" spans="2:11" ht="14" hidden="1">
      <c r="B10993" s="1342"/>
      <c r="C10993" s="1342"/>
      <c r="D10993" s="1342"/>
      <c r="E10993" s="1342"/>
      <c r="F10993" s="1342"/>
      <c r="G10993" s="1342"/>
      <c r="H10993" s="1342"/>
      <c r="I10993" s="1342"/>
      <c r="J10993" s="1342"/>
      <c r="K10993" s="1342"/>
    </row>
    <row r="10994" spans="2:11" ht="14" hidden="1">
      <c r="B10994" s="1342"/>
      <c r="C10994" s="1342"/>
      <c r="D10994" s="1342"/>
      <c r="E10994" s="1342"/>
      <c r="F10994" s="1342"/>
      <c r="G10994" s="1342"/>
      <c r="H10994" s="1342"/>
      <c r="I10994" s="1342"/>
      <c r="J10994" s="1342"/>
      <c r="K10994" s="1342"/>
    </row>
    <row r="10995" spans="2:11" ht="14" hidden="1">
      <c r="B10995" s="1342"/>
      <c r="C10995" s="1342"/>
      <c r="D10995" s="1342"/>
      <c r="E10995" s="1342"/>
      <c r="F10995" s="1342"/>
      <c r="G10995" s="1342"/>
      <c r="H10995" s="1342"/>
      <c r="I10995" s="1342"/>
      <c r="J10995" s="1342"/>
      <c r="K10995" s="1342"/>
    </row>
    <row r="10996" spans="2:11" ht="14" hidden="1">
      <c r="B10996" s="1342"/>
      <c r="C10996" s="1342"/>
      <c r="D10996" s="1342"/>
      <c r="E10996" s="1342"/>
      <c r="F10996" s="1342"/>
      <c r="G10996" s="1342"/>
      <c r="H10996" s="1342"/>
      <c r="I10996" s="1342"/>
      <c r="J10996" s="1342"/>
      <c r="K10996" s="1342"/>
    </row>
    <row r="10997" spans="2:11" ht="14" hidden="1">
      <c r="B10997" s="1342"/>
      <c r="C10997" s="1342"/>
      <c r="D10997" s="1342"/>
      <c r="E10997" s="1342"/>
      <c r="F10997" s="1342"/>
      <c r="G10997" s="1342"/>
      <c r="H10997" s="1342"/>
      <c r="I10997" s="1342"/>
      <c r="J10997" s="1342"/>
      <c r="K10997" s="1342"/>
    </row>
    <row r="10998" spans="2:11" ht="14" hidden="1">
      <c r="B10998" s="1342"/>
      <c r="C10998" s="1342"/>
      <c r="D10998" s="1342"/>
      <c r="E10998" s="1342"/>
      <c r="F10998" s="1342"/>
      <c r="G10998" s="1342"/>
      <c r="H10998" s="1342"/>
      <c r="I10998" s="1342"/>
      <c r="J10998" s="1342"/>
      <c r="K10998" s="1342"/>
    </row>
    <row r="10999" spans="2:11" ht="14" hidden="1">
      <c r="B10999" s="1342"/>
      <c r="C10999" s="1342"/>
      <c r="D10999" s="1342"/>
      <c r="E10999" s="1342"/>
      <c r="F10999" s="1342"/>
      <c r="G10999" s="1342"/>
      <c r="H10999" s="1342"/>
      <c r="I10999" s="1342"/>
      <c r="J10999" s="1342"/>
      <c r="K10999" s="1342"/>
    </row>
    <row r="11000" spans="2:11" ht="14" hidden="1">
      <c r="B11000" s="1342"/>
      <c r="C11000" s="1342"/>
      <c r="D11000" s="1342"/>
      <c r="E11000" s="1342"/>
      <c r="F11000" s="1342"/>
      <c r="G11000" s="1342"/>
      <c r="H11000" s="1342"/>
      <c r="I11000" s="1342"/>
      <c r="J11000" s="1342"/>
      <c r="K11000" s="1342"/>
    </row>
    <row r="11001" spans="2:11" ht="14" hidden="1">
      <c r="B11001" s="1342"/>
      <c r="C11001" s="1342"/>
      <c r="D11001" s="1342"/>
      <c r="E11001" s="1342"/>
      <c r="F11001" s="1342"/>
      <c r="G11001" s="1342"/>
      <c r="H11001" s="1342"/>
      <c r="I11001" s="1342"/>
      <c r="J11001" s="1342"/>
      <c r="K11001" s="1342"/>
    </row>
    <row r="11002" spans="2:11" ht="14" hidden="1">
      <c r="B11002" s="1342"/>
      <c r="C11002" s="1342"/>
      <c r="D11002" s="1342"/>
      <c r="E11002" s="1342"/>
      <c r="F11002" s="1342"/>
      <c r="G11002" s="1342"/>
      <c r="H11002" s="1342"/>
      <c r="I11002" s="1342"/>
      <c r="J11002" s="1342"/>
      <c r="K11002" s="1342"/>
    </row>
    <row r="11003" spans="2:11" ht="14" hidden="1">
      <c r="B11003" s="1342"/>
      <c r="C11003" s="1342"/>
      <c r="D11003" s="1342"/>
      <c r="E11003" s="1342"/>
      <c r="F11003" s="1342"/>
      <c r="G11003" s="1342"/>
      <c r="H11003" s="1342"/>
      <c r="I11003" s="1342"/>
      <c r="J11003" s="1342"/>
      <c r="K11003" s="1342"/>
    </row>
    <row r="11004" spans="2:11" ht="14" hidden="1">
      <c r="B11004" s="1342"/>
      <c r="C11004" s="1342"/>
      <c r="D11004" s="1342"/>
      <c r="E11004" s="1342"/>
      <c r="F11004" s="1342"/>
      <c r="G11004" s="1342"/>
      <c r="H11004" s="1342"/>
      <c r="I11004" s="1342"/>
      <c r="J11004" s="1342"/>
      <c r="K11004" s="1342"/>
    </row>
    <row r="11005" spans="2:11" ht="14" hidden="1">
      <c r="B11005" s="1342"/>
      <c r="C11005" s="1342"/>
      <c r="D11005" s="1342"/>
      <c r="E11005" s="1342"/>
      <c r="F11005" s="1342"/>
      <c r="G11005" s="1342"/>
      <c r="H11005" s="1342"/>
      <c r="I11005" s="1342"/>
      <c r="J11005" s="1342"/>
      <c r="K11005" s="1342"/>
    </row>
    <row r="11006" spans="2:11" ht="14" hidden="1">
      <c r="B11006" s="1342"/>
      <c r="C11006" s="1342"/>
      <c r="D11006" s="1342"/>
      <c r="E11006" s="1342"/>
      <c r="F11006" s="1342"/>
      <c r="G11006" s="1342"/>
      <c r="H11006" s="1342"/>
      <c r="I11006" s="1342"/>
      <c r="J11006" s="1342"/>
      <c r="K11006" s="1342"/>
    </row>
    <row r="11007" spans="2:11" ht="14" hidden="1">
      <c r="B11007" s="1342"/>
      <c r="C11007" s="1342"/>
      <c r="D11007" s="1342"/>
      <c r="E11007" s="1342"/>
      <c r="F11007" s="1342"/>
      <c r="G11007" s="1342"/>
      <c r="H11007" s="1342"/>
      <c r="I11007" s="1342"/>
      <c r="J11007" s="1342"/>
      <c r="K11007" s="1342"/>
    </row>
    <row r="11008" spans="2:11" ht="14" hidden="1">
      <c r="B11008" s="1342"/>
      <c r="C11008" s="1342"/>
      <c r="D11008" s="1342"/>
      <c r="E11008" s="1342"/>
      <c r="F11008" s="1342"/>
      <c r="G11008" s="1342"/>
      <c r="H11008" s="1342"/>
      <c r="I11008" s="1342"/>
      <c r="J11008" s="1342"/>
      <c r="K11008" s="1342"/>
    </row>
    <row r="11009" spans="2:11" ht="14" hidden="1">
      <c r="B11009" s="1342"/>
      <c r="C11009" s="1342"/>
      <c r="D11009" s="1342"/>
      <c r="E11009" s="1342"/>
      <c r="F11009" s="1342"/>
      <c r="G11009" s="1342"/>
      <c r="H11009" s="1342"/>
      <c r="I11009" s="1342"/>
      <c r="J11009" s="1342"/>
      <c r="K11009" s="1342"/>
    </row>
    <row r="11010" spans="2:11" ht="14" hidden="1">
      <c r="B11010" s="1342"/>
      <c r="C11010" s="1342"/>
      <c r="D11010" s="1342"/>
      <c r="E11010" s="1342"/>
      <c r="F11010" s="1342"/>
      <c r="G11010" s="1342"/>
      <c r="H11010" s="1342"/>
      <c r="I11010" s="1342"/>
      <c r="J11010" s="1342"/>
      <c r="K11010" s="1342"/>
    </row>
    <row r="11011" spans="2:11" ht="14" hidden="1">
      <c r="B11011" s="1342"/>
      <c r="C11011" s="1342"/>
      <c r="D11011" s="1342"/>
      <c r="E11011" s="1342"/>
      <c r="F11011" s="1342"/>
      <c r="G11011" s="1342"/>
      <c r="H11011" s="1342"/>
      <c r="I11011" s="1342"/>
      <c r="J11011" s="1342"/>
      <c r="K11011" s="1342"/>
    </row>
    <row r="11012" spans="2:11" ht="14" hidden="1">
      <c r="B11012" s="1342"/>
      <c r="C11012" s="1342"/>
      <c r="D11012" s="1342"/>
      <c r="E11012" s="1342"/>
      <c r="F11012" s="1342"/>
      <c r="G11012" s="1342"/>
      <c r="H11012" s="1342"/>
      <c r="I11012" s="1342"/>
      <c r="J11012" s="1342"/>
      <c r="K11012" s="1342"/>
    </row>
    <row r="11013" spans="2:11" ht="14" hidden="1">
      <c r="B11013" s="1342"/>
      <c r="C11013" s="1342"/>
      <c r="D11013" s="1342"/>
      <c r="E11013" s="1342"/>
      <c r="F11013" s="1342"/>
      <c r="G11013" s="1342"/>
      <c r="H11013" s="1342"/>
      <c r="I11013" s="1342"/>
      <c r="J11013" s="1342"/>
      <c r="K11013" s="1342"/>
    </row>
    <row r="11014" spans="2:11" ht="14" hidden="1">
      <c r="B11014" s="1342"/>
      <c r="C11014" s="1342"/>
      <c r="D11014" s="1342"/>
      <c r="E11014" s="1342"/>
      <c r="F11014" s="1342"/>
      <c r="G11014" s="1342"/>
      <c r="H11014" s="1342"/>
      <c r="I11014" s="1342"/>
      <c r="J11014" s="1342"/>
      <c r="K11014" s="1342"/>
    </row>
    <row r="11015" spans="2:11" ht="14" hidden="1">
      <c r="B11015" s="1342"/>
      <c r="C11015" s="1342"/>
      <c r="D11015" s="1342"/>
      <c r="E11015" s="1342"/>
      <c r="F11015" s="1342"/>
      <c r="G11015" s="1342"/>
      <c r="H11015" s="1342"/>
      <c r="I11015" s="1342"/>
      <c r="J11015" s="1342"/>
      <c r="K11015" s="1342"/>
    </row>
    <row r="11016" spans="2:11" ht="14" hidden="1">
      <c r="B11016" s="1342"/>
      <c r="C11016" s="1342"/>
      <c r="D11016" s="1342"/>
      <c r="E11016" s="1342"/>
      <c r="F11016" s="1342"/>
      <c r="G11016" s="1342"/>
      <c r="H11016" s="1342"/>
      <c r="I11016" s="1342"/>
      <c r="J11016" s="1342"/>
      <c r="K11016" s="1342"/>
    </row>
    <row r="11017" spans="2:11" ht="14" hidden="1">
      <c r="B11017" s="1342"/>
      <c r="C11017" s="1342"/>
      <c r="D11017" s="1342"/>
      <c r="E11017" s="1342"/>
      <c r="F11017" s="1342"/>
      <c r="G11017" s="1342"/>
      <c r="H11017" s="1342"/>
      <c r="I11017" s="1342"/>
      <c r="J11017" s="1342"/>
      <c r="K11017" s="1342"/>
    </row>
    <row r="11018" spans="2:11" ht="14" hidden="1">
      <c r="B11018" s="1342"/>
      <c r="C11018" s="1342"/>
      <c r="D11018" s="1342"/>
      <c r="E11018" s="1342"/>
      <c r="F11018" s="1342"/>
      <c r="G11018" s="1342"/>
      <c r="H11018" s="1342"/>
      <c r="I11018" s="1342"/>
      <c r="J11018" s="1342"/>
      <c r="K11018" s="1342"/>
    </row>
    <row r="11019" spans="2:11" ht="14" hidden="1">
      <c r="B11019" s="1342"/>
      <c r="C11019" s="1342"/>
      <c r="D11019" s="1342"/>
      <c r="E11019" s="1342"/>
      <c r="F11019" s="1342"/>
      <c r="G11019" s="1342"/>
      <c r="H11019" s="1342"/>
      <c r="I11019" s="1342"/>
      <c r="J11019" s="1342"/>
      <c r="K11019" s="1342"/>
    </row>
    <row r="11020" spans="2:11" ht="14" hidden="1">
      <c r="B11020" s="1342"/>
      <c r="C11020" s="1342"/>
      <c r="D11020" s="1342"/>
      <c r="E11020" s="1342"/>
      <c r="F11020" s="1342"/>
      <c r="G11020" s="1342"/>
      <c r="H11020" s="1342"/>
      <c r="I11020" s="1342"/>
      <c r="J11020" s="1342"/>
      <c r="K11020" s="1342"/>
    </row>
    <row r="11021" spans="2:11" ht="14" hidden="1">
      <c r="B11021" s="1342"/>
      <c r="C11021" s="1342"/>
      <c r="D11021" s="1342"/>
      <c r="E11021" s="1342"/>
      <c r="F11021" s="1342"/>
      <c r="G11021" s="1342"/>
      <c r="H11021" s="1342"/>
      <c r="I11021" s="1342"/>
      <c r="J11021" s="1342"/>
      <c r="K11021" s="1342"/>
    </row>
    <row r="11022" spans="2:11" ht="14" hidden="1">
      <c r="B11022" s="1342"/>
      <c r="C11022" s="1342"/>
      <c r="D11022" s="1342"/>
      <c r="E11022" s="1342"/>
      <c r="F11022" s="1342"/>
      <c r="G11022" s="1342"/>
      <c r="H11022" s="1342"/>
      <c r="I11022" s="1342"/>
      <c r="J11022" s="1342"/>
      <c r="K11022" s="1342"/>
    </row>
    <row r="11023" spans="2:11" ht="14" hidden="1">
      <c r="B11023" s="1342"/>
      <c r="C11023" s="1342"/>
      <c r="D11023" s="1342"/>
      <c r="E11023" s="1342"/>
      <c r="F11023" s="1342"/>
      <c r="G11023" s="1342"/>
      <c r="H11023" s="1342"/>
      <c r="I11023" s="1342"/>
      <c r="J11023" s="1342"/>
      <c r="K11023" s="1342"/>
    </row>
    <row r="11024" spans="2:11" ht="14" hidden="1">
      <c r="B11024" s="1342"/>
      <c r="C11024" s="1342"/>
      <c r="D11024" s="1342"/>
      <c r="E11024" s="1342"/>
      <c r="F11024" s="1342"/>
      <c r="G11024" s="1342"/>
      <c r="H11024" s="1342"/>
      <c r="I11024" s="1342"/>
      <c r="J11024" s="1342"/>
      <c r="K11024" s="1342"/>
    </row>
    <row r="11025" spans="2:11" ht="14" hidden="1">
      <c r="B11025" s="1342"/>
      <c r="C11025" s="1342"/>
      <c r="D11025" s="1342"/>
      <c r="E11025" s="1342"/>
      <c r="F11025" s="1342"/>
      <c r="G11025" s="1342"/>
      <c r="H11025" s="1342"/>
      <c r="I11025" s="1342"/>
      <c r="J11025" s="1342"/>
      <c r="K11025" s="1342"/>
    </row>
    <row r="11026" spans="2:11" ht="14" hidden="1">
      <c r="B11026" s="1342"/>
      <c r="C11026" s="1342"/>
      <c r="D11026" s="1342"/>
      <c r="E11026" s="1342"/>
      <c r="F11026" s="1342"/>
      <c r="G11026" s="1342"/>
      <c r="H11026" s="1342"/>
      <c r="I11026" s="1342"/>
      <c r="J11026" s="1342"/>
      <c r="K11026" s="1342"/>
    </row>
    <row r="11027" spans="2:11" ht="14" hidden="1">
      <c r="B11027" s="1342"/>
      <c r="C11027" s="1342"/>
      <c r="D11027" s="1342"/>
      <c r="E11027" s="1342"/>
      <c r="F11027" s="1342"/>
      <c r="G11027" s="1342"/>
      <c r="H11027" s="1342"/>
      <c r="I11027" s="1342"/>
      <c r="J11027" s="1342"/>
      <c r="K11027" s="1342"/>
    </row>
    <row r="11028" spans="2:11" ht="14" hidden="1">
      <c r="B11028" s="1342"/>
      <c r="C11028" s="1342"/>
      <c r="D11028" s="1342"/>
      <c r="E11028" s="1342"/>
      <c r="F11028" s="1342"/>
      <c r="G11028" s="1342"/>
      <c r="H11028" s="1342"/>
      <c r="I11028" s="1342"/>
      <c r="J11028" s="1342"/>
      <c r="K11028" s="1342"/>
    </row>
    <row r="11029" spans="2:11" ht="14" hidden="1">
      <c r="B11029" s="1342"/>
      <c r="C11029" s="1342"/>
      <c r="D11029" s="1342"/>
      <c r="E11029" s="1342"/>
      <c r="F11029" s="1342"/>
      <c r="G11029" s="1342"/>
      <c r="H11029" s="1342"/>
      <c r="I11029" s="1342"/>
      <c r="J11029" s="1342"/>
      <c r="K11029" s="1342"/>
    </row>
    <row r="11030" spans="2:11" ht="14" hidden="1">
      <c r="B11030" s="1342"/>
      <c r="C11030" s="1342"/>
      <c r="D11030" s="1342"/>
      <c r="E11030" s="1342"/>
      <c r="F11030" s="1342"/>
      <c r="G11030" s="1342"/>
      <c r="H11030" s="1342"/>
      <c r="I11030" s="1342"/>
      <c r="J11030" s="1342"/>
      <c r="K11030" s="1342"/>
    </row>
    <row r="11031" spans="2:11" ht="14" hidden="1">
      <c r="B11031" s="1342"/>
      <c r="C11031" s="1342"/>
      <c r="D11031" s="1342"/>
      <c r="E11031" s="1342"/>
      <c r="F11031" s="1342"/>
      <c r="G11031" s="1342"/>
      <c r="H11031" s="1342"/>
      <c r="I11031" s="1342"/>
      <c r="J11031" s="1342"/>
      <c r="K11031" s="1342"/>
    </row>
    <row r="11032" spans="2:11" ht="14" hidden="1">
      <c r="B11032" s="1342"/>
      <c r="C11032" s="1342"/>
      <c r="D11032" s="1342"/>
      <c r="E11032" s="1342"/>
      <c r="F11032" s="1342"/>
      <c r="G11032" s="1342"/>
      <c r="H11032" s="1342"/>
      <c r="I11032" s="1342"/>
      <c r="J11032" s="1342"/>
      <c r="K11032" s="1342"/>
    </row>
    <row r="11033" spans="2:11" ht="14" hidden="1">
      <c r="B11033" s="1342"/>
      <c r="C11033" s="1342"/>
      <c r="D11033" s="1342"/>
      <c r="E11033" s="1342"/>
      <c r="F11033" s="1342"/>
      <c r="G11033" s="1342"/>
      <c r="H11033" s="1342"/>
      <c r="I11033" s="1342"/>
      <c r="J11033" s="1342"/>
      <c r="K11033" s="1342"/>
    </row>
    <row r="11034" spans="2:11" ht="14" hidden="1">
      <c r="B11034" s="1342"/>
      <c r="C11034" s="1342"/>
      <c r="D11034" s="1342"/>
      <c r="E11034" s="1342"/>
      <c r="F11034" s="1342"/>
      <c r="G11034" s="1342"/>
      <c r="H11034" s="1342"/>
      <c r="I11034" s="1342"/>
      <c r="J11034" s="1342"/>
      <c r="K11034" s="1342"/>
    </row>
    <row r="11035" spans="2:11" ht="14" hidden="1">
      <c r="B11035" s="1342"/>
      <c r="C11035" s="1342"/>
      <c r="D11035" s="1342"/>
      <c r="E11035" s="1342"/>
      <c r="F11035" s="1342"/>
      <c r="G11035" s="1342"/>
      <c r="H11035" s="1342"/>
      <c r="I11035" s="1342"/>
      <c r="J11035" s="1342"/>
      <c r="K11035" s="1342"/>
    </row>
    <row r="11036" spans="2:11" ht="14" hidden="1">
      <c r="B11036" s="1342"/>
      <c r="C11036" s="1342"/>
      <c r="D11036" s="1342"/>
      <c r="E11036" s="1342"/>
      <c r="F11036" s="1342"/>
      <c r="G11036" s="1342"/>
      <c r="H11036" s="1342"/>
      <c r="I11036" s="1342"/>
      <c r="J11036" s="1342"/>
      <c r="K11036" s="1342"/>
    </row>
    <row r="11037" spans="2:11" ht="14" hidden="1">
      <c r="B11037" s="1342"/>
      <c r="C11037" s="1342"/>
      <c r="D11037" s="1342"/>
      <c r="E11037" s="1342"/>
      <c r="F11037" s="1342"/>
      <c r="G11037" s="1342"/>
      <c r="H11037" s="1342"/>
      <c r="I11037" s="1342"/>
      <c r="J11037" s="1342"/>
      <c r="K11037" s="1342"/>
    </row>
    <row r="11038" spans="2:11" ht="14" hidden="1">
      <c r="B11038" s="1342"/>
      <c r="C11038" s="1342"/>
      <c r="D11038" s="1342"/>
      <c r="E11038" s="1342"/>
      <c r="F11038" s="1342"/>
      <c r="G11038" s="1342"/>
      <c r="H11038" s="1342"/>
      <c r="I11038" s="1342"/>
      <c r="J11038" s="1342"/>
      <c r="K11038" s="1342"/>
    </row>
    <row r="11039" spans="2:11" ht="14" hidden="1">
      <c r="B11039" s="1342"/>
      <c r="C11039" s="1342"/>
      <c r="D11039" s="1342"/>
      <c r="E11039" s="1342"/>
      <c r="F11039" s="1342"/>
      <c r="G11039" s="1342"/>
      <c r="H11039" s="1342"/>
      <c r="I11039" s="1342"/>
      <c r="J11039" s="1342"/>
      <c r="K11039" s="1342"/>
    </row>
    <row r="11040" spans="2:11" ht="14" hidden="1">
      <c r="B11040" s="1342"/>
      <c r="C11040" s="1342"/>
      <c r="D11040" s="1342"/>
      <c r="E11040" s="1342"/>
      <c r="F11040" s="1342"/>
      <c r="G11040" s="1342"/>
      <c r="H11040" s="1342"/>
      <c r="I11040" s="1342"/>
      <c r="J11040" s="1342"/>
      <c r="K11040" s="1342"/>
    </row>
    <row r="11041" spans="2:11" ht="14" hidden="1">
      <c r="B11041" s="1342"/>
      <c r="C11041" s="1342"/>
      <c r="D11041" s="1342"/>
      <c r="E11041" s="1342"/>
      <c r="F11041" s="1342"/>
      <c r="G11041" s="1342"/>
      <c r="H11041" s="1342"/>
      <c r="I11041" s="1342"/>
      <c r="J11041" s="1342"/>
      <c r="K11041" s="1342"/>
    </row>
    <row r="11042" spans="2:11" ht="14" hidden="1">
      <c r="B11042" s="1342"/>
      <c r="C11042" s="1342"/>
      <c r="D11042" s="1342"/>
      <c r="E11042" s="1342"/>
      <c r="F11042" s="1342"/>
      <c r="G11042" s="1342"/>
      <c r="H11042" s="1342"/>
      <c r="I11042" s="1342"/>
      <c r="J11042" s="1342"/>
      <c r="K11042" s="1342"/>
    </row>
    <row r="11043" spans="2:11" ht="14" hidden="1">
      <c r="B11043" s="1342"/>
      <c r="C11043" s="1342"/>
      <c r="D11043" s="1342"/>
      <c r="E11043" s="1342"/>
      <c r="F11043" s="1342"/>
      <c r="G11043" s="1342"/>
      <c r="H11043" s="1342"/>
      <c r="I11043" s="1342"/>
      <c r="J11043" s="1342"/>
      <c r="K11043" s="1342"/>
    </row>
    <row r="11044" spans="2:11" ht="14" hidden="1">
      <c r="B11044" s="1342"/>
      <c r="C11044" s="1342"/>
      <c r="D11044" s="1342"/>
      <c r="E11044" s="1342"/>
      <c r="F11044" s="1342"/>
      <c r="G11044" s="1342"/>
      <c r="H11044" s="1342"/>
      <c r="I11044" s="1342"/>
      <c r="J11044" s="1342"/>
      <c r="K11044" s="1342"/>
    </row>
    <row r="11045" spans="2:11" ht="14" hidden="1">
      <c r="B11045" s="1342"/>
      <c r="C11045" s="1342"/>
      <c r="D11045" s="1342"/>
      <c r="E11045" s="1342"/>
      <c r="F11045" s="1342"/>
      <c r="G11045" s="1342"/>
      <c r="H11045" s="1342"/>
      <c r="I11045" s="1342"/>
      <c r="J11045" s="1342"/>
      <c r="K11045" s="1342"/>
    </row>
    <row r="11046" spans="2:11" ht="14" hidden="1">
      <c r="B11046" s="1342"/>
      <c r="C11046" s="1342"/>
      <c r="D11046" s="1342"/>
      <c r="E11046" s="1342"/>
      <c r="F11046" s="1342"/>
      <c r="G11046" s="1342"/>
      <c r="H11046" s="1342"/>
      <c r="I11046" s="1342"/>
      <c r="J11046" s="1342"/>
      <c r="K11046" s="1342"/>
    </row>
    <row r="11047" spans="2:11" ht="14" hidden="1">
      <c r="B11047" s="1342"/>
      <c r="C11047" s="1342"/>
      <c r="D11047" s="1342"/>
      <c r="E11047" s="1342"/>
      <c r="F11047" s="1342"/>
      <c r="G11047" s="1342"/>
      <c r="H11047" s="1342"/>
      <c r="I11047" s="1342"/>
      <c r="J11047" s="1342"/>
      <c r="K11047" s="1342"/>
    </row>
    <row r="11048" spans="2:11" ht="14" hidden="1">
      <c r="B11048" s="1342"/>
      <c r="C11048" s="1342"/>
      <c r="D11048" s="1342"/>
      <c r="E11048" s="1342"/>
      <c r="F11048" s="1342"/>
      <c r="G11048" s="1342"/>
      <c r="H11048" s="1342"/>
      <c r="I11048" s="1342"/>
      <c r="J11048" s="1342"/>
      <c r="K11048" s="1342"/>
    </row>
    <row r="11049" spans="2:11" ht="14" hidden="1">
      <c r="B11049" s="1342"/>
      <c r="C11049" s="1342"/>
      <c r="D11049" s="1342"/>
      <c r="E11049" s="1342"/>
      <c r="F11049" s="1342"/>
      <c r="G11049" s="1342"/>
      <c r="H11049" s="1342"/>
      <c r="I11049" s="1342"/>
      <c r="J11049" s="1342"/>
      <c r="K11049" s="1342"/>
    </row>
    <row r="11050" spans="2:11" ht="14" hidden="1">
      <c r="B11050" s="1342"/>
      <c r="C11050" s="1342"/>
      <c r="D11050" s="1342"/>
      <c r="E11050" s="1342"/>
      <c r="F11050" s="1342"/>
      <c r="G11050" s="1342"/>
      <c r="H11050" s="1342"/>
      <c r="I11050" s="1342"/>
      <c r="J11050" s="1342"/>
      <c r="K11050" s="1342"/>
    </row>
    <row r="11051" spans="2:11" ht="14" hidden="1">
      <c r="B11051" s="1342"/>
      <c r="C11051" s="1342"/>
      <c r="D11051" s="1342"/>
      <c r="E11051" s="1342"/>
      <c r="F11051" s="1342"/>
      <c r="G11051" s="1342"/>
      <c r="H11051" s="1342"/>
      <c r="I11051" s="1342"/>
      <c r="J11051" s="1342"/>
      <c r="K11051" s="1342"/>
    </row>
    <row r="11052" spans="2:11" ht="14" hidden="1">
      <c r="B11052" s="1342"/>
      <c r="C11052" s="1342"/>
      <c r="D11052" s="1342"/>
      <c r="E11052" s="1342"/>
      <c r="F11052" s="1342"/>
      <c r="G11052" s="1342"/>
      <c r="H11052" s="1342"/>
      <c r="I11052" s="1342"/>
      <c r="J11052" s="1342"/>
      <c r="K11052" s="1342"/>
    </row>
    <row r="11053" spans="2:11" ht="14" hidden="1">
      <c r="B11053" s="1342"/>
      <c r="C11053" s="1342"/>
      <c r="D11053" s="1342"/>
      <c r="E11053" s="1342"/>
      <c r="F11053" s="1342"/>
      <c r="G11053" s="1342"/>
      <c r="H11053" s="1342"/>
      <c r="I11053" s="1342"/>
      <c r="J11053" s="1342"/>
      <c r="K11053" s="1342"/>
    </row>
    <row r="11054" spans="2:11" ht="14" hidden="1">
      <c r="B11054" s="1342"/>
      <c r="C11054" s="1342"/>
      <c r="D11054" s="1342"/>
      <c r="E11054" s="1342"/>
      <c r="F11054" s="1342"/>
      <c r="G11054" s="1342"/>
      <c r="H11054" s="1342"/>
      <c r="I11054" s="1342"/>
      <c r="J11054" s="1342"/>
      <c r="K11054" s="1342"/>
    </row>
    <row r="11055" spans="2:11" ht="14" hidden="1">
      <c r="B11055" s="1342"/>
      <c r="C11055" s="1342"/>
      <c r="D11055" s="1342"/>
      <c r="E11055" s="1342"/>
      <c r="F11055" s="1342"/>
      <c r="G11055" s="1342"/>
      <c r="H11055" s="1342"/>
      <c r="I11055" s="1342"/>
      <c r="J11055" s="1342"/>
      <c r="K11055" s="1342"/>
    </row>
    <row r="11056" spans="2:11" ht="14" hidden="1">
      <c r="B11056" s="1342"/>
      <c r="C11056" s="1342"/>
      <c r="D11056" s="1342"/>
      <c r="E11056" s="1342"/>
      <c r="F11056" s="1342"/>
      <c r="G11056" s="1342"/>
      <c r="H11056" s="1342"/>
      <c r="I11056" s="1342"/>
      <c r="J11056" s="1342"/>
      <c r="K11056" s="1342"/>
    </row>
    <row r="11057" spans="2:11" ht="14" hidden="1">
      <c r="B11057" s="1342"/>
      <c r="C11057" s="1342"/>
      <c r="D11057" s="1342"/>
      <c r="E11057" s="1342"/>
      <c r="F11057" s="1342"/>
      <c r="G11057" s="1342"/>
      <c r="H11057" s="1342"/>
      <c r="I11057" s="1342"/>
      <c r="J11057" s="1342"/>
      <c r="K11057" s="1342"/>
    </row>
    <row r="11058" spans="2:11" ht="14" hidden="1">
      <c r="B11058" s="1342"/>
      <c r="C11058" s="1342"/>
      <c r="D11058" s="1342"/>
      <c r="E11058" s="1342"/>
      <c r="F11058" s="1342"/>
      <c r="G11058" s="1342"/>
      <c r="H11058" s="1342"/>
      <c r="I11058" s="1342"/>
      <c r="J11058" s="1342"/>
      <c r="K11058" s="1342"/>
    </row>
    <row r="11059" spans="2:11" ht="14" hidden="1">
      <c r="B11059" s="1342"/>
      <c r="C11059" s="1342"/>
      <c r="D11059" s="1342"/>
      <c r="E11059" s="1342"/>
      <c r="F11059" s="1342"/>
      <c r="G11059" s="1342"/>
      <c r="H11059" s="1342"/>
      <c r="I11059" s="1342"/>
      <c r="J11059" s="1342"/>
      <c r="K11059" s="1342"/>
    </row>
    <row r="11060" spans="2:11" ht="14" hidden="1">
      <c r="B11060" s="1342"/>
      <c r="C11060" s="1342"/>
      <c r="D11060" s="1342"/>
      <c r="E11060" s="1342"/>
      <c r="F11060" s="1342"/>
      <c r="G11060" s="1342"/>
      <c r="H11060" s="1342"/>
      <c r="I11060" s="1342"/>
      <c r="J11060" s="1342"/>
      <c r="K11060" s="1342"/>
    </row>
    <row r="11061" spans="2:11" ht="14" hidden="1">
      <c r="B11061" s="1342"/>
      <c r="C11061" s="1342"/>
      <c r="D11061" s="1342"/>
      <c r="E11061" s="1342"/>
      <c r="F11061" s="1342"/>
      <c r="G11061" s="1342"/>
      <c r="H11061" s="1342"/>
      <c r="I11061" s="1342"/>
      <c r="J11061" s="1342"/>
      <c r="K11061" s="1342"/>
    </row>
    <row r="11062" spans="2:11" ht="14" hidden="1">
      <c r="B11062" s="1342"/>
      <c r="C11062" s="1342"/>
      <c r="D11062" s="1342"/>
      <c r="E11062" s="1342"/>
      <c r="F11062" s="1342"/>
      <c r="G11062" s="1342"/>
      <c r="H11062" s="1342"/>
      <c r="I11062" s="1342"/>
      <c r="J11062" s="1342"/>
      <c r="K11062" s="1342"/>
    </row>
    <row r="11063" spans="2:11" ht="14" hidden="1">
      <c r="B11063" s="1342"/>
      <c r="C11063" s="1342"/>
      <c r="D11063" s="1342"/>
      <c r="E11063" s="1342"/>
      <c r="F11063" s="1342"/>
      <c r="G11063" s="1342"/>
      <c r="H11063" s="1342"/>
      <c r="I11063" s="1342"/>
      <c r="J11063" s="1342"/>
      <c r="K11063" s="1342"/>
    </row>
    <row r="11064" spans="2:11" ht="14" hidden="1">
      <c r="B11064" s="1342"/>
      <c r="C11064" s="1342"/>
      <c r="D11064" s="1342"/>
      <c r="E11064" s="1342"/>
      <c r="F11064" s="1342"/>
      <c r="G11064" s="1342"/>
      <c r="H11064" s="1342"/>
      <c r="I11064" s="1342"/>
      <c r="J11064" s="1342"/>
      <c r="K11064" s="1342"/>
    </row>
    <row r="11065" spans="2:11" ht="14" hidden="1">
      <c r="B11065" s="1342"/>
      <c r="C11065" s="1342"/>
      <c r="D11065" s="1342"/>
      <c r="E11065" s="1342"/>
      <c r="F11065" s="1342"/>
      <c r="G11065" s="1342"/>
      <c r="H11065" s="1342"/>
      <c r="I11065" s="1342"/>
      <c r="J11065" s="1342"/>
      <c r="K11065" s="1342"/>
    </row>
    <row r="11066" spans="2:11" ht="14" hidden="1">
      <c r="B11066" s="1342"/>
      <c r="C11066" s="1342"/>
      <c r="D11066" s="1342"/>
      <c r="E11066" s="1342"/>
      <c r="F11066" s="1342"/>
      <c r="G11066" s="1342"/>
      <c r="H11066" s="1342"/>
      <c r="I11066" s="1342"/>
      <c r="J11066" s="1342"/>
      <c r="K11066" s="1342"/>
    </row>
    <row r="11067" spans="2:11" ht="14" hidden="1">
      <c r="B11067" s="1342"/>
      <c r="C11067" s="1342"/>
      <c r="D11067" s="1342"/>
      <c r="E11067" s="1342"/>
      <c r="F11067" s="1342"/>
      <c r="G11067" s="1342"/>
      <c r="H11067" s="1342"/>
      <c r="I11067" s="1342"/>
      <c r="J11067" s="1342"/>
      <c r="K11067" s="1342"/>
    </row>
    <row r="11068" spans="2:11" ht="14" hidden="1">
      <c r="B11068" s="1342"/>
      <c r="C11068" s="1342"/>
      <c r="D11068" s="1342"/>
      <c r="E11068" s="1342"/>
      <c r="F11068" s="1342"/>
      <c r="G11068" s="1342"/>
      <c r="H11068" s="1342"/>
      <c r="I11068" s="1342"/>
      <c r="J11068" s="1342"/>
      <c r="K11068" s="1342"/>
    </row>
    <row r="11069" spans="2:11" ht="14" hidden="1">
      <c r="B11069" s="1342"/>
      <c r="C11069" s="1342"/>
      <c r="D11069" s="1342"/>
      <c r="E11069" s="1342"/>
      <c r="F11069" s="1342"/>
      <c r="G11069" s="1342"/>
      <c r="H11069" s="1342"/>
      <c r="I11069" s="1342"/>
      <c r="J11069" s="1342"/>
      <c r="K11069" s="1342"/>
    </row>
    <row r="11070" spans="2:11" ht="14" hidden="1">
      <c r="B11070" s="1342"/>
      <c r="C11070" s="1342"/>
      <c r="D11070" s="1342"/>
      <c r="E11070" s="1342"/>
      <c r="F11070" s="1342"/>
      <c r="G11070" s="1342"/>
      <c r="H11070" s="1342"/>
      <c r="I11070" s="1342"/>
      <c r="J11070" s="1342"/>
      <c r="K11070" s="1342"/>
    </row>
    <row r="11071" spans="2:11" ht="14" hidden="1">
      <c r="B11071" s="1342"/>
      <c r="C11071" s="1342"/>
      <c r="D11071" s="1342"/>
      <c r="E11071" s="1342"/>
      <c r="F11071" s="1342"/>
      <c r="G11071" s="1342"/>
      <c r="H11071" s="1342"/>
      <c r="I11071" s="1342"/>
      <c r="J11071" s="1342"/>
      <c r="K11071" s="1342"/>
    </row>
    <row r="11072" spans="2:11" ht="14" hidden="1">
      <c r="B11072" s="1342"/>
      <c r="C11072" s="1342"/>
      <c r="D11072" s="1342"/>
      <c r="E11072" s="1342"/>
      <c r="F11072" s="1342"/>
      <c r="G11072" s="1342"/>
      <c r="H11072" s="1342"/>
      <c r="I11072" s="1342"/>
      <c r="J11072" s="1342"/>
      <c r="K11072" s="1342"/>
    </row>
    <row r="11073" spans="2:11" ht="14" hidden="1">
      <c r="B11073" s="1342"/>
      <c r="C11073" s="1342"/>
      <c r="D11073" s="1342"/>
      <c r="E11073" s="1342"/>
      <c r="F11073" s="1342"/>
      <c r="G11073" s="1342"/>
      <c r="H11073" s="1342"/>
      <c r="I11073" s="1342"/>
      <c r="J11073" s="1342"/>
      <c r="K11073" s="1342"/>
    </row>
    <row r="11074" spans="2:11" ht="14" hidden="1">
      <c r="B11074" s="1342"/>
      <c r="C11074" s="1342"/>
      <c r="D11074" s="1342"/>
      <c r="E11074" s="1342"/>
      <c r="F11074" s="1342"/>
      <c r="G11074" s="1342"/>
      <c r="H11074" s="1342"/>
      <c r="I11074" s="1342"/>
      <c r="J11074" s="1342"/>
      <c r="K11074" s="1342"/>
    </row>
    <row r="11075" spans="2:11" ht="14" hidden="1">
      <c r="B11075" s="1342"/>
      <c r="C11075" s="1342"/>
      <c r="D11075" s="1342"/>
      <c r="E11075" s="1342"/>
      <c r="F11075" s="1342"/>
      <c r="G11075" s="1342"/>
      <c r="H11075" s="1342"/>
      <c r="I11075" s="1342"/>
      <c r="J11075" s="1342"/>
      <c r="K11075" s="1342"/>
    </row>
    <row r="11076" spans="2:11" ht="14" hidden="1">
      <c r="B11076" s="1342"/>
      <c r="C11076" s="1342"/>
      <c r="D11076" s="1342"/>
      <c r="E11076" s="1342"/>
      <c r="F11076" s="1342"/>
      <c r="G11076" s="1342"/>
      <c r="H11076" s="1342"/>
      <c r="I11076" s="1342"/>
      <c r="J11076" s="1342"/>
      <c r="K11076" s="1342"/>
    </row>
    <row r="11077" spans="2:11" ht="14" hidden="1">
      <c r="B11077" s="1342"/>
      <c r="C11077" s="1342"/>
      <c r="D11077" s="1342"/>
      <c r="E11077" s="1342"/>
      <c r="F11077" s="1342"/>
      <c r="G11077" s="1342"/>
      <c r="H11077" s="1342"/>
      <c r="I11077" s="1342"/>
      <c r="J11077" s="1342"/>
      <c r="K11077" s="1342"/>
    </row>
    <row r="11078" spans="2:11" ht="14" hidden="1">
      <c r="B11078" s="1342"/>
      <c r="C11078" s="1342"/>
      <c r="D11078" s="1342"/>
      <c r="E11078" s="1342"/>
      <c r="F11078" s="1342"/>
      <c r="G11078" s="1342"/>
      <c r="H11078" s="1342"/>
      <c r="I11078" s="1342"/>
      <c r="J11078" s="1342"/>
      <c r="K11078" s="1342"/>
    </row>
    <row r="11079" spans="2:11" ht="14" hidden="1">
      <c r="B11079" s="1342"/>
      <c r="C11079" s="1342"/>
      <c r="D11079" s="1342"/>
      <c r="E11079" s="1342"/>
      <c r="F11079" s="1342"/>
      <c r="G11079" s="1342"/>
      <c r="H11079" s="1342"/>
      <c r="I11079" s="1342"/>
      <c r="J11079" s="1342"/>
      <c r="K11079" s="1342"/>
    </row>
    <row r="11080" spans="2:11" ht="14" hidden="1">
      <c r="B11080" s="1342"/>
      <c r="C11080" s="1342"/>
      <c r="D11080" s="1342"/>
      <c r="E11080" s="1342"/>
      <c r="F11080" s="1342"/>
      <c r="G11080" s="1342"/>
      <c r="H11080" s="1342"/>
      <c r="I11080" s="1342"/>
      <c r="J11080" s="1342"/>
      <c r="K11080" s="1342"/>
    </row>
    <row r="11081" spans="2:11" ht="14" hidden="1">
      <c r="B11081" s="1342"/>
      <c r="C11081" s="1342"/>
      <c r="D11081" s="1342"/>
      <c r="E11081" s="1342"/>
      <c r="F11081" s="1342"/>
      <c r="G11081" s="1342"/>
      <c r="H11081" s="1342"/>
      <c r="I11081" s="1342"/>
      <c r="J11081" s="1342"/>
      <c r="K11081" s="1342"/>
    </row>
    <row r="11082" spans="2:11" ht="14" hidden="1">
      <c r="B11082" s="1342"/>
      <c r="C11082" s="1342"/>
      <c r="D11082" s="1342"/>
      <c r="E11082" s="1342"/>
      <c r="F11082" s="1342"/>
      <c r="G11082" s="1342"/>
      <c r="H11082" s="1342"/>
      <c r="I11082" s="1342"/>
      <c r="J11082" s="1342"/>
      <c r="K11082" s="1342"/>
    </row>
    <row r="11083" spans="2:11" ht="14" hidden="1">
      <c r="B11083" s="1342"/>
      <c r="C11083" s="1342"/>
      <c r="D11083" s="1342"/>
      <c r="E11083" s="1342"/>
      <c r="F11083" s="1342"/>
      <c r="G11083" s="1342"/>
      <c r="H11083" s="1342"/>
      <c r="I11083" s="1342"/>
      <c r="J11083" s="1342"/>
      <c r="K11083" s="1342"/>
    </row>
    <row r="11084" spans="2:11" ht="14" hidden="1">
      <c r="B11084" s="1342"/>
      <c r="C11084" s="1342"/>
      <c r="D11084" s="1342"/>
      <c r="E11084" s="1342"/>
      <c r="F11084" s="1342"/>
      <c r="G11084" s="1342"/>
      <c r="H11084" s="1342"/>
      <c r="I11084" s="1342"/>
      <c r="J11084" s="1342"/>
      <c r="K11084" s="1342"/>
    </row>
    <row r="11085" spans="2:11" ht="14" hidden="1">
      <c r="B11085" s="1342"/>
      <c r="C11085" s="1342"/>
      <c r="D11085" s="1342"/>
      <c r="E11085" s="1342"/>
      <c r="F11085" s="1342"/>
      <c r="G11085" s="1342"/>
      <c r="H11085" s="1342"/>
      <c r="I11085" s="1342"/>
      <c r="J11085" s="1342"/>
      <c r="K11085" s="1342"/>
    </row>
    <row r="11086" spans="2:11" ht="14" hidden="1">
      <c r="B11086" s="1342"/>
      <c r="C11086" s="1342"/>
      <c r="D11086" s="1342"/>
      <c r="E11086" s="1342"/>
      <c r="F11086" s="1342"/>
      <c r="G11086" s="1342"/>
      <c r="H11086" s="1342"/>
      <c r="I11086" s="1342"/>
      <c r="J11086" s="1342"/>
      <c r="K11086" s="1342"/>
    </row>
    <row r="11087" spans="2:11" ht="14" hidden="1">
      <c r="B11087" s="1342"/>
      <c r="C11087" s="1342"/>
      <c r="D11087" s="1342"/>
      <c r="E11087" s="1342"/>
      <c r="F11087" s="1342"/>
      <c r="G11087" s="1342"/>
      <c r="H11087" s="1342"/>
      <c r="I11087" s="1342"/>
      <c r="J11087" s="1342"/>
      <c r="K11087" s="1342"/>
    </row>
    <row r="11088" spans="2:11" ht="14" hidden="1">
      <c r="B11088" s="1342"/>
      <c r="C11088" s="1342"/>
      <c r="D11088" s="1342"/>
      <c r="E11088" s="1342"/>
      <c r="F11088" s="1342"/>
      <c r="G11088" s="1342"/>
      <c r="H11088" s="1342"/>
      <c r="I11088" s="1342"/>
      <c r="J11088" s="1342"/>
      <c r="K11088" s="1342"/>
    </row>
    <row r="11089" spans="2:11" ht="14" hidden="1">
      <c r="B11089" s="1342"/>
      <c r="C11089" s="1342"/>
      <c r="D11089" s="1342"/>
      <c r="E11089" s="1342"/>
      <c r="F11089" s="1342"/>
      <c r="G11089" s="1342"/>
      <c r="H11089" s="1342"/>
      <c r="I11089" s="1342"/>
      <c r="J11089" s="1342"/>
      <c r="K11089" s="1342"/>
    </row>
    <row r="11090" spans="2:11" ht="14" hidden="1">
      <c r="B11090" s="1342"/>
      <c r="C11090" s="1342"/>
      <c r="D11090" s="1342"/>
      <c r="E11090" s="1342"/>
      <c r="F11090" s="1342"/>
      <c r="G11090" s="1342"/>
      <c r="H11090" s="1342"/>
      <c r="I11090" s="1342"/>
      <c r="J11090" s="1342"/>
      <c r="K11090" s="1342"/>
    </row>
    <row r="11091" spans="2:11" ht="14" hidden="1">
      <c r="B11091" s="1342"/>
      <c r="C11091" s="1342"/>
      <c r="D11091" s="1342"/>
      <c r="E11091" s="1342"/>
      <c r="F11091" s="1342"/>
      <c r="G11091" s="1342"/>
      <c r="H11091" s="1342"/>
      <c r="I11091" s="1342"/>
      <c r="J11091" s="1342"/>
      <c r="K11091" s="1342"/>
    </row>
    <row r="11092" spans="2:11" ht="14" hidden="1">
      <c r="B11092" s="1342"/>
      <c r="C11092" s="1342"/>
      <c r="D11092" s="1342"/>
      <c r="E11092" s="1342"/>
      <c r="F11092" s="1342"/>
      <c r="G11092" s="1342"/>
      <c r="H11092" s="1342"/>
      <c r="I11092" s="1342"/>
      <c r="J11092" s="1342"/>
      <c r="K11092" s="1342"/>
    </row>
    <row r="11093" spans="2:11" ht="14" hidden="1">
      <c r="B11093" s="1342"/>
      <c r="C11093" s="1342"/>
      <c r="D11093" s="1342"/>
      <c r="E11093" s="1342"/>
      <c r="F11093" s="1342"/>
      <c r="G11093" s="1342"/>
      <c r="H11093" s="1342"/>
      <c r="I11093" s="1342"/>
      <c r="J11093" s="1342"/>
      <c r="K11093" s="1342"/>
    </row>
    <row r="11094" spans="2:11" ht="14" hidden="1">
      <c r="B11094" s="1342"/>
      <c r="C11094" s="1342"/>
      <c r="D11094" s="1342"/>
      <c r="E11094" s="1342"/>
      <c r="F11094" s="1342"/>
      <c r="G11094" s="1342"/>
      <c r="H11094" s="1342"/>
      <c r="I11094" s="1342"/>
      <c r="J11094" s="1342"/>
      <c r="K11094" s="1342"/>
    </row>
    <row r="11095" spans="2:11" ht="14" hidden="1">
      <c r="B11095" s="1342"/>
      <c r="C11095" s="1342"/>
      <c r="D11095" s="1342"/>
      <c r="E11095" s="1342"/>
      <c r="F11095" s="1342"/>
      <c r="G11095" s="1342"/>
      <c r="H11095" s="1342"/>
      <c r="I11095" s="1342"/>
      <c r="J11095" s="1342"/>
      <c r="K11095" s="1342"/>
    </row>
    <row r="11096" spans="2:11" ht="14" hidden="1">
      <c r="B11096" s="1342"/>
      <c r="C11096" s="1342"/>
      <c r="D11096" s="1342"/>
      <c r="E11096" s="1342"/>
      <c r="F11096" s="1342"/>
      <c r="G11096" s="1342"/>
      <c r="H11096" s="1342"/>
      <c r="I11096" s="1342"/>
      <c r="J11096" s="1342"/>
      <c r="K11096" s="1342"/>
    </row>
    <row r="11097" spans="2:11" ht="14" hidden="1">
      <c r="B11097" s="1342"/>
      <c r="C11097" s="1342"/>
      <c r="D11097" s="1342"/>
      <c r="E11097" s="1342"/>
      <c r="F11097" s="1342"/>
      <c r="G11097" s="1342"/>
      <c r="H11097" s="1342"/>
      <c r="I11097" s="1342"/>
      <c r="J11097" s="1342"/>
      <c r="K11097" s="1342"/>
    </row>
    <row r="11098" spans="2:11" ht="14" hidden="1">
      <c r="B11098" s="1342"/>
      <c r="C11098" s="1342"/>
      <c r="D11098" s="1342"/>
      <c r="E11098" s="1342"/>
      <c r="F11098" s="1342"/>
      <c r="G11098" s="1342"/>
      <c r="H11098" s="1342"/>
      <c r="I11098" s="1342"/>
      <c r="J11098" s="1342"/>
      <c r="K11098" s="1342"/>
    </row>
    <row r="11099" spans="2:11" ht="14" hidden="1">
      <c r="B11099" s="1342"/>
      <c r="C11099" s="1342"/>
      <c r="D11099" s="1342"/>
      <c r="E11099" s="1342"/>
      <c r="F11099" s="1342"/>
      <c r="G11099" s="1342"/>
      <c r="H11099" s="1342"/>
      <c r="I11099" s="1342"/>
      <c r="J11099" s="1342"/>
      <c r="K11099" s="1342"/>
    </row>
    <row r="11100" spans="2:11" ht="14" hidden="1">
      <c r="B11100" s="1342"/>
      <c r="C11100" s="1342"/>
      <c r="D11100" s="1342"/>
      <c r="E11100" s="1342"/>
      <c r="F11100" s="1342"/>
      <c r="G11100" s="1342"/>
      <c r="H11100" s="1342"/>
      <c r="I11100" s="1342"/>
      <c r="J11100" s="1342"/>
      <c r="K11100" s="1342"/>
    </row>
    <row r="11101" spans="2:11" ht="14" hidden="1">
      <c r="B11101" s="1342"/>
      <c r="C11101" s="1342"/>
      <c r="D11101" s="1342"/>
      <c r="E11101" s="1342"/>
      <c r="F11101" s="1342"/>
      <c r="G11101" s="1342"/>
      <c r="H11101" s="1342"/>
      <c r="I11101" s="1342"/>
      <c r="J11101" s="1342"/>
      <c r="K11101" s="1342"/>
    </row>
    <row r="11102" spans="2:11" ht="14" hidden="1">
      <c r="B11102" s="1342"/>
      <c r="C11102" s="1342"/>
      <c r="D11102" s="1342"/>
      <c r="E11102" s="1342"/>
      <c r="F11102" s="1342"/>
      <c r="G11102" s="1342"/>
      <c r="H11102" s="1342"/>
      <c r="I11102" s="1342"/>
      <c r="J11102" s="1342"/>
      <c r="K11102" s="1342"/>
    </row>
    <row r="11103" spans="2:11" ht="14" hidden="1">
      <c r="B11103" s="1342"/>
      <c r="C11103" s="1342"/>
      <c r="D11103" s="1342"/>
      <c r="E11103" s="1342"/>
      <c r="F11103" s="1342"/>
      <c r="G11103" s="1342"/>
      <c r="H11103" s="1342"/>
      <c r="I11103" s="1342"/>
      <c r="J11103" s="1342"/>
      <c r="K11103" s="1342"/>
    </row>
    <row r="11104" spans="2:11" ht="14" hidden="1">
      <c r="B11104" s="1342"/>
      <c r="C11104" s="1342"/>
      <c r="D11104" s="1342"/>
      <c r="E11104" s="1342"/>
      <c r="F11104" s="1342"/>
      <c r="G11104" s="1342"/>
      <c r="H11104" s="1342"/>
      <c r="I11104" s="1342"/>
      <c r="J11104" s="1342"/>
      <c r="K11104" s="1342"/>
    </row>
    <row r="11105" spans="2:11" ht="14" hidden="1">
      <c r="B11105" s="1342"/>
      <c r="C11105" s="1342"/>
      <c r="D11105" s="1342"/>
      <c r="E11105" s="1342"/>
      <c r="F11105" s="1342"/>
      <c r="G11105" s="1342"/>
      <c r="H11105" s="1342"/>
      <c r="I11105" s="1342"/>
      <c r="J11105" s="1342"/>
      <c r="K11105" s="1342"/>
    </row>
    <row r="11106" spans="2:11" ht="14" hidden="1">
      <c r="B11106" s="1342"/>
      <c r="C11106" s="1342"/>
      <c r="D11106" s="1342"/>
      <c r="E11106" s="1342"/>
      <c r="F11106" s="1342"/>
      <c r="G11106" s="1342"/>
      <c r="H11106" s="1342"/>
      <c r="I11106" s="1342"/>
      <c r="J11106" s="1342"/>
      <c r="K11106" s="1342"/>
    </row>
    <row r="11107" spans="2:11" ht="14" hidden="1">
      <c r="B11107" s="1342"/>
      <c r="C11107" s="1342"/>
      <c r="D11107" s="1342"/>
      <c r="E11107" s="1342"/>
      <c r="F11107" s="1342"/>
      <c r="G11107" s="1342"/>
      <c r="H11107" s="1342"/>
      <c r="I11107" s="1342"/>
      <c r="J11107" s="1342"/>
      <c r="K11107" s="1342"/>
    </row>
    <row r="11108" spans="2:11" ht="14" hidden="1">
      <c r="B11108" s="1342"/>
      <c r="C11108" s="1342"/>
      <c r="D11108" s="1342"/>
      <c r="E11108" s="1342"/>
      <c r="F11108" s="1342"/>
      <c r="G11108" s="1342"/>
      <c r="H11108" s="1342"/>
      <c r="I11108" s="1342"/>
      <c r="J11108" s="1342"/>
      <c r="K11108" s="1342"/>
    </row>
    <row r="11109" spans="2:11" ht="14" hidden="1">
      <c r="B11109" s="1342"/>
      <c r="C11109" s="1342"/>
      <c r="D11109" s="1342"/>
      <c r="E11109" s="1342"/>
      <c r="F11109" s="1342"/>
      <c r="G11109" s="1342"/>
      <c r="H11109" s="1342"/>
      <c r="I11109" s="1342"/>
      <c r="J11109" s="1342"/>
      <c r="K11109" s="1342"/>
    </row>
    <row r="11110" spans="2:11" ht="14" hidden="1">
      <c r="B11110" s="1342"/>
      <c r="C11110" s="1342"/>
      <c r="D11110" s="1342"/>
      <c r="E11110" s="1342"/>
      <c r="F11110" s="1342"/>
      <c r="G11110" s="1342"/>
      <c r="H11110" s="1342"/>
      <c r="I11110" s="1342"/>
      <c r="J11110" s="1342"/>
      <c r="K11110" s="1342"/>
    </row>
    <row r="11111" spans="2:11" ht="14" hidden="1">
      <c r="B11111" s="1342"/>
      <c r="C11111" s="1342"/>
      <c r="D11111" s="1342"/>
      <c r="E11111" s="1342"/>
      <c r="F11111" s="1342"/>
      <c r="G11111" s="1342"/>
      <c r="H11111" s="1342"/>
      <c r="I11111" s="1342"/>
      <c r="J11111" s="1342"/>
      <c r="K11111" s="1342"/>
    </row>
    <row r="11112" spans="2:11" ht="14" hidden="1">
      <c r="B11112" s="1342"/>
      <c r="C11112" s="1342"/>
      <c r="D11112" s="1342"/>
      <c r="E11112" s="1342"/>
      <c r="F11112" s="1342"/>
      <c r="G11112" s="1342"/>
      <c r="H11112" s="1342"/>
      <c r="I11112" s="1342"/>
      <c r="J11112" s="1342"/>
      <c r="K11112" s="1342"/>
    </row>
    <row r="11113" spans="2:11" ht="14" hidden="1">
      <c r="B11113" s="1342"/>
      <c r="C11113" s="1342"/>
      <c r="D11113" s="1342"/>
      <c r="E11113" s="1342"/>
      <c r="F11113" s="1342"/>
      <c r="G11113" s="1342"/>
      <c r="H11113" s="1342"/>
      <c r="I11113" s="1342"/>
      <c r="J11113" s="1342"/>
      <c r="K11113" s="1342"/>
    </row>
    <row r="11114" spans="2:11" ht="14" hidden="1">
      <c r="B11114" s="1342"/>
      <c r="C11114" s="1342"/>
      <c r="D11114" s="1342"/>
      <c r="E11114" s="1342"/>
      <c r="F11114" s="1342"/>
      <c r="G11114" s="1342"/>
      <c r="H11114" s="1342"/>
      <c r="I11114" s="1342"/>
      <c r="J11114" s="1342"/>
      <c r="K11114" s="1342"/>
    </row>
    <row r="11115" spans="2:11" ht="14" hidden="1">
      <c r="B11115" s="1342"/>
      <c r="C11115" s="1342"/>
      <c r="D11115" s="1342"/>
      <c r="E11115" s="1342"/>
      <c r="F11115" s="1342"/>
      <c r="G11115" s="1342"/>
      <c r="H11115" s="1342"/>
      <c r="I11115" s="1342"/>
      <c r="J11115" s="1342"/>
      <c r="K11115" s="1342"/>
    </row>
    <row r="11116" spans="2:11" ht="14" hidden="1">
      <c r="B11116" s="1342"/>
      <c r="C11116" s="1342"/>
      <c r="D11116" s="1342"/>
      <c r="E11116" s="1342"/>
      <c r="F11116" s="1342"/>
      <c r="G11116" s="1342"/>
      <c r="H11116" s="1342"/>
      <c r="I11116" s="1342"/>
      <c r="J11116" s="1342"/>
      <c r="K11116" s="1342"/>
    </row>
    <row r="11117" spans="2:11" ht="14" hidden="1">
      <c r="B11117" s="1342"/>
      <c r="C11117" s="1342"/>
      <c r="D11117" s="1342"/>
      <c r="E11117" s="1342"/>
      <c r="F11117" s="1342"/>
      <c r="G11117" s="1342"/>
      <c r="H11117" s="1342"/>
      <c r="I11117" s="1342"/>
      <c r="J11117" s="1342"/>
      <c r="K11117" s="1342"/>
    </row>
    <row r="11118" spans="2:11" ht="14" hidden="1">
      <c r="B11118" s="1342"/>
      <c r="C11118" s="1342"/>
      <c r="D11118" s="1342"/>
      <c r="E11118" s="1342"/>
      <c r="F11118" s="1342"/>
      <c r="G11118" s="1342"/>
      <c r="H11118" s="1342"/>
      <c r="I11118" s="1342"/>
      <c r="J11118" s="1342"/>
      <c r="K11118" s="1342"/>
    </row>
    <row r="11119" spans="2:11" ht="14" hidden="1">
      <c r="B11119" s="1342"/>
      <c r="C11119" s="1342"/>
      <c r="D11119" s="1342"/>
      <c r="E11119" s="1342"/>
      <c r="F11119" s="1342"/>
      <c r="G11119" s="1342"/>
      <c r="H11119" s="1342"/>
      <c r="I11119" s="1342"/>
      <c r="J11119" s="1342"/>
      <c r="K11119" s="1342"/>
    </row>
    <row r="11120" spans="2:11" ht="14" hidden="1">
      <c r="B11120" s="1342"/>
      <c r="C11120" s="1342"/>
      <c r="D11120" s="1342"/>
      <c r="E11120" s="1342"/>
      <c r="F11120" s="1342"/>
      <c r="G11120" s="1342"/>
      <c r="H11120" s="1342"/>
      <c r="I11120" s="1342"/>
      <c r="J11120" s="1342"/>
      <c r="K11120" s="1342"/>
    </row>
    <row r="11121" spans="2:11" ht="14" hidden="1">
      <c r="B11121" s="1342"/>
      <c r="C11121" s="1342"/>
      <c r="D11121" s="1342"/>
      <c r="E11121" s="1342"/>
      <c r="F11121" s="1342"/>
      <c r="G11121" s="1342"/>
      <c r="H11121" s="1342"/>
      <c r="I11121" s="1342"/>
      <c r="J11121" s="1342"/>
      <c r="K11121" s="1342"/>
    </row>
    <row r="11122" spans="2:11" ht="14" hidden="1">
      <c r="B11122" s="1342"/>
      <c r="C11122" s="1342"/>
      <c r="D11122" s="1342"/>
      <c r="E11122" s="1342"/>
      <c r="F11122" s="1342"/>
      <c r="G11122" s="1342"/>
      <c r="H11122" s="1342"/>
      <c r="I11122" s="1342"/>
      <c r="J11122" s="1342"/>
      <c r="K11122" s="1342"/>
    </row>
    <row r="11123" spans="2:11" ht="14" hidden="1">
      <c r="B11123" s="1342"/>
      <c r="C11123" s="1342"/>
      <c r="D11123" s="1342"/>
      <c r="E11123" s="1342"/>
      <c r="F11123" s="1342"/>
      <c r="G11123" s="1342"/>
      <c r="H11123" s="1342"/>
      <c r="I11123" s="1342"/>
      <c r="J11123" s="1342"/>
      <c r="K11123" s="1342"/>
    </row>
    <row r="11124" spans="2:11" ht="14" hidden="1">
      <c r="B11124" s="1342"/>
      <c r="C11124" s="1342"/>
      <c r="D11124" s="1342"/>
      <c r="E11124" s="1342"/>
      <c r="F11124" s="1342"/>
      <c r="G11124" s="1342"/>
      <c r="H11124" s="1342"/>
      <c r="I11124" s="1342"/>
      <c r="J11124" s="1342"/>
      <c r="K11124" s="1342"/>
    </row>
    <row r="11125" spans="2:11" ht="14" hidden="1">
      <c r="B11125" s="1342"/>
      <c r="C11125" s="1342"/>
      <c r="D11125" s="1342"/>
      <c r="E11125" s="1342"/>
      <c r="F11125" s="1342"/>
      <c r="G11125" s="1342"/>
      <c r="H11125" s="1342"/>
      <c r="I11125" s="1342"/>
      <c r="J11125" s="1342"/>
      <c r="K11125" s="1342"/>
    </row>
    <row r="11126" spans="2:11" ht="14" hidden="1">
      <c r="B11126" s="1342"/>
      <c r="C11126" s="1342"/>
      <c r="D11126" s="1342"/>
      <c r="E11126" s="1342"/>
      <c r="F11126" s="1342"/>
      <c r="G11126" s="1342"/>
      <c r="H11126" s="1342"/>
      <c r="I11126" s="1342"/>
      <c r="J11126" s="1342"/>
      <c r="K11126" s="1342"/>
    </row>
    <row r="11127" spans="2:11" ht="14" hidden="1">
      <c r="B11127" s="1342"/>
      <c r="C11127" s="1342"/>
      <c r="D11127" s="1342"/>
      <c r="E11127" s="1342"/>
      <c r="F11127" s="1342"/>
      <c r="G11127" s="1342"/>
      <c r="H11127" s="1342"/>
      <c r="I11127" s="1342"/>
      <c r="J11127" s="1342"/>
      <c r="K11127" s="1342"/>
    </row>
    <row r="11128" spans="2:11" ht="14" hidden="1">
      <c r="B11128" s="1342"/>
      <c r="C11128" s="1342"/>
      <c r="D11128" s="1342"/>
      <c r="E11128" s="1342"/>
      <c r="F11128" s="1342"/>
      <c r="G11128" s="1342"/>
      <c r="H11128" s="1342"/>
      <c r="I11128" s="1342"/>
      <c r="J11128" s="1342"/>
      <c r="K11128" s="1342"/>
    </row>
    <row r="11129" spans="2:11" ht="14" hidden="1">
      <c r="B11129" s="1342"/>
      <c r="C11129" s="1342"/>
      <c r="D11129" s="1342"/>
      <c r="E11129" s="1342"/>
      <c r="F11129" s="1342"/>
      <c r="G11129" s="1342"/>
      <c r="H11129" s="1342"/>
      <c r="I11129" s="1342"/>
      <c r="J11129" s="1342"/>
      <c r="K11129" s="1342"/>
    </row>
    <row r="11130" spans="2:11" ht="14" hidden="1">
      <c r="B11130" s="1342"/>
      <c r="C11130" s="1342"/>
      <c r="D11130" s="1342"/>
      <c r="E11130" s="1342"/>
      <c r="F11130" s="1342"/>
      <c r="G11130" s="1342"/>
      <c r="H11130" s="1342"/>
      <c r="I11130" s="1342"/>
      <c r="J11130" s="1342"/>
      <c r="K11130" s="1342"/>
    </row>
    <row r="11131" spans="2:11" ht="14" hidden="1">
      <c r="B11131" s="1342"/>
      <c r="C11131" s="1342"/>
      <c r="D11131" s="1342"/>
      <c r="E11131" s="1342"/>
      <c r="F11131" s="1342"/>
      <c r="G11131" s="1342"/>
      <c r="H11131" s="1342"/>
      <c r="I11131" s="1342"/>
      <c r="J11131" s="1342"/>
      <c r="K11131" s="1342"/>
    </row>
    <row r="11132" spans="2:11" ht="14" hidden="1">
      <c r="B11132" s="1342"/>
      <c r="C11132" s="1342"/>
      <c r="D11132" s="1342"/>
      <c r="E11132" s="1342"/>
      <c r="F11132" s="1342"/>
      <c r="G11132" s="1342"/>
      <c r="H11132" s="1342"/>
      <c r="I11132" s="1342"/>
      <c r="J11132" s="1342"/>
      <c r="K11132" s="1342"/>
    </row>
    <row r="11133" spans="2:11" ht="14" hidden="1">
      <c r="B11133" s="1342"/>
      <c r="C11133" s="1342"/>
      <c r="D11133" s="1342"/>
      <c r="E11133" s="1342"/>
      <c r="F11133" s="1342"/>
      <c r="G11133" s="1342"/>
      <c r="H11133" s="1342"/>
      <c r="I11133" s="1342"/>
      <c r="J11133" s="1342"/>
      <c r="K11133" s="1342"/>
    </row>
    <row r="11134" spans="2:11" ht="14" hidden="1">
      <c r="B11134" s="1342"/>
      <c r="C11134" s="1342"/>
      <c r="D11134" s="1342"/>
      <c r="E11134" s="1342"/>
      <c r="F11134" s="1342"/>
      <c r="G11134" s="1342"/>
      <c r="H11134" s="1342"/>
      <c r="I11134" s="1342"/>
      <c r="J11134" s="1342"/>
      <c r="K11134" s="1342"/>
    </row>
    <row r="11135" spans="2:11" ht="14" hidden="1">
      <c r="B11135" s="1342"/>
      <c r="C11135" s="1342"/>
      <c r="D11135" s="1342"/>
      <c r="E11135" s="1342"/>
      <c r="F11135" s="1342"/>
      <c r="G11135" s="1342"/>
      <c r="H11135" s="1342"/>
      <c r="I11135" s="1342"/>
      <c r="J11135" s="1342"/>
      <c r="K11135" s="1342"/>
    </row>
    <row r="11136" spans="2:11" ht="14" hidden="1">
      <c r="B11136" s="1342"/>
      <c r="C11136" s="1342"/>
      <c r="D11136" s="1342"/>
      <c r="E11136" s="1342"/>
      <c r="F11136" s="1342"/>
      <c r="G11136" s="1342"/>
      <c r="H11136" s="1342"/>
      <c r="I11136" s="1342"/>
      <c r="J11136" s="1342"/>
      <c r="K11136" s="1342"/>
    </row>
    <row r="11137" spans="2:11" ht="14" hidden="1">
      <c r="B11137" s="1342"/>
      <c r="C11137" s="1342"/>
      <c r="D11137" s="1342"/>
      <c r="E11137" s="1342"/>
      <c r="F11137" s="1342"/>
      <c r="G11137" s="1342"/>
      <c r="H11137" s="1342"/>
      <c r="I11137" s="1342"/>
      <c r="J11137" s="1342"/>
      <c r="K11137" s="1342"/>
    </row>
    <row r="11138" spans="2:11" ht="14" hidden="1">
      <c r="B11138" s="1342"/>
      <c r="C11138" s="1342"/>
      <c r="D11138" s="1342"/>
      <c r="E11138" s="1342"/>
      <c r="F11138" s="1342"/>
      <c r="G11138" s="1342"/>
      <c r="H11138" s="1342"/>
      <c r="I11138" s="1342"/>
      <c r="J11138" s="1342"/>
      <c r="K11138" s="1342"/>
    </row>
    <row r="11139" spans="2:11" ht="14" hidden="1">
      <c r="B11139" s="1342"/>
      <c r="C11139" s="1342"/>
      <c r="D11139" s="1342"/>
      <c r="E11139" s="1342"/>
      <c r="F11139" s="1342"/>
      <c r="G11139" s="1342"/>
      <c r="H11139" s="1342"/>
      <c r="I11139" s="1342"/>
      <c r="J11139" s="1342"/>
      <c r="K11139" s="1342"/>
    </row>
    <row r="11140" spans="2:11" ht="14" hidden="1">
      <c r="B11140" s="1342"/>
      <c r="C11140" s="1342"/>
      <c r="D11140" s="1342"/>
      <c r="E11140" s="1342"/>
      <c r="F11140" s="1342"/>
      <c r="G11140" s="1342"/>
      <c r="H11140" s="1342"/>
      <c r="I11140" s="1342"/>
      <c r="J11140" s="1342"/>
      <c r="K11140" s="1342"/>
    </row>
    <row r="11141" spans="2:11" ht="14" hidden="1">
      <c r="B11141" s="1342"/>
      <c r="C11141" s="1342"/>
      <c r="D11141" s="1342"/>
      <c r="E11141" s="1342"/>
      <c r="F11141" s="1342"/>
      <c r="G11141" s="1342"/>
      <c r="H11141" s="1342"/>
      <c r="I11141" s="1342"/>
      <c r="J11141" s="1342"/>
      <c r="K11141" s="1342"/>
    </row>
    <row r="11142" spans="2:11" ht="14" hidden="1">
      <c r="B11142" s="1342"/>
      <c r="C11142" s="1342"/>
      <c r="D11142" s="1342"/>
      <c r="E11142" s="1342"/>
      <c r="F11142" s="1342"/>
      <c r="G11142" s="1342"/>
      <c r="H11142" s="1342"/>
      <c r="I11142" s="1342"/>
      <c r="J11142" s="1342"/>
      <c r="K11142" s="1342"/>
    </row>
    <row r="11143" spans="2:11" ht="14" hidden="1">
      <c r="B11143" s="1342"/>
      <c r="C11143" s="1342"/>
      <c r="D11143" s="1342"/>
      <c r="E11143" s="1342"/>
      <c r="F11143" s="1342"/>
      <c r="G11143" s="1342"/>
      <c r="H11143" s="1342"/>
      <c r="I11143" s="1342"/>
      <c r="J11143" s="1342"/>
      <c r="K11143" s="1342"/>
    </row>
    <row r="11144" spans="2:11" ht="14" hidden="1">
      <c r="B11144" s="1342"/>
      <c r="C11144" s="1342"/>
      <c r="D11144" s="1342"/>
      <c r="E11144" s="1342"/>
      <c r="F11144" s="1342"/>
      <c r="G11144" s="1342"/>
      <c r="H11144" s="1342"/>
      <c r="I11144" s="1342"/>
      <c r="J11144" s="1342"/>
      <c r="K11144" s="1342"/>
    </row>
    <row r="11145" spans="2:11" ht="14" hidden="1">
      <c r="B11145" s="1342"/>
      <c r="C11145" s="1342"/>
      <c r="D11145" s="1342"/>
      <c r="E11145" s="1342"/>
      <c r="F11145" s="1342"/>
      <c r="G11145" s="1342"/>
      <c r="H11145" s="1342"/>
      <c r="I11145" s="1342"/>
      <c r="J11145" s="1342"/>
      <c r="K11145" s="1342"/>
    </row>
    <row r="11146" spans="2:11" ht="14" hidden="1">
      <c r="B11146" s="1342"/>
      <c r="C11146" s="1342"/>
      <c r="D11146" s="1342"/>
      <c r="E11146" s="1342"/>
      <c r="F11146" s="1342"/>
      <c r="G11146" s="1342"/>
      <c r="H11146" s="1342"/>
      <c r="I11146" s="1342"/>
      <c r="J11146" s="1342"/>
      <c r="K11146" s="1342"/>
    </row>
    <row r="11147" spans="2:11" ht="14" hidden="1">
      <c r="B11147" s="1342"/>
      <c r="C11147" s="1342"/>
      <c r="D11147" s="1342"/>
      <c r="E11147" s="1342"/>
      <c r="F11147" s="1342"/>
      <c r="G11147" s="1342"/>
      <c r="H11147" s="1342"/>
      <c r="I11147" s="1342"/>
      <c r="J11147" s="1342"/>
      <c r="K11147" s="1342"/>
    </row>
    <row r="11148" spans="2:11" ht="14" hidden="1">
      <c r="B11148" s="1342"/>
      <c r="C11148" s="1342"/>
      <c r="D11148" s="1342"/>
      <c r="E11148" s="1342"/>
      <c r="F11148" s="1342"/>
      <c r="G11148" s="1342"/>
      <c r="H11148" s="1342"/>
      <c r="I11148" s="1342"/>
      <c r="J11148" s="1342"/>
      <c r="K11148" s="1342"/>
    </row>
    <row r="11149" spans="2:11" ht="14" hidden="1">
      <c r="B11149" s="1342"/>
      <c r="C11149" s="1342"/>
      <c r="D11149" s="1342"/>
      <c r="E11149" s="1342"/>
      <c r="F11149" s="1342"/>
      <c r="G11149" s="1342"/>
      <c r="H11149" s="1342"/>
      <c r="I11149" s="1342"/>
      <c r="J11149" s="1342"/>
      <c r="K11149" s="1342"/>
    </row>
    <row r="11150" spans="2:11" ht="14" hidden="1">
      <c r="B11150" s="1342"/>
      <c r="C11150" s="1342"/>
      <c r="D11150" s="1342"/>
      <c r="E11150" s="1342"/>
      <c r="F11150" s="1342"/>
      <c r="G11150" s="1342"/>
      <c r="H11150" s="1342"/>
      <c r="I11150" s="1342"/>
      <c r="J11150" s="1342"/>
      <c r="K11150" s="1342"/>
    </row>
    <row r="11151" spans="2:11" ht="14" hidden="1">
      <c r="B11151" s="1342"/>
      <c r="C11151" s="1342"/>
      <c r="D11151" s="1342"/>
      <c r="E11151" s="1342"/>
      <c r="F11151" s="1342"/>
      <c r="G11151" s="1342"/>
      <c r="H11151" s="1342"/>
      <c r="I11151" s="1342"/>
      <c r="J11151" s="1342"/>
      <c r="K11151" s="1342"/>
    </row>
    <row r="11152" spans="2:11" ht="14" hidden="1">
      <c r="B11152" s="1342"/>
      <c r="C11152" s="1342"/>
      <c r="D11152" s="1342"/>
      <c r="E11152" s="1342"/>
      <c r="F11152" s="1342"/>
      <c r="G11152" s="1342"/>
      <c r="H11152" s="1342"/>
      <c r="I11152" s="1342"/>
      <c r="J11152" s="1342"/>
      <c r="K11152" s="1342"/>
    </row>
    <row r="11153" spans="2:11" ht="14" hidden="1">
      <c r="B11153" s="1342"/>
      <c r="C11153" s="1342"/>
      <c r="D11153" s="1342"/>
      <c r="E11153" s="1342"/>
      <c r="F11153" s="1342"/>
      <c r="G11153" s="1342"/>
      <c r="H11153" s="1342"/>
      <c r="I11153" s="1342"/>
      <c r="J11153" s="1342"/>
      <c r="K11153" s="1342"/>
    </row>
    <row r="11154" spans="2:11" ht="14" hidden="1">
      <c r="B11154" s="1342"/>
      <c r="C11154" s="1342"/>
      <c r="D11154" s="1342"/>
      <c r="E11154" s="1342"/>
      <c r="F11154" s="1342"/>
      <c r="G11154" s="1342"/>
      <c r="H11154" s="1342"/>
      <c r="I11154" s="1342"/>
      <c r="J11154" s="1342"/>
      <c r="K11154" s="1342"/>
    </row>
    <row r="11155" spans="2:11" ht="14" hidden="1">
      <c r="B11155" s="1342"/>
      <c r="C11155" s="1342"/>
      <c r="D11155" s="1342"/>
      <c r="E11155" s="1342"/>
      <c r="F11155" s="1342"/>
      <c r="G11155" s="1342"/>
      <c r="H11155" s="1342"/>
      <c r="I11155" s="1342"/>
      <c r="J11155" s="1342"/>
      <c r="K11155" s="1342"/>
    </row>
    <row r="11156" spans="2:11" ht="14" hidden="1">
      <c r="B11156" s="1342"/>
      <c r="C11156" s="1342"/>
      <c r="D11156" s="1342"/>
      <c r="E11156" s="1342"/>
      <c r="F11156" s="1342"/>
      <c r="G11156" s="1342"/>
      <c r="H11156" s="1342"/>
      <c r="I11156" s="1342"/>
      <c r="J11156" s="1342"/>
      <c r="K11156" s="1342"/>
    </row>
    <row r="11157" spans="2:11" ht="14" hidden="1">
      <c r="B11157" s="1342"/>
      <c r="C11157" s="1342"/>
      <c r="D11157" s="1342"/>
      <c r="E11157" s="1342"/>
      <c r="F11157" s="1342"/>
      <c r="G11157" s="1342"/>
      <c r="H11157" s="1342"/>
      <c r="I11157" s="1342"/>
      <c r="J11157" s="1342"/>
      <c r="K11157" s="1342"/>
    </row>
    <row r="11158" spans="2:11" ht="14" hidden="1">
      <c r="B11158" s="1342"/>
      <c r="C11158" s="1342"/>
      <c r="D11158" s="1342"/>
      <c r="E11158" s="1342"/>
      <c r="F11158" s="1342"/>
      <c r="G11158" s="1342"/>
      <c r="H11158" s="1342"/>
      <c r="I11158" s="1342"/>
      <c r="J11158" s="1342"/>
      <c r="K11158" s="1342"/>
    </row>
    <row r="11159" spans="2:11" ht="14" hidden="1">
      <c r="B11159" s="1342"/>
      <c r="C11159" s="1342"/>
      <c r="D11159" s="1342"/>
      <c r="E11159" s="1342"/>
      <c r="F11159" s="1342"/>
      <c r="G11159" s="1342"/>
      <c r="H11159" s="1342"/>
      <c r="I11159" s="1342"/>
      <c r="J11159" s="1342"/>
      <c r="K11159" s="1342"/>
    </row>
    <row r="11160" spans="2:11" ht="14" hidden="1">
      <c r="B11160" s="1342"/>
      <c r="C11160" s="1342"/>
      <c r="D11160" s="1342"/>
      <c r="E11160" s="1342"/>
      <c r="F11160" s="1342"/>
      <c r="G11160" s="1342"/>
      <c r="H11160" s="1342"/>
      <c r="I11160" s="1342"/>
      <c r="J11160" s="1342"/>
      <c r="K11160" s="1342"/>
    </row>
    <row r="11161" spans="2:11" ht="14" hidden="1">
      <c r="B11161" s="1342"/>
      <c r="C11161" s="1342"/>
      <c r="D11161" s="1342"/>
      <c r="E11161" s="1342"/>
      <c r="F11161" s="1342"/>
      <c r="G11161" s="1342"/>
      <c r="H11161" s="1342"/>
      <c r="I11161" s="1342"/>
      <c r="J11161" s="1342"/>
      <c r="K11161" s="1342"/>
    </row>
    <row r="11162" spans="2:11" ht="14" hidden="1">
      <c r="B11162" s="1342"/>
      <c r="C11162" s="1342"/>
      <c r="D11162" s="1342"/>
      <c r="E11162" s="1342"/>
      <c r="F11162" s="1342"/>
      <c r="G11162" s="1342"/>
      <c r="H11162" s="1342"/>
      <c r="I11162" s="1342"/>
      <c r="J11162" s="1342"/>
      <c r="K11162" s="1342"/>
    </row>
    <row r="11163" spans="2:11" ht="14" hidden="1">
      <c r="B11163" s="1342"/>
      <c r="C11163" s="1342"/>
      <c r="D11163" s="1342"/>
      <c r="E11163" s="1342"/>
      <c r="F11163" s="1342"/>
      <c r="G11163" s="1342"/>
      <c r="H11163" s="1342"/>
      <c r="I11163" s="1342"/>
      <c r="J11163" s="1342"/>
      <c r="K11163" s="1342"/>
    </row>
    <row r="11164" spans="2:11" ht="14" hidden="1">
      <c r="B11164" s="1342"/>
      <c r="C11164" s="1342"/>
      <c r="D11164" s="1342"/>
      <c r="E11164" s="1342"/>
      <c r="F11164" s="1342"/>
      <c r="G11164" s="1342"/>
      <c r="H11164" s="1342"/>
      <c r="I11164" s="1342"/>
      <c r="J11164" s="1342"/>
      <c r="K11164" s="1342"/>
    </row>
    <row r="11165" spans="2:11" ht="14" hidden="1">
      <c r="B11165" s="1342"/>
      <c r="C11165" s="1342"/>
      <c r="D11165" s="1342"/>
      <c r="E11165" s="1342"/>
      <c r="F11165" s="1342"/>
      <c r="G11165" s="1342"/>
      <c r="H11165" s="1342"/>
      <c r="I11165" s="1342"/>
      <c r="J11165" s="1342"/>
      <c r="K11165" s="1342"/>
    </row>
    <row r="11166" spans="2:11" ht="14" hidden="1">
      <c r="B11166" s="1342"/>
      <c r="C11166" s="1342"/>
      <c r="D11166" s="1342"/>
      <c r="E11166" s="1342"/>
      <c r="F11166" s="1342"/>
      <c r="G11166" s="1342"/>
      <c r="H11166" s="1342"/>
      <c r="I11166" s="1342"/>
      <c r="J11166" s="1342"/>
      <c r="K11166" s="1342"/>
    </row>
    <row r="11167" spans="2:11" ht="14" hidden="1">
      <c r="B11167" s="1342"/>
      <c r="C11167" s="1342"/>
      <c r="D11167" s="1342"/>
      <c r="E11167" s="1342"/>
      <c r="F11167" s="1342"/>
      <c r="G11167" s="1342"/>
      <c r="H11167" s="1342"/>
      <c r="I11167" s="1342"/>
      <c r="J11167" s="1342"/>
      <c r="K11167" s="1342"/>
    </row>
    <row r="11168" spans="2:11" ht="14" hidden="1">
      <c r="B11168" s="1342"/>
      <c r="C11168" s="1342"/>
      <c r="D11168" s="1342"/>
      <c r="E11168" s="1342"/>
      <c r="F11168" s="1342"/>
      <c r="G11168" s="1342"/>
      <c r="H11168" s="1342"/>
      <c r="I11168" s="1342"/>
      <c r="J11168" s="1342"/>
      <c r="K11168" s="1342"/>
    </row>
    <row r="11169" spans="2:11" ht="14" hidden="1">
      <c r="B11169" s="1342"/>
      <c r="C11169" s="1342"/>
      <c r="D11169" s="1342"/>
      <c r="E11169" s="1342"/>
      <c r="F11169" s="1342"/>
      <c r="G11169" s="1342"/>
      <c r="H11169" s="1342"/>
      <c r="I11169" s="1342"/>
      <c r="J11169" s="1342"/>
      <c r="K11169" s="1342"/>
    </row>
    <row r="11170" spans="2:11" ht="14" hidden="1">
      <c r="B11170" s="1342"/>
      <c r="C11170" s="1342"/>
      <c r="D11170" s="1342"/>
      <c r="E11170" s="1342"/>
      <c r="F11170" s="1342"/>
      <c r="G11170" s="1342"/>
      <c r="H11170" s="1342"/>
      <c r="I11170" s="1342"/>
      <c r="J11170" s="1342"/>
      <c r="K11170" s="1342"/>
    </row>
    <row r="11171" spans="2:11" ht="14" hidden="1">
      <c r="B11171" s="1342"/>
      <c r="C11171" s="1342"/>
      <c r="D11171" s="1342"/>
      <c r="E11171" s="1342"/>
      <c r="F11171" s="1342"/>
      <c r="G11171" s="1342"/>
      <c r="H11171" s="1342"/>
      <c r="I11171" s="1342"/>
      <c r="J11171" s="1342"/>
      <c r="K11171" s="1342"/>
    </row>
    <row r="11172" spans="2:11" ht="14" hidden="1">
      <c r="B11172" s="1342"/>
      <c r="C11172" s="1342"/>
      <c r="D11172" s="1342"/>
      <c r="E11172" s="1342"/>
      <c r="F11172" s="1342"/>
      <c r="G11172" s="1342"/>
      <c r="H11172" s="1342"/>
      <c r="I11172" s="1342"/>
      <c r="J11172" s="1342"/>
      <c r="K11172" s="1342"/>
    </row>
    <row r="11173" spans="2:11" ht="14" hidden="1">
      <c r="B11173" s="1342"/>
      <c r="C11173" s="1342"/>
      <c r="D11173" s="1342"/>
      <c r="E11173" s="1342"/>
      <c r="F11173" s="1342"/>
      <c r="G11173" s="1342"/>
      <c r="H11173" s="1342"/>
      <c r="I11173" s="1342"/>
      <c r="J11173" s="1342"/>
      <c r="K11173" s="1342"/>
    </row>
    <row r="11174" spans="2:11" ht="14" hidden="1">
      <c r="B11174" s="1342"/>
      <c r="C11174" s="1342"/>
      <c r="D11174" s="1342"/>
      <c r="E11174" s="1342"/>
      <c r="F11174" s="1342"/>
      <c r="G11174" s="1342"/>
      <c r="H11174" s="1342"/>
      <c r="I11174" s="1342"/>
      <c r="J11174" s="1342"/>
      <c r="K11174" s="1342"/>
    </row>
    <row r="11175" spans="2:11" ht="14" hidden="1">
      <c r="B11175" s="1342"/>
      <c r="C11175" s="1342"/>
      <c r="D11175" s="1342"/>
      <c r="E11175" s="1342"/>
      <c r="F11175" s="1342"/>
      <c r="G11175" s="1342"/>
      <c r="H11175" s="1342"/>
      <c r="I11175" s="1342"/>
      <c r="J11175" s="1342"/>
      <c r="K11175" s="1342"/>
    </row>
    <row r="11176" spans="2:11" ht="14" hidden="1">
      <c r="B11176" s="1342"/>
      <c r="C11176" s="1342"/>
      <c r="D11176" s="1342"/>
      <c r="E11176" s="1342"/>
      <c r="F11176" s="1342"/>
      <c r="G11176" s="1342"/>
      <c r="H11176" s="1342"/>
      <c r="I11176" s="1342"/>
      <c r="J11176" s="1342"/>
      <c r="K11176" s="1342"/>
    </row>
    <row r="11177" spans="2:11" ht="14" hidden="1">
      <c r="B11177" s="1342"/>
      <c r="C11177" s="1342"/>
      <c r="D11177" s="1342"/>
      <c r="E11177" s="1342"/>
      <c r="F11177" s="1342"/>
      <c r="G11177" s="1342"/>
      <c r="H11177" s="1342"/>
      <c r="I11177" s="1342"/>
      <c r="J11177" s="1342"/>
      <c r="K11177" s="1342"/>
    </row>
    <row r="11178" spans="2:11" ht="14" hidden="1">
      <c r="B11178" s="1342"/>
      <c r="C11178" s="1342"/>
      <c r="D11178" s="1342"/>
      <c r="E11178" s="1342"/>
      <c r="F11178" s="1342"/>
      <c r="G11178" s="1342"/>
      <c r="H11178" s="1342"/>
      <c r="I11178" s="1342"/>
      <c r="J11178" s="1342"/>
      <c r="K11178" s="1342"/>
    </row>
    <row r="11179" spans="2:11" ht="14" hidden="1">
      <c r="B11179" s="1342"/>
      <c r="C11179" s="1342"/>
      <c r="D11179" s="1342"/>
      <c r="E11179" s="1342"/>
      <c r="F11179" s="1342"/>
      <c r="G11179" s="1342"/>
      <c r="H11179" s="1342"/>
      <c r="I11179" s="1342"/>
      <c r="J11179" s="1342"/>
      <c r="K11179" s="1342"/>
    </row>
    <row r="11180" spans="2:11" ht="14" hidden="1">
      <c r="B11180" s="1342"/>
      <c r="C11180" s="1342"/>
      <c r="D11180" s="1342"/>
      <c r="E11180" s="1342"/>
      <c r="F11180" s="1342"/>
      <c r="G11180" s="1342"/>
      <c r="H11180" s="1342"/>
      <c r="I11180" s="1342"/>
      <c r="J11180" s="1342"/>
      <c r="K11180" s="1342"/>
    </row>
    <row r="11181" spans="2:11" ht="14" hidden="1">
      <c r="B11181" s="1342"/>
      <c r="C11181" s="1342"/>
      <c r="D11181" s="1342"/>
      <c r="E11181" s="1342"/>
      <c r="F11181" s="1342"/>
      <c r="G11181" s="1342"/>
      <c r="H11181" s="1342"/>
      <c r="I11181" s="1342"/>
      <c r="J11181" s="1342"/>
      <c r="K11181" s="1342"/>
    </row>
    <row r="11182" spans="2:11" ht="14" hidden="1">
      <c r="B11182" s="1342"/>
      <c r="C11182" s="1342"/>
      <c r="D11182" s="1342"/>
      <c r="E11182" s="1342"/>
      <c r="F11182" s="1342"/>
      <c r="G11182" s="1342"/>
      <c r="H11182" s="1342"/>
      <c r="I11182" s="1342"/>
      <c r="J11182" s="1342"/>
      <c r="K11182" s="1342"/>
    </row>
    <row r="11183" spans="2:11" ht="14" hidden="1">
      <c r="B11183" s="1342"/>
      <c r="C11183" s="1342"/>
      <c r="D11183" s="1342"/>
      <c r="E11183" s="1342"/>
      <c r="F11183" s="1342"/>
      <c r="G11183" s="1342"/>
      <c r="H11183" s="1342"/>
      <c r="I11183" s="1342"/>
      <c r="J11183" s="1342"/>
      <c r="K11183" s="1342"/>
    </row>
    <row r="11184" spans="2:11" ht="14" hidden="1">
      <c r="B11184" s="1342"/>
      <c r="C11184" s="1342"/>
      <c r="D11184" s="1342"/>
      <c r="E11184" s="1342"/>
      <c r="F11184" s="1342"/>
      <c r="G11184" s="1342"/>
      <c r="H11184" s="1342"/>
      <c r="I11184" s="1342"/>
      <c r="J11184" s="1342"/>
      <c r="K11184" s="1342"/>
    </row>
    <row r="11185" spans="2:11" ht="14" hidden="1">
      <c r="B11185" s="1342"/>
      <c r="C11185" s="1342"/>
      <c r="D11185" s="1342"/>
      <c r="E11185" s="1342"/>
      <c r="F11185" s="1342"/>
      <c r="G11185" s="1342"/>
      <c r="H11185" s="1342"/>
      <c r="I11185" s="1342"/>
      <c r="J11185" s="1342"/>
      <c r="K11185" s="1342"/>
    </row>
    <row r="11186" spans="2:11" ht="14" hidden="1">
      <c r="B11186" s="1342"/>
      <c r="C11186" s="1342"/>
      <c r="D11186" s="1342"/>
      <c r="E11186" s="1342"/>
      <c r="F11186" s="1342"/>
      <c r="G11186" s="1342"/>
      <c r="H11186" s="1342"/>
      <c r="I11186" s="1342"/>
      <c r="J11186" s="1342"/>
      <c r="K11186" s="1342"/>
    </row>
    <row r="11187" spans="2:11" ht="14" hidden="1">
      <c r="B11187" s="1342"/>
      <c r="C11187" s="1342"/>
      <c r="D11187" s="1342"/>
      <c r="E11187" s="1342"/>
      <c r="F11187" s="1342"/>
      <c r="G11187" s="1342"/>
      <c r="H11187" s="1342"/>
      <c r="I11187" s="1342"/>
      <c r="J11187" s="1342"/>
      <c r="K11187" s="1342"/>
    </row>
    <row r="11188" spans="2:11" ht="14" hidden="1">
      <c r="B11188" s="1342"/>
      <c r="C11188" s="1342"/>
      <c r="D11188" s="1342"/>
      <c r="E11188" s="1342"/>
      <c r="F11188" s="1342"/>
      <c r="G11188" s="1342"/>
      <c r="H11188" s="1342"/>
      <c r="I11188" s="1342"/>
      <c r="J11188" s="1342"/>
      <c r="K11188" s="1342"/>
    </row>
    <row r="11189" spans="2:11" ht="14" hidden="1">
      <c r="B11189" s="1342"/>
      <c r="C11189" s="1342"/>
      <c r="D11189" s="1342"/>
      <c r="E11189" s="1342"/>
      <c r="F11189" s="1342"/>
      <c r="G11189" s="1342"/>
      <c r="H11189" s="1342"/>
      <c r="I11189" s="1342"/>
      <c r="J11189" s="1342"/>
      <c r="K11189" s="1342"/>
    </row>
    <row r="11190" spans="2:11" ht="14" hidden="1">
      <c r="B11190" s="1342"/>
      <c r="C11190" s="1342"/>
      <c r="D11190" s="1342"/>
      <c r="E11190" s="1342"/>
      <c r="F11190" s="1342"/>
      <c r="G11190" s="1342"/>
      <c r="H11190" s="1342"/>
      <c r="I11190" s="1342"/>
      <c r="J11190" s="1342"/>
      <c r="K11190" s="1342"/>
    </row>
    <row r="11191" spans="2:11" ht="14" hidden="1">
      <c r="B11191" s="1342"/>
      <c r="C11191" s="1342"/>
      <c r="D11191" s="1342"/>
      <c r="E11191" s="1342"/>
      <c r="F11191" s="1342"/>
      <c r="G11191" s="1342"/>
      <c r="H11191" s="1342"/>
      <c r="I11191" s="1342"/>
      <c r="J11191" s="1342"/>
      <c r="K11191" s="1342"/>
    </row>
    <row r="11192" spans="2:11" ht="14" hidden="1">
      <c r="B11192" s="1342"/>
      <c r="C11192" s="1342"/>
      <c r="D11192" s="1342"/>
      <c r="E11192" s="1342"/>
      <c r="F11192" s="1342"/>
      <c r="G11192" s="1342"/>
      <c r="H11192" s="1342"/>
      <c r="I11192" s="1342"/>
      <c r="J11192" s="1342"/>
      <c r="K11192" s="1342"/>
    </row>
    <row r="11193" spans="2:11" ht="14" hidden="1">
      <c r="B11193" s="1342"/>
      <c r="C11193" s="1342"/>
      <c r="D11193" s="1342"/>
      <c r="E11193" s="1342"/>
      <c r="F11193" s="1342"/>
      <c r="G11193" s="1342"/>
      <c r="H11193" s="1342"/>
      <c r="I11193" s="1342"/>
      <c r="J11193" s="1342"/>
      <c r="K11193" s="1342"/>
    </row>
    <row r="11194" spans="2:11" ht="14" hidden="1">
      <c r="B11194" s="1342"/>
      <c r="C11194" s="1342"/>
      <c r="D11194" s="1342"/>
      <c r="E11194" s="1342"/>
      <c r="F11194" s="1342"/>
      <c r="G11194" s="1342"/>
      <c r="H11194" s="1342"/>
      <c r="I11194" s="1342"/>
      <c r="J11194" s="1342"/>
      <c r="K11194" s="1342"/>
    </row>
    <row r="11195" spans="2:11" ht="14" hidden="1">
      <c r="B11195" s="1342"/>
      <c r="C11195" s="1342"/>
      <c r="D11195" s="1342"/>
      <c r="E11195" s="1342"/>
      <c r="F11195" s="1342"/>
      <c r="G11195" s="1342"/>
      <c r="H11195" s="1342"/>
      <c r="I11195" s="1342"/>
      <c r="J11195" s="1342"/>
      <c r="K11195" s="1342"/>
    </row>
    <row r="11196" spans="2:11" ht="14" hidden="1">
      <c r="B11196" s="1342"/>
      <c r="C11196" s="1342"/>
      <c r="D11196" s="1342"/>
      <c r="E11196" s="1342"/>
      <c r="F11196" s="1342"/>
      <c r="G11196" s="1342"/>
      <c r="H11196" s="1342"/>
      <c r="I11196" s="1342"/>
      <c r="J11196" s="1342"/>
      <c r="K11196" s="1342"/>
    </row>
    <row r="11197" spans="2:11" ht="14" hidden="1">
      <c r="B11197" s="1342"/>
      <c r="C11197" s="1342"/>
      <c r="D11197" s="1342"/>
      <c r="E11197" s="1342"/>
      <c r="F11197" s="1342"/>
      <c r="G11197" s="1342"/>
      <c r="H11197" s="1342"/>
      <c r="I11197" s="1342"/>
      <c r="J11197" s="1342"/>
      <c r="K11197" s="1342"/>
    </row>
    <row r="11198" spans="2:11" ht="14" hidden="1">
      <c r="B11198" s="1342"/>
      <c r="C11198" s="1342"/>
      <c r="D11198" s="1342"/>
      <c r="E11198" s="1342"/>
      <c r="F11198" s="1342"/>
      <c r="G11198" s="1342"/>
      <c r="H11198" s="1342"/>
      <c r="I11198" s="1342"/>
      <c r="J11198" s="1342"/>
      <c r="K11198" s="1342"/>
    </row>
    <row r="11199" spans="2:11" ht="14" hidden="1">
      <c r="B11199" s="1342"/>
      <c r="C11199" s="1342"/>
      <c r="D11199" s="1342"/>
      <c r="E11199" s="1342"/>
      <c r="F11199" s="1342"/>
      <c r="G11199" s="1342"/>
      <c r="H11199" s="1342"/>
      <c r="I11199" s="1342"/>
      <c r="J11199" s="1342"/>
      <c r="K11199" s="1342"/>
    </row>
    <row r="11200" spans="2:11" ht="14" hidden="1">
      <c r="B11200" s="1342"/>
      <c r="C11200" s="1342"/>
      <c r="D11200" s="1342"/>
      <c r="E11200" s="1342"/>
      <c r="F11200" s="1342"/>
      <c r="G11200" s="1342"/>
      <c r="H11200" s="1342"/>
      <c r="I11200" s="1342"/>
      <c r="J11200" s="1342"/>
      <c r="K11200" s="1342"/>
    </row>
    <row r="11201" spans="2:11" ht="14" hidden="1">
      <c r="B11201" s="1342"/>
      <c r="C11201" s="1342"/>
      <c r="D11201" s="1342"/>
      <c r="E11201" s="1342"/>
      <c r="F11201" s="1342"/>
      <c r="G11201" s="1342"/>
      <c r="H11201" s="1342"/>
      <c r="I11201" s="1342"/>
      <c r="J11201" s="1342"/>
      <c r="K11201" s="1342"/>
    </row>
    <row r="11202" spans="2:11" ht="14" hidden="1">
      <c r="B11202" s="1342"/>
      <c r="C11202" s="1342"/>
      <c r="D11202" s="1342"/>
      <c r="E11202" s="1342"/>
      <c r="F11202" s="1342"/>
      <c r="G11202" s="1342"/>
      <c r="H11202" s="1342"/>
      <c r="I11202" s="1342"/>
      <c r="J11202" s="1342"/>
      <c r="K11202" s="1342"/>
    </row>
    <row r="11203" spans="2:11" ht="14" hidden="1">
      <c r="B11203" s="1342"/>
      <c r="C11203" s="1342"/>
      <c r="D11203" s="1342"/>
      <c r="E11203" s="1342"/>
      <c r="F11203" s="1342"/>
      <c r="G11203" s="1342"/>
      <c r="H11203" s="1342"/>
      <c r="I11203" s="1342"/>
      <c r="J11203" s="1342"/>
      <c r="K11203" s="1342"/>
    </row>
    <row r="11204" spans="2:11" ht="14" hidden="1">
      <c r="B11204" s="1342"/>
      <c r="C11204" s="1342"/>
      <c r="D11204" s="1342"/>
      <c r="E11204" s="1342"/>
      <c r="F11204" s="1342"/>
      <c r="G11204" s="1342"/>
      <c r="H11204" s="1342"/>
      <c r="I11204" s="1342"/>
      <c r="J11204" s="1342"/>
      <c r="K11204" s="1342"/>
    </row>
    <row r="11205" spans="2:11" ht="14" hidden="1">
      <c r="B11205" s="1342"/>
      <c r="C11205" s="1342"/>
      <c r="D11205" s="1342"/>
      <c r="E11205" s="1342"/>
      <c r="F11205" s="1342"/>
      <c r="G11205" s="1342"/>
      <c r="H11205" s="1342"/>
      <c r="I11205" s="1342"/>
      <c r="J11205" s="1342"/>
      <c r="K11205" s="1342"/>
    </row>
    <row r="11206" spans="2:11" ht="14" hidden="1">
      <c r="B11206" s="1342"/>
      <c r="C11206" s="1342"/>
      <c r="D11206" s="1342"/>
      <c r="E11206" s="1342"/>
      <c r="F11206" s="1342"/>
      <c r="G11206" s="1342"/>
      <c r="H11206" s="1342"/>
      <c r="I11206" s="1342"/>
      <c r="J11206" s="1342"/>
      <c r="K11206" s="1342"/>
    </row>
    <row r="11207" spans="2:11" ht="14" hidden="1">
      <c r="B11207" s="1342"/>
      <c r="C11207" s="1342"/>
      <c r="D11207" s="1342"/>
      <c r="E11207" s="1342"/>
      <c r="F11207" s="1342"/>
      <c r="G11207" s="1342"/>
      <c r="H11207" s="1342"/>
      <c r="I11207" s="1342"/>
      <c r="J11207" s="1342"/>
      <c r="K11207" s="1342"/>
    </row>
    <row r="11208" spans="2:11" ht="14" hidden="1">
      <c r="B11208" s="1342"/>
      <c r="C11208" s="1342"/>
      <c r="D11208" s="1342"/>
      <c r="E11208" s="1342"/>
      <c r="F11208" s="1342"/>
      <c r="G11208" s="1342"/>
      <c r="H11208" s="1342"/>
      <c r="I11208" s="1342"/>
      <c r="J11208" s="1342"/>
      <c r="K11208" s="1342"/>
    </row>
    <row r="11209" spans="2:11" ht="14" hidden="1">
      <c r="B11209" s="1342"/>
      <c r="C11209" s="1342"/>
      <c r="D11209" s="1342"/>
      <c r="E11209" s="1342"/>
      <c r="F11209" s="1342"/>
      <c r="G11209" s="1342"/>
      <c r="H11209" s="1342"/>
      <c r="I11209" s="1342"/>
      <c r="J11209" s="1342"/>
      <c r="K11209" s="1342"/>
    </row>
    <row r="11210" spans="2:11" ht="14" hidden="1">
      <c r="B11210" s="1342"/>
      <c r="C11210" s="1342"/>
      <c r="D11210" s="1342"/>
      <c r="E11210" s="1342"/>
      <c r="F11210" s="1342"/>
      <c r="G11210" s="1342"/>
      <c r="H11210" s="1342"/>
      <c r="I11210" s="1342"/>
      <c r="J11210" s="1342"/>
      <c r="K11210" s="1342"/>
    </row>
    <row r="11211" spans="2:11" ht="14" hidden="1">
      <c r="B11211" s="1342"/>
      <c r="C11211" s="1342"/>
      <c r="D11211" s="1342"/>
      <c r="E11211" s="1342"/>
      <c r="F11211" s="1342"/>
      <c r="G11211" s="1342"/>
      <c r="H11211" s="1342"/>
      <c r="I11211" s="1342"/>
      <c r="J11211" s="1342"/>
      <c r="K11211" s="1342"/>
    </row>
    <row r="11212" spans="2:11" ht="14" hidden="1">
      <c r="B11212" s="1342"/>
      <c r="C11212" s="1342"/>
      <c r="D11212" s="1342"/>
      <c r="E11212" s="1342"/>
      <c r="F11212" s="1342"/>
      <c r="G11212" s="1342"/>
      <c r="H11212" s="1342"/>
      <c r="I11212" s="1342"/>
      <c r="J11212" s="1342"/>
      <c r="K11212" s="1342"/>
    </row>
    <row r="11213" spans="2:11" ht="14" hidden="1">
      <c r="B11213" s="1342"/>
      <c r="C11213" s="1342"/>
      <c r="D11213" s="1342"/>
      <c r="E11213" s="1342"/>
      <c r="F11213" s="1342"/>
      <c r="G11213" s="1342"/>
      <c r="H11213" s="1342"/>
      <c r="I11213" s="1342"/>
      <c r="J11213" s="1342"/>
      <c r="K11213" s="1342"/>
    </row>
    <row r="11214" spans="2:11" ht="14" hidden="1">
      <c r="B11214" s="1342"/>
      <c r="C11214" s="1342"/>
      <c r="D11214" s="1342"/>
      <c r="E11214" s="1342"/>
      <c r="F11214" s="1342"/>
      <c r="G11214" s="1342"/>
      <c r="H11214" s="1342"/>
      <c r="I11214" s="1342"/>
      <c r="J11214" s="1342"/>
      <c r="K11214" s="1342"/>
    </row>
    <row r="11215" spans="2:11" ht="14" hidden="1">
      <c r="B11215" s="1342"/>
      <c r="C11215" s="1342"/>
      <c r="D11215" s="1342"/>
      <c r="E11215" s="1342"/>
      <c r="F11215" s="1342"/>
      <c r="G11215" s="1342"/>
      <c r="H11215" s="1342"/>
      <c r="I11215" s="1342"/>
      <c r="J11215" s="1342"/>
      <c r="K11215" s="1342"/>
    </row>
    <row r="11216" spans="2:11" ht="14" hidden="1">
      <c r="B11216" s="1342"/>
      <c r="C11216" s="1342"/>
      <c r="D11216" s="1342"/>
      <c r="E11216" s="1342"/>
      <c r="F11216" s="1342"/>
      <c r="G11216" s="1342"/>
      <c r="H11216" s="1342"/>
      <c r="I11216" s="1342"/>
      <c r="J11216" s="1342"/>
      <c r="K11216" s="1342"/>
    </row>
    <row r="11217" spans="2:11" ht="14" hidden="1">
      <c r="B11217" s="1342"/>
      <c r="C11217" s="1342"/>
      <c r="D11217" s="1342"/>
      <c r="E11217" s="1342"/>
      <c r="F11217" s="1342"/>
      <c r="G11217" s="1342"/>
      <c r="H11217" s="1342"/>
      <c r="I11217" s="1342"/>
      <c r="J11217" s="1342"/>
      <c r="K11217" s="1342"/>
    </row>
    <row r="11218" spans="2:11" ht="14" hidden="1">
      <c r="B11218" s="1342"/>
      <c r="C11218" s="1342"/>
      <c r="D11218" s="1342"/>
      <c r="E11218" s="1342"/>
      <c r="F11218" s="1342"/>
      <c r="G11218" s="1342"/>
      <c r="H11218" s="1342"/>
      <c r="I11218" s="1342"/>
      <c r="J11218" s="1342"/>
      <c r="K11218" s="1342"/>
    </row>
    <row r="11219" spans="2:11" ht="14" hidden="1">
      <c r="B11219" s="1342"/>
      <c r="C11219" s="1342"/>
      <c r="D11219" s="1342"/>
      <c r="E11219" s="1342"/>
      <c r="F11219" s="1342"/>
      <c r="G11219" s="1342"/>
      <c r="H11219" s="1342"/>
      <c r="I11219" s="1342"/>
      <c r="J11219" s="1342"/>
      <c r="K11219" s="1342"/>
    </row>
    <row r="11220" spans="2:11" ht="14" hidden="1">
      <c r="B11220" s="1342"/>
      <c r="C11220" s="1342"/>
      <c r="D11220" s="1342"/>
      <c r="E11220" s="1342"/>
      <c r="F11220" s="1342"/>
      <c r="G11220" s="1342"/>
      <c r="H11220" s="1342"/>
      <c r="I11220" s="1342"/>
      <c r="J11220" s="1342"/>
      <c r="K11220" s="1342"/>
    </row>
    <row r="11221" spans="2:11" ht="14" hidden="1">
      <c r="B11221" s="1342"/>
      <c r="C11221" s="1342"/>
      <c r="D11221" s="1342"/>
      <c r="E11221" s="1342"/>
      <c r="F11221" s="1342"/>
      <c r="G11221" s="1342"/>
      <c r="H11221" s="1342"/>
      <c r="I11221" s="1342"/>
      <c r="J11221" s="1342"/>
      <c r="K11221" s="1342"/>
    </row>
    <row r="11222" spans="2:11" ht="14" hidden="1">
      <c r="B11222" s="1342"/>
      <c r="C11222" s="1342"/>
      <c r="D11222" s="1342"/>
      <c r="E11222" s="1342"/>
      <c r="F11222" s="1342"/>
      <c r="G11222" s="1342"/>
      <c r="H11222" s="1342"/>
      <c r="I11222" s="1342"/>
      <c r="J11222" s="1342"/>
      <c r="K11222" s="1342"/>
    </row>
    <row r="11223" spans="2:11" ht="14" hidden="1">
      <c r="B11223" s="1342"/>
      <c r="C11223" s="1342"/>
      <c r="D11223" s="1342"/>
      <c r="E11223" s="1342"/>
      <c r="F11223" s="1342"/>
      <c r="G11223" s="1342"/>
      <c r="H11223" s="1342"/>
      <c r="I11223" s="1342"/>
      <c r="J11223" s="1342"/>
      <c r="K11223" s="1342"/>
    </row>
    <row r="11224" spans="2:11" ht="14" hidden="1">
      <c r="B11224" s="1342"/>
      <c r="C11224" s="1342"/>
      <c r="D11224" s="1342"/>
      <c r="E11224" s="1342"/>
      <c r="F11224" s="1342"/>
      <c r="G11224" s="1342"/>
      <c r="H11224" s="1342"/>
      <c r="I11224" s="1342"/>
      <c r="J11224" s="1342"/>
      <c r="K11224" s="1342"/>
    </row>
    <row r="11225" spans="2:11" ht="14" hidden="1">
      <c r="B11225" s="1342"/>
      <c r="C11225" s="1342"/>
      <c r="D11225" s="1342"/>
      <c r="E11225" s="1342"/>
      <c r="F11225" s="1342"/>
      <c r="G11225" s="1342"/>
      <c r="H11225" s="1342"/>
      <c r="I11225" s="1342"/>
      <c r="J11225" s="1342"/>
      <c r="K11225" s="1342"/>
    </row>
    <row r="11226" spans="2:11" ht="14" hidden="1">
      <c r="B11226" s="1342"/>
      <c r="C11226" s="1342"/>
      <c r="D11226" s="1342"/>
      <c r="E11226" s="1342"/>
      <c r="F11226" s="1342"/>
      <c r="G11226" s="1342"/>
      <c r="H11226" s="1342"/>
      <c r="I11226" s="1342"/>
      <c r="J11226" s="1342"/>
      <c r="K11226" s="1342"/>
    </row>
    <row r="11227" spans="2:11" ht="14" hidden="1">
      <c r="B11227" s="1342"/>
      <c r="C11227" s="1342"/>
      <c r="D11227" s="1342"/>
      <c r="E11227" s="1342"/>
      <c r="F11227" s="1342"/>
      <c r="G11227" s="1342"/>
      <c r="H11227" s="1342"/>
      <c r="I11227" s="1342"/>
      <c r="J11227" s="1342"/>
      <c r="K11227" s="1342"/>
    </row>
    <row r="11228" spans="2:11" ht="14" hidden="1">
      <c r="B11228" s="1342"/>
      <c r="C11228" s="1342"/>
      <c r="D11228" s="1342"/>
      <c r="E11228" s="1342"/>
      <c r="F11228" s="1342"/>
      <c r="G11228" s="1342"/>
      <c r="H11228" s="1342"/>
      <c r="I11228" s="1342"/>
      <c r="J11228" s="1342"/>
      <c r="K11228" s="1342"/>
    </row>
    <row r="11229" spans="2:11" ht="14" hidden="1">
      <c r="B11229" s="1342"/>
      <c r="C11229" s="1342"/>
      <c r="D11229" s="1342"/>
      <c r="E11229" s="1342"/>
      <c r="F11229" s="1342"/>
      <c r="G11229" s="1342"/>
      <c r="H11229" s="1342"/>
      <c r="I11229" s="1342"/>
      <c r="J11229" s="1342"/>
      <c r="K11229" s="1342"/>
    </row>
    <row r="11230" spans="2:11" ht="14" hidden="1">
      <c r="B11230" s="1342"/>
      <c r="C11230" s="1342"/>
      <c r="D11230" s="1342"/>
      <c r="E11230" s="1342"/>
      <c r="F11230" s="1342"/>
      <c r="G11230" s="1342"/>
      <c r="H11230" s="1342"/>
      <c r="I11230" s="1342"/>
      <c r="J11230" s="1342"/>
      <c r="K11230" s="1342"/>
    </row>
    <row r="11231" spans="2:11" ht="14" hidden="1">
      <c r="B11231" s="1342"/>
      <c r="C11231" s="1342"/>
      <c r="D11231" s="1342"/>
      <c r="E11231" s="1342"/>
      <c r="F11231" s="1342"/>
      <c r="G11231" s="1342"/>
      <c r="H11231" s="1342"/>
      <c r="I11231" s="1342"/>
      <c r="J11231" s="1342"/>
      <c r="K11231" s="1342"/>
    </row>
    <row r="11232" spans="2:11" ht="14" hidden="1">
      <c r="B11232" s="1342"/>
      <c r="C11232" s="1342"/>
      <c r="D11232" s="1342"/>
      <c r="E11232" s="1342"/>
      <c r="F11232" s="1342"/>
      <c r="G11232" s="1342"/>
      <c r="H11232" s="1342"/>
      <c r="I11232" s="1342"/>
      <c r="J11232" s="1342"/>
      <c r="K11232" s="1342"/>
    </row>
    <row r="11233" spans="2:11" ht="14" hidden="1">
      <c r="B11233" s="1342"/>
      <c r="C11233" s="1342"/>
      <c r="D11233" s="1342"/>
      <c r="E11233" s="1342"/>
      <c r="F11233" s="1342"/>
      <c r="G11233" s="1342"/>
      <c r="H11233" s="1342"/>
      <c r="I11233" s="1342"/>
      <c r="J11233" s="1342"/>
      <c r="K11233" s="1342"/>
    </row>
    <row r="11234" spans="2:11" ht="14" hidden="1">
      <c r="B11234" s="1342"/>
      <c r="C11234" s="1342"/>
      <c r="D11234" s="1342"/>
      <c r="E11234" s="1342"/>
      <c r="F11234" s="1342"/>
      <c r="G11234" s="1342"/>
      <c r="H11234" s="1342"/>
      <c r="I11234" s="1342"/>
      <c r="J11234" s="1342"/>
      <c r="K11234" s="1342"/>
    </row>
    <row r="11235" spans="2:11" ht="14" hidden="1">
      <c r="B11235" s="1342"/>
      <c r="C11235" s="1342"/>
      <c r="D11235" s="1342"/>
      <c r="E11235" s="1342"/>
      <c r="F11235" s="1342"/>
      <c r="G11235" s="1342"/>
      <c r="H11235" s="1342"/>
      <c r="I11235" s="1342"/>
      <c r="J11235" s="1342"/>
      <c r="K11235" s="1342"/>
    </row>
    <row r="11236" spans="2:11" ht="14" hidden="1">
      <c r="B11236" s="1342"/>
      <c r="C11236" s="1342"/>
      <c r="D11236" s="1342"/>
      <c r="E11236" s="1342"/>
      <c r="F11236" s="1342"/>
      <c r="G11236" s="1342"/>
      <c r="H11236" s="1342"/>
      <c r="I11236" s="1342"/>
      <c r="J11236" s="1342"/>
      <c r="K11236" s="1342"/>
    </row>
    <row r="11237" spans="2:11" ht="14" hidden="1">
      <c r="B11237" s="1342"/>
      <c r="C11237" s="1342"/>
      <c r="D11237" s="1342"/>
      <c r="E11237" s="1342"/>
      <c r="F11237" s="1342"/>
      <c r="G11237" s="1342"/>
      <c r="H11237" s="1342"/>
      <c r="I11237" s="1342"/>
      <c r="J11237" s="1342"/>
      <c r="K11237" s="1342"/>
    </row>
    <row r="11238" spans="2:11" ht="14" hidden="1">
      <c r="B11238" s="1342"/>
      <c r="C11238" s="1342"/>
      <c r="D11238" s="1342"/>
      <c r="E11238" s="1342"/>
      <c r="F11238" s="1342"/>
      <c r="G11238" s="1342"/>
      <c r="H11238" s="1342"/>
      <c r="I11238" s="1342"/>
      <c r="J11238" s="1342"/>
      <c r="K11238" s="1342"/>
    </row>
    <row r="11239" spans="2:11" ht="14" hidden="1">
      <c r="B11239" s="1342"/>
      <c r="C11239" s="1342"/>
      <c r="D11239" s="1342"/>
      <c r="E11239" s="1342"/>
      <c r="F11239" s="1342"/>
      <c r="G11239" s="1342"/>
      <c r="H11239" s="1342"/>
      <c r="I11239" s="1342"/>
      <c r="J11239" s="1342"/>
      <c r="K11239" s="1342"/>
    </row>
    <row r="11240" spans="2:11" ht="14" hidden="1">
      <c r="B11240" s="1342"/>
      <c r="C11240" s="1342"/>
      <c r="D11240" s="1342"/>
      <c r="E11240" s="1342"/>
      <c r="F11240" s="1342"/>
      <c r="G11240" s="1342"/>
      <c r="H11240" s="1342"/>
      <c r="I11240" s="1342"/>
      <c r="J11240" s="1342"/>
      <c r="K11240" s="1342"/>
    </row>
    <row r="11241" spans="2:11" ht="14" hidden="1">
      <c r="B11241" s="1342"/>
      <c r="C11241" s="1342"/>
      <c r="D11241" s="1342"/>
      <c r="E11241" s="1342"/>
      <c r="F11241" s="1342"/>
      <c r="G11241" s="1342"/>
      <c r="H11241" s="1342"/>
      <c r="I11241" s="1342"/>
      <c r="J11241" s="1342"/>
      <c r="K11241" s="1342"/>
    </row>
    <row r="11242" spans="2:11" ht="14" hidden="1">
      <c r="B11242" s="1342"/>
      <c r="C11242" s="1342"/>
      <c r="D11242" s="1342"/>
      <c r="E11242" s="1342"/>
      <c r="F11242" s="1342"/>
      <c r="G11242" s="1342"/>
      <c r="H11242" s="1342"/>
      <c r="I11242" s="1342"/>
      <c r="J11242" s="1342"/>
      <c r="K11242" s="1342"/>
    </row>
    <row r="11243" spans="2:11" ht="14" hidden="1">
      <c r="B11243" s="1342"/>
      <c r="C11243" s="1342"/>
      <c r="D11243" s="1342"/>
      <c r="E11243" s="1342"/>
      <c r="F11243" s="1342"/>
      <c r="G11243" s="1342"/>
      <c r="H11243" s="1342"/>
      <c r="I11243" s="1342"/>
      <c r="J11243" s="1342"/>
      <c r="K11243" s="1342"/>
    </row>
    <row r="11244" spans="2:11" ht="14" hidden="1">
      <c r="B11244" s="1342"/>
      <c r="C11244" s="1342"/>
      <c r="D11244" s="1342"/>
      <c r="E11244" s="1342"/>
      <c r="F11244" s="1342"/>
      <c r="G11244" s="1342"/>
      <c r="H11244" s="1342"/>
      <c r="I11244" s="1342"/>
      <c r="J11244" s="1342"/>
      <c r="K11244" s="1342"/>
    </row>
    <row r="11245" spans="2:11" ht="14" hidden="1">
      <c r="B11245" s="1342"/>
      <c r="C11245" s="1342"/>
      <c r="D11245" s="1342"/>
      <c r="E11245" s="1342"/>
      <c r="F11245" s="1342"/>
      <c r="G11245" s="1342"/>
      <c r="H11245" s="1342"/>
      <c r="I11245" s="1342"/>
      <c r="J11245" s="1342"/>
      <c r="K11245" s="1342"/>
    </row>
    <row r="11246" spans="2:11" ht="14" hidden="1">
      <c r="B11246" s="1342"/>
      <c r="C11246" s="1342"/>
      <c r="D11246" s="1342"/>
      <c r="E11246" s="1342"/>
      <c r="F11246" s="1342"/>
      <c r="G11246" s="1342"/>
      <c r="H11246" s="1342"/>
      <c r="I11246" s="1342"/>
      <c r="J11246" s="1342"/>
      <c r="K11246" s="1342"/>
    </row>
    <row r="11247" spans="2:11" ht="14" hidden="1">
      <c r="B11247" s="1342"/>
      <c r="C11247" s="1342"/>
      <c r="D11247" s="1342"/>
      <c r="E11247" s="1342"/>
      <c r="F11247" s="1342"/>
      <c r="G11247" s="1342"/>
      <c r="H11247" s="1342"/>
      <c r="I11247" s="1342"/>
      <c r="J11247" s="1342"/>
      <c r="K11247" s="1342"/>
    </row>
    <row r="11248" spans="2:11" ht="14" hidden="1">
      <c r="B11248" s="1342"/>
      <c r="C11248" s="1342"/>
      <c r="D11248" s="1342"/>
      <c r="E11248" s="1342"/>
      <c r="F11248" s="1342"/>
      <c r="G11248" s="1342"/>
      <c r="H11248" s="1342"/>
      <c r="I11248" s="1342"/>
      <c r="J11248" s="1342"/>
      <c r="K11248" s="1342"/>
    </row>
    <row r="11249" spans="2:11" ht="14" hidden="1">
      <c r="B11249" s="1342"/>
      <c r="C11249" s="1342"/>
      <c r="D11249" s="1342"/>
      <c r="E11249" s="1342"/>
      <c r="F11249" s="1342"/>
      <c r="G11249" s="1342"/>
      <c r="H11249" s="1342"/>
      <c r="I11249" s="1342"/>
      <c r="J11249" s="1342"/>
      <c r="K11249" s="1342"/>
    </row>
    <row r="11250" spans="2:11" ht="14" hidden="1">
      <c r="B11250" s="1342"/>
      <c r="C11250" s="1342"/>
      <c r="D11250" s="1342"/>
      <c r="E11250" s="1342"/>
      <c r="F11250" s="1342"/>
      <c r="G11250" s="1342"/>
      <c r="H11250" s="1342"/>
      <c r="I11250" s="1342"/>
      <c r="J11250" s="1342"/>
      <c r="K11250" s="1342"/>
    </row>
    <row r="11251" spans="2:11" ht="14" hidden="1">
      <c r="B11251" s="1342"/>
      <c r="C11251" s="1342"/>
      <c r="D11251" s="1342"/>
      <c r="E11251" s="1342"/>
      <c r="F11251" s="1342"/>
      <c r="G11251" s="1342"/>
      <c r="H11251" s="1342"/>
      <c r="I11251" s="1342"/>
      <c r="J11251" s="1342"/>
      <c r="K11251" s="1342"/>
    </row>
    <row r="11252" spans="2:11" ht="14" hidden="1">
      <c r="B11252" s="1342"/>
      <c r="C11252" s="1342"/>
      <c r="D11252" s="1342"/>
      <c r="E11252" s="1342"/>
      <c r="F11252" s="1342"/>
      <c r="G11252" s="1342"/>
      <c r="H11252" s="1342"/>
      <c r="I11252" s="1342"/>
      <c r="J11252" s="1342"/>
      <c r="K11252" s="1342"/>
    </row>
    <row r="11253" spans="2:11" ht="14" hidden="1">
      <c r="B11253" s="1342"/>
      <c r="C11253" s="1342"/>
      <c r="D11253" s="1342"/>
      <c r="E11253" s="1342"/>
      <c r="F11253" s="1342"/>
      <c r="G11253" s="1342"/>
      <c r="H11253" s="1342"/>
      <c r="I11253" s="1342"/>
      <c r="J11253" s="1342"/>
      <c r="K11253" s="1342"/>
    </row>
    <row r="11254" spans="2:11" ht="14" hidden="1">
      <c r="B11254" s="1342"/>
      <c r="C11254" s="1342"/>
      <c r="D11254" s="1342"/>
      <c r="E11254" s="1342"/>
      <c r="F11254" s="1342"/>
      <c r="G11254" s="1342"/>
      <c r="H11254" s="1342"/>
      <c r="I11254" s="1342"/>
      <c r="J11254" s="1342"/>
      <c r="K11254" s="1342"/>
    </row>
    <row r="11255" spans="2:11" ht="14" hidden="1">
      <c r="B11255" s="1342"/>
      <c r="C11255" s="1342"/>
      <c r="D11255" s="1342"/>
      <c r="E11255" s="1342"/>
      <c r="F11255" s="1342"/>
      <c r="G11255" s="1342"/>
      <c r="H11255" s="1342"/>
      <c r="I11255" s="1342"/>
      <c r="J11255" s="1342"/>
      <c r="K11255" s="1342"/>
    </row>
    <row r="11256" spans="2:11" ht="14" hidden="1">
      <c r="B11256" s="1342"/>
      <c r="C11256" s="1342"/>
      <c r="D11256" s="1342"/>
      <c r="E11256" s="1342"/>
      <c r="F11256" s="1342"/>
      <c r="G11256" s="1342"/>
      <c r="H11256" s="1342"/>
      <c r="I11256" s="1342"/>
      <c r="J11256" s="1342"/>
      <c r="K11256" s="1342"/>
    </row>
    <row r="11257" spans="2:11" ht="14" hidden="1">
      <c r="B11257" s="1342"/>
      <c r="C11257" s="1342"/>
      <c r="D11257" s="1342"/>
      <c r="E11257" s="1342"/>
      <c r="F11257" s="1342"/>
      <c r="G11257" s="1342"/>
      <c r="H11257" s="1342"/>
      <c r="I11257" s="1342"/>
      <c r="J11257" s="1342"/>
      <c r="K11257" s="1342"/>
    </row>
    <row r="11258" spans="2:11" ht="14" hidden="1">
      <c r="B11258" s="1342"/>
      <c r="C11258" s="1342"/>
      <c r="D11258" s="1342"/>
      <c r="E11258" s="1342"/>
      <c r="F11258" s="1342"/>
      <c r="G11258" s="1342"/>
      <c r="H11258" s="1342"/>
      <c r="I11258" s="1342"/>
      <c r="J11258" s="1342"/>
      <c r="K11258" s="1342"/>
    </row>
    <row r="11259" spans="2:11" ht="14" hidden="1">
      <c r="B11259" s="1342"/>
      <c r="C11259" s="1342"/>
      <c r="D11259" s="1342"/>
      <c r="E11259" s="1342"/>
      <c r="F11259" s="1342"/>
      <c r="G11259" s="1342"/>
      <c r="H11259" s="1342"/>
      <c r="I11259" s="1342"/>
      <c r="J11259" s="1342"/>
      <c r="K11259" s="1342"/>
    </row>
    <row r="11260" spans="2:11" ht="14" hidden="1">
      <c r="B11260" s="1342"/>
      <c r="C11260" s="1342"/>
      <c r="D11260" s="1342"/>
      <c r="E11260" s="1342"/>
      <c r="F11260" s="1342"/>
      <c r="G11260" s="1342"/>
      <c r="H11260" s="1342"/>
      <c r="I11260" s="1342"/>
      <c r="J11260" s="1342"/>
      <c r="K11260" s="1342"/>
    </row>
    <row r="11261" spans="2:11" ht="14" hidden="1">
      <c r="B11261" s="1342"/>
      <c r="C11261" s="1342"/>
      <c r="D11261" s="1342"/>
      <c r="E11261" s="1342"/>
      <c r="F11261" s="1342"/>
      <c r="G11261" s="1342"/>
      <c r="H11261" s="1342"/>
      <c r="I11261" s="1342"/>
      <c r="J11261" s="1342"/>
      <c r="K11261" s="1342"/>
    </row>
    <row r="11262" spans="2:11" ht="14" hidden="1">
      <c r="B11262" s="1342"/>
      <c r="C11262" s="1342"/>
      <c r="D11262" s="1342"/>
      <c r="E11262" s="1342"/>
      <c r="F11262" s="1342"/>
      <c r="G11262" s="1342"/>
      <c r="H11262" s="1342"/>
      <c r="I11262" s="1342"/>
      <c r="J11262" s="1342"/>
      <c r="K11262" s="1342"/>
    </row>
    <row r="11263" spans="2:11" ht="14" hidden="1">
      <c r="B11263" s="1342"/>
      <c r="C11263" s="1342"/>
      <c r="D11263" s="1342"/>
      <c r="E11263" s="1342"/>
      <c r="F11263" s="1342"/>
      <c r="G11263" s="1342"/>
      <c r="H11263" s="1342"/>
      <c r="I11263" s="1342"/>
      <c r="J11263" s="1342"/>
      <c r="K11263" s="1342"/>
    </row>
    <row r="11264" spans="2:11" ht="14" hidden="1">
      <c r="B11264" s="1342"/>
      <c r="C11264" s="1342"/>
      <c r="D11264" s="1342"/>
      <c r="E11264" s="1342"/>
      <c r="F11264" s="1342"/>
      <c r="G11264" s="1342"/>
      <c r="H11264" s="1342"/>
      <c r="I11264" s="1342"/>
      <c r="J11264" s="1342"/>
      <c r="K11264" s="1342"/>
    </row>
    <row r="11265" spans="2:11" ht="14" hidden="1">
      <c r="B11265" s="1342"/>
      <c r="C11265" s="1342"/>
      <c r="D11265" s="1342"/>
      <c r="E11265" s="1342"/>
      <c r="F11265" s="1342"/>
      <c r="G11265" s="1342"/>
      <c r="H11265" s="1342"/>
      <c r="I11265" s="1342"/>
      <c r="J11265" s="1342"/>
      <c r="K11265" s="1342"/>
    </row>
    <row r="11266" spans="2:11" ht="14" hidden="1">
      <c r="B11266" s="1342"/>
      <c r="C11266" s="1342"/>
      <c r="D11266" s="1342"/>
      <c r="E11266" s="1342"/>
      <c r="F11266" s="1342"/>
      <c r="G11266" s="1342"/>
      <c r="H11266" s="1342"/>
      <c r="I11266" s="1342"/>
      <c r="J11266" s="1342"/>
      <c r="K11266" s="1342"/>
    </row>
    <row r="11267" spans="2:11" ht="14" hidden="1">
      <c r="B11267" s="1342"/>
      <c r="C11267" s="1342"/>
      <c r="D11267" s="1342"/>
      <c r="E11267" s="1342"/>
      <c r="F11267" s="1342"/>
      <c r="G11267" s="1342"/>
      <c r="H11267" s="1342"/>
      <c r="I11267" s="1342"/>
      <c r="J11267" s="1342"/>
      <c r="K11267" s="1342"/>
    </row>
    <row r="11268" spans="2:11" ht="14" hidden="1">
      <c r="B11268" s="1342"/>
      <c r="C11268" s="1342"/>
      <c r="D11268" s="1342"/>
      <c r="E11268" s="1342"/>
      <c r="F11268" s="1342"/>
      <c r="G11268" s="1342"/>
      <c r="H11268" s="1342"/>
      <c r="I11268" s="1342"/>
      <c r="J11268" s="1342"/>
      <c r="K11268" s="1342"/>
    </row>
    <row r="11269" spans="2:11" ht="14" hidden="1">
      <c r="B11269" s="1342"/>
      <c r="C11269" s="1342"/>
      <c r="D11269" s="1342"/>
      <c r="E11269" s="1342"/>
      <c r="F11269" s="1342"/>
      <c r="G11269" s="1342"/>
      <c r="H11269" s="1342"/>
      <c r="I11269" s="1342"/>
      <c r="J11269" s="1342"/>
      <c r="K11269" s="1342"/>
    </row>
    <row r="11270" spans="2:11" ht="14" hidden="1">
      <c r="B11270" s="1342"/>
      <c r="C11270" s="1342"/>
      <c r="D11270" s="1342"/>
      <c r="E11270" s="1342"/>
      <c r="F11270" s="1342"/>
      <c r="G11270" s="1342"/>
      <c r="H11270" s="1342"/>
      <c r="I11270" s="1342"/>
      <c r="J11270" s="1342"/>
      <c r="K11270" s="1342"/>
    </row>
    <row r="11271" spans="2:11" ht="14" hidden="1">
      <c r="B11271" s="1342"/>
      <c r="C11271" s="1342"/>
      <c r="D11271" s="1342"/>
      <c r="E11271" s="1342"/>
      <c r="F11271" s="1342"/>
      <c r="G11271" s="1342"/>
      <c r="H11271" s="1342"/>
      <c r="I11271" s="1342"/>
      <c r="J11271" s="1342"/>
      <c r="K11271" s="1342"/>
    </row>
    <row r="11272" spans="2:11" ht="14" hidden="1">
      <c r="B11272" s="1342"/>
      <c r="C11272" s="1342"/>
      <c r="D11272" s="1342"/>
      <c r="E11272" s="1342"/>
      <c r="F11272" s="1342"/>
      <c r="G11272" s="1342"/>
      <c r="H11272" s="1342"/>
      <c r="I11272" s="1342"/>
      <c r="J11272" s="1342"/>
      <c r="K11272" s="1342"/>
    </row>
    <row r="11273" spans="2:11" ht="14" hidden="1">
      <c r="B11273" s="1342"/>
      <c r="C11273" s="1342"/>
      <c r="D11273" s="1342"/>
      <c r="E11273" s="1342"/>
      <c r="F11273" s="1342"/>
      <c r="G11273" s="1342"/>
      <c r="H11273" s="1342"/>
      <c r="I11273" s="1342"/>
      <c r="J11273" s="1342"/>
      <c r="K11273" s="1342"/>
    </row>
    <row r="11274" spans="2:11" ht="14" hidden="1">
      <c r="B11274" s="1342"/>
      <c r="C11274" s="1342"/>
      <c r="D11274" s="1342"/>
      <c r="E11274" s="1342"/>
      <c r="F11274" s="1342"/>
      <c r="G11274" s="1342"/>
      <c r="H11274" s="1342"/>
      <c r="I11274" s="1342"/>
      <c r="J11274" s="1342"/>
      <c r="K11274" s="1342"/>
    </row>
    <row r="11275" spans="2:11" ht="14" hidden="1">
      <c r="B11275" s="1342"/>
      <c r="C11275" s="1342"/>
      <c r="D11275" s="1342"/>
      <c r="E11275" s="1342"/>
      <c r="F11275" s="1342"/>
      <c r="G11275" s="1342"/>
      <c r="H11275" s="1342"/>
      <c r="I11275" s="1342"/>
      <c r="J11275" s="1342"/>
      <c r="K11275" s="1342"/>
    </row>
    <row r="11276" spans="2:11" ht="14" hidden="1">
      <c r="B11276" s="1342"/>
      <c r="C11276" s="1342"/>
      <c r="D11276" s="1342"/>
      <c r="E11276" s="1342"/>
      <c r="F11276" s="1342"/>
      <c r="G11276" s="1342"/>
      <c r="H11276" s="1342"/>
      <c r="I11276" s="1342"/>
      <c r="J11276" s="1342"/>
      <c r="K11276" s="1342"/>
    </row>
    <row r="11277" spans="2:11" ht="14" hidden="1">
      <c r="B11277" s="1342"/>
      <c r="C11277" s="1342"/>
      <c r="D11277" s="1342"/>
      <c r="E11277" s="1342"/>
      <c r="F11277" s="1342"/>
      <c r="G11277" s="1342"/>
      <c r="H11277" s="1342"/>
      <c r="I11277" s="1342"/>
      <c r="J11277" s="1342"/>
      <c r="K11277" s="1342"/>
    </row>
    <row r="11278" spans="2:11" ht="14" hidden="1">
      <c r="B11278" s="1342"/>
      <c r="C11278" s="1342"/>
      <c r="D11278" s="1342"/>
      <c r="E11278" s="1342"/>
      <c r="F11278" s="1342"/>
      <c r="G11278" s="1342"/>
      <c r="H11278" s="1342"/>
      <c r="I11278" s="1342"/>
      <c r="J11278" s="1342"/>
      <c r="K11278" s="1342"/>
    </row>
    <row r="11279" spans="2:11" ht="14" hidden="1">
      <c r="B11279" s="1342"/>
      <c r="C11279" s="1342"/>
      <c r="D11279" s="1342"/>
      <c r="E11279" s="1342"/>
      <c r="F11279" s="1342"/>
      <c r="G11279" s="1342"/>
      <c r="H11279" s="1342"/>
      <c r="I11279" s="1342"/>
      <c r="J11279" s="1342"/>
      <c r="K11279" s="1342"/>
    </row>
    <row r="11280" spans="2:11" ht="14" hidden="1">
      <c r="B11280" s="1342"/>
      <c r="C11280" s="1342"/>
      <c r="D11280" s="1342"/>
      <c r="E11280" s="1342"/>
      <c r="F11280" s="1342"/>
      <c r="G11280" s="1342"/>
      <c r="H11280" s="1342"/>
      <c r="I11280" s="1342"/>
      <c r="J11280" s="1342"/>
      <c r="K11280" s="1342"/>
    </row>
    <row r="11281" spans="2:11" ht="14" hidden="1">
      <c r="B11281" s="1342"/>
      <c r="C11281" s="1342"/>
      <c r="D11281" s="1342"/>
      <c r="E11281" s="1342"/>
      <c r="F11281" s="1342"/>
      <c r="G11281" s="1342"/>
      <c r="H11281" s="1342"/>
      <c r="I11281" s="1342"/>
      <c r="J11281" s="1342"/>
      <c r="K11281" s="1342"/>
    </row>
    <row r="11282" spans="2:11" ht="14" hidden="1">
      <c r="B11282" s="1342"/>
      <c r="C11282" s="1342"/>
      <c r="D11282" s="1342"/>
      <c r="E11282" s="1342"/>
      <c r="F11282" s="1342"/>
      <c r="G11282" s="1342"/>
      <c r="H11282" s="1342"/>
      <c r="I11282" s="1342"/>
      <c r="J11282" s="1342"/>
      <c r="K11282" s="1342"/>
    </row>
    <row r="11283" spans="2:11" ht="14" hidden="1">
      <c r="B11283" s="1342"/>
      <c r="C11283" s="1342"/>
      <c r="D11283" s="1342"/>
      <c r="E11283" s="1342"/>
      <c r="F11283" s="1342"/>
      <c r="G11283" s="1342"/>
      <c r="H11283" s="1342"/>
      <c r="I11283" s="1342"/>
      <c r="J11283" s="1342"/>
      <c r="K11283" s="1342"/>
    </row>
    <row r="11284" spans="2:11" ht="14" hidden="1">
      <c r="B11284" s="1342"/>
      <c r="C11284" s="1342"/>
      <c r="D11284" s="1342"/>
      <c r="E11284" s="1342"/>
      <c r="F11284" s="1342"/>
      <c r="G11284" s="1342"/>
      <c r="H11284" s="1342"/>
      <c r="I11284" s="1342"/>
      <c r="J11284" s="1342"/>
      <c r="K11284" s="1342"/>
    </row>
    <row r="11285" spans="2:11" ht="14" hidden="1">
      <c r="B11285" s="1342"/>
      <c r="C11285" s="1342"/>
      <c r="D11285" s="1342"/>
      <c r="E11285" s="1342"/>
      <c r="F11285" s="1342"/>
      <c r="G11285" s="1342"/>
      <c r="H11285" s="1342"/>
      <c r="I11285" s="1342"/>
      <c r="J11285" s="1342"/>
      <c r="K11285" s="1342"/>
    </row>
    <row r="11286" spans="2:11" ht="14" hidden="1">
      <c r="B11286" s="1342"/>
      <c r="C11286" s="1342"/>
      <c r="D11286" s="1342"/>
      <c r="E11286" s="1342"/>
      <c r="F11286" s="1342"/>
      <c r="G11286" s="1342"/>
      <c r="H11286" s="1342"/>
      <c r="I11286" s="1342"/>
      <c r="J11286" s="1342"/>
      <c r="K11286" s="1342"/>
    </row>
    <row r="11287" spans="2:11" ht="14" hidden="1">
      <c r="B11287" s="1342"/>
      <c r="C11287" s="1342"/>
      <c r="D11287" s="1342"/>
      <c r="E11287" s="1342"/>
      <c r="F11287" s="1342"/>
      <c r="G11287" s="1342"/>
      <c r="H11287" s="1342"/>
      <c r="I11287" s="1342"/>
      <c r="J11287" s="1342"/>
      <c r="K11287" s="1342"/>
    </row>
    <row r="11288" spans="2:11" ht="14" hidden="1">
      <c r="B11288" s="1342"/>
      <c r="C11288" s="1342"/>
      <c r="D11288" s="1342"/>
      <c r="E11288" s="1342"/>
      <c r="F11288" s="1342"/>
      <c r="G11288" s="1342"/>
      <c r="H11288" s="1342"/>
      <c r="I11288" s="1342"/>
      <c r="J11288" s="1342"/>
      <c r="K11288" s="1342"/>
    </row>
    <row r="11289" spans="2:11" ht="14" hidden="1">
      <c r="B11289" s="1342"/>
      <c r="C11289" s="1342"/>
      <c r="D11289" s="1342"/>
      <c r="E11289" s="1342"/>
      <c r="F11289" s="1342"/>
      <c r="G11289" s="1342"/>
      <c r="H11289" s="1342"/>
      <c r="I11289" s="1342"/>
      <c r="J11289" s="1342"/>
      <c r="K11289" s="1342"/>
    </row>
    <row r="11290" spans="2:11" ht="14" hidden="1">
      <c r="B11290" s="1342"/>
      <c r="C11290" s="1342"/>
      <c r="D11290" s="1342"/>
      <c r="E11290" s="1342"/>
      <c r="F11290" s="1342"/>
      <c r="G11290" s="1342"/>
      <c r="H11290" s="1342"/>
      <c r="I11290" s="1342"/>
      <c r="J11290" s="1342"/>
      <c r="K11290" s="1342"/>
    </row>
    <row r="11291" spans="2:11" ht="14" hidden="1">
      <c r="B11291" s="1342"/>
      <c r="C11291" s="1342"/>
      <c r="D11291" s="1342"/>
      <c r="E11291" s="1342"/>
      <c r="F11291" s="1342"/>
      <c r="G11291" s="1342"/>
      <c r="H11291" s="1342"/>
      <c r="I11291" s="1342"/>
      <c r="J11291" s="1342"/>
      <c r="K11291" s="1342"/>
    </row>
    <row r="11292" spans="2:11" ht="14" hidden="1">
      <c r="B11292" s="1342"/>
      <c r="C11292" s="1342"/>
      <c r="D11292" s="1342"/>
      <c r="E11292" s="1342"/>
      <c r="F11292" s="1342"/>
      <c r="G11292" s="1342"/>
      <c r="H11292" s="1342"/>
      <c r="I11292" s="1342"/>
      <c r="J11292" s="1342"/>
      <c r="K11292" s="1342"/>
    </row>
    <row r="11293" spans="2:11" ht="14" hidden="1">
      <c r="B11293" s="1342"/>
      <c r="C11293" s="1342"/>
      <c r="D11293" s="1342"/>
      <c r="E11293" s="1342"/>
      <c r="F11293" s="1342"/>
      <c r="G11293" s="1342"/>
      <c r="H11293" s="1342"/>
      <c r="I11293" s="1342"/>
      <c r="J11293" s="1342"/>
      <c r="K11293" s="1342"/>
    </row>
    <row r="11294" spans="2:11" ht="14" hidden="1">
      <c r="B11294" s="1342"/>
      <c r="C11294" s="1342"/>
      <c r="D11294" s="1342"/>
      <c r="E11294" s="1342"/>
      <c r="F11294" s="1342"/>
      <c r="G11294" s="1342"/>
      <c r="H11294" s="1342"/>
      <c r="I11294" s="1342"/>
      <c r="J11294" s="1342"/>
      <c r="K11294" s="1342"/>
    </row>
    <row r="11295" spans="2:11" ht="14" hidden="1">
      <c r="B11295" s="1342"/>
      <c r="C11295" s="1342"/>
      <c r="D11295" s="1342"/>
      <c r="E11295" s="1342"/>
      <c r="F11295" s="1342"/>
      <c r="G11295" s="1342"/>
      <c r="H11295" s="1342"/>
      <c r="I11295" s="1342"/>
      <c r="J11295" s="1342"/>
      <c r="K11295" s="1342"/>
    </row>
    <row r="11296" spans="2:11" ht="14" hidden="1">
      <c r="B11296" s="1342"/>
      <c r="C11296" s="1342"/>
      <c r="D11296" s="1342"/>
      <c r="E11296" s="1342"/>
      <c r="F11296" s="1342"/>
      <c r="G11296" s="1342"/>
      <c r="H11296" s="1342"/>
      <c r="I11296" s="1342"/>
      <c r="J11296" s="1342"/>
      <c r="K11296" s="1342"/>
    </row>
    <row r="11297" spans="2:11" ht="14" hidden="1">
      <c r="B11297" s="1342"/>
      <c r="C11297" s="1342"/>
      <c r="D11297" s="1342"/>
      <c r="E11297" s="1342"/>
      <c r="F11297" s="1342"/>
      <c r="G11297" s="1342"/>
      <c r="H11297" s="1342"/>
      <c r="I11297" s="1342"/>
      <c r="J11297" s="1342"/>
      <c r="K11297" s="1342"/>
    </row>
    <row r="11298" spans="2:11" ht="14" hidden="1">
      <c r="B11298" s="1342"/>
      <c r="C11298" s="1342"/>
      <c r="D11298" s="1342"/>
      <c r="E11298" s="1342"/>
      <c r="F11298" s="1342"/>
      <c r="G11298" s="1342"/>
      <c r="H11298" s="1342"/>
      <c r="I11298" s="1342"/>
      <c r="J11298" s="1342"/>
      <c r="K11298" s="1342"/>
    </row>
    <row r="11299" spans="2:11" ht="14" hidden="1">
      <c r="B11299" s="1342"/>
      <c r="C11299" s="1342"/>
      <c r="D11299" s="1342"/>
      <c r="E11299" s="1342"/>
      <c r="F11299" s="1342"/>
      <c r="G11299" s="1342"/>
      <c r="H11299" s="1342"/>
      <c r="I11299" s="1342"/>
      <c r="J11299" s="1342"/>
      <c r="K11299" s="1342"/>
    </row>
    <row r="11300" spans="2:11" ht="14" hidden="1">
      <c r="B11300" s="1342"/>
      <c r="C11300" s="1342"/>
      <c r="D11300" s="1342"/>
      <c r="E11300" s="1342"/>
      <c r="F11300" s="1342"/>
      <c r="G11300" s="1342"/>
      <c r="H11300" s="1342"/>
      <c r="I11300" s="1342"/>
      <c r="J11300" s="1342"/>
      <c r="K11300" s="1342"/>
    </row>
    <row r="11301" spans="2:11" ht="14" hidden="1">
      <c r="B11301" s="1342"/>
      <c r="C11301" s="1342"/>
      <c r="D11301" s="1342"/>
      <c r="E11301" s="1342"/>
      <c r="F11301" s="1342"/>
      <c r="G11301" s="1342"/>
      <c r="H11301" s="1342"/>
      <c r="I11301" s="1342"/>
      <c r="J11301" s="1342"/>
      <c r="K11301" s="1342"/>
    </row>
    <row r="11302" spans="2:11" ht="14" hidden="1">
      <c r="B11302" s="1342"/>
      <c r="C11302" s="1342"/>
      <c r="D11302" s="1342"/>
      <c r="E11302" s="1342"/>
      <c r="F11302" s="1342"/>
      <c r="G11302" s="1342"/>
      <c r="H11302" s="1342"/>
      <c r="I11302" s="1342"/>
      <c r="J11302" s="1342"/>
      <c r="K11302" s="1342"/>
    </row>
    <row r="11303" spans="2:11" ht="14" hidden="1">
      <c r="B11303" s="1342"/>
      <c r="C11303" s="1342"/>
      <c r="D11303" s="1342"/>
      <c r="E11303" s="1342"/>
      <c r="F11303" s="1342"/>
      <c r="G11303" s="1342"/>
      <c r="H11303" s="1342"/>
      <c r="I11303" s="1342"/>
      <c r="J11303" s="1342"/>
      <c r="K11303" s="1342"/>
    </row>
    <row r="11304" spans="2:11" ht="14" hidden="1">
      <c r="B11304" s="1342"/>
      <c r="C11304" s="1342"/>
      <c r="D11304" s="1342"/>
      <c r="E11304" s="1342"/>
      <c r="F11304" s="1342"/>
      <c r="G11304" s="1342"/>
      <c r="H11304" s="1342"/>
      <c r="I11304" s="1342"/>
      <c r="J11304" s="1342"/>
      <c r="K11304" s="1342"/>
    </row>
    <row r="11305" spans="2:11" ht="14" hidden="1">
      <c r="B11305" s="1342"/>
      <c r="C11305" s="1342"/>
      <c r="D11305" s="1342"/>
      <c r="E11305" s="1342"/>
      <c r="F11305" s="1342"/>
      <c r="G11305" s="1342"/>
      <c r="H11305" s="1342"/>
      <c r="I11305" s="1342"/>
      <c r="J11305" s="1342"/>
      <c r="K11305" s="1342"/>
    </row>
    <row r="11306" spans="2:11" ht="14" hidden="1">
      <c r="B11306" s="1342"/>
      <c r="C11306" s="1342"/>
      <c r="D11306" s="1342"/>
      <c r="E11306" s="1342"/>
      <c r="F11306" s="1342"/>
      <c r="G11306" s="1342"/>
      <c r="H11306" s="1342"/>
      <c r="I11306" s="1342"/>
      <c r="J11306" s="1342"/>
      <c r="K11306" s="1342"/>
    </row>
    <row r="11307" spans="2:11" ht="14" hidden="1">
      <c r="B11307" s="1342"/>
      <c r="C11307" s="1342"/>
      <c r="D11307" s="1342"/>
      <c r="E11307" s="1342"/>
      <c r="F11307" s="1342"/>
      <c r="G11307" s="1342"/>
      <c r="H11307" s="1342"/>
      <c r="I11307" s="1342"/>
      <c r="J11307" s="1342"/>
      <c r="K11307" s="1342"/>
    </row>
    <row r="11308" spans="2:11" ht="14" hidden="1">
      <c r="B11308" s="1342"/>
      <c r="C11308" s="1342"/>
      <c r="D11308" s="1342"/>
      <c r="E11308" s="1342"/>
      <c r="F11308" s="1342"/>
      <c r="G11308" s="1342"/>
      <c r="H11308" s="1342"/>
      <c r="I11308" s="1342"/>
      <c r="J11308" s="1342"/>
      <c r="K11308" s="1342"/>
    </row>
    <row r="11309" spans="2:11" ht="14" hidden="1">
      <c r="B11309" s="1342"/>
      <c r="C11309" s="1342"/>
      <c r="D11309" s="1342"/>
      <c r="E11309" s="1342"/>
      <c r="F11309" s="1342"/>
      <c r="G11309" s="1342"/>
      <c r="H11309" s="1342"/>
      <c r="I11309" s="1342"/>
      <c r="J11309" s="1342"/>
      <c r="K11309" s="1342"/>
    </row>
    <row r="11310" spans="2:11" ht="14" hidden="1">
      <c r="B11310" s="1342"/>
      <c r="C11310" s="1342"/>
      <c r="D11310" s="1342"/>
      <c r="E11310" s="1342"/>
      <c r="F11310" s="1342"/>
      <c r="G11310" s="1342"/>
      <c r="H11310" s="1342"/>
      <c r="I11310" s="1342"/>
      <c r="J11310" s="1342"/>
      <c r="K11310" s="1342"/>
    </row>
    <row r="11311" spans="2:11" ht="14" hidden="1">
      <c r="B11311" s="1342"/>
      <c r="C11311" s="1342"/>
      <c r="D11311" s="1342"/>
      <c r="E11311" s="1342"/>
      <c r="F11311" s="1342"/>
      <c r="G11311" s="1342"/>
      <c r="H11311" s="1342"/>
      <c r="I11311" s="1342"/>
      <c r="J11311" s="1342"/>
      <c r="K11311" s="1342"/>
    </row>
    <row r="11312" spans="2:11" ht="14" hidden="1">
      <c r="B11312" s="1342"/>
      <c r="C11312" s="1342"/>
      <c r="D11312" s="1342"/>
      <c r="E11312" s="1342"/>
      <c r="F11312" s="1342"/>
      <c r="G11312" s="1342"/>
      <c r="H11312" s="1342"/>
      <c r="I11312" s="1342"/>
      <c r="J11312" s="1342"/>
      <c r="K11312" s="1342"/>
    </row>
    <row r="11313" spans="2:11" ht="14" hidden="1">
      <c r="B11313" s="1342"/>
      <c r="C11313" s="1342"/>
      <c r="D11313" s="1342"/>
      <c r="E11313" s="1342"/>
      <c r="F11313" s="1342"/>
      <c r="G11313" s="1342"/>
      <c r="H11313" s="1342"/>
      <c r="I11313" s="1342"/>
      <c r="J11313" s="1342"/>
      <c r="K11313" s="1342"/>
    </row>
    <row r="11314" spans="2:11" ht="14" hidden="1">
      <c r="B11314" s="1342"/>
      <c r="C11314" s="1342"/>
      <c r="D11314" s="1342"/>
      <c r="E11314" s="1342"/>
      <c r="F11314" s="1342"/>
      <c r="G11314" s="1342"/>
      <c r="H11314" s="1342"/>
      <c r="I11314" s="1342"/>
      <c r="J11314" s="1342"/>
      <c r="K11314" s="1342"/>
    </row>
    <row r="11315" spans="2:11" ht="14" hidden="1">
      <c r="B11315" s="1342"/>
      <c r="C11315" s="1342"/>
      <c r="D11315" s="1342"/>
      <c r="E11315" s="1342"/>
      <c r="F11315" s="1342"/>
      <c r="G11315" s="1342"/>
      <c r="H11315" s="1342"/>
      <c r="I11315" s="1342"/>
      <c r="J11315" s="1342"/>
      <c r="K11315" s="1342"/>
    </row>
    <row r="11316" spans="2:11" ht="14" hidden="1">
      <c r="B11316" s="1342"/>
      <c r="C11316" s="1342"/>
      <c r="D11316" s="1342"/>
      <c r="E11316" s="1342"/>
      <c r="F11316" s="1342"/>
      <c r="G11316" s="1342"/>
      <c r="H11316" s="1342"/>
      <c r="I11316" s="1342"/>
      <c r="J11316" s="1342"/>
      <c r="K11316" s="1342"/>
    </row>
    <row r="11317" spans="2:11" ht="14" hidden="1">
      <c r="B11317" s="1342"/>
      <c r="C11317" s="1342"/>
      <c r="D11317" s="1342"/>
      <c r="E11317" s="1342"/>
      <c r="F11317" s="1342"/>
      <c r="G11317" s="1342"/>
      <c r="H11317" s="1342"/>
      <c r="I11317" s="1342"/>
      <c r="J11317" s="1342"/>
      <c r="K11317" s="1342"/>
    </row>
    <row r="11318" spans="2:11" ht="14" hidden="1">
      <c r="B11318" s="1342"/>
      <c r="C11318" s="1342"/>
      <c r="D11318" s="1342"/>
      <c r="E11318" s="1342"/>
      <c r="F11318" s="1342"/>
      <c r="G11318" s="1342"/>
      <c r="H11318" s="1342"/>
      <c r="I11318" s="1342"/>
      <c r="J11318" s="1342"/>
      <c r="K11318" s="1342"/>
    </row>
    <row r="11319" spans="2:11" ht="14" hidden="1">
      <c r="B11319" s="1342"/>
      <c r="C11319" s="1342"/>
      <c r="D11319" s="1342"/>
      <c r="E11319" s="1342"/>
      <c r="F11319" s="1342"/>
      <c r="G11319" s="1342"/>
      <c r="H11319" s="1342"/>
      <c r="I11319" s="1342"/>
      <c r="J11319" s="1342"/>
      <c r="K11319" s="1342"/>
    </row>
    <row r="11320" spans="2:11" ht="14" hidden="1">
      <c r="B11320" s="1342"/>
      <c r="C11320" s="1342"/>
      <c r="D11320" s="1342"/>
      <c r="E11320" s="1342"/>
      <c r="F11320" s="1342"/>
      <c r="G11320" s="1342"/>
      <c r="H11320" s="1342"/>
      <c r="I11320" s="1342"/>
      <c r="J11320" s="1342"/>
      <c r="K11320" s="1342"/>
    </row>
    <row r="11321" spans="2:11" ht="14" hidden="1">
      <c r="B11321" s="1342"/>
      <c r="C11321" s="1342"/>
      <c r="D11321" s="1342"/>
      <c r="E11321" s="1342"/>
      <c r="F11321" s="1342"/>
      <c r="G11321" s="1342"/>
      <c r="H11321" s="1342"/>
      <c r="I11321" s="1342"/>
      <c r="J11321" s="1342"/>
      <c r="K11321" s="1342"/>
    </row>
    <row r="11322" spans="2:11" ht="14" hidden="1">
      <c r="B11322" s="1342"/>
      <c r="C11322" s="1342"/>
      <c r="D11322" s="1342"/>
      <c r="E11322" s="1342"/>
      <c r="F11322" s="1342"/>
      <c r="G11322" s="1342"/>
      <c r="H11322" s="1342"/>
      <c r="I11322" s="1342"/>
      <c r="J11322" s="1342"/>
      <c r="K11322" s="1342"/>
    </row>
    <row r="11323" spans="2:11" ht="14" hidden="1">
      <c r="B11323" s="1342"/>
      <c r="C11323" s="1342"/>
      <c r="D11323" s="1342"/>
      <c r="E11323" s="1342"/>
      <c r="F11323" s="1342"/>
      <c r="G11323" s="1342"/>
      <c r="H11323" s="1342"/>
      <c r="I11323" s="1342"/>
      <c r="J11323" s="1342"/>
      <c r="K11323" s="1342"/>
    </row>
    <row r="11324" spans="2:11" ht="14" hidden="1">
      <c r="B11324" s="1342"/>
      <c r="C11324" s="1342"/>
      <c r="D11324" s="1342"/>
      <c r="E11324" s="1342"/>
      <c r="F11324" s="1342"/>
      <c r="G11324" s="1342"/>
      <c r="H11324" s="1342"/>
      <c r="I11324" s="1342"/>
      <c r="J11324" s="1342"/>
      <c r="K11324" s="1342"/>
    </row>
    <row r="11325" spans="2:11" ht="14" hidden="1">
      <c r="B11325" s="1342"/>
      <c r="C11325" s="1342"/>
      <c r="D11325" s="1342"/>
      <c r="E11325" s="1342"/>
      <c r="F11325" s="1342"/>
      <c r="G11325" s="1342"/>
      <c r="H11325" s="1342"/>
      <c r="I11325" s="1342"/>
      <c r="J11325" s="1342"/>
      <c r="K11325" s="1342"/>
    </row>
    <row r="11326" spans="2:11" ht="14" hidden="1">
      <c r="B11326" s="1342"/>
      <c r="C11326" s="1342"/>
      <c r="D11326" s="1342"/>
      <c r="E11326" s="1342"/>
      <c r="F11326" s="1342"/>
      <c r="G11326" s="1342"/>
      <c r="H11326" s="1342"/>
      <c r="I11326" s="1342"/>
      <c r="J11326" s="1342"/>
      <c r="K11326" s="1342"/>
    </row>
    <row r="11327" spans="2:11" ht="14" hidden="1">
      <c r="B11327" s="1342"/>
      <c r="C11327" s="1342"/>
      <c r="D11327" s="1342"/>
      <c r="E11327" s="1342"/>
      <c r="F11327" s="1342"/>
      <c r="G11327" s="1342"/>
      <c r="H11327" s="1342"/>
      <c r="I11327" s="1342"/>
      <c r="J11327" s="1342"/>
      <c r="K11327" s="1342"/>
    </row>
    <row r="11328" spans="2:11" ht="14" hidden="1">
      <c r="B11328" s="1342"/>
      <c r="C11328" s="1342"/>
      <c r="D11328" s="1342"/>
      <c r="E11328" s="1342"/>
      <c r="F11328" s="1342"/>
      <c r="G11328" s="1342"/>
      <c r="H11328" s="1342"/>
      <c r="I11328" s="1342"/>
      <c r="J11328" s="1342"/>
      <c r="K11328" s="1342"/>
    </row>
    <row r="11329" spans="2:11" ht="14" hidden="1">
      <c r="B11329" s="1342"/>
      <c r="C11329" s="1342"/>
      <c r="D11329" s="1342"/>
      <c r="E11329" s="1342"/>
      <c r="F11329" s="1342"/>
      <c r="G11329" s="1342"/>
      <c r="H11329" s="1342"/>
      <c r="I11329" s="1342"/>
      <c r="J11329" s="1342"/>
      <c r="K11329" s="1342"/>
    </row>
    <row r="11330" spans="2:11" ht="14" hidden="1">
      <c r="B11330" s="1342"/>
      <c r="C11330" s="1342"/>
      <c r="D11330" s="1342"/>
      <c r="E11330" s="1342"/>
      <c r="F11330" s="1342"/>
      <c r="G11330" s="1342"/>
      <c r="H11330" s="1342"/>
      <c r="I11330" s="1342"/>
      <c r="J11330" s="1342"/>
      <c r="K11330" s="1342"/>
    </row>
    <row r="11331" spans="2:11" ht="14" hidden="1">
      <c r="B11331" s="1342"/>
      <c r="C11331" s="1342"/>
      <c r="D11331" s="1342"/>
      <c r="E11331" s="1342"/>
      <c r="F11331" s="1342"/>
      <c r="G11331" s="1342"/>
      <c r="H11331" s="1342"/>
      <c r="I11331" s="1342"/>
      <c r="J11331" s="1342"/>
      <c r="K11331" s="1342"/>
    </row>
    <row r="11332" spans="2:11" ht="14" hidden="1">
      <c r="B11332" s="1342"/>
      <c r="C11332" s="1342"/>
      <c r="D11332" s="1342"/>
      <c r="E11332" s="1342"/>
      <c r="F11332" s="1342"/>
      <c r="G11332" s="1342"/>
      <c r="H11332" s="1342"/>
      <c r="I11332" s="1342"/>
      <c r="J11332" s="1342"/>
      <c r="K11332" s="1342"/>
    </row>
    <row r="11333" spans="2:11" ht="14" hidden="1">
      <c r="B11333" s="1342"/>
      <c r="C11333" s="1342"/>
      <c r="D11333" s="1342"/>
      <c r="E11333" s="1342"/>
      <c r="F11333" s="1342"/>
      <c r="G11333" s="1342"/>
      <c r="H11333" s="1342"/>
      <c r="I11333" s="1342"/>
      <c r="J11333" s="1342"/>
      <c r="K11333" s="1342"/>
    </row>
    <row r="11334" spans="2:11" ht="14" hidden="1">
      <c r="B11334" s="1342"/>
      <c r="C11334" s="1342"/>
      <c r="D11334" s="1342"/>
      <c r="E11334" s="1342"/>
      <c r="F11334" s="1342"/>
      <c r="G11334" s="1342"/>
      <c r="H11334" s="1342"/>
      <c r="I11334" s="1342"/>
      <c r="J11334" s="1342"/>
      <c r="K11334" s="1342"/>
    </row>
    <row r="11335" spans="2:11" ht="14" hidden="1">
      <c r="B11335" s="1342"/>
      <c r="C11335" s="1342"/>
      <c r="D11335" s="1342"/>
      <c r="E11335" s="1342"/>
      <c r="F11335" s="1342"/>
      <c r="G11335" s="1342"/>
      <c r="H11335" s="1342"/>
      <c r="I11335" s="1342"/>
      <c r="J11335" s="1342"/>
      <c r="K11335" s="1342"/>
    </row>
    <row r="11336" spans="2:11" ht="14" hidden="1">
      <c r="B11336" s="1342"/>
      <c r="C11336" s="1342"/>
      <c r="D11336" s="1342"/>
      <c r="E11336" s="1342"/>
      <c r="F11336" s="1342"/>
      <c r="G11336" s="1342"/>
      <c r="H11336" s="1342"/>
      <c r="I11336" s="1342"/>
      <c r="J11336" s="1342"/>
      <c r="K11336" s="1342"/>
    </row>
    <row r="11337" spans="2:11" ht="14" hidden="1">
      <c r="B11337" s="1342"/>
      <c r="C11337" s="1342"/>
      <c r="D11337" s="1342"/>
      <c r="E11337" s="1342"/>
      <c r="F11337" s="1342"/>
      <c r="G11337" s="1342"/>
      <c r="H11337" s="1342"/>
      <c r="I11337" s="1342"/>
      <c r="J11337" s="1342"/>
      <c r="K11337" s="1342"/>
    </row>
    <row r="11338" spans="2:11" ht="14" hidden="1">
      <c r="B11338" s="1342"/>
      <c r="C11338" s="1342"/>
      <c r="D11338" s="1342"/>
      <c r="E11338" s="1342"/>
      <c r="F11338" s="1342"/>
      <c r="G11338" s="1342"/>
      <c r="H11338" s="1342"/>
      <c r="I11338" s="1342"/>
      <c r="J11338" s="1342"/>
      <c r="K11338" s="1342"/>
    </row>
    <row r="11339" spans="2:11" ht="14" hidden="1">
      <c r="B11339" s="1342"/>
      <c r="C11339" s="1342"/>
      <c r="D11339" s="1342"/>
      <c r="E11339" s="1342"/>
      <c r="F11339" s="1342"/>
      <c r="G11339" s="1342"/>
      <c r="H11339" s="1342"/>
      <c r="I11339" s="1342"/>
      <c r="J11339" s="1342"/>
      <c r="K11339" s="1342"/>
    </row>
    <row r="11340" spans="2:11" ht="14" hidden="1">
      <c r="B11340" s="1342"/>
      <c r="C11340" s="1342"/>
      <c r="D11340" s="1342"/>
      <c r="E11340" s="1342"/>
      <c r="F11340" s="1342"/>
      <c r="G11340" s="1342"/>
      <c r="H11340" s="1342"/>
      <c r="I11340" s="1342"/>
      <c r="J11340" s="1342"/>
      <c r="K11340" s="1342"/>
    </row>
    <row r="11341" spans="2:11" ht="14" hidden="1">
      <c r="B11341" s="1342"/>
      <c r="C11341" s="1342"/>
      <c r="D11341" s="1342"/>
      <c r="E11341" s="1342"/>
      <c r="F11341" s="1342"/>
      <c r="G11341" s="1342"/>
      <c r="H11341" s="1342"/>
      <c r="I11341" s="1342"/>
      <c r="J11341" s="1342"/>
      <c r="K11341" s="1342"/>
    </row>
    <row r="11342" spans="2:11" ht="14" hidden="1">
      <c r="B11342" s="1342"/>
      <c r="C11342" s="1342"/>
      <c r="D11342" s="1342"/>
      <c r="E11342" s="1342"/>
      <c r="F11342" s="1342"/>
      <c r="G11342" s="1342"/>
      <c r="H11342" s="1342"/>
      <c r="I11342" s="1342"/>
      <c r="J11342" s="1342"/>
      <c r="K11342" s="1342"/>
    </row>
    <row r="11343" spans="2:11" ht="14" hidden="1">
      <c r="B11343" s="1342"/>
      <c r="C11343" s="1342"/>
      <c r="D11343" s="1342"/>
      <c r="E11343" s="1342"/>
      <c r="F11343" s="1342"/>
      <c r="G11343" s="1342"/>
      <c r="H11343" s="1342"/>
      <c r="I11343" s="1342"/>
      <c r="J11343" s="1342"/>
      <c r="K11343" s="1342"/>
    </row>
    <row r="11344" spans="2:11" ht="14" hidden="1">
      <c r="B11344" s="1342"/>
      <c r="C11344" s="1342"/>
      <c r="D11344" s="1342"/>
      <c r="E11344" s="1342"/>
      <c r="F11344" s="1342"/>
      <c r="G11344" s="1342"/>
      <c r="H11344" s="1342"/>
      <c r="I11344" s="1342"/>
      <c r="J11344" s="1342"/>
      <c r="K11344" s="1342"/>
    </row>
    <row r="11345" spans="2:11" ht="14" hidden="1">
      <c r="B11345" s="1342"/>
      <c r="C11345" s="1342"/>
      <c r="D11345" s="1342"/>
      <c r="E11345" s="1342"/>
      <c r="F11345" s="1342"/>
      <c r="G11345" s="1342"/>
      <c r="H11345" s="1342"/>
      <c r="I11345" s="1342"/>
      <c r="J11345" s="1342"/>
      <c r="K11345" s="1342"/>
    </row>
    <row r="11346" spans="2:11" ht="14" hidden="1">
      <c r="B11346" s="1342"/>
      <c r="C11346" s="1342"/>
      <c r="D11346" s="1342"/>
      <c r="E11346" s="1342"/>
      <c r="F11346" s="1342"/>
      <c r="G11346" s="1342"/>
      <c r="H11346" s="1342"/>
      <c r="I11346" s="1342"/>
      <c r="J11346" s="1342"/>
      <c r="K11346" s="1342"/>
    </row>
    <row r="11347" spans="2:11" ht="14" hidden="1">
      <c r="B11347" s="1342"/>
      <c r="C11347" s="1342"/>
      <c r="D11347" s="1342"/>
      <c r="E11347" s="1342"/>
      <c r="F11347" s="1342"/>
      <c r="G11347" s="1342"/>
      <c r="H11347" s="1342"/>
      <c r="I11347" s="1342"/>
      <c r="J11347" s="1342"/>
      <c r="K11347" s="1342"/>
    </row>
    <row r="11348" spans="2:11" ht="14" hidden="1">
      <c r="B11348" s="1342"/>
      <c r="C11348" s="1342"/>
      <c r="D11348" s="1342"/>
      <c r="E11348" s="1342"/>
      <c r="F11348" s="1342"/>
      <c r="G11348" s="1342"/>
      <c r="H11348" s="1342"/>
      <c r="I11348" s="1342"/>
      <c r="J11348" s="1342"/>
      <c r="K11348" s="1342"/>
    </row>
    <row r="11349" spans="2:11" ht="14" hidden="1">
      <c r="B11349" s="1342"/>
      <c r="C11349" s="1342"/>
      <c r="D11349" s="1342"/>
      <c r="E11349" s="1342"/>
      <c r="F11349" s="1342"/>
      <c r="G11349" s="1342"/>
      <c r="H11349" s="1342"/>
      <c r="I11349" s="1342"/>
      <c r="J11349" s="1342"/>
      <c r="K11349" s="1342"/>
    </row>
    <row r="11350" spans="2:11" ht="14" hidden="1">
      <c r="B11350" s="1342"/>
      <c r="C11350" s="1342"/>
      <c r="D11350" s="1342"/>
      <c r="E11350" s="1342"/>
      <c r="F11350" s="1342"/>
      <c r="G11350" s="1342"/>
      <c r="H11350" s="1342"/>
      <c r="I11350" s="1342"/>
      <c r="J11350" s="1342"/>
      <c r="K11350" s="1342"/>
    </row>
    <row r="11351" spans="2:11" ht="14" hidden="1">
      <c r="B11351" s="1342"/>
      <c r="C11351" s="1342"/>
      <c r="D11351" s="1342"/>
      <c r="E11351" s="1342"/>
      <c r="F11351" s="1342"/>
      <c r="G11351" s="1342"/>
      <c r="H11351" s="1342"/>
      <c r="I11351" s="1342"/>
      <c r="J11351" s="1342"/>
      <c r="K11351" s="1342"/>
    </row>
    <row r="11352" spans="2:11" ht="14" hidden="1">
      <c r="B11352" s="1342"/>
      <c r="C11352" s="1342"/>
      <c r="D11352" s="1342"/>
      <c r="E11352" s="1342"/>
      <c r="F11352" s="1342"/>
      <c r="G11352" s="1342"/>
      <c r="H11352" s="1342"/>
      <c r="I11352" s="1342"/>
      <c r="J11352" s="1342"/>
      <c r="K11352" s="1342"/>
    </row>
    <row r="11353" spans="2:11" ht="14" hidden="1">
      <c r="B11353" s="1342"/>
      <c r="C11353" s="1342"/>
      <c r="D11353" s="1342"/>
      <c r="E11353" s="1342"/>
      <c r="F11353" s="1342"/>
      <c r="G11353" s="1342"/>
      <c r="H11353" s="1342"/>
      <c r="I11353" s="1342"/>
      <c r="J11353" s="1342"/>
      <c r="K11353" s="1342"/>
    </row>
    <row r="11354" spans="2:11" ht="14" hidden="1">
      <c r="B11354" s="1342"/>
      <c r="C11354" s="1342"/>
      <c r="D11354" s="1342"/>
      <c r="E11354" s="1342"/>
      <c r="F11354" s="1342"/>
      <c r="G11354" s="1342"/>
      <c r="H11354" s="1342"/>
      <c r="I11354" s="1342"/>
      <c r="J11354" s="1342"/>
      <c r="K11354" s="1342"/>
    </row>
    <row r="11355" spans="2:11" ht="14" hidden="1">
      <c r="B11355" s="1342"/>
      <c r="C11355" s="1342"/>
      <c r="D11355" s="1342"/>
      <c r="E11355" s="1342"/>
      <c r="F11355" s="1342"/>
      <c r="G11355" s="1342"/>
      <c r="H11355" s="1342"/>
      <c r="I11355" s="1342"/>
      <c r="J11355" s="1342"/>
      <c r="K11355" s="1342"/>
    </row>
    <row r="11356" spans="2:11" ht="14" hidden="1">
      <c r="B11356" s="1342"/>
      <c r="C11356" s="1342"/>
      <c r="D11356" s="1342"/>
      <c r="E11356" s="1342"/>
      <c r="F11356" s="1342"/>
      <c r="G11356" s="1342"/>
      <c r="H11356" s="1342"/>
      <c r="I11356" s="1342"/>
      <c r="J11356" s="1342"/>
      <c r="K11356" s="1342"/>
    </row>
    <row r="11357" spans="2:11" ht="14" hidden="1">
      <c r="B11357" s="1342"/>
      <c r="C11357" s="1342"/>
      <c r="D11357" s="1342"/>
      <c r="E11357" s="1342"/>
      <c r="F11357" s="1342"/>
      <c r="G11357" s="1342"/>
      <c r="H11357" s="1342"/>
      <c r="I11357" s="1342"/>
      <c r="J11357" s="1342"/>
      <c r="K11357" s="1342"/>
    </row>
    <row r="11358" spans="2:11" ht="14" hidden="1">
      <c r="B11358" s="1342"/>
      <c r="C11358" s="1342"/>
      <c r="D11358" s="1342"/>
      <c r="E11358" s="1342"/>
      <c r="F11358" s="1342"/>
      <c r="G11358" s="1342"/>
      <c r="H11358" s="1342"/>
      <c r="I11358" s="1342"/>
      <c r="J11358" s="1342"/>
      <c r="K11358" s="1342"/>
    </row>
    <row r="11359" spans="2:11" ht="14" hidden="1">
      <c r="B11359" s="1342"/>
      <c r="C11359" s="1342"/>
      <c r="D11359" s="1342"/>
      <c r="E11359" s="1342"/>
      <c r="F11359" s="1342"/>
      <c r="G11359" s="1342"/>
      <c r="H11359" s="1342"/>
      <c r="I11359" s="1342"/>
      <c r="J11359" s="1342"/>
      <c r="K11359" s="1342"/>
    </row>
    <row r="11360" spans="2:11" ht="14" hidden="1">
      <c r="B11360" s="1342"/>
      <c r="C11360" s="1342"/>
      <c r="D11360" s="1342"/>
      <c r="E11360" s="1342"/>
      <c r="F11360" s="1342"/>
      <c r="G11360" s="1342"/>
      <c r="H11360" s="1342"/>
      <c r="I11360" s="1342"/>
      <c r="J11360" s="1342"/>
      <c r="K11360" s="1342"/>
    </row>
    <row r="11361" spans="2:11" ht="14" hidden="1">
      <c r="B11361" s="1342"/>
      <c r="C11361" s="1342"/>
      <c r="D11361" s="1342"/>
      <c r="E11361" s="1342"/>
      <c r="F11361" s="1342"/>
      <c r="G11361" s="1342"/>
      <c r="H11361" s="1342"/>
      <c r="I11361" s="1342"/>
      <c r="J11361" s="1342"/>
      <c r="K11361" s="1342"/>
    </row>
    <row r="11362" spans="2:11" ht="14" hidden="1">
      <c r="B11362" s="1342"/>
      <c r="C11362" s="1342"/>
      <c r="D11362" s="1342"/>
      <c r="E11362" s="1342"/>
      <c r="F11362" s="1342"/>
      <c r="G11362" s="1342"/>
      <c r="H11362" s="1342"/>
      <c r="I11362" s="1342"/>
      <c r="J11362" s="1342"/>
      <c r="K11362" s="1342"/>
    </row>
    <row r="11363" spans="2:11" ht="14" hidden="1">
      <c r="B11363" s="1342"/>
      <c r="C11363" s="1342"/>
      <c r="D11363" s="1342"/>
      <c r="E11363" s="1342"/>
      <c r="F11363" s="1342"/>
      <c r="G11363" s="1342"/>
      <c r="H11363" s="1342"/>
      <c r="I11363" s="1342"/>
      <c r="J11363" s="1342"/>
      <c r="K11363" s="1342"/>
    </row>
    <row r="11364" spans="2:11" ht="14" hidden="1">
      <c r="B11364" s="1342"/>
      <c r="C11364" s="1342"/>
      <c r="D11364" s="1342"/>
      <c r="E11364" s="1342"/>
      <c r="F11364" s="1342"/>
      <c r="G11364" s="1342"/>
      <c r="H11364" s="1342"/>
      <c r="I11364" s="1342"/>
      <c r="J11364" s="1342"/>
      <c r="K11364" s="1342"/>
    </row>
    <row r="11365" spans="2:11" ht="14" hidden="1">
      <c r="B11365" s="1342"/>
      <c r="C11365" s="1342"/>
      <c r="D11365" s="1342"/>
      <c r="E11365" s="1342"/>
      <c r="F11365" s="1342"/>
      <c r="G11365" s="1342"/>
      <c r="H11365" s="1342"/>
      <c r="I11365" s="1342"/>
      <c r="J11365" s="1342"/>
      <c r="K11365" s="1342"/>
    </row>
    <row r="11366" spans="2:11" ht="14" hidden="1">
      <c r="B11366" s="1342"/>
      <c r="C11366" s="1342"/>
      <c r="D11366" s="1342"/>
      <c r="E11366" s="1342"/>
      <c r="F11366" s="1342"/>
      <c r="G11366" s="1342"/>
      <c r="H11366" s="1342"/>
      <c r="I11366" s="1342"/>
      <c r="J11366" s="1342"/>
      <c r="K11366" s="1342"/>
    </row>
    <row r="11367" spans="2:11" ht="14" hidden="1">
      <c r="B11367" s="1342"/>
      <c r="C11367" s="1342"/>
      <c r="D11367" s="1342"/>
      <c r="E11367" s="1342"/>
      <c r="F11367" s="1342"/>
      <c r="G11367" s="1342"/>
      <c r="H11367" s="1342"/>
      <c r="I11367" s="1342"/>
      <c r="J11367" s="1342"/>
      <c r="K11367" s="1342"/>
    </row>
    <row r="11368" spans="2:11" ht="14" hidden="1">
      <c r="B11368" s="1342"/>
      <c r="C11368" s="1342"/>
      <c r="D11368" s="1342"/>
      <c r="E11368" s="1342"/>
      <c r="F11368" s="1342"/>
      <c r="G11368" s="1342"/>
      <c r="H11368" s="1342"/>
      <c r="I11368" s="1342"/>
      <c r="J11368" s="1342"/>
      <c r="K11368" s="1342"/>
    </row>
    <row r="11369" spans="2:11" ht="14" hidden="1">
      <c r="B11369" s="1342"/>
      <c r="C11369" s="1342"/>
      <c r="D11369" s="1342"/>
      <c r="E11369" s="1342"/>
      <c r="F11369" s="1342"/>
      <c r="G11369" s="1342"/>
      <c r="H11369" s="1342"/>
      <c r="I11369" s="1342"/>
      <c r="J11369" s="1342"/>
      <c r="K11369" s="1342"/>
    </row>
    <row r="11370" spans="2:11" ht="14" hidden="1">
      <c r="B11370" s="1342"/>
      <c r="C11370" s="1342"/>
      <c r="D11370" s="1342"/>
      <c r="E11370" s="1342"/>
      <c r="F11370" s="1342"/>
      <c r="G11370" s="1342"/>
      <c r="H11370" s="1342"/>
      <c r="I11370" s="1342"/>
      <c r="J11370" s="1342"/>
      <c r="K11370" s="1342"/>
    </row>
    <row r="11371" spans="2:11" ht="14" hidden="1">
      <c r="B11371" s="1342"/>
      <c r="C11371" s="1342"/>
      <c r="D11371" s="1342"/>
      <c r="E11371" s="1342"/>
      <c r="F11371" s="1342"/>
      <c r="G11371" s="1342"/>
      <c r="H11371" s="1342"/>
      <c r="I11371" s="1342"/>
      <c r="J11371" s="1342"/>
      <c r="K11371" s="1342"/>
    </row>
    <row r="11372" spans="2:11" ht="14" hidden="1">
      <c r="B11372" s="1342"/>
      <c r="C11372" s="1342"/>
      <c r="D11372" s="1342"/>
      <c r="E11372" s="1342"/>
      <c r="F11372" s="1342"/>
      <c r="G11372" s="1342"/>
      <c r="H11372" s="1342"/>
      <c r="I11372" s="1342"/>
      <c r="J11372" s="1342"/>
      <c r="K11372" s="1342"/>
    </row>
    <row r="11373" spans="2:11" ht="14" hidden="1">
      <c r="B11373" s="1342"/>
      <c r="C11373" s="1342"/>
      <c r="D11373" s="1342"/>
      <c r="E11373" s="1342"/>
      <c r="F11373" s="1342"/>
      <c r="G11373" s="1342"/>
      <c r="H11373" s="1342"/>
      <c r="I11373" s="1342"/>
      <c r="J11373" s="1342"/>
      <c r="K11373" s="1342"/>
    </row>
    <row r="11374" spans="2:11" ht="14" hidden="1">
      <c r="B11374" s="1342"/>
      <c r="C11374" s="1342"/>
      <c r="D11374" s="1342"/>
      <c r="E11374" s="1342"/>
      <c r="F11374" s="1342"/>
      <c r="G11374" s="1342"/>
      <c r="H11374" s="1342"/>
      <c r="I11374" s="1342"/>
      <c r="J11374" s="1342"/>
      <c r="K11374" s="1342"/>
    </row>
    <row r="11375" spans="2:11" ht="14" hidden="1">
      <c r="B11375" s="1342"/>
      <c r="C11375" s="1342"/>
      <c r="D11375" s="1342"/>
      <c r="E11375" s="1342"/>
      <c r="F11375" s="1342"/>
      <c r="G11375" s="1342"/>
      <c r="H11375" s="1342"/>
      <c r="I11375" s="1342"/>
      <c r="J11375" s="1342"/>
      <c r="K11375" s="1342"/>
    </row>
    <row r="11376" spans="2:11" ht="14" hidden="1">
      <c r="B11376" s="1342"/>
      <c r="C11376" s="1342"/>
      <c r="D11376" s="1342"/>
      <c r="E11376" s="1342"/>
      <c r="F11376" s="1342"/>
      <c r="G11376" s="1342"/>
      <c r="H11376" s="1342"/>
      <c r="I11376" s="1342"/>
      <c r="J11376" s="1342"/>
      <c r="K11376" s="1342"/>
    </row>
    <row r="11377" spans="2:11" ht="14" hidden="1">
      <c r="B11377" s="1342"/>
      <c r="C11377" s="1342"/>
      <c r="D11377" s="1342"/>
      <c r="E11377" s="1342"/>
      <c r="F11377" s="1342"/>
      <c r="G11377" s="1342"/>
      <c r="H11377" s="1342"/>
      <c r="I11377" s="1342"/>
      <c r="J11377" s="1342"/>
      <c r="K11377" s="1342"/>
    </row>
    <row r="11378" spans="2:11" ht="14" hidden="1">
      <c r="B11378" s="1342"/>
      <c r="C11378" s="1342"/>
      <c r="D11378" s="1342"/>
      <c r="E11378" s="1342"/>
      <c r="F11378" s="1342"/>
      <c r="G11378" s="1342"/>
      <c r="H11378" s="1342"/>
      <c r="I11378" s="1342"/>
      <c r="J11378" s="1342"/>
      <c r="K11378" s="1342"/>
    </row>
    <row r="11379" spans="2:11" ht="14" hidden="1">
      <c r="B11379" s="1342"/>
      <c r="C11379" s="1342"/>
      <c r="D11379" s="1342"/>
      <c r="E11379" s="1342"/>
      <c r="F11379" s="1342"/>
      <c r="G11379" s="1342"/>
      <c r="H11379" s="1342"/>
      <c r="I11379" s="1342"/>
      <c r="J11379" s="1342"/>
      <c r="K11379" s="1342"/>
    </row>
    <row r="11380" spans="2:11" ht="14" hidden="1">
      <c r="B11380" s="1342"/>
      <c r="C11380" s="1342"/>
      <c r="D11380" s="1342"/>
      <c r="E11380" s="1342"/>
      <c r="F11380" s="1342"/>
      <c r="G11380" s="1342"/>
      <c r="H11380" s="1342"/>
      <c r="I11380" s="1342"/>
      <c r="J11380" s="1342"/>
      <c r="K11380" s="1342"/>
    </row>
    <row r="11381" spans="2:11" ht="14" hidden="1">
      <c r="B11381" s="1342"/>
      <c r="C11381" s="1342"/>
      <c r="D11381" s="1342"/>
      <c r="E11381" s="1342"/>
      <c r="F11381" s="1342"/>
      <c r="G11381" s="1342"/>
      <c r="H11381" s="1342"/>
      <c r="I11381" s="1342"/>
      <c r="J11381" s="1342"/>
      <c r="K11381" s="1342"/>
    </row>
    <row r="11382" spans="2:11" ht="14" hidden="1">
      <c r="B11382" s="1342"/>
      <c r="C11382" s="1342"/>
      <c r="D11382" s="1342"/>
      <c r="E11382" s="1342"/>
      <c r="F11382" s="1342"/>
      <c r="G11382" s="1342"/>
      <c r="H11382" s="1342"/>
      <c r="I11382" s="1342"/>
      <c r="J11382" s="1342"/>
      <c r="K11382" s="1342"/>
    </row>
    <row r="11383" spans="2:11" ht="14" hidden="1">
      <c r="B11383" s="1342"/>
      <c r="C11383" s="1342"/>
      <c r="D11383" s="1342"/>
      <c r="E11383" s="1342"/>
      <c r="F11383" s="1342"/>
      <c r="G11383" s="1342"/>
      <c r="H11383" s="1342"/>
      <c r="I11383" s="1342"/>
      <c r="J11383" s="1342"/>
      <c r="K11383" s="1342"/>
    </row>
    <row r="11384" spans="2:11" ht="14" hidden="1">
      <c r="B11384" s="1342"/>
      <c r="C11384" s="1342"/>
      <c r="D11384" s="1342"/>
      <c r="E11384" s="1342"/>
      <c r="F11384" s="1342"/>
      <c r="G11384" s="1342"/>
      <c r="H11384" s="1342"/>
      <c r="I11384" s="1342"/>
      <c r="J11384" s="1342"/>
      <c r="K11384" s="1342"/>
    </row>
    <row r="11385" spans="2:11" ht="14" hidden="1">
      <c r="B11385" s="1342"/>
      <c r="C11385" s="1342"/>
      <c r="D11385" s="1342"/>
      <c r="E11385" s="1342"/>
      <c r="F11385" s="1342"/>
      <c r="G11385" s="1342"/>
      <c r="H11385" s="1342"/>
      <c r="I11385" s="1342"/>
      <c r="J11385" s="1342"/>
      <c r="K11385" s="1342"/>
    </row>
    <row r="11386" spans="2:11" ht="14" hidden="1">
      <c r="B11386" s="1342"/>
      <c r="C11386" s="1342"/>
      <c r="D11386" s="1342"/>
      <c r="E11386" s="1342"/>
      <c r="F11386" s="1342"/>
      <c r="G11386" s="1342"/>
      <c r="H11386" s="1342"/>
      <c r="I11386" s="1342"/>
      <c r="J11386" s="1342"/>
      <c r="K11386" s="1342"/>
    </row>
    <row r="11387" spans="2:11" ht="14" hidden="1">
      <c r="B11387" s="1342"/>
      <c r="C11387" s="1342"/>
      <c r="D11387" s="1342"/>
      <c r="E11387" s="1342"/>
      <c r="F11387" s="1342"/>
      <c r="G11387" s="1342"/>
      <c r="H11387" s="1342"/>
      <c r="I11387" s="1342"/>
      <c r="J11387" s="1342"/>
      <c r="K11387" s="1342"/>
    </row>
    <row r="11388" spans="2:11" ht="14" hidden="1">
      <c r="B11388" s="1342"/>
      <c r="C11388" s="1342"/>
      <c r="D11388" s="1342"/>
      <c r="E11388" s="1342"/>
      <c r="F11388" s="1342"/>
      <c r="G11388" s="1342"/>
      <c r="H11388" s="1342"/>
      <c r="I11388" s="1342"/>
      <c r="J11388" s="1342"/>
      <c r="K11388" s="1342"/>
    </row>
    <row r="11389" spans="2:11" ht="14" hidden="1">
      <c r="B11389" s="1342"/>
      <c r="C11389" s="1342"/>
      <c r="D11389" s="1342"/>
      <c r="E11389" s="1342"/>
      <c r="F11389" s="1342"/>
      <c r="G11389" s="1342"/>
      <c r="H11389" s="1342"/>
      <c r="I11389" s="1342"/>
      <c r="J11389" s="1342"/>
      <c r="K11389" s="1342"/>
    </row>
    <row r="11390" spans="2:11" ht="14" hidden="1">
      <c r="B11390" s="1342"/>
      <c r="C11390" s="1342"/>
      <c r="D11390" s="1342"/>
      <c r="E11390" s="1342"/>
      <c r="F11390" s="1342"/>
      <c r="G11390" s="1342"/>
      <c r="H11390" s="1342"/>
      <c r="I11390" s="1342"/>
      <c r="J11390" s="1342"/>
      <c r="K11390" s="1342"/>
    </row>
    <row r="11391" spans="2:11" ht="14" hidden="1">
      <c r="B11391" s="1342"/>
      <c r="C11391" s="1342"/>
      <c r="D11391" s="1342"/>
      <c r="E11391" s="1342"/>
      <c r="F11391" s="1342"/>
      <c r="G11391" s="1342"/>
      <c r="H11391" s="1342"/>
      <c r="I11391" s="1342"/>
      <c r="J11391" s="1342"/>
      <c r="K11391" s="1342"/>
    </row>
    <row r="11392" spans="2:11" ht="14" hidden="1">
      <c r="B11392" s="1342"/>
      <c r="C11392" s="1342"/>
      <c r="D11392" s="1342"/>
      <c r="E11392" s="1342"/>
      <c r="F11392" s="1342"/>
      <c r="G11392" s="1342"/>
      <c r="H11392" s="1342"/>
      <c r="I11392" s="1342"/>
      <c r="J11392" s="1342"/>
      <c r="K11392" s="1342"/>
    </row>
    <row r="11393" spans="2:11" ht="14" hidden="1">
      <c r="B11393" s="1342"/>
      <c r="C11393" s="1342"/>
      <c r="D11393" s="1342"/>
      <c r="E11393" s="1342"/>
      <c r="F11393" s="1342"/>
      <c r="G11393" s="1342"/>
      <c r="H11393" s="1342"/>
      <c r="I11393" s="1342"/>
      <c r="J11393" s="1342"/>
      <c r="K11393" s="1342"/>
    </row>
    <row r="11394" spans="2:11" ht="14" hidden="1">
      <c r="B11394" s="1342"/>
      <c r="C11394" s="1342"/>
      <c r="D11394" s="1342"/>
      <c r="E11394" s="1342"/>
      <c r="F11394" s="1342"/>
      <c r="G11394" s="1342"/>
      <c r="H11394" s="1342"/>
      <c r="I11394" s="1342"/>
      <c r="J11394" s="1342"/>
      <c r="K11394" s="1342"/>
    </row>
    <row r="11395" spans="2:11" ht="14" hidden="1">
      <c r="B11395" s="1342"/>
      <c r="C11395" s="1342"/>
      <c r="D11395" s="1342"/>
      <c r="E11395" s="1342"/>
      <c r="F11395" s="1342"/>
      <c r="G11395" s="1342"/>
      <c r="H11395" s="1342"/>
      <c r="I11395" s="1342"/>
      <c r="J11395" s="1342"/>
      <c r="K11395" s="1342"/>
    </row>
    <row r="11396" spans="2:11" ht="14" hidden="1">
      <c r="B11396" s="1342"/>
      <c r="C11396" s="1342"/>
      <c r="D11396" s="1342"/>
      <c r="E11396" s="1342"/>
      <c r="F11396" s="1342"/>
      <c r="G11396" s="1342"/>
      <c r="H11396" s="1342"/>
      <c r="I11396" s="1342"/>
      <c r="J11396" s="1342"/>
      <c r="K11396" s="1342"/>
    </row>
    <row r="11397" spans="2:11" ht="14" hidden="1">
      <c r="B11397" s="1342"/>
      <c r="C11397" s="1342"/>
      <c r="D11397" s="1342"/>
      <c r="E11397" s="1342"/>
      <c r="F11397" s="1342"/>
      <c r="G11397" s="1342"/>
      <c r="H11397" s="1342"/>
      <c r="I11397" s="1342"/>
      <c r="J11397" s="1342"/>
      <c r="K11397" s="1342"/>
    </row>
    <row r="11398" spans="2:11" ht="14" hidden="1">
      <c r="B11398" s="1342"/>
      <c r="C11398" s="1342"/>
      <c r="D11398" s="1342"/>
      <c r="E11398" s="1342"/>
      <c r="F11398" s="1342"/>
      <c r="G11398" s="1342"/>
      <c r="H11398" s="1342"/>
      <c r="I11398" s="1342"/>
      <c r="J11398" s="1342"/>
      <c r="K11398" s="1342"/>
    </row>
    <row r="11399" spans="2:11" ht="14" hidden="1">
      <c r="B11399" s="1342"/>
      <c r="C11399" s="1342"/>
      <c r="D11399" s="1342"/>
      <c r="E11399" s="1342"/>
      <c r="F11399" s="1342"/>
      <c r="G11399" s="1342"/>
      <c r="H11399" s="1342"/>
      <c r="I11399" s="1342"/>
      <c r="J11399" s="1342"/>
      <c r="K11399" s="1342"/>
    </row>
    <row r="11400" spans="2:11" ht="14" hidden="1">
      <c r="B11400" s="1342"/>
      <c r="C11400" s="1342"/>
      <c r="D11400" s="1342"/>
      <c r="E11400" s="1342"/>
      <c r="F11400" s="1342"/>
      <c r="G11400" s="1342"/>
      <c r="H11400" s="1342"/>
      <c r="I11400" s="1342"/>
      <c r="J11400" s="1342"/>
      <c r="K11400" s="1342"/>
    </row>
    <row r="11401" spans="2:11" ht="14" hidden="1">
      <c r="B11401" s="1342"/>
      <c r="C11401" s="1342"/>
      <c r="D11401" s="1342"/>
      <c r="E11401" s="1342"/>
      <c r="F11401" s="1342"/>
      <c r="G11401" s="1342"/>
      <c r="H11401" s="1342"/>
      <c r="I11401" s="1342"/>
      <c r="J11401" s="1342"/>
      <c r="K11401" s="1342"/>
    </row>
    <row r="11402" spans="2:11" ht="14" hidden="1">
      <c r="B11402" s="1342"/>
      <c r="C11402" s="1342"/>
      <c r="D11402" s="1342"/>
      <c r="E11402" s="1342"/>
      <c r="F11402" s="1342"/>
      <c r="G11402" s="1342"/>
      <c r="H11402" s="1342"/>
      <c r="I11402" s="1342"/>
      <c r="J11402" s="1342"/>
      <c r="K11402" s="1342"/>
    </row>
    <row r="11403" spans="2:11" ht="14" hidden="1">
      <c r="B11403" s="1342"/>
      <c r="C11403" s="1342"/>
      <c r="D11403" s="1342"/>
      <c r="E11403" s="1342"/>
      <c r="F11403" s="1342"/>
      <c r="G11403" s="1342"/>
      <c r="H11403" s="1342"/>
      <c r="I11403" s="1342"/>
      <c r="J11403" s="1342"/>
      <c r="K11403" s="1342"/>
    </row>
    <row r="11404" spans="2:11" ht="14" hidden="1">
      <c r="B11404" s="1342"/>
      <c r="C11404" s="1342"/>
      <c r="D11404" s="1342"/>
      <c r="E11404" s="1342"/>
      <c r="F11404" s="1342"/>
      <c r="G11404" s="1342"/>
      <c r="H11404" s="1342"/>
      <c r="I11404" s="1342"/>
      <c r="J11404" s="1342"/>
      <c r="K11404" s="1342"/>
    </row>
    <row r="11405" spans="2:11" ht="14" hidden="1">
      <c r="B11405" s="1342"/>
      <c r="C11405" s="1342"/>
      <c r="D11405" s="1342"/>
      <c r="E11405" s="1342"/>
      <c r="F11405" s="1342"/>
      <c r="G11405" s="1342"/>
      <c r="H11405" s="1342"/>
      <c r="I11405" s="1342"/>
      <c r="J11405" s="1342"/>
      <c r="K11405" s="1342"/>
    </row>
    <row r="11406" spans="2:11" ht="14" hidden="1">
      <c r="B11406" s="1342"/>
      <c r="C11406" s="1342"/>
      <c r="D11406" s="1342"/>
      <c r="E11406" s="1342"/>
      <c r="F11406" s="1342"/>
      <c r="G11406" s="1342"/>
      <c r="H11406" s="1342"/>
      <c r="I11406" s="1342"/>
      <c r="J11406" s="1342"/>
      <c r="K11406" s="1342"/>
    </row>
    <row r="11407" spans="2:11" ht="14" hidden="1">
      <c r="B11407" s="1342"/>
      <c r="C11407" s="1342"/>
      <c r="D11407" s="1342"/>
      <c r="E11407" s="1342"/>
      <c r="F11407" s="1342"/>
      <c r="G11407" s="1342"/>
      <c r="H11407" s="1342"/>
      <c r="I11407" s="1342"/>
      <c r="J11407" s="1342"/>
      <c r="K11407" s="1342"/>
    </row>
    <row r="11408" spans="2:11" ht="14" hidden="1">
      <c r="B11408" s="1342"/>
      <c r="C11408" s="1342"/>
      <c r="D11408" s="1342"/>
      <c r="E11408" s="1342"/>
      <c r="F11408" s="1342"/>
      <c r="G11408" s="1342"/>
      <c r="H11408" s="1342"/>
      <c r="I11408" s="1342"/>
      <c r="J11408" s="1342"/>
      <c r="K11408" s="1342"/>
    </row>
    <row r="11409" spans="2:11" ht="14" hidden="1">
      <c r="B11409" s="1342"/>
      <c r="C11409" s="1342"/>
      <c r="D11409" s="1342"/>
      <c r="E11409" s="1342"/>
      <c r="F11409" s="1342"/>
      <c r="G11409" s="1342"/>
      <c r="H11409" s="1342"/>
      <c r="I11409" s="1342"/>
      <c r="J11409" s="1342"/>
      <c r="K11409" s="1342"/>
    </row>
    <row r="11410" spans="2:11" ht="14" hidden="1">
      <c r="B11410" s="1342"/>
      <c r="C11410" s="1342"/>
      <c r="D11410" s="1342"/>
      <c r="E11410" s="1342"/>
      <c r="F11410" s="1342"/>
      <c r="G11410" s="1342"/>
      <c r="H11410" s="1342"/>
      <c r="I11410" s="1342"/>
      <c r="J11410" s="1342"/>
      <c r="K11410" s="1342"/>
    </row>
    <row r="11411" spans="2:11" ht="14" hidden="1">
      <c r="B11411" s="1342"/>
      <c r="C11411" s="1342"/>
      <c r="D11411" s="1342"/>
      <c r="E11411" s="1342"/>
      <c r="F11411" s="1342"/>
      <c r="G11411" s="1342"/>
      <c r="H11411" s="1342"/>
      <c r="I11411" s="1342"/>
      <c r="J11411" s="1342"/>
      <c r="K11411" s="1342"/>
    </row>
    <row r="11412" spans="2:11" ht="14" hidden="1">
      <c r="B11412" s="1342"/>
      <c r="C11412" s="1342"/>
      <c r="D11412" s="1342"/>
      <c r="E11412" s="1342"/>
      <c r="F11412" s="1342"/>
      <c r="G11412" s="1342"/>
      <c r="H11412" s="1342"/>
      <c r="I11412" s="1342"/>
      <c r="J11412" s="1342"/>
      <c r="K11412" s="1342"/>
    </row>
    <row r="11413" spans="2:11" ht="14" hidden="1">
      <c r="B11413" s="1342"/>
      <c r="C11413" s="1342"/>
      <c r="D11413" s="1342"/>
      <c r="E11413" s="1342"/>
      <c r="F11413" s="1342"/>
      <c r="G11413" s="1342"/>
      <c r="H11413" s="1342"/>
      <c r="I11413" s="1342"/>
      <c r="J11413" s="1342"/>
      <c r="K11413" s="1342"/>
    </row>
    <row r="11414" spans="2:11" ht="14" hidden="1">
      <c r="B11414" s="1342"/>
      <c r="C11414" s="1342"/>
      <c r="D11414" s="1342"/>
      <c r="E11414" s="1342"/>
      <c r="F11414" s="1342"/>
      <c r="G11414" s="1342"/>
      <c r="H11414" s="1342"/>
      <c r="I11414" s="1342"/>
      <c r="J11414" s="1342"/>
      <c r="K11414" s="1342"/>
    </row>
    <row r="11415" spans="2:11" ht="14" hidden="1">
      <c r="B11415" s="1342"/>
      <c r="C11415" s="1342"/>
      <c r="D11415" s="1342"/>
      <c r="E11415" s="1342"/>
      <c r="F11415" s="1342"/>
      <c r="G11415" s="1342"/>
      <c r="H11415" s="1342"/>
      <c r="I11415" s="1342"/>
      <c r="J11415" s="1342"/>
      <c r="K11415" s="1342"/>
    </row>
    <row r="11416" spans="2:11" ht="14" hidden="1">
      <c r="B11416" s="1342"/>
      <c r="C11416" s="1342"/>
      <c r="D11416" s="1342"/>
      <c r="E11416" s="1342"/>
      <c r="F11416" s="1342"/>
      <c r="G11416" s="1342"/>
      <c r="H11416" s="1342"/>
      <c r="I11416" s="1342"/>
      <c r="J11416" s="1342"/>
      <c r="K11416" s="1342"/>
    </row>
    <row r="11417" spans="2:11" ht="14" hidden="1">
      <c r="B11417" s="1342"/>
      <c r="C11417" s="1342"/>
      <c r="D11417" s="1342"/>
      <c r="E11417" s="1342"/>
      <c r="F11417" s="1342"/>
      <c r="G11417" s="1342"/>
      <c r="H11417" s="1342"/>
      <c r="I11417" s="1342"/>
      <c r="J11417" s="1342"/>
      <c r="K11417" s="1342"/>
    </row>
    <row r="11418" spans="2:11" ht="14" hidden="1">
      <c r="B11418" s="1342"/>
      <c r="C11418" s="1342"/>
      <c r="D11418" s="1342"/>
      <c r="E11418" s="1342"/>
      <c r="F11418" s="1342"/>
      <c r="G11418" s="1342"/>
      <c r="H11418" s="1342"/>
      <c r="I11418" s="1342"/>
      <c r="J11418" s="1342"/>
      <c r="K11418" s="1342"/>
    </row>
    <row r="11419" spans="2:11" ht="14" hidden="1">
      <c r="B11419" s="1342"/>
      <c r="C11419" s="1342"/>
      <c r="D11419" s="1342"/>
      <c r="E11419" s="1342"/>
      <c r="F11419" s="1342"/>
      <c r="G11419" s="1342"/>
      <c r="H11419" s="1342"/>
      <c r="I11419" s="1342"/>
      <c r="J11419" s="1342"/>
      <c r="K11419" s="1342"/>
    </row>
    <row r="11420" spans="2:11" ht="14" hidden="1">
      <c r="B11420" s="1342"/>
      <c r="C11420" s="1342"/>
      <c r="D11420" s="1342"/>
      <c r="E11420" s="1342"/>
      <c r="F11420" s="1342"/>
      <c r="G11420" s="1342"/>
      <c r="H11420" s="1342"/>
      <c r="I11420" s="1342"/>
      <c r="J11420" s="1342"/>
      <c r="K11420" s="1342"/>
    </row>
    <row r="11421" spans="2:11" ht="14" hidden="1">
      <c r="B11421" s="1342"/>
      <c r="C11421" s="1342"/>
      <c r="D11421" s="1342"/>
      <c r="E11421" s="1342"/>
      <c r="F11421" s="1342"/>
      <c r="G11421" s="1342"/>
      <c r="H11421" s="1342"/>
      <c r="I11421" s="1342"/>
      <c r="J11421" s="1342"/>
      <c r="K11421" s="1342"/>
    </row>
    <row r="11422" spans="2:11" ht="14" hidden="1">
      <c r="B11422" s="1342"/>
      <c r="C11422" s="1342"/>
      <c r="D11422" s="1342"/>
      <c r="E11422" s="1342"/>
      <c r="F11422" s="1342"/>
      <c r="G11422" s="1342"/>
      <c r="H11422" s="1342"/>
      <c r="I11422" s="1342"/>
      <c r="J11422" s="1342"/>
      <c r="K11422" s="1342"/>
    </row>
    <row r="11423" spans="2:11" ht="14" hidden="1">
      <c r="B11423" s="1342"/>
      <c r="C11423" s="1342"/>
      <c r="D11423" s="1342"/>
      <c r="E11423" s="1342"/>
      <c r="F11423" s="1342"/>
      <c r="G11423" s="1342"/>
      <c r="H11423" s="1342"/>
      <c r="I11423" s="1342"/>
      <c r="J11423" s="1342"/>
      <c r="K11423" s="1342"/>
    </row>
    <row r="11424" spans="2:11" ht="14" hidden="1">
      <c r="B11424" s="1342"/>
      <c r="C11424" s="1342"/>
      <c r="D11424" s="1342"/>
      <c r="E11424" s="1342"/>
      <c r="F11424" s="1342"/>
      <c r="G11424" s="1342"/>
      <c r="H11424" s="1342"/>
      <c r="I11424" s="1342"/>
      <c r="J11424" s="1342"/>
      <c r="K11424" s="1342"/>
    </row>
    <row r="11425" spans="2:11" ht="14" hidden="1">
      <c r="B11425" s="1342"/>
      <c r="C11425" s="1342"/>
      <c r="D11425" s="1342"/>
      <c r="E11425" s="1342"/>
      <c r="F11425" s="1342"/>
      <c r="G11425" s="1342"/>
      <c r="H11425" s="1342"/>
      <c r="I11425" s="1342"/>
      <c r="J11425" s="1342"/>
      <c r="K11425" s="1342"/>
    </row>
    <row r="11426" spans="2:11" ht="14" hidden="1">
      <c r="B11426" s="1342"/>
      <c r="C11426" s="1342"/>
      <c r="D11426" s="1342"/>
      <c r="E11426" s="1342"/>
      <c r="F11426" s="1342"/>
      <c r="G11426" s="1342"/>
      <c r="H11426" s="1342"/>
      <c r="I11426" s="1342"/>
      <c r="J11426" s="1342"/>
      <c r="K11426" s="1342"/>
    </row>
    <row r="11427" spans="2:11" ht="14" hidden="1">
      <c r="B11427" s="1342"/>
      <c r="C11427" s="1342"/>
      <c r="D11427" s="1342"/>
      <c r="E11427" s="1342"/>
      <c r="F11427" s="1342"/>
      <c r="G11427" s="1342"/>
      <c r="H11427" s="1342"/>
      <c r="I11427" s="1342"/>
      <c r="J11427" s="1342"/>
      <c r="K11427" s="1342"/>
    </row>
    <row r="11428" spans="2:11" ht="14" hidden="1">
      <c r="B11428" s="1342"/>
      <c r="C11428" s="1342"/>
      <c r="D11428" s="1342"/>
      <c r="E11428" s="1342"/>
      <c r="F11428" s="1342"/>
      <c r="G11428" s="1342"/>
      <c r="H11428" s="1342"/>
      <c r="I11428" s="1342"/>
      <c r="J11428" s="1342"/>
      <c r="K11428" s="1342"/>
    </row>
    <row r="11429" spans="2:11" ht="14" hidden="1">
      <c r="B11429" s="1342"/>
      <c r="C11429" s="1342"/>
      <c r="D11429" s="1342"/>
      <c r="E11429" s="1342"/>
      <c r="F11429" s="1342"/>
      <c r="G11429" s="1342"/>
      <c r="H11429" s="1342"/>
      <c r="I11429" s="1342"/>
      <c r="J11429" s="1342"/>
      <c r="K11429" s="1342"/>
    </row>
    <row r="11430" spans="2:11" ht="14" hidden="1">
      <c r="B11430" s="1342"/>
      <c r="C11430" s="1342"/>
      <c r="D11430" s="1342"/>
      <c r="E11430" s="1342"/>
      <c r="F11430" s="1342"/>
      <c r="G11430" s="1342"/>
      <c r="H11430" s="1342"/>
      <c r="I11430" s="1342"/>
      <c r="J11430" s="1342"/>
      <c r="K11430" s="1342"/>
    </row>
    <row r="11431" spans="2:11" ht="14" hidden="1">
      <c r="B11431" s="1342"/>
      <c r="C11431" s="1342"/>
      <c r="D11431" s="1342"/>
      <c r="E11431" s="1342"/>
      <c r="F11431" s="1342"/>
      <c r="G11431" s="1342"/>
      <c r="H11431" s="1342"/>
      <c r="I11431" s="1342"/>
      <c r="J11431" s="1342"/>
      <c r="K11431" s="1342"/>
    </row>
    <row r="11432" spans="2:11" ht="14" hidden="1">
      <c r="B11432" s="1342"/>
      <c r="C11432" s="1342"/>
      <c r="D11432" s="1342"/>
      <c r="E11432" s="1342"/>
      <c r="F11432" s="1342"/>
      <c r="G11432" s="1342"/>
      <c r="H11432" s="1342"/>
      <c r="I11432" s="1342"/>
      <c r="J11432" s="1342"/>
      <c r="K11432" s="1342"/>
    </row>
    <row r="11433" spans="2:11" ht="14" hidden="1">
      <c r="B11433" s="1342"/>
      <c r="C11433" s="1342"/>
      <c r="D11433" s="1342"/>
      <c r="E11433" s="1342"/>
      <c r="F11433" s="1342"/>
      <c r="G11433" s="1342"/>
      <c r="H11433" s="1342"/>
      <c r="I11433" s="1342"/>
      <c r="J11433" s="1342"/>
      <c r="K11433" s="1342"/>
    </row>
    <row r="11434" spans="2:11" ht="14" hidden="1">
      <c r="B11434" s="1342"/>
      <c r="C11434" s="1342"/>
      <c r="D11434" s="1342"/>
      <c r="E11434" s="1342"/>
      <c r="F11434" s="1342"/>
      <c r="G11434" s="1342"/>
      <c r="H11434" s="1342"/>
      <c r="I11434" s="1342"/>
      <c r="J11434" s="1342"/>
      <c r="K11434" s="1342"/>
    </row>
    <row r="11435" spans="2:11" ht="14" hidden="1">
      <c r="B11435" s="1342"/>
      <c r="C11435" s="1342"/>
      <c r="D11435" s="1342"/>
      <c r="E11435" s="1342"/>
      <c r="F11435" s="1342"/>
      <c r="G11435" s="1342"/>
      <c r="H11435" s="1342"/>
      <c r="I11435" s="1342"/>
      <c r="J11435" s="1342"/>
      <c r="K11435" s="1342"/>
    </row>
    <row r="11436" spans="2:11" ht="14" hidden="1">
      <c r="B11436" s="1342"/>
      <c r="C11436" s="1342"/>
      <c r="D11436" s="1342"/>
      <c r="E11436" s="1342"/>
      <c r="F11436" s="1342"/>
      <c r="G11436" s="1342"/>
      <c r="H11436" s="1342"/>
      <c r="I11436" s="1342"/>
      <c r="J11436" s="1342"/>
      <c r="K11436" s="1342"/>
    </row>
    <row r="11437" spans="2:11" ht="14" hidden="1">
      <c r="B11437" s="1342"/>
      <c r="C11437" s="1342"/>
      <c r="D11437" s="1342"/>
      <c r="E11437" s="1342"/>
      <c r="F11437" s="1342"/>
      <c r="G11437" s="1342"/>
      <c r="H11437" s="1342"/>
      <c r="I11437" s="1342"/>
      <c r="J11437" s="1342"/>
      <c r="K11437" s="1342"/>
    </row>
    <row r="11438" spans="2:11" ht="14" hidden="1">
      <c r="B11438" s="1342"/>
      <c r="C11438" s="1342"/>
      <c r="D11438" s="1342"/>
      <c r="E11438" s="1342"/>
      <c r="F11438" s="1342"/>
      <c r="G11438" s="1342"/>
      <c r="H11438" s="1342"/>
      <c r="I11438" s="1342"/>
      <c r="J11438" s="1342"/>
      <c r="K11438" s="1342"/>
    </row>
    <row r="11439" spans="2:11" ht="14" hidden="1">
      <c r="B11439" s="1342"/>
      <c r="C11439" s="1342"/>
      <c r="D11439" s="1342"/>
      <c r="E11439" s="1342"/>
      <c r="F11439" s="1342"/>
      <c r="G11439" s="1342"/>
      <c r="H11439" s="1342"/>
      <c r="I11439" s="1342"/>
      <c r="J11439" s="1342"/>
      <c r="K11439" s="1342"/>
    </row>
    <row r="11440" spans="2:11" ht="14" hidden="1">
      <c r="B11440" s="1342"/>
      <c r="C11440" s="1342"/>
      <c r="D11440" s="1342"/>
      <c r="E11440" s="1342"/>
      <c r="F11440" s="1342"/>
      <c r="G11440" s="1342"/>
      <c r="H11440" s="1342"/>
      <c r="I11440" s="1342"/>
      <c r="J11440" s="1342"/>
      <c r="K11440" s="1342"/>
    </row>
    <row r="11441" spans="2:11" ht="14" hidden="1">
      <c r="B11441" s="1342"/>
      <c r="C11441" s="1342"/>
      <c r="D11441" s="1342"/>
      <c r="E11441" s="1342"/>
      <c r="F11441" s="1342"/>
      <c r="G11441" s="1342"/>
      <c r="H11441" s="1342"/>
      <c r="I11441" s="1342"/>
      <c r="J11441" s="1342"/>
      <c r="K11441" s="1342"/>
    </row>
    <row r="11442" spans="2:11" ht="14" hidden="1">
      <c r="B11442" s="1342"/>
      <c r="C11442" s="1342"/>
      <c r="D11442" s="1342"/>
      <c r="E11442" s="1342"/>
      <c r="F11442" s="1342"/>
      <c r="G11442" s="1342"/>
      <c r="H11442" s="1342"/>
      <c r="I11442" s="1342"/>
      <c r="J11442" s="1342"/>
      <c r="K11442" s="1342"/>
    </row>
    <row r="11443" spans="2:11" ht="14" hidden="1">
      <c r="B11443" s="1342"/>
      <c r="C11443" s="1342"/>
      <c r="D11443" s="1342"/>
      <c r="E11443" s="1342"/>
      <c r="F11443" s="1342"/>
      <c r="G11443" s="1342"/>
      <c r="H11443" s="1342"/>
      <c r="I11443" s="1342"/>
      <c r="J11443" s="1342"/>
      <c r="K11443" s="1342"/>
    </row>
    <row r="11444" spans="2:11" ht="14" hidden="1">
      <c r="B11444" s="1342"/>
      <c r="C11444" s="1342"/>
      <c r="D11444" s="1342"/>
      <c r="E11444" s="1342"/>
      <c r="F11444" s="1342"/>
      <c r="G11444" s="1342"/>
      <c r="H11444" s="1342"/>
      <c r="I11444" s="1342"/>
      <c r="J11444" s="1342"/>
      <c r="K11444" s="1342"/>
    </row>
    <row r="11445" spans="2:11" ht="14" hidden="1">
      <c r="B11445" s="1342"/>
      <c r="C11445" s="1342"/>
      <c r="D11445" s="1342"/>
      <c r="E11445" s="1342"/>
      <c r="F11445" s="1342"/>
      <c r="G11445" s="1342"/>
      <c r="H11445" s="1342"/>
      <c r="I11445" s="1342"/>
      <c r="J11445" s="1342"/>
      <c r="K11445" s="1342"/>
    </row>
    <row r="11446" spans="2:11" ht="14" hidden="1">
      <c r="B11446" s="1342"/>
      <c r="C11446" s="1342"/>
      <c r="D11446" s="1342"/>
      <c r="E11446" s="1342"/>
      <c r="F11446" s="1342"/>
      <c r="G11446" s="1342"/>
      <c r="H11446" s="1342"/>
      <c r="I11446" s="1342"/>
      <c r="J11446" s="1342"/>
      <c r="K11446" s="1342"/>
    </row>
    <row r="11447" spans="2:11" ht="14" hidden="1">
      <c r="B11447" s="1342"/>
      <c r="C11447" s="1342"/>
      <c r="D11447" s="1342"/>
      <c r="E11447" s="1342"/>
      <c r="F11447" s="1342"/>
      <c r="G11447" s="1342"/>
      <c r="H11447" s="1342"/>
      <c r="I11447" s="1342"/>
      <c r="J11447" s="1342"/>
      <c r="K11447" s="1342"/>
    </row>
    <row r="11448" spans="2:11" ht="14" hidden="1">
      <c r="B11448" s="1342"/>
      <c r="C11448" s="1342"/>
      <c r="D11448" s="1342"/>
      <c r="E11448" s="1342"/>
      <c r="F11448" s="1342"/>
      <c r="G11448" s="1342"/>
      <c r="H11448" s="1342"/>
      <c r="I11448" s="1342"/>
      <c r="J11448" s="1342"/>
      <c r="K11448" s="1342"/>
    </row>
    <row r="11449" spans="2:11" ht="14" hidden="1">
      <c r="B11449" s="1342"/>
      <c r="C11449" s="1342"/>
      <c r="D11449" s="1342"/>
      <c r="E11449" s="1342"/>
      <c r="F11449" s="1342"/>
      <c r="G11449" s="1342"/>
      <c r="H11449" s="1342"/>
      <c r="I11449" s="1342"/>
      <c r="J11449" s="1342"/>
      <c r="K11449" s="1342"/>
    </row>
    <row r="11450" spans="2:11" ht="14" hidden="1">
      <c r="B11450" s="1342"/>
      <c r="C11450" s="1342"/>
      <c r="D11450" s="1342"/>
      <c r="E11450" s="1342"/>
      <c r="F11450" s="1342"/>
      <c r="G11450" s="1342"/>
      <c r="H11450" s="1342"/>
      <c r="I11450" s="1342"/>
      <c r="J11450" s="1342"/>
      <c r="K11450" s="1342"/>
    </row>
    <row r="11451" spans="2:11" ht="14" hidden="1">
      <c r="B11451" s="1342"/>
      <c r="C11451" s="1342"/>
      <c r="D11451" s="1342"/>
      <c r="E11451" s="1342"/>
      <c r="F11451" s="1342"/>
      <c r="G11451" s="1342"/>
      <c r="H11451" s="1342"/>
      <c r="I11451" s="1342"/>
      <c r="J11451" s="1342"/>
      <c r="K11451" s="1342"/>
    </row>
    <row r="11452" spans="2:11" ht="14" hidden="1">
      <c r="B11452" s="1342"/>
      <c r="C11452" s="1342"/>
      <c r="D11452" s="1342"/>
      <c r="E11452" s="1342"/>
      <c r="F11452" s="1342"/>
      <c r="G11452" s="1342"/>
      <c r="H11452" s="1342"/>
      <c r="I11452" s="1342"/>
      <c r="J11452" s="1342"/>
      <c r="K11452" s="1342"/>
    </row>
    <row r="11453" spans="2:11" ht="14" hidden="1">
      <c r="B11453" s="1342"/>
      <c r="C11453" s="1342"/>
      <c r="D11453" s="1342"/>
      <c r="E11453" s="1342"/>
      <c r="F11453" s="1342"/>
      <c r="G11453" s="1342"/>
      <c r="H11453" s="1342"/>
      <c r="I11453" s="1342"/>
      <c r="J11453" s="1342"/>
      <c r="K11453" s="1342"/>
    </row>
    <row r="11454" spans="2:11" ht="14" hidden="1">
      <c r="B11454" s="1342"/>
      <c r="C11454" s="1342"/>
      <c r="D11454" s="1342"/>
      <c r="E11454" s="1342"/>
      <c r="F11454" s="1342"/>
      <c r="G11454" s="1342"/>
      <c r="H11454" s="1342"/>
      <c r="I11454" s="1342"/>
      <c r="J11454" s="1342"/>
      <c r="K11454" s="1342"/>
    </row>
    <row r="11455" spans="2:11" ht="14" hidden="1">
      <c r="B11455" s="1342"/>
      <c r="C11455" s="1342"/>
      <c r="D11455" s="1342"/>
      <c r="E11455" s="1342"/>
      <c r="F11455" s="1342"/>
      <c r="G11455" s="1342"/>
      <c r="H11455" s="1342"/>
      <c r="I11455" s="1342"/>
      <c r="J11455" s="1342"/>
      <c r="K11455" s="1342"/>
    </row>
    <row r="11456" spans="2:11" ht="14" hidden="1">
      <c r="B11456" s="1342"/>
      <c r="C11456" s="1342"/>
      <c r="D11456" s="1342"/>
      <c r="E11456" s="1342"/>
      <c r="F11456" s="1342"/>
      <c r="G11456" s="1342"/>
      <c r="H11456" s="1342"/>
      <c r="I11456" s="1342"/>
      <c r="J11456" s="1342"/>
      <c r="K11456" s="1342"/>
    </row>
    <row r="11457" spans="2:11" ht="14" hidden="1">
      <c r="B11457" s="1342"/>
      <c r="C11457" s="1342"/>
      <c r="D11457" s="1342"/>
      <c r="E11457" s="1342"/>
      <c r="F11457" s="1342"/>
      <c r="G11457" s="1342"/>
      <c r="H11457" s="1342"/>
      <c r="I11457" s="1342"/>
      <c r="J11457" s="1342"/>
      <c r="K11457" s="1342"/>
    </row>
    <row r="11458" spans="2:11" ht="14" hidden="1">
      <c r="B11458" s="1342"/>
      <c r="C11458" s="1342"/>
      <c r="D11458" s="1342"/>
      <c r="E11458" s="1342"/>
      <c r="F11458" s="1342"/>
      <c r="G11458" s="1342"/>
      <c r="H11458" s="1342"/>
      <c r="I11458" s="1342"/>
      <c r="J11458" s="1342"/>
      <c r="K11458" s="1342"/>
    </row>
    <row r="11459" spans="2:11" ht="14" hidden="1">
      <c r="B11459" s="1342"/>
      <c r="C11459" s="1342"/>
      <c r="D11459" s="1342"/>
      <c r="E11459" s="1342"/>
      <c r="F11459" s="1342"/>
      <c r="G11459" s="1342"/>
      <c r="H11459" s="1342"/>
      <c r="I11459" s="1342"/>
      <c r="J11459" s="1342"/>
      <c r="K11459" s="1342"/>
    </row>
    <row r="11460" spans="2:11" ht="14" hidden="1">
      <c r="B11460" s="1342"/>
      <c r="C11460" s="1342"/>
      <c r="D11460" s="1342"/>
      <c r="E11460" s="1342"/>
      <c r="F11460" s="1342"/>
      <c r="G11460" s="1342"/>
      <c r="H11460" s="1342"/>
      <c r="I11460" s="1342"/>
      <c r="J11460" s="1342"/>
      <c r="K11460" s="1342"/>
    </row>
    <row r="11461" spans="2:11" ht="14" hidden="1">
      <c r="B11461" s="1342"/>
      <c r="C11461" s="1342"/>
      <c r="D11461" s="1342"/>
      <c r="E11461" s="1342"/>
      <c r="F11461" s="1342"/>
      <c r="G11461" s="1342"/>
      <c r="H11461" s="1342"/>
      <c r="I11461" s="1342"/>
      <c r="J11461" s="1342"/>
      <c r="K11461" s="1342"/>
    </row>
    <row r="11462" spans="2:11" ht="14" hidden="1">
      <c r="B11462" s="1342"/>
      <c r="C11462" s="1342"/>
      <c r="D11462" s="1342"/>
      <c r="E11462" s="1342"/>
      <c r="F11462" s="1342"/>
      <c r="G11462" s="1342"/>
      <c r="H11462" s="1342"/>
      <c r="I11462" s="1342"/>
      <c r="J11462" s="1342"/>
      <c r="K11462" s="1342"/>
    </row>
    <row r="11463" spans="2:11" ht="14" hidden="1">
      <c r="B11463" s="1342"/>
      <c r="C11463" s="1342"/>
      <c r="D11463" s="1342"/>
      <c r="E11463" s="1342"/>
      <c r="F11463" s="1342"/>
      <c r="G11463" s="1342"/>
      <c r="H11463" s="1342"/>
      <c r="I11463" s="1342"/>
      <c r="J11463" s="1342"/>
      <c r="K11463" s="1342"/>
    </row>
    <row r="11464" spans="2:11" ht="14" hidden="1">
      <c r="B11464" s="1342"/>
      <c r="C11464" s="1342"/>
      <c r="D11464" s="1342"/>
      <c r="E11464" s="1342"/>
      <c r="F11464" s="1342"/>
      <c r="G11464" s="1342"/>
      <c r="H11464" s="1342"/>
      <c r="I11464" s="1342"/>
      <c r="J11464" s="1342"/>
      <c r="K11464" s="1342"/>
    </row>
    <row r="11465" spans="2:11" ht="14" hidden="1">
      <c r="B11465" s="1342"/>
      <c r="C11465" s="1342"/>
      <c r="D11465" s="1342"/>
      <c r="E11465" s="1342"/>
      <c r="F11465" s="1342"/>
      <c r="G11465" s="1342"/>
      <c r="H11465" s="1342"/>
      <c r="I11465" s="1342"/>
      <c r="J11465" s="1342"/>
      <c r="K11465" s="1342"/>
    </row>
    <row r="11466" spans="2:11" ht="14" hidden="1">
      <c r="B11466" s="1342"/>
      <c r="C11466" s="1342"/>
      <c r="D11466" s="1342"/>
      <c r="E11466" s="1342"/>
      <c r="F11466" s="1342"/>
      <c r="G11466" s="1342"/>
      <c r="H11466" s="1342"/>
      <c r="I11466" s="1342"/>
      <c r="J11466" s="1342"/>
      <c r="K11466" s="1342"/>
    </row>
    <row r="11467" spans="2:11" ht="14" hidden="1">
      <c r="B11467" s="1342"/>
      <c r="C11467" s="1342"/>
      <c r="D11467" s="1342"/>
      <c r="E11467" s="1342"/>
      <c r="F11467" s="1342"/>
      <c r="G11467" s="1342"/>
      <c r="H11467" s="1342"/>
      <c r="I11467" s="1342"/>
      <c r="J11467" s="1342"/>
      <c r="K11467" s="1342"/>
    </row>
    <row r="11468" spans="2:11" ht="14" hidden="1">
      <c r="B11468" s="1342"/>
      <c r="C11468" s="1342"/>
      <c r="D11468" s="1342"/>
      <c r="E11468" s="1342"/>
      <c r="F11468" s="1342"/>
      <c r="G11468" s="1342"/>
      <c r="H11468" s="1342"/>
      <c r="I11468" s="1342"/>
      <c r="J11468" s="1342"/>
      <c r="K11468" s="1342"/>
    </row>
    <row r="11469" spans="2:11" ht="14" hidden="1">
      <c r="B11469" s="1342"/>
      <c r="C11469" s="1342"/>
      <c r="D11469" s="1342"/>
      <c r="E11469" s="1342"/>
      <c r="F11469" s="1342"/>
      <c r="G11469" s="1342"/>
      <c r="H11469" s="1342"/>
      <c r="I11469" s="1342"/>
      <c r="J11469" s="1342"/>
      <c r="K11469" s="1342"/>
    </row>
    <row r="11470" spans="2:11" ht="14" hidden="1">
      <c r="B11470" s="1342"/>
      <c r="C11470" s="1342"/>
      <c r="D11470" s="1342"/>
      <c r="E11470" s="1342"/>
      <c r="F11470" s="1342"/>
      <c r="G11470" s="1342"/>
      <c r="H11470" s="1342"/>
      <c r="I11470" s="1342"/>
      <c r="J11470" s="1342"/>
      <c r="K11470" s="1342"/>
    </row>
    <row r="11471" spans="2:11" ht="14" hidden="1">
      <c r="B11471" s="1342"/>
      <c r="C11471" s="1342"/>
      <c r="D11471" s="1342"/>
      <c r="E11471" s="1342"/>
      <c r="F11471" s="1342"/>
      <c r="G11471" s="1342"/>
      <c r="H11471" s="1342"/>
      <c r="I11471" s="1342"/>
      <c r="J11471" s="1342"/>
      <c r="K11471" s="1342"/>
    </row>
    <row r="11472" spans="2:11" ht="14" hidden="1">
      <c r="B11472" s="1342"/>
      <c r="C11472" s="1342"/>
      <c r="D11472" s="1342"/>
      <c r="E11472" s="1342"/>
      <c r="F11472" s="1342"/>
      <c r="G11472" s="1342"/>
      <c r="H11472" s="1342"/>
      <c r="I11472" s="1342"/>
      <c r="J11472" s="1342"/>
      <c r="K11472" s="1342"/>
    </row>
    <row r="11473" spans="2:11" ht="14" hidden="1">
      <c r="B11473" s="1342"/>
      <c r="C11473" s="1342"/>
      <c r="D11473" s="1342"/>
      <c r="E11473" s="1342"/>
      <c r="F11473" s="1342"/>
      <c r="G11473" s="1342"/>
      <c r="H11473" s="1342"/>
      <c r="I11473" s="1342"/>
      <c r="J11473" s="1342"/>
      <c r="K11473" s="1342"/>
    </row>
    <row r="11474" spans="2:11" ht="14" hidden="1">
      <c r="B11474" s="1342"/>
      <c r="C11474" s="1342"/>
      <c r="D11474" s="1342"/>
      <c r="E11474" s="1342"/>
      <c r="F11474" s="1342"/>
      <c r="G11474" s="1342"/>
      <c r="H11474" s="1342"/>
      <c r="I11474" s="1342"/>
      <c r="J11474" s="1342"/>
      <c r="K11474" s="1342"/>
    </row>
    <row r="11475" spans="2:11" ht="14" hidden="1">
      <c r="B11475" s="1342"/>
      <c r="C11475" s="1342"/>
      <c r="D11475" s="1342"/>
      <c r="E11475" s="1342"/>
      <c r="F11475" s="1342"/>
      <c r="G11475" s="1342"/>
      <c r="H11475" s="1342"/>
      <c r="I11475" s="1342"/>
      <c r="J11475" s="1342"/>
      <c r="K11475" s="1342"/>
    </row>
    <row r="11476" spans="2:11" ht="14" hidden="1">
      <c r="B11476" s="1342"/>
      <c r="C11476" s="1342"/>
      <c r="D11476" s="1342"/>
      <c r="E11476" s="1342"/>
      <c r="F11476" s="1342"/>
      <c r="G11476" s="1342"/>
      <c r="H11476" s="1342"/>
      <c r="I11476" s="1342"/>
      <c r="J11476" s="1342"/>
      <c r="K11476" s="1342"/>
    </row>
    <row r="11477" spans="2:11" ht="14" hidden="1">
      <c r="B11477" s="1342"/>
      <c r="C11477" s="1342"/>
      <c r="D11477" s="1342"/>
      <c r="E11477" s="1342"/>
      <c r="F11477" s="1342"/>
      <c r="G11477" s="1342"/>
      <c r="H11477" s="1342"/>
      <c r="I11477" s="1342"/>
      <c r="J11477" s="1342"/>
      <c r="K11477" s="1342"/>
    </row>
    <row r="11478" spans="2:11" ht="14" hidden="1">
      <c r="B11478" s="1342"/>
      <c r="C11478" s="1342"/>
      <c r="D11478" s="1342"/>
      <c r="E11478" s="1342"/>
      <c r="F11478" s="1342"/>
      <c r="G11478" s="1342"/>
      <c r="H11478" s="1342"/>
      <c r="I11478" s="1342"/>
      <c r="J11478" s="1342"/>
      <c r="K11478" s="1342"/>
    </row>
    <row r="11479" spans="2:11" ht="14" hidden="1">
      <c r="B11479" s="1342"/>
      <c r="C11479" s="1342"/>
      <c r="D11479" s="1342"/>
      <c r="E11479" s="1342"/>
      <c r="F11479" s="1342"/>
      <c r="G11479" s="1342"/>
      <c r="H11479" s="1342"/>
      <c r="I11479" s="1342"/>
      <c r="J11479" s="1342"/>
      <c r="K11479" s="1342"/>
    </row>
    <row r="11480" spans="2:11" ht="14" hidden="1">
      <c r="B11480" s="1342"/>
      <c r="C11480" s="1342"/>
      <c r="D11480" s="1342"/>
      <c r="E11480" s="1342"/>
      <c r="F11480" s="1342"/>
      <c r="G11480" s="1342"/>
      <c r="H11480" s="1342"/>
      <c r="I11480" s="1342"/>
      <c r="J11480" s="1342"/>
      <c r="K11480" s="1342"/>
    </row>
    <row r="11481" spans="2:11" ht="14" hidden="1">
      <c r="B11481" s="1342"/>
      <c r="C11481" s="1342"/>
      <c r="D11481" s="1342"/>
      <c r="E11481" s="1342"/>
      <c r="F11481" s="1342"/>
      <c r="G11481" s="1342"/>
      <c r="H11481" s="1342"/>
      <c r="I11481" s="1342"/>
      <c r="J11481" s="1342"/>
      <c r="K11481" s="1342"/>
    </row>
    <row r="11482" spans="2:11" ht="14" hidden="1">
      <c r="B11482" s="1342"/>
      <c r="C11482" s="1342"/>
      <c r="D11482" s="1342"/>
      <c r="E11482" s="1342"/>
      <c r="F11482" s="1342"/>
      <c r="G11482" s="1342"/>
      <c r="H11482" s="1342"/>
      <c r="I11482" s="1342"/>
      <c r="J11482" s="1342"/>
      <c r="K11482" s="1342"/>
    </row>
    <row r="11483" spans="2:11" ht="14" hidden="1">
      <c r="B11483" s="1342"/>
      <c r="C11483" s="1342"/>
      <c r="D11483" s="1342"/>
      <c r="E11483" s="1342"/>
      <c r="F11483" s="1342"/>
      <c r="G11483" s="1342"/>
      <c r="H11483" s="1342"/>
      <c r="I11483" s="1342"/>
      <c r="J11483" s="1342"/>
      <c r="K11483" s="1342"/>
    </row>
    <row r="11484" spans="2:11" ht="14" hidden="1">
      <c r="B11484" s="1342"/>
      <c r="C11484" s="1342"/>
      <c r="D11484" s="1342"/>
      <c r="E11484" s="1342"/>
      <c r="F11484" s="1342"/>
      <c r="G11484" s="1342"/>
      <c r="H11484" s="1342"/>
      <c r="I11484" s="1342"/>
      <c r="J11484" s="1342"/>
      <c r="K11484" s="1342"/>
    </row>
    <row r="11485" spans="2:11" ht="14" hidden="1">
      <c r="B11485" s="1342"/>
      <c r="C11485" s="1342"/>
      <c r="D11485" s="1342"/>
      <c r="E11485" s="1342"/>
      <c r="F11485" s="1342"/>
      <c r="G11485" s="1342"/>
      <c r="H11485" s="1342"/>
      <c r="I11485" s="1342"/>
      <c r="J11485" s="1342"/>
      <c r="K11485" s="1342"/>
    </row>
    <row r="11486" spans="2:11" ht="14" hidden="1">
      <c r="B11486" s="1342"/>
      <c r="C11486" s="1342"/>
      <c r="D11486" s="1342"/>
      <c r="E11486" s="1342"/>
      <c r="F11486" s="1342"/>
      <c r="G11486" s="1342"/>
      <c r="H11486" s="1342"/>
      <c r="I11486" s="1342"/>
      <c r="J11486" s="1342"/>
      <c r="K11486" s="1342"/>
    </row>
    <row r="11487" spans="2:11" ht="14" hidden="1">
      <c r="B11487" s="1342"/>
      <c r="C11487" s="1342"/>
      <c r="D11487" s="1342"/>
      <c r="E11487" s="1342"/>
      <c r="F11487" s="1342"/>
      <c r="G11487" s="1342"/>
      <c r="H11487" s="1342"/>
      <c r="I11487" s="1342"/>
      <c r="J11487" s="1342"/>
      <c r="K11487" s="1342"/>
    </row>
    <row r="11488" spans="2:11" ht="14" hidden="1">
      <c r="B11488" s="1342"/>
      <c r="C11488" s="1342"/>
      <c r="D11488" s="1342"/>
      <c r="E11488" s="1342"/>
      <c r="F11488" s="1342"/>
      <c r="G11488" s="1342"/>
      <c r="H11488" s="1342"/>
      <c r="I11488" s="1342"/>
      <c r="J11488" s="1342"/>
      <c r="K11488" s="1342"/>
    </row>
    <row r="11489" spans="2:11" ht="14" hidden="1">
      <c r="B11489" s="1342"/>
      <c r="C11489" s="1342"/>
      <c r="D11489" s="1342"/>
      <c r="E11489" s="1342"/>
      <c r="F11489" s="1342"/>
      <c r="G11489" s="1342"/>
      <c r="H11489" s="1342"/>
      <c r="I11489" s="1342"/>
      <c r="J11489" s="1342"/>
      <c r="K11489" s="1342"/>
    </row>
    <row r="11490" spans="2:11" ht="14" hidden="1">
      <c r="B11490" s="1342"/>
      <c r="C11490" s="1342"/>
      <c r="D11490" s="1342"/>
      <c r="E11490" s="1342"/>
      <c r="F11490" s="1342"/>
      <c r="G11490" s="1342"/>
      <c r="H11490" s="1342"/>
      <c r="I11490" s="1342"/>
      <c r="J11490" s="1342"/>
      <c r="K11490" s="1342"/>
    </row>
    <row r="11491" spans="2:11" ht="14" hidden="1">
      <c r="B11491" s="1342"/>
      <c r="C11491" s="1342"/>
      <c r="D11491" s="1342"/>
      <c r="E11491" s="1342"/>
      <c r="F11491" s="1342"/>
      <c r="G11491" s="1342"/>
      <c r="H11491" s="1342"/>
      <c r="I11491" s="1342"/>
      <c r="J11491" s="1342"/>
      <c r="K11491" s="1342"/>
    </row>
    <row r="11492" spans="2:11" ht="14" hidden="1">
      <c r="B11492" s="1342"/>
      <c r="C11492" s="1342"/>
      <c r="D11492" s="1342"/>
      <c r="E11492" s="1342"/>
      <c r="F11492" s="1342"/>
      <c r="G11492" s="1342"/>
      <c r="H11492" s="1342"/>
      <c r="I11492" s="1342"/>
      <c r="J11492" s="1342"/>
      <c r="K11492" s="1342"/>
    </row>
    <row r="11493" spans="2:11" ht="14" hidden="1">
      <c r="B11493" s="1342"/>
      <c r="C11493" s="1342"/>
      <c r="D11493" s="1342"/>
      <c r="E11493" s="1342"/>
      <c r="F11493" s="1342"/>
      <c r="G11493" s="1342"/>
      <c r="H11493" s="1342"/>
      <c r="I11493" s="1342"/>
      <c r="J11493" s="1342"/>
      <c r="K11493" s="1342"/>
    </row>
    <row r="11494" spans="2:11" ht="14" hidden="1">
      <c r="B11494" s="1342"/>
      <c r="C11494" s="1342"/>
      <c r="D11494" s="1342"/>
      <c r="E11494" s="1342"/>
      <c r="F11494" s="1342"/>
      <c r="G11494" s="1342"/>
      <c r="H11494" s="1342"/>
      <c r="I11494" s="1342"/>
      <c r="J11494" s="1342"/>
      <c r="K11494" s="1342"/>
    </row>
    <row r="11495" spans="2:11" ht="14" hidden="1">
      <c r="B11495" s="1342"/>
      <c r="C11495" s="1342"/>
      <c r="D11495" s="1342"/>
      <c r="E11495" s="1342"/>
      <c r="F11495" s="1342"/>
      <c r="G11495" s="1342"/>
      <c r="H11495" s="1342"/>
      <c r="I11495" s="1342"/>
      <c r="J11495" s="1342"/>
      <c r="K11495" s="1342"/>
    </row>
    <row r="11496" spans="2:11" ht="14" hidden="1">
      <c r="B11496" s="1342"/>
      <c r="C11496" s="1342"/>
      <c r="D11496" s="1342"/>
      <c r="E11496" s="1342"/>
      <c r="F11496" s="1342"/>
      <c r="G11496" s="1342"/>
      <c r="H11496" s="1342"/>
      <c r="I11496" s="1342"/>
      <c r="J11496" s="1342"/>
      <c r="K11496" s="1342"/>
    </row>
    <row r="11497" spans="2:11" ht="14" hidden="1">
      <c r="B11497" s="1342"/>
      <c r="C11497" s="1342"/>
      <c r="D11497" s="1342"/>
      <c r="E11497" s="1342"/>
      <c r="F11497" s="1342"/>
      <c r="G11497" s="1342"/>
      <c r="H11497" s="1342"/>
      <c r="I11497" s="1342"/>
      <c r="J11497" s="1342"/>
      <c r="K11497" s="1342"/>
    </row>
    <row r="11498" spans="2:11" ht="14" hidden="1">
      <c r="B11498" s="1342"/>
      <c r="C11498" s="1342"/>
      <c r="D11498" s="1342"/>
      <c r="E11498" s="1342"/>
      <c r="F11498" s="1342"/>
      <c r="G11498" s="1342"/>
      <c r="H11498" s="1342"/>
      <c r="I11498" s="1342"/>
      <c r="J11498" s="1342"/>
      <c r="K11498" s="1342"/>
    </row>
    <row r="11499" spans="2:11" ht="14" hidden="1">
      <c r="B11499" s="1342"/>
      <c r="C11499" s="1342"/>
      <c r="D11499" s="1342"/>
      <c r="E11499" s="1342"/>
      <c r="F11499" s="1342"/>
      <c r="G11499" s="1342"/>
      <c r="H11499" s="1342"/>
      <c r="I11499" s="1342"/>
      <c r="J11499" s="1342"/>
      <c r="K11499" s="1342"/>
    </row>
    <row r="11500" spans="2:11" ht="14" hidden="1">
      <c r="B11500" s="1342"/>
      <c r="C11500" s="1342"/>
      <c r="D11500" s="1342"/>
      <c r="E11500" s="1342"/>
      <c r="F11500" s="1342"/>
      <c r="G11500" s="1342"/>
      <c r="H11500" s="1342"/>
      <c r="I11500" s="1342"/>
      <c r="J11500" s="1342"/>
      <c r="K11500" s="1342"/>
    </row>
    <row r="11501" spans="2:11" ht="14" hidden="1">
      <c r="B11501" s="1342"/>
      <c r="C11501" s="1342"/>
      <c r="D11501" s="1342"/>
      <c r="E11501" s="1342"/>
      <c r="F11501" s="1342"/>
      <c r="G11501" s="1342"/>
      <c r="H11501" s="1342"/>
      <c r="I11501" s="1342"/>
      <c r="J11501" s="1342"/>
      <c r="K11501" s="1342"/>
    </row>
    <row r="11502" spans="2:11" ht="14" hidden="1">
      <c r="B11502" s="1342"/>
      <c r="C11502" s="1342"/>
      <c r="D11502" s="1342"/>
      <c r="E11502" s="1342"/>
      <c r="F11502" s="1342"/>
      <c r="G11502" s="1342"/>
      <c r="H11502" s="1342"/>
      <c r="I11502" s="1342"/>
      <c r="J11502" s="1342"/>
      <c r="K11502" s="1342"/>
    </row>
    <row r="11503" spans="2:11" ht="14" hidden="1">
      <c r="B11503" s="1342"/>
      <c r="C11503" s="1342"/>
      <c r="D11503" s="1342"/>
      <c r="E11503" s="1342"/>
      <c r="F11503" s="1342"/>
      <c r="G11503" s="1342"/>
      <c r="H11503" s="1342"/>
      <c r="I11503" s="1342"/>
      <c r="J11503" s="1342"/>
      <c r="K11503" s="1342"/>
    </row>
    <row r="11504" spans="2:11" ht="14" hidden="1">
      <c r="B11504" s="1342"/>
      <c r="C11504" s="1342"/>
      <c r="D11504" s="1342"/>
      <c r="E11504" s="1342"/>
      <c r="F11504" s="1342"/>
      <c r="G11504" s="1342"/>
      <c r="H11504" s="1342"/>
      <c r="I11504" s="1342"/>
      <c r="J11504" s="1342"/>
      <c r="K11504" s="1342"/>
    </row>
    <row r="11505" spans="2:11" ht="14" hidden="1">
      <c r="B11505" s="1342"/>
      <c r="C11505" s="1342"/>
      <c r="D11505" s="1342"/>
      <c r="E11505" s="1342"/>
      <c r="F11505" s="1342"/>
      <c r="G11505" s="1342"/>
      <c r="H11505" s="1342"/>
      <c r="I11505" s="1342"/>
      <c r="J11505" s="1342"/>
      <c r="K11505" s="1342"/>
    </row>
    <row r="11506" spans="2:11" ht="14" hidden="1">
      <c r="B11506" s="1342"/>
      <c r="C11506" s="1342"/>
      <c r="D11506" s="1342"/>
      <c r="E11506" s="1342"/>
      <c r="F11506" s="1342"/>
      <c r="G11506" s="1342"/>
      <c r="H11506" s="1342"/>
      <c r="I11506" s="1342"/>
      <c r="J11506" s="1342"/>
      <c r="K11506" s="1342"/>
    </row>
    <row r="11507" spans="2:11" ht="14" hidden="1">
      <c r="B11507" s="1342"/>
      <c r="C11507" s="1342"/>
      <c r="D11507" s="1342"/>
      <c r="E11507" s="1342"/>
      <c r="F11507" s="1342"/>
      <c r="G11507" s="1342"/>
      <c r="H11507" s="1342"/>
      <c r="I11507" s="1342"/>
      <c r="J11507" s="1342"/>
      <c r="K11507" s="1342"/>
    </row>
    <row r="11508" spans="2:11" ht="14" hidden="1">
      <c r="B11508" s="1342"/>
      <c r="C11508" s="1342"/>
      <c r="D11508" s="1342"/>
      <c r="E11508" s="1342"/>
      <c r="F11508" s="1342"/>
      <c r="G11508" s="1342"/>
      <c r="H11508" s="1342"/>
      <c r="I11508" s="1342"/>
      <c r="J11508" s="1342"/>
      <c r="K11508" s="1342"/>
    </row>
    <row r="11509" spans="2:11" ht="14" hidden="1">
      <c r="B11509" s="1342"/>
      <c r="C11509" s="1342"/>
      <c r="D11509" s="1342"/>
      <c r="E11509" s="1342"/>
      <c r="F11509" s="1342"/>
      <c r="G11509" s="1342"/>
      <c r="H11509" s="1342"/>
      <c r="I11509" s="1342"/>
      <c r="J11509" s="1342"/>
      <c r="K11509" s="1342"/>
    </row>
    <row r="11510" spans="2:11" ht="14" hidden="1">
      <c r="B11510" s="1342"/>
      <c r="C11510" s="1342"/>
      <c r="D11510" s="1342"/>
      <c r="E11510" s="1342"/>
      <c r="F11510" s="1342"/>
      <c r="G11510" s="1342"/>
      <c r="H11510" s="1342"/>
      <c r="I11510" s="1342"/>
      <c r="J11510" s="1342"/>
      <c r="K11510" s="1342"/>
    </row>
    <row r="11511" spans="2:11" ht="14" hidden="1">
      <c r="B11511" s="1342"/>
      <c r="C11511" s="1342"/>
      <c r="D11511" s="1342"/>
      <c r="E11511" s="1342"/>
      <c r="F11511" s="1342"/>
      <c r="G11511" s="1342"/>
      <c r="H11511" s="1342"/>
      <c r="I11511" s="1342"/>
      <c r="J11511" s="1342"/>
      <c r="K11511" s="1342"/>
    </row>
    <row r="11512" spans="2:11" ht="14" hidden="1">
      <c r="B11512" s="1342"/>
      <c r="C11512" s="1342"/>
      <c r="D11512" s="1342"/>
      <c r="E11512" s="1342"/>
      <c r="F11512" s="1342"/>
      <c r="G11512" s="1342"/>
      <c r="H11512" s="1342"/>
      <c r="I11512" s="1342"/>
      <c r="J11512" s="1342"/>
      <c r="K11512" s="1342"/>
    </row>
    <row r="11513" spans="2:11" ht="14" hidden="1">
      <c r="B11513" s="1342"/>
      <c r="C11513" s="1342"/>
      <c r="D11513" s="1342"/>
      <c r="E11513" s="1342"/>
      <c r="F11513" s="1342"/>
      <c r="G11513" s="1342"/>
      <c r="H11513" s="1342"/>
      <c r="I11513" s="1342"/>
      <c r="J11513" s="1342"/>
      <c r="K11513" s="1342"/>
    </row>
    <row r="11514" spans="2:11" ht="14" hidden="1">
      <c r="B11514" s="1342"/>
      <c r="C11514" s="1342"/>
      <c r="D11514" s="1342"/>
      <c r="E11514" s="1342"/>
      <c r="F11514" s="1342"/>
      <c r="G11514" s="1342"/>
      <c r="H11514" s="1342"/>
      <c r="I11514" s="1342"/>
      <c r="J11514" s="1342"/>
      <c r="K11514" s="1342"/>
    </row>
    <row r="11515" spans="2:11" ht="14" hidden="1">
      <c r="B11515" s="1342"/>
      <c r="C11515" s="1342"/>
      <c r="D11515" s="1342"/>
      <c r="E11515" s="1342"/>
      <c r="F11515" s="1342"/>
      <c r="G11515" s="1342"/>
      <c r="H11515" s="1342"/>
      <c r="I11515" s="1342"/>
      <c r="J11515" s="1342"/>
      <c r="K11515" s="1342"/>
    </row>
    <row r="11516" spans="2:11" ht="14" hidden="1">
      <c r="B11516" s="1342"/>
      <c r="C11516" s="1342"/>
      <c r="D11516" s="1342"/>
      <c r="E11516" s="1342"/>
      <c r="F11516" s="1342"/>
      <c r="G11516" s="1342"/>
      <c r="H11516" s="1342"/>
      <c r="I11516" s="1342"/>
      <c r="J11516" s="1342"/>
      <c r="K11516" s="1342"/>
    </row>
    <row r="11517" spans="2:11" ht="14" hidden="1">
      <c r="B11517" s="1342"/>
      <c r="C11517" s="1342"/>
      <c r="D11517" s="1342"/>
      <c r="E11517" s="1342"/>
      <c r="F11517" s="1342"/>
      <c r="G11517" s="1342"/>
      <c r="H11517" s="1342"/>
      <c r="I11517" s="1342"/>
      <c r="J11517" s="1342"/>
      <c r="K11517" s="1342"/>
    </row>
    <row r="11518" spans="2:11" ht="14" hidden="1">
      <c r="B11518" s="1342"/>
      <c r="C11518" s="1342"/>
      <c r="D11518" s="1342"/>
      <c r="E11518" s="1342"/>
      <c r="F11518" s="1342"/>
      <c r="G11518" s="1342"/>
      <c r="H11518" s="1342"/>
      <c r="I11518" s="1342"/>
      <c r="J11518" s="1342"/>
      <c r="K11518" s="1342"/>
    </row>
    <row r="11519" spans="2:11" ht="14" hidden="1">
      <c r="B11519" s="1342"/>
      <c r="C11519" s="1342"/>
      <c r="D11519" s="1342"/>
      <c r="E11519" s="1342"/>
      <c r="F11519" s="1342"/>
      <c r="G11519" s="1342"/>
      <c r="H11519" s="1342"/>
      <c r="I11519" s="1342"/>
      <c r="J11519" s="1342"/>
      <c r="K11519" s="1342"/>
    </row>
    <row r="11520" spans="2:11" ht="14" hidden="1">
      <c r="B11520" s="1342"/>
      <c r="C11520" s="1342"/>
      <c r="D11520" s="1342"/>
      <c r="E11520" s="1342"/>
      <c r="F11520" s="1342"/>
      <c r="G11520" s="1342"/>
      <c r="H11520" s="1342"/>
      <c r="I11520" s="1342"/>
      <c r="J11520" s="1342"/>
      <c r="K11520" s="1342"/>
    </row>
    <row r="11521" spans="2:11" ht="14" hidden="1">
      <c r="B11521" s="1342"/>
      <c r="C11521" s="1342"/>
      <c r="D11521" s="1342"/>
      <c r="E11521" s="1342"/>
      <c r="F11521" s="1342"/>
      <c r="G11521" s="1342"/>
      <c r="H11521" s="1342"/>
      <c r="I11521" s="1342"/>
      <c r="J11521" s="1342"/>
      <c r="K11521" s="1342"/>
    </row>
    <row r="11522" spans="2:11" ht="14" hidden="1">
      <c r="B11522" s="1342"/>
      <c r="C11522" s="1342"/>
      <c r="D11522" s="1342"/>
      <c r="E11522" s="1342"/>
      <c r="F11522" s="1342"/>
      <c r="G11522" s="1342"/>
      <c r="H11522" s="1342"/>
      <c r="I11522" s="1342"/>
      <c r="J11522" s="1342"/>
      <c r="K11522" s="1342"/>
    </row>
    <row r="11523" spans="2:11" ht="14" hidden="1">
      <c r="B11523" s="1342"/>
      <c r="C11523" s="1342"/>
      <c r="D11523" s="1342"/>
      <c r="E11523" s="1342"/>
      <c r="F11523" s="1342"/>
      <c r="G11523" s="1342"/>
      <c r="H11523" s="1342"/>
      <c r="I11523" s="1342"/>
      <c r="J11523" s="1342"/>
      <c r="K11523" s="1342"/>
    </row>
    <row r="11524" spans="2:11" ht="14" hidden="1">
      <c r="B11524" s="1342"/>
      <c r="C11524" s="1342"/>
      <c r="D11524" s="1342"/>
      <c r="E11524" s="1342"/>
      <c r="F11524" s="1342"/>
      <c r="G11524" s="1342"/>
      <c r="H11524" s="1342"/>
      <c r="I11524" s="1342"/>
      <c r="J11524" s="1342"/>
      <c r="K11524" s="1342"/>
    </row>
    <row r="11525" spans="2:11" ht="14" hidden="1">
      <c r="B11525" s="1342"/>
      <c r="C11525" s="1342"/>
      <c r="D11525" s="1342"/>
      <c r="E11525" s="1342"/>
      <c r="F11525" s="1342"/>
      <c r="G11525" s="1342"/>
      <c r="H11525" s="1342"/>
      <c r="I11525" s="1342"/>
      <c r="J11525" s="1342"/>
      <c r="K11525" s="1342"/>
    </row>
    <row r="11526" spans="2:11" ht="14" hidden="1">
      <c r="B11526" s="1342"/>
      <c r="C11526" s="1342"/>
      <c r="D11526" s="1342"/>
      <c r="E11526" s="1342"/>
      <c r="F11526" s="1342"/>
      <c r="G11526" s="1342"/>
      <c r="H11526" s="1342"/>
      <c r="I11526" s="1342"/>
      <c r="J11526" s="1342"/>
      <c r="K11526" s="1342"/>
    </row>
    <row r="11527" spans="2:11" ht="14" hidden="1">
      <c r="B11527" s="1342"/>
      <c r="C11527" s="1342"/>
      <c r="D11527" s="1342"/>
      <c r="E11527" s="1342"/>
      <c r="F11527" s="1342"/>
      <c r="G11527" s="1342"/>
      <c r="H11527" s="1342"/>
      <c r="I11527" s="1342"/>
      <c r="J11527" s="1342"/>
      <c r="K11527" s="1342"/>
    </row>
    <row r="11528" spans="2:11" ht="14" hidden="1">
      <c r="B11528" s="1342"/>
      <c r="C11528" s="1342"/>
      <c r="D11528" s="1342"/>
      <c r="E11528" s="1342"/>
      <c r="F11528" s="1342"/>
      <c r="G11528" s="1342"/>
      <c r="H11528" s="1342"/>
      <c r="I11528" s="1342"/>
      <c r="J11528" s="1342"/>
      <c r="K11528" s="1342"/>
    </row>
    <row r="11529" spans="2:11" ht="14" hidden="1">
      <c r="B11529" s="1342"/>
      <c r="C11529" s="1342"/>
      <c r="D11529" s="1342"/>
      <c r="E11529" s="1342"/>
      <c r="F11529" s="1342"/>
      <c r="G11529" s="1342"/>
      <c r="H11529" s="1342"/>
      <c r="I11529" s="1342"/>
      <c r="J11529" s="1342"/>
      <c r="K11529" s="1342"/>
    </row>
    <row r="11530" spans="2:11" ht="14" hidden="1">
      <c r="B11530" s="1342"/>
      <c r="C11530" s="1342"/>
      <c r="D11530" s="1342"/>
      <c r="E11530" s="1342"/>
      <c r="F11530" s="1342"/>
      <c r="G11530" s="1342"/>
      <c r="H11530" s="1342"/>
      <c r="I11530" s="1342"/>
      <c r="J11530" s="1342"/>
      <c r="K11530" s="1342"/>
    </row>
    <row r="11531" spans="2:11" ht="14" hidden="1">
      <c r="B11531" s="1342"/>
      <c r="C11531" s="1342"/>
      <c r="D11531" s="1342"/>
      <c r="E11531" s="1342"/>
      <c r="F11531" s="1342"/>
      <c r="G11531" s="1342"/>
      <c r="H11531" s="1342"/>
      <c r="I11531" s="1342"/>
      <c r="J11531" s="1342"/>
      <c r="K11531" s="1342"/>
    </row>
    <row r="11532" spans="2:11" ht="14" hidden="1">
      <c r="B11532" s="1342"/>
      <c r="C11532" s="1342"/>
      <c r="D11532" s="1342"/>
      <c r="E11532" s="1342"/>
      <c r="F11532" s="1342"/>
      <c r="G11532" s="1342"/>
      <c r="H11532" s="1342"/>
      <c r="I11532" s="1342"/>
      <c r="J11532" s="1342"/>
      <c r="K11532" s="1342"/>
    </row>
    <row r="11533" spans="2:11" ht="14" hidden="1">
      <c r="B11533" s="1342"/>
      <c r="C11533" s="1342"/>
      <c r="D11533" s="1342"/>
      <c r="E11533" s="1342"/>
      <c r="F11533" s="1342"/>
      <c r="G11533" s="1342"/>
      <c r="H11533" s="1342"/>
      <c r="I11533" s="1342"/>
      <c r="J11533" s="1342"/>
      <c r="K11533" s="1342"/>
    </row>
    <row r="11534" spans="2:11" ht="14" hidden="1">
      <c r="B11534" s="1342"/>
      <c r="C11534" s="1342"/>
      <c r="D11534" s="1342"/>
      <c r="E11534" s="1342"/>
      <c r="F11534" s="1342"/>
      <c r="G11534" s="1342"/>
      <c r="H11534" s="1342"/>
      <c r="I11534" s="1342"/>
      <c r="J11534" s="1342"/>
      <c r="K11534" s="1342"/>
    </row>
    <row r="11535" spans="2:11" ht="14" hidden="1">
      <c r="B11535" s="1342"/>
      <c r="C11535" s="1342"/>
      <c r="D11535" s="1342"/>
      <c r="E11535" s="1342"/>
      <c r="F11535" s="1342"/>
      <c r="G11535" s="1342"/>
      <c r="H11535" s="1342"/>
      <c r="I11535" s="1342"/>
      <c r="J11535" s="1342"/>
      <c r="K11535" s="1342"/>
    </row>
    <row r="11536" spans="2:11" ht="14" hidden="1">
      <c r="B11536" s="1342"/>
      <c r="C11536" s="1342"/>
      <c r="D11536" s="1342"/>
      <c r="E11536" s="1342"/>
      <c r="F11536" s="1342"/>
      <c r="G11536" s="1342"/>
      <c r="H11536" s="1342"/>
      <c r="I11536" s="1342"/>
      <c r="J11536" s="1342"/>
      <c r="K11536" s="1342"/>
    </row>
    <row r="11537" spans="2:11" ht="14" hidden="1">
      <c r="B11537" s="1342"/>
      <c r="C11537" s="1342"/>
      <c r="D11537" s="1342"/>
      <c r="E11537" s="1342"/>
      <c r="F11537" s="1342"/>
      <c r="G11537" s="1342"/>
      <c r="H11537" s="1342"/>
      <c r="I11537" s="1342"/>
      <c r="J11537" s="1342"/>
      <c r="K11537" s="1342"/>
    </row>
    <row r="11538" spans="2:11" ht="14" hidden="1">
      <c r="B11538" s="1342"/>
      <c r="C11538" s="1342"/>
      <c r="D11538" s="1342"/>
      <c r="E11538" s="1342"/>
      <c r="F11538" s="1342"/>
      <c r="G11538" s="1342"/>
      <c r="H11538" s="1342"/>
      <c r="I11538" s="1342"/>
      <c r="J11538" s="1342"/>
      <c r="K11538" s="1342"/>
    </row>
    <row r="11539" spans="2:11" ht="14" hidden="1">
      <c r="B11539" s="1342"/>
      <c r="C11539" s="1342"/>
      <c r="D11539" s="1342"/>
      <c r="E11539" s="1342"/>
      <c r="F11539" s="1342"/>
      <c r="G11539" s="1342"/>
      <c r="H11539" s="1342"/>
      <c r="I11539" s="1342"/>
      <c r="J11539" s="1342"/>
      <c r="K11539" s="1342"/>
    </row>
    <row r="11540" spans="2:11" ht="14" hidden="1">
      <c r="B11540" s="1342"/>
      <c r="C11540" s="1342"/>
      <c r="D11540" s="1342"/>
      <c r="E11540" s="1342"/>
      <c r="F11540" s="1342"/>
      <c r="G11540" s="1342"/>
      <c r="H11540" s="1342"/>
      <c r="I11540" s="1342"/>
      <c r="J11540" s="1342"/>
      <c r="K11540" s="1342"/>
    </row>
    <row r="11541" spans="2:11" ht="14" hidden="1">
      <c r="B11541" s="1342"/>
      <c r="C11541" s="1342"/>
      <c r="D11541" s="1342"/>
      <c r="E11541" s="1342"/>
      <c r="F11541" s="1342"/>
      <c r="G11541" s="1342"/>
      <c r="H11541" s="1342"/>
      <c r="I11541" s="1342"/>
      <c r="J11541" s="1342"/>
      <c r="K11541" s="1342"/>
    </row>
    <row r="11542" spans="2:11" ht="14" hidden="1">
      <c r="B11542" s="1342"/>
      <c r="C11542" s="1342"/>
      <c r="D11542" s="1342"/>
      <c r="E11542" s="1342"/>
      <c r="F11542" s="1342"/>
      <c r="G11542" s="1342"/>
      <c r="H11542" s="1342"/>
      <c r="I11542" s="1342"/>
      <c r="J11542" s="1342"/>
      <c r="K11542" s="1342"/>
    </row>
    <row r="11543" spans="2:11" ht="14" hidden="1">
      <c r="B11543" s="1342"/>
      <c r="C11543" s="1342"/>
      <c r="D11543" s="1342"/>
      <c r="E11543" s="1342"/>
      <c r="F11543" s="1342"/>
      <c r="G11543" s="1342"/>
      <c r="H11543" s="1342"/>
      <c r="I11543" s="1342"/>
      <c r="J11543" s="1342"/>
      <c r="K11543" s="1342"/>
    </row>
    <row r="11544" spans="2:11" ht="14" hidden="1">
      <c r="B11544" s="1342"/>
      <c r="C11544" s="1342"/>
      <c r="D11544" s="1342"/>
      <c r="E11544" s="1342"/>
      <c r="F11544" s="1342"/>
      <c r="G11544" s="1342"/>
      <c r="H11544" s="1342"/>
      <c r="I11544" s="1342"/>
      <c r="J11544" s="1342"/>
      <c r="K11544" s="1342"/>
    </row>
    <row r="11545" spans="2:11" ht="14" hidden="1">
      <c r="B11545" s="1342"/>
      <c r="C11545" s="1342"/>
      <c r="D11545" s="1342"/>
      <c r="E11545" s="1342"/>
      <c r="F11545" s="1342"/>
      <c r="G11545" s="1342"/>
      <c r="H11545" s="1342"/>
      <c r="I11545" s="1342"/>
      <c r="J11545" s="1342"/>
      <c r="K11545" s="1342"/>
    </row>
    <row r="11546" spans="2:11" ht="14" hidden="1">
      <c r="B11546" s="1342"/>
      <c r="C11546" s="1342"/>
      <c r="D11546" s="1342"/>
      <c r="E11546" s="1342"/>
      <c r="F11546" s="1342"/>
      <c r="G11546" s="1342"/>
      <c r="H11546" s="1342"/>
      <c r="I11546" s="1342"/>
      <c r="J11546" s="1342"/>
      <c r="K11546" s="1342"/>
    </row>
    <row r="11547" spans="2:11" ht="14" hidden="1">
      <c r="B11547" s="1342"/>
      <c r="C11547" s="1342"/>
      <c r="D11547" s="1342"/>
      <c r="E11547" s="1342"/>
      <c r="F11547" s="1342"/>
      <c r="G11547" s="1342"/>
      <c r="H11547" s="1342"/>
      <c r="I11547" s="1342"/>
      <c r="J11547" s="1342"/>
      <c r="K11547" s="1342"/>
    </row>
    <row r="11548" spans="2:11" ht="14" hidden="1">
      <c r="B11548" s="1342"/>
      <c r="C11548" s="1342"/>
      <c r="D11548" s="1342"/>
      <c r="E11548" s="1342"/>
      <c r="F11548" s="1342"/>
      <c r="G11548" s="1342"/>
      <c r="H11548" s="1342"/>
      <c r="I11548" s="1342"/>
      <c r="J11548" s="1342"/>
      <c r="K11548" s="1342"/>
    </row>
    <row r="11549" spans="2:11" ht="14" hidden="1">
      <c r="B11549" s="1342"/>
      <c r="C11549" s="1342"/>
      <c r="D11549" s="1342"/>
      <c r="E11549" s="1342"/>
      <c r="F11549" s="1342"/>
      <c r="G11549" s="1342"/>
      <c r="H11549" s="1342"/>
      <c r="I11549" s="1342"/>
      <c r="J11549" s="1342"/>
      <c r="K11549" s="1342"/>
    </row>
    <row r="11550" spans="2:11" ht="14" hidden="1">
      <c r="B11550" s="1342"/>
      <c r="C11550" s="1342"/>
      <c r="D11550" s="1342"/>
      <c r="E11550" s="1342"/>
      <c r="F11550" s="1342"/>
      <c r="G11550" s="1342"/>
      <c r="H11550" s="1342"/>
      <c r="I11550" s="1342"/>
      <c r="J11550" s="1342"/>
      <c r="K11550" s="1342"/>
    </row>
    <row r="11551" spans="2:11" ht="14" hidden="1">
      <c r="B11551" s="1342"/>
      <c r="C11551" s="1342"/>
      <c r="D11551" s="1342"/>
      <c r="E11551" s="1342"/>
      <c r="F11551" s="1342"/>
      <c r="G11551" s="1342"/>
      <c r="H11551" s="1342"/>
      <c r="I11551" s="1342"/>
      <c r="J11551" s="1342"/>
      <c r="K11551" s="1342"/>
    </row>
    <row r="11552" spans="2:11" ht="14" hidden="1">
      <c r="B11552" s="1342"/>
      <c r="C11552" s="1342"/>
      <c r="D11552" s="1342"/>
      <c r="E11552" s="1342"/>
      <c r="F11552" s="1342"/>
      <c r="G11552" s="1342"/>
      <c r="H11552" s="1342"/>
      <c r="I11552" s="1342"/>
      <c r="J11552" s="1342"/>
      <c r="K11552" s="1342"/>
    </row>
    <row r="11553" spans="2:11" ht="14" hidden="1">
      <c r="B11553" s="1342"/>
      <c r="C11553" s="1342"/>
      <c r="D11553" s="1342"/>
      <c r="E11553" s="1342"/>
      <c r="F11553" s="1342"/>
      <c r="G11553" s="1342"/>
      <c r="H11553" s="1342"/>
      <c r="I11553" s="1342"/>
      <c r="J11553" s="1342"/>
      <c r="K11553" s="1342"/>
    </row>
    <row r="11554" spans="2:11" ht="14" hidden="1">
      <c r="B11554" s="1342"/>
      <c r="C11554" s="1342"/>
      <c r="D11554" s="1342"/>
      <c r="E11554" s="1342"/>
      <c r="F11554" s="1342"/>
      <c r="G11554" s="1342"/>
      <c r="H11554" s="1342"/>
      <c r="I11554" s="1342"/>
      <c r="J11554" s="1342"/>
      <c r="K11554" s="1342"/>
    </row>
    <row r="11555" spans="2:11" ht="14" hidden="1">
      <c r="B11555" s="1342"/>
      <c r="C11555" s="1342"/>
      <c r="D11555" s="1342"/>
      <c r="E11555" s="1342"/>
      <c r="F11555" s="1342"/>
      <c r="G11555" s="1342"/>
      <c r="H11555" s="1342"/>
      <c r="I11555" s="1342"/>
      <c r="J11555" s="1342"/>
      <c r="K11555" s="1342"/>
    </row>
    <row r="11556" spans="2:11" ht="14" hidden="1">
      <c r="B11556" s="1342"/>
      <c r="C11556" s="1342"/>
      <c r="D11556" s="1342"/>
      <c r="E11556" s="1342"/>
      <c r="F11556" s="1342"/>
      <c r="G11556" s="1342"/>
      <c r="H11556" s="1342"/>
      <c r="I11556" s="1342"/>
      <c r="J11556" s="1342"/>
      <c r="K11556" s="1342"/>
    </row>
    <row r="11557" spans="2:11" ht="14" hidden="1">
      <c r="B11557" s="1342"/>
      <c r="C11557" s="1342"/>
      <c r="D11557" s="1342"/>
      <c r="E11557" s="1342"/>
      <c r="F11557" s="1342"/>
      <c r="G11557" s="1342"/>
      <c r="H11557" s="1342"/>
      <c r="I11557" s="1342"/>
      <c r="J11557" s="1342"/>
      <c r="K11557" s="1342"/>
    </row>
    <row r="11558" spans="2:11" ht="14" hidden="1">
      <c r="B11558" s="1342"/>
      <c r="C11558" s="1342"/>
      <c r="D11558" s="1342"/>
      <c r="E11558" s="1342"/>
      <c r="F11558" s="1342"/>
      <c r="G11558" s="1342"/>
      <c r="H11558" s="1342"/>
      <c r="I11558" s="1342"/>
      <c r="J11558" s="1342"/>
      <c r="K11558" s="1342"/>
    </row>
    <row r="11559" spans="2:11" ht="14" hidden="1">
      <c r="B11559" s="1342"/>
      <c r="C11559" s="1342"/>
      <c r="D11559" s="1342"/>
      <c r="E11559" s="1342"/>
      <c r="F11559" s="1342"/>
      <c r="G11559" s="1342"/>
      <c r="H11559" s="1342"/>
      <c r="I11559" s="1342"/>
      <c r="J11559" s="1342"/>
      <c r="K11559" s="1342"/>
    </row>
    <row r="11560" spans="2:11" ht="14" hidden="1">
      <c r="B11560" s="1342"/>
      <c r="C11560" s="1342"/>
      <c r="D11560" s="1342"/>
      <c r="E11560" s="1342"/>
      <c r="F11560" s="1342"/>
      <c r="G11560" s="1342"/>
      <c r="H11560" s="1342"/>
      <c r="I11560" s="1342"/>
      <c r="J11560" s="1342"/>
      <c r="K11560" s="1342"/>
    </row>
    <row r="11561" spans="2:11" ht="14" hidden="1">
      <c r="B11561" s="1342"/>
      <c r="C11561" s="1342"/>
      <c r="D11561" s="1342"/>
      <c r="E11561" s="1342"/>
      <c r="F11561" s="1342"/>
      <c r="G11561" s="1342"/>
      <c r="H11561" s="1342"/>
      <c r="I11561" s="1342"/>
      <c r="J11561" s="1342"/>
      <c r="K11561" s="1342"/>
    </row>
    <row r="11562" spans="2:11" ht="14" hidden="1">
      <c r="B11562" s="1342"/>
      <c r="C11562" s="1342"/>
      <c r="D11562" s="1342"/>
      <c r="E11562" s="1342"/>
      <c r="F11562" s="1342"/>
      <c r="G11562" s="1342"/>
      <c r="H11562" s="1342"/>
      <c r="I11562" s="1342"/>
      <c r="J11562" s="1342"/>
      <c r="K11562" s="1342"/>
    </row>
    <row r="11563" spans="2:11" ht="14" hidden="1">
      <c r="B11563" s="1342"/>
      <c r="C11563" s="1342"/>
      <c r="D11563" s="1342"/>
      <c r="E11563" s="1342"/>
      <c r="F11563" s="1342"/>
      <c r="G11563" s="1342"/>
      <c r="H11563" s="1342"/>
      <c r="I11563" s="1342"/>
      <c r="J11563" s="1342"/>
      <c r="K11563" s="1342"/>
    </row>
    <row r="11564" spans="2:11" ht="14" hidden="1">
      <c r="B11564" s="1342"/>
      <c r="C11564" s="1342"/>
      <c r="D11564" s="1342"/>
      <c r="E11564" s="1342"/>
      <c r="F11564" s="1342"/>
      <c r="G11564" s="1342"/>
      <c r="H11564" s="1342"/>
      <c r="I11564" s="1342"/>
      <c r="J11564" s="1342"/>
      <c r="K11564" s="1342"/>
    </row>
    <row r="11565" spans="2:11" ht="14" hidden="1">
      <c r="B11565" s="1342"/>
      <c r="C11565" s="1342"/>
      <c r="D11565" s="1342"/>
      <c r="E11565" s="1342"/>
      <c r="F11565" s="1342"/>
      <c r="G11565" s="1342"/>
      <c r="H11565" s="1342"/>
      <c r="I11565" s="1342"/>
      <c r="J11565" s="1342"/>
      <c r="K11565" s="1342"/>
    </row>
    <row r="11566" spans="2:11" ht="14" hidden="1">
      <c r="B11566" s="1342"/>
      <c r="C11566" s="1342"/>
      <c r="D11566" s="1342"/>
      <c r="E11566" s="1342"/>
      <c r="F11566" s="1342"/>
      <c r="G11566" s="1342"/>
      <c r="H11566" s="1342"/>
      <c r="I11566" s="1342"/>
      <c r="J11566" s="1342"/>
      <c r="K11566" s="1342"/>
    </row>
    <row r="11567" spans="2:11" ht="14" hidden="1">
      <c r="B11567" s="1342"/>
      <c r="C11567" s="1342"/>
      <c r="D11567" s="1342"/>
      <c r="E11567" s="1342"/>
      <c r="F11567" s="1342"/>
      <c r="G11567" s="1342"/>
      <c r="H11567" s="1342"/>
      <c r="I11567" s="1342"/>
      <c r="J11567" s="1342"/>
      <c r="K11567" s="1342"/>
    </row>
    <row r="11568" spans="2:11" ht="14" hidden="1">
      <c r="B11568" s="1342"/>
      <c r="C11568" s="1342"/>
      <c r="D11568" s="1342"/>
      <c r="E11568" s="1342"/>
      <c r="F11568" s="1342"/>
      <c r="G11568" s="1342"/>
      <c r="H11568" s="1342"/>
      <c r="I11568" s="1342"/>
      <c r="J11568" s="1342"/>
      <c r="K11568" s="1342"/>
    </row>
    <row r="11569" spans="2:11" ht="14" hidden="1">
      <c r="B11569" s="1342"/>
      <c r="C11569" s="1342"/>
      <c r="D11569" s="1342"/>
      <c r="E11569" s="1342"/>
      <c r="F11569" s="1342"/>
      <c r="G11569" s="1342"/>
      <c r="H11569" s="1342"/>
      <c r="I11569" s="1342"/>
      <c r="J11569" s="1342"/>
      <c r="K11569" s="1342"/>
    </row>
    <row r="11570" spans="2:11" ht="14" hidden="1">
      <c r="B11570" s="1342"/>
      <c r="C11570" s="1342"/>
      <c r="D11570" s="1342"/>
      <c r="E11570" s="1342"/>
      <c r="F11570" s="1342"/>
      <c r="G11570" s="1342"/>
      <c r="H11570" s="1342"/>
      <c r="I11570" s="1342"/>
      <c r="J11570" s="1342"/>
      <c r="K11570" s="1342"/>
    </row>
    <row r="11571" spans="2:11" ht="14" hidden="1">
      <c r="B11571" s="1342"/>
      <c r="C11571" s="1342"/>
      <c r="D11571" s="1342"/>
      <c r="E11571" s="1342"/>
      <c r="F11571" s="1342"/>
      <c r="G11571" s="1342"/>
      <c r="H11571" s="1342"/>
      <c r="I11571" s="1342"/>
      <c r="J11571" s="1342"/>
      <c r="K11571" s="1342"/>
    </row>
    <row r="11572" spans="2:11" ht="14" hidden="1">
      <c r="B11572" s="1342"/>
      <c r="C11572" s="1342"/>
      <c r="D11572" s="1342"/>
      <c r="E11572" s="1342"/>
      <c r="F11572" s="1342"/>
      <c r="G11572" s="1342"/>
      <c r="H11572" s="1342"/>
      <c r="I11572" s="1342"/>
      <c r="J11572" s="1342"/>
      <c r="K11572" s="1342"/>
    </row>
    <row r="11573" spans="2:11" ht="14" hidden="1">
      <c r="B11573" s="1342"/>
      <c r="C11573" s="1342"/>
      <c r="D11573" s="1342"/>
      <c r="E11573" s="1342"/>
      <c r="F11573" s="1342"/>
      <c r="G11573" s="1342"/>
      <c r="H11573" s="1342"/>
      <c r="I11573" s="1342"/>
      <c r="J11573" s="1342"/>
      <c r="K11573" s="1342"/>
    </row>
    <row r="11574" spans="2:11" ht="14" hidden="1">
      <c r="B11574" s="1342"/>
      <c r="C11574" s="1342"/>
      <c r="D11574" s="1342"/>
      <c r="E11574" s="1342"/>
      <c r="F11574" s="1342"/>
      <c r="G11574" s="1342"/>
      <c r="H11574" s="1342"/>
      <c r="I11574" s="1342"/>
      <c r="J11574" s="1342"/>
      <c r="K11574" s="1342"/>
    </row>
    <row r="11575" spans="2:11" ht="14" hidden="1">
      <c r="B11575" s="1342"/>
      <c r="C11575" s="1342"/>
      <c r="D11575" s="1342"/>
      <c r="E11575" s="1342"/>
      <c r="F11575" s="1342"/>
      <c r="G11575" s="1342"/>
      <c r="H11575" s="1342"/>
      <c r="I11575" s="1342"/>
      <c r="J11575" s="1342"/>
      <c r="K11575" s="1342"/>
    </row>
    <row r="11576" spans="2:11" ht="14" hidden="1">
      <c r="B11576" s="1342"/>
      <c r="C11576" s="1342"/>
      <c r="D11576" s="1342"/>
      <c r="E11576" s="1342"/>
      <c r="F11576" s="1342"/>
      <c r="G11576" s="1342"/>
      <c r="H11576" s="1342"/>
      <c r="I11576" s="1342"/>
      <c r="J11576" s="1342"/>
      <c r="K11576" s="1342"/>
    </row>
    <row r="11577" spans="2:11" ht="14" hidden="1">
      <c r="B11577" s="1342"/>
      <c r="C11577" s="1342"/>
      <c r="D11577" s="1342"/>
      <c r="E11577" s="1342"/>
      <c r="F11577" s="1342"/>
      <c r="G11577" s="1342"/>
      <c r="H11577" s="1342"/>
      <c r="I11577" s="1342"/>
      <c r="J11577" s="1342"/>
      <c r="K11577" s="1342"/>
    </row>
    <row r="11578" spans="2:11" ht="14" hidden="1">
      <c r="B11578" s="1342"/>
      <c r="C11578" s="1342"/>
      <c r="D11578" s="1342"/>
      <c r="E11578" s="1342"/>
      <c r="F11578" s="1342"/>
      <c r="G11578" s="1342"/>
      <c r="H11578" s="1342"/>
      <c r="I11578" s="1342"/>
      <c r="J11578" s="1342"/>
      <c r="K11578" s="1342"/>
    </row>
    <row r="11579" spans="2:11" ht="14" hidden="1">
      <c r="B11579" s="1342"/>
      <c r="C11579" s="1342"/>
      <c r="D11579" s="1342"/>
      <c r="E11579" s="1342"/>
      <c r="F11579" s="1342"/>
      <c r="G11579" s="1342"/>
      <c r="H11579" s="1342"/>
      <c r="I11579" s="1342"/>
      <c r="J11579" s="1342"/>
      <c r="K11579" s="1342"/>
    </row>
    <row r="11580" spans="2:11" ht="14" hidden="1">
      <c r="B11580" s="1342"/>
      <c r="C11580" s="1342"/>
      <c r="D11580" s="1342"/>
      <c r="E11580" s="1342"/>
      <c r="F11580" s="1342"/>
      <c r="G11580" s="1342"/>
      <c r="H11580" s="1342"/>
      <c r="I11580" s="1342"/>
      <c r="J11580" s="1342"/>
      <c r="K11580" s="1342"/>
    </row>
    <row r="11581" spans="2:11" ht="14" hidden="1">
      <c r="B11581" s="1342"/>
      <c r="C11581" s="1342"/>
      <c r="D11581" s="1342"/>
      <c r="E11581" s="1342"/>
      <c r="F11581" s="1342"/>
      <c r="G11581" s="1342"/>
      <c r="H11581" s="1342"/>
      <c r="I11581" s="1342"/>
      <c r="J11581" s="1342"/>
      <c r="K11581" s="1342"/>
    </row>
    <row r="11582" spans="2:11" ht="14" hidden="1">
      <c r="B11582" s="1342"/>
      <c r="C11582" s="1342"/>
      <c r="D11582" s="1342"/>
      <c r="E11582" s="1342"/>
      <c r="F11582" s="1342"/>
      <c r="G11582" s="1342"/>
      <c r="H11582" s="1342"/>
      <c r="I11582" s="1342"/>
      <c r="J11582" s="1342"/>
      <c r="K11582" s="1342"/>
    </row>
    <row r="11583" spans="2:11" ht="14" hidden="1">
      <c r="B11583" s="1342"/>
      <c r="C11583" s="1342"/>
      <c r="D11583" s="1342"/>
      <c r="E11583" s="1342"/>
      <c r="F11583" s="1342"/>
      <c r="G11583" s="1342"/>
      <c r="H11583" s="1342"/>
      <c r="I11583" s="1342"/>
      <c r="J11583" s="1342"/>
      <c r="K11583" s="1342"/>
    </row>
    <row r="11584" spans="2:11" ht="14" hidden="1">
      <c r="B11584" s="1342"/>
      <c r="C11584" s="1342"/>
      <c r="D11584" s="1342"/>
      <c r="E11584" s="1342"/>
      <c r="F11584" s="1342"/>
      <c r="G11584" s="1342"/>
      <c r="H11584" s="1342"/>
      <c r="I11584" s="1342"/>
      <c r="J11584" s="1342"/>
      <c r="K11584" s="1342"/>
    </row>
    <row r="11585" spans="2:11" ht="14" hidden="1">
      <c r="B11585" s="1342"/>
      <c r="C11585" s="1342"/>
      <c r="D11585" s="1342"/>
      <c r="E11585" s="1342"/>
      <c r="F11585" s="1342"/>
      <c r="G11585" s="1342"/>
      <c r="H11585" s="1342"/>
      <c r="I11585" s="1342"/>
      <c r="J11585" s="1342"/>
      <c r="K11585" s="1342"/>
    </row>
    <row r="11586" spans="2:11" ht="14" hidden="1">
      <c r="B11586" s="1342"/>
      <c r="C11586" s="1342"/>
      <c r="D11586" s="1342"/>
      <c r="E11586" s="1342"/>
      <c r="F11586" s="1342"/>
      <c r="G11586" s="1342"/>
      <c r="H11586" s="1342"/>
      <c r="I11586" s="1342"/>
      <c r="J11586" s="1342"/>
      <c r="K11586" s="1342"/>
    </row>
    <row r="11587" spans="2:11" ht="14" hidden="1">
      <c r="B11587" s="1342"/>
      <c r="C11587" s="1342"/>
      <c r="D11587" s="1342"/>
      <c r="E11587" s="1342"/>
      <c r="F11587" s="1342"/>
      <c r="G11587" s="1342"/>
      <c r="H11587" s="1342"/>
      <c r="I11587" s="1342"/>
      <c r="J11587" s="1342"/>
      <c r="K11587" s="1342"/>
    </row>
    <row r="11588" spans="2:11" ht="14" hidden="1">
      <c r="B11588" s="1342"/>
      <c r="C11588" s="1342"/>
      <c r="D11588" s="1342"/>
      <c r="E11588" s="1342"/>
      <c r="F11588" s="1342"/>
      <c r="G11588" s="1342"/>
      <c r="H11588" s="1342"/>
      <c r="I11588" s="1342"/>
      <c r="J11588" s="1342"/>
      <c r="K11588" s="1342"/>
    </row>
    <row r="11589" spans="2:11" ht="14" hidden="1">
      <c r="B11589" s="1342"/>
      <c r="C11589" s="1342"/>
      <c r="D11589" s="1342"/>
      <c r="E11589" s="1342"/>
      <c r="F11589" s="1342"/>
      <c r="G11589" s="1342"/>
      <c r="H11589" s="1342"/>
      <c r="I11589" s="1342"/>
      <c r="J11589" s="1342"/>
      <c r="K11589" s="1342"/>
    </row>
    <row r="11590" spans="2:11" ht="14" hidden="1">
      <c r="B11590" s="1342"/>
      <c r="C11590" s="1342"/>
      <c r="D11590" s="1342"/>
      <c r="E11590" s="1342"/>
      <c r="F11590" s="1342"/>
      <c r="G11590" s="1342"/>
      <c r="H11590" s="1342"/>
      <c r="I11590" s="1342"/>
      <c r="J11590" s="1342"/>
      <c r="K11590" s="1342"/>
    </row>
    <row r="11591" spans="2:11" ht="14" hidden="1">
      <c r="B11591" s="1342"/>
      <c r="C11591" s="1342"/>
      <c r="D11591" s="1342"/>
      <c r="E11591" s="1342"/>
      <c r="F11591" s="1342"/>
      <c r="G11591" s="1342"/>
      <c r="H11591" s="1342"/>
      <c r="I11591" s="1342"/>
      <c r="J11591" s="1342"/>
      <c r="K11591" s="1342"/>
    </row>
    <row r="11592" spans="2:11" ht="14" hidden="1">
      <c r="B11592" s="1342"/>
      <c r="C11592" s="1342"/>
      <c r="D11592" s="1342"/>
      <c r="E11592" s="1342"/>
      <c r="F11592" s="1342"/>
      <c r="G11592" s="1342"/>
      <c r="H11592" s="1342"/>
      <c r="I11592" s="1342"/>
      <c r="J11592" s="1342"/>
      <c r="K11592" s="1342"/>
    </row>
    <row r="11593" spans="2:11" ht="14" hidden="1">
      <c r="B11593" s="1342"/>
      <c r="C11593" s="1342"/>
      <c r="D11593" s="1342"/>
      <c r="E11593" s="1342"/>
      <c r="F11593" s="1342"/>
      <c r="G11593" s="1342"/>
      <c r="H11593" s="1342"/>
      <c r="I11593" s="1342"/>
      <c r="J11593" s="1342"/>
      <c r="K11593" s="1342"/>
    </row>
    <row r="11594" spans="2:11" ht="14" hidden="1">
      <c r="B11594" s="1342"/>
      <c r="C11594" s="1342"/>
      <c r="D11594" s="1342"/>
      <c r="E11594" s="1342"/>
      <c r="F11594" s="1342"/>
      <c r="G11594" s="1342"/>
      <c r="H11594" s="1342"/>
      <c r="I11594" s="1342"/>
      <c r="J11594" s="1342"/>
      <c r="K11594" s="1342"/>
    </row>
    <row r="11595" spans="2:11" ht="14" hidden="1">
      <c r="B11595" s="1342"/>
      <c r="C11595" s="1342"/>
      <c r="D11595" s="1342"/>
      <c r="E11595" s="1342"/>
      <c r="F11595" s="1342"/>
      <c r="G11595" s="1342"/>
      <c r="H11595" s="1342"/>
      <c r="I11595" s="1342"/>
      <c r="J11595" s="1342"/>
      <c r="K11595" s="1342"/>
    </row>
    <row r="11596" spans="2:11" ht="14" hidden="1">
      <c r="B11596" s="1342"/>
      <c r="C11596" s="1342"/>
      <c r="D11596" s="1342"/>
      <c r="E11596" s="1342"/>
      <c r="F11596" s="1342"/>
      <c r="G11596" s="1342"/>
      <c r="H11596" s="1342"/>
      <c r="I11596" s="1342"/>
      <c r="J11596" s="1342"/>
      <c r="K11596" s="1342"/>
    </row>
    <row r="11597" spans="2:11" ht="14" hidden="1">
      <c r="B11597" s="1342"/>
      <c r="C11597" s="1342"/>
      <c r="D11597" s="1342"/>
      <c r="E11597" s="1342"/>
      <c r="F11597" s="1342"/>
      <c r="G11597" s="1342"/>
      <c r="H11597" s="1342"/>
      <c r="I11597" s="1342"/>
      <c r="J11597" s="1342"/>
      <c r="K11597" s="1342"/>
    </row>
    <row r="11598" spans="2:11" ht="14" hidden="1">
      <c r="B11598" s="1342"/>
      <c r="C11598" s="1342"/>
      <c r="D11598" s="1342"/>
      <c r="E11598" s="1342"/>
      <c r="F11598" s="1342"/>
      <c r="G11598" s="1342"/>
      <c r="H11598" s="1342"/>
      <c r="I11598" s="1342"/>
      <c r="J11598" s="1342"/>
      <c r="K11598" s="1342"/>
    </row>
    <row r="11599" spans="2:11" ht="14" hidden="1">
      <c r="B11599" s="1342"/>
      <c r="C11599" s="1342"/>
      <c r="D11599" s="1342"/>
      <c r="E11599" s="1342"/>
      <c r="F11599" s="1342"/>
      <c r="G11599" s="1342"/>
      <c r="H11599" s="1342"/>
      <c r="I11599" s="1342"/>
      <c r="J11599" s="1342"/>
      <c r="K11599" s="1342"/>
    </row>
    <row r="11600" spans="2:11" ht="14" hidden="1">
      <c r="B11600" s="1342"/>
      <c r="C11600" s="1342"/>
      <c r="D11600" s="1342"/>
      <c r="E11600" s="1342"/>
      <c r="F11600" s="1342"/>
      <c r="G11600" s="1342"/>
      <c r="H11600" s="1342"/>
      <c r="I11600" s="1342"/>
      <c r="J11600" s="1342"/>
      <c r="K11600" s="1342"/>
    </row>
    <row r="11601" spans="2:11" ht="14" hidden="1">
      <c r="B11601" s="1342"/>
      <c r="C11601" s="1342"/>
      <c r="D11601" s="1342"/>
      <c r="E11601" s="1342"/>
      <c r="F11601" s="1342"/>
      <c r="G11601" s="1342"/>
      <c r="H11601" s="1342"/>
      <c r="I11601" s="1342"/>
      <c r="J11601" s="1342"/>
      <c r="K11601" s="1342"/>
    </row>
    <row r="11602" spans="2:11" ht="14" hidden="1">
      <c r="B11602" s="1342"/>
      <c r="C11602" s="1342"/>
      <c r="D11602" s="1342"/>
      <c r="E11602" s="1342"/>
      <c r="F11602" s="1342"/>
      <c r="G11602" s="1342"/>
      <c r="H11602" s="1342"/>
      <c r="I11602" s="1342"/>
      <c r="J11602" s="1342"/>
      <c r="K11602" s="1342"/>
    </row>
    <row r="11603" spans="2:11" ht="14" hidden="1">
      <c r="B11603" s="1342"/>
      <c r="C11603" s="1342"/>
      <c r="D11603" s="1342"/>
      <c r="E11603" s="1342"/>
      <c r="F11603" s="1342"/>
      <c r="G11603" s="1342"/>
      <c r="H11603" s="1342"/>
      <c r="I11603" s="1342"/>
      <c r="J11603" s="1342"/>
      <c r="K11603" s="1342"/>
    </row>
    <row r="11604" spans="2:11" ht="14" hidden="1">
      <c r="B11604" s="1342"/>
      <c r="C11604" s="1342"/>
      <c r="D11604" s="1342"/>
      <c r="E11604" s="1342"/>
      <c r="F11604" s="1342"/>
      <c r="G11604" s="1342"/>
      <c r="H11604" s="1342"/>
      <c r="I11604" s="1342"/>
      <c r="J11604" s="1342"/>
      <c r="K11604" s="1342"/>
    </row>
    <row r="11605" spans="2:11" ht="14" hidden="1">
      <c r="B11605" s="1342"/>
      <c r="C11605" s="1342"/>
      <c r="D11605" s="1342"/>
      <c r="E11605" s="1342"/>
      <c r="F11605" s="1342"/>
      <c r="G11605" s="1342"/>
      <c r="H11605" s="1342"/>
      <c r="I11605" s="1342"/>
      <c r="J11605" s="1342"/>
      <c r="K11605" s="1342"/>
    </row>
    <row r="11606" spans="2:11" ht="14" hidden="1">
      <c r="B11606" s="1342"/>
      <c r="C11606" s="1342"/>
      <c r="D11606" s="1342"/>
      <c r="E11606" s="1342"/>
      <c r="F11606" s="1342"/>
      <c r="G11606" s="1342"/>
      <c r="H11606" s="1342"/>
      <c r="I11606" s="1342"/>
      <c r="J11606" s="1342"/>
      <c r="K11606" s="1342"/>
    </row>
    <row r="11607" spans="2:11" ht="14" hidden="1">
      <c r="B11607" s="1342"/>
      <c r="C11607" s="1342"/>
      <c r="D11607" s="1342"/>
      <c r="E11607" s="1342"/>
      <c r="F11607" s="1342"/>
      <c r="G11607" s="1342"/>
      <c r="H11607" s="1342"/>
      <c r="I11607" s="1342"/>
      <c r="J11607" s="1342"/>
      <c r="K11607" s="1342"/>
    </row>
    <row r="11608" spans="2:11" ht="14" hidden="1">
      <c r="B11608" s="1342"/>
      <c r="C11608" s="1342"/>
      <c r="D11608" s="1342"/>
      <c r="E11608" s="1342"/>
      <c r="F11608" s="1342"/>
      <c r="G11608" s="1342"/>
      <c r="H11608" s="1342"/>
      <c r="I11608" s="1342"/>
      <c r="J11608" s="1342"/>
      <c r="K11608" s="1342"/>
    </row>
    <row r="11609" spans="2:11" ht="14" hidden="1">
      <c r="B11609" s="1342"/>
      <c r="C11609" s="1342"/>
      <c r="D11609" s="1342"/>
      <c r="E11609" s="1342"/>
      <c r="F11609" s="1342"/>
      <c r="G11609" s="1342"/>
      <c r="H11609" s="1342"/>
      <c r="I11609" s="1342"/>
      <c r="J11609" s="1342"/>
      <c r="K11609" s="1342"/>
    </row>
    <row r="11610" spans="2:11" ht="14" hidden="1">
      <c r="B11610" s="1342"/>
      <c r="C11610" s="1342"/>
      <c r="D11610" s="1342"/>
      <c r="E11610" s="1342"/>
      <c r="F11610" s="1342"/>
      <c r="G11610" s="1342"/>
      <c r="H11610" s="1342"/>
      <c r="I11610" s="1342"/>
      <c r="J11610" s="1342"/>
      <c r="K11610" s="1342"/>
    </row>
    <row r="11611" spans="2:11" ht="14" hidden="1">
      <c r="B11611" s="1342"/>
      <c r="C11611" s="1342"/>
      <c r="D11611" s="1342"/>
      <c r="E11611" s="1342"/>
      <c r="F11611" s="1342"/>
      <c r="G11611" s="1342"/>
      <c r="H11611" s="1342"/>
      <c r="I11611" s="1342"/>
      <c r="J11611" s="1342"/>
      <c r="K11611" s="1342"/>
    </row>
    <row r="11612" spans="2:11" ht="14" hidden="1">
      <c r="B11612" s="1342"/>
      <c r="C11612" s="1342"/>
      <c r="D11612" s="1342"/>
      <c r="E11612" s="1342"/>
      <c r="F11612" s="1342"/>
      <c r="G11612" s="1342"/>
      <c r="H11612" s="1342"/>
      <c r="I11612" s="1342"/>
      <c r="J11612" s="1342"/>
      <c r="K11612" s="1342"/>
    </row>
    <row r="11613" spans="2:11" ht="14" hidden="1">
      <c r="B11613" s="1342"/>
      <c r="C11613" s="1342"/>
      <c r="D11613" s="1342"/>
      <c r="E11613" s="1342"/>
      <c r="F11613" s="1342"/>
      <c r="G11613" s="1342"/>
      <c r="H11613" s="1342"/>
      <c r="I11613" s="1342"/>
      <c r="J11613" s="1342"/>
      <c r="K11613" s="1342"/>
    </row>
    <row r="11614" spans="2:11" ht="14" hidden="1">
      <c r="B11614" s="1342"/>
      <c r="C11614" s="1342"/>
      <c r="D11614" s="1342"/>
      <c r="E11614" s="1342"/>
      <c r="F11614" s="1342"/>
      <c r="G11614" s="1342"/>
      <c r="H11614" s="1342"/>
      <c r="I11614" s="1342"/>
      <c r="J11614" s="1342"/>
      <c r="K11614" s="1342"/>
    </row>
    <row r="11615" spans="2:11" ht="14" hidden="1">
      <c r="B11615" s="1342"/>
      <c r="C11615" s="1342"/>
      <c r="D11615" s="1342"/>
      <c r="E11615" s="1342"/>
      <c r="F11615" s="1342"/>
      <c r="G11615" s="1342"/>
      <c r="H11615" s="1342"/>
      <c r="I11615" s="1342"/>
      <c r="J11615" s="1342"/>
      <c r="K11615" s="1342"/>
    </row>
    <row r="11616" spans="2:11" ht="14" hidden="1">
      <c r="B11616" s="1342"/>
      <c r="C11616" s="1342"/>
      <c r="D11616" s="1342"/>
      <c r="E11616" s="1342"/>
      <c r="F11616" s="1342"/>
      <c r="G11616" s="1342"/>
      <c r="H11616" s="1342"/>
      <c r="I11616" s="1342"/>
      <c r="J11616" s="1342"/>
      <c r="K11616" s="1342"/>
    </row>
    <row r="11617" spans="2:11" ht="14" hidden="1">
      <c r="B11617" s="1342"/>
      <c r="C11617" s="1342"/>
      <c r="D11617" s="1342"/>
      <c r="E11617" s="1342"/>
      <c r="F11617" s="1342"/>
      <c r="G11617" s="1342"/>
      <c r="H11617" s="1342"/>
      <c r="I11617" s="1342"/>
      <c r="J11617" s="1342"/>
      <c r="K11617" s="1342"/>
    </row>
    <row r="11618" spans="2:11" ht="14" hidden="1">
      <c r="B11618" s="1342"/>
      <c r="C11618" s="1342"/>
      <c r="D11618" s="1342"/>
      <c r="E11618" s="1342"/>
      <c r="F11618" s="1342"/>
      <c r="G11618" s="1342"/>
      <c r="H11618" s="1342"/>
      <c r="I11618" s="1342"/>
      <c r="J11618" s="1342"/>
      <c r="K11618" s="1342"/>
    </row>
    <row r="11619" spans="2:11" ht="14" hidden="1">
      <c r="B11619" s="1342"/>
      <c r="C11619" s="1342"/>
      <c r="D11619" s="1342"/>
      <c r="E11619" s="1342"/>
      <c r="F11619" s="1342"/>
      <c r="G11619" s="1342"/>
      <c r="H11619" s="1342"/>
      <c r="I11619" s="1342"/>
      <c r="J11619" s="1342"/>
      <c r="K11619" s="1342"/>
    </row>
    <row r="11620" spans="2:11" ht="14" hidden="1">
      <c r="B11620" s="1342"/>
      <c r="C11620" s="1342"/>
      <c r="D11620" s="1342"/>
      <c r="E11620" s="1342"/>
      <c r="F11620" s="1342"/>
      <c r="G11620" s="1342"/>
      <c r="H11620" s="1342"/>
      <c r="I11620" s="1342"/>
      <c r="J11620" s="1342"/>
      <c r="K11620" s="1342"/>
    </row>
    <row r="11621" spans="2:11" ht="14" hidden="1">
      <c r="B11621" s="1342"/>
      <c r="C11621" s="1342"/>
      <c r="D11621" s="1342"/>
      <c r="E11621" s="1342"/>
      <c r="F11621" s="1342"/>
      <c r="G11621" s="1342"/>
      <c r="H11621" s="1342"/>
      <c r="I11621" s="1342"/>
      <c r="J11621" s="1342"/>
      <c r="K11621" s="1342"/>
    </row>
    <row r="11622" spans="2:11" ht="14" hidden="1">
      <c r="B11622" s="1342"/>
      <c r="C11622" s="1342"/>
      <c r="D11622" s="1342"/>
      <c r="E11622" s="1342"/>
      <c r="F11622" s="1342"/>
      <c r="G11622" s="1342"/>
      <c r="H11622" s="1342"/>
      <c r="I11622" s="1342"/>
      <c r="J11622" s="1342"/>
      <c r="K11622" s="1342"/>
    </row>
    <row r="11623" spans="2:11" ht="14" hidden="1">
      <c r="B11623" s="1342"/>
      <c r="C11623" s="1342"/>
      <c r="D11623" s="1342"/>
      <c r="E11623" s="1342"/>
      <c r="F11623" s="1342"/>
      <c r="G11623" s="1342"/>
      <c r="H11623" s="1342"/>
      <c r="I11623" s="1342"/>
      <c r="J11623" s="1342"/>
      <c r="K11623" s="1342"/>
    </row>
    <row r="11624" spans="2:11" ht="14" hidden="1">
      <c r="B11624" s="1342"/>
      <c r="C11624" s="1342"/>
      <c r="D11624" s="1342"/>
      <c r="E11624" s="1342"/>
      <c r="F11624" s="1342"/>
      <c r="G11624" s="1342"/>
      <c r="H11624" s="1342"/>
      <c r="I11624" s="1342"/>
      <c r="J11624" s="1342"/>
      <c r="K11624" s="1342"/>
    </row>
    <row r="11625" spans="2:11" ht="14" hidden="1">
      <c r="B11625" s="1342"/>
      <c r="C11625" s="1342"/>
      <c r="D11625" s="1342"/>
      <c r="E11625" s="1342"/>
      <c r="F11625" s="1342"/>
      <c r="G11625" s="1342"/>
      <c r="H11625" s="1342"/>
      <c r="I11625" s="1342"/>
      <c r="J11625" s="1342"/>
      <c r="K11625" s="1342"/>
    </row>
    <row r="11626" spans="2:11" ht="14" hidden="1">
      <c r="B11626" s="1342"/>
      <c r="C11626" s="1342"/>
      <c r="D11626" s="1342"/>
      <c r="E11626" s="1342"/>
      <c r="F11626" s="1342"/>
      <c r="G11626" s="1342"/>
      <c r="H11626" s="1342"/>
      <c r="I11626" s="1342"/>
      <c r="J11626" s="1342"/>
      <c r="K11626" s="1342"/>
    </row>
    <row r="11627" spans="2:11" ht="14" hidden="1">
      <c r="B11627" s="1342"/>
      <c r="C11627" s="1342"/>
      <c r="D11627" s="1342"/>
      <c r="E11627" s="1342"/>
      <c r="F11627" s="1342"/>
      <c r="G11627" s="1342"/>
      <c r="H11627" s="1342"/>
      <c r="I11627" s="1342"/>
      <c r="J11627" s="1342"/>
      <c r="K11627" s="1342"/>
    </row>
    <row r="11628" spans="2:11" ht="14" hidden="1">
      <c r="B11628" s="1342"/>
      <c r="C11628" s="1342"/>
      <c r="D11628" s="1342"/>
      <c r="E11628" s="1342"/>
      <c r="F11628" s="1342"/>
      <c r="G11628" s="1342"/>
      <c r="H11628" s="1342"/>
      <c r="I11628" s="1342"/>
      <c r="J11628" s="1342"/>
      <c r="K11628" s="1342"/>
    </row>
    <row r="11629" spans="2:11" ht="14" hidden="1">
      <c r="B11629" s="1342"/>
      <c r="C11629" s="1342"/>
      <c r="D11629" s="1342"/>
      <c r="E11629" s="1342"/>
      <c r="F11629" s="1342"/>
      <c r="G11629" s="1342"/>
      <c r="H11629" s="1342"/>
      <c r="I11629" s="1342"/>
      <c r="J11629" s="1342"/>
      <c r="K11629" s="1342"/>
    </row>
    <row r="11630" spans="2:11" ht="14" hidden="1">
      <c r="B11630" s="1342"/>
      <c r="C11630" s="1342"/>
      <c r="D11630" s="1342"/>
      <c r="E11630" s="1342"/>
      <c r="F11630" s="1342"/>
      <c r="G11630" s="1342"/>
      <c r="H11630" s="1342"/>
      <c r="I11630" s="1342"/>
      <c r="J11630" s="1342"/>
      <c r="K11630" s="1342"/>
    </row>
    <row r="11631" spans="2:11" ht="14" hidden="1">
      <c r="B11631" s="1342"/>
      <c r="C11631" s="1342"/>
      <c r="D11631" s="1342"/>
      <c r="E11631" s="1342"/>
      <c r="F11631" s="1342"/>
      <c r="G11631" s="1342"/>
      <c r="H11631" s="1342"/>
      <c r="I11631" s="1342"/>
      <c r="J11631" s="1342"/>
      <c r="K11631" s="1342"/>
    </row>
    <row r="11632" spans="2:11" ht="14" hidden="1">
      <c r="B11632" s="1342"/>
      <c r="C11632" s="1342"/>
      <c r="D11632" s="1342"/>
      <c r="E11632" s="1342"/>
      <c r="F11632" s="1342"/>
      <c r="G11632" s="1342"/>
      <c r="H11632" s="1342"/>
      <c r="I11632" s="1342"/>
      <c r="J11632" s="1342"/>
      <c r="K11632" s="1342"/>
    </row>
    <row r="11633" spans="2:11" ht="14" hidden="1">
      <c r="B11633" s="1342"/>
      <c r="C11633" s="1342"/>
      <c r="D11633" s="1342"/>
      <c r="E11633" s="1342"/>
      <c r="F11633" s="1342"/>
      <c r="G11633" s="1342"/>
      <c r="H11633" s="1342"/>
      <c r="I11633" s="1342"/>
      <c r="J11633" s="1342"/>
      <c r="K11633" s="1342"/>
    </row>
    <row r="11634" spans="2:11" ht="14" hidden="1">
      <c r="B11634" s="1342"/>
      <c r="C11634" s="1342"/>
      <c r="D11634" s="1342"/>
      <c r="E11634" s="1342"/>
      <c r="F11634" s="1342"/>
      <c r="G11634" s="1342"/>
      <c r="H11634" s="1342"/>
      <c r="I11634" s="1342"/>
      <c r="J11634" s="1342"/>
      <c r="K11634" s="1342"/>
    </row>
    <row r="11635" spans="2:11" ht="14" hidden="1">
      <c r="B11635" s="1342"/>
      <c r="C11635" s="1342"/>
      <c r="D11635" s="1342"/>
      <c r="E11635" s="1342"/>
      <c r="F11635" s="1342"/>
      <c r="G11635" s="1342"/>
      <c r="H11635" s="1342"/>
      <c r="I11635" s="1342"/>
      <c r="J11635" s="1342"/>
      <c r="K11635" s="1342"/>
    </row>
    <row r="11636" spans="2:11" ht="14" hidden="1">
      <c r="B11636" s="1342"/>
      <c r="C11636" s="1342"/>
      <c r="D11636" s="1342"/>
      <c r="E11636" s="1342"/>
      <c r="F11636" s="1342"/>
      <c r="G11636" s="1342"/>
      <c r="H11636" s="1342"/>
      <c r="I11636" s="1342"/>
      <c r="J11636" s="1342"/>
      <c r="K11636" s="1342"/>
    </row>
    <row r="11637" spans="2:11" ht="14" hidden="1">
      <c r="B11637" s="1342"/>
      <c r="C11637" s="1342"/>
      <c r="D11637" s="1342"/>
      <c r="E11637" s="1342"/>
      <c r="F11637" s="1342"/>
      <c r="G11637" s="1342"/>
      <c r="H11637" s="1342"/>
      <c r="I11637" s="1342"/>
      <c r="J11637" s="1342"/>
      <c r="K11637" s="1342"/>
    </row>
    <row r="11638" spans="2:11" ht="14" hidden="1">
      <c r="B11638" s="1342"/>
      <c r="C11638" s="1342"/>
      <c r="D11638" s="1342"/>
      <c r="E11638" s="1342"/>
      <c r="F11638" s="1342"/>
      <c r="G11638" s="1342"/>
      <c r="H11638" s="1342"/>
      <c r="I11638" s="1342"/>
      <c r="J11638" s="1342"/>
      <c r="K11638" s="1342"/>
    </row>
    <row r="11639" spans="2:11" ht="14" hidden="1">
      <c r="B11639" s="1342"/>
      <c r="C11639" s="1342"/>
      <c r="D11639" s="1342"/>
      <c r="E11639" s="1342"/>
      <c r="F11639" s="1342"/>
      <c r="G11639" s="1342"/>
      <c r="H11639" s="1342"/>
      <c r="I11639" s="1342"/>
      <c r="J11639" s="1342"/>
      <c r="K11639" s="1342"/>
    </row>
    <row r="11640" spans="2:11" ht="14" hidden="1">
      <c r="B11640" s="1342"/>
      <c r="C11640" s="1342"/>
      <c r="D11640" s="1342"/>
      <c r="E11640" s="1342"/>
      <c r="F11640" s="1342"/>
      <c r="G11640" s="1342"/>
      <c r="H11640" s="1342"/>
      <c r="I11640" s="1342"/>
      <c r="J11640" s="1342"/>
      <c r="K11640" s="1342"/>
    </row>
    <row r="11641" spans="2:11" ht="14" hidden="1">
      <c r="B11641" s="1342"/>
      <c r="C11641" s="1342"/>
      <c r="D11641" s="1342"/>
      <c r="E11641" s="1342"/>
      <c r="F11641" s="1342"/>
      <c r="G11641" s="1342"/>
      <c r="H11641" s="1342"/>
      <c r="I11641" s="1342"/>
      <c r="J11641" s="1342"/>
      <c r="K11641" s="1342"/>
    </row>
    <row r="11642" spans="2:11" ht="14" hidden="1">
      <c r="B11642" s="1342"/>
      <c r="C11642" s="1342"/>
      <c r="D11642" s="1342"/>
      <c r="E11642" s="1342"/>
      <c r="F11642" s="1342"/>
      <c r="G11642" s="1342"/>
      <c r="H11642" s="1342"/>
      <c r="I11642" s="1342"/>
      <c r="J11642" s="1342"/>
      <c r="K11642" s="1342"/>
    </row>
    <row r="11643" spans="2:11" ht="14" hidden="1">
      <c r="B11643" s="1342"/>
      <c r="C11643" s="1342"/>
      <c r="D11643" s="1342"/>
      <c r="E11643" s="1342"/>
      <c r="F11643" s="1342"/>
      <c r="G11643" s="1342"/>
      <c r="H11643" s="1342"/>
      <c r="I11643" s="1342"/>
      <c r="J11643" s="1342"/>
      <c r="K11643" s="1342"/>
    </row>
    <row r="11644" spans="2:11" ht="14" hidden="1">
      <c r="B11644" s="1342"/>
      <c r="C11644" s="1342"/>
      <c r="D11644" s="1342"/>
      <c r="E11644" s="1342"/>
      <c r="F11644" s="1342"/>
      <c r="G11644" s="1342"/>
      <c r="H11644" s="1342"/>
      <c r="I11644" s="1342"/>
      <c r="J11644" s="1342"/>
      <c r="K11644" s="1342"/>
    </row>
    <row r="11645" spans="2:11" ht="14" hidden="1">
      <c r="B11645" s="1342"/>
      <c r="C11645" s="1342"/>
      <c r="D11645" s="1342"/>
      <c r="E11645" s="1342"/>
      <c r="F11645" s="1342"/>
      <c r="G11645" s="1342"/>
      <c r="H11645" s="1342"/>
      <c r="I11645" s="1342"/>
      <c r="J11645" s="1342"/>
      <c r="K11645" s="1342"/>
    </row>
    <row r="11646" spans="2:11" ht="14" hidden="1">
      <c r="B11646" s="1342"/>
      <c r="C11646" s="1342"/>
      <c r="D11646" s="1342"/>
      <c r="E11646" s="1342"/>
      <c r="F11646" s="1342"/>
      <c r="G11646" s="1342"/>
      <c r="H11646" s="1342"/>
      <c r="I11646" s="1342"/>
      <c r="J11646" s="1342"/>
      <c r="K11646" s="1342"/>
    </row>
    <row r="11647" spans="2:11" ht="14" hidden="1">
      <c r="B11647" s="1342"/>
      <c r="C11647" s="1342"/>
      <c r="D11647" s="1342"/>
      <c r="E11647" s="1342"/>
      <c r="F11647" s="1342"/>
      <c r="G11647" s="1342"/>
      <c r="H11647" s="1342"/>
      <c r="I11647" s="1342"/>
      <c r="J11647" s="1342"/>
      <c r="K11647" s="1342"/>
    </row>
    <row r="11648" spans="2:11" ht="14" hidden="1">
      <c r="B11648" s="1342"/>
      <c r="C11648" s="1342"/>
      <c r="D11648" s="1342"/>
      <c r="E11648" s="1342"/>
      <c r="F11648" s="1342"/>
      <c r="G11648" s="1342"/>
      <c r="H11648" s="1342"/>
      <c r="I11648" s="1342"/>
      <c r="J11648" s="1342"/>
      <c r="K11648" s="1342"/>
    </row>
    <row r="11649" spans="2:11" ht="14" hidden="1">
      <c r="B11649" s="1342"/>
      <c r="C11649" s="1342"/>
      <c r="D11649" s="1342"/>
      <c r="E11649" s="1342"/>
      <c r="F11649" s="1342"/>
      <c r="G11649" s="1342"/>
      <c r="H11649" s="1342"/>
      <c r="I11649" s="1342"/>
      <c r="J11649" s="1342"/>
      <c r="K11649" s="1342"/>
    </row>
    <row r="11650" spans="2:11" ht="14" hidden="1">
      <c r="B11650" s="1342"/>
      <c r="C11650" s="1342"/>
      <c r="D11650" s="1342"/>
      <c r="E11650" s="1342"/>
      <c r="F11650" s="1342"/>
      <c r="G11650" s="1342"/>
      <c r="H11650" s="1342"/>
      <c r="I11650" s="1342"/>
      <c r="J11650" s="1342"/>
      <c r="K11650" s="1342"/>
    </row>
    <row r="11651" spans="2:11" ht="14" hidden="1">
      <c r="B11651" s="1342"/>
      <c r="C11651" s="1342"/>
      <c r="D11651" s="1342"/>
      <c r="E11651" s="1342"/>
      <c r="F11651" s="1342"/>
      <c r="G11651" s="1342"/>
      <c r="H11651" s="1342"/>
      <c r="I11651" s="1342"/>
      <c r="J11651" s="1342"/>
      <c r="K11651" s="1342"/>
    </row>
    <row r="11652" spans="2:11" ht="14" hidden="1">
      <c r="B11652" s="1342"/>
      <c r="C11652" s="1342"/>
      <c r="D11652" s="1342"/>
      <c r="E11652" s="1342"/>
      <c r="F11652" s="1342"/>
      <c r="G11652" s="1342"/>
      <c r="H11652" s="1342"/>
      <c r="I11652" s="1342"/>
      <c r="J11652" s="1342"/>
      <c r="K11652" s="1342"/>
    </row>
    <row r="11653" spans="2:11" ht="14" hidden="1">
      <c r="B11653" s="1342"/>
      <c r="C11653" s="1342"/>
      <c r="D11653" s="1342"/>
      <c r="E11653" s="1342"/>
      <c r="F11653" s="1342"/>
      <c r="G11653" s="1342"/>
      <c r="H11653" s="1342"/>
      <c r="I11653" s="1342"/>
      <c r="J11653" s="1342"/>
      <c r="K11653" s="1342"/>
    </row>
    <row r="11654" spans="2:11" ht="14" hidden="1">
      <c r="B11654" s="1342"/>
      <c r="C11654" s="1342"/>
      <c r="D11654" s="1342"/>
      <c r="E11654" s="1342"/>
      <c r="F11654" s="1342"/>
      <c r="G11654" s="1342"/>
      <c r="H11654" s="1342"/>
      <c r="I11654" s="1342"/>
      <c r="J11654" s="1342"/>
      <c r="K11654" s="1342"/>
    </row>
    <row r="11655" spans="2:11" ht="14" hidden="1">
      <c r="B11655" s="1342"/>
      <c r="C11655" s="1342"/>
      <c r="D11655" s="1342"/>
      <c r="E11655" s="1342"/>
      <c r="F11655" s="1342"/>
      <c r="G11655" s="1342"/>
      <c r="H11655" s="1342"/>
      <c r="I11655" s="1342"/>
      <c r="J11655" s="1342"/>
      <c r="K11655" s="1342"/>
    </row>
    <row r="11656" spans="2:11" ht="14" hidden="1">
      <c r="B11656" s="1342"/>
      <c r="C11656" s="1342"/>
      <c r="D11656" s="1342"/>
      <c r="E11656" s="1342"/>
      <c r="F11656" s="1342"/>
      <c r="G11656" s="1342"/>
      <c r="H11656" s="1342"/>
      <c r="I11656" s="1342"/>
      <c r="J11656" s="1342"/>
      <c r="K11656" s="1342"/>
    </row>
    <row r="11657" spans="2:11" ht="14" hidden="1">
      <c r="B11657" s="1342"/>
      <c r="C11657" s="1342"/>
      <c r="D11657" s="1342"/>
      <c r="E11657" s="1342"/>
      <c r="F11657" s="1342"/>
      <c r="G11657" s="1342"/>
      <c r="H11657" s="1342"/>
      <c r="I11657" s="1342"/>
      <c r="J11657" s="1342"/>
      <c r="K11657" s="1342"/>
    </row>
    <row r="11658" spans="2:11" ht="14" hidden="1">
      <c r="B11658" s="1342"/>
      <c r="C11658" s="1342"/>
      <c r="D11658" s="1342"/>
      <c r="E11658" s="1342"/>
      <c r="F11658" s="1342"/>
      <c r="G11658" s="1342"/>
      <c r="H11658" s="1342"/>
      <c r="I11658" s="1342"/>
      <c r="J11658" s="1342"/>
      <c r="K11658" s="1342"/>
    </row>
    <row r="11659" spans="2:11" ht="14" hidden="1">
      <c r="B11659" s="1342"/>
      <c r="C11659" s="1342"/>
      <c r="D11659" s="1342"/>
      <c r="E11659" s="1342"/>
      <c r="F11659" s="1342"/>
      <c r="G11659" s="1342"/>
      <c r="H11659" s="1342"/>
      <c r="I11659" s="1342"/>
      <c r="J11659" s="1342"/>
      <c r="K11659" s="1342"/>
    </row>
    <row r="11660" spans="2:11" ht="14" hidden="1">
      <c r="B11660" s="1342"/>
      <c r="C11660" s="1342"/>
      <c r="D11660" s="1342"/>
      <c r="E11660" s="1342"/>
      <c r="F11660" s="1342"/>
      <c r="G11660" s="1342"/>
      <c r="H11660" s="1342"/>
      <c r="I11660" s="1342"/>
      <c r="J11660" s="1342"/>
      <c r="K11660" s="1342"/>
    </row>
    <row r="11661" spans="2:11" ht="14" hidden="1">
      <c r="B11661" s="1342"/>
      <c r="C11661" s="1342"/>
      <c r="D11661" s="1342"/>
      <c r="E11661" s="1342"/>
      <c r="F11661" s="1342"/>
      <c r="G11661" s="1342"/>
      <c r="H11661" s="1342"/>
      <c r="I11661" s="1342"/>
      <c r="J11661" s="1342"/>
      <c r="K11661" s="1342"/>
    </row>
    <row r="11662" spans="2:11" ht="14" hidden="1">
      <c r="B11662" s="1342"/>
      <c r="C11662" s="1342"/>
      <c r="D11662" s="1342"/>
      <c r="E11662" s="1342"/>
      <c r="F11662" s="1342"/>
      <c r="G11662" s="1342"/>
      <c r="H11662" s="1342"/>
      <c r="I11662" s="1342"/>
      <c r="J11662" s="1342"/>
      <c r="K11662" s="1342"/>
    </row>
    <row r="11663" spans="2:11" ht="14" hidden="1">
      <c r="B11663" s="1342"/>
      <c r="C11663" s="1342"/>
      <c r="D11663" s="1342"/>
      <c r="E11663" s="1342"/>
      <c r="F11663" s="1342"/>
      <c r="G11663" s="1342"/>
      <c r="H11663" s="1342"/>
      <c r="I11663" s="1342"/>
      <c r="J11663" s="1342"/>
      <c r="K11663" s="1342"/>
    </row>
    <row r="11664" spans="2:11" ht="14" hidden="1">
      <c r="B11664" s="1342"/>
      <c r="C11664" s="1342"/>
      <c r="D11664" s="1342"/>
      <c r="E11664" s="1342"/>
      <c r="F11664" s="1342"/>
      <c r="G11664" s="1342"/>
      <c r="H11664" s="1342"/>
      <c r="I11664" s="1342"/>
      <c r="J11664" s="1342"/>
      <c r="K11664" s="1342"/>
    </row>
    <row r="11665" spans="2:11" ht="14" hidden="1">
      <c r="B11665" s="1342"/>
      <c r="C11665" s="1342"/>
      <c r="D11665" s="1342"/>
      <c r="E11665" s="1342"/>
      <c r="F11665" s="1342"/>
      <c r="G11665" s="1342"/>
      <c r="H11665" s="1342"/>
      <c r="I11665" s="1342"/>
      <c r="J11665" s="1342"/>
      <c r="K11665" s="1342"/>
    </row>
    <row r="11666" spans="2:11" ht="14" hidden="1">
      <c r="B11666" s="1342"/>
      <c r="C11666" s="1342"/>
      <c r="D11666" s="1342"/>
      <c r="E11666" s="1342"/>
      <c r="F11666" s="1342"/>
      <c r="G11666" s="1342"/>
      <c r="H11666" s="1342"/>
      <c r="I11666" s="1342"/>
      <c r="J11666" s="1342"/>
      <c r="K11666" s="1342"/>
    </row>
    <row r="11667" spans="2:11" ht="14" hidden="1">
      <c r="B11667" s="1342"/>
      <c r="C11667" s="1342"/>
      <c r="D11667" s="1342"/>
      <c r="E11667" s="1342"/>
      <c r="F11667" s="1342"/>
      <c r="G11667" s="1342"/>
      <c r="H11667" s="1342"/>
      <c r="I11667" s="1342"/>
      <c r="J11667" s="1342"/>
      <c r="K11667" s="1342"/>
    </row>
    <row r="11668" spans="2:11" ht="14" hidden="1">
      <c r="B11668" s="1342"/>
      <c r="C11668" s="1342"/>
      <c r="D11668" s="1342"/>
      <c r="E11668" s="1342"/>
      <c r="F11668" s="1342"/>
      <c r="G11668" s="1342"/>
      <c r="H11668" s="1342"/>
      <c r="I11668" s="1342"/>
      <c r="J11668" s="1342"/>
      <c r="K11668" s="1342"/>
    </row>
    <row r="11669" spans="2:11" ht="14" hidden="1">
      <c r="B11669" s="1342"/>
      <c r="C11669" s="1342"/>
      <c r="D11669" s="1342"/>
      <c r="E11669" s="1342"/>
      <c r="F11669" s="1342"/>
      <c r="G11669" s="1342"/>
      <c r="H11669" s="1342"/>
      <c r="I11669" s="1342"/>
      <c r="J11669" s="1342"/>
      <c r="K11669" s="1342"/>
    </row>
    <row r="11670" spans="2:11" ht="14" hidden="1">
      <c r="B11670" s="1342"/>
      <c r="C11670" s="1342"/>
      <c r="D11670" s="1342"/>
      <c r="E11670" s="1342"/>
      <c r="F11670" s="1342"/>
      <c r="G11670" s="1342"/>
      <c r="H11670" s="1342"/>
      <c r="I11670" s="1342"/>
      <c r="J11670" s="1342"/>
      <c r="K11670" s="1342"/>
    </row>
    <row r="11671" spans="2:11" ht="14" hidden="1">
      <c r="B11671" s="1342"/>
      <c r="C11671" s="1342"/>
      <c r="D11671" s="1342"/>
      <c r="E11671" s="1342"/>
      <c r="F11671" s="1342"/>
      <c r="G11671" s="1342"/>
      <c r="H11671" s="1342"/>
      <c r="I11671" s="1342"/>
      <c r="J11671" s="1342"/>
      <c r="K11671" s="1342"/>
    </row>
    <row r="11672" spans="2:11" ht="14" hidden="1">
      <c r="B11672" s="1342"/>
      <c r="C11672" s="1342"/>
      <c r="D11672" s="1342"/>
      <c r="E11672" s="1342"/>
      <c r="F11672" s="1342"/>
      <c r="G11672" s="1342"/>
      <c r="H11672" s="1342"/>
      <c r="I11672" s="1342"/>
      <c r="J11672" s="1342"/>
      <c r="K11672" s="1342"/>
    </row>
    <row r="11673" spans="2:11" ht="14" hidden="1">
      <c r="B11673" s="1342"/>
      <c r="C11673" s="1342"/>
      <c r="D11673" s="1342"/>
      <c r="E11673" s="1342"/>
      <c r="F11673" s="1342"/>
      <c r="G11673" s="1342"/>
      <c r="H11673" s="1342"/>
      <c r="I11673" s="1342"/>
      <c r="J11673" s="1342"/>
      <c r="K11673" s="1342"/>
    </row>
    <row r="11674" spans="2:11" ht="14" hidden="1">
      <c r="B11674" s="1342"/>
      <c r="C11674" s="1342"/>
      <c r="D11674" s="1342"/>
      <c r="E11674" s="1342"/>
      <c r="F11674" s="1342"/>
      <c r="G11674" s="1342"/>
      <c r="H11674" s="1342"/>
      <c r="I11674" s="1342"/>
      <c r="J11674" s="1342"/>
      <c r="K11674" s="1342"/>
    </row>
    <row r="11675" spans="2:11" ht="14" hidden="1">
      <c r="B11675" s="1342"/>
      <c r="C11675" s="1342"/>
      <c r="D11675" s="1342"/>
      <c r="E11675" s="1342"/>
      <c r="F11675" s="1342"/>
      <c r="G11675" s="1342"/>
      <c r="H11675" s="1342"/>
      <c r="I11675" s="1342"/>
      <c r="J11675" s="1342"/>
      <c r="K11675" s="1342"/>
    </row>
    <row r="11676" spans="2:11" ht="14" hidden="1">
      <c r="B11676" s="1342"/>
      <c r="C11676" s="1342"/>
      <c r="D11676" s="1342"/>
      <c r="E11676" s="1342"/>
      <c r="F11676" s="1342"/>
      <c r="G11676" s="1342"/>
      <c r="H11676" s="1342"/>
      <c r="I11676" s="1342"/>
      <c r="J11676" s="1342"/>
      <c r="K11676" s="1342"/>
    </row>
    <row r="11677" spans="2:11" ht="14" hidden="1">
      <c r="B11677" s="1342"/>
      <c r="C11677" s="1342"/>
      <c r="D11677" s="1342"/>
      <c r="E11677" s="1342"/>
      <c r="F11677" s="1342"/>
      <c r="G11677" s="1342"/>
      <c r="H11677" s="1342"/>
      <c r="I11677" s="1342"/>
      <c r="J11677" s="1342"/>
      <c r="K11677" s="1342"/>
    </row>
    <row r="11678" spans="2:11" ht="14" hidden="1">
      <c r="B11678" s="1342"/>
      <c r="C11678" s="1342"/>
      <c r="D11678" s="1342"/>
      <c r="E11678" s="1342"/>
      <c r="F11678" s="1342"/>
      <c r="G11678" s="1342"/>
      <c r="H11678" s="1342"/>
      <c r="I11678" s="1342"/>
      <c r="J11678" s="1342"/>
      <c r="K11678" s="1342"/>
    </row>
    <row r="11679" spans="2:11" ht="14" hidden="1">
      <c r="B11679" s="1342"/>
      <c r="C11679" s="1342"/>
      <c r="D11679" s="1342"/>
      <c r="E11679" s="1342"/>
      <c r="F11679" s="1342"/>
      <c r="G11679" s="1342"/>
      <c r="H11679" s="1342"/>
      <c r="I11679" s="1342"/>
      <c r="J11679" s="1342"/>
      <c r="K11679" s="1342"/>
    </row>
    <row r="11680" spans="2:11" ht="14" hidden="1">
      <c r="B11680" s="1342"/>
      <c r="C11680" s="1342"/>
      <c r="D11680" s="1342"/>
      <c r="E11680" s="1342"/>
      <c r="F11680" s="1342"/>
      <c r="G11680" s="1342"/>
      <c r="H11680" s="1342"/>
      <c r="I11680" s="1342"/>
      <c r="J11680" s="1342"/>
      <c r="K11680" s="1342"/>
    </row>
    <row r="11681" spans="2:11" ht="14" hidden="1">
      <c r="B11681" s="1342"/>
      <c r="C11681" s="1342"/>
      <c r="D11681" s="1342"/>
      <c r="E11681" s="1342"/>
      <c r="F11681" s="1342"/>
      <c r="G11681" s="1342"/>
      <c r="H11681" s="1342"/>
      <c r="I11681" s="1342"/>
      <c r="J11681" s="1342"/>
      <c r="K11681" s="1342"/>
    </row>
    <row r="11682" spans="2:11" ht="14" hidden="1">
      <c r="B11682" s="1342"/>
      <c r="C11682" s="1342"/>
      <c r="D11682" s="1342"/>
      <c r="E11682" s="1342"/>
      <c r="F11682" s="1342"/>
      <c r="G11682" s="1342"/>
      <c r="H11682" s="1342"/>
      <c r="I11682" s="1342"/>
      <c r="J11682" s="1342"/>
      <c r="K11682" s="1342"/>
    </row>
    <row r="11683" spans="2:11" ht="14" hidden="1">
      <c r="B11683" s="1342"/>
      <c r="C11683" s="1342"/>
      <c r="D11683" s="1342"/>
      <c r="E11683" s="1342"/>
      <c r="F11683" s="1342"/>
      <c r="G11683" s="1342"/>
      <c r="H11683" s="1342"/>
      <c r="I11683" s="1342"/>
      <c r="J11683" s="1342"/>
      <c r="K11683" s="1342"/>
    </row>
    <row r="11684" spans="2:11" ht="14" hidden="1">
      <c r="B11684" s="1342"/>
      <c r="C11684" s="1342"/>
      <c r="D11684" s="1342"/>
      <c r="E11684" s="1342"/>
      <c r="F11684" s="1342"/>
      <c r="G11684" s="1342"/>
      <c r="H11684" s="1342"/>
      <c r="I11684" s="1342"/>
      <c r="J11684" s="1342"/>
      <c r="K11684" s="1342"/>
    </row>
    <row r="11685" spans="2:11" ht="14" hidden="1">
      <c r="B11685" s="1342"/>
      <c r="C11685" s="1342"/>
      <c r="D11685" s="1342"/>
      <c r="E11685" s="1342"/>
      <c r="F11685" s="1342"/>
      <c r="G11685" s="1342"/>
      <c r="H11685" s="1342"/>
      <c r="I11685" s="1342"/>
      <c r="J11685" s="1342"/>
      <c r="K11685" s="1342"/>
    </row>
    <row r="11686" spans="2:11" ht="14" hidden="1">
      <c r="B11686" s="1342"/>
      <c r="C11686" s="1342"/>
      <c r="D11686" s="1342"/>
      <c r="E11686" s="1342"/>
      <c r="F11686" s="1342"/>
      <c r="G11686" s="1342"/>
      <c r="H11686" s="1342"/>
      <c r="I11686" s="1342"/>
      <c r="J11686" s="1342"/>
      <c r="K11686" s="1342"/>
    </row>
    <row r="11687" spans="2:11" ht="14" hidden="1">
      <c r="B11687" s="1342"/>
      <c r="C11687" s="1342"/>
      <c r="D11687" s="1342"/>
      <c r="E11687" s="1342"/>
      <c r="F11687" s="1342"/>
      <c r="G11687" s="1342"/>
      <c r="H11687" s="1342"/>
      <c r="I11687" s="1342"/>
      <c r="J11687" s="1342"/>
      <c r="K11687" s="1342"/>
    </row>
    <row r="11688" spans="2:11" ht="14" hidden="1">
      <c r="B11688" s="1342"/>
      <c r="C11688" s="1342"/>
      <c r="D11688" s="1342"/>
      <c r="E11688" s="1342"/>
      <c r="F11688" s="1342"/>
      <c r="G11688" s="1342"/>
      <c r="H11688" s="1342"/>
      <c r="I11688" s="1342"/>
      <c r="J11688" s="1342"/>
      <c r="K11688" s="1342"/>
    </row>
    <row r="11689" spans="2:11" ht="14" hidden="1">
      <c r="B11689" s="1342"/>
      <c r="C11689" s="1342"/>
      <c r="D11689" s="1342"/>
      <c r="E11689" s="1342"/>
      <c r="F11689" s="1342"/>
      <c r="G11689" s="1342"/>
      <c r="H11689" s="1342"/>
      <c r="I11689" s="1342"/>
      <c r="J11689" s="1342"/>
      <c r="K11689" s="1342"/>
    </row>
    <row r="11690" spans="2:11" ht="14" hidden="1">
      <c r="B11690" s="1342"/>
      <c r="C11690" s="1342"/>
      <c r="D11690" s="1342"/>
      <c r="E11690" s="1342"/>
      <c r="F11690" s="1342"/>
      <c r="G11690" s="1342"/>
      <c r="H11690" s="1342"/>
      <c r="I11690" s="1342"/>
      <c r="J11690" s="1342"/>
      <c r="K11690" s="1342"/>
    </row>
    <row r="11691" spans="2:11" ht="14" hidden="1">
      <c r="B11691" s="1342"/>
      <c r="C11691" s="1342"/>
      <c r="D11691" s="1342"/>
      <c r="E11691" s="1342"/>
      <c r="F11691" s="1342"/>
      <c r="G11691" s="1342"/>
      <c r="H11691" s="1342"/>
      <c r="I11691" s="1342"/>
      <c r="J11691" s="1342"/>
      <c r="K11691" s="1342"/>
    </row>
    <row r="11692" spans="2:11" ht="14" hidden="1">
      <c r="B11692" s="1342"/>
      <c r="C11692" s="1342"/>
      <c r="D11692" s="1342"/>
      <c r="E11692" s="1342"/>
      <c r="F11692" s="1342"/>
      <c r="G11692" s="1342"/>
      <c r="H11692" s="1342"/>
      <c r="I11692" s="1342"/>
      <c r="J11692" s="1342"/>
      <c r="K11692" s="1342"/>
    </row>
    <row r="11693" spans="2:11" ht="14" hidden="1">
      <c r="B11693" s="1342"/>
      <c r="C11693" s="1342"/>
      <c r="D11693" s="1342"/>
      <c r="E11693" s="1342"/>
      <c r="F11693" s="1342"/>
      <c r="G11693" s="1342"/>
      <c r="H11693" s="1342"/>
      <c r="I11693" s="1342"/>
      <c r="J11693" s="1342"/>
      <c r="K11693" s="1342"/>
    </row>
    <row r="11694" spans="2:11" ht="14" hidden="1">
      <c r="B11694" s="1342"/>
      <c r="C11694" s="1342"/>
      <c r="D11694" s="1342"/>
      <c r="E11694" s="1342"/>
      <c r="F11694" s="1342"/>
      <c r="G11694" s="1342"/>
      <c r="H11694" s="1342"/>
      <c r="I11694" s="1342"/>
      <c r="J11694" s="1342"/>
      <c r="K11694" s="1342"/>
    </row>
    <row r="11695" spans="2:11" ht="14" hidden="1">
      <c r="B11695" s="1342"/>
      <c r="C11695" s="1342"/>
      <c r="D11695" s="1342"/>
      <c r="E11695" s="1342"/>
      <c r="F11695" s="1342"/>
      <c r="G11695" s="1342"/>
      <c r="H11695" s="1342"/>
      <c r="I11695" s="1342"/>
      <c r="J11695" s="1342"/>
      <c r="K11695" s="1342"/>
    </row>
    <row r="11696" spans="2:11" ht="14" hidden="1">
      <c r="B11696" s="1342"/>
      <c r="C11696" s="1342"/>
      <c r="D11696" s="1342"/>
      <c r="E11696" s="1342"/>
      <c r="F11696" s="1342"/>
      <c r="G11696" s="1342"/>
      <c r="H11696" s="1342"/>
      <c r="I11696" s="1342"/>
      <c r="J11696" s="1342"/>
      <c r="K11696" s="1342"/>
    </row>
    <row r="11697" spans="2:11" ht="14" hidden="1">
      <c r="B11697" s="1342"/>
      <c r="C11697" s="1342"/>
      <c r="D11697" s="1342"/>
      <c r="E11697" s="1342"/>
      <c r="F11697" s="1342"/>
      <c r="G11697" s="1342"/>
      <c r="H11697" s="1342"/>
      <c r="I11697" s="1342"/>
      <c r="J11697" s="1342"/>
      <c r="K11697" s="1342"/>
    </row>
    <row r="11698" spans="2:11" ht="14" hidden="1">
      <c r="B11698" s="1342"/>
      <c r="C11698" s="1342"/>
      <c r="D11698" s="1342"/>
      <c r="E11698" s="1342"/>
      <c r="F11698" s="1342"/>
      <c r="G11698" s="1342"/>
      <c r="H11698" s="1342"/>
      <c r="I11698" s="1342"/>
      <c r="J11698" s="1342"/>
      <c r="K11698" s="1342"/>
    </row>
    <row r="11699" spans="2:11" ht="14" hidden="1">
      <c r="B11699" s="1342"/>
      <c r="C11699" s="1342"/>
      <c r="D11699" s="1342"/>
      <c r="E11699" s="1342"/>
      <c r="F11699" s="1342"/>
      <c r="G11699" s="1342"/>
      <c r="H11699" s="1342"/>
      <c r="I11699" s="1342"/>
      <c r="J11699" s="1342"/>
      <c r="K11699" s="1342"/>
    </row>
    <row r="11700" spans="2:11" ht="14" hidden="1">
      <c r="B11700" s="1342"/>
      <c r="C11700" s="1342"/>
      <c r="D11700" s="1342"/>
      <c r="E11700" s="1342"/>
      <c r="F11700" s="1342"/>
      <c r="G11700" s="1342"/>
      <c r="H11700" s="1342"/>
      <c r="I11700" s="1342"/>
      <c r="J11700" s="1342"/>
      <c r="K11700" s="1342"/>
    </row>
    <row r="11701" spans="2:11" ht="14" hidden="1">
      <c r="B11701" s="1342"/>
      <c r="C11701" s="1342"/>
      <c r="D11701" s="1342"/>
      <c r="E11701" s="1342"/>
      <c r="F11701" s="1342"/>
      <c r="G11701" s="1342"/>
      <c r="H11701" s="1342"/>
      <c r="I11701" s="1342"/>
      <c r="J11701" s="1342"/>
      <c r="K11701" s="1342"/>
    </row>
    <row r="11702" spans="2:11" ht="14" hidden="1">
      <c r="B11702" s="1342"/>
      <c r="C11702" s="1342"/>
      <c r="D11702" s="1342"/>
      <c r="E11702" s="1342"/>
      <c r="F11702" s="1342"/>
      <c r="G11702" s="1342"/>
      <c r="H11702" s="1342"/>
      <c r="I11702" s="1342"/>
      <c r="J11702" s="1342"/>
      <c r="K11702" s="1342"/>
    </row>
    <row r="11703" spans="2:11" ht="14" hidden="1">
      <c r="B11703" s="1342"/>
      <c r="C11703" s="1342"/>
      <c r="D11703" s="1342"/>
      <c r="E11703" s="1342"/>
      <c r="F11703" s="1342"/>
      <c r="G11703" s="1342"/>
      <c r="H11703" s="1342"/>
      <c r="I11703" s="1342"/>
      <c r="J11703" s="1342"/>
      <c r="K11703" s="1342"/>
    </row>
    <row r="11704" spans="2:11" ht="14" hidden="1">
      <c r="B11704" s="1342"/>
      <c r="C11704" s="1342"/>
      <c r="D11704" s="1342"/>
      <c r="E11704" s="1342"/>
      <c r="F11704" s="1342"/>
      <c r="G11704" s="1342"/>
      <c r="H11704" s="1342"/>
      <c r="I11704" s="1342"/>
      <c r="J11704" s="1342"/>
      <c r="K11704" s="1342"/>
    </row>
    <row r="11705" spans="2:11" ht="14" hidden="1">
      <c r="B11705" s="1342"/>
      <c r="C11705" s="1342"/>
      <c r="D11705" s="1342"/>
      <c r="E11705" s="1342"/>
      <c r="F11705" s="1342"/>
      <c r="G11705" s="1342"/>
      <c r="H11705" s="1342"/>
      <c r="I11705" s="1342"/>
      <c r="J11705" s="1342"/>
      <c r="K11705" s="1342"/>
    </row>
    <row r="11706" spans="2:11" ht="14" hidden="1">
      <c r="B11706" s="1342"/>
      <c r="C11706" s="1342"/>
      <c r="D11706" s="1342"/>
      <c r="E11706" s="1342"/>
      <c r="F11706" s="1342"/>
      <c r="G11706" s="1342"/>
      <c r="H11706" s="1342"/>
      <c r="I11706" s="1342"/>
      <c r="J11706" s="1342"/>
      <c r="K11706" s="1342"/>
    </row>
    <row r="11707" spans="2:11" ht="14" hidden="1">
      <c r="B11707" s="1342"/>
      <c r="C11707" s="1342"/>
      <c r="D11707" s="1342"/>
      <c r="E11707" s="1342"/>
      <c r="F11707" s="1342"/>
      <c r="G11707" s="1342"/>
      <c r="H11707" s="1342"/>
      <c r="I11707" s="1342"/>
      <c r="J11707" s="1342"/>
      <c r="K11707" s="1342"/>
    </row>
    <row r="11708" spans="2:11" ht="14" hidden="1">
      <c r="B11708" s="1342"/>
      <c r="C11708" s="1342"/>
      <c r="D11708" s="1342"/>
      <c r="E11708" s="1342"/>
      <c r="F11708" s="1342"/>
      <c r="G11708" s="1342"/>
      <c r="H11708" s="1342"/>
      <c r="I11708" s="1342"/>
      <c r="J11708" s="1342"/>
      <c r="K11708" s="1342"/>
    </row>
    <row r="11709" spans="2:11" ht="14" hidden="1">
      <c r="B11709" s="1342"/>
      <c r="C11709" s="1342"/>
      <c r="D11709" s="1342"/>
      <c r="E11709" s="1342"/>
      <c r="F11709" s="1342"/>
      <c r="G11709" s="1342"/>
      <c r="H11709" s="1342"/>
      <c r="I11709" s="1342"/>
      <c r="J11709" s="1342"/>
      <c r="K11709" s="1342"/>
    </row>
    <row r="11710" spans="2:11" ht="14" hidden="1">
      <c r="B11710" s="1342"/>
      <c r="C11710" s="1342"/>
      <c r="D11710" s="1342"/>
      <c r="E11710" s="1342"/>
      <c r="F11710" s="1342"/>
      <c r="G11710" s="1342"/>
      <c r="H11710" s="1342"/>
      <c r="I11710" s="1342"/>
      <c r="J11710" s="1342"/>
      <c r="K11710" s="1342"/>
    </row>
    <row r="11711" spans="2:11" ht="14" hidden="1">
      <c r="B11711" s="1342"/>
      <c r="C11711" s="1342"/>
      <c r="D11711" s="1342"/>
      <c r="E11711" s="1342"/>
      <c r="F11711" s="1342"/>
      <c r="G11711" s="1342"/>
      <c r="H11711" s="1342"/>
      <c r="I11711" s="1342"/>
      <c r="J11711" s="1342"/>
      <c r="K11711" s="1342"/>
    </row>
    <row r="11712" spans="2:11" ht="14" hidden="1">
      <c r="B11712" s="1342"/>
      <c r="C11712" s="1342"/>
      <c r="D11712" s="1342"/>
      <c r="E11712" s="1342"/>
      <c r="F11712" s="1342"/>
      <c r="G11712" s="1342"/>
      <c r="H11712" s="1342"/>
      <c r="I11712" s="1342"/>
      <c r="J11712" s="1342"/>
      <c r="K11712" s="1342"/>
    </row>
    <row r="11713" spans="2:11" ht="14" hidden="1">
      <c r="B11713" s="1342"/>
      <c r="C11713" s="1342"/>
      <c r="D11713" s="1342"/>
      <c r="E11713" s="1342"/>
      <c r="F11713" s="1342"/>
      <c r="G11713" s="1342"/>
      <c r="H11713" s="1342"/>
      <c r="I11713" s="1342"/>
      <c r="J11713" s="1342"/>
      <c r="K11713" s="1342"/>
    </row>
    <row r="11714" spans="2:11" ht="14" hidden="1">
      <c r="B11714" s="1342"/>
      <c r="C11714" s="1342"/>
      <c r="D11714" s="1342"/>
      <c r="E11714" s="1342"/>
      <c r="F11714" s="1342"/>
      <c r="G11714" s="1342"/>
      <c r="H11714" s="1342"/>
      <c r="I11714" s="1342"/>
      <c r="J11714" s="1342"/>
      <c r="K11714" s="1342"/>
    </row>
    <row r="11715" spans="2:11" ht="14" hidden="1">
      <c r="B11715" s="1342"/>
      <c r="C11715" s="1342"/>
      <c r="D11715" s="1342"/>
      <c r="E11715" s="1342"/>
      <c r="F11715" s="1342"/>
      <c r="G11715" s="1342"/>
      <c r="H11715" s="1342"/>
      <c r="I11715" s="1342"/>
      <c r="J11715" s="1342"/>
      <c r="K11715" s="1342"/>
    </row>
    <row r="11716" spans="2:11" ht="14" hidden="1">
      <c r="B11716" s="1342"/>
      <c r="C11716" s="1342"/>
      <c r="D11716" s="1342"/>
      <c r="E11716" s="1342"/>
      <c r="F11716" s="1342"/>
      <c r="G11716" s="1342"/>
      <c r="H11716" s="1342"/>
      <c r="I11716" s="1342"/>
      <c r="J11716" s="1342"/>
      <c r="K11716" s="1342"/>
    </row>
    <row r="11717" spans="2:11" ht="14" hidden="1">
      <c r="B11717" s="1342"/>
      <c r="C11717" s="1342"/>
      <c r="D11717" s="1342"/>
      <c r="E11717" s="1342"/>
      <c r="F11717" s="1342"/>
      <c r="G11717" s="1342"/>
      <c r="H11717" s="1342"/>
      <c r="I11717" s="1342"/>
      <c r="J11717" s="1342"/>
      <c r="K11717" s="1342"/>
    </row>
    <row r="11718" spans="2:11" ht="14" hidden="1">
      <c r="B11718" s="1342"/>
      <c r="C11718" s="1342"/>
      <c r="D11718" s="1342"/>
      <c r="E11718" s="1342"/>
      <c r="F11718" s="1342"/>
      <c r="G11718" s="1342"/>
      <c r="H11718" s="1342"/>
      <c r="I11718" s="1342"/>
      <c r="J11718" s="1342"/>
      <c r="K11718" s="1342"/>
    </row>
    <row r="11719" spans="2:11" ht="14" hidden="1">
      <c r="B11719" s="1342"/>
      <c r="C11719" s="1342"/>
      <c r="D11719" s="1342"/>
      <c r="E11719" s="1342"/>
      <c r="F11719" s="1342"/>
      <c r="G11719" s="1342"/>
      <c r="H11719" s="1342"/>
      <c r="I11719" s="1342"/>
      <c r="J11719" s="1342"/>
      <c r="K11719" s="1342"/>
    </row>
    <row r="11720" spans="2:11" ht="14" hidden="1">
      <c r="B11720" s="1342"/>
      <c r="C11720" s="1342"/>
      <c r="D11720" s="1342"/>
      <c r="E11720" s="1342"/>
      <c r="F11720" s="1342"/>
      <c r="G11720" s="1342"/>
      <c r="H11720" s="1342"/>
      <c r="I11720" s="1342"/>
      <c r="J11720" s="1342"/>
      <c r="K11720" s="1342"/>
    </row>
    <row r="11721" spans="2:11" ht="14" hidden="1">
      <c r="B11721" s="1342"/>
      <c r="C11721" s="1342"/>
      <c r="D11721" s="1342"/>
      <c r="E11721" s="1342"/>
      <c r="F11721" s="1342"/>
      <c r="G11721" s="1342"/>
      <c r="H11721" s="1342"/>
      <c r="I11721" s="1342"/>
      <c r="J11721" s="1342"/>
      <c r="K11721" s="1342"/>
    </row>
    <row r="11722" spans="2:11" ht="14" hidden="1">
      <c r="B11722" s="1342"/>
      <c r="C11722" s="1342"/>
      <c r="D11722" s="1342"/>
      <c r="E11722" s="1342"/>
      <c r="F11722" s="1342"/>
      <c r="G11722" s="1342"/>
      <c r="H11722" s="1342"/>
      <c r="I11722" s="1342"/>
      <c r="J11722" s="1342"/>
      <c r="K11722" s="1342"/>
    </row>
    <row r="11723" spans="2:11" ht="14" hidden="1">
      <c r="B11723" s="1342"/>
      <c r="C11723" s="1342"/>
      <c r="D11723" s="1342"/>
      <c r="E11723" s="1342"/>
      <c r="F11723" s="1342"/>
      <c r="G11723" s="1342"/>
      <c r="H11723" s="1342"/>
      <c r="I11723" s="1342"/>
      <c r="J11723" s="1342"/>
      <c r="K11723" s="1342"/>
    </row>
    <row r="11724" spans="2:11" ht="14" hidden="1">
      <c r="B11724" s="1342"/>
      <c r="C11724" s="1342"/>
      <c r="D11724" s="1342"/>
      <c r="E11724" s="1342"/>
      <c r="F11724" s="1342"/>
      <c r="G11724" s="1342"/>
      <c r="H11724" s="1342"/>
      <c r="I11724" s="1342"/>
      <c r="J11724" s="1342"/>
      <c r="K11724" s="1342"/>
    </row>
    <row r="11725" spans="2:11" ht="14" hidden="1">
      <c r="B11725" s="1342"/>
      <c r="C11725" s="1342"/>
      <c r="D11725" s="1342"/>
      <c r="E11725" s="1342"/>
      <c r="F11725" s="1342"/>
      <c r="G11725" s="1342"/>
      <c r="H11725" s="1342"/>
      <c r="I11725" s="1342"/>
      <c r="J11725" s="1342"/>
      <c r="K11725" s="1342"/>
    </row>
    <row r="11726" spans="2:11" ht="14" hidden="1">
      <c r="B11726" s="1342"/>
      <c r="C11726" s="1342"/>
      <c r="D11726" s="1342"/>
      <c r="E11726" s="1342"/>
      <c r="F11726" s="1342"/>
      <c r="G11726" s="1342"/>
      <c r="H11726" s="1342"/>
      <c r="I11726" s="1342"/>
      <c r="J11726" s="1342"/>
      <c r="K11726" s="1342"/>
    </row>
    <row r="11727" spans="2:11" ht="14" hidden="1">
      <c r="B11727" s="1342"/>
      <c r="C11727" s="1342"/>
      <c r="D11727" s="1342"/>
      <c r="E11727" s="1342"/>
      <c r="F11727" s="1342"/>
      <c r="G11727" s="1342"/>
      <c r="H11727" s="1342"/>
      <c r="I11727" s="1342"/>
      <c r="J11727" s="1342"/>
      <c r="K11727" s="1342"/>
    </row>
    <row r="11728" spans="2:11" ht="14" hidden="1">
      <c r="B11728" s="1342"/>
      <c r="C11728" s="1342"/>
      <c r="D11728" s="1342"/>
      <c r="E11728" s="1342"/>
      <c r="F11728" s="1342"/>
      <c r="G11728" s="1342"/>
      <c r="H11728" s="1342"/>
      <c r="I11728" s="1342"/>
      <c r="J11728" s="1342"/>
      <c r="K11728" s="1342"/>
    </row>
    <row r="11729" spans="2:11" ht="14" hidden="1">
      <c r="B11729" s="1342"/>
      <c r="C11729" s="1342"/>
      <c r="D11729" s="1342"/>
      <c r="E11729" s="1342"/>
      <c r="F11729" s="1342"/>
      <c r="G11729" s="1342"/>
      <c r="H11729" s="1342"/>
      <c r="I11729" s="1342"/>
      <c r="J11729" s="1342"/>
      <c r="K11729" s="1342"/>
    </row>
    <row r="11730" spans="2:11" ht="14" hidden="1">
      <c r="B11730" s="1342"/>
      <c r="C11730" s="1342"/>
      <c r="D11730" s="1342"/>
      <c r="E11730" s="1342"/>
      <c r="F11730" s="1342"/>
      <c r="G11730" s="1342"/>
      <c r="H11730" s="1342"/>
      <c r="I11730" s="1342"/>
      <c r="J11730" s="1342"/>
      <c r="K11730" s="1342"/>
    </row>
    <row r="11731" spans="2:11" ht="14" hidden="1">
      <c r="B11731" s="1342"/>
      <c r="C11731" s="1342"/>
      <c r="D11731" s="1342"/>
      <c r="E11731" s="1342"/>
      <c r="F11731" s="1342"/>
      <c r="G11731" s="1342"/>
      <c r="H11731" s="1342"/>
      <c r="I11731" s="1342"/>
      <c r="J11731" s="1342"/>
      <c r="K11731" s="1342"/>
    </row>
    <row r="11732" spans="2:11" ht="14" hidden="1">
      <c r="B11732" s="1342"/>
      <c r="C11732" s="1342"/>
      <c r="D11732" s="1342"/>
      <c r="E11732" s="1342"/>
      <c r="F11732" s="1342"/>
      <c r="G11732" s="1342"/>
      <c r="H11732" s="1342"/>
      <c r="I11732" s="1342"/>
      <c r="J11732" s="1342"/>
      <c r="K11732" s="1342"/>
    </row>
    <row r="11733" spans="2:11" ht="14" hidden="1">
      <c r="B11733" s="1342"/>
      <c r="C11733" s="1342"/>
      <c r="D11733" s="1342"/>
      <c r="E11733" s="1342"/>
      <c r="F11733" s="1342"/>
      <c r="G11733" s="1342"/>
      <c r="H11733" s="1342"/>
      <c r="I11733" s="1342"/>
      <c r="J11733" s="1342"/>
      <c r="K11733" s="1342"/>
    </row>
    <row r="11734" spans="2:11" ht="14" hidden="1">
      <c r="B11734" s="1342"/>
      <c r="C11734" s="1342"/>
      <c r="D11734" s="1342"/>
      <c r="E11734" s="1342"/>
      <c r="F11734" s="1342"/>
      <c r="G11734" s="1342"/>
      <c r="H11734" s="1342"/>
      <c r="I11734" s="1342"/>
      <c r="J11734" s="1342"/>
      <c r="K11734" s="1342"/>
    </row>
    <row r="11735" spans="2:11" ht="14" hidden="1">
      <c r="B11735" s="1342"/>
      <c r="C11735" s="1342"/>
      <c r="D11735" s="1342"/>
      <c r="E11735" s="1342"/>
      <c r="F11735" s="1342"/>
      <c r="G11735" s="1342"/>
      <c r="H11735" s="1342"/>
      <c r="I11735" s="1342"/>
      <c r="J11735" s="1342"/>
      <c r="K11735" s="1342"/>
    </row>
    <row r="11736" spans="2:11" ht="14" hidden="1">
      <c r="B11736" s="1342"/>
      <c r="C11736" s="1342"/>
      <c r="D11736" s="1342"/>
      <c r="E11736" s="1342"/>
      <c r="F11736" s="1342"/>
      <c r="G11736" s="1342"/>
      <c r="H11736" s="1342"/>
      <c r="I11736" s="1342"/>
      <c r="J11736" s="1342"/>
      <c r="K11736" s="1342"/>
    </row>
    <row r="11737" spans="2:11" ht="14" hidden="1">
      <c r="B11737" s="1342"/>
      <c r="C11737" s="1342"/>
      <c r="D11737" s="1342"/>
      <c r="E11737" s="1342"/>
      <c r="F11737" s="1342"/>
      <c r="G11737" s="1342"/>
      <c r="H11737" s="1342"/>
      <c r="I11737" s="1342"/>
      <c r="J11737" s="1342"/>
      <c r="K11737" s="1342"/>
    </row>
    <row r="11738" spans="2:11" ht="14" hidden="1">
      <c r="B11738" s="1342"/>
      <c r="C11738" s="1342"/>
      <c r="D11738" s="1342"/>
      <c r="E11738" s="1342"/>
      <c r="F11738" s="1342"/>
      <c r="G11738" s="1342"/>
      <c r="H11738" s="1342"/>
      <c r="I11738" s="1342"/>
      <c r="J11738" s="1342"/>
      <c r="K11738" s="1342"/>
    </row>
    <row r="11739" spans="2:11" ht="14" hidden="1">
      <c r="B11739" s="1342"/>
      <c r="C11739" s="1342"/>
      <c r="D11739" s="1342"/>
      <c r="E11739" s="1342"/>
      <c r="F11739" s="1342"/>
      <c r="G11739" s="1342"/>
      <c r="H11739" s="1342"/>
      <c r="I11739" s="1342"/>
      <c r="J11739" s="1342"/>
      <c r="K11739" s="1342"/>
    </row>
    <row r="11740" spans="2:11" ht="14" hidden="1">
      <c r="B11740" s="1342"/>
      <c r="C11740" s="1342"/>
      <c r="D11740" s="1342"/>
      <c r="E11740" s="1342"/>
      <c r="F11740" s="1342"/>
      <c r="G11740" s="1342"/>
      <c r="H11740" s="1342"/>
      <c r="I11740" s="1342"/>
      <c r="J11740" s="1342"/>
      <c r="K11740" s="1342"/>
    </row>
    <row r="11741" spans="2:11" ht="14" hidden="1">
      <c r="B11741" s="1342"/>
      <c r="C11741" s="1342"/>
      <c r="D11741" s="1342"/>
      <c r="E11741" s="1342"/>
      <c r="F11741" s="1342"/>
      <c r="G11741" s="1342"/>
      <c r="H11741" s="1342"/>
      <c r="I11741" s="1342"/>
      <c r="J11741" s="1342"/>
      <c r="K11741" s="1342"/>
    </row>
    <row r="11742" spans="2:11" ht="14" hidden="1">
      <c r="B11742" s="1342"/>
      <c r="C11742" s="1342"/>
      <c r="D11742" s="1342"/>
      <c r="E11742" s="1342"/>
      <c r="F11742" s="1342"/>
      <c r="G11742" s="1342"/>
      <c r="H11742" s="1342"/>
      <c r="I11742" s="1342"/>
      <c r="J11742" s="1342"/>
      <c r="K11742" s="1342"/>
    </row>
    <row r="11743" spans="2:11" ht="14" hidden="1">
      <c r="B11743" s="1342"/>
      <c r="C11743" s="1342"/>
      <c r="D11743" s="1342"/>
      <c r="E11743" s="1342"/>
      <c r="F11743" s="1342"/>
      <c r="G11743" s="1342"/>
      <c r="H11743" s="1342"/>
      <c r="I11743" s="1342"/>
      <c r="J11743" s="1342"/>
      <c r="K11743" s="1342"/>
    </row>
    <row r="11744" spans="2:11" ht="14" hidden="1">
      <c r="B11744" s="1342"/>
      <c r="C11744" s="1342"/>
      <c r="D11744" s="1342"/>
      <c r="E11744" s="1342"/>
      <c r="F11744" s="1342"/>
      <c r="G11744" s="1342"/>
      <c r="H11744" s="1342"/>
      <c r="I11744" s="1342"/>
      <c r="J11744" s="1342"/>
      <c r="K11744" s="1342"/>
    </row>
    <row r="11745" spans="2:11" ht="14" hidden="1">
      <c r="B11745" s="1342"/>
      <c r="C11745" s="1342"/>
      <c r="D11745" s="1342"/>
      <c r="E11745" s="1342"/>
      <c r="F11745" s="1342"/>
      <c r="G11745" s="1342"/>
      <c r="H11745" s="1342"/>
      <c r="I11745" s="1342"/>
      <c r="J11745" s="1342"/>
      <c r="K11745" s="1342"/>
    </row>
    <row r="11746" spans="2:11" ht="14" hidden="1">
      <c r="B11746" s="1342"/>
      <c r="C11746" s="1342"/>
      <c r="D11746" s="1342"/>
      <c r="E11746" s="1342"/>
      <c r="F11746" s="1342"/>
      <c r="G11746" s="1342"/>
      <c r="H11746" s="1342"/>
      <c r="I11746" s="1342"/>
      <c r="J11746" s="1342"/>
      <c r="K11746" s="1342"/>
    </row>
    <row r="11747" spans="2:11" ht="14" hidden="1">
      <c r="B11747" s="1342"/>
      <c r="C11747" s="1342"/>
      <c r="D11747" s="1342"/>
      <c r="E11747" s="1342"/>
      <c r="F11747" s="1342"/>
      <c r="G11747" s="1342"/>
      <c r="H11747" s="1342"/>
      <c r="I11747" s="1342"/>
      <c r="J11747" s="1342"/>
      <c r="K11747" s="1342"/>
    </row>
    <row r="11748" spans="2:11" ht="14" hidden="1">
      <c r="B11748" s="1342"/>
      <c r="C11748" s="1342"/>
      <c r="D11748" s="1342"/>
      <c r="E11748" s="1342"/>
      <c r="F11748" s="1342"/>
      <c r="G11748" s="1342"/>
      <c r="H11748" s="1342"/>
      <c r="I11748" s="1342"/>
      <c r="J11748" s="1342"/>
      <c r="K11748" s="1342"/>
    </row>
    <row r="11749" spans="2:11" ht="14" hidden="1">
      <c r="B11749" s="1342"/>
      <c r="C11749" s="1342"/>
      <c r="D11749" s="1342"/>
      <c r="E11749" s="1342"/>
      <c r="F11749" s="1342"/>
      <c r="G11749" s="1342"/>
      <c r="H11749" s="1342"/>
      <c r="I11749" s="1342"/>
      <c r="J11749" s="1342"/>
      <c r="K11749" s="1342"/>
    </row>
    <row r="11750" spans="2:11" ht="14" hidden="1">
      <c r="B11750" s="1342"/>
      <c r="C11750" s="1342"/>
      <c r="D11750" s="1342"/>
      <c r="E11750" s="1342"/>
      <c r="F11750" s="1342"/>
      <c r="G11750" s="1342"/>
      <c r="H11750" s="1342"/>
      <c r="I11750" s="1342"/>
      <c r="J11750" s="1342"/>
      <c r="K11750" s="1342"/>
    </row>
    <row r="11751" spans="2:11" ht="14" hidden="1">
      <c r="B11751" s="1342"/>
      <c r="C11751" s="1342"/>
      <c r="D11751" s="1342"/>
      <c r="E11751" s="1342"/>
      <c r="F11751" s="1342"/>
      <c r="G11751" s="1342"/>
      <c r="H11751" s="1342"/>
      <c r="I11751" s="1342"/>
      <c r="J11751" s="1342"/>
      <c r="K11751" s="1342"/>
    </row>
    <row r="11752" spans="2:11" ht="14" hidden="1">
      <c r="B11752" s="1342"/>
      <c r="C11752" s="1342"/>
      <c r="D11752" s="1342"/>
      <c r="E11752" s="1342"/>
      <c r="F11752" s="1342"/>
      <c r="G11752" s="1342"/>
      <c r="H11752" s="1342"/>
      <c r="I11752" s="1342"/>
      <c r="J11752" s="1342"/>
      <c r="K11752" s="1342"/>
    </row>
    <row r="11753" spans="2:11" ht="14" hidden="1">
      <c r="B11753" s="1342"/>
      <c r="C11753" s="1342"/>
      <c r="D11753" s="1342"/>
      <c r="E11753" s="1342"/>
      <c r="F11753" s="1342"/>
      <c r="G11753" s="1342"/>
      <c r="H11753" s="1342"/>
      <c r="I11753" s="1342"/>
      <c r="J11753" s="1342"/>
      <c r="K11753" s="1342"/>
    </row>
    <row r="11754" spans="2:11" ht="14" hidden="1">
      <c r="B11754" s="1342"/>
      <c r="C11754" s="1342"/>
      <c r="D11754" s="1342"/>
      <c r="E11754" s="1342"/>
      <c r="F11754" s="1342"/>
      <c r="G11754" s="1342"/>
      <c r="H11754" s="1342"/>
      <c r="I11754" s="1342"/>
      <c r="J11754" s="1342"/>
      <c r="K11754" s="1342"/>
    </row>
    <row r="11755" spans="2:11" ht="14" hidden="1">
      <c r="B11755" s="1342"/>
      <c r="C11755" s="1342"/>
      <c r="D11755" s="1342"/>
      <c r="E11755" s="1342"/>
      <c r="F11755" s="1342"/>
      <c r="G11755" s="1342"/>
      <c r="H11755" s="1342"/>
      <c r="I11755" s="1342"/>
      <c r="J11755" s="1342"/>
      <c r="K11755" s="1342"/>
    </row>
    <row r="11756" spans="2:11" ht="14" hidden="1">
      <c r="B11756" s="1342"/>
      <c r="C11756" s="1342"/>
      <c r="D11756" s="1342"/>
      <c r="E11756" s="1342"/>
      <c r="F11756" s="1342"/>
      <c r="G11756" s="1342"/>
      <c r="H11756" s="1342"/>
      <c r="I11756" s="1342"/>
      <c r="J11756" s="1342"/>
      <c r="K11756" s="1342"/>
    </row>
    <row r="11757" spans="2:11" ht="14" hidden="1">
      <c r="B11757" s="1342"/>
      <c r="C11757" s="1342"/>
      <c r="D11757" s="1342"/>
      <c r="E11757" s="1342"/>
      <c r="F11757" s="1342"/>
      <c r="G11757" s="1342"/>
      <c r="H11757" s="1342"/>
      <c r="I11757" s="1342"/>
      <c r="J11757" s="1342"/>
      <c r="K11757" s="1342"/>
    </row>
    <row r="11758" spans="2:11" ht="14" hidden="1">
      <c r="B11758" s="1342"/>
      <c r="C11758" s="1342"/>
      <c r="D11758" s="1342"/>
      <c r="E11758" s="1342"/>
      <c r="F11758" s="1342"/>
      <c r="G11758" s="1342"/>
      <c r="H11758" s="1342"/>
      <c r="I11758" s="1342"/>
      <c r="J11758" s="1342"/>
      <c r="K11758" s="1342"/>
    </row>
    <row r="11759" spans="2:11" ht="14" hidden="1">
      <c r="B11759" s="1342"/>
      <c r="C11759" s="1342"/>
      <c r="D11759" s="1342"/>
      <c r="E11759" s="1342"/>
      <c r="F11759" s="1342"/>
      <c r="G11759" s="1342"/>
      <c r="H11759" s="1342"/>
      <c r="I11759" s="1342"/>
      <c r="J11759" s="1342"/>
      <c r="K11759" s="1342"/>
    </row>
    <row r="11760" spans="2:11" ht="14" hidden="1">
      <c r="B11760" s="1342"/>
      <c r="C11760" s="1342"/>
      <c r="D11760" s="1342"/>
      <c r="E11760" s="1342"/>
      <c r="F11760" s="1342"/>
      <c r="G11760" s="1342"/>
      <c r="H11760" s="1342"/>
      <c r="I11760" s="1342"/>
      <c r="J11760" s="1342"/>
      <c r="K11760" s="1342"/>
    </row>
    <row r="11761" spans="2:11" ht="14" hidden="1">
      <c r="B11761" s="1342"/>
      <c r="C11761" s="1342"/>
      <c r="D11761" s="1342"/>
      <c r="E11761" s="1342"/>
      <c r="F11761" s="1342"/>
      <c r="G11761" s="1342"/>
      <c r="H11761" s="1342"/>
      <c r="I11761" s="1342"/>
      <c r="J11761" s="1342"/>
      <c r="K11761" s="1342"/>
    </row>
    <row r="11762" spans="2:11" ht="14" hidden="1">
      <c r="B11762" s="1342"/>
      <c r="C11762" s="1342"/>
      <c r="D11762" s="1342"/>
      <c r="E11762" s="1342"/>
      <c r="F11762" s="1342"/>
      <c r="G11762" s="1342"/>
      <c r="H11762" s="1342"/>
      <c r="I11762" s="1342"/>
      <c r="J11762" s="1342"/>
      <c r="K11762" s="1342"/>
    </row>
    <row r="11763" spans="2:11" ht="14" hidden="1">
      <c r="B11763" s="1342"/>
      <c r="C11763" s="1342"/>
      <c r="D11763" s="1342"/>
      <c r="E11763" s="1342"/>
      <c r="F11763" s="1342"/>
      <c r="G11763" s="1342"/>
      <c r="H11763" s="1342"/>
      <c r="I11763" s="1342"/>
      <c r="J11763" s="1342"/>
      <c r="K11763" s="1342"/>
    </row>
    <row r="11764" spans="2:11" ht="14" hidden="1">
      <c r="B11764" s="1342"/>
      <c r="C11764" s="1342"/>
      <c r="D11764" s="1342"/>
      <c r="E11764" s="1342"/>
      <c r="F11764" s="1342"/>
      <c r="G11764" s="1342"/>
      <c r="H11764" s="1342"/>
      <c r="I11764" s="1342"/>
      <c r="J11764" s="1342"/>
      <c r="K11764" s="1342"/>
    </row>
    <row r="11765" spans="2:11" ht="14" hidden="1">
      <c r="B11765" s="1342"/>
      <c r="C11765" s="1342"/>
      <c r="D11765" s="1342"/>
      <c r="E11765" s="1342"/>
      <c r="F11765" s="1342"/>
      <c r="G11765" s="1342"/>
      <c r="H11765" s="1342"/>
      <c r="I11765" s="1342"/>
      <c r="J11765" s="1342"/>
      <c r="K11765" s="1342"/>
    </row>
    <row r="11766" spans="2:11" ht="14" hidden="1">
      <c r="B11766" s="1342"/>
      <c r="C11766" s="1342"/>
      <c r="D11766" s="1342"/>
      <c r="E11766" s="1342"/>
      <c r="F11766" s="1342"/>
      <c r="G11766" s="1342"/>
      <c r="H11766" s="1342"/>
      <c r="I11766" s="1342"/>
      <c r="J11766" s="1342"/>
      <c r="K11766" s="1342"/>
    </row>
    <row r="11767" spans="2:11" ht="14" hidden="1">
      <c r="B11767" s="1342"/>
      <c r="C11767" s="1342"/>
      <c r="D11767" s="1342"/>
      <c r="E11767" s="1342"/>
      <c r="F11767" s="1342"/>
      <c r="G11767" s="1342"/>
      <c r="H11767" s="1342"/>
      <c r="I11767" s="1342"/>
      <c r="J11767" s="1342"/>
      <c r="K11767" s="1342"/>
    </row>
    <row r="11768" spans="2:11" ht="14" hidden="1">
      <c r="B11768" s="1342"/>
      <c r="C11768" s="1342"/>
      <c r="D11768" s="1342"/>
      <c r="E11768" s="1342"/>
      <c r="F11768" s="1342"/>
      <c r="G11768" s="1342"/>
      <c r="H11768" s="1342"/>
      <c r="I11768" s="1342"/>
      <c r="J11768" s="1342"/>
      <c r="K11768" s="1342"/>
    </row>
    <row r="11769" spans="2:11" ht="14" hidden="1">
      <c r="B11769" s="1342"/>
      <c r="C11769" s="1342"/>
      <c r="D11769" s="1342"/>
      <c r="E11769" s="1342"/>
      <c r="F11769" s="1342"/>
      <c r="G11769" s="1342"/>
      <c r="H11769" s="1342"/>
      <c r="I11769" s="1342"/>
      <c r="J11769" s="1342"/>
      <c r="K11769" s="1342"/>
    </row>
    <row r="11770" spans="2:11" ht="14" hidden="1">
      <c r="B11770" s="1342"/>
      <c r="C11770" s="1342"/>
      <c r="D11770" s="1342"/>
      <c r="E11770" s="1342"/>
      <c r="F11770" s="1342"/>
      <c r="G11770" s="1342"/>
      <c r="H11770" s="1342"/>
      <c r="I11770" s="1342"/>
      <c r="J11770" s="1342"/>
      <c r="K11770" s="1342"/>
    </row>
    <row r="11771" spans="2:11" ht="14" hidden="1">
      <c r="B11771" s="1342"/>
      <c r="C11771" s="1342"/>
      <c r="D11771" s="1342"/>
      <c r="E11771" s="1342"/>
      <c r="F11771" s="1342"/>
      <c r="G11771" s="1342"/>
      <c r="H11771" s="1342"/>
      <c r="I11771" s="1342"/>
      <c r="J11771" s="1342"/>
      <c r="K11771" s="1342"/>
    </row>
    <row r="11772" spans="2:11" ht="14" hidden="1">
      <c r="B11772" s="1342"/>
      <c r="C11772" s="1342"/>
      <c r="D11772" s="1342"/>
      <c r="E11772" s="1342"/>
      <c r="F11772" s="1342"/>
      <c r="G11772" s="1342"/>
      <c r="H11772" s="1342"/>
      <c r="I11772" s="1342"/>
      <c r="J11772" s="1342"/>
      <c r="K11772" s="1342"/>
    </row>
    <row r="11773" spans="2:11" ht="14" hidden="1">
      <c r="B11773" s="1342"/>
      <c r="C11773" s="1342"/>
      <c r="D11773" s="1342"/>
      <c r="E11773" s="1342"/>
      <c r="F11773" s="1342"/>
      <c r="G11773" s="1342"/>
      <c r="H11773" s="1342"/>
      <c r="I11773" s="1342"/>
      <c r="J11773" s="1342"/>
      <c r="K11773" s="1342"/>
    </row>
    <row r="11774" spans="2:11" ht="14" hidden="1">
      <c r="B11774" s="1342"/>
      <c r="C11774" s="1342"/>
      <c r="D11774" s="1342"/>
      <c r="E11774" s="1342"/>
      <c r="F11774" s="1342"/>
      <c r="G11774" s="1342"/>
      <c r="H11774" s="1342"/>
      <c r="I11774" s="1342"/>
      <c r="J11774" s="1342"/>
      <c r="K11774" s="1342"/>
    </row>
    <row r="11775" spans="2:11" ht="14" hidden="1">
      <c r="B11775" s="1342"/>
      <c r="C11775" s="1342"/>
      <c r="D11775" s="1342"/>
      <c r="E11775" s="1342"/>
      <c r="F11775" s="1342"/>
      <c r="G11775" s="1342"/>
      <c r="H11775" s="1342"/>
      <c r="I11775" s="1342"/>
      <c r="J11775" s="1342"/>
      <c r="K11775" s="1342"/>
    </row>
    <row r="11776" spans="2:11" ht="14" hidden="1">
      <c r="B11776" s="1342"/>
      <c r="C11776" s="1342"/>
      <c r="D11776" s="1342"/>
      <c r="E11776" s="1342"/>
      <c r="F11776" s="1342"/>
      <c r="G11776" s="1342"/>
      <c r="H11776" s="1342"/>
      <c r="I11776" s="1342"/>
      <c r="J11776" s="1342"/>
      <c r="K11776" s="1342"/>
    </row>
    <row r="11777" spans="2:11" ht="14" hidden="1">
      <c r="B11777" s="1342"/>
      <c r="C11777" s="1342"/>
      <c r="D11777" s="1342"/>
      <c r="E11777" s="1342"/>
      <c r="F11777" s="1342"/>
      <c r="G11777" s="1342"/>
      <c r="H11777" s="1342"/>
      <c r="I11777" s="1342"/>
      <c r="J11777" s="1342"/>
      <c r="K11777" s="1342"/>
    </row>
    <row r="11778" spans="2:11" ht="14" hidden="1">
      <c r="B11778" s="1342"/>
      <c r="C11778" s="1342"/>
      <c r="D11778" s="1342"/>
      <c r="E11778" s="1342"/>
      <c r="F11778" s="1342"/>
      <c r="G11778" s="1342"/>
      <c r="H11778" s="1342"/>
      <c r="I11778" s="1342"/>
      <c r="J11778" s="1342"/>
      <c r="K11778" s="1342"/>
    </row>
    <row r="11779" spans="2:11" ht="14" hidden="1">
      <c r="B11779" s="1342"/>
      <c r="C11779" s="1342"/>
      <c r="D11779" s="1342"/>
      <c r="E11779" s="1342"/>
      <c r="F11779" s="1342"/>
      <c r="G11779" s="1342"/>
      <c r="H11779" s="1342"/>
      <c r="I11779" s="1342"/>
      <c r="J11779" s="1342"/>
      <c r="K11779" s="1342"/>
    </row>
    <row r="11780" spans="2:11" ht="14" hidden="1">
      <c r="B11780" s="1342"/>
      <c r="C11780" s="1342"/>
      <c r="D11780" s="1342"/>
      <c r="E11780" s="1342"/>
      <c r="F11780" s="1342"/>
      <c r="G11780" s="1342"/>
      <c r="H11780" s="1342"/>
      <c r="I11780" s="1342"/>
      <c r="J11780" s="1342"/>
      <c r="K11780" s="1342"/>
    </row>
    <row r="11781" spans="2:11" ht="14" hidden="1">
      <c r="B11781" s="1342"/>
      <c r="C11781" s="1342"/>
      <c r="D11781" s="1342"/>
      <c r="E11781" s="1342"/>
      <c r="F11781" s="1342"/>
      <c r="G11781" s="1342"/>
      <c r="H11781" s="1342"/>
      <c r="I11781" s="1342"/>
      <c r="J11781" s="1342"/>
      <c r="K11781" s="1342"/>
    </row>
    <row r="11782" spans="2:11" ht="14" hidden="1">
      <c r="B11782" s="1342"/>
      <c r="C11782" s="1342"/>
      <c r="D11782" s="1342"/>
      <c r="E11782" s="1342"/>
      <c r="F11782" s="1342"/>
      <c r="G11782" s="1342"/>
      <c r="H11782" s="1342"/>
      <c r="I11782" s="1342"/>
      <c r="J11782" s="1342"/>
      <c r="K11782" s="1342"/>
    </row>
    <row r="11783" spans="2:11" ht="14" hidden="1">
      <c r="B11783" s="1342"/>
      <c r="C11783" s="1342"/>
      <c r="D11783" s="1342"/>
      <c r="E11783" s="1342"/>
      <c r="F11783" s="1342"/>
      <c r="G11783" s="1342"/>
      <c r="H11783" s="1342"/>
      <c r="I11783" s="1342"/>
      <c r="J11783" s="1342"/>
      <c r="K11783" s="1342"/>
    </row>
    <row r="11784" spans="2:11" ht="14" hidden="1">
      <c r="B11784" s="1342"/>
      <c r="C11784" s="1342"/>
      <c r="D11784" s="1342"/>
      <c r="E11784" s="1342"/>
      <c r="F11784" s="1342"/>
      <c r="G11784" s="1342"/>
      <c r="H11784" s="1342"/>
      <c r="I11784" s="1342"/>
      <c r="J11784" s="1342"/>
      <c r="K11784" s="1342"/>
    </row>
    <row r="11785" spans="2:11" ht="14" hidden="1">
      <c r="B11785" s="1342"/>
      <c r="C11785" s="1342"/>
      <c r="D11785" s="1342"/>
      <c r="E11785" s="1342"/>
      <c r="F11785" s="1342"/>
      <c r="G11785" s="1342"/>
      <c r="H11785" s="1342"/>
      <c r="I11785" s="1342"/>
      <c r="J11785" s="1342"/>
      <c r="K11785" s="1342"/>
    </row>
    <row r="11786" spans="2:11" ht="14" hidden="1">
      <c r="B11786" s="1342"/>
      <c r="C11786" s="1342"/>
      <c r="D11786" s="1342"/>
      <c r="E11786" s="1342"/>
      <c r="F11786" s="1342"/>
      <c r="G11786" s="1342"/>
      <c r="H11786" s="1342"/>
      <c r="I11786" s="1342"/>
      <c r="J11786" s="1342"/>
      <c r="K11786" s="1342"/>
    </row>
    <row r="11787" spans="2:11" ht="14" hidden="1">
      <c r="B11787" s="1342"/>
      <c r="C11787" s="1342"/>
      <c r="D11787" s="1342"/>
      <c r="E11787" s="1342"/>
      <c r="F11787" s="1342"/>
      <c r="G11787" s="1342"/>
      <c r="H11787" s="1342"/>
      <c r="I11787" s="1342"/>
      <c r="J11787" s="1342"/>
      <c r="K11787" s="1342"/>
    </row>
    <row r="11788" spans="2:11" ht="14" hidden="1">
      <c r="B11788" s="1342"/>
      <c r="C11788" s="1342"/>
      <c r="D11788" s="1342"/>
      <c r="E11788" s="1342"/>
      <c r="F11788" s="1342"/>
      <c r="G11788" s="1342"/>
      <c r="H11788" s="1342"/>
      <c r="I11788" s="1342"/>
      <c r="J11788" s="1342"/>
      <c r="K11788" s="1342"/>
    </row>
    <row r="11789" spans="2:11" ht="14" hidden="1">
      <c r="B11789" s="1342"/>
      <c r="C11789" s="1342"/>
      <c r="D11789" s="1342"/>
      <c r="E11789" s="1342"/>
      <c r="F11789" s="1342"/>
      <c r="G11789" s="1342"/>
      <c r="H11789" s="1342"/>
      <c r="I11789" s="1342"/>
      <c r="J11789" s="1342"/>
      <c r="K11789" s="1342"/>
    </row>
    <row r="11790" spans="2:11" ht="14" hidden="1">
      <c r="B11790" s="1342"/>
      <c r="C11790" s="1342"/>
      <c r="D11790" s="1342"/>
      <c r="E11790" s="1342"/>
      <c r="F11790" s="1342"/>
      <c r="G11790" s="1342"/>
      <c r="H11790" s="1342"/>
      <c r="I11790" s="1342"/>
      <c r="J11790" s="1342"/>
      <c r="K11790" s="1342"/>
    </row>
    <row r="11791" spans="2:11" ht="14" hidden="1">
      <c r="B11791" s="1342"/>
      <c r="C11791" s="1342"/>
      <c r="D11791" s="1342"/>
      <c r="E11791" s="1342"/>
      <c r="F11791" s="1342"/>
      <c r="G11791" s="1342"/>
      <c r="H11791" s="1342"/>
      <c r="I11791" s="1342"/>
      <c r="J11791" s="1342"/>
      <c r="K11791" s="1342"/>
    </row>
    <row r="11792" spans="2:11" ht="14" hidden="1">
      <c r="B11792" s="1342"/>
      <c r="C11792" s="1342"/>
      <c r="D11792" s="1342"/>
      <c r="E11792" s="1342"/>
      <c r="F11792" s="1342"/>
      <c r="G11792" s="1342"/>
      <c r="H11792" s="1342"/>
      <c r="I11792" s="1342"/>
      <c r="J11792" s="1342"/>
      <c r="K11792" s="1342"/>
    </row>
    <row r="11793" spans="2:11" ht="14" hidden="1">
      <c r="B11793" s="1342"/>
      <c r="C11793" s="1342"/>
      <c r="D11793" s="1342"/>
      <c r="E11793" s="1342"/>
      <c r="F11793" s="1342"/>
      <c r="G11793" s="1342"/>
      <c r="H11793" s="1342"/>
      <c r="I11793" s="1342"/>
      <c r="J11793" s="1342"/>
      <c r="K11793" s="1342"/>
    </row>
    <row r="11794" spans="2:11" ht="14" hidden="1">
      <c r="B11794" s="1342"/>
      <c r="C11794" s="1342"/>
      <c r="D11794" s="1342"/>
      <c r="E11794" s="1342"/>
      <c r="F11794" s="1342"/>
      <c r="G11794" s="1342"/>
      <c r="H11794" s="1342"/>
      <c r="I11794" s="1342"/>
      <c r="J11794" s="1342"/>
      <c r="K11794" s="1342"/>
    </row>
    <row r="11795" spans="2:11" ht="14" hidden="1">
      <c r="B11795" s="1342"/>
      <c r="C11795" s="1342"/>
      <c r="D11795" s="1342"/>
      <c r="E11795" s="1342"/>
      <c r="F11795" s="1342"/>
      <c r="G11795" s="1342"/>
      <c r="H11795" s="1342"/>
      <c r="I11795" s="1342"/>
      <c r="J11795" s="1342"/>
      <c r="K11795" s="1342"/>
    </row>
    <row r="11796" spans="2:11" ht="14" hidden="1">
      <c r="B11796" s="1342"/>
      <c r="C11796" s="1342"/>
      <c r="D11796" s="1342"/>
      <c r="E11796" s="1342"/>
      <c r="F11796" s="1342"/>
      <c r="G11796" s="1342"/>
      <c r="H11796" s="1342"/>
      <c r="I11796" s="1342"/>
      <c r="J11796" s="1342"/>
      <c r="K11796" s="1342"/>
    </row>
    <row r="11797" spans="2:11" ht="14" hidden="1">
      <c r="B11797" s="1342"/>
      <c r="C11797" s="1342"/>
      <c r="D11797" s="1342"/>
      <c r="E11797" s="1342"/>
      <c r="F11797" s="1342"/>
      <c r="G11797" s="1342"/>
      <c r="H11797" s="1342"/>
      <c r="I11797" s="1342"/>
      <c r="J11797" s="1342"/>
      <c r="K11797" s="1342"/>
    </row>
    <row r="11798" spans="2:11" ht="14" hidden="1">
      <c r="B11798" s="1342"/>
      <c r="C11798" s="1342"/>
      <c r="D11798" s="1342"/>
      <c r="E11798" s="1342"/>
      <c r="F11798" s="1342"/>
      <c r="G11798" s="1342"/>
      <c r="H11798" s="1342"/>
      <c r="I11798" s="1342"/>
      <c r="J11798" s="1342"/>
      <c r="K11798" s="1342"/>
    </row>
    <row r="11799" spans="2:11" ht="14" hidden="1">
      <c r="B11799" s="1342"/>
      <c r="C11799" s="1342"/>
      <c r="D11799" s="1342"/>
      <c r="E11799" s="1342"/>
      <c r="F11799" s="1342"/>
      <c r="G11799" s="1342"/>
      <c r="H11799" s="1342"/>
      <c r="I11799" s="1342"/>
      <c r="J11799" s="1342"/>
      <c r="K11799" s="1342"/>
    </row>
    <row r="11800" spans="2:11" ht="14" hidden="1">
      <c r="B11800" s="1342"/>
      <c r="C11800" s="1342"/>
      <c r="D11800" s="1342"/>
      <c r="E11800" s="1342"/>
      <c r="F11800" s="1342"/>
      <c r="G11800" s="1342"/>
      <c r="H11800" s="1342"/>
      <c r="I11800" s="1342"/>
      <c r="J11800" s="1342"/>
      <c r="K11800" s="1342"/>
    </row>
    <row r="11801" spans="2:11" ht="14" hidden="1">
      <c r="B11801" s="1342"/>
      <c r="C11801" s="1342"/>
      <c r="D11801" s="1342"/>
      <c r="E11801" s="1342"/>
      <c r="F11801" s="1342"/>
      <c r="G11801" s="1342"/>
      <c r="H11801" s="1342"/>
      <c r="I11801" s="1342"/>
      <c r="J11801" s="1342"/>
      <c r="K11801" s="1342"/>
    </row>
    <row r="11802" spans="2:11" ht="14" hidden="1">
      <c r="B11802" s="1342"/>
      <c r="C11802" s="1342"/>
      <c r="D11802" s="1342"/>
      <c r="E11802" s="1342"/>
      <c r="F11802" s="1342"/>
      <c r="G11802" s="1342"/>
      <c r="H11802" s="1342"/>
      <c r="I11802" s="1342"/>
      <c r="J11802" s="1342"/>
      <c r="K11802" s="1342"/>
    </row>
    <row r="11803" spans="2:11" ht="14" hidden="1">
      <c r="B11803" s="1342"/>
      <c r="C11803" s="1342"/>
      <c r="D11803" s="1342"/>
      <c r="E11803" s="1342"/>
      <c r="F11803" s="1342"/>
      <c r="G11803" s="1342"/>
      <c r="H11803" s="1342"/>
      <c r="I11803" s="1342"/>
      <c r="J11803" s="1342"/>
      <c r="K11803" s="1342"/>
    </row>
    <row r="11804" spans="2:11" ht="14" hidden="1">
      <c r="B11804" s="1342"/>
      <c r="C11804" s="1342"/>
      <c r="D11804" s="1342"/>
      <c r="E11804" s="1342"/>
      <c r="F11804" s="1342"/>
      <c r="G11804" s="1342"/>
      <c r="H11804" s="1342"/>
      <c r="I11804" s="1342"/>
      <c r="J11804" s="1342"/>
      <c r="K11804" s="1342"/>
    </row>
    <row r="11805" spans="2:11" ht="14" hidden="1">
      <c r="B11805" s="1342"/>
      <c r="C11805" s="1342"/>
      <c r="D11805" s="1342"/>
      <c r="E11805" s="1342"/>
      <c r="F11805" s="1342"/>
      <c r="G11805" s="1342"/>
      <c r="H11805" s="1342"/>
      <c r="I11805" s="1342"/>
      <c r="J11805" s="1342"/>
      <c r="K11805" s="1342"/>
    </row>
    <row r="11806" spans="2:11" ht="14" hidden="1">
      <c r="B11806" s="1342"/>
      <c r="C11806" s="1342"/>
      <c r="D11806" s="1342"/>
      <c r="E11806" s="1342"/>
      <c r="F11806" s="1342"/>
      <c r="G11806" s="1342"/>
      <c r="H11806" s="1342"/>
      <c r="I11806" s="1342"/>
      <c r="J11806" s="1342"/>
      <c r="K11806" s="1342"/>
    </row>
    <row r="11807" spans="2:11" ht="14" hidden="1">
      <c r="B11807" s="1342"/>
      <c r="C11807" s="1342"/>
      <c r="D11807" s="1342"/>
      <c r="E11807" s="1342"/>
      <c r="F11807" s="1342"/>
      <c r="G11807" s="1342"/>
      <c r="H11807" s="1342"/>
      <c r="I11807" s="1342"/>
      <c r="J11807" s="1342"/>
      <c r="K11807" s="1342"/>
    </row>
    <row r="11808" spans="2:11" ht="14" hidden="1">
      <c r="B11808" s="1342"/>
      <c r="C11808" s="1342"/>
      <c r="D11808" s="1342"/>
      <c r="E11808" s="1342"/>
      <c r="F11808" s="1342"/>
      <c r="G11808" s="1342"/>
      <c r="H11808" s="1342"/>
      <c r="I11808" s="1342"/>
      <c r="J11808" s="1342"/>
      <c r="K11808" s="1342"/>
    </row>
    <row r="11809" spans="2:11" ht="14" hidden="1">
      <c r="B11809" s="1342"/>
      <c r="C11809" s="1342"/>
      <c r="D11809" s="1342"/>
      <c r="E11809" s="1342"/>
      <c r="F11809" s="1342"/>
      <c r="G11809" s="1342"/>
      <c r="H11809" s="1342"/>
      <c r="I11809" s="1342"/>
      <c r="J11809" s="1342"/>
      <c r="K11809" s="1342"/>
    </row>
    <row r="11810" spans="2:11" ht="14" hidden="1">
      <c r="B11810" s="1342"/>
      <c r="C11810" s="1342"/>
      <c r="D11810" s="1342"/>
      <c r="E11810" s="1342"/>
      <c r="F11810" s="1342"/>
      <c r="G11810" s="1342"/>
      <c r="H11810" s="1342"/>
      <c r="I11810" s="1342"/>
      <c r="J11810" s="1342"/>
      <c r="K11810" s="1342"/>
    </row>
    <row r="11811" spans="2:11" ht="14" hidden="1">
      <c r="B11811" s="1342"/>
      <c r="C11811" s="1342"/>
      <c r="D11811" s="1342"/>
      <c r="E11811" s="1342"/>
      <c r="F11811" s="1342"/>
      <c r="G11811" s="1342"/>
      <c r="H11811" s="1342"/>
      <c r="I11811" s="1342"/>
      <c r="J11811" s="1342"/>
      <c r="K11811" s="1342"/>
    </row>
    <row r="11812" spans="2:11" ht="14" hidden="1">
      <c r="B11812" s="1342"/>
      <c r="C11812" s="1342"/>
      <c r="D11812" s="1342"/>
      <c r="E11812" s="1342"/>
      <c r="F11812" s="1342"/>
      <c r="G11812" s="1342"/>
      <c r="H11812" s="1342"/>
      <c r="I11812" s="1342"/>
      <c r="J11812" s="1342"/>
      <c r="K11812" s="1342"/>
    </row>
    <row r="11813" spans="2:11" ht="14" hidden="1">
      <c r="B11813" s="1342"/>
      <c r="C11813" s="1342"/>
      <c r="D11813" s="1342"/>
      <c r="E11813" s="1342"/>
      <c r="F11813" s="1342"/>
      <c r="G11813" s="1342"/>
      <c r="H11813" s="1342"/>
      <c r="I11813" s="1342"/>
      <c r="J11813" s="1342"/>
      <c r="K11813" s="1342"/>
    </row>
    <row r="11814" spans="2:11" ht="14" hidden="1">
      <c r="B11814" s="1342"/>
      <c r="C11814" s="1342"/>
      <c r="D11814" s="1342"/>
      <c r="E11814" s="1342"/>
      <c r="F11814" s="1342"/>
      <c r="G11814" s="1342"/>
      <c r="H11814" s="1342"/>
      <c r="I11814" s="1342"/>
      <c r="J11814" s="1342"/>
      <c r="K11814" s="1342"/>
    </row>
    <row r="11815" spans="2:11" ht="14" hidden="1">
      <c r="B11815" s="1342"/>
      <c r="C11815" s="1342"/>
      <c r="D11815" s="1342"/>
      <c r="E11815" s="1342"/>
      <c r="F11815" s="1342"/>
      <c r="G11815" s="1342"/>
      <c r="H11815" s="1342"/>
      <c r="I11815" s="1342"/>
      <c r="J11815" s="1342"/>
      <c r="K11815" s="1342"/>
    </row>
    <row r="11816" spans="2:11" ht="14" hidden="1">
      <c r="B11816" s="1342"/>
      <c r="C11816" s="1342"/>
      <c r="D11816" s="1342"/>
      <c r="E11816" s="1342"/>
      <c r="F11816" s="1342"/>
      <c r="G11816" s="1342"/>
      <c r="H11816" s="1342"/>
      <c r="I11816" s="1342"/>
      <c r="J11816" s="1342"/>
      <c r="K11816" s="1342"/>
    </row>
    <row r="11817" spans="2:11" ht="14" hidden="1">
      <c r="B11817" s="1342"/>
      <c r="C11817" s="1342"/>
      <c r="D11817" s="1342"/>
      <c r="E11817" s="1342"/>
      <c r="F11817" s="1342"/>
      <c r="G11817" s="1342"/>
      <c r="H11817" s="1342"/>
      <c r="I11817" s="1342"/>
      <c r="J11817" s="1342"/>
      <c r="K11817" s="1342"/>
    </row>
    <row r="11818" spans="2:11" ht="14" hidden="1">
      <c r="B11818" s="1342"/>
      <c r="C11818" s="1342"/>
      <c r="D11818" s="1342"/>
      <c r="E11818" s="1342"/>
      <c r="F11818" s="1342"/>
      <c r="G11818" s="1342"/>
      <c r="H11818" s="1342"/>
      <c r="I11818" s="1342"/>
      <c r="J11818" s="1342"/>
      <c r="K11818" s="1342"/>
    </row>
    <row r="11819" spans="2:11" ht="14" hidden="1">
      <c r="B11819" s="1342"/>
      <c r="C11819" s="1342"/>
      <c r="D11819" s="1342"/>
      <c r="E11819" s="1342"/>
      <c r="F11819" s="1342"/>
      <c r="G11819" s="1342"/>
      <c r="H11819" s="1342"/>
      <c r="I11819" s="1342"/>
      <c r="J11819" s="1342"/>
      <c r="K11819" s="1342"/>
    </row>
    <row r="11820" spans="2:11" ht="14" hidden="1">
      <c r="B11820" s="1342"/>
      <c r="C11820" s="1342"/>
      <c r="D11820" s="1342"/>
      <c r="E11820" s="1342"/>
      <c r="F11820" s="1342"/>
      <c r="G11820" s="1342"/>
      <c r="H11820" s="1342"/>
      <c r="I11820" s="1342"/>
      <c r="J11820" s="1342"/>
      <c r="K11820" s="1342"/>
    </row>
    <row r="11821" spans="2:11" ht="14" hidden="1">
      <c r="B11821" s="1342"/>
      <c r="C11821" s="1342"/>
      <c r="D11821" s="1342"/>
      <c r="E11821" s="1342"/>
      <c r="F11821" s="1342"/>
      <c r="G11821" s="1342"/>
      <c r="H11821" s="1342"/>
      <c r="I11821" s="1342"/>
      <c r="J11821" s="1342"/>
      <c r="K11821" s="1342"/>
    </row>
    <row r="11822" spans="2:11" ht="14" hidden="1">
      <c r="B11822" s="1342"/>
      <c r="C11822" s="1342"/>
      <c r="D11822" s="1342"/>
      <c r="E11822" s="1342"/>
      <c r="F11822" s="1342"/>
      <c r="G11822" s="1342"/>
      <c r="H11822" s="1342"/>
      <c r="I11822" s="1342"/>
      <c r="J11822" s="1342"/>
      <c r="K11822" s="1342"/>
    </row>
    <row r="11823" spans="2:11" ht="14" hidden="1">
      <c r="B11823" s="1342"/>
      <c r="C11823" s="1342"/>
      <c r="D11823" s="1342"/>
      <c r="E11823" s="1342"/>
      <c r="F11823" s="1342"/>
      <c r="G11823" s="1342"/>
      <c r="H11823" s="1342"/>
      <c r="I11823" s="1342"/>
      <c r="J11823" s="1342"/>
      <c r="K11823" s="1342"/>
    </row>
    <row r="11824" spans="2:11" ht="14" hidden="1">
      <c r="B11824" s="1342"/>
      <c r="C11824" s="1342"/>
      <c r="D11824" s="1342"/>
      <c r="E11824" s="1342"/>
      <c r="F11824" s="1342"/>
      <c r="G11824" s="1342"/>
      <c r="H11824" s="1342"/>
      <c r="I11824" s="1342"/>
      <c r="J11824" s="1342"/>
      <c r="K11824" s="1342"/>
    </row>
    <row r="11825" spans="2:11" ht="14" hidden="1">
      <c r="B11825" s="1342"/>
      <c r="C11825" s="1342"/>
      <c r="D11825" s="1342"/>
      <c r="E11825" s="1342"/>
      <c r="F11825" s="1342"/>
      <c r="G11825" s="1342"/>
      <c r="H11825" s="1342"/>
      <c r="I11825" s="1342"/>
      <c r="J11825" s="1342"/>
      <c r="K11825" s="1342"/>
    </row>
    <row r="11826" spans="2:11" ht="14" hidden="1">
      <c r="B11826" s="1342"/>
      <c r="C11826" s="1342"/>
      <c r="D11826" s="1342"/>
      <c r="E11826" s="1342"/>
      <c r="F11826" s="1342"/>
      <c r="G11826" s="1342"/>
      <c r="H11826" s="1342"/>
      <c r="I11826" s="1342"/>
      <c r="J11826" s="1342"/>
      <c r="K11826" s="1342"/>
    </row>
    <row r="11827" spans="2:11" ht="14" hidden="1">
      <c r="B11827" s="1342"/>
      <c r="C11827" s="1342"/>
      <c r="D11827" s="1342"/>
      <c r="E11827" s="1342"/>
      <c r="F11827" s="1342"/>
      <c r="G11827" s="1342"/>
      <c r="H11827" s="1342"/>
      <c r="I11827" s="1342"/>
      <c r="J11827" s="1342"/>
      <c r="K11827" s="1342"/>
    </row>
    <row r="11828" spans="2:11" ht="14" hidden="1">
      <c r="B11828" s="1342"/>
      <c r="C11828" s="1342"/>
      <c r="D11828" s="1342"/>
      <c r="E11828" s="1342"/>
      <c r="F11828" s="1342"/>
      <c r="G11828" s="1342"/>
      <c r="H11828" s="1342"/>
      <c r="I11828" s="1342"/>
      <c r="J11828" s="1342"/>
      <c r="K11828" s="1342"/>
    </row>
    <row r="11829" spans="2:11" ht="14" hidden="1">
      <c r="B11829" s="1342"/>
      <c r="C11829" s="1342"/>
      <c r="D11829" s="1342"/>
      <c r="E11829" s="1342"/>
      <c r="F11829" s="1342"/>
      <c r="G11829" s="1342"/>
      <c r="H11829" s="1342"/>
      <c r="I11829" s="1342"/>
      <c r="J11829" s="1342"/>
      <c r="K11829" s="1342"/>
    </row>
    <row r="11830" spans="2:11" ht="14" hidden="1">
      <c r="B11830" s="1342"/>
      <c r="C11830" s="1342"/>
      <c r="D11830" s="1342"/>
      <c r="E11830" s="1342"/>
      <c r="F11830" s="1342"/>
      <c r="G11830" s="1342"/>
      <c r="H11830" s="1342"/>
      <c r="I11830" s="1342"/>
      <c r="J11830" s="1342"/>
      <c r="K11830" s="1342"/>
    </row>
    <row r="11831" spans="2:11" ht="14" hidden="1">
      <c r="B11831" s="1342"/>
      <c r="C11831" s="1342"/>
      <c r="D11831" s="1342"/>
      <c r="E11831" s="1342"/>
      <c r="F11831" s="1342"/>
      <c r="G11831" s="1342"/>
      <c r="H11831" s="1342"/>
      <c r="I11831" s="1342"/>
      <c r="J11831" s="1342"/>
      <c r="K11831" s="1342"/>
    </row>
    <row r="11832" spans="2:11" ht="14" hidden="1">
      <c r="B11832" s="1342"/>
      <c r="C11832" s="1342"/>
      <c r="D11832" s="1342"/>
      <c r="E11832" s="1342"/>
      <c r="F11832" s="1342"/>
      <c r="G11832" s="1342"/>
      <c r="H11832" s="1342"/>
      <c r="I11832" s="1342"/>
      <c r="J11832" s="1342"/>
      <c r="K11832" s="1342"/>
    </row>
    <row r="11833" spans="2:11" ht="14" hidden="1">
      <c r="B11833" s="1342"/>
      <c r="C11833" s="1342"/>
      <c r="D11833" s="1342"/>
      <c r="E11833" s="1342"/>
      <c r="F11833" s="1342"/>
      <c r="G11833" s="1342"/>
      <c r="H11833" s="1342"/>
      <c r="I11833" s="1342"/>
      <c r="J11833" s="1342"/>
      <c r="K11833" s="1342"/>
    </row>
    <row r="11834" spans="2:11" ht="14" hidden="1">
      <c r="B11834" s="1342"/>
      <c r="C11834" s="1342"/>
      <c r="D11834" s="1342"/>
      <c r="E11834" s="1342"/>
      <c r="F11834" s="1342"/>
      <c r="G11834" s="1342"/>
      <c r="H11834" s="1342"/>
      <c r="I11834" s="1342"/>
      <c r="J11834" s="1342"/>
      <c r="K11834" s="1342"/>
    </row>
    <row r="11835" spans="2:11" ht="14" hidden="1">
      <c r="B11835" s="1342"/>
      <c r="C11835" s="1342"/>
      <c r="D11835" s="1342"/>
      <c r="E11835" s="1342"/>
      <c r="F11835" s="1342"/>
      <c r="G11835" s="1342"/>
      <c r="H11835" s="1342"/>
      <c r="I11835" s="1342"/>
      <c r="J11835" s="1342"/>
      <c r="K11835" s="1342"/>
    </row>
    <row r="11836" spans="2:11" ht="14" hidden="1">
      <c r="B11836" s="1342"/>
      <c r="C11836" s="1342"/>
      <c r="D11836" s="1342"/>
      <c r="E11836" s="1342"/>
      <c r="F11836" s="1342"/>
      <c r="G11836" s="1342"/>
      <c r="H11836" s="1342"/>
      <c r="I11836" s="1342"/>
      <c r="J11836" s="1342"/>
      <c r="K11836" s="1342"/>
    </row>
    <row r="11837" spans="2:11" ht="14" hidden="1">
      <c r="B11837" s="1342"/>
      <c r="C11837" s="1342"/>
      <c r="D11837" s="1342"/>
      <c r="E11837" s="1342"/>
      <c r="F11837" s="1342"/>
      <c r="G11837" s="1342"/>
      <c r="H11837" s="1342"/>
      <c r="I11837" s="1342"/>
      <c r="J11837" s="1342"/>
      <c r="K11837" s="1342"/>
    </row>
    <row r="11838" spans="2:11" ht="14" hidden="1">
      <c r="B11838" s="1342"/>
      <c r="C11838" s="1342"/>
      <c r="D11838" s="1342"/>
      <c r="E11838" s="1342"/>
      <c r="F11838" s="1342"/>
      <c r="G11838" s="1342"/>
      <c r="H11838" s="1342"/>
      <c r="I11838" s="1342"/>
      <c r="J11838" s="1342"/>
      <c r="K11838" s="1342"/>
    </row>
    <row r="11839" spans="2:11" ht="14" hidden="1">
      <c r="B11839" s="1342"/>
      <c r="C11839" s="1342"/>
      <c r="D11839" s="1342"/>
      <c r="E11839" s="1342"/>
      <c r="F11839" s="1342"/>
      <c r="G11839" s="1342"/>
      <c r="H11839" s="1342"/>
      <c r="I11839" s="1342"/>
      <c r="J11839" s="1342"/>
      <c r="K11839" s="1342"/>
    </row>
    <row r="11840" spans="2:11" ht="14" hidden="1">
      <c r="B11840" s="1342"/>
      <c r="C11840" s="1342"/>
      <c r="D11840" s="1342"/>
      <c r="E11840" s="1342"/>
      <c r="F11840" s="1342"/>
      <c r="G11840" s="1342"/>
      <c r="H11840" s="1342"/>
      <c r="I11840" s="1342"/>
      <c r="J11840" s="1342"/>
      <c r="K11840" s="1342"/>
    </row>
    <row r="11841" spans="2:11" ht="14" hidden="1">
      <c r="B11841" s="1342"/>
      <c r="C11841" s="1342"/>
      <c r="D11841" s="1342"/>
      <c r="E11841" s="1342"/>
      <c r="F11841" s="1342"/>
      <c r="G11841" s="1342"/>
      <c r="H11841" s="1342"/>
      <c r="I11841" s="1342"/>
      <c r="J11841" s="1342"/>
      <c r="K11841" s="1342"/>
    </row>
    <row r="11842" spans="2:11" ht="14" hidden="1">
      <c r="B11842" s="1342"/>
      <c r="C11842" s="1342"/>
      <c r="D11842" s="1342"/>
      <c r="E11842" s="1342"/>
      <c r="F11842" s="1342"/>
      <c r="G11842" s="1342"/>
      <c r="H11842" s="1342"/>
      <c r="I11842" s="1342"/>
      <c r="J11842" s="1342"/>
      <c r="K11842" s="1342"/>
    </row>
    <row r="11843" spans="2:11" ht="14" hidden="1">
      <c r="B11843" s="1342"/>
      <c r="C11843" s="1342"/>
      <c r="D11843" s="1342"/>
      <c r="E11843" s="1342"/>
      <c r="F11843" s="1342"/>
      <c r="G11843" s="1342"/>
      <c r="H11843" s="1342"/>
      <c r="I11843" s="1342"/>
      <c r="J11843" s="1342"/>
      <c r="K11843" s="1342"/>
    </row>
    <row r="11844" spans="2:11" ht="14" hidden="1">
      <c r="B11844" s="1342"/>
      <c r="C11844" s="1342"/>
      <c r="D11844" s="1342"/>
      <c r="E11844" s="1342"/>
      <c r="F11844" s="1342"/>
      <c r="G11844" s="1342"/>
      <c r="H11844" s="1342"/>
      <c r="I11844" s="1342"/>
      <c r="J11844" s="1342"/>
      <c r="K11844" s="1342"/>
    </row>
    <row r="11845" spans="2:11" ht="14" hidden="1">
      <c r="B11845" s="1342"/>
      <c r="C11845" s="1342"/>
      <c r="D11845" s="1342"/>
      <c r="E11845" s="1342"/>
      <c r="F11845" s="1342"/>
      <c r="G11845" s="1342"/>
      <c r="H11845" s="1342"/>
      <c r="I11845" s="1342"/>
      <c r="J11845" s="1342"/>
      <c r="K11845" s="1342"/>
    </row>
    <row r="11846" spans="2:11" ht="14" hidden="1">
      <c r="B11846" s="1342"/>
      <c r="C11846" s="1342"/>
      <c r="D11846" s="1342"/>
      <c r="E11846" s="1342"/>
      <c r="F11846" s="1342"/>
      <c r="G11846" s="1342"/>
      <c r="H11846" s="1342"/>
      <c r="I11846" s="1342"/>
      <c r="J11846" s="1342"/>
      <c r="K11846" s="1342"/>
    </row>
    <row r="11847" spans="2:11" ht="14" hidden="1">
      <c r="B11847" s="1342"/>
      <c r="C11847" s="1342"/>
      <c r="D11847" s="1342"/>
      <c r="E11847" s="1342"/>
      <c r="F11847" s="1342"/>
      <c r="G11847" s="1342"/>
      <c r="H11847" s="1342"/>
      <c r="I11847" s="1342"/>
      <c r="J11847" s="1342"/>
      <c r="K11847" s="1342"/>
    </row>
    <row r="11848" spans="2:11" ht="14" hidden="1">
      <c r="B11848" s="1342"/>
      <c r="C11848" s="1342"/>
      <c r="D11848" s="1342"/>
      <c r="E11848" s="1342"/>
      <c r="F11848" s="1342"/>
      <c r="G11848" s="1342"/>
      <c r="H11848" s="1342"/>
      <c r="I11848" s="1342"/>
      <c r="J11848" s="1342"/>
      <c r="K11848" s="1342"/>
    </row>
    <row r="11849" spans="2:11" ht="14" hidden="1">
      <c r="B11849" s="1342"/>
      <c r="C11849" s="1342"/>
      <c r="D11849" s="1342"/>
      <c r="E11849" s="1342"/>
      <c r="F11849" s="1342"/>
      <c r="G11849" s="1342"/>
      <c r="H11849" s="1342"/>
      <c r="I11849" s="1342"/>
      <c r="J11849" s="1342"/>
      <c r="K11849" s="1342"/>
    </row>
    <row r="11850" spans="2:11" ht="14" hidden="1">
      <c r="B11850" s="1342"/>
      <c r="C11850" s="1342"/>
      <c r="D11850" s="1342"/>
      <c r="E11850" s="1342"/>
      <c r="F11850" s="1342"/>
      <c r="G11850" s="1342"/>
      <c r="H11850" s="1342"/>
      <c r="I11850" s="1342"/>
      <c r="J11850" s="1342"/>
      <c r="K11850" s="1342"/>
    </row>
    <row r="11851" spans="2:11" ht="14" hidden="1">
      <c r="B11851" s="1342"/>
      <c r="C11851" s="1342"/>
      <c r="D11851" s="1342"/>
      <c r="E11851" s="1342"/>
      <c r="F11851" s="1342"/>
      <c r="G11851" s="1342"/>
      <c r="H11851" s="1342"/>
      <c r="I11851" s="1342"/>
      <c r="J11851" s="1342"/>
      <c r="K11851" s="1342"/>
    </row>
    <row r="11852" spans="2:11" ht="14" hidden="1">
      <c r="B11852" s="1342"/>
      <c r="C11852" s="1342"/>
      <c r="D11852" s="1342"/>
      <c r="E11852" s="1342"/>
      <c r="F11852" s="1342"/>
      <c r="G11852" s="1342"/>
      <c r="H11852" s="1342"/>
      <c r="I11852" s="1342"/>
      <c r="J11852" s="1342"/>
      <c r="K11852" s="1342"/>
    </row>
    <row r="11853" spans="2:11" ht="14" hidden="1">
      <c r="B11853" s="1342"/>
      <c r="C11853" s="1342"/>
      <c r="D11853" s="1342"/>
      <c r="E11853" s="1342"/>
      <c r="F11853" s="1342"/>
      <c r="G11853" s="1342"/>
      <c r="H11853" s="1342"/>
      <c r="I11853" s="1342"/>
      <c r="J11853" s="1342"/>
      <c r="K11853" s="1342"/>
    </row>
    <row r="11854" spans="2:11" ht="14" hidden="1">
      <c r="B11854" s="1342"/>
      <c r="C11854" s="1342"/>
      <c r="D11854" s="1342"/>
      <c r="E11854" s="1342"/>
      <c r="F11854" s="1342"/>
      <c r="G11854" s="1342"/>
      <c r="H11854" s="1342"/>
      <c r="I11854" s="1342"/>
      <c r="J11854" s="1342"/>
      <c r="K11854" s="1342"/>
    </row>
    <row r="11855" spans="2:11" ht="14" hidden="1">
      <c r="B11855" s="1342"/>
      <c r="C11855" s="1342"/>
      <c r="D11855" s="1342"/>
      <c r="E11855" s="1342"/>
      <c r="F11855" s="1342"/>
      <c r="G11855" s="1342"/>
      <c r="H11855" s="1342"/>
      <c r="I11855" s="1342"/>
      <c r="J11855" s="1342"/>
      <c r="K11855" s="1342"/>
    </row>
    <row r="11856" spans="2:11" ht="14" hidden="1">
      <c r="B11856" s="1342"/>
      <c r="C11856" s="1342"/>
      <c r="D11856" s="1342"/>
      <c r="E11856" s="1342"/>
      <c r="F11856" s="1342"/>
      <c r="G11856" s="1342"/>
      <c r="H11856" s="1342"/>
      <c r="I11856" s="1342"/>
      <c r="J11856" s="1342"/>
      <c r="K11856" s="1342"/>
    </row>
    <row r="11857" spans="2:11" ht="14" hidden="1">
      <c r="B11857" s="1342"/>
      <c r="C11857" s="1342"/>
      <c r="D11857" s="1342"/>
      <c r="E11857" s="1342"/>
      <c r="F11857" s="1342"/>
      <c r="G11857" s="1342"/>
      <c r="H11857" s="1342"/>
      <c r="I11857" s="1342"/>
      <c r="J11857" s="1342"/>
      <c r="K11857" s="1342"/>
    </row>
    <row r="11858" spans="2:11" ht="14" hidden="1">
      <c r="B11858" s="1342"/>
      <c r="C11858" s="1342"/>
      <c r="D11858" s="1342"/>
      <c r="E11858" s="1342"/>
      <c r="F11858" s="1342"/>
      <c r="G11858" s="1342"/>
      <c r="H11858" s="1342"/>
      <c r="I11858" s="1342"/>
      <c r="J11858" s="1342"/>
      <c r="K11858" s="1342"/>
    </row>
    <row r="11859" spans="2:11" ht="14" hidden="1">
      <c r="B11859" s="1342"/>
      <c r="C11859" s="1342"/>
      <c r="D11859" s="1342"/>
      <c r="E11859" s="1342"/>
      <c r="F11859" s="1342"/>
      <c r="G11859" s="1342"/>
      <c r="H11859" s="1342"/>
      <c r="I11859" s="1342"/>
      <c r="J11859" s="1342"/>
      <c r="K11859" s="1342"/>
    </row>
    <row r="11860" spans="2:11" ht="14" hidden="1">
      <c r="B11860" s="1342"/>
      <c r="C11860" s="1342"/>
      <c r="D11860" s="1342"/>
      <c r="E11860" s="1342"/>
      <c r="F11860" s="1342"/>
      <c r="G11860" s="1342"/>
      <c r="H11860" s="1342"/>
      <c r="I11860" s="1342"/>
      <c r="J11860" s="1342"/>
      <c r="K11860" s="1342"/>
    </row>
    <row r="11861" spans="2:11" ht="14" hidden="1">
      <c r="B11861" s="1342"/>
      <c r="C11861" s="1342"/>
      <c r="D11861" s="1342"/>
      <c r="E11861" s="1342"/>
      <c r="F11861" s="1342"/>
      <c r="G11861" s="1342"/>
      <c r="H11861" s="1342"/>
      <c r="I11861" s="1342"/>
      <c r="J11861" s="1342"/>
      <c r="K11861" s="1342"/>
    </row>
    <row r="11862" spans="2:11" ht="14" hidden="1">
      <c r="B11862" s="1342"/>
      <c r="C11862" s="1342"/>
      <c r="D11862" s="1342"/>
      <c r="E11862" s="1342"/>
      <c r="F11862" s="1342"/>
      <c r="G11862" s="1342"/>
      <c r="H11862" s="1342"/>
      <c r="I11862" s="1342"/>
      <c r="J11862" s="1342"/>
      <c r="K11862" s="1342"/>
    </row>
    <row r="11863" spans="2:11" ht="14" hidden="1">
      <c r="B11863" s="1342"/>
      <c r="C11863" s="1342"/>
      <c r="D11863" s="1342"/>
      <c r="E11863" s="1342"/>
      <c r="F11863" s="1342"/>
      <c r="G11863" s="1342"/>
      <c r="H11863" s="1342"/>
      <c r="I11863" s="1342"/>
      <c r="J11863" s="1342"/>
      <c r="K11863" s="1342"/>
    </row>
    <row r="11864" spans="2:11" ht="14" hidden="1">
      <c r="B11864" s="1342"/>
      <c r="C11864" s="1342"/>
      <c r="D11864" s="1342"/>
      <c r="E11864" s="1342"/>
      <c r="F11864" s="1342"/>
      <c r="G11864" s="1342"/>
      <c r="H11864" s="1342"/>
      <c r="I11864" s="1342"/>
      <c r="J11864" s="1342"/>
      <c r="K11864" s="1342"/>
    </row>
    <row r="11865" spans="2:11" ht="14" hidden="1">
      <c r="B11865" s="1342"/>
      <c r="C11865" s="1342"/>
      <c r="D11865" s="1342"/>
      <c r="E11865" s="1342"/>
      <c r="F11865" s="1342"/>
      <c r="G11865" s="1342"/>
      <c r="H11865" s="1342"/>
      <c r="I11865" s="1342"/>
      <c r="J11865" s="1342"/>
      <c r="K11865" s="1342"/>
    </row>
    <row r="11866" spans="2:11" ht="14" hidden="1">
      <c r="B11866" s="1342"/>
      <c r="C11866" s="1342"/>
      <c r="D11866" s="1342"/>
      <c r="E11866" s="1342"/>
      <c r="F11866" s="1342"/>
      <c r="G11866" s="1342"/>
      <c r="H11866" s="1342"/>
      <c r="I11866" s="1342"/>
      <c r="J11866" s="1342"/>
      <c r="K11866" s="1342"/>
    </row>
    <row r="11867" spans="2:11" ht="14" hidden="1">
      <c r="B11867" s="1342"/>
      <c r="C11867" s="1342"/>
      <c r="D11867" s="1342"/>
      <c r="E11867" s="1342"/>
      <c r="F11867" s="1342"/>
      <c r="G11867" s="1342"/>
      <c r="H11867" s="1342"/>
      <c r="I11867" s="1342"/>
      <c r="J11867" s="1342"/>
      <c r="K11867" s="1342"/>
    </row>
    <row r="11868" spans="2:11" ht="14" hidden="1">
      <c r="B11868" s="1342"/>
      <c r="C11868" s="1342"/>
      <c r="D11868" s="1342"/>
      <c r="E11868" s="1342"/>
      <c r="F11868" s="1342"/>
      <c r="G11868" s="1342"/>
      <c r="H11868" s="1342"/>
      <c r="I11868" s="1342"/>
      <c r="J11868" s="1342"/>
      <c r="K11868" s="1342"/>
    </row>
    <row r="11869" spans="2:11" ht="14" hidden="1">
      <c r="B11869" s="1342"/>
      <c r="C11869" s="1342"/>
      <c r="D11869" s="1342"/>
      <c r="E11869" s="1342"/>
      <c r="F11869" s="1342"/>
      <c r="G11869" s="1342"/>
      <c r="H11869" s="1342"/>
      <c r="I11869" s="1342"/>
      <c r="J11869" s="1342"/>
      <c r="K11869" s="1342"/>
    </row>
    <row r="11870" spans="2:11" ht="14" hidden="1">
      <c r="B11870" s="1342"/>
      <c r="C11870" s="1342"/>
      <c r="D11870" s="1342"/>
      <c r="E11870" s="1342"/>
      <c r="F11870" s="1342"/>
      <c r="G11870" s="1342"/>
      <c r="H11870" s="1342"/>
      <c r="I11870" s="1342"/>
      <c r="J11870" s="1342"/>
      <c r="K11870" s="1342"/>
    </row>
    <row r="11871" spans="2:11" ht="14" hidden="1">
      <c r="B11871" s="1342"/>
      <c r="C11871" s="1342"/>
      <c r="D11871" s="1342"/>
      <c r="E11871" s="1342"/>
      <c r="F11871" s="1342"/>
      <c r="G11871" s="1342"/>
      <c r="H11871" s="1342"/>
      <c r="I11871" s="1342"/>
      <c r="J11871" s="1342"/>
      <c r="K11871" s="1342"/>
    </row>
    <row r="11872" spans="2:11" ht="14" hidden="1">
      <c r="B11872" s="1342"/>
      <c r="C11872" s="1342"/>
      <c r="D11872" s="1342"/>
      <c r="E11872" s="1342"/>
      <c r="F11872" s="1342"/>
      <c r="G11872" s="1342"/>
      <c r="H11872" s="1342"/>
      <c r="I11872" s="1342"/>
      <c r="J11872" s="1342"/>
      <c r="K11872" s="1342"/>
    </row>
    <row r="11873" spans="2:11" ht="14" hidden="1">
      <c r="B11873" s="1342"/>
      <c r="C11873" s="1342"/>
      <c r="D11873" s="1342"/>
      <c r="E11873" s="1342"/>
      <c r="F11873" s="1342"/>
      <c r="G11873" s="1342"/>
      <c r="H11873" s="1342"/>
      <c r="I11873" s="1342"/>
      <c r="J11873" s="1342"/>
      <c r="K11873" s="1342"/>
    </row>
    <row r="11874" spans="2:11" ht="14" hidden="1">
      <c r="B11874" s="1342"/>
      <c r="C11874" s="1342"/>
      <c r="D11874" s="1342"/>
      <c r="E11874" s="1342"/>
      <c r="F11874" s="1342"/>
      <c r="G11874" s="1342"/>
      <c r="H11874" s="1342"/>
      <c r="I11874" s="1342"/>
      <c r="J11874" s="1342"/>
      <c r="K11874" s="1342"/>
    </row>
    <row r="11875" spans="2:11" ht="14" hidden="1">
      <c r="B11875" s="1342"/>
      <c r="C11875" s="1342"/>
      <c r="D11875" s="1342"/>
      <c r="E11875" s="1342"/>
      <c r="F11875" s="1342"/>
      <c r="G11875" s="1342"/>
      <c r="H11875" s="1342"/>
      <c r="I11875" s="1342"/>
      <c r="J11875" s="1342"/>
      <c r="K11875" s="1342"/>
    </row>
    <row r="11876" spans="2:11" ht="14" hidden="1">
      <c r="B11876" s="1342"/>
      <c r="C11876" s="1342"/>
      <c r="D11876" s="1342"/>
      <c r="E11876" s="1342"/>
      <c r="F11876" s="1342"/>
      <c r="G11876" s="1342"/>
      <c r="H11876" s="1342"/>
      <c r="I11876" s="1342"/>
      <c r="J11876" s="1342"/>
      <c r="K11876" s="1342"/>
    </row>
    <row r="11877" spans="2:11" ht="14" hidden="1">
      <c r="B11877" s="1342"/>
      <c r="C11877" s="1342"/>
      <c r="D11877" s="1342"/>
      <c r="E11877" s="1342"/>
      <c r="F11877" s="1342"/>
      <c r="G11877" s="1342"/>
      <c r="H11877" s="1342"/>
      <c r="I11877" s="1342"/>
      <c r="J11877" s="1342"/>
      <c r="K11877" s="1342"/>
    </row>
    <row r="11878" spans="2:11" ht="14" hidden="1">
      <c r="B11878" s="1342"/>
      <c r="C11878" s="1342"/>
      <c r="D11878" s="1342"/>
      <c r="E11878" s="1342"/>
      <c r="F11878" s="1342"/>
      <c r="G11878" s="1342"/>
      <c r="H11878" s="1342"/>
      <c r="I11878" s="1342"/>
      <c r="J11878" s="1342"/>
      <c r="K11878" s="1342"/>
    </row>
    <row r="11879" spans="2:11" ht="14" hidden="1">
      <c r="B11879" s="1342"/>
      <c r="C11879" s="1342"/>
      <c r="D11879" s="1342"/>
      <c r="E11879" s="1342"/>
      <c r="F11879" s="1342"/>
      <c r="G11879" s="1342"/>
      <c r="H11879" s="1342"/>
      <c r="I11879" s="1342"/>
      <c r="J11879" s="1342"/>
      <c r="K11879" s="1342"/>
    </row>
    <row r="11880" spans="2:11" ht="14" hidden="1">
      <c r="B11880" s="1342"/>
      <c r="C11880" s="1342"/>
      <c r="D11880" s="1342"/>
      <c r="E11880" s="1342"/>
      <c r="F11880" s="1342"/>
      <c r="G11880" s="1342"/>
      <c r="H11880" s="1342"/>
      <c r="I11880" s="1342"/>
      <c r="J11880" s="1342"/>
      <c r="K11880" s="1342"/>
    </row>
    <row r="11881" spans="2:11" ht="14" hidden="1">
      <c r="B11881" s="1342"/>
      <c r="C11881" s="1342"/>
      <c r="D11881" s="1342"/>
      <c r="E11881" s="1342"/>
      <c r="F11881" s="1342"/>
      <c r="G11881" s="1342"/>
      <c r="H11881" s="1342"/>
      <c r="I11881" s="1342"/>
      <c r="J11881" s="1342"/>
      <c r="K11881" s="1342"/>
    </row>
    <row r="11882" spans="2:11" ht="14" hidden="1">
      <c r="B11882" s="1342"/>
      <c r="C11882" s="1342"/>
      <c r="D11882" s="1342"/>
      <c r="E11882" s="1342"/>
      <c r="F11882" s="1342"/>
      <c r="G11882" s="1342"/>
      <c r="H11882" s="1342"/>
      <c r="I11882" s="1342"/>
      <c r="J11882" s="1342"/>
      <c r="K11882" s="1342"/>
    </row>
    <row r="11883" spans="2:11" ht="14" hidden="1">
      <c r="B11883" s="1342"/>
      <c r="C11883" s="1342"/>
      <c r="D11883" s="1342"/>
      <c r="E11883" s="1342"/>
      <c r="F11883" s="1342"/>
      <c r="G11883" s="1342"/>
      <c r="H11883" s="1342"/>
      <c r="I11883" s="1342"/>
      <c r="J11883" s="1342"/>
      <c r="K11883" s="1342"/>
    </row>
    <row r="11884" spans="2:11" ht="14" hidden="1">
      <c r="B11884" s="1342"/>
      <c r="C11884" s="1342"/>
      <c r="D11884" s="1342"/>
      <c r="E11884" s="1342"/>
      <c r="F11884" s="1342"/>
      <c r="G11884" s="1342"/>
      <c r="H11884" s="1342"/>
      <c r="I11884" s="1342"/>
      <c r="J11884" s="1342"/>
      <c r="K11884" s="1342"/>
    </row>
    <row r="11885" spans="2:11" ht="14" hidden="1">
      <c r="B11885" s="1342"/>
      <c r="C11885" s="1342"/>
      <c r="D11885" s="1342"/>
      <c r="E11885" s="1342"/>
      <c r="F11885" s="1342"/>
      <c r="G11885" s="1342"/>
      <c r="H11885" s="1342"/>
      <c r="I11885" s="1342"/>
      <c r="J11885" s="1342"/>
      <c r="K11885" s="1342"/>
    </row>
    <row r="11886" spans="2:11" ht="14" hidden="1">
      <c r="B11886" s="1342"/>
      <c r="C11886" s="1342"/>
      <c r="D11886" s="1342"/>
      <c r="E11886" s="1342"/>
      <c r="F11886" s="1342"/>
      <c r="G11886" s="1342"/>
      <c r="H11886" s="1342"/>
      <c r="I11886" s="1342"/>
      <c r="J11886" s="1342"/>
      <c r="K11886" s="1342"/>
    </row>
    <row r="11887" spans="2:11" ht="14" hidden="1">
      <c r="B11887" s="1342"/>
      <c r="C11887" s="1342"/>
      <c r="D11887" s="1342"/>
      <c r="E11887" s="1342"/>
      <c r="F11887" s="1342"/>
      <c r="G11887" s="1342"/>
      <c r="H11887" s="1342"/>
      <c r="I11887" s="1342"/>
      <c r="J11887" s="1342"/>
      <c r="K11887" s="1342"/>
    </row>
    <row r="11888" spans="2:11" ht="14" hidden="1">
      <c r="B11888" s="1342"/>
      <c r="C11888" s="1342"/>
      <c r="D11888" s="1342"/>
      <c r="E11888" s="1342"/>
      <c r="F11888" s="1342"/>
      <c r="G11888" s="1342"/>
      <c r="H11888" s="1342"/>
      <c r="I11888" s="1342"/>
      <c r="J11888" s="1342"/>
      <c r="K11888" s="1342"/>
    </row>
    <row r="11889" spans="2:11" ht="14" hidden="1">
      <c r="B11889" s="1342"/>
      <c r="C11889" s="1342"/>
      <c r="D11889" s="1342"/>
      <c r="E11889" s="1342"/>
      <c r="F11889" s="1342"/>
      <c r="G11889" s="1342"/>
      <c r="H11889" s="1342"/>
      <c r="I11889" s="1342"/>
      <c r="J11889" s="1342"/>
      <c r="K11889" s="1342"/>
    </row>
    <row r="11890" spans="2:11" ht="14" hidden="1">
      <c r="B11890" s="1342"/>
      <c r="C11890" s="1342"/>
      <c r="D11890" s="1342"/>
      <c r="E11890" s="1342"/>
      <c r="F11890" s="1342"/>
      <c r="G11890" s="1342"/>
      <c r="H11890" s="1342"/>
      <c r="I11890" s="1342"/>
      <c r="J11890" s="1342"/>
      <c r="K11890" s="1342"/>
    </row>
    <row r="11891" spans="2:11" ht="14" hidden="1">
      <c r="B11891" s="1342"/>
      <c r="C11891" s="1342"/>
      <c r="D11891" s="1342"/>
      <c r="E11891" s="1342"/>
      <c r="F11891" s="1342"/>
      <c r="G11891" s="1342"/>
      <c r="H11891" s="1342"/>
      <c r="I11891" s="1342"/>
      <c r="J11891" s="1342"/>
      <c r="K11891" s="1342"/>
    </row>
    <row r="11892" spans="2:11" ht="14" hidden="1">
      <c r="B11892" s="1342"/>
      <c r="C11892" s="1342"/>
      <c r="D11892" s="1342"/>
      <c r="E11892" s="1342"/>
      <c r="F11892" s="1342"/>
      <c r="G11892" s="1342"/>
      <c r="H11892" s="1342"/>
      <c r="I11892" s="1342"/>
      <c r="J11892" s="1342"/>
      <c r="K11892" s="1342"/>
    </row>
    <row r="11893" spans="2:11" ht="14" hidden="1">
      <c r="B11893" s="1342"/>
      <c r="C11893" s="1342"/>
      <c r="D11893" s="1342"/>
      <c r="E11893" s="1342"/>
      <c r="F11893" s="1342"/>
      <c r="G11893" s="1342"/>
      <c r="H11893" s="1342"/>
      <c r="I11893" s="1342"/>
      <c r="J11893" s="1342"/>
      <c r="K11893" s="1342"/>
    </row>
    <row r="11894" spans="2:11" ht="14" hidden="1">
      <c r="B11894" s="1342"/>
      <c r="C11894" s="1342"/>
      <c r="D11894" s="1342"/>
      <c r="E11894" s="1342"/>
      <c r="F11894" s="1342"/>
      <c r="G11894" s="1342"/>
      <c r="H11894" s="1342"/>
      <c r="I11894" s="1342"/>
      <c r="J11894" s="1342"/>
      <c r="K11894" s="1342"/>
    </row>
    <row r="11895" spans="2:11" ht="14" hidden="1">
      <c r="B11895" s="1342"/>
      <c r="C11895" s="1342"/>
      <c r="D11895" s="1342"/>
      <c r="E11895" s="1342"/>
      <c r="F11895" s="1342"/>
      <c r="G11895" s="1342"/>
      <c r="H11895" s="1342"/>
      <c r="I11895" s="1342"/>
      <c r="J11895" s="1342"/>
      <c r="K11895" s="1342"/>
    </row>
    <row r="11896" spans="2:11" ht="14" hidden="1">
      <c r="B11896" s="1342"/>
      <c r="C11896" s="1342"/>
      <c r="D11896" s="1342"/>
      <c r="E11896" s="1342"/>
      <c r="F11896" s="1342"/>
      <c r="G11896" s="1342"/>
      <c r="H11896" s="1342"/>
      <c r="I11896" s="1342"/>
      <c r="J11896" s="1342"/>
      <c r="K11896" s="1342"/>
    </row>
    <row r="11897" spans="2:11" ht="14" hidden="1">
      <c r="B11897" s="1342"/>
      <c r="C11897" s="1342"/>
      <c r="D11897" s="1342"/>
      <c r="E11897" s="1342"/>
      <c r="F11897" s="1342"/>
      <c r="G11897" s="1342"/>
      <c r="H11897" s="1342"/>
      <c r="I11897" s="1342"/>
      <c r="J11897" s="1342"/>
      <c r="K11897" s="1342"/>
    </row>
    <row r="11898" spans="2:11" ht="14" hidden="1">
      <c r="B11898" s="1342"/>
      <c r="C11898" s="1342"/>
      <c r="D11898" s="1342"/>
      <c r="E11898" s="1342"/>
      <c r="F11898" s="1342"/>
      <c r="G11898" s="1342"/>
      <c r="H11898" s="1342"/>
      <c r="I11898" s="1342"/>
      <c r="J11898" s="1342"/>
      <c r="K11898" s="1342"/>
    </row>
    <row r="11899" spans="2:11" ht="14" hidden="1">
      <c r="B11899" s="1342"/>
      <c r="C11899" s="1342"/>
      <c r="D11899" s="1342"/>
      <c r="E11899" s="1342"/>
      <c r="F11899" s="1342"/>
      <c r="G11899" s="1342"/>
      <c r="H11899" s="1342"/>
      <c r="I11899" s="1342"/>
      <c r="J11899" s="1342"/>
      <c r="K11899" s="1342"/>
    </row>
    <row r="11900" spans="2:11" ht="14" hidden="1">
      <c r="B11900" s="1342"/>
      <c r="C11900" s="1342"/>
      <c r="D11900" s="1342"/>
      <c r="E11900" s="1342"/>
      <c r="F11900" s="1342"/>
      <c r="G11900" s="1342"/>
      <c r="H11900" s="1342"/>
      <c r="I11900" s="1342"/>
      <c r="J11900" s="1342"/>
      <c r="K11900" s="1342"/>
    </row>
    <row r="11901" spans="2:11" ht="14" hidden="1">
      <c r="B11901" s="1342"/>
      <c r="C11901" s="1342"/>
      <c r="D11901" s="1342"/>
      <c r="E11901" s="1342"/>
      <c r="F11901" s="1342"/>
      <c r="G11901" s="1342"/>
      <c r="H11901" s="1342"/>
      <c r="I11901" s="1342"/>
      <c r="J11901" s="1342"/>
      <c r="K11901" s="1342"/>
    </row>
    <row r="11902" spans="2:11" ht="14" hidden="1">
      <c r="B11902" s="1342"/>
      <c r="C11902" s="1342"/>
      <c r="D11902" s="1342"/>
      <c r="E11902" s="1342"/>
      <c r="F11902" s="1342"/>
      <c r="G11902" s="1342"/>
      <c r="H11902" s="1342"/>
      <c r="I11902" s="1342"/>
      <c r="J11902" s="1342"/>
      <c r="K11902" s="1342"/>
    </row>
    <row r="11903" spans="2:11" ht="14" hidden="1">
      <c r="B11903" s="1342"/>
      <c r="C11903" s="1342"/>
      <c r="D11903" s="1342"/>
      <c r="E11903" s="1342"/>
      <c r="F11903" s="1342"/>
      <c r="G11903" s="1342"/>
      <c r="H11903" s="1342"/>
      <c r="I11903" s="1342"/>
      <c r="J11903" s="1342"/>
      <c r="K11903" s="1342"/>
    </row>
    <row r="11904" spans="2:11" ht="14" hidden="1">
      <c r="B11904" s="1342"/>
      <c r="C11904" s="1342"/>
      <c r="D11904" s="1342"/>
      <c r="E11904" s="1342"/>
      <c r="F11904" s="1342"/>
      <c r="G11904" s="1342"/>
      <c r="H11904" s="1342"/>
      <c r="I11904" s="1342"/>
      <c r="J11904" s="1342"/>
      <c r="K11904" s="1342"/>
    </row>
    <row r="11905" spans="2:11" ht="14" hidden="1">
      <c r="B11905" s="1342"/>
      <c r="C11905" s="1342"/>
      <c r="D11905" s="1342"/>
      <c r="E11905" s="1342"/>
      <c r="F11905" s="1342"/>
      <c r="G11905" s="1342"/>
      <c r="H11905" s="1342"/>
      <c r="I11905" s="1342"/>
      <c r="J11905" s="1342"/>
      <c r="K11905" s="1342"/>
    </row>
    <row r="11906" spans="2:11" ht="14" hidden="1">
      <c r="B11906" s="1342"/>
      <c r="C11906" s="1342"/>
      <c r="D11906" s="1342"/>
      <c r="E11906" s="1342"/>
      <c r="F11906" s="1342"/>
      <c r="G11906" s="1342"/>
      <c r="H11906" s="1342"/>
      <c r="I11906" s="1342"/>
      <c r="J11906" s="1342"/>
      <c r="K11906" s="1342"/>
    </row>
    <row r="11907" spans="2:11" ht="14" hidden="1">
      <c r="B11907" s="1342"/>
      <c r="C11907" s="1342"/>
      <c r="D11907" s="1342"/>
      <c r="E11907" s="1342"/>
      <c r="F11907" s="1342"/>
      <c r="G11907" s="1342"/>
      <c r="H11907" s="1342"/>
      <c r="I11907" s="1342"/>
      <c r="J11907" s="1342"/>
      <c r="K11907" s="1342"/>
    </row>
    <row r="11908" spans="2:11" ht="14" hidden="1">
      <c r="B11908" s="1342"/>
      <c r="C11908" s="1342"/>
      <c r="D11908" s="1342"/>
      <c r="E11908" s="1342"/>
      <c r="F11908" s="1342"/>
      <c r="G11908" s="1342"/>
      <c r="H11908" s="1342"/>
      <c r="I11908" s="1342"/>
      <c r="J11908" s="1342"/>
      <c r="K11908" s="1342"/>
    </row>
    <row r="11909" spans="2:11" ht="14" hidden="1">
      <c r="B11909" s="1342"/>
      <c r="C11909" s="1342"/>
      <c r="D11909" s="1342"/>
      <c r="E11909" s="1342"/>
      <c r="F11909" s="1342"/>
      <c r="G11909" s="1342"/>
      <c r="H11909" s="1342"/>
      <c r="I11909" s="1342"/>
      <c r="J11909" s="1342"/>
      <c r="K11909" s="1342"/>
    </row>
    <row r="11910" spans="2:11" ht="14" hidden="1">
      <c r="B11910" s="1342"/>
      <c r="C11910" s="1342"/>
      <c r="D11910" s="1342"/>
      <c r="E11910" s="1342"/>
      <c r="F11910" s="1342"/>
      <c r="G11910" s="1342"/>
      <c r="H11910" s="1342"/>
      <c r="I11910" s="1342"/>
      <c r="J11910" s="1342"/>
      <c r="K11910" s="1342"/>
    </row>
    <row r="11911" spans="2:11" ht="14" hidden="1">
      <c r="B11911" s="1342"/>
      <c r="C11911" s="1342"/>
      <c r="D11911" s="1342"/>
      <c r="E11911" s="1342"/>
      <c r="F11911" s="1342"/>
      <c r="G11911" s="1342"/>
      <c r="H11911" s="1342"/>
      <c r="I11911" s="1342"/>
      <c r="J11911" s="1342"/>
      <c r="K11911" s="1342"/>
    </row>
    <row r="11912" spans="2:11" ht="14" hidden="1">
      <c r="B11912" s="1342"/>
      <c r="C11912" s="1342"/>
      <c r="D11912" s="1342"/>
      <c r="E11912" s="1342"/>
      <c r="F11912" s="1342"/>
      <c r="G11912" s="1342"/>
      <c r="H11912" s="1342"/>
      <c r="I11912" s="1342"/>
      <c r="J11912" s="1342"/>
      <c r="K11912" s="1342"/>
    </row>
    <row r="11913" spans="2:11" ht="14" hidden="1">
      <c r="B11913" s="1342"/>
      <c r="C11913" s="1342"/>
      <c r="D11913" s="1342"/>
      <c r="E11913" s="1342"/>
      <c r="F11913" s="1342"/>
      <c r="G11913" s="1342"/>
      <c r="H11913" s="1342"/>
      <c r="I11913" s="1342"/>
      <c r="J11913" s="1342"/>
      <c r="K11913" s="1342"/>
    </row>
    <row r="11914" spans="2:11" ht="14" hidden="1">
      <c r="B11914" s="1342"/>
      <c r="C11914" s="1342"/>
      <c r="D11914" s="1342"/>
      <c r="E11914" s="1342"/>
      <c r="F11914" s="1342"/>
      <c r="G11914" s="1342"/>
      <c r="H11914" s="1342"/>
      <c r="I11914" s="1342"/>
      <c r="J11914" s="1342"/>
      <c r="K11914" s="1342"/>
    </row>
    <row r="11915" spans="2:11" ht="14" hidden="1">
      <c r="B11915" s="1342"/>
      <c r="C11915" s="1342"/>
      <c r="D11915" s="1342"/>
      <c r="E11915" s="1342"/>
      <c r="F11915" s="1342"/>
      <c r="G11915" s="1342"/>
      <c r="H11915" s="1342"/>
      <c r="I11915" s="1342"/>
      <c r="J11915" s="1342"/>
      <c r="K11915" s="1342"/>
    </row>
    <row r="11916" spans="2:11" ht="14" hidden="1">
      <c r="B11916" s="1342"/>
      <c r="C11916" s="1342"/>
      <c r="D11916" s="1342"/>
      <c r="E11916" s="1342"/>
      <c r="F11916" s="1342"/>
      <c r="G11916" s="1342"/>
      <c r="H11916" s="1342"/>
      <c r="I11916" s="1342"/>
      <c r="J11916" s="1342"/>
      <c r="K11916" s="1342"/>
    </row>
    <row r="11917" spans="2:11" ht="14" hidden="1">
      <c r="B11917" s="1342"/>
      <c r="C11917" s="1342"/>
      <c r="D11917" s="1342"/>
      <c r="E11917" s="1342"/>
      <c r="F11917" s="1342"/>
      <c r="G11917" s="1342"/>
      <c r="H11917" s="1342"/>
      <c r="I11917" s="1342"/>
      <c r="J11917" s="1342"/>
      <c r="K11917" s="1342"/>
    </row>
    <row r="11918" spans="2:11" ht="14" hidden="1">
      <c r="B11918" s="1342"/>
      <c r="C11918" s="1342"/>
      <c r="D11918" s="1342"/>
      <c r="E11918" s="1342"/>
      <c r="F11918" s="1342"/>
      <c r="G11918" s="1342"/>
      <c r="H11918" s="1342"/>
      <c r="I11918" s="1342"/>
      <c r="J11918" s="1342"/>
      <c r="K11918" s="1342"/>
    </row>
    <row r="11919" spans="2:11" ht="14" hidden="1">
      <c r="B11919" s="1342"/>
      <c r="C11919" s="1342"/>
      <c r="D11919" s="1342"/>
      <c r="E11919" s="1342"/>
      <c r="F11919" s="1342"/>
      <c r="G11919" s="1342"/>
      <c r="H11919" s="1342"/>
      <c r="I11919" s="1342"/>
      <c r="J11919" s="1342"/>
      <c r="K11919" s="1342"/>
    </row>
    <row r="11920" spans="2:11" ht="14" hidden="1">
      <c r="B11920" s="1342"/>
      <c r="C11920" s="1342"/>
      <c r="D11920" s="1342"/>
      <c r="E11920" s="1342"/>
      <c r="F11920" s="1342"/>
      <c r="G11920" s="1342"/>
      <c r="H11920" s="1342"/>
      <c r="I11920" s="1342"/>
      <c r="J11920" s="1342"/>
      <c r="K11920" s="1342"/>
    </row>
    <row r="11921" spans="2:11" ht="14" hidden="1">
      <c r="B11921" s="1342"/>
      <c r="C11921" s="1342"/>
      <c r="D11921" s="1342"/>
      <c r="E11921" s="1342"/>
      <c r="F11921" s="1342"/>
      <c r="G11921" s="1342"/>
      <c r="H11921" s="1342"/>
      <c r="I11921" s="1342"/>
      <c r="J11921" s="1342"/>
      <c r="K11921" s="1342"/>
    </row>
    <row r="11922" spans="2:11" ht="14" hidden="1">
      <c r="B11922" s="1342"/>
      <c r="C11922" s="1342"/>
      <c r="D11922" s="1342"/>
      <c r="E11922" s="1342"/>
      <c r="F11922" s="1342"/>
      <c r="G11922" s="1342"/>
      <c r="H11922" s="1342"/>
      <c r="I11922" s="1342"/>
      <c r="J11922" s="1342"/>
      <c r="K11922" s="1342"/>
    </row>
    <row r="11923" spans="2:11" ht="14" hidden="1">
      <c r="B11923" s="1342"/>
      <c r="C11923" s="1342"/>
      <c r="D11923" s="1342"/>
      <c r="E11923" s="1342"/>
      <c r="F11923" s="1342"/>
      <c r="G11923" s="1342"/>
      <c r="H11923" s="1342"/>
      <c r="I11923" s="1342"/>
      <c r="J11923" s="1342"/>
      <c r="K11923" s="1342"/>
    </row>
    <row r="11924" spans="2:11" ht="14" hidden="1">
      <c r="B11924" s="1342"/>
      <c r="C11924" s="1342"/>
      <c r="D11924" s="1342"/>
      <c r="E11924" s="1342"/>
      <c r="F11924" s="1342"/>
      <c r="G11924" s="1342"/>
      <c r="H11924" s="1342"/>
      <c r="I11924" s="1342"/>
      <c r="J11924" s="1342"/>
      <c r="K11924" s="1342"/>
    </row>
    <row r="11925" spans="2:11" ht="14" hidden="1">
      <c r="B11925" s="1342"/>
      <c r="C11925" s="1342"/>
      <c r="D11925" s="1342"/>
      <c r="E11925" s="1342"/>
      <c r="F11925" s="1342"/>
      <c r="G11925" s="1342"/>
      <c r="H11925" s="1342"/>
      <c r="I11925" s="1342"/>
      <c r="J11925" s="1342"/>
      <c r="K11925" s="1342"/>
    </row>
    <row r="11926" spans="2:11" ht="14" hidden="1">
      <c r="B11926" s="1342"/>
      <c r="C11926" s="1342"/>
      <c r="D11926" s="1342"/>
      <c r="E11926" s="1342"/>
      <c r="F11926" s="1342"/>
      <c r="G11926" s="1342"/>
      <c r="H11926" s="1342"/>
      <c r="I11926" s="1342"/>
      <c r="J11926" s="1342"/>
      <c r="K11926" s="1342"/>
    </row>
    <row r="11927" spans="2:11" ht="14" hidden="1">
      <c r="B11927" s="1342"/>
      <c r="C11927" s="1342"/>
      <c r="D11927" s="1342"/>
      <c r="E11927" s="1342"/>
      <c r="F11927" s="1342"/>
      <c r="G11927" s="1342"/>
      <c r="H11927" s="1342"/>
      <c r="I11927" s="1342"/>
      <c r="J11927" s="1342"/>
      <c r="K11927" s="1342"/>
    </row>
    <row r="11928" spans="2:11" ht="14" hidden="1">
      <c r="B11928" s="1342"/>
      <c r="C11928" s="1342"/>
      <c r="D11928" s="1342"/>
      <c r="E11928" s="1342"/>
      <c r="F11928" s="1342"/>
      <c r="G11928" s="1342"/>
      <c r="H11928" s="1342"/>
      <c r="I11928" s="1342"/>
      <c r="J11928" s="1342"/>
      <c r="K11928" s="1342"/>
    </row>
    <row r="11929" spans="2:11" ht="14" hidden="1">
      <c r="B11929" s="1342"/>
      <c r="C11929" s="1342"/>
      <c r="D11929" s="1342"/>
      <c r="E11929" s="1342"/>
      <c r="F11929" s="1342"/>
      <c r="G11929" s="1342"/>
      <c r="H11929" s="1342"/>
      <c r="I11929" s="1342"/>
      <c r="J11929" s="1342"/>
      <c r="K11929" s="1342"/>
    </row>
    <row r="11930" spans="2:11" ht="14" hidden="1">
      <c r="B11930" s="1342"/>
      <c r="C11930" s="1342"/>
      <c r="D11930" s="1342"/>
      <c r="E11930" s="1342"/>
      <c r="F11930" s="1342"/>
      <c r="G11930" s="1342"/>
      <c r="H11930" s="1342"/>
      <c r="I11930" s="1342"/>
      <c r="J11930" s="1342"/>
      <c r="K11930" s="1342"/>
    </row>
    <row r="11931" spans="2:11" ht="14" hidden="1">
      <c r="B11931" s="1342"/>
      <c r="C11931" s="1342"/>
      <c r="D11931" s="1342"/>
      <c r="E11931" s="1342"/>
      <c r="F11931" s="1342"/>
      <c r="G11931" s="1342"/>
      <c r="H11931" s="1342"/>
      <c r="I11931" s="1342"/>
      <c r="J11931" s="1342"/>
      <c r="K11931" s="1342"/>
    </row>
    <row r="11932" spans="2:11" ht="14" hidden="1">
      <c r="B11932" s="1342"/>
      <c r="C11932" s="1342"/>
      <c r="D11932" s="1342"/>
      <c r="E11932" s="1342"/>
      <c r="F11932" s="1342"/>
      <c r="G11932" s="1342"/>
      <c r="H11932" s="1342"/>
      <c r="I11932" s="1342"/>
      <c r="J11932" s="1342"/>
      <c r="K11932" s="1342"/>
    </row>
    <row r="11933" spans="2:11" ht="14" hidden="1">
      <c r="B11933" s="1342"/>
      <c r="C11933" s="1342"/>
      <c r="D11933" s="1342"/>
      <c r="E11933" s="1342"/>
      <c r="F11933" s="1342"/>
      <c r="G11933" s="1342"/>
      <c r="H11933" s="1342"/>
      <c r="I11933" s="1342"/>
      <c r="J11933" s="1342"/>
      <c r="K11933" s="1342"/>
    </row>
    <row r="11934" spans="2:11" ht="14" hidden="1">
      <c r="B11934" s="1342"/>
      <c r="C11934" s="1342"/>
      <c r="D11934" s="1342"/>
      <c r="E11934" s="1342"/>
      <c r="F11934" s="1342"/>
      <c r="G11934" s="1342"/>
      <c r="H11934" s="1342"/>
      <c r="I11934" s="1342"/>
      <c r="J11934" s="1342"/>
      <c r="K11934" s="1342"/>
    </row>
    <row r="11935" spans="2:11" ht="14" hidden="1">
      <c r="B11935" s="1342"/>
      <c r="C11935" s="1342"/>
      <c r="D11935" s="1342"/>
      <c r="E11935" s="1342"/>
      <c r="F11935" s="1342"/>
      <c r="G11935" s="1342"/>
      <c r="H11935" s="1342"/>
      <c r="I11935" s="1342"/>
      <c r="J11935" s="1342"/>
      <c r="K11935" s="1342"/>
    </row>
    <row r="11936" spans="2:11" ht="14" hidden="1">
      <c r="B11936" s="1342"/>
      <c r="C11936" s="1342"/>
      <c r="D11936" s="1342"/>
      <c r="E11936" s="1342"/>
      <c r="F11936" s="1342"/>
      <c r="G11936" s="1342"/>
      <c r="H11936" s="1342"/>
      <c r="I11936" s="1342"/>
      <c r="J11936" s="1342"/>
      <c r="K11936" s="1342"/>
    </row>
    <row r="11937" spans="2:11" ht="14" hidden="1">
      <c r="B11937" s="1342"/>
      <c r="C11937" s="1342"/>
      <c r="D11937" s="1342"/>
      <c r="E11937" s="1342"/>
      <c r="F11937" s="1342"/>
      <c r="G11937" s="1342"/>
      <c r="H11937" s="1342"/>
      <c r="I11937" s="1342"/>
      <c r="J11937" s="1342"/>
      <c r="K11937" s="1342"/>
    </row>
    <row r="11938" spans="2:11" ht="14" hidden="1">
      <c r="B11938" s="1342"/>
      <c r="C11938" s="1342"/>
      <c r="D11938" s="1342"/>
      <c r="E11938" s="1342"/>
      <c r="F11938" s="1342"/>
      <c r="G11938" s="1342"/>
      <c r="H11938" s="1342"/>
      <c r="I11938" s="1342"/>
      <c r="J11938" s="1342"/>
      <c r="K11938" s="1342"/>
    </row>
    <row r="11939" spans="2:11" ht="14" hidden="1">
      <c r="B11939" s="1342"/>
      <c r="C11939" s="1342"/>
      <c r="D11939" s="1342"/>
      <c r="E11939" s="1342"/>
      <c r="F11939" s="1342"/>
      <c r="G11939" s="1342"/>
      <c r="H11939" s="1342"/>
      <c r="I11939" s="1342"/>
      <c r="J11939" s="1342"/>
      <c r="K11939" s="1342"/>
    </row>
    <row r="11940" spans="2:11" ht="14" hidden="1">
      <c r="B11940" s="1342"/>
      <c r="C11940" s="1342"/>
      <c r="D11940" s="1342"/>
      <c r="E11940" s="1342"/>
      <c r="F11940" s="1342"/>
      <c r="G11940" s="1342"/>
      <c r="H11940" s="1342"/>
      <c r="I11940" s="1342"/>
      <c r="J11940" s="1342"/>
      <c r="K11940" s="1342"/>
    </row>
    <row r="11941" spans="2:11" ht="14" hidden="1">
      <c r="B11941" s="1342"/>
      <c r="C11941" s="1342"/>
      <c r="D11941" s="1342"/>
      <c r="E11941" s="1342"/>
      <c r="F11941" s="1342"/>
      <c r="G11941" s="1342"/>
      <c r="H11941" s="1342"/>
      <c r="I11941" s="1342"/>
      <c r="J11941" s="1342"/>
      <c r="K11941" s="1342"/>
    </row>
    <row r="11942" spans="2:11" ht="14" hidden="1">
      <c r="B11942" s="1342"/>
      <c r="C11942" s="1342"/>
      <c r="D11942" s="1342"/>
      <c r="E11942" s="1342"/>
      <c r="F11942" s="1342"/>
      <c r="G11942" s="1342"/>
      <c r="H11942" s="1342"/>
      <c r="I11942" s="1342"/>
      <c r="J11942" s="1342"/>
      <c r="K11942" s="1342"/>
    </row>
    <row r="11943" spans="2:11" ht="14" hidden="1">
      <c r="B11943" s="1342"/>
      <c r="C11943" s="1342"/>
      <c r="D11943" s="1342"/>
      <c r="E11943" s="1342"/>
      <c r="F11943" s="1342"/>
      <c r="G11943" s="1342"/>
      <c r="H11943" s="1342"/>
      <c r="I11943" s="1342"/>
      <c r="J11943" s="1342"/>
      <c r="K11943" s="1342"/>
    </row>
    <row r="11944" spans="2:11" ht="14" hidden="1">
      <c r="B11944" s="1342"/>
      <c r="C11944" s="1342"/>
      <c r="D11944" s="1342"/>
      <c r="E11944" s="1342"/>
      <c r="F11944" s="1342"/>
      <c r="G11944" s="1342"/>
      <c r="H11944" s="1342"/>
      <c r="I11944" s="1342"/>
      <c r="J11944" s="1342"/>
      <c r="K11944" s="1342"/>
    </row>
    <row r="11945" spans="2:11" ht="14" hidden="1">
      <c r="B11945" s="1342"/>
      <c r="C11945" s="1342"/>
      <c r="D11945" s="1342"/>
      <c r="E11945" s="1342"/>
      <c r="F11945" s="1342"/>
      <c r="G11945" s="1342"/>
      <c r="H11945" s="1342"/>
      <c r="I11945" s="1342"/>
      <c r="J11945" s="1342"/>
      <c r="K11945" s="1342"/>
    </row>
    <row r="11946" spans="2:11" ht="14" hidden="1">
      <c r="B11946" s="1342"/>
      <c r="C11946" s="1342"/>
      <c r="D11946" s="1342"/>
      <c r="E11946" s="1342"/>
      <c r="F11946" s="1342"/>
      <c r="G11946" s="1342"/>
      <c r="H11946" s="1342"/>
      <c r="I11946" s="1342"/>
      <c r="J11946" s="1342"/>
      <c r="K11946" s="1342"/>
    </row>
    <row r="11947" spans="2:11" ht="14" hidden="1">
      <c r="B11947" s="1342"/>
      <c r="C11947" s="1342"/>
      <c r="D11947" s="1342"/>
      <c r="E11947" s="1342"/>
      <c r="F11947" s="1342"/>
      <c r="G11947" s="1342"/>
      <c r="H11947" s="1342"/>
      <c r="I11947" s="1342"/>
      <c r="J11947" s="1342"/>
      <c r="K11947" s="1342"/>
    </row>
    <row r="11948" spans="2:11" ht="14" hidden="1">
      <c r="B11948" s="1342"/>
      <c r="C11948" s="1342"/>
      <c r="D11948" s="1342"/>
      <c r="E11948" s="1342"/>
      <c r="F11948" s="1342"/>
      <c r="G11948" s="1342"/>
      <c r="H11948" s="1342"/>
      <c r="I11948" s="1342"/>
      <c r="J11948" s="1342"/>
      <c r="K11948" s="1342"/>
    </row>
    <row r="11949" spans="2:11" ht="14" hidden="1">
      <c r="B11949" s="1342"/>
      <c r="C11949" s="1342"/>
      <c r="D11949" s="1342"/>
      <c r="E11949" s="1342"/>
      <c r="F11949" s="1342"/>
      <c r="G11949" s="1342"/>
      <c r="H11949" s="1342"/>
      <c r="I11949" s="1342"/>
      <c r="J11949" s="1342"/>
      <c r="K11949" s="1342"/>
    </row>
    <row r="11950" spans="2:11" ht="14" hidden="1">
      <c r="B11950" s="1342"/>
      <c r="C11950" s="1342"/>
      <c r="D11950" s="1342"/>
      <c r="E11950" s="1342"/>
      <c r="F11950" s="1342"/>
      <c r="G11950" s="1342"/>
      <c r="H11950" s="1342"/>
      <c r="I11950" s="1342"/>
      <c r="J11950" s="1342"/>
      <c r="K11950" s="1342"/>
    </row>
    <row r="11951" spans="2:11" ht="14" hidden="1">
      <c r="B11951" s="1342"/>
      <c r="C11951" s="1342"/>
      <c r="D11951" s="1342"/>
      <c r="E11951" s="1342"/>
      <c r="F11951" s="1342"/>
      <c r="G11951" s="1342"/>
      <c r="H11951" s="1342"/>
      <c r="I11951" s="1342"/>
      <c r="J11951" s="1342"/>
      <c r="K11951" s="1342"/>
    </row>
    <row r="11952" spans="2:11" ht="14" hidden="1">
      <c r="B11952" s="1342"/>
      <c r="C11952" s="1342"/>
      <c r="D11952" s="1342"/>
      <c r="E11952" s="1342"/>
      <c r="F11952" s="1342"/>
      <c r="G11952" s="1342"/>
      <c r="H11952" s="1342"/>
      <c r="I11952" s="1342"/>
      <c r="J11952" s="1342"/>
      <c r="K11952" s="1342"/>
    </row>
    <row r="11953" spans="2:11" ht="14" hidden="1">
      <c r="B11953" s="1342"/>
      <c r="C11953" s="1342"/>
      <c r="D11953" s="1342"/>
      <c r="E11953" s="1342"/>
      <c r="F11953" s="1342"/>
      <c r="G11953" s="1342"/>
      <c r="H11953" s="1342"/>
      <c r="I11953" s="1342"/>
      <c r="J11953" s="1342"/>
      <c r="K11953" s="1342"/>
    </row>
    <row r="11954" spans="2:11" ht="14" hidden="1">
      <c r="B11954" s="1342"/>
      <c r="C11954" s="1342"/>
      <c r="D11954" s="1342"/>
    </row>
    <row r="65559" s="1" customFormat="1" ht="14"/>
    <row r="65560" s="1" customFormat="1" ht="14"/>
    <row r="65561" s="1" customFormat="1" ht="14"/>
    <row r="65562" s="1" customFormat="1" ht="14"/>
    <row r="65563" s="1" customFormat="1" ht="14"/>
    <row r="65564" s="1" customFormat="1" ht="14"/>
    <row r="65565" s="1" customFormat="1" ht="14"/>
  </sheetData>
  <mergeCells count="154">
    <mergeCell ref="B72:L72"/>
    <mergeCell ref="D74:G74"/>
    <mergeCell ref="K74:L74"/>
    <mergeCell ref="C67:D67"/>
    <mergeCell ref="E67:F67"/>
    <mergeCell ref="G67:H67"/>
    <mergeCell ref="K67:L67"/>
    <mergeCell ref="C70:L70"/>
    <mergeCell ref="B71:L71"/>
    <mergeCell ref="C64:D64"/>
    <mergeCell ref="E64:F64"/>
    <mergeCell ref="G64:H64"/>
    <mergeCell ref="K64:L64"/>
    <mergeCell ref="C65:D65"/>
    <mergeCell ref="E65:F65"/>
    <mergeCell ref="G65:H65"/>
    <mergeCell ref="K65:L65"/>
    <mergeCell ref="C66:D66"/>
    <mergeCell ref="E66:F66"/>
    <mergeCell ref="G66:H66"/>
    <mergeCell ref="K66:L66"/>
    <mergeCell ref="C61:D61"/>
    <mergeCell ref="E61:F61"/>
    <mergeCell ref="G61:H61"/>
    <mergeCell ref="K61:L61"/>
    <mergeCell ref="C62:D62"/>
    <mergeCell ref="E62:F62"/>
    <mergeCell ref="G62:H62"/>
    <mergeCell ref="K62:L62"/>
    <mergeCell ref="C63:D63"/>
    <mergeCell ref="E63:F63"/>
    <mergeCell ref="G63:H63"/>
    <mergeCell ref="K63:L63"/>
    <mergeCell ref="C58:D58"/>
    <mergeCell ref="E58:F58"/>
    <mergeCell ref="G58:H58"/>
    <mergeCell ref="K58:L58"/>
    <mergeCell ref="C59:D59"/>
    <mergeCell ref="E59:F59"/>
    <mergeCell ref="G59:H59"/>
    <mergeCell ref="K59:L59"/>
    <mergeCell ref="C60:D60"/>
    <mergeCell ref="E60:F60"/>
    <mergeCell ref="G60:H60"/>
    <mergeCell ref="K60:L60"/>
    <mergeCell ref="D55:E55"/>
    <mergeCell ref="F55:G55"/>
    <mergeCell ref="H55:I55"/>
    <mergeCell ref="J55:K55"/>
    <mergeCell ref="B56:L56"/>
    <mergeCell ref="C57:D57"/>
    <mergeCell ref="E57:F57"/>
    <mergeCell ref="G57:H57"/>
    <mergeCell ref="K57:L57"/>
    <mergeCell ref="C52:D52"/>
    <mergeCell ref="E52:F52"/>
    <mergeCell ref="G52:H52"/>
    <mergeCell ref="I52:J52"/>
    <mergeCell ref="C53:D53"/>
    <mergeCell ref="E53:F53"/>
    <mergeCell ref="G53:H53"/>
    <mergeCell ref="I53:J53"/>
    <mergeCell ref="C54:D54"/>
    <mergeCell ref="E54:F54"/>
    <mergeCell ref="G54:H54"/>
    <mergeCell ref="I54:J54"/>
    <mergeCell ref="C49:D49"/>
    <mergeCell ref="E49:F49"/>
    <mergeCell ref="G49:H49"/>
    <mergeCell ref="I49:J49"/>
    <mergeCell ref="C50:D50"/>
    <mergeCell ref="E50:F50"/>
    <mergeCell ref="G50:H50"/>
    <mergeCell ref="I50:J50"/>
    <mergeCell ref="C51:D51"/>
    <mergeCell ref="E51:F51"/>
    <mergeCell ref="G51:H51"/>
    <mergeCell ref="I51:J51"/>
    <mergeCell ref="C46:D46"/>
    <mergeCell ref="E46:F46"/>
    <mergeCell ref="G46:H46"/>
    <mergeCell ref="I46:J46"/>
    <mergeCell ref="C47:D47"/>
    <mergeCell ref="E47:F47"/>
    <mergeCell ref="G47:H47"/>
    <mergeCell ref="I47:J47"/>
    <mergeCell ref="C48:D48"/>
    <mergeCell ref="E48:F48"/>
    <mergeCell ref="G48:H48"/>
    <mergeCell ref="I48:J48"/>
    <mergeCell ref="B39:L39"/>
    <mergeCell ref="F40:H40"/>
    <mergeCell ref="C44:D44"/>
    <mergeCell ref="E44:F44"/>
    <mergeCell ref="G44:H44"/>
    <mergeCell ref="I44:J44"/>
    <mergeCell ref="C45:D45"/>
    <mergeCell ref="E45:F45"/>
    <mergeCell ref="G45:H45"/>
    <mergeCell ref="I45:J45"/>
    <mergeCell ref="C34:D34"/>
    <mergeCell ref="E34:F34"/>
    <mergeCell ref="G34:H34"/>
    <mergeCell ref="K34:L34"/>
    <mergeCell ref="C35:D35"/>
    <mergeCell ref="E35:F35"/>
    <mergeCell ref="G35:H35"/>
    <mergeCell ref="K35:L35"/>
    <mergeCell ref="C36:D36"/>
    <mergeCell ref="E36:F36"/>
    <mergeCell ref="G36:H36"/>
    <mergeCell ref="K36:L36"/>
    <mergeCell ref="C31:D31"/>
    <mergeCell ref="E31:F31"/>
    <mergeCell ref="G31:H31"/>
    <mergeCell ref="K31:L31"/>
    <mergeCell ref="C32:D32"/>
    <mergeCell ref="E32:F32"/>
    <mergeCell ref="G32:H32"/>
    <mergeCell ref="K32:L32"/>
    <mergeCell ref="C33:D33"/>
    <mergeCell ref="E33:F33"/>
    <mergeCell ref="G33:H33"/>
    <mergeCell ref="K33:L33"/>
    <mergeCell ref="C28:D28"/>
    <mergeCell ref="E28:F28"/>
    <mergeCell ref="G28:H28"/>
    <mergeCell ref="K28:L28"/>
    <mergeCell ref="C29:D29"/>
    <mergeCell ref="E29:F29"/>
    <mergeCell ref="G29:H29"/>
    <mergeCell ref="K29:L29"/>
    <mergeCell ref="C30:D30"/>
    <mergeCell ref="E30:F30"/>
    <mergeCell ref="G30:H30"/>
    <mergeCell ref="K30:L30"/>
    <mergeCell ref="B25:L25"/>
    <mergeCell ref="C26:D26"/>
    <mergeCell ref="E26:F26"/>
    <mergeCell ref="G26:H26"/>
    <mergeCell ref="K26:L26"/>
    <mergeCell ref="C27:D27"/>
    <mergeCell ref="E27:F27"/>
    <mergeCell ref="G27:H27"/>
    <mergeCell ref="K27:L27"/>
    <mergeCell ref="C4:F4"/>
    <mergeCell ref="B7:L7"/>
    <mergeCell ref="C10:F10"/>
    <mergeCell ref="I10:L10"/>
    <mergeCell ref="B21:L21"/>
    <mergeCell ref="C22:F22"/>
    <mergeCell ref="I22:L22"/>
    <mergeCell ref="C23:F23"/>
    <mergeCell ref="I23:L23"/>
  </mergeCells>
  <conditionalFormatting sqref="C27:I36">
    <cfRule type="expression" dxfId="4" priority="2" stopIfTrue="1">
      <formula>C27&lt;&gt;""</formula>
    </cfRule>
  </conditionalFormatting>
  <conditionalFormatting sqref="C58:I67">
    <cfRule type="expression" dxfId="3" priority="1" stopIfTrue="1">
      <formula>C58&lt;&gt;""</formula>
    </cfRule>
  </conditionalFormatting>
  <pageMargins left="0.7" right="0.7" top="1.0416666666666666E-2" bottom="0.75" header="0.3" footer="0.3"/>
  <pageSetup scale="62" orientation="portrait" horizontalDpi="4294967295" verticalDpi="4294967295"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80257" r:id="rId4" name="Option Button 1">
              <controlPr defaultSize="0" autoFill="0" autoLine="0" autoPict="0">
                <anchor moveWithCells="1">
                  <from>
                    <xdr:col>1</xdr:col>
                    <xdr:colOff>127000</xdr:colOff>
                    <xdr:row>36</xdr:row>
                    <xdr:rowOff>127000</xdr:rowOff>
                  </from>
                  <to>
                    <xdr:col>2</xdr:col>
                    <xdr:colOff>0</xdr:colOff>
                    <xdr:row>37</xdr:row>
                    <xdr:rowOff>38100</xdr:rowOff>
                  </to>
                </anchor>
              </controlPr>
            </control>
          </mc:Choice>
        </mc:AlternateContent>
        <mc:AlternateContent xmlns:mc="http://schemas.openxmlformats.org/markup-compatibility/2006">
          <mc:Choice Requires="x14">
            <control shapeId="480258" r:id="rId5" name="Option Button 2">
              <controlPr defaultSize="0" autoFill="0" autoLine="0" autoPict="0">
                <anchor moveWithCells="1">
                  <from>
                    <xdr:col>1</xdr:col>
                    <xdr:colOff>3486150</xdr:colOff>
                    <xdr:row>36</xdr:row>
                    <xdr:rowOff>127000</xdr:rowOff>
                  </from>
                  <to>
                    <xdr:col>3</xdr:col>
                    <xdr:colOff>88900</xdr:colOff>
                    <xdr:row>37</xdr:row>
                    <xdr:rowOff>0</xdr:rowOff>
                  </to>
                </anchor>
              </controlPr>
            </control>
          </mc:Choice>
        </mc:AlternateContent>
        <mc:AlternateContent xmlns:mc="http://schemas.openxmlformats.org/markup-compatibility/2006">
          <mc:Choice Requires="x14">
            <control shapeId="480259" r:id="rId6" name="Group Box 3">
              <controlPr defaultSize="0" autoFill="0" autoPict="0">
                <anchor moveWithCells="1">
                  <from>
                    <xdr:col>0</xdr:col>
                    <xdr:colOff>95250</xdr:colOff>
                    <xdr:row>35</xdr:row>
                    <xdr:rowOff>0</xdr:rowOff>
                  </from>
                  <to>
                    <xdr:col>4</xdr:col>
                    <xdr:colOff>19050</xdr:colOff>
                    <xdr:row>38</xdr:row>
                    <xdr:rowOff>0</xdr:rowOff>
                  </to>
                </anchor>
              </controlPr>
            </control>
          </mc:Choice>
        </mc:AlternateContent>
        <mc:AlternateContent xmlns:mc="http://schemas.openxmlformats.org/markup-compatibility/2006">
          <mc:Choice Requires="x14">
            <control shapeId="480260" r:id="rId7" name="Option Button 4">
              <controlPr defaultSize="0" autoFill="0" autoLine="0" autoPict="0">
                <anchor moveWithCells="1">
                  <from>
                    <xdr:col>1</xdr:col>
                    <xdr:colOff>762000</xdr:colOff>
                    <xdr:row>39</xdr:row>
                    <xdr:rowOff>247650</xdr:rowOff>
                  </from>
                  <to>
                    <xdr:col>2</xdr:col>
                    <xdr:colOff>0</xdr:colOff>
                    <xdr:row>40</xdr:row>
                    <xdr:rowOff>228600</xdr:rowOff>
                  </to>
                </anchor>
              </controlPr>
            </control>
          </mc:Choice>
        </mc:AlternateContent>
        <mc:AlternateContent xmlns:mc="http://schemas.openxmlformats.org/markup-compatibility/2006">
          <mc:Choice Requires="x14">
            <control shapeId="480261" r:id="rId8" name="Option Button 5">
              <controlPr defaultSize="0" autoFill="0" autoLine="0" autoPict="0">
                <anchor moveWithCells="1">
                  <from>
                    <xdr:col>1</xdr:col>
                    <xdr:colOff>3486150</xdr:colOff>
                    <xdr:row>39</xdr:row>
                    <xdr:rowOff>247650</xdr:rowOff>
                  </from>
                  <to>
                    <xdr:col>3</xdr:col>
                    <xdr:colOff>88900</xdr:colOff>
                    <xdr:row>41</xdr:row>
                    <xdr:rowOff>0</xdr:rowOff>
                  </to>
                </anchor>
              </controlPr>
            </control>
          </mc:Choice>
        </mc:AlternateContent>
        <mc:AlternateContent xmlns:mc="http://schemas.openxmlformats.org/markup-compatibility/2006">
          <mc:Choice Requires="x14">
            <control shapeId="480262" r:id="rId9" name="Group Box 6">
              <controlPr defaultSize="0" autoFill="0" autoPict="0">
                <anchor moveWithCells="1">
                  <from>
                    <xdr:col>0</xdr:col>
                    <xdr:colOff>95250</xdr:colOff>
                    <xdr:row>38</xdr:row>
                    <xdr:rowOff>260350</xdr:rowOff>
                  </from>
                  <to>
                    <xdr:col>4</xdr:col>
                    <xdr:colOff>19050</xdr:colOff>
                    <xdr:row>42</xdr:row>
                    <xdr:rowOff>0</xdr:rowOff>
                  </to>
                </anchor>
              </controlPr>
            </control>
          </mc:Choice>
        </mc:AlternateContent>
        <mc:AlternateContent xmlns:mc="http://schemas.openxmlformats.org/markup-compatibility/2006">
          <mc:Choice Requires="x14">
            <control shapeId="480263" r:id="rId10" name="Check Box 7">
              <controlPr defaultSize="0" autoFill="0" autoLine="0" autoPict="0">
                <anchor moveWithCells="1">
                  <from>
                    <xdr:col>1</xdr:col>
                    <xdr:colOff>107950</xdr:colOff>
                    <xdr:row>13</xdr:row>
                    <xdr:rowOff>12700</xdr:rowOff>
                  </from>
                  <to>
                    <xdr:col>1</xdr:col>
                    <xdr:colOff>698500</xdr:colOff>
                    <xdr:row>13</xdr:row>
                    <xdr:rowOff>241300</xdr:rowOff>
                  </to>
                </anchor>
              </controlPr>
            </control>
          </mc:Choice>
        </mc:AlternateContent>
        <mc:AlternateContent xmlns:mc="http://schemas.openxmlformats.org/markup-compatibility/2006">
          <mc:Choice Requires="x14">
            <control shapeId="480264" r:id="rId11" name="Check Box 8">
              <controlPr defaultSize="0" autoFill="0" autoLine="0" autoPict="0">
                <anchor moveWithCells="1">
                  <from>
                    <xdr:col>1</xdr:col>
                    <xdr:colOff>736600</xdr:colOff>
                    <xdr:row>13</xdr:row>
                    <xdr:rowOff>12700</xdr:rowOff>
                  </from>
                  <to>
                    <xdr:col>2</xdr:col>
                    <xdr:colOff>355600</xdr:colOff>
                    <xdr:row>13</xdr:row>
                    <xdr:rowOff>260350</xdr:rowOff>
                  </to>
                </anchor>
              </controlPr>
            </control>
          </mc:Choice>
        </mc:AlternateContent>
        <mc:AlternateContent xmlns:mc="http://schemas.openxmlformats.org/markup-compatibility/2006">
          <mc:Choice Requires="x14">
            <control shapeId="480265" r:id="rId12" name="Check Box 9">
              <controlPr defaultSize="0" autoFill="0" autoLine="0" autoPict="0">
                <anchor moveWithCells="1">
                  <from>
                    <xdr:col>1</xdr:col>
                    <xdr:colOff>107950</xdr:colOff>
                    <xdr:row>15</xdr:row>
                    <xdr:rowOff>12700</xdr:rowOff>
                  </from>
                  <to>
                    <xdr:col>1</xdr:col>
                    <xdr:colOff>698500</xdr:colOff>
                    <xdr:row>15</xdr:row>
                    <xdr:rowOff>241300</xdr:rowOff>
                  </to>
                </anchor>
              </controlPr>
            </control>
          </mc:Choice>
        </mc:AlternateContent>
        <mc:AlternateContent xmlns:mc="http://schemas.openxmlformats.org/markup-compatibility/2006">
          <mc:Choice Requires="x14">
            <control shapeId="480266" r:id="rId13" name="Check Box 10">
              <controlPr defaultSize="0" autoFill="0" autoLine="0" autoPict="0">
                <anchor moveWithCells="1">
                  <from>
                    <xdr:col>1</xdr:col>
                    <xdr:colOff>736600</xdr:colOff>
                    <xdr:row>15</xdr:row>
                    <xdr:rowOff>0</xdr:rowOff>
                  </from>
                  <to>
                    <xdr:col>2</xdr:col>
                    <xdr:colOff>355600</xdr:colOff>
                    <xdr:row>15</xdr:row>
                    <xdr:rowOff>247650</xdr:rowOff>
                  </to>
                </anchor>
              </controlPr>
            </control>
          </mc:Choice>
        </mc:AlternateContent>
        <mc:AlternateContent xmlns:mc="http://schemas.openxmlformats.org/markup-compatibility/2006">
          <mc:Choice Requires="x14">
            <control shapeId="480267" r:id="rId14" name="Check Box 11">
              <controlPr defaultSize="0" autoFill="0" autoLine="0" autoPict="0">
                <anchor moveWithCells="1">
                  <from>
                    <xdr:col>1</xdr:col>
                    <xdr:colOff>114300</xdr:colOff>
                    <xdr:row>17</xdr:row>
                    <xdr:rowOff>50800</xdr:rowOff>
                  </from>
                  <to>
                    <xdr:col>1</xdr:col>
                    <xdr:colOff>704850</xdr:colOff>
                    <xdr:row>17</xdr:row>
                    <xdr:rowOff>260350</xdr:rowOff>
                  </to>
                </anchor>
              </controlPr>
            </control>
          </mc:Choice>
        </mc:AlternateContent>
        <mc:AlternateContent xmlns:mc="http://schemas.openxmlformats.org/markup-compatibility/2006">
          <mc:Choice Requires="x14">
            <control shapeId="480268" r:id="rId15" name="Check Box 12">
              <controlPr defaultSize="0" autoFill="0" autoLine="0" autoPict="0">
                <anchor moveWithCells="1">
                  <from>
                    <xdr:col>1</xdr:col>
                    <xdr:colOff>736600</xdr:colOff>
                    <xdr:row>17</xdr:row>
                    <xdr:rowOff>31750</xdr:rowOff>
                  </from>
                  <to>
                    <xdr:col>2</xdr:col>
                    <xdr:colOff>355600</xdr:colOff>
                    <xdr:row>17</xdr:row>
                    <xdr:rowOff>298450</xdr:rowOff>
                  </to>
                </anchor>
              </controlPr>
            </control>
          </mc:Choice>
        </mc:AlternateContent>
      </controls>
    </mc:Choice>
  </mc:AlternateContent>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85670-5FCA-44CC-A623-77B3340886DA}">
  <sheetPr codeName="Sheet43">
    <tabColor rgb="FF00B0F0"/>
    <pageSetUpPr fitToPage="1"/>
  </sheetPr>
  <dimension ref="A1:WWC211"/>
  <sheetViews>
    <sheetView showGridLines="0" zoomScale="80" zoomScaleNormal="80" workbookViewId="0">
      <selection activeCell="C13" sqref="C13"/>
    </sheetView>
  </sheetViews>
  <sheetFormatPr defaultColWidth="0" defaultRowHeight="14.5"/>
  <cols>
    <col min="1" max="1" width="3.54296875" style="42" customWidth="1"/>
    <col min="2" max="2" width="19.54296875" style="42" customWidth="1"/>
    <col min="3" max="3" width="69.453125" style="42" customWidth="1"/>
    <col min="4" max="4" width="16" style="42" customWidth="1"/>
    <col min="5" max="5" width="8.81640625" style="42" customWidth="1"/>
    <col min="6" max="6" width="6.54296875" style="42" bestFit="1" customWidth="1"/>
    <col min="7" max="7" width="5.54296875" style="42" customWidth="1"/>
    <col min="8" max="8" width="3" style="42" customWidth="1"/>
    <col min="9" max="9" width="8.81640625" style="42" customWidth="1"/>
    <col min="10" max="10" width="10.453125" style="42" customWidth="1"/>
    <col min="11" max="11" width="7.453125" style="42" customWidth="1"/>
    <col min="12" max="12" width="5.54296875" style="42" customWidth="1"/>
    <col min="13" max="18" width="8.81640625" style="42" customWidth="1"/>
    <col min="19" max="19" width="3.54296875" style="42" customWidth="1"/>
    <col min="20" max="20" width="48.26953125" style="42" customWidth="1"/>
    <col min="21" max="21" width="9.1796875" style="42" customWidth="1"/>
    <col min="22" max="256" width="9.1796875" style="42" hidden="1"/>
    <col min="257" max="257" width="3.54296875" style="42" customWidth="1"/>
    <col min="258" max="258" width="19.54296875" style="42" customWidth="1"/>
    <col min="259" max="259" width="37.54296875" style="42" customWidth="1"/>
    <col min="260" max="260" width="16" style="42" customWidth="1"/>
    <col min="261" max="261" width="8.81640625" style="42" customWidth="1"/>
    <col min="262" max="262" width="6.54296875" style="42" bestFit="1" customWidth="1"/>
    <col min="263" max="263" width="5.54296875" style="42" customWidth="1"/>
    <col min="264" max="264" width="3" style="42" customWidth="1"/>
    <col min="265" max="265" width="8.81640625" style="42" customWidth="1"/>
    <col min="266" max="266" width="10.453125" style="42" customWidth="1"/>
    <col min="267" max="267" width="7.453125" style="42" customWidth="1"/>
    <col min="268" max="268" width="5.54296875" style="42" customWidth="1"/>
    <col min="269" max="274" width="8.81640625" style="42" customWidth="1"/>
    <col min="275" max="275" width="3.54296875" style="42" customWidth="1"/>
    <col min="276" max="276" width="48.26953125" style="42" customWidth="1"/>
    <col min="277" max="277" width="9.1796875" style="42" customWidth="1"/>
    <col min="278" max="512" width="9.1796875" style="42" hidden="1"/>
    <col min="513" max="513" width="3.54296875" style="42" customWidth="1"/>
    <col min="514" max="514" width="19.54296875" style="42" customWidth="1"/>
    <col min="515" max="515" width="37.54296875" style="42" customWidth="1"/>
    <col min="516" max="516" width="16" style="42" customWidth="1"/>
    <col min="517" max="517" width="8.81640625" style="42" customWidth="1"/>
    <col min="518" max="518" width="6.54296875" style="42" bestFit="1" customWidth="1"/>
    <col min="519" max="519" width="5.54296875" style="42" customWidth="1"/>
    <col min="520" max="520" width="3" style="42" customWidth="1"/>
    <col min="521" max="521" width="8.81640625" style="42" customWidth="1"/>
    <col min="522" max="522" width="10.453125" style="42" customWidth="1"/>
    <col min="523" max="523" width="7.453125" style="42" customWidth="1"/>
    <col min="524" max="524" width="5.54296875" style="42" customWidth="1"/>
    <col min="525" max="530" width="8.81640625" style="42" customWidth="1"/>
    <col min="531" max="531" width="3.54296875" style="42" customWidth="1"/>
    <col min="532" max="532" width="48.26953125" style="42" customWidth="1"/>
    <col min="533" max="533" width="9.1796875" style="42" customWidth="1"/>
    <col min="534" max="768" width="9.1796875" style="42" hidden="1"/>
    <col min="769" max="769" width="3.54296875" style="42" customWidth="1"/>
    <col min="770" max="770" width="19.54296875" style="42" customWidth="1"/>
    <col min="771" max="771" width="37.54296875" style="42" customWidth="1"/>
    <col min="772" max="772" width="16" style="42" customWidth="1"/>
    <col min="773" max="773" width="8.81640625" style="42" customWidth="1"/>
    <col min="774" max="774" width="6.54296875" style="42" bestFit="1" customWidth="1"/>
    <col min="775" max="775" width="5.54296875" style="42" customWidth="1"/>
    <col min="776" max="776" width="3" style="42" customWidth="1"/>
    <col min="777" max="777" width="8.81640625" style="42" customWidth="1"/>
    <col min="778" max="778" width="10.453125" style="42" customWidth="1"/>
    <col min="779" max="779" width="7.453125" style="42" customWidth="1"/>
    <col min="780" max="780" width="5.54296875" style="42" customWidth="1"/>
    <col min="781" max="786" width="8.81640625" style="42" customWidth="1"/>
    <col min="787" max="787" width="3.54296875" style="42" customWidth="1"/>
    <col min="788" max="788" width="48.26953125" style="42" customWidth="1"/>
    <col min="789" max="789" width="9.1796875" style="42" customWidth="1"/>
    <col min="790" max="1024" width="9.1796875" style="42" hidden="1"/>
    <col min="1025" max="1025" width="3.54296875" style="42" customWidth="1"/>
    <col min="1026" max="1026" width="19.54296875" style="42" customWidth="1"/>
    <col min="1027" max="1027" width="37.54296875" style="42" customWidth="1"/>
    <col min="1028" max="1028" width="16" style="42" customWidth="1"/>
    <col min="1029" max="1029" width="8.81640625" style="42" customWidth="1"/>
    <col min="1030" max="1030" width="6.54296875" style="42" bestFit="1" customWidth="1"/>
    <col min="1031" max="1031" width="5.54296875" style="42" customWidth="1"/>
    <col min="1032" max="1032" width="3" style="42" customWidth="1"/>
    <col min="1033" max="1033" width="8.81640625" style="42" customWidth="1"/>
    <col min="1034" max="1034" width="10.453125" style="42" customWidth="1"/>
    <col min="1035" max="1035" width="7.453125" style="42" customWidth="1"/>
    <col min="1036" max="1036" width="5.54296875" style="42" customWidth="1"/>
    <col min="1037" max="1042" width="8.81640625" style="42" customWidth="1"/>
    <col min="1043" max="1043" width="3.54296875" style="42" customWidth="1"/>
    <col min="1044" max="1044" width="48.26953125" style="42" customWidth="1"/>
    <col min="1045" max="1045" width="9.1796875" style="42" customWidth="1"/>
    <col min="1046" max="1280" width="9.1796875" style="42" hidden="1"/>
    <col min="1281" max="1281" width="3.54296875" style="42" customWidth="1"/>
    <col min="1282" max="1282" width="19.54296875" style="42" customWidth="1"/>
    <col min="1283" max="1283" width="37.54296875" style="42" customWidth="1"/>
    <col min="1284" max="1284" width="16" style="42" customWidth="1"/>
    <col min="1285" max="1285" width="8.81640625" style="42" customWidth="1"/>
    <col min="1286" max="1286" width="6.54296875" style="42" bestFit="1" customWidth="1"/>
    <col min="1287" max="1287" width="5.54296875" style="42" customWidth="1"/>
    <col min="1288" max="1288" width="3" style="42" customWidth="1"/>
    <col min="1289" max="1289" width="8.81640625" style="42" customWidth="1"/>
    <col min="1290" max="1290" width="10.453125" style="42" customWidth="1"/>
    <col min="1291" max="1291" width="7.453125" style="42" customWidth="1"/>
    <col min="1292" max="1292" width="5.54296875" style="42" customWidth="1"/>
    <col min="1293" max="1298" width="8.81640625" style="42" customWidth="1"/>
    <col min="1299" max="1299" width="3.54296875" style="42" customWidth="1"/>
    <col min="1300" max="1300" width="48.26953125" style="42" customWidth="1"/>
    <col min="1301" max="1301" width="9.1796875" style="42" customWidth="1"/>
    <col min="1302" max="1536" width="9.1796875" style="42" hidden="1"/>
    <col min="1537" max="1537" width="3.54296875" style="42" customWidth="1"/>
    <col min="1538" max="1538" width="19.54296875" style="42" customWidth="1"/>
    <col min="1539" max="1539" width="37.54296875" style="42" customWidth="1"/>
    <col min="1540" max="1540" width="16" style="42" customWidth="1"/>
    <col min="1541" max="1541" width="8.81640625" style="42" customWidth="1"/>
    <col min="1542" max="1542" width="6.54296875" style="42" bestFit="1" customWidth="1"/>
    <col min="1543" max="1543" width="5.54296875" style="42" customWidth="1"/>
    <col min="1544" max="1544" width="3" style="42" customWidth="1"/>
    <col min="1545" max="1545" width="8.81640625" style="42" customWidth="1"/>
    <col min="1546" max="1546" width="10.453125" style="42" customWidth="1"/>
    <col min="1547" max="1547" width="7.453125" style="42" customWidth="1"/>
    <col min="1548" max="1548" width="5.54296875" style="42" customWidth="1"/>
    <col min="1549" max="1554" width="8.81640625" style="42" customWidth="1"/>
    <col min="1555" max="1555" width="3.54296875" style="42" customWidth="1"/>
    <col min="1556" max="1556" width="48.26953125" style="42" customWidth="1"/>
    <col min="1557" max="1557" width="9.1796875" style="42" customWidth="1"/>
    <col min="1558" max="1792" width="9.1796875" style="42" hidden="1"/>
    <col min="1793" max="1793" width="3.54296875" style="42" customWidth="1"/>
    <col min="1794" max="1794" width="19.54296875" style="42" customWidth="1"/>
    <col min="1795" max="1795" width="37.54296875" style="42" customWidth="1"/>
    <col min="1796" max="1796" width="16" style="42" customWidth="1"/>
    <col min="1797" max="1797" width="8.81640625" style="42" customWidth="1"/>
    <col min="1798" max="1798" width="6.54296875" style="42" bestFit="1" customWidth="1"/>
    <col min="1799" max="1799" width="5.54296875" style="42" customWidth="1"/>
    <col min="1800" max="1800" width="3" style="42" customWidth="1"/>
    <col min="1801" max="1801" width="8.81640625" style="42" customWidth="1"/>
    <col min="1802" max="1802" width="10.453125" style="42" customWidth="1"/>
    <col min="1803" max="1803" width="7.453125" style="42" customWidth="1"/>
    <col min="1804" max="1804" width="5.54296875" style="42" customWidth="1"/>
    <col min="1805" max="1810" width="8.81640625" style="42" customWidth="1"/>
    <col min="1811" max="1811" width="3.54296875" style="42" customWidth="1"/>
    <col min="1812" max="1812" width="48.26953125" style="42" customWidth="1"/>
    <col min="1813" max="1813" width="9.1796875" style="42" customWidth="1"/>
    <col min="1814" max="2048" width="9.1796875" style="42" hidden="1"/>
    <col min="2049" max="2049" width="3.54296875" style="42" customWidth="1"/>
    <col min="2050" max="2050" width="19.54296875" style="42" customWidth="1"/>
    <col min="2051" max="2051" width="37.54296875" style="42" customWidth="1"/>
    <col min="2052" max="2052" width="16" style="42" customWidth="1"/>
    <col min="2053" max="2053" width="8.81640625" style="42" customWidth="1"/>
    <col min="2054" max="2054" width="6.54296875" style="42" bestFit="1" customWidth="1"/>
    <col min="2055" max="2055" width="5.54296875" style="42" customWidth="1"/>
    <col min="2056" max="2056" width="3" style="42" customWidth="1"/>
    <col min="2057" max="2057" width="8.81640625" style="42" customWidth="1"/>
    <col min="2058" max="2058" width="10.453125" style="42" customWidth="1"/>
    <col min="2059" max="2059" width="7.453125" style="42" customWidth="1"/>
    <col min="2060" max="2060" width="5.54296875" style="42" customWidth="1"/>
    <col min="2061" max="2066" width="8.81640625" style="42" customWidth="1"/>
    <col min="2067" max="2067" width="3.54296875" style="42" customWidth="1"/>
    <col min="2068" max="2068" width="48.26953125" style="42" customWidth="1"/>
    <col min="2069" max="2069" width="9.1796875" style="42" customWidth="1"/>
    <col min="2070" max="2304" width="9.1796875" style="42" hidden="1"/>
    <col min="2305" max="2305" width="3.54296875" style="42" customWidth="1"/>
    <col min="2306" max="2306" width="19.54296875" style="42" customWidth="1"/>
    <col min="2307" max="2307" width="37.54296875" style="42" customWidth="1"/>
    <col min="2308" max="2308" width="16" style="42" customWidth="1"/>
    <col min="2309" max="2309" width="8.81640625" style="42" customWidth="1"/>
    <col min="2310" max="2310" width="6.54296875" style="42" bestFit="1" customWidth="1"/>
    <col min="2311" max="2311" width="5.54296875" style="42" customWidth="1"/>
    <col min="2312" max="2312" width="3" style="42" customWidth="1"/>
    <col min="2313" max="2313" width="8.81640625" style="42" customWidth="1"/>
    <col min="2314" max="2314" width="10.453125" style="42" customWidth="1"/>
    <col min="2315" max="2315" width="7.453125" style="42" customWidth="1"/>
    <col min="2316" max="2316" width="5.54296875" style="42" customWidth="1"/>
    <col min="2317" max="2322" width="8.81640625" style="42" customWidth="1"/>
    <col min="2323" max="2323" width="3.54296875" style="42" customWidth="1"/>
    <col min="2324" max="2324" width="48.26953125" style="42" customWidth="1"/>
    <col min="2325" max="2325" width="9.1796875" style="42" customWidth="1"/>
    <col min="2326" max="2560" width="9.1796875" style="42" hidden="1"/>
    <col min="2561" max="2561" width="3.54296875" style="42" customWidth="1"/>
    <col min="2562" max="2562" width="19.54296875" style="42" customWidth="1"/>
    <col min="2563" max="2563" width="37.54296875" style="42" customWidth="1"/>
    <col min="2564" max="2564" width="16" style="42" customWidth="1"/>
    <col min="2565" max="2565" width="8.81640625" style="42" customWidth="1"/>
    <col min="2566" max="2566" width="6.54296875" style="42" bestFit="1" customWidth="1"/>
    <col min="2567" max="2567" width="5.54296875" style="42" customWidth="1"/>
    <col min="2568" max="2568" width="3" style="42" customWidth="1"/>
    <col min="2569" max="2569" width="8.81640625" style="42" customWidth="1"/>
    <col min="2570" max="2570" width="10.453125" style="42" customWidth="1"/>
    <col min="2571" max="2571" width="7.453125" style="42" customWidth="1"/>
    <col min="2572" max="2572" width="5.54296875" style="42" customWidth="1"/>
    <col min="2573" max="2578" width="8.81640625" style="42" customWidth="1"/>
    <col min="2579" max="2579" width="3.54296875" style="42" customWidth="1"/>
    <col min="2580" max="2580" width="48.26953125" style="42" customWidth="1"/>
    <col min="2581" max="2581" width="9.1796875" style="42" customWidth="1"/>
    <col min="2582" max="2816" width="9.1796875" style="42" hidden="1"/>
    <col min="2817" max="2817" width="3.54296875" style="42" customWidth="1"/>
    <col min="2818" max="2818" width="19.54296875" style="42" customWidth="1"/>
    <col min="2819" max="2819" width="37.54296875" style="42" customWidth="1"/>
    <col min="2820" max="2820" width="16" style="42" customWidth="1"/>
    <col min="2821" max="2821" width="8.81640625" style="42" customWidth="1"/>
    <col min="2822" max="2822" width="6.54296875" style="42" bestFit="1" customWidth="1"/>
    <col min="2823" max="2823" width="5.54296875" style="42" customWidth="1"/>
    <col min="2824" max="2824" width="3" style="42" customWidth="1"/>
    <col min="2825" max="2825" width="8.81640625" style="42" customWidth="1"/>
    <col min="2826" max="2826" width="10.453125" style="42" customWidth="1"/>
    <col min="2827" max="2827" width="7.453125" style="42" customWidth="1"/>
    <col min="2828" max="2828" width="5.54296875" style="42" customWidth="1"/>
    <col min="2829" max="2834" width="8.81640625" style="42" customWidth="1"/>
    <col min="2835" max="2835" width="3.54296875" style="42" customWidth="1"/>
    <col min="2836" max="2836" width="48.26953125" style="42" customWidth="1"/>
    <col min="2837" max="2837" width="9.1796875" style="42" customWidth="1"/>
    <col min="2838" max="3072" width="9.1796875" style="42" hidden="1"/>
    <col min="3073" max="3073" width="3.54296875" style="42" customWidth="1"/>
    <col min="3074" max="3074" width="19.54296875" style="42" customWidth="1"/>
    <col min="3075" max="3075" width="37.54296875" style="42" customWidth="1"/>
    <col min="3076" max="3076" width="16" style="42" customWidth="1"/>
    <col min="3077" max="3077" width="8.81640625" style="42" customWidth="1"/>
    <col min="3078" max="3078" width="6.54296875" style="42" bestFit="1" customWidth="1"/>
    <col min="3079" max="3079" width="5.54296875" style="42" customWidth="1"/>
    <col min="3080" max="3080" width="3" style="42" customWidth="1"/>
    <col min="3081" max="3081" width="8.81640625" style="42" customWidth="1"/>
    <col min="3082" max="3082" width="10.453125" style="42" customWidth="1"/>
    <col min="3083" max="3083" width="7.453125" style="42" customWidth="1"/>
    <col min="3084" max="3084" width="5.54296875" style="42" customWidth="1"/>
    <col min="3085" max="3090" width="8.81640625" style="42" customWidth="1"/>
    <col min="3091" max="3091" width="3.54296875" style="42" customWidth="1"/>
    <col min="3092" max="3092" width="48.26953125" style="42" customWidth="1"/>
    <col min="3093" max="3093" width="9.1796875" style="42" customWidth="1"/>
    <col min="3094" max="3328" width="9.1796875" style="42" hidden="1"/>
    <col min="3329" max="3329" width="3.54296875" style="42" customWidth="1"/>
    <col min="3330" max="3330" width="19.54296875" style="42" customWidth="1"/>
    <col min="3331" max="3331" width="37.54296875" style="42" customWidth="1"/>
    <col min="3332" max="3332" width="16" style="42" customWidth="1"/>
    <col min="3333" max="3333" width="8.81640625" style="42" customWidth="1"/>
    <col min="3334" max="3334" width="6.54296875" style="42" bestFit="1" customWidth="1"/>
    <col min="3335" max="3335" width="5.54296875" style="42" customWidth="1"/>
    <col min="3336" max="3336" width="3" style="42" customWidth="1"/>
    <col min="3337" max="3337" width="8.81640625" style="42" customWidth="1"/>
    <col min="3338" max="3338" width="10.453125" style="42" customWidth="1"/>
    <col min="3339" max="3339" width="7.453125" style="42" customWidth="1"/>
    <col min="3340" max="3340" width="5.54296875" style="42" customWidth="1"/>
    <col min="3341" max="3346" width="8.81640625" style="42" customWidth="1"/>
    <col min="3347" max="3347" width="3.54296875" style="42" customWidth="1"/>
    <col min="3348" max="3348" width="48.26953125" style="42" customWidth="1"/>
    <col min="3349" max="3349" width="9.1796875" style="42" customWidth="1"/>
    <col min="3350" max="3584" width="9.1796875" style="42" hidden="1"/>
    <col min="3585" max="3585" width="3.54296875" style="42" customWidth="1"/>
    <col min="3586" max="3586" width="19.54296875" style="42" customWidth="1"/>
    <col min="3587" max="3587" width="37.54296875" style="42" customWidth="1"/>
    <col min="3588" max="3588" width="16" style="42" customWidth="1"/>
    <col min="3589" max="3589" width="8.81640625" style="42" customWidth="1"/>
    <col min="3590" max="3590" width="6.54296875" style="42" bestFit="1" customWidth="1"/>
    <col min="3591" max="3591" width="5.54296875" style="42" customWidth="1"/>
    <col min="3592" max="3592" width="3" style="42" customWidth="1"/>
    <col min="3593" max="3593" width="8.81640625" style="42" customWidth="1"/>
    <col min="3594" max="3594" width="10.453125" style="42" customWidth="1"/>
    <col min="3595" max="3595" width="7.453125" style="42" customWidth="1"/>
    <col min="3596" max="3596" width="5.54296875" style="42" customWidth="1"/>
    <col min="3597" max="3602" width="8.81640625" style="42" customWidth="1"/>
    <col min="3603" max="3603" width="3.54296875" style="42" customWidth="1"/>
    <col min="3604" max="3604" width="48.26953125" style="42" customWidth="1"/>
    <col min="3605" max="3605" width="9.1796875" style="42" customWidth="1"/>
    <col min="3606" max="3840" width="9.1796875" style="42" hidden="1"/>
    <col min="3841" max="3841" width="3.54296875" style="42" customWidth="1"/>
    <col min="3842" max="3842" width="19.54296875" style="42" customWidth="1"/>
    <col min="3843" max="3843" width="37.54296875" style="42" customWidth="1"/>
    <col min="3844" max="3844" width="16" style="42" customWidth="1"/>
    <col min="3845" max="3845" width="8.81640625" style="42" customWidth="1"/>
    <col min="3846" max="3846" width="6.54296875" style="42" bestFit="1" customWidth="1"/>
    <col min="3847" max="3847" width="5.54296875" style="42" customWidth="1"/>
    <col min="3848" max="3848" width="3" style="42" customWidth="1"/>
    <col min="3849" max="3849" width="8.81640625" style="42" customWidth="1"/>
    <col min="3850" max="3850" width="10.453125" style="42" customWidth="1"/>
    <col min="3851" max="3851" width="7.453125" style="42" customWidth="1"/>
    <col min="3852" max="3852" width="5.54296875" style="42" customWidth="1"/>
    <col min="3853" max="3858" width="8.81640625" style="42" customWidth="1"/>
    <col min="3859" max="3859" width="3.54296875" style="42" customWidth="1"/>
    <col min="3860" max="3860" width="48.26953125" style="42" customWidth="1"/>
    <col min="3861" max="3861" width="9.1796875" style="42" customWidth="1"/>
    <col min="3862" max="4096" width="9.1796875" style="42" hidden="1"/>
    <col min="4097" max="4097" width="3.54296875" style="42" customWidth="1"/>
    <col min="4098" max="4098" width="19.54296875" style="42" customWidth="1"/>
    <col min="4099" max="4099" width="37.54296875" style="42" customWidth="1"/>
    <col min="4100" max="4100" width="16" style="42" customWidth="1"/>
    <col min="4101" max="4101" width="8.81640625" style="42" customWidth="1"/>
    <col min="4102" max="4102" width="6.54296875" style="42" bestFit="1" customWidth="1"/>
    <col min="4103" max="4103" width="5.54296875" style="42" customWidth="1"/>
    <col min="4104" max="4104" width="3" style="42" customWidth="1"/>
    <col min="4105" max="4105" width="8.81640625" style="42" customWidth="1"/>
    <col min="4106" max="4106" width="10.453125" style="42" customWidth="1"/>
    <col min="4107" max="4107" width="7.453125" style="42" customWidth="1"/>
    <col min="4108" max="4108" width="5.54296875" style="42" customWidth="1"/>
    <col min="4109" max="4114" width="8.81640625" style="42" customWidth="1"/>
    <col min="4115" max="4115" width="3.54296875" style="42" customWidth="1"/>
    <col min="4116" max="4116" width="48.26953125" style="42" customWidth="1"/>
    <col min="4117" max="4117" width="9.1796875" style="42" customWidth="1"/>
    <col min="4118" max="4352" width="9.1796875" style="42" hidden="1"/>
    <col min="4353" max="4353" width="3.54296875" style="42" customWidth="1"/>
    <col min="4354" max="4354" width="19.54296875" style="42" customWidth="1"/>
    <col min="4355" max="4355" width="37.54296875" style="42" customWidth="1"/>
    <col min="4356" max="4356" width="16" style="42" customWidth="1"/>
    <col min="4357" max="4357" width="8.81640625" style="42" customWidth="1"/>
    <col min="4358" max="4358" width="6.54296875" style="42" bestFit="1" customWidth="1"/>
    <col min="4359" max="4359" width="5.54296875" style="42" customWidth="1"/>
    <col min="4360" max="4360" width="3" style="42" customWidth="1"/>
    <col min="4361" max="4361" width="8.81640625" style="42" customWidth="1"/>
    <col min="4362" max="4362" width="10.453125" style="42" customWidth="1"/>
    <col min="4363" max="4363" width="7.453125" style="42" customWidth="1"/>
    <col min="4364" max="4364" width="5.54296875" style="42" customWidth="1"/>
    <col min="4365" max="4370" width="8.81640625" style="42" customWidth="1"/>
    <col min="4371" max="4371" width="3.54296875" style="42" customWidth="1"/>
    <col min="4372" max="4372" width="48.26953125" style="42" customWidth="1"/>
    <col min="4373" max="4373" width="9.1796875" style="42" customWidth="1"/>
    <col min="4374" max="4608" width="9.1796875" style="42" hidden="1"/>
    <col min="4609" max="4609" width="3.54296875" style="42" customWidth="1"/>
    <col min="4610" max="4610" width="19.54296875" style="42" customWidth="1"/>
    <col min="4611" max="4611" width="37.54296875" style="42" customWidth="1"/>
    <col min="4612" max="4612" width="16" style="42" customWidth="1"/>
    <col min="4613" max="4613" width="8.81640625" style="42" customWidth="1"/>
    <col min="4614" max="4614" width="6.54296875" style="42" bestFit="1" customWidth="1"/>
    <col min="4615" max="4615" width="5.54296875" style="42" customWidth="1"/>
    <col min="4616" max="4616" width="3" style="42" customWidth="1"/>
    <col min="4617" max="4617" width="8.81640625" style="42" customWidth="1"/>
    <col min="4618" max="4618" width="10.453125" style="42" customWidth="1"/>
    <col min="4619" max="4619" width="7.453125" style="42" customWidth="1"/>
    <col min="4620" max="4620" width="5.54296875" style="42" customWidth="1"/>
    <col min="4621" max="4626" width="8.81640625" style="42" customWidth="1"/>
    <col min="4627" max="4627" width="3.54296875" style="42" customWidth="1"/>
    <col min="4628" max="4628" width="48.26953125" style="42" customWidth="1"/>
    <col min="4629" max="4629" width="9.1796875" style="42" customWidth="1"/>
    <col min="4630" max="4864" width="9.1796875" style="42" hidden="1"/>
    <col min="4865" max="4865" width="3.54296875" style="42" customWidth="1"/>
    <col min="4866" max="4866" width="19.54296875" style="42" customWidth="1"/>
    <col min="4867" max="4867" width="37.54296875" style="42" customWidth="1"/>
    <col min="4868" max="4868" width="16" style="42" customWidth="1"/>
    <col min="4869" max="4869" width="8.81640625" style="42" customWidth="1"/>
    <col min="4870" max="4870" width="6.54296875" style="42" bestFit="1" customWidth="1"/>
    <col min="4871" max="4871" width="5.54296875" style="42" customWidth="1"/>
    <col min="4872" max="4872" width="3" style="42" customWidth="1"/>
    <col min="4873" max="4873" width="8.81640625" style="42" customWidth="1"/>
    <col min="4874" max="4874" width="10.453125" style="42" customWidth="1"/>
    <col min="4875" max="4875" width="7.453125" style="42" customWidth="1"/>
    <col min="4876" max="4876" width="5.54296875" style="42" customWidth="1"/>
    <col min="4877" max="4882" width="8.81640625" style="42" customWidth="1"/>
    <col min="4883" max="4883" width="3.54296875" style="42" customWidth="1"/>
    <col min="4884" max="4884" width="48.26953125" style="42" customWidth="1"/>
    <col min="4885" max="4885" width="9.1796875" style="42" customWidth="1"/>
    <col min="4886" max="5120" width="9.1796875" style="42" hidden="1"/>
    <col min="5121" max="5121" width="3.54296875" style="42" customWidth="1"/>
    <col min="5122" max="5122" width="19.54296875" style="42" customWidth="1"/>
    <col min="5123" max="5123" width="37.54296875" style="42" customWidth="1"/>
    <col min="5124" max="5124" width="16" style="42" customWidth="1"/>
    <col min="5125" max="5125" width="8.81640625" style="42" customWidth="1"/>
    <col min="5126" max="5126" width="6.54296875" style="42" bestFit="1" customWidth="1"/>
    <col min="5127" max="5127" width="5.54296875" style="42" customWidth="1"/>
    <col min="5128" max="5128" width="3" style="42" customWidth="1"/>
    <col min="5129" max="5129" width="8.81640625" style="42" customWidth="1"/>
    <col min="5130" max="5130" width="10.453125" style="42" customWidth="1"/>
    <col min="5131" max="5131" width="7.453125" style="42" customWidth="1"/>
    <col min="5132" max="5132" width="5.54296875" style="42" customWidth="1"/>
    <col min="5133" max="5138" width="8.81640625" style="42" customWidth="1"/>
    <col min="5139" max="5139" width="3.54296875" style="42" customWidth="1"/>
    <col min="5140" max="5140" width="48.26953125" style="42" customWidth="1"/>
    <col min="5141" max="5141" width="9.1796875" style="42" customWidth="1"/>
    <col min="5142" max="5376" width="9.1796875" style="42" hidden="1"/>
    <col min="5377" max="5377" width="3.54296875" style="42" customWidth="1"/>
    <col min="5378" max="5378" width="19.54296875" style="42" customWidth="1"/>
    <col min="5379" max="5379" width="37.54296875" style="42" customWidth="1"/>
    <col min="5380" max="5380" width="16" style="42" customWidth="1"/>
    <col min="5381" max="5381" width="8.81640625" style="42" customWidth="1"/>
    <col min="5382" max="5382" width="6.54296875" style="42" bestFit="1" customWidth="1"/>
    <col min="5383" max="5383" width="5.54296875" style="42" customWidth="1"/>
    <col min="5384" max="5384" width="3" style="42" customWidth="1"/>
    <col min="5385" max="5385" width="8.81640625" style="42" customWidth="1"/>
    <col min="5386" max="5386" width="10.453125" style="42" customWidth="1"/>
    <col min="5387" max="5387" width="7.453125" style="42" customWidth="1"/>
    <col min="5388" max="5388" width="5.54296875" style="42" customWidth="1"/>
    <col min="5389" max="5394" width="8.81640625" style="42" customWidth="1"/>
    <col min="5395" max="5395" width="3.54296875" style="42" customWidth="1"/>
    <col min="5396" max="5396" width="48.26953125" style="42" customWidth="1"/>
    <col min="5397" max="5397" width="9.1796875" style="42" customWidth="1"/>
    <col min="5398" max="5632" width="9.1796875" style="42" hidden="1"/>
    <col min="5633" max="5633" width="3.54296875" style="42" customWidth="1"/>
    <col min="5634" max="5634" width="19.54296875" style="42" customWidth="1"/>
    <col min="5635" max="5635" width="37.54296875" style="42" customWidth="1"/>
    <col min="5636" max="5636" width="16" style="42" customWidth="1"/>
    <col min="5637" max="5637" width="8.81640625" style="42" customWidth="1"/>
    <col min="5638" max="5638" width="6.54296875" style="42" bestFit="1" customWidth="1"/>
    <col min="5639" max="5639" width="5.54296875" style="42" customWidth="1"/>
    <col min="5640" max="5640" width="3" style="42" customWidth="1"/>
    <col min="5641" max="5641" width="8.81640625" style="42" customWidth="1"/>
    <col min="5642" max="5642" width="10.453125" style="42" customWidth="1"/>
    <col min="5643" max="5643" width="7.453125" style="42" customWidth="1"/>
    <col min="5644" max="5644" width="5.54296875" style="42" customWidth="1"/>
    <col min="5645" max="5650" width="8.81640625" style="42" customWidth="1"/>
    <col min="5651" max="5651" width="3.54296875" style="42" customWidth="1"/>
    <col min="5652" max="5652" width="48.26953125" style="42" customWidth="1"/>
    <col min="5653" max="5653" width="9.1796875" style="42" customWidth="1"/>
    <col min="5654" max="5888" width="9.1796875" style="42" hidden="1"/>
    <col min="5889" max="5889" width="3.54296875" style="42" customWidth="1"/>
    <col min="5890" max="5890" width="19.54296875" style="42" customWidth="1"/>
    <col min="5891" max="5891" width="37.54296875" style="42" customWidth="1"/>
    <col min="5892" max="5892" width="16" style="42" customWidth="1"/>
    <col min="5893" max="5893" width="8.81640625" style="42" customWidth="1"/>
    <col min="5894" max="5894" width="6.54296875" style="42" bestFit="1" customWidth="1"/>
    <col min="5895" max="5895" width="5.54296875" style="42" customWidth="1"/>
    <col min="5896" max="5896" width="3" style="42" customWidth="1"/>
    <col min="5897" max="5897" width="8.81640625" style="42" customWidth="1"/>
    <col min="5898" max="5898" width="10.453125" style="42" customWidth="1"/>
    <col min="5899" max="5899" width="7.453125" style="42" customWidth="1"/>
    <col min="5900" max="5900" width="5.54296875" style="42" customWidth="1"/>
    <col min="5901" max="5906" width="8.81640625" style="42" customWidth="1"/>
    <col min="5907" max="5907" width="3.54296875" style="42" customWidth="1"/>
    <col min="5908" max="5908" width="48.26953125" style="42" customWidth="1"/>
    <col min="5909" max="5909" width="9.1796875" style="42" customWidth="1"/>
    <col min="5910" max="6144" width="9.1796875" style="42" hidden="1"/>
    <col min="6145" max="6145" width="3.54296875" style="42" customWidth="1"/>
    <col min="6146" max="6146" width="19.54296875" style="42" customWidth="1"/>
    <col min="6147" max="6147" width="37.54296875" style="42" customWidth="1"/>
    <col min="6148" max="6148" width="16" style="42" customWidth="1"/>
    <col min="6149" max="6149" width="8.81640625" style="42" customWidth="1"/>
    <col min="6150" max="6150" width="6.54296875" style="42" bestFit="1" customWidth="1"/>
    <col min="6151" max="6151" width="5.54296875" style="42" customWidth="1"/>
    <col min="6152" max="6152" width="3" style="42" customWidth="1"/>
    <col min="6153" max="6153" width="8.81640625" style="42" customWidth="1"/>
    <col min="6154" max="6154" width="10.453125" style="42" customWidth="1"/>
    <col min="6155" max="6155" width="7.453125" style="42" customWidth="1"/>
    <col min="6156" max="6156" width="5.54296875" style="42" customWidth="1"/>
    <col min="6157" max="6162" width="8.81640625" style="42" customWidth="1"/>
    <col min="6163" max="6163" width="3.54296875" style="42" customWidth="1"/>
    <col min="6164" max="6164" width="48.26953125" style="42" customWidth="1"/>
    <col min="6165" max="6165" width="9.1796875" style="42" customWidth="1"/>
    <col min="6166" max="6400" width="9.1796875" style="42" hidden="1"/>
    <col min="6401" max="6401" width="3.54296875" style="42" customWidth="1"/>
    <col min="6402" max="6402" width="19.54296875" style="42" customWidth="1"/>
    <col min="6403" max="6403" width="37.54296875" style="42" customWidth="1"/>
    <col min="6404" max="6404" width="16" style="42" customWidth="1"/>
    <col min="6405" max="6405" width="8.81640625" style="42" customWidth="1"/>
    <col min="6406" max="6406" width="6.54296875" style="42" bestFit="1" customWidth="1"/>
    <col min="6407" max="6407" width="5.54296875" style="42" customWidth="1"/>
    <col min="6408" max="6408" width="3" style="42" customWidth="1"/>
    <col min="6409" max="6409" width="8.81640625" style="42" customWidth="1"/>
    <col min="6410" max="6410" width="10.453125" style="42" customWidth="1"/>
    <col min="6411" max="6411" width="7.453125" style="42" customWidth="1"/>
    <col min="6412" max="6412" width="5.54296875" style="42" customWidth="1"/>
    <col min="6413" max="6418" width="8.81640625" style="42" customWidth="1"/>
    <col min="6419" max="6419" width="3.54296875" style="42" customWidth="1"/>
    <col min="6420" max="6420" width="48.26953125" style="42" customWidth="1"/>
    <col min="6421" max="6421" width="9.1796875" style="42" customWidth="1"/>
    <col min="6422" max="6656" width="9.1796875" style="42" hidden="1"/>
    <col min="6657" max="6657" width="3.54296875" style="42" customWidth="1"/>
    <col min="6658" max="6658" width="19.54296875" style="42" customWidth="1"/>
    <col min="6659" max="6659" width="37.54296875" style="42" customWidth="1"/>
    <col min="6660" max="6660" width="16" style="42" customWidth="1"/>
    <col min="6661" max="6661" width="8.81640625" style="42" customWidth="1"/>
    <col min="6662" max="6662" width="6.54296875" style="42" bestFit="1" customWidth="1"/>
    <col min="6663" max="6663" width="5.54296875" style="42" customWidth="1"/>
    <col min="6664" max="6664" width="3" style="42" customWidth="1"/>
    <col min="6665" max="6665" width="8.81640625" style="42" customWidth="1"/>
    <col min="6666" max="6666" width="10.453125" style="42" customWidth="1"/>
    <col min="6667" max="6667" width="7.453125" style="42" customWidth="1"/>
    <col min="6668" max="6668" width="5.54296875" style="42" customWidth="1"/>
    <col min="6669" max="6674" width="8.81640625" style="42" customWidth="1"/>
    <col min="6675" max="6675" width="3.54296875" style="42" customWidth="1"/>
    <col min="6676" max="6676" width="48.26953125" style="42" customWidth="1"/>
    <col min="6677" max="6677" width="9.1796875" style="42" customWidth="1"/>
    <col min="6678" max="6912" width="9.1796875" style="42" hidden="1"/>
    <col min="6913" max="6913" width="3.54296875" style="42" customWidth="1"/>
    <col min="6914" max="6914" width="19.54296875" style="42" customWidth="1"/>
    <col min="6915" max="6915" width="37.54296875" style="42" customWidth="1"/>
    <col min="6916" max="6916" width="16" style="42" customWidth="1"/>
    <col min="6917" max="6917" width="8.81640625" style="42" customWidth="1"/>
    <col min="6918" max="6918" width="6.54296875" style="42" bestFit="1" customWidth="1"/>
    <col min="6919" max="6919" width="5.54296875" style="42" customWidth="1"/>
    <col min="6920" max="6920" width="3" style="42" customWidth="1"/>
    <col min="6921" max="6921" width="8.81640625" style="42" customWidth="1"/>
    <col min="6922" max="6922" width="10.453125" style="42" customWidth="1"/>
    <col min="6923" max="6923" width="7.453125" style="42" customWidth="1"/>
    <col min="6924" max="6924" width="5.54296875" style="42" customWidth="1"/>
    <col min="6925" max="6930" width="8.81640625" style="42" customWidth="1"/>
    <col min="6931" max="6931" width="3.54296875" style="42" customWidth="1"/>
    <col min="6932" max="6932" width="48.26953125" style="42" customWidth="1"/>
    <col min="6933" max="6933" width="9.1796875" style="42" customWidth="1"/>
    <col min="6934" max="7168" width="9.1796875" style="42" hidden="1"/>
    <col min="7169" max="7169" width="3.54296875" style="42" customWidth="1"/>
    <col min="7170" max="7170" width="19.54296875" style="42" customWidth="1"/>
    <col min="7171" max="7171" width="37.54296875" style="42" customWidth="1"/>
    <col min="7172" max="7172" width="16" style="42" customWidth="1"/>
    <col min="7173" max="7173" width="8.81640625" style="42" customWidth="1"/>
    <col min="7174" max="7174" width="6.54296875" style="42" bestFit="1" customWidth="1"/>
    <col min="7175" max="7175" width="5.54296875" style="42" customWidth="1"/>
    <col min="7176" max="7176" width="3" style="42" customWidth="1"/>
    <col min="7177" max="7177" width="8.81640625" style="42" customWidth="1"/>
    <col min="7178" max="7178" width="10.453125" style="42" customWidth="1"/>
    <col min="7179" max="7179" width="7.453125" style="42" customWidth="1"/>
    <col min="7180" max="7180" width="5.54296875" style="42" customWidth="1"/>
    <col min="7181" max="7186" width="8.81640625" style="42" customWidth="1"/>
    <col min="7187" max="7187" width="3.54296875" style="42" customWidth="1"/>
    <col min="7188" max="7188" width="48.26953125" style="42" customWidth="1"/>
    <col min="7189" max="7189" width="9.1796875" style="42" customWidth="1"/>
    <col min="7190" max="7424" width="9.1796875" style="42" hidden="1"/>
    <col min="7425" max="7425" width="3.54296875" style="42" customWidth="1"/>
    <col min="7426" max="7426" width="19.54296875" style="42" customWidth="1"/>
    <col min="7427" max="7427" width="37.54296875" style="42" customWidth="1"/>
    <col min="7428" max="7428" width="16" style="42" customWidth="1"/>
    <col min="7429" max="7429" width="8.81640625" style="42" customWidth="1"/>
    <col min="7430" max="7430" width="6.54296875" style="42" bestFit="1" customWidth="1"/>
    <col min="7431" max="7431" width="5.54296875" style="42" customWidth="1"/>
    <col min="7432" max="7432" width="3" style="42" customWidth="1"/>
    <col min="7433" max="7433" width="8.81640625" style="42" customWidth="1"/>
    <col min="7434" max="7434" width="10.453125" style="42" customWidth="1"/>
    <col min="7435" max="7435" width="7.453125" style="42" customWidth="1"/>
    <col min="7436" max="7436" width="5.54296875" style="42" customWidth="1"/>
    <col min="7437" max="7442" width="8.81640625" style="42" customWidth="1"/>
    <col min="7443" max="7443" width="3.54296875" style="42" customWidth="1"/>
    <col min="7444" max="7444" width="48.26953125" style="42" customWidth="1"/>
    <col min="7445" max="7445" width="9.1796875" style="42" customWidth="1"/>
    <col min="7446" max="7680" width="9.1796875" style="42" hidden="1"/>
    <col min="7681" max="7681" width="3.54296875" style="42" customWidth="1"/>
    <col min="7682" max="7682" width="19.54296875" style="42" customWidth="1"/>
    <col min="7683" max="7683" width="37.54296875" style="42" customWidth="1"/>
    <col min="7684" max="7684" width="16" style="42" customWidth="1"/>
    <col min="7685" max="7685" width="8.81640625" style="42" customWidth="1"/>
    <col min="7686" max="7686" width="6.54296875" style="42" bestFit="1" customWidth="1"/>
    <col min="7687" max="7687" width="5.54296875" style="42" customWidth="1"/>
    <col min="7688" max="7688" width="3" style="42" customWidth="1"/>
    <col min="7689" max="7689" width="8.81640625" style="42" customWidth="1"/>
    <col min="7690" max="7690" width="10.453125" style="42" customWidth="1"/>
    <col min="7691" max="7691" width="7.453125" style="42" customWidth="1"/>
    <col min="7692" max="7692" width="5.54296875" style="42" customWidth="1"/>
    <col min="7693" max="7698" width="8.81640625" style="42" customWidth="1"/>
    <col min="7699" max="7699" width="3.54296875" style="42" customWidth="1"/>
    <col min="7700" max="7700" width="48.26953125" style="42" customWidth="1"/>
    <col min="7701" max="7701" width="9.1796875" style="42" customWidth="1"/>
    <col min="7702" max="7936" width="9.1796875" style="42" hidden="1"/>
    <col min="7937" max="7937" width="3.54296875" style="42" customWidth="1"/>
    <col min="7938" max="7938" width="19.54296875" style="42" customWidth="1"/>
    <col min="7939" max="7939" width="37.54296875" style="42" customWidth="1"/>
    <col min="7940" max="7940" width="16" style="42" customWidth="1"/>
    <col min="7941" max="7941" width="8.81640625" style="42" customWidth="1"/>
    <col min="7942" max="7942" width="6.54296875" style="42" bestFit="1" customWidth="1"/>
    <col min="7943" max="7943" width="5.54296875" style="42" customWidth="1"/>
    <col min="7944" max="7944" width="3" style="42" customWidth="1"/>
    <col min="7945" max="7945" width="8.81640625" style="42" customWidth="1"/>
    <col min="7946" max="7946" width="10.453125" style="42" customWidth="1"/>
    <col min="7947" max="7947" width="7.453125" style="42" customWidth="1"/>
    <col min="7948" max="7948" width="5.54296875" style="42" customWidth="1"/>
    <col min="7949" max="7954" width="8.81640625" style="42" customWidth="1"/>
    <col min="7955" max="7955" width="3.54296875" style="42" customWidth="1"/>
    <col min="7956" max="7956" width="48.26953125" style="42" customWidth="1"/>
    <col min="7957" max="7957" width="9.1796875" style="42" customWidth="1"/>
    <col min="7958" max="8192" width="9.1796875" style="42" hidden="1"/>
    <col min="8193" max="8193" width="3.54296875" style="42" customWidth="1"/>
    <col min="8194" max="8194" width="19.54296875" style="42" customWidth="1"/>
    <col min="8195" max="8195" width="37.54296875" style="42" customWidth="1"/>
    <col min="8196" max="8196" width="16" style="42" customWidth="1"/>
    <col min="8197" max="8197" width="8.81640625" style="42" customWidth="1"/>
    <col min="8198" max="8198" width="6.54296875" style="42" bestFit="1" customWidth="1"/>
    <col min="8199" max="8199" width="5.54296875" style="42" customWidth="1"/>
    <col min="8200" max="8200" width="3" style="42" customWidth="1"/>
    <col min="8201" max="8201" width="8.81640625" style="42" customWidth="1"/>
    <col min="8202" max="8202" width="10.453125" style="42" customWidth="1"/>
    <col min="8203" max="8203" width="7.453125" style="42" customWidth="1"/>
    <col min="8204" max="8204" width="5.54296875" style="42" customWidth="1"/>
    <col min="8205" max="8210" width="8.81640625" style="42" customWidth="1"/>
    <col min="8211" max="8211" width="3.54296875" style="42" customWidth="1"/>
    <col min="8212" max="8212" width="48.26953125" style="42" customWidth="1"/>
    <col min="8213" max="8213" width="9.1796875" style="42" customWidth="1"/>
    <col min="8214" max="8448" width="9.1796875" style="42" hidden="1"/>
    <col min="8449" max="8449" width="3.54296875" style="42" customWidth="1"/>
    <col min="8450" max="8450" width="19.54296875" style="42" customWidth="1"/>
    <col min="8451" max="8451" width="37.54296875" style="42" customWidth="1"/>
    <col min="8452" max="8452" width="16" style="42" customWidth="1"/>
    <col min="8453" max="8453" width="8.81640625" style="42" customWidth="1"/>
    <col min="8454" max="8454" width="6.54296875" style="42" bestFit="1" customWidth="1"/>
    <col min="8455" max="8455" width="5.54296875" style="42" customWidth="1"/>
    <col min="8456" max="8456" width="3" style="42" customWidth="1"/>
    <col min="8457" max="8457" width="8.81640625" style="42" customWidth="1"/>
    <col min="8458" max="8458" width="10.453125" style="42" customWidth="1"/>
    <col min="8459" max="8459" width="7.453125" style="42" customWidth="1"/>
    <col min="8460" max="8460" width="5.54296875" style="42" customWidth="1"/>
    <col min="8461" max="8466" width="8.81640625" style="42" customWidth="1"/>
    <col min="8467" max="8467" width="3.54296875" style="42" customWidth="1"/>
    <col min="8468" max="8468" width="48.26953125" style="42" customWidth="1"/>
    <col min="8469" max="8469" width="9.1796875" style="42" customWidth="1"/>
    <col min="8470" max="8704" width="9.1796875" style="42" hidden="1"/>
    <col min="8705" max="8705" width="3.54296875" style="42" customWidth="1"/>
    <col min="8706" max="8706" width="19.54296875" style="42" customWidth="1"/>
    <col min="8707" max="8707" width="37.54296875" style="42" customWidth="1"/>
    <col min="8708" max="8708" width="16" style="42" customWidth="1"/>
    <col min="8709" max="8709" width="8.81640625" style="42" customWidth="1"/>
    <col min="8710" max="8710" width="6.54296875" style="42" bestFit="1" customWidth="1"/>
    <col min="8711" max="8711" width="5.54296875" style="42" customWidth="1"/>
    <col min="8712" max="8712" width="3" style="42" customWidth="1"/>
    <col min="8713" max="8713" width="8.81640625" style="42" customWidth="1"/>
    <col min="8714" max="8714" width="10.453125" style="42" customWidth="1"/>
    <col min="8715" max="8715" width="7.453125" style="42" customWidth="1"/>
    <col min="8716" max="8716" width="5.54296875" style="42" customWidth="1"/>
    <col min="8717" max="8722" width="8.81640625" style="42" customWidth="1"/>
    <col min="8723" max="8723" width="3.54296875" style="42" customWidth="1"/>
    <col min="8724" max="8724" width="48.26953125" style="42" customWidth="1"/>
    <col min="8725" max="8725" width="9.1796875" style="42" customWidth="1"/>
    <col min="8726" max="8960" width="9.1796875" style="42" hidden="1"/>
    <col min="8961" max="8961" width="3.54296875" style="42" customWidth="1"/>
    <col min="8962" max="8962" width="19.54296875" style="42" customWidth="1"/>
    <col min="8963" max="8963" width="37.54296875" style="42" customWidth="1"/>
    <col min="8964" max="8964" width="16" style="42" customWidth="1"/>
    <col min="8965" max="8965" width="8.81640625" style="42" customWidth="1"/>
    <col min="8966" max="8966" width="6.54296875" style="42" bestFit="1" customWidth="1"/>
    <col min="8967" max="8967" width="5.54296875" style="42" customWidth="1"/>
    <col min="8968" max="8968" width="3" style="42" customWidth="1"/>
    <col min="8969" max="8969" width="8.81640625" style="42" customWidth="1"/>
    <col min="8970" max="8970" width="10.453125" style="42" customWidth="1"/>
    <col min="8971" max="8971" width="7.453125" style="42" customWidth="1"/>
    <col min="8972" max="8972" width="5.54296875" style="42" customWidth="1"/>
    <col min="8973" max="8978" width="8.81640625" style="42" customWidth="1"/>
    <col min="8979" max="8979" width="3.54296875" style="42" customWidth="1"/>
    <col min="8980" max="8980" width="48.26953125" style="42" customWidth="1"/>
    <col min="8981" max="8981" width="9.1796875" style="42" customWidth="1"/>
    <col min="8982" max="9216" width="9.1796875" style="42" hidden="1"/>
    <col min="9217" max="9217" width="3.54296875" style="42" customWidth="1"/>
    <col min="9218" max="9218" width="19.54296875" style="42" customWidth="1"/>
    <col min="9219" max="9219" width="37.54296875" style="42" customWidth="1"/>
    <col min="9220" max="9220" width="16" style="42" customWidth="1"/>
    <col min="9221" max="9221" width="8.81640625" style="42" customWidth="1"/>
    <col min="9222" max="9222" width="6.54296875" style="42" bestFit="1" customWidth="1"/>
    <col min="9223" max="9223" width="5.54296875" style="42" customWidth="1"/>
    <col min="9224" max="9224" width="3" style="42" customWidth="1"/>
    <col min="9225" max="9225" width="8.81640625" style="42" customWidth="1"/>
    <col min="9226" max="9226" width="10.453125" style="42" customWidth="1"/>
    <col min="9227" max="9227" width="7.453125" style="42" customWidth="1"/>
    <col min="9228" max="9228" width="5.54296875" style="42" customWidth="1"/>
    <col min="9229" max="9234" width="8.81640625" style="42" customWidth="1"/>
    <col min="9235" max="9235" width="3.54296875" style="42" customWidth="1"/>
    <col min="9236" max="9236" width="48.26953125" style="42" customWidth="1"/>
    <col min="9237" max="9237" width="9.1796875" style="42" customWidth="1"/>
    <col min="9238" max="9472" width="9.1796875" style="42" hidden="1"/>
    <col min="9473" max="9473" width="3.54296875" style="42" customWidth="1"/>
    <col min="9474" max="9474" width="19.54296875" style="42" customWidth="1"/>
    <col min="9475" max="9475" width="37.54296875" style="42" customWidth="1"/>
    <col min="9476" max="9476" width="16" style="42" customWidth="1"/>
    <col min="9477" max="9477" width="8.81640625" style="42" customWidth="1"/>
    <col min="9478" max="9478" width="6.54296875" style="42" bestFit="1" customWidth="1"/>
    <col min="9479" max="9479" width="5.54296875" style="42" customWidth="1"/>
    <col min="9480" max="9480" width="3" style="42" customWidth="1"/>
    <col min="9481" max="9481" width="8.81640625" style="42" customWidth="1"/>
    <col min="9482" max="9482" width="10.453125" style="42" customWidth="1"/>
    <col min="9483" max="9483" width="7.453125" style="42" customWidth="1"/>
    <col min="9484" max="9484" width="5.54296875" style="42" customWidth="1"/>
    <col min="9485" max="9490" width="8.81640625" style="42" customWidth="1"/>
    <col min="9491" max="9491" width="3.54296875" style="42" customWidth="1"/>
    <col min="9492" max="9492" width="48.26953125" style="42" customWidth="1"/>
    <col min="9493" max="9493" width="9.1796875" style="42" customWidth="1"/>
    <col min="9494" max="9728" width="9.1796875" style="42" hidden="1"/>
    <col min="9729" max="9729" width="3.54296875" style="42" customWidth="1"/>
    <col min="9730" max="9730" width="19.54296875" style="42" customWidth="1"/>
    <col min="9731" max="9731" width="37.54296875" style="42" customWidth="1"/>
    <col min="9732" max="9732" width="16" style="42" customWidth="1"/>
    <col min="9733" max="9733" width="8.81640625" style="42" customWidth="1"/>
    <col min="9734" max="9734" width="6.54296875" style="42" bestFit="1" customWidth="1"/>
    <col min="9735" max="9735" width="5.54296875" style="42" customWidth="1"/>
    <col min="9736" max="9736" width="3" style="42" customWidth="1"/>
    <col min="9737" max="9737" width="8.81640625" style="42" customWidth="1"/>
    <col min="9738" max="9738" width="10.453125" style="42" customWidth="1"/>
    <col min="9739" max="9739" width="7.453125" style="42" customWidth="1"/>
    <col min="9740" max="9740" width="5.54296875" style="42" customWidth="1"/>
    <col min="9741" max="9746" width="8.81640625" style="42" customWidth="1"/>
    <col min="9747" max="9747" width="3.54296875" style="42" customWidth="1"/>
    <col min="9748" max="9748" width="48.26953125" style="42" customWidth="1"/>
    <col min="9749" max="9749" width="9.1796875" style="42" customWidth="1"/>
    <col min="9750" max="9984" width="9.1796875" style="42" hidden="1"/>
    <col min="9985" max="9985" width="3.54296875" style="42" customWidth="1"/>
    <col min="9986" max="9986" width="19.54296875" style="42" customWidth="1"/>
    <col min="9987" max="9987" width="37.54296875" style="42" customWidth="1"/>
    <col min="9988" max="9988" width="16" style="42" customWidth="1"/>
    <col min="9989" max="9989" width="8.81640625" style="42" customWidth="1"/>
    <col min="9990" max="9990" width="6.54296875" style="42" bestFit="1" customWidth="1"/>
    <col min="9991" max="9991" width="5.54296875" style="42" customWidth="1"/>
    <col min="9992" max="9992" width="3" style="42" customWidth="1"/>
    <col min="9993" max="9993" width="8.81640625" style="42" customWidth="1"/>
    <col min="9994" max="9994" width="10.453125" style="42" customWidth="1"/>
    <col min="9995" max="9995" width="7.453125" style="42" customWidth="1"/>
    <col min="9996" max="9996" width="5.54296875" style="42" customWidth="1"/>
    <col min="9997" max="10002" width="8.81640625" style="42" customWidth="1"/>
    <col min="10003" max="10003" width="3.54296875" style="42" customWidth="1"/>
    <col min="10004" max="10004" width="48.26953125" style="42" customWidth="1"/>
    <col min="10005" max="10005" width="9.1796875" style="42" customWidth="1"/>
    <col min="10006" max="10240" width="9.1796875" style="42" hidden="1"/>
    <col min="10241" max="10241" width="3.54296875" style="42" customWidth="1"/>
    <col min="10242" max="10242" width="19.54296875" style="42" customWidth="1"/>
    <col min="10243" max="10243" width="37.54296875" style="42" customWidth="1"/>
    <col min="10244" max="10244" width="16" style="42" customWidth="1"/>
    <col min="10245" max="10245" width="8.81640625" style="42" customWidth="1"/>
    <col min="10246" max="10246" width="6.54296875" style="42" bestFit="1" customWidth="1"/>
    <col min="10247" max="10247" width="5.54296875" style="42" customWidth="1"/>
    <col min="10248" max="10248" width="3" style="42" customWidth="1"/>
    <col min="10249" max="10249" width="8.81640625" style="42" customWidth="1"/>
    <col min="10250" max="10250" width="10.453125" style="42" customWidth="1"/>
    <col min="10251" max="10251" width="7.453125" style="42" customWidth="1"/>
    <col min="10252" max="10252" width="5.54296875" style="42" customWidth="1"/>
    <col min="10253" max="10258" width="8.81640625" style="42" customWidth="1"/>
    <col min="10259" max="10259" width="3.54296875" style="42" customWidth="1"/>
    <col min="10260" max="10260" width="48.26953125" style="42" customWidth="1"/>
    <col min="10261" max="10261" width="9.1796875" style="42" customWidth="1"/>
    <col min="10262" max="10496" width="9.1796875" style="42" hidden="1"/>
    <col min="10497" max="10497" width="3.54296875" style="42" customWidth="1"/>
    <col min="10498" max="10498" width="19.54296875" style="42" customWidth="1"/>
    <col min="10499" max="10499" width="37.54296875" style="42" customWidth="1"/>
    <col min="10500" max="10500" width="16" style="42" customWidth="1"/>
    <col min="10501" max="10501" width="8.81640625" style="42" customWidth="1"/>
    <col min="10502" max="10502" width="6.54296875" style="42" bestFit="1" customWidth="1"/>
    <col min="10503" max="10503" width="5.54296875" style="42" customWidth="1"/>
    <col min="10504" max="10504" width="3" style="42" customWidth="1"/>
    <col min="10505" max="10505" width="8.81640625" style="42" customWidth="1"/>
    <col min="10506" max="10506" width="10.453125" style="42" customWidth="1"/>
    <col min="10507" max="10507" width="7.453125" style="42" customWidth="1"/>
    <col min="10508" max="10508" width="5.54296875" style="42" customWidth="1"/>
    <col min="10509" max="10514" width="8.81640625" style="42" customWidth="1"/>
    <col min="10515" max="10515" width="3.54296875" style="42" customWidth="1"/>
    <col min="10516" max="10516" width="48.26953125" style="42" customWidth="1"/>
    <col min="10517" max="10517" width="9.1796875" style="42" customWidth="1"/>
    <col min="10518" max="10752" width="9.1796875" style="42" hidden="1"/>
    <col min="10753" max="10753" width="3.54296875" style="42" customWidth="1"/>
    <col min="10754" max="10754" width="19.54296875" style="42" customWidth="1"/>
    <col min="10755" max="10755" width="37.54296875" style="42" customWidth="1"/>
    <col min="10756" max="10756" width="16" style="42" customWidth="1"/>
    <col min="10757" max="10757" width="8.81640625" style="42" customWidth="1"/>
    <col min="10758" max="10758" width="6.54296875" style="42" bestFit="1" customWidth="1"/>
    <col min="10759" max="10759" width="5.54296875" style="42" customWidth="1"/>
    <col min="10760" max="10760" width="3" style="42" customWidth="1"/>
    <col min="10761" max="10761" width="8.81640625" style="42" customWidth="1"/>
    <col min="10762" max="10762" width="10.453125" style="42" customWidth="1"/>
    <col min="10763" max="10763" width="7.453125" style="42" customWidth="1"/>
    <col min="10764" max="10764" width="5.54296875" style="42" customWidth="1"/>
    <col min="10765" max="10770" width="8.81640625" style="42" customWidth="1"/>
    <col min="10771" max="10771" width="3.54296875" style="42" customWidth="1"/>
    <col min="10772" max="10772" width="48.26953125" style="42" customWidth="1"/>
    <col min="10773" max="10773" width="9.1796875" style="42" customWidth="1"/>
    <col min="10774" max="11008" width="9.1796875" style="42" hidden="1"/>
    <col min="11009" max="11009" width="3.54296875" style="42" customWidth="1"/>
    <col min="11010" max="11010" width="19.54296875" style="42" customWidth="1"/>
    <col min="11011" max="11011" width="37.54296875" style="42" customWidth="1"/>
    <col min="11012" max="11012" width="16" style="42" customWidth="1"/>
    <col min="11013" max="11013" width="8.81640625" style="42" customWidth="1"/>
    <col min="11014" max="11014" width="6.54296875" style="42" bestFit="1" customWidth="1"/>
    <col min="11015" max="11015" width="5.54296875" style="42" customWidth="1"/>
    <col min="11016" max="11016" width="3" style="42" customWidth="1"/>
    <col min="11017" max="11017" width="8.81640625" style="42" customWidth="1"/>
    <col min="11018" max="11018" width="10.453125" style="42" customWidth="1"/>
    <col min="11019" max="11019" width="7.453125" style="42" customWidth="1"/>
    <col min="11020" max="11020" width="5.54296875" style="42" customWidth="1"/>
    <col min="11021" max="11026" width="8.81640625" style="42" customWidth="1"/>
    <col min="11027" max="11027" width="3.54296875" style="42" customWidth="1"/>
    <col min="11028" max="11028" width="48.26953125" style="42" customWidth="1"/>
    <col min="11029" max="11029" width="9.1796875" style="42" customWidth="1"/>
    <col min="11030" max="11264" width="9.1796875" style="42" hidden="1"/>
    <col min="11265" max="11265" width="3.54296875" style="42" customWidth="1"/>
    <col min="11266" max="11266" width="19.54296875" style="42" customWidth="1"/>
    <col min="11267" max="11267" width="37.54296875" style="42" customWidth="1"/>
    <col min="11268" max="11268" width="16" style="42" customWidth="1"/>
    <col min="11269" max="11269" width="8.81640625" style="42" customWidth="1"/>
    <col min="11270" max="11270" width="6.54296875" style="42" bestFit="1" customWidth="1"/>
    <col min="11271" max="11271" width="5.54296875" style="42" customWidth="1"/>
    <col min="11272" max="11272" width="3" style="42" customWidth="1"/>
    <col min="11273" max="11273" width="8.81640625" style="42" customWidth="1"/>
    <col min="11274" max="11274" width="10.453125" style="42" customWidth="1"/>
    <col min="11275" max="11275" width="7.453125" style="42" customWidth="1"/>
    <col min="11276" max="11276" width="5.54296875" style="42" customWidth="1"/>
    <col min="11277" max="11282" width="8.81640625" style="42" customWidth="1"/>
    <col min="11283" max="11283" width="3.54296875" style="42" customWidth="1"/>
    <col min="11284" max="11284" width="48.26953125" style="42" customWidth="1"/>
    <col min="11285" max="11285" width="9.1796875" style="42" customWidth="1"/>
    <col min="11286" max="11520" width="9.1796875" style="42" hidden="1"/>
    <col min="11521" max="11521" width="3.54296875" style="42" customWidth="1"/>
    <col min="11522" max="11522" width="19.54296875" style="42" customWidth="1"/>
    <col min="11523" max="11523" width="37.54296875" style="42" customWidth="1"/>
    <col min="11524" max="11524" width="16" style="42" customWidth="1"/>
    <col min="11525" max="11525" width="8.81640625" style="42" customWidth="1"/>
    <col min="11526" max="11526" width="6.54296875" style="42" bestFit="1" customWidth="1"/>
    <col min="11527" max="11527" width="5.54296875" style="42" customWidth="1"/>
    <col min="11528" max="11528" width="3" style="42" customWidth="1"/>
    <col min="11529" max="11529" width="8.81640625" style="42" customWidth="1"/>
    <col min="11530" max="11530" width="10.453125" style="42" customWidth="1"/>
    <col min="11531" max="11531" width="7.453125" style="42" customWidth="1"/>
    <col min="11532" max="11532" width="5.54296875" style="42" customWidth="1"/>
    <col min="11533" max="11538" width="8.81640625" style="42" customWidth="1"/>
    <col min="11539" max="11539" width="3.54296875" style="42" customWidth="1"/>
    <col min="11540" max="11540" width="48.26953125" style="42" customWidth="1"/>
    <col min="11541" max="11541" width="9.1796875" style="42" customWidth="1"/>
    <col min="11542" max="11776" width="9.1796875" style="42" hidden="1"/>
    <col min="11777" max="11777" width="3.54296875" style="42" customWidth="1"/>
    <col min="11778" max="11778" width="19.54296875" style="42" customWidth="1"/>
    <col min="11779" max="11779" width="37.54296875" style="42" customWidth="1"/>
    <col min="11780" max="11780" width="16" style="42" customWidth="1"/>
    <col min="11781" max="11781" width="8.81640625" style="42" customWidth="1"/>
    <col min="11782" max="11782" width="6.54296875" style="42" bestFit="1" customWidth="1"/>
    <col min="11783" max="11783" width="5.54296875" style="42" customWidth="1"/>
    <col min="11784" max="11784" width="3" style="42" customWidth="1"/>
    <col min="11785" max="11785" width="8.81640625" style="42" customWidth="1"/>
    <col min="11786" max="11786" width="10.453125" style="42" customWidth="1"/>
    <col min="11787" max="11787" width="7.453125" style="42" customWidth="1"/>
    <col min="11788" max="11788" width="5.54296875" style="42" customWidth="1"/>
    <col min="11789" max="11794" width="8.81640625" style="42" customWidth="1"/>
    <col min="11795" max="11795" width="3.54296875" style="42" customWidth="1"/>
    <col min="11796" max="11796" width="48.26953125" style="42" customWidth="1"/>
    <col min="11797" max="11797" width="9.1796875" style="42" customWidth="1"/>
    <col min="11798" max="12032" width="9.1796875" style="42" hidden="1"/>
    <col min="12033" max="12033" width="3.54296875" style="42" customWidth="1"/>
    <col min="12034" max="12034" width="19.54296875" style="42" customWidth="1"/>
    <col min="12035" max="12035" width="37.54296875" style="42" customWidth="1"/>
    <col min="12036" max="12036" width="16" style="42" customWidth="1"/>
    <col min="12037" max="12037" width="8.81640625" style="42" customWidth="1"/>
    <col min="12038" max="12038" width="6.54296875" style="42" bestFit="1" customWidth="1"/>
    <col min="12039" max="12039" width="5.54296875" style="42" customWidth="1"/>
    <col min="12040" max="12040" width="3" style="42" customWidth="1"/>
    <col min="12041" max="12041" width="8.81640625" style="42" customWidth="1"/>
    <col min="12042" max="12042" width="10.453125" style="42" customWidth="1"/>
    <col min="12043" max="12043" width="7.453125" style="42" customWidth="1"/>
    <col min="12044" max="12044" width="5.54296875" style="42" customWidth="1"/>
    <col min="12045" max="12050" width="8.81640625" style="42" customWidth="1"/>
    <col min="12051" max="12051" width="3.54296875" style="42" customWidth="1"/>
    <col min="12052" max="12052" width="48.26953125" style="42" customWidth="1"/>
    <col min="12053" max="12053" width="9.1796875" style="42" customWidth="1"/>
    <col min="12054" max="12288" width="9.1796875" style="42" hidden="1"/>
    <col min="12289" max="12289" width="3.54296875" style="42" customWidth="1"/>
    <col min="12290" max="12290" width="19.54296875" style="42" customWidth="1"/>
    <col min="12291" max="12291" width="37.54296875" style="42" customWidth="1"/>
    <col min="12292" max="12292" width="16" style="42" customWidth="1"/>
    <col min="12293" max="12293" width="8.81640625" style="42" customWidth="1"/>
    <col min="12294" max="12294" width="6.54296875" style="42" bestFit="1" customWidth="1"/>
    <col min="12295" max="12295" width="5.54296875" style="42" customWidth="1"/>
    <col min="12296" max="12296" width="3" style="42" customWidth="1"/>
    <col min="12297" max="12297" width="8.81640625" style="42" customWidth="1"/>
    <col min="12298" max="12298" width="10.453125" style="42" customWidth="1"/>
    <col min="12299" max="12299" width="7.453125" style="42" customWidth="1"/>
    <col min="12300" max="12300" width="5.54296875" style="42" customWidth="1"/>
    <col min="12301" max="12306" width="8.81640625" style="42" customWidth="1"/>
    <col min="12307" max="12307" width="3.54296875" style="42" customWidth="1"/>
    <col min="12308" max="12308" width="48.26953125" style="42" customWidth="1"/>
    <col min="12309" max="12309" width="9.1796875" style="42" customWidth="1"/>
    <col min="12310" max="12544" width="9.1796875" style="42" hidden="1"/>
    <col min="12545" max="12545" width="3.54296875" style="42" customWidth="1"/>
    <col min="12546" max="12546" width="19.54296875" style="42" customWidth="1"/>
    <col min="12547" max="12547" width="37.54296875" style="42" customWidth="1"/>
    <col min="12548" max="12548" width="16" style="42" customWidth="1"/>
    <col min="12549" max="12549" width="8.81640625" style="42" customWidth="1"/>
    <col min="12550" max="12550" width="6.54296875" style="42" bestFit="1" customWidth="1"/>
    <col min="12551" max="12551" width="5.54296875" style="42" customWidth="1"/>
    <col min="12552" max="12552" width="3" style="42" customWidth="1"/>
    <col min="12553" max="12553" width="8.81640625" style="42" customWidth="1"/>
    <col min="12554" max="12554" width="10.453125" style="42" customWidth="1"/>
    <col min="12555" max="12555" width="7.453125" style="42" customWidth="1"/>
    <col min="12556" max="12556" width="5.54296875" style="42" customWidth="1"/>
    <col min="12557" max="12562" width="8.81640625" style="42" customWidth="1"/>
    <col min="12563" max="12563" width="3.54296875" style="42" customWidth="1"/>
    <col min="12564" max="12564" width="48.26953125" style="42" customWidth="1"/>
    <col min="12565" max="12565" width="9.1796875" style="42" customWidth="1"/>
    <col min="12566" max="12800" width="9.1796875" style="42" hidden="1"/>
    <col min="12801" max="12801" width="3.54296875" style="42" customWidth="1"/>
    <col min="12802" max="12802" width="19.54296875" style="42" customWidth="1"/>
    <col min="12803" max="12803" width="37.54296875" style="42" customWidth="1"/>
    <col min="12804" max="12804" width="16" style="42" customWidth="1"/>
    <col min="12805" max="12805" width="8.81640625" style="42" customWidth="1"/>
    <col min="12806" max="12806" width="6.54296875" style="42" bestFit="1" customWidth="1"/>
    <col min="12807" max="12807" width="5.54296875" style="42" customWidth="1"/>
    <col min="12808" max="12808" width="3" style="42" customWidth="1"/>
    <col min="12809" max="12809" width="8.81640625" style="42" customWidth="1"/>
    <col min="12810" max="12810" width="10.453125" style="42" customWidth="1"/>
    <col min="12811" max="12811" width="7.453125" style="42" customWidth="1"/>
    <col min="12812" max="12812" width="5.54296875" style="42" customWidth="1"/>
    <col min="12813" max="12818" width="8.81640625" style="42" customWidth="1"/>
    <col min="12819" max="12819" width="3.54296875" style="42" customWidth="1"/>
    <col min="12820" max="12820" width="48.26953125" style="42" customWidth="1"/>
    <col min="12821" max="12821" width="9.1796875" style="42" customWidth="1"/>
    <col min="12822" max="13056" width="9.1796875" style="42" hidden="1"/>
    <col min="13057" max="13057" width="3.54296875" style="42" customWidth="1"/>
    <col min="13058" max="13058" width="19.54296875" style="42" customWidth="1"/>
    <col min="13059" max="13059" width="37.54296875" style="42" customWidth="1"/>
    <col min="13060" max="13060" width="16" style="42" customWidth="1"/>
    <col min="13061" max="13061" width="8.81640625" style="42" customWidth="1"/>
    <col min="13062" max="13062" width="6.54296875" style="42" bestFit="1" customWidth="1"/>
    <col min="13063" max="13063" width="5.54296875" style="42" customWidth="1"/>
    <col min="13064" max="13064" width="3" style="42" customWidth="1"/>
    <col min="13065" max="13065" width="8.81640625" style="42" customWidth="1"/>
    <col min="13066" max="13066" width="10.453125" style="42" customWidth="1"/>
    <col min="13067" max="13067" width="7.453125" style="42" customWidth="1"/>
    <col min="13068" max="13068" width="5.54296875" style="42" customWidth="1"/>
    <col min="13069" max="13074" width="8.81640625" style="42" customWidth="1"/>
    <col min="13075" max="13075" width="3.54296875" style="42" customWidth="1"/>
    <col min="13076" max="13076" width="48.26953125" style="42" customWidth="1"/>
    <col min="13077" max="13077" width="9.1796875" style="42" customWidth="1"/>
    <col min="13078" max="13312" width="9.1796875" style="42" hidden="1"/>
    <col min="13313" max="13313" width="3.54296875" style="42" customWidth="1"/>
    <col min="13314" max="13314" width="19.54296875" style="42" customWidth="1"/>
    <col min="13315" max="13315" width="37.54296875" style="42" customWidth="1"/>
    <col min="13316" max="13316" width="16" style="42" customWidth="1"/>
    <col min="13317" max="13317" width="8.81640625" style="42" customWidth="1"/>
    <col min="13318" max="13318" width="6.54296875" style="42" bestFit="1" customWidth="1"/>
    <col min="13319" max="13319" width="5.54296875" style="42" customWidth="1"/>
    <col min="13320" max="13320" width="3" style="42" customWidth="1"/>
    <col min="13321" max="13321" width="8.81640625" style="42" customWidth="1"/>
    <col min="13322" max="13322" width="10.453125" style="42" customWidth="1"/>
    <col min="13323" max="13323" width="7.453125" style="42" customWidth="1"/>
    <col min="13324" max="13324" width="5.54296875" style="42" customWidth="1"/>
    <col min="13325" max="13330" width="8.81640625" style="42" customWidth="1"/>
    <col min="13331" max="13331" width="3.54296875" style="42" customWidth="1"/>
    <col min="13332" max="13332" width="48.26953125" style="42" customWidth="1"/>
    <col min="13333" max="13333" width="9.1796875" style="42" customWidth="1"/>
    <col min="13334" max="13568" width="9.1796875" style="42" hidden="1"/>
    <col min="13569" max="13569" width="3.54296875" style="42" customWidth="1"/>
    <col min="13570" max="13570" width="19.54296875" style="42" customWidth="1"/>
    <col min="13571" max="13571" width="37.54296875" style="42" customWidth="1"/>
    <col min="13572" max="13572" width="16" style="42" customWidth="1"/>
    <col min="13573" max="13573" width="8.81640625" style="42" customWidth="1"/>
    <col min="13574" max="13574" width="6.54296875" style="42" bestFit="1" customWidth="1"/>
    <col min="13575" max="13575" width="5.54296875" style="42" customWidth="1"/>
    <col min="13576" max="13576" width="3" style="42" customWidth="1"/>
    <col min="13577" max="13577" width="8.81640625" style="42" customWidth="1"/>
    <col min="13578" max="13578" width="10.453125" style="42" customWidth="1"/>
    <col min="13579" max="13579" width="7.453125" style="42" customWidth="1"/>
    <col min="13580" max="13580" width="5.54296875" style="42" customWidth="1"/>
    <col min="13581" max="13586" width="8.81640625" style="42" customWidth="1"/>
    <col min="13587" max="13587" width="3.54296875" style="42" customWidth="1"/>
    <col min="13588" max="13588" width="48.26953125" style="42" customWidth="1"/>
    <col min="13589" max="13589" width="9.1796875" style="42" customWidth="1"/>
    <col min="13590" max="13824" width="9.1796875" style="42" hidden="1"/>
    <col min="13825" max="13825" width="3.54296875" style="42" customWidth="1"/>
    <col min="13826" max="13826" width="19.54296875" style="42" customWidth="1"/>
    <col min="13827" max="13827" width="37.54296875" style="42" customWidth="1"/>
    <col min="13828" max="13828" width="16" style="42" customWidth="1"/>
    <col min="13829" max="13829" width="8.81640625" style="42" customWidth="1"/>
    <col min="13830" max="13830" width="6.54296875" style="42" bestFit="1" customWidth="1"/>
    <col min="13831" max="13831" width="5.54296875" style="42" customWidth="1"/>
    <col min="13832" max="13832" width="3" style="42" customWidth="1"/>
    <col min="13833" max="13833" width="8.81640625" style="42" customWidth="1"/>
    <col min="13834" max="13834" width="10.453125" style="42" customWidth="1"/>
    <col min="13835" max="13835" width="7.453125" style="42" customWidth="1"/>
    <col min="13836" max="13836" width="5.54296875" style="42" customWidth="1"/>
    <col min="13837" max="13842" width="8.81640625" style="42" customWidth="1"/>
    <col min="13843" max="13843" width="3.54296875" style="42" customWidth="1"/>
    <col min="13844" max="13844" width="48.26953125" style="42" customWidth="1"/>
    <col min="13845" max="13845" width="9.1796875" style="42" customWidth="1"/>
    <col min="13846" max="14080" width="9.1796875" style="42" hidden="1"/>
    <col min="14081" max="14081" width="3.54296875" style="42" customWidth="1"/>
    <col min="14082" max="14082" width="19.54296875" style="42" customWidth="1"/>
    <col min="14083" max="14083" width="37.54296875" style="42" customWidth="1"/>
    <col min="14084" max="14084" width="16" style="42" customWidth="1"/>
    <col min="14085" max="14085" width="8.81640625" style="42" customWidth="1"/>
    <col min="14086" max="14086" width="6.54296875" style="42" bestFit="1" customWidth="1"/>
    <col min="14087" max="14087" width="5.54296875" style="42" customWidth="1"/>
    <col min="14088" max="14088" width="3" style="42" customWidth="1"/>
    <col min="14089" max="14089" width="8.81640625" style="42" customWidth="1"/>
    <col min="14090" max="14090" width="10.453125" style="42" customWidth="1"/>
    <col min="14091" max="14091" width="7.453125" style="42" customWidth="1"/>
    <col min="14092" max="14092" width="5.54296875" style="42" customWidth="1"/>
    <col min="14093" max="14098" width="8.81640625" style="42" customWidth="1"/>
    <col min="14099" max="14099" width="3.54296875" style="42" customWidth="1"/>
    <col min="14100" max="14100" width="48.26953125" style="42" customWidth="1"/>
    <col min="14101" max="14101" width="9.1796875" style="42" customWidth="1"/>
    <col min="14102" max="14336" width="9.1796875" style="42" hidden="1"/>
    <col min="14337" max="14337" width="3.54296875" style="42" customWidth="1"/>
    <col min="14338" max="14338" width="19.54296875" style="42" customWidth="1"/>
    <col min="14339" max="14339" width="37.54296875" style="42" customWidth="1"/>
    <col min="14340" max="14340" width="16" style="42" customWidth="1"/>
    <col min="14341" max="14341" width="8.81640625" style="42" customWidth="1"/>
    <col min="14342" max="14342" width="6.54296875" style="42" bestFit="1" customWidth="1"/>
    <col min="14343" max="14343" width="5.54296875" style="42" customWidth="1"/>
    <col min="14344" max="14344" width="3" style="42" customWidth="1"/>
    <col min="14345" max="14345" width="8.81640625" style="42" customWidth="1"/>
    <col min="14346" max="14346" width="10.453125" style="42" customWidth="1"/>
    <col min="14347" max="14347" width="7.453125" style="42" customWidth="1"/>
    <col min="14348" max="14348" width="5.54296875" style="42" customWidth="1"/>
    <col min="14349" max="14354" width="8.81640625" style="42" customWidth="1"/>
    <col min="14355" max="14355" width="3.54296875" style="42" customWidth="1"/>
    <col min="14356" max="14356" width="48.26953125" style="42" customWidth="1"/>
    <col min="14357" max="14357" width="9.1796875" style="42" customWidth="1"/>
    <col min="14358" max="14592" width="9.1796875" style="42" hidden="1"/>
    <col min="14593" max="14593" width="3.54296875" style="42" customWidth="1"/>
    <col min="14594" max="14594" width="19.54296875" style="42" customWidth="1"/>
    <col min="14595" max="14595" width="37.54296875" style="42" customWidth="1"/>
    <col min="14596" max="14596" width="16" style="42" customWidth="1"/>
    <col min="14597" max="14597" width="8.81640625" style="42" customWidth="1"/>
    <col min="14598" max="14598" width="6.54296875" style="42" bestFit="1" customWidth="1"/>
    <col min="14599" max="14599" width="5.54296875" style="42" customWidth="1"/>
    <col min="14600" max="14600" width="3" style="42" customWidth="1"/>
    <col min="14601" max="14601" width="8.81640625" style="42" customWidth="1"/>
    <col min="14602" max="14602" width="10.453125" style="42" customWidth="1"/>
    <col min="14603" max="14603" width="7.453125" style="42" customWidth="1"/>
    <col min="14604" max="14604" width="5.54296875" style="42" customWidth="1"/>
    <col min="14605" max="14610" width="8.81640625" style="42" customWidth="1"/>
    <col min="14611" max="14611" width="3.54296875" style="42" customWidth="1"/>
    <col min="14612" max="14612" width="48.26953125" style="42" customWidth="1"/>
    <col min="14613" max="14613" width="9.1796875" style="42" customWidth="1"/>
    <col min="14614" max="14848" width="9.1796875" style="42" hidden="1"/>
    <col min="14849" max="14849" width="3.54296875" style="42" customWidth="1"/>
    <col min="14850" max="14850" width="19.54296875" style="42" customWidth="1"/>
    <col min="14851" max="14851" width="37.54296875" style="42" customWidth="1"/>
    <col min="14852" max="14852" width="16" style="42" customWidth="1"/>
    <col min="14853" max="14853" width="8.81640625" style="42" customWidth="1"/>
    <col min="14854" max="14854" width="6.54296875" style="42" bestFit="1" customWidth="1"/>
    <col min="14855" max="14855" width="5.54296875" style="42" customWidth="1"/>
    <col min="14856" max="14856" width="3" style="42" customWidth="1"/>
    <col min="14857" max="14857" width="8.81640625" style="42" customWidth="1"/>
    <col min="14858" max="14858" width="10.453125" style="42" customWidth="1"/>
    <col min="14859" max="14859" width="7.453125" style="42" customWidth="1"/>
    <col min="14860" max="14860" width="5.54296875" style="42" customWidth="1"/>
    <col min="14861" max="14866" width="8.81640625" style="42" customWidth="1"/>
    <col min="14867" max="14867" width="3.54296875" style="42" customWidth="1"/>
    <col min="14868" max="14868" width="48.26953125" style="42" customWidth="1"/>
    <col min="14869" max="14869" width="9.1796875" style="42" customWidth="1"/>
    <col min="14870" max="15104" width="9.1796875" style="42" hidden="1"/>
    <col min="15105" max="15105" width="3.54296875" style="42" customWidth="1"/>
    <col min="15106" max="15106" width="19.54296875" style="42" customWidth="1"/>
    <col min="15107" max="15107" width="37.54296875" style="42" customWidth="1"/>
    <col min="15108" max="15108" width="16" style="42" customWidth="1"/>
    <col min="15109" max="15109" width="8.81640625" style="42" customWidth="1"/>
    <col min="15110" max="15110" width="6.54296875" style="42" bestFit="1" customWidth="1"/>
    <col min="15111" max="15111" width="5.54296875" style="42" customWidth="1"/>
    <col min="15112" max="15112" width="3" style="42" customWidth="1"/>
    <col min="15113" max="15113" width="8.81640625" style="42" customWidth="1"/>
    <col min="15114" max="15114" width="10.453125" style="42" customWidth="1"/>
    <col min="15115" max="15115" width="7.453125" style="42" customWidth="1"/>
    <col min="15116" max="15116" width="5.54296875" style="42" customWidth="1"/>
    <col min="15117" max="15122" width="8.81640625" style="42" customWidth="1"/>
    <col min="15123" max="15123" width="3.54296875" style="42" customWidth="1"/>
    <col min="15124" max="15124" width="48.26953125" style="42" customWidth="1"/>
    <col min="15125" max="15125" width="9.1796875" style="42" customWidth="1"/>
    <col min="15126" max="15360" width="9.1796875" style="42" hidden="1"/>
    <col min="15361" max="15361" width="3.54296875" style="42" customWidth="1"/>
    <col min="15362" max="15362" width="19.54296875" style="42" customWidth="1"/>
    <col min="15363" max="15363" width="37.54296875" style="42" customWidth="1"/>
    <col min="15364" max="15364" width="16" style="42" customWidth="1"/>
    <col min="15365" max="15365" width="8.81640625" style="42" customWidth="1"/>
    <col min="15366" max="15366" width="6.54296875" style="42" bestFit="1" customWidth="1"/>
    <col min="15367" max="15367" width="5.54296875" style="42" customWidth="1"/>
    <col min="15368" max="15368" width="3" style="42" customWidth="1"/>
    <col min="15369" max="15369" width="8.81640625" style="42" customWidth="1"/>
    <col min="15370" max="15370" width="10.453125" style="42" customWidth="1"/>
    <col min="15371" max="15371" width="7.453125" style="42" customWidth="1"/>
    <col min="15372" max="15372" width="5.54296875" style="42" customWidth="1"/>
    <col min="15373" max="15378" width="8.81640625" style="42" customWidth="1"/>
    <col min="15379" max="15379" width="3.54296875" style="42" customWidth="1"/>
    <col min="15380" max="15380" width="48.26953125" style="42" customWidth="1"/>
    <col min="15381" max="15381" width="9.1796875" style="42" customWidth="1"/>
    <col min="15382" max="15616" width="9.1796875" style="42" hidden="1"/>
    <col min="15617" max="15617" width="3.54296875" style="42" customWidth="1"/>
    <col min="15618" max="15618" width="19.54296875" style="42" customWidth="1"/>
    <col min="15619" max="15619" width="37.54296875" style="42" customWidth="1"/>
    <col min="15620" max="15620" width="16" style="42" customWidth="1"/>
    <col min="15621" max="15621" width="8.81640625" style="42" customWidth="1"/>
    <col min="15622" max="15622" width="6.54296875" style="42" bestFit="1" customWidth="1"/>
    <col min="15623" max="15623" width="5.54296875" style="42" customWidth="1"/>
    <col min="15624" max="15624" width="3" style="42" customWidth="1"/>
    <col min="15625" max="15625" width="8.81640625" style="42" customWidth="1"/>
    <col min="15626" max="15626" width="10.453125" style="42" customWidth="1"/>
    <col min="15627" max="15627" width="7.453125" style="42" customWidth="1"/>
    <col min="15628" max="15628" width="5.54296875" style="42" customWidth="1"/>
    <col min="15629" max="15634" width="8.81640625" style="42" customWidth="1"/>
    <col min="15635" max="15635" width="3.54296875" style="42" customWidth="1"/>
    <col min="15636" max="15636" width="48.26953125" style="42" customWidth="1"/>
    <col min="15637" max="15637" width="9.1796875" style="42" customWidth="1"/>
    <col min="15638" max="15872" width="9.1796875" style="42" hidden="1"/>
    <col min="15873" max="15873" width="3.54296875" style="42" customWidth="1"/>
    <col min="15874" max="15874" width="19.54296875" style="42" customWidth="1"/>
    <col min="15875" max="15875" width="37.54296875" style="42" customWidth="1"/>
    <col min="15876" max="15876" width="16" style="42" customWidth="1"/>
    <col min="15877" max="15877" width="8.81640625" style="42" customWidth="1"/>
    <col min="15878" max="15878" width="6.54296875" style="42" bestFit="1" customWidth="1"/>
    <col min="15879" max="15879" width="5.54296875" style="42" customWidth="1"/>
    <col min="15880" max="15880" width="3" style="42" customWidth="1"/>
    <col min="15881" max="15881" width="8.81640625" style="42" customWidth="1"/>
    <col min="15882" max="15882" width="10.453125" style="42" customWidth="1"/>
    <col min="15883" max="15883" width="7.453125" style="42" customWidth="1"/>
    <col min="15884" max="15884" width="5.54296875" style="42" customWidth="1"/>
    <col min="15885" max="15890" width="8.81640625" style="42" customWidth="1"/>
    <col min="15891" max="15891" width="3.54296875" style="42" customWidth="1"/>
    <col min="15892" max="15892" width="48.26953125" style="42" customWidth="1"/>
    <col min="15893" max="15893" width="9.1796875" style="42" customWidth="1"/>
    <col min="15894" max="16128" width="9.1796875" style="42" hidden="1"/>
    <col min="16129" max="16129" width="3.54296875" style="42" customWidth="1"/>
    <col min="16130" max="16130" width="19.54296875" style="42" customWidth="1"/>
    <col min="16131" max="16131" width="37.54296875" style="42" customWidth="1"/>
    <col min="16132" max="16132" width="16" style="42" customWidth="1"/>
    <col min="16133" max="16133" width="8.81640625" style="42" customWidth="1"/>
    <col min="16134" max="16134" width="6.54296875" style="42" bestFit="1" customWidth="1"/>
    <col min="16135" max="16135" width="5.54296875" style="42" customWidth="1"/>
    <col min="16136" max="16136" width="3" style="42" customWidth="1"/>
    <col min="16137" max="16137" width="8.81640625" style="42" customWidth="1"/>
    <col min="16138" max="16138" width="10.453125" style="42" customWidth="1"/>
    <col min="16139" max="16139" width="7.453125" style="42" customWidth="1"/>
    <col min="16140" max="16140" width="5.54296875" style="42" customWidth="1"/>
    <col min="16141" max="16146" width="8.81640625" style="42" customWidth="1"/>
    <col min="16147" max="16147" width="3.54296875" style="42" customWidth="1"/>
    <col min="16148" max="16148" width="48.26953125" style="42" customWidth="1"/>
    <col min="16149" max="16149" width="9.1796875" style="42" customWidth="1"/>
    <col min="16150" max="16384" width="9.1796875" style="42" hidden="1"/>
  </cols>
  <sheetData>
    <row r="1" spans="1:20" ht="60" customHeight="1">
      <c r="A1" s="1070"/>
      <c r="B1" s="1135" t="str">
        <f>'Customer Information'!A1</f>
        <v>2024 Multi-Family Program</v>
      </c>
      <c r="C1" s="1070"/>
      <c r="D1" s="1070"/>
      <c r="E1" s="1070"/>
      <c r="F1" s="1070"/>
      <c r="G1" s="1070"/>
      <c r="H1" s="1070"/>
      <c r="I1" s="1070"/>
      <c r="J1" s="1070"/>
      <c r="K1" s="1070"/>
      <c r="L1" s="1070"/>
      <c r="M1" s="1070"/>
      <c r="N1" s="1070"/>
      <c r="O1" s="1070"/>
      <c r="P1" s="1070"/>
      <c r="Q1" s="1070"/>
      <c r="R1" s="1070"/>
      <c r="S1" s="1070"/>
      <c r="T1" s="1070"/>
    </row>
    <row r="2" spans="1:20" ht="60" customHeight="1" thickBot="1">
      <c r="A2" s="1070"/>
      <c r="B2" s="1074" t="str">
        <f>"Common Area Lighting Inspection Form, Version "&amp;Development!A2</f>
        <v>Common Area Lighting Inspection Form, Version 2.0</v>
      </c>
      <c r="C2" s="1070"/>
      <c r="D2" s="1070"/>
      <c r="E2" s="1070"/>
      <c r="F2" s="1070"/>
      <c r="G2" s="1070"/>
      <c r="H2" s="1070"/>
      <c r="I2" s="1070"/>
      <c r="J2" s="1070"/>
      <c r="K2" s="1070"/>
      <c r="L2" s="1070"/>
      <c r="M2" s="1070"/>
      <c r="N2" s="1070"/>
      <c r="O2" s="1070"/>
      <c r="P2" s="1070"/>
      <c r="Q2" s="1070"/>
      <c r="R2" s="1070"/>
      <c r="S2" s="1070"/>
      <c r="T2" s="1070"/>
    </row>
    <row r="3" spans="1:20" ht="15" thickTop="1">
      <c r="A3" s="1073"/>
      <c r="B3" s="1073"/>
      <c r="C3" s="1073"/>
      <c r="D3" s="1073"/>
      <c r="E3" s="1073"/>
      <c r="F3" s="1073"/>
      <c r="G3" s="1073"/>
      <c r="H3" s="1073"/>
      <c r="I3" s="1073"/>
      <c r="J3" s="1073"/>
      <c r="K3" s="1073"/>
      <c r="L3" s="1073"/>
      <c r="M3" s="1073"/>
      <c r="N3" s="1073"/>
      <c r="O3" s="1073"/>
      <c r="P3" s="1073"/>
      <c r="Q3" s="1073"/>
      <c r="R3" s="1073"/>
      <c r="S3" s="1073"/>
      <c r="T3" s="1073"/>
    </row>
    <row r="4" spans="1:20" ht="16" thickBot="1">
      <c r="B4" s="1745" t="s">
        <v>5382</v>
      </c>
      <c r="C4" s="1746" t="str">
        <f>IF('Customer Information'!L43="","",'Customer Information'!L43)</f>
        <v/>
      </c>
      <c r="D4" s="1746"/>
      <c r="E4" s="1763"/>
      <c r="F4" s="1029"/>
      <c r="G4" s="1029"/>
      <c r="H4" s="1764"/>
      <c r="I4" s="1765"/>
      <c r="J4" s="1765"/>
      <c r="K4" s="1765"/>
      <c r="L4" s="1765"/>
      <c r="M4" s="1765"/>
      <c r="N4" s="1765"/>
      <c r="O4" s="1763"/>
      <c r="P4" s="1763"/>
      <c r="Q4" s="1763"/>
      <c r="R4" s="1763"/>
      <c r="S4" s="1763"/>
      <c r="T4" s="1763"/>
    </row>
    <row r="5" spans="1:20" ht="16" thickBot="1">
      <c r="B5" s="157"/>
      <c r="C5" s="348"/>
      <c r="D5" s="348"/>
      <c r="E5" s="1581"/>
      <c r="F5" s="348"/>
      <c r="G5" s="1581"/>
      <c r="H5" s="2837" t="s">
        <v>5337</v>
      </c>
      <c r="I5" s="2838"/>
      <c r="J5" s="2838"/>
      <c r="K5" s="2838"/>
      <c r="L5" s="2838"/>
      <c r="M5" s="2838"/>
      <c r="N5" s="2838"/>
      <c r="O5" s="2838"/>
      <c r="P5" s="2838"/>
      <c r="Q5" s="2838"/>
      <c r="R5" s="2838"/>
      <c r="S5" s="2838"/>
      <c r="T5" s="2839"/>
    </row>
    <row r="6" spans="1:20" ht="20.149999999999999" customHeight="1">
      <c r="B6" s="896" t="s">
        <v>5383</v>
      </c>
      <c r="C6" s="1766" t="str">
        <f>IF('Customer Information'!C6="","",'Customer Information'!C6)</f>
        <v/>
      </c>
      <c r="D6" s="1766"/>
      <c r="E6" s="1767"/>
      <c r="F6" s="1029"/>
      <c r="G6" s="1768"/>
      <c r="H6" s="1747"/>
      <c r="I6" s="1748"/>
      <c r="J6" s="1748"/>
      <c r="K6" s="1748"/>
      <c r="L6" s="1748"/>
      <c r="M6" s="1748"/>
      <c r="N6" s="1748"/>
      <c r="O6" s="1748"/>
      <c r="P6" s="1748"/>
      <c r="Q6" s="1748"/>
      <c r="R6" s="1748"/>
      <c r="S6" s="1749"/>
      <c r="T6" s="1750"/>
    </row>
    <row r="7" spans="1:20" ht="20.149999999999999" customHeight="1">
      <c r="B7" s="896" t="s">
        <v>5385</v>
      </c>
      <c r="C7" s="1767" t="str">
        <f>IF('Customer Information'!C7="","",'Customer Information'!C7)</f>
        <v/>
      </c>
      <c r="D7" s="1767"/>
      <c r="E7" s="1767"/>
      <c r="F7" s="1029"/>
      <c r="G7" s="1768"/>
      <c r="H7" s="1751"/>
      <c r="I7" s="157"/>
      <c r="J7" s="263" t="s">
        <v>5386</v>
      </c>
      <c r="K7" s="2152"/>
      <c r="L7" s="2152"/>
      <c r="M7" s="2152"/>
      <c r="N7" s="348"/>
      <c r="O7" s="263" t="s">
        <v>5387</v>
      </c>
      <c r="P7" s="2152"/>
      <c r="Q7" s="2152"/>
      <c r="R7" s="2152"/>
      <c r="T7" s="377"/>
    </row>
    <row r="8" spans="1:20" ht="20.149999999999999" customHeight="1">
      <c r="B8" s="896" t="s">
        <v>5414</v>
      </c>
      <c r="C8" s="1769" t="str">
        <f>IF('Customer Information'!I7="","",'Customer Information'!I7)</f>
        <v/>
      </c>
      <c r="D8" s="1769"/>
      <c r="E8" s="1767"/>
      <c r="F8" s="1029"/>
      <c r="G8" s="1768"/>
      <c r="H8" s="1751"/>
      <c r="I8" s="157"/>
      <c r="J8" s="157"/>
      <c r="K8" s="157"/>
      <c r="L8" s="157"/>
      <c r="M8" s="157"/>
      <c r="N8" s="157"/>
      <c r="O8" s="157"/>
      <c r="R8" s="157"/>
      <c r="T8" s="377"/>
    </row>
    <row r="9" spans="1:20" ht="20.149999999999999" customHeight="1">
      <c r="B9" s="896" t="s">
        <v>5388</v>
      </c>
      <c r="C9" s="1769" t="str">
        <f>IF('Customer Information'!C10="","",'Customer Information'!C10)</f>
        <v/>
      </c>
      <c r="D9" s="1769"/>
      <c r="E9" s="1767"/>
      <c r="F9" s="1029"/>
      <c r="G9" s="1768"/>
      <c r="H9" s="1751"/>
      <c r="I9" s="157"/>
      <c r="J9" s="263" t="s">
        <v>5390</v>
      </c>
      <c r="K9" s="2152"/>
      <c r="L9" s="2152"/>
      <c r="M9" s="2152"/>
      <c r="N9" s="348"/>
      <c r="O9" s="263" t="s">
        <v>9</v>
      </c>
      <c r="P9" s="2840"/>
      <c r="Q9" s="2840"/>
      <c r="R9" s="2840"/>
      <c r="T9" s="377"/>
    </row>
    <row r="10" spans="1:20" ht="20.149999999999999" customHeight="1">
      <c r="B10" s="896" t="s">
        <v>5389</v>
      </c>
      <c r="C10" s="1770" t="str">
        <f>IF('Customer Information'!K9="","",'Customer Information'!K9)</f>
        <v/>
      </c>
      <c r="D10" s="1769"/>
      <c r="E10" s="1767"/>
      <c r="F10" s="1029"/>
      <c r="G10" s="1768"/>
      <c r="H10" s="1654"/>
      <c r="I10" s="157"/>
      <c r="J10" s="157"/>
      <c r="K10" s="157"/>
      <c r="L10" s="157"/>
      <c r="M10" s="157"/>
      <c r="N10" s="157"/>
      <c r="O10" s="157"/>
      <c r="R10" s="157"/>
      <c r="T10" s="377"/>
    </row>
    <row r="11" spans="1:20" ht="20.149999999999999" customHeight="1">
      <c r="B11" s="896" t="s">
        <v>3283</v>
      </c>
      <c r="C11" s="1771" t="str">
        <f>IF('Customer Information'!K13="","",'Customer Information'!K13)</f>
        <v/>
      </c>
      <c r="D11" s="1771"/>
      <c r="E11" s="1763"/>
      <c r="F11" s="1029"/>
      <c r="G11" s="1029"/>
      <c r="H11" s="1654"/>
      <c r="I11" s="157"/>
      <c r="J11" s="263" t="s">
        <v>10</v>
      </c>
      <c r="K11" s="2152"/>
      <c r="L11" s="2152"/>
      <c r="M11" s="2152"/>
      <c r="N11" s="348"/>
      <c r="O11" s="263" t="s">
        <v>140</v>
      </c>
      <c r="P11" s="2152"/>
      <c r="Q11" s="2152"/>
      <c r="R11" s="2152"/>
      <c r="T11" s="377"/>
    </row>
    <row r="12" spans="1:20" ht="20.149999999999999" customHeight="1">
      <c r="E12" s="1772"/>
      <c r="F12" s="1773"/>
      <c r="G12" s="1774"/>
      <c r="H12" s="1654"/>
      <c r="I12" s="157"/>
      <c r="J12" s="157"/>
      <c r="K12" s="157"/>
      <c r="L12" s="157"/>
      <c r="M12" s="157"/>
      <c r="N12" s="157"/>
      <c r="O12" s="157"/>
      <c r="P12" s="157"/>
      <c r="Q12" s="1752"/>
      <c r="R12" s="1753"/>
      <c r="T12" s="377"/>
    </row>
    <row r="13" spans="1:20" ht="20.149999999999999" customHeight="1">
      <c r="E13" s="1772"/>
      <c r="F13" s="1773"/>
      <c r="G13" s="1774"/>
      <c r="H13" s="1654" t="s">
        <v>5406</v>
      </c>
      <c r="I13" s="263"/>
      <c r="J13" s="157"/>
      <c r="K13" s="157"/>
      <c r="L13" s="157"/>
      <c r="M13" s="157"/>
      <c r="N13" s="263"/>
      <c r="O13" s="157"/>
      <c r="P13" s="157"/>
      <c r="Q13" s="1752"/>
      <c r="R13" s="1753"/>
      <c r="T13" s="377"/>
    </row>
    <row r="14" spans="1:20" ht="20.149999999999999" customHeight="1">
      <c r="B14"/>
      <c r="C14"/>
      <c r="D14"/>
      <c r="E14" t="s">
        <v>1277</v>
      </c>
      <c r="F14"/>
      <c r="G14"/>
      <c r="H14" s="1654"/>
      <c r="I14" s="263"/>
      <c r="J14" s="348"/>
      <c r="K14" s="348"/>
      <c r="L14" s="157"/>
      <c r="M14" s="157"/>
      <c r="N14" s="263" t="s">
        <v>651</v>
      </c>
      <c r="O14" s="1754"/>
      <c r="P14" s="157"/>
      <c r="Q14" s="1752"/>
      <c r="R14" s="1753"/>
      <c r="T14" s="377"/>
    </row>
    <row r="15" spans="1:20" ht="20.149999999999999" customHeight="1">
      <c r="B15"/>
      <c r="C15"/>
      <c r="D15"/>
      <c r="E15"/>
      <c r="F15"/>
      <c r="G15"/>
      <c r="H15" s="1654" t="s">
        <v>5338</v>
      </c>
      <c r="I15" s="157"/>
      <c r="J15" s="157"/>
      <c r="K15" s="157"/>
      <c r="L15" s="157"/>
      <c r="M15" s="157"/>
      <c r="N15" s="157"/>
      <c r="O15" s="157"/>
      <c r="P15" s="157"/>
      <c r="Q15" s="1752"/>
      <c r="R15" s="1753"/>
      <c r="T15" s="377"/>
    </row>
    <row r="16" spans="1:20" ht="20.149999999999999" customHeight="1">
      <c r="B16"/>
      <c r="C16"/>
      <c r="D16"/>
      <c r="E16"/>
      <c r="F16"/>
      <c r="G16"/>
      <c r="H16" s="1654"/>
      <c r="I16" s="157"/>
      <c r="J16" s="157"/>
      <c r="K16" s="157"/>
      <c r="L16" s="157"/>
      <c r="M16" s="157"/>
      <c r="N16" s="157"/>
      <c r="O16" s="157"/>
      <c r="P16" s="157"/>
      <c r="Q16" s="1752"/>
      <c r="R16" s="1753"/>
      <c r="T16" s="377"/>
    </row>
    <row r="17" spans="2:20" ht="20.149999999999999" customHeight="1">
      <c r="B17"/>
      <c r="C17"/>
      <c r="D17"/>
      <c r="E17"/>
      <c r="F17"/>
      <c r="G17"/>
      <c r="H17" s="1654"/>
      <c r="I17" s="157"/>
      <c r="J17" s="157"/>
      <c r="K17" s="157"/>
      <c r="L17" s="157"/>
      <c r="M17" s="157"/>
      <c r="N17" s="157"/>
      <c r="O17" s="157"/>
      <c r="P17" s="157"/>
      <c r="Q17" s="1752"/>
      <c r="R17" s="1753"/>
      <c r="T17" s="377"/>
    </row>
    <row r="18" spans="2:20" ht="20.149999999999999" customHeight="1">
      <c r="B18"/>
      <c r="C18"/>
      <c r="D18"/>
      <c r="E18"/>
      <c r="F18"/>
      <c r="G18"/>
      <c r="H18" s="1654" t="s">
        <v>5407</v>
      </c>
      <c r="I18" s="157"/>
      <c r="J18" s="157"/>
      <c r="K18" s="157"/>
      <c r="L18" s="157"/>
      <c r="M18" s="157"/>
      <c r="N18" s="157"/>
      <c r="O18" s="157"/>
      <c r="P18" s="157"/>
      <c r="Q18" s="1752"/>
      <c r="R18" s="1753"/>
      <c r="T18" s="377"/>
    </row>
    <row r="19" spans="2:20" ht="20.149999999999999" customHeight="1">
      <c r="B19"/>
      <c r="C19"/>
      <c r="D19"/>
      <c r="E19"/>
      <c r="F19"/>
      <c r="G19"/>
      <c r="H19" s="1654"/>
      <c r="I19" s="157"/>
      <c r="J19" s="157"/>
      <c r="K19" s="157"/>
      <c r="L19" s="157"/>
      <c r="M19" s="157"/>
      <c r="N19" s="157"/>
      <c r="O19" s="157"/>
      <c r="P19" s="157"/>
      <c r="Q19" s="1752"/>
      <c r="R19" s="1753"/>
      <c r="T19" s="377"/>
    </row>
    <row r="20" spans="2:20" ht="20.149999999999999" customHeight="1">
      <c r="B20"/>
      <c r="C20"/>
      <c r="D20"/>
      <c r="E20"/>
      <c r="F20"/>
      <c r="G20"/>
      <c r="H20" s="1654"/>
      <c r="I20" s="157"/>
      <c r="J20" s="157"/>
      <c r="K20" s="157"/>
      <c r="L20" s="157"/>
      <c r="M20" s="157"/>
      <c r="N20" s="157"/>
      <c r="O20" s="157"/>
      <c r="P20" s="157"/>
      <c r="Q20" s="1752"/>
      <c r="R20" s="1753"/>
      <c r="T20" s="377"/>
    </row>
    <row r="21" spans="2:20" ht="20.149999999999999" customHeight="1">
      <c r="B21"/>
      <c r="C21"/>
      <c r="D21"/>
      <c r="E21"/>
      <c r="F21"/>
      <c r="G21"/>
      <c r="H21" s="1654" t="s">
        <v>5340</v>
      </c>
      <c r="I21" s="157"/>
      <c r="J21" s="157"/>
      <c r="K21" s="157"/>
      <c r="L21" s="157"/>
      <c r="M21" s="157"/>
      <c r="N21" s="157"/>
      <c r="O21" s="157"/>
      <c r="P21" s="157"/>
      <c r="Q21" s="1752"/>
      <c r="R21" s="1753"/>
      <c r="T21" s="377"/>
    </row>
    <row r="22" spans="2:20" ht="20.149999999999999" customHeight="1">
      <c r="B22"/>
      <c r="C22"/>
      <c r="D22"/>
      <c r="E22"/>
      <c r="F22"/>
      <c r="G22"/>
      <c r="H22" s="1654"/>
      <c r="I22" s="157"/>
      <c r="J22" s="157"/>
      <c r="K22" s="157"/>
      <c r="L22" s="157"/>
      <c r="M22" s="157"/>
      <c r="N22" s="157"/>
      <c r="O22" s="157"/>
      <c r="P22" s="157"/>
      <c r="Q22" s="1752"/>
      <c r="R22" s="1753"/>
      <c r="T22" s="377"/>
    </row>
    <row r="23" spans="2:20" ht="20.149999999999999" customHeight="1">
      <c r="B23"/>
      <c r="C23"/>
      <c r="D23"/>
      <c r="E23"/>
      <c r="F23"/>
      <c r="G23"/>
      <c r="H23" s="1755"/>
      <c r="I23" s="157"/>
      <c r="J23" s="157"/>
      <c r="K23" s="157"/>
      <c r="L23" s="157"/>
      <c r="M23" s="157"/>
      <c r="N23" s="157"/>
      <c r="O23" s="157"/>
      <c r="P23" s="157"/>
      <c r="Q23" s="1752"/>
      <c r="R23" s="1753"/>
      <c r="T23" s="377"/>
    </row>
    <row r="24" spans="2:20" ht="20.149999999999999" customHeight="1" thickBot="1">
      <c r="B24"/>
      <c r="C24"/>
      <c r="D24"/>
      <c r="E24"/>
      <c r="F24"/>
      <c r="G24"/>
      <c r="H24" s="1656" t="s">
        <v>5341</v>
      </c>
      <c r="I24" s="1756"/>
      <c r="J24" s="1756"/>
      <c r="K24" s="1756"/>
      <c r="L24" s="1756"/>
      <c r="M24" s="1756"/>
      <c r="N24" s="1756"/>
      <c r="O24" s="1756"/>
      <c r="P24" s="1756"/>
      <c r="Q24" s="1757"/>
      <c r="R24" s="1758"/>
      <c r="S24" s="1759"/>
      <c r="T24" s="1760"/>
    </row>
    <row r="25" spans="2:20" ht="20.149999999999999" customHeight="1">
      <c r="B25"/>
      <c r="C25"/>
      <c r="D25"/>
      <c r="E25"/>
      <c r="F25"/>
      <c r="G25"/>
      <c r="H25" s="157"/>
      <c r="I25" s="157"/>
      <c r="J25" s="157"/>
      <c r="K25" s="157"/>
      <c r="L25" s="157"/>
      <c r="M25" s="157"/>
      <c r="N25" s="157"/>
      <c r="O25" s="157"/>
      <c r="P25" s="157"/>
      <c r="Q25" s="1752"/>
      <c r="R25" s="1753"/>
    </row>
    <row r="26" spans="2:20" ht="20.149999999999999" customHeight="1">
      <c r="B26"/>
      <c r="C26"/>
      <c r="D26"/>
      <c r="E26"/>
      <c r="F26"/>
      <c r="G26"/>
      <c r="H26"/>
      <c r="I26"/>
      <c r="J26"/>
      <c r="K26" s="157"/>
      <c r="L26" s="157"/>
      <c r="M26" s="157"/>
      <c r="N26" s="157"/>
      <c r="O26" s="157"/>
      <c r="P26" s="157"/>
      <c r="Q26" s="1752"/>
      <c r="R26" s="1753"/>
    </row>
    <row r="27" spans="2:20" ht="20.149999999999999" customHeight="1">
      <c r="B27"/>
      <c r="C27"/>
      <c r="D27"/>
      <c r="E27"/>
      <c r="F27"/>
      <c r="G27"/>
      <c r="H27"/>
      <c r="I27"/>
      <c r="J27"/>
      <c r="K27" s="157"/>
      <c r="L27" s="157"/>
      <c r="M27" s="157"/>
      <c r="N27" s="157"/>
      <c r="O27" s="157"/>
      <c r="P27" s="157"/>
      <c r="Q27" s="1752"/>
      <c r="R27" s="1753"/>
    </row>
    <row r="28" spans="2:20" ht="20.149999999999999" hidden="1" customHeight="1">
      <c r="B28"/>
      <c r="C28"/>
      <c r="D28"/>
      <c r="E28"/>
      <c r="F28"/>
      <c r="G28"/>
      <c r="H28"/>
      <c r="I28"/>
      <c r="J28"/>
      <c r="K28" s="157"/>
      <c r="L28" s="157"/>
      <c r="M28" s="157"/>
      <c r="N28" s="157"/>
      <c r="O28" s="157"/>
      <c r="P28" s="157"/>
      <c r="Q28" s="1752"/>
      <c r="R28" s="1753"/>
    </row>
    <row r="29" spans="2:20" ht="20.149999999999999" hidden="1" customHeight="1">
      <c r="B29"/>
      <c r="C29"/>
      <c r="D29"/>
      <c r="E29"/>
      <c r="F29"/>
      <c r="G29"/>
      <c r="H29"/>
      <c r="I29"/>
      <c r="J29"/>
      <c r="K29" s="157"/>
      <c r="L29" s="157"/>
      <c r="M29" s="157"/>
      <c r="N29" s="157"/>
      <c r="O29" s="157"/>
      <c r="P29" s="157"/>
      <c r="Q29" s="1752"/>
      <c r="R29" s="1753"/>
    </row>
    <row r="30" spans="2:20" ht="20.149999999999999" hidden="1" customHeight="1">
      <c r="B30"/>
      <c r="C30"/>
      <c r="D30"/>
      <c r="E30"/>
      <c r="F30"/>
      <c r="G30"/>
      <c r="H30"/>
      <c r="I30"/>
      <c r="J30"/>
      <c r="K30" s="157"/>
      <c r="L30" s="157"/>
      <c r="M30" s="157"/>
      <c r="N30" s="157"/>
      <c r="O30" s="157"/>
      <c r="P30" s="157"/>
      <c r="Q30" s="1752"/>
      <c r="R30" s="1753"/>
    </row>
    <row r="31" spans="2:20" ht="20.149999999999999" hidden="1" customHeight="1">
      <c r="B31"/>
      <c r="C31"/>
      <c r="D31"/>
      <c r="E31"/>
      <c r="F31"/>
      <c r="G31"/>
      <c r="H31"/>
      <c r="I31"/>
      <c r="J31"/>
      <c r="K31" s="157"/>
      <c r="L31" s="157"/>
      <c r="M31" s="157"/>
      <c r="N31" s="157"/>
      <c r="O31" s="157"/>
      <c r="P31" s="157"/>
      <c r="Q31" s="1752"/>
      <c r="R31" s="1753"/>
    </row>
    <row r="32" spans="2:20" ht="20.149999999999999" hidden="1" customHeight="1">
      <c r="B32"/>
      <c r="C32"/>
      <c r="D32"/>
      <c r="E32"/>
      <c r="F32"/>
      <c r="G32"/>
      <c r="H32"/>
      <c r="I32"/>
      <c r="J32"/>
      <c r="K32" s="157"/>
      <c r="L32" s="157"/>
      <c r="M32" s="157"/>
      <c r="N32" s="157"/>
      <c r="O32" s="157"/>
      <c r="P32" s="157"/>
      <c r="Q32" s="1752"/>
      <c r="R32" s="1753"/>
    </row>
    <row r="33" spans="2:19" ht="20.149999999999999" hidden="1" customHeight="1">
      <c r="B33"/>
      <c r="C33"/>
      <c r="D33"/>
      <c r="E33"/>
      <c r="F33"/>
      <c r="G33"/>
      <c r="H33"/>
      <c r="I33"/>
      <c r="J33"/>
      <c r="K33" s="157"/>
      <c r="L33" s="157"/>
      <c r="M33" s="157"/>
      <c r="N33" s="157"/>
      <c r="O33" s="157"/>
      <c r="P33" s="157"/>
      <c r="Q33" s="1752"/>
      <c r="R33" s="1753"/>
    </row>
    <row r="34" spans="2:19" ht="20.149999999999999" hidden="1" customHeight="1">
      <c r="B34"/>
      <c r="C34"/>
      <c r="D34"/>
      <c r="E34"/>
      <c r="F34"/>
      <c r="G34"/>
      <c r="H34"/>
      <c r="I34"/>
      <c r="J34"/>
      <c r="K34" s="157"/>
      <c r="L34" s="157"/>
      <c r="M34" s="157"/>
      <c r="N34" s="157"/>
      <c r="O34" s="157"/>
      <c r="P34" s="157"/>
      <c r="Q34" s="1752"/>
      <c r="R34" s="1753"/>
    </row>
    <row r="35" spans="2:19" hidden="1"/>
    <row r="36" spans="2:19" ht="35.5" customHeight="1"/>
    <row r="37" spans="2:19" ht="26">
      <c r="B37" s="820" t="s">
        <v>5411</v>
      </c>
      <c r="C37" s="820" t="s">
        <v>5409</v>
      </c>
      <c r="D37" s="820" t="s">
        <v>5398</v>
      </c>
      <c r="E37" s="820" t="s">
        <v>3798</v>
      </c>
      <c r="F37" s="1775" t="s">
        <v>5400</v>
      </c>
      <c r="H37" s="2831" t="s">
        <v>5412</v>
      </c>
      <c r="I37" s="2832"/>
      <c r="J37" s="2833"/>
      <c r="K37" s="1775" t="s">
        <v>5400</v>
      </c>
      <c r="L37" s="1776"/>
      <c r="M37" s="2834" t="s">
        <v>5402</v>
      </c>
      <c r="N37" s="2835"/>
      <c r="O37" s="2835"/>
      <c r="P37" s="2835"/>
      <c r="Q37" s="2835"/>
      <c r="R37" s="2835"/>
      <c r="S37" s="2836"/>
    </row>
    <row r="38" spans="2:19" ht="15" customHeight="1">
      <c r="B38" s="202"/>
      <c r="C38" s="846" t="str">
        <f>IF('Worksheet Common Lighting'!S20="","",'Common Lighting References'!$U$89)</f>
        <v/>
      </c>
      <c r="D38" s="846" t="str">
        <f>IF('Worksheet Common Lighting'!S20="","",'Worksheet Common Lighting'!G20)</f>
        <v/>
      </c>
      <c r="E38" s="846" t="str">
        <f>IF('Worksheet Common Lighting'!S20="","",'Worksheet Common Lighting'!I20)</f>
        <v/>
      </c>
      <c r="F38" s="202"/>
      <c r="H38" s="2335" t="str">
        <f>IF('Worksheet Common Lighting'!S20="","",'Worksheet Common Lighting'!E20)</f>
        <v/>
      </c>
      <c r="I38" s="2827"/>
      <c r="J38" s="2336"/>
      <c r="K38" s="202"/>
      <c r="M38" s="2828"/>
      <c r="N38" s="2829"/>
      <c r="O38" s="2829"/>
      <c r="P38" s="2829"/>
      <c r="Q38" s="2829"/>
      <c r="R38" s="2829"/>
      <c r="S38" s="2830"/>
    </row>
    <row r="39" spans="2:19" ht="15" hidden="1" customHeight="1">
      <c r="B39" s="202"/>
      <c r="C39" s="846" t="str">
        <f>IF('Worksheet Common Lighting'!S21="","",'Common Lighting References'!$U$89)</f>
        <v/>
      </c>
      <c r="D39" s="846" t="str">
        <f>IF('Worksheet Common Lighting'!S21="","",'Worksheet Common Lighting'!G21)</f>
        <v/>
      </c>
      <c r="E39" s="846" t="str">
        <f>IF('Worksheet Common Lighting'!S21="","",'Worksheet Common Lighting'!I21)</f>
        <v/>
      </c>
      <c r="F39" s="202"/>
      <c r="H39" s="2335" t="str">
        <f>IF('Worksheet Common Lighting'!S21="","",'Worksheet Common Lighting'!E21)</f>
        <v/>
      </c>
      <c r="I39" s="2827"/>
      <c r="J39" s="2336"/>
      <c r="K39" s="202"/>
      <c r="M39" s="2828"/>
      <c r="N39" s="2829"/>
      <c r="O39" s="2829"/>
      <c r="P39" s="2829"/>
      <c r="Q39" s="2829"/>
      <c r="R39" s="2829"/>
      <c r="S39" s="2830"/>
    </row>
    <row r="40" spans="2:19" ht="15" hidden="1" customHeight="1">
      <c r="B40" s="202"/>
      <c r="C40" s="846" t="str">
        <f>IF('Worksheet Common Lighting'!S22="","",'Common Lighting References'!$U$89)</f>
        <v/>
      </c>
      <c r="D40" s="846" t="str">
        <f>IF('Worksheet Common Lighting'!S22="","",'Worksheet Common Lighting'!G22)</f>
        <v/>
      </c>
      <c r="E40" s="846" t="str">
        <f>IF('Worksheet Common Lighting'!S22="","",'Worksheet Common Lighting'!I22)</f>
        <v/>
      </c>
      <c r="F40" s="202"/>
      <c r="H40" s="2335" t="str">
        <f>IF('Worksheet Common Lighting'!S22="","",'Worksheet Common Lighting'!E22)</f>
        <v/>
      </c>
      <c r="I40" s="2827"/>
      <c r="J40" s="2336"/>
      <c r="K40" s="202"/>
      <c r="M40" s="2828"/>
      <c r="N40" s="2829"/>
      <c r="O40" s="2829"/>
      <c r="P40" s="2829"/>
      <c r="Q40" s="2829"/>
      <c r="R40" s="2829"/>
      <c r="S40" s="2830"/>
    </row>
    <row r="41" spans="2:19" ht="15" hidden="1" customHeight="1">
      <c r="B41" s="202"/>
      <c r="C41" s="846" t="str">
        <f>IF('Worksheet Common Lighting'!S23="","",'Common Lighting References'!$U$89)</f>
        <v/>
      </c>
      <c r="D41" s="846" t="str">
        <f>IF('Worksheet Common Lighting'!S23="","",'Worksheet Common Lighting'!G23)</f>
        <v/>
      </c>
      <c r="E41" s="846" t="str">
        <f>IF('Worksheet Common Lighting'!S23="","",'Worksheet Common Lighting'!I23)</f>
        <v/>
      </c>
      <c r="F41" s="202"/>
      <c r="H41" s="2335" t="str">
        <f>IF('Worksheet Common Lighting'!S23="","",'Worksheet Common Lighting'!E23)</f>
        <v/>
      </c>
      <c r="I41" s="2827"/>
      <c r="J41" s="2336"/>
      <c r="K41" s="202"/>
      <c r="M41" s="2828"/>
      <c r="N41" s="2829"/>
      <c r="O41" s="2829"/>
      <c r="P41" s="2829"/>
      <c r="Q41" s="2829"/>
      <c r="R41" s="2829"/>
      <c r="S41" s="2830"/>
    </row>
    <row r="42" spans="2:19" ht="14.5" hidden="1" customHeight="1">
      <c r="B42" s="202"/>
      <c r="C42" s="846" t="str">
        <f>IF('Worksheet Common Lighting'!S28="","",'Common Lighting References'!$U$91)</f>
        <v/>
      </c>
      <c r="D42" s="846" t="str">
        <f>IF('Worksheet Common Lighting'!S28="","",'Worksheet Common Lighting'!G28)</f>
        <v/>
      </c>
      <c r="E42" s="846" t="str">
        <f>IF('Worksheet Common Lighting'!S28="","",'Worksheet Common Lighting'!I28)</f>
        <v/>
      </c>
      <c r="F42" s="202"/>
      <c r="H42" s="2335" t="str">
        <f>IF('Worksheet Common Lighting'!S28="","",'Worksheet Common Lighting'!E28)</f>
        <v/>
      </c>
      <c r="I42" s="2827"/>
      <c r="J42" s="2336"/>
      <c r="K42" s="202"/>
      <c r="M42" s="2828"/>
      <c r="N42" s="2829"/>
      <c r="O42" s="2829"/>
      <c r="P42" s="2829"/>
      <c r="Q42" s="2829"/>
      <c r="R42" s="2829"/>
      <c r="S42" s="2830"/>
    </row>
    <row r="43" spans="2:19" ht="14.5" hidden="1" customHeight="1">
      <c r="B43" s="202"/>
      <c r="C43" s="846" t="str">
        <f>IF('Worksheet Common Lighting'!S29="","",'Common Lighting References'!$U$91)</f>
        <v/>
      </c>
      <c r="D43" s="846" t="str">
        <f>IF('Worksheet Common Lighting'!S29="","",'Worksheet Common Lighting'!G29)</f>
        <v/>
      </c>
      <c r="E43" s="846" t="str">
        <f>IF('Worksheet Common Lighting'!S29="","",'Worksheet Common Lighting'!I29)</f>
        <v/>
      </c>
      <c r="F43" s="202"/>
      <c r="H43" s="2335" t="str">
        <f>IF('Worksheet Common Lighting'!S29="","",'Worksheet Common Lighting'!E29)</f>
        <v/>
      </c>
      <c r="I43" s="2827"/>
      <c r="J43" s="2336"/>
      <c r="K43" s="202"/>
      <c r="M43" s="2828"/>
      <c r="N43" s="2829"/>
      <c r="O43" s="2829"/>
      <c r="P43" s="2829"/>
      <c r="Q43" s="2829"/>
      <c r="R43" s="2829"/>
      <c r="S43" s="2830"/>
    </row>
    <row r="44" spans="2:19" ht="14.5" hidden="1" customHeight="1">
      <c r="B44" s="202"/>
      <c r="C44" s="846" t="str">
        <f>IF('Worksheet Common Lighting'!S30="","",'Common Lighting References'!$U$91)</f>
        <v/>
      </c>
      <c r="D44" s="846" t="str">
        <f>IF('Worksheet Common Lighting'!S30="","",'Worksheet Common Lighting'!G30)</f>
        <v/>
      </c>
      <c r="E44" s="846" t="str">
        <f>IF('Worksheet Common Lighting'!S30="","",'Worksheet Common Lighting'!I30)</f>
        <v/>
      </c>
      <c r="F44" s="202"/>
      <c r="H44" s="2335" t="str">
        <f>IF('Worksheet Common Lighting'!S30="","",'Worksheet Common Lighting'!E30)</f>
        <v/>
      </c>
      <c r="I44" s="2827"/>
      <c r="J44" s="2336"/>
      <c r="K44" s="202"/>
      <c r="M44" s="2828"/>
      <c r="N44" s="2829"/>
      <c r="O44" s="2829"/>
      <c r="P44" s="2829"/>
      <c r="Q44" s="2829"/>
      <c r="R44" s="2829"/>
      <c r="S44" s="2830"/>
    </row>
    <row r="45" spans="2:19" ht="14.5" hidden="1" customHeight="1">
      <c r="B45" s="202"/>
      <c r="C45" s="846" t="str">
        <f>IF('Worksheet Common Lighting'!S31="","",'Common Lighting References'!$U$91)</f>
        <v/>
      </c>
      <c r="D45" s="846" t="str">
        <f>IF('Worksheet Common Lighting'!S31="","",'Worksheet Common Lighting'!G31)</f>
        <v/>
      </c>
      <c r="E45" s="846" t="str">
        <f>IF('Worksheet Common Lighting'!S31="","",'Worksheet Common Lighting'!I31)</f>
        <v/>
      </c>
      <c r="F45" s="202"/>
      <c r="H45" s="2335" t="str">
        <f>IF('Worksheet Common Lighting'!S31="","",'Worksheet Common Lighting'!E31)</f>
        <v/>
      </c>
      <c r="I45" s="2827"/>
      <c r="J45" s="2336"/>
      <c r="K45" s="202"/>
      <c r="M45" s="2828"/>
      <c r="N45" s="2829"/>
      <c r="O45" s="2829"/>
      <c r="P45" s="2829"/>
      <c r="Q45" s="2829"/>
      <c r="R45" s="2829"/>
      <c r="S45" s="2830"/>
    </row>
    <row r="46" spans="2:19" hidden="1">
      <c r="B46" s="202"/>
      <c r="C46" s="846" t="str">
        <f>IF('Worksheet Common Lighting'!S37="","",'Common Lighting References'!$U$92)</f>
        <v/>
      </c>
      <c r="D46" s="846" t="str">
        <f>IF('Worksheet Common Lighting'!S37="","",'Worksheet Common Lighting'!G37)</f>
        <v/>
      </c>
      <c r="E46" s="846" t="str">
        <f>IF('Worksheet Common Lighting'!S37="","",'Worksheet Common Lighting'!I37)</f>
        <v/>
      </c>
      <c r="F46" s="202"/>
      <c r="H46" s="2335" t="str">
        <f>IF('Worksheet Common Lighting'!S37="","",'Worksheet Common Lighting'!E37)</f>
        <v/>
      </c>
      <c r="I46" s="2827"/>
      <c r="J46" s="2336"/>
      <c r="K46" s="202"/>
      <c r="M46" s="2828"/>
      <c r="N46" s="2829"/>
      <c r="O46" s="2829"/>
      <c r="P46" s="2829"/>
      <c r="Q46" s="2829"/>
      <c r="R46" s="2829"/>
      <c r="S46" s="2830"/>
    </row>
    <row r="47" spans="2:19" hidden="1">
      <c r="B47" s="202"/>
      <c r="C47" s="846" t="str">
        <f>IF('Worksheet Common Lighting'!S38="","",'Common Lighting References'!$U$92)</f>
        <v/>
      </c>
      <c r="D47" s="846" t="str">
        <f>IF('Worksheet Common Lighting'!S38="","",'Worksheet Common Lighting'!G38)</f>
        <v/>
      </c>
      <c r="E47" s="846" t="str">
        <f>IF('Worksheet Common Lighting'!S38="","",'Worksheet Common Lighting'!I38)</f>
        <v/>
      </c>
      <c r="F47" s="202"/>
      <c r="H47" s="2335" t="str">
        <f>IF('Worksheet Common Lighting'!S38="","",'Worksheet Common Lighting'!E38)</f>
        <v/>
      </c>
      <c r="I47" s="2827"/>
      <c r="J47" s="2336"/>
      <c r="K47" s="202"/>
      <c r="M47" s="2828"/>
      <c r="N47" s="2829"/>
      <c r="O47" s="2829"/>
      <c r="P47" s="2829"/>
      <c r="Q47" s="2829"/>
      <c r="R47" s="2829"/>
      <c r="S47" s="2830"/>
    </row>
    <row r="48" spans="2:19" hidden="1">
      <c r="B48" s="202"/>
      <c r="C48" s="846" t="str">
        <f>IF('Worksheet Common Lighting'!S39="","",'Common Lighting References'!$U$92)</f>
        <v/>
      </c>
      <c r="D48" s="846" t="str">
        <f>IF('Worksheet Common Lighting'!S39="","",'Worksheet Common Lighting'!G39)</f>
        <v/>
      </c>
      <c r="E48" s="846" t="str">
        <f>IF('Worksheet Common Lighting'!S39="","",'Worksheet Common Lighting'!I39)</f>
        <v/>
      </c>
      <c r="F48" s="202"/>
      <c r="H48" s="2335" t="str">
        <f>IF('Worksheet Common Lighting'!S39="","",'Worksheet Common Lighting'!E39)</f>
        <v/>
      </c>
      <c r="I48" s="2827"/>
      <c r="J48" s="2336"/>
      <c r="K48" s="202"/>
      <c r="M48" s="2828"/>
      <c r="N48" s="2829"/>
      <c r="O48" s="2829"/>
      <c r="P48" s="2829"/>
      <c r="Q48" s="2829"/>
      <c r="R48" s="2829"/>
      <c r="S48" s="2830"/>
    </row>
    <row r="49" spans="2:19" hidden="1">
      <c r="B49" s="202"/>
      <c r="C49" s="846" t="str">
        <f>IF('Worksheet Common Lighting'!S40="","",'Common Lighting References'!$U$92)</f>
        <v/>
      </c>
      <c r="D49" s="846" t="str">
        <f>IF('Worksheet Common Lighting'!S40="","",'Worksheet Common Lighting'!G40)</f>
        <v/>
      </c>
      <c r="E49" s="846" t="str">
        <f>IF('Worksheet Common Lighting'!S40="","",'Worksheet Common Lighting'!I40)</f>
        <v/>
      </c>
      <c r="F49" s="202"/>
      <c r="H49" s="2335" t="str">
        <f>IF('Worksheet Common Lighting'!S40="","",'Worksheet Common Lighting'!E40)</f>
        <v/>
      </c>
      <c r="I49" s="2827"/>
      <c r="J49" s="2336"/>
      <c r="K49" s="202"/>
      <c r="M49" s="2828"/>
      <c r="N49" s="2829"/>
      <c r="O49" s="2829"/>
      <c r="P49" s="2829"/>
      <c r="Q49" s="2829"/>
      <c r="R49" s="2829"/>
      <c r="S49" s="2830"/>
    </row>
    <row r="50" spans="2:19" ht="14.5" hidden="1" customHeight="1">
      <c r="B50" s="202"/>
      <c r="C50" s="846" t="str">
        <f>IF('Worksheet Common Lighting'!S45="","",'Common Lighting References'!$U$93)</f>
        <v/>
      </c>
      <c r="D50" s="846" t="str">
        <f>IF('Worksheet Common Lighting'!S45="","",'Worksheet Common Lighting'!G45)</f>
        <v/>
      </c>
      <c r="E50" s="846" t="str">
        <f>IF('Worksheet Common Lighting'!S45="","",'Worksheet Common Lighting'!I45)</f>
        <v/>
      </c>
      <c r="F50" s="202"/>
      <c r="H50" s="2335" t="str">
        <f>IF('Worksheet Common Lighting'!S45="","",'Worksheet Common Lighting'!E45)</f>
        <v/>
      </c>
      <c r="I50" s="2827"/>
      <c r="J50" s="2336"/>
      <c r="K50" s="202"/>
      <c r="M50" s="2828"/>
      <c r="N50" s="2829"/>
      <c r="O50" s="2829"/>
      <c r="P50" s="2829"/>
      <c r="Q50" s="2829"/>
      <c r="R50" s="2829"/>
      <c r="S50" s="2830"/>
    </row>
    <row r="51" spans="2:19" ht="14.5" hidden="1" customHeight="1">
      <c r="B51" s="202"/>
      <c r="C51" s="846" t="str">
        <f>IF('Worksheet Common Lighting'!S46="","",'Common Lighting References'!$U$93)</f>
        <v/>
      </c>
      <c r="D51" s="846" t="str">
        <f>IF('Worksheet Common Lighting'!S46="","",'Worksheet Common Lighting'!G46)</f>
        <v/>
      </c>
      <c r="E51" s="846" t="str">
        <f>IF('Worksheet Common Lighting'!S46="","",'Worksheet Common Lighting'!I46)</f>
        <v/>
      </c>
      <c r="F51" s="202"/>
      <c r="H51" s="2335" t="str">
        <f>IF('Worksheet Common Lighting'!S46="","",'Worksheet Common Lighting'!E46)</f>
        <v/>
      </c>
      <c r="I51" s="2827"/>
      <c r="J51" s="2336"/>
      <c r="K51" s="202"/>
      <c r="M51" s="2828"/>
      <c r="N51" s="2829"/>
      <c r="O51" s="2829"/>
      <c r="P51" s="2829"/>
      <c r="Q51" s="2829"/>
      <c r="R51" s="2829"/>
      <c r="S51" s="2830"/>
    </row>
    <row r="52" spans="2:19" ht="14.5" hidden="1" customHeight="1">
      <c r="B52" s="202"/>
      <c r="C52" s="846" t="str">
        <f>IF('Worksheet Common Lighting'!S47="","",'Common Lighting References'!$U$93)</f>
        <v/>
      </c>
      <c r="D52" s="846" t="str">
        <f>IF('Worksheet Common Lighting'!S47="","",'Worksheet Common Lighting'!G47)</f>
        <v/>
      </c>
      <c r="E52" s="846" t="str">
        <f>IF('Worksheet Common Lighting'!S47="","",'Worksheet Common Lighting'!I47)</f>
        <v/>
      </c>
      <c r="F52" s="202"/>
      <c r="H52" s="2335" t="str">
        <f>IF('Worksheet Common Lighting'!S47="","",'Worksheet Common Lighting'!E47)</f>
        <v/>
      </c>
      <c r="I52" s="2827"/>
      <c r="J52" s="2336"/>
      <c r="K52" s="202"/>
      <c r="M52" s="2828"/>
      <c r="N52" s="2829"/>
      <c r="O52" s="2829"/>
      <c r="P52" s="2829"/>
      <c r="Q52" s="2829"/>
      <c r="R52" s="2829"/>
      <c r="S52" s="2830"/>
    </row>
    <row r="53" spans="2:19" ht="14.5" hidden="1" customHeight="1">
      <c r="B53" s="202"/>
      <c r="C53" s="846" t="str">
        <f>IF('Worksheet Common Lighting'!S48="","",'Common Lighting References'!$U$93)</f>
        <v/>
      </c>
      <c r="D53" s="846" t="str">
        <f>IF('Worksheet Common Lighting'!S48="","",'Worksheet Common Lighting'!G48)</f>
        <v/>
      </c>
      <c r="E53" s="846" t="str">
        <f>IF('Worksheet Common Lighting'!S48="","",'Worksheet Common Lighting'!I48)</f>
        <v/>
      </c>
      <c r="F53" s="202"/>
      <c r="H53" s="2335" t="str">
        <f>IF('Worksheet Common Lighting'!S48="","",'Worksheet Common Lighting'!E48)</f>
        <v/>
      </c>
      <c r="I53" s="2827"/>
      <c r="J53" s="2336"/>
      <c r="K53" s="202"/>
      <c r="M53" s="2828"/>
      <c r="N53" s="2829"/>
      <c r="O53" s="2829"/>
      <c r="P53" s="2829"/>
      <c r="Q53" s="2829"/>
      <c r="R53" s="2829"/>
      <c r="S53" s="2830"/>
    </row>
    <row r="54" spans="2:19" hidden="1">
      <c r="B54" s="202"/>
      <c r="C54" s="846" t="str">
        <f>IF('Worksheet Common Lighting'!S53="","",'Common Lighting References'!$U$94)</f>
        <v/>
      </c>
      <c r="D54" s="846" t="str">
        <f>IF('Worksheet Common Lighting'!S53="","",'Worksheet Common Lighting'!G53)</f>
        <v/>
      </c>
      <c r="E54" s="846" t="str">
        <f>IF('Worksheet Common Lighting'!S53="","",'Worksheet Common Lighting'!I53)</f>
        <v/>
      </c>
      <c r="F54" s="202"/>
      <c r="H54" s="2335" t="str">
        <f>IF('Worksheet Common Lighting'!S53="","",'Worksheet Common Lighting'!E53)</f>
        <v/>
      </c>
      <c r="I54" s="2827"/>
      <c r="J54" s="2336"/>
      <c r="K54" s="202"/>
      <c r="M54" s="2828"/>
      <c r="N54" s="2829"/>
      <c r="O54" s="2829"/>
      <c r="P54" s="2829"/>
      <c r="Q54" s="2829"/>
      <c r="R54" s="2829"/>
      <c r="S54" s="2830"/>
    </row>
    <row r="55" spans="2:19" hidden="1">
      <c r="B55" s="202"/>
      <c r="C55" s="846" t="str">
        <f>IF('Worksheet Common Lighting'!S54="","",'Common Lighting References'!$U$94)</f>
        <v/>
      </c>
      <c r="D55" s="846" t="str">
        <f>IF('Worksheet Common Lighting'!S54="","",'Worksheet Common Lighting'!G54)</f>
        <v/>
      </c>
      <c r="E55" s="846" t="str">
        <f>IF('Worksheet Common Lighting'!S54="","",'Worksheet Common Lighting'!I54)</f>
        <v/>
      </c>
      <c r="F55" s="202"/>
      <c r="H55" s="2335" t="str">
        <f>IF('Worksheet Common Lighting'!S54="","",'Worksheet Common Lighting'!E54)</f>
        <v/>
      </c>
      <c r="I55" s="2827"/>
      <c r="J55" s="2336"/>
      <c r="K55" s="202"/>
      <c r="M55" s="2828"/>
      <c r="N55" s="2829"/>
      <c r="O55" s="2829"/>
      <c r="P55" s="2829"/>
      <c r="Q55" s="2829"/>
      <c r="R55" s="2829"/>
      <c r="S55" s="2830"/>
    </row>
    <row r="56" spans="2:19" hidden="1">
      <c r="B56" s="202"/>
      <c r="C56" s="846" t="str">
        <f>IF('Worksheet Common Lighting'!S55="","",'Common Lighting References'!$U$94)</f>
        <v/>
      </c>
      <c r="D56" s="846" t="str">
        <f>IF('Worksheet Common Lighting'!S55="","",'Worksheet Common Lighting'!G55)</f>
        <v/>
      </c>
      <c r="E56" s="846" t="str">
        <f>IF('Worksheet Common Lighting'!S55="","",'Worksheet Common Lighting'!I55)</f>
        <v/>
      </c>
      <c r="F56" s="202"/>
      <c r="H56" s="2335" t="str">
        <f>IF('Worksheet Common Lighting'!S55="","",'Worksheet Common Lighting'!E55)</f>
        <v/>
      </c>
      <c r="I56" s="2827"/>
      <c r="J56" s="2336"/>
      <c r="K56" s="202"/>
      <c r="M56" s="2828"/>
      <c r="N56" s="2829"/>
      <c r="O56" s="2829"/>
      <c r="P56" s="2829"/>
      <c r="Q56" s="2829"/>
      <c r="R56" s="2829"/>
      <c r="S56" s="2830"/>
    </row>
    <row r="57" spans="2:19" hidden="1">
      <c r="B57" s="202"/>
      <c r="C57" s="846" t="str">
        <f>IF('Worksheet Common Lighting'!S56="","",'Common Lighting References'!$U$94)</f>
        <v/>
      </c>
      <c r="D57" s="846" t="str">
        <f>IF('Worksheet Common Lighting'!S56="","",'Worksheet Common Lighting'!G56)</f>
        <v/>
      </c>
      <c r="E57" s="846" t="str">
        <f>IF('Worksheet Common Lighting'!S56="","",'Worksheet Common Lighting'!I56)</f>
        <v/>
      </c>
      <c r="F57" s="202"/>
      <c r="H57" s="2335" t="str">
        <f>IF('Worksheet Common Lighting'!S56="","",'Worksheet Common Lighting'!E56)</f>
        <v/>
      </c>
      <c r="I57" s="2827"/>
      <c r="J57" s="2336"/>
      <c r="K57" s="202"/>
      <c r="M57" s="2828"/>
      <c r="N57" s="2829"/>
      <c r="O57" s="2829"/>
      <c r="P57" s="2829"/>
      <c r="Q57" s="2829"/>
      <c r="R57" s="2829"/>
      <c r="S57" s="2830"/>
    </row>
    <row r="58" spans="2:19" ht="14.5" hidden="1" customHeight="1">
      <c r="B58" s="202"/>
      <c r="C58" s="846" t="str">
        <f>IF('Worksheet Common Lighting'!S61="","",'Common Lighting References'!$U$95)</f>
        <v>LED 1 x 4 Linear Panel</v>
      </c>
      <c r="D58" s="846">
        <f>IF('Worksheet Common Lighting'!S61="","",'Worksheet Common Lighting'!G61)</f>
        <v>30</v>
      </c>
      <c r="E58" s="846">
        <f>IF('Worksheet Common Lighting'!S61="","",'Worksheet Common Lighting'!I61)</f>
        <v>25</v>
      </c>
      <c r="F58" s="202"/>
      <c r="H58" s="2335" t="str">
        <f>IF('Worksheet Common Lighting'!S61="","",'Worksheet Common Lighting'!E61)</f>
        <v>New Install</v>
      </c>
      <c r="I58" s="2827"/>
      <c r="J58" s="2336"/>
      <c r="K58" s="202"/>
      <c r="M58" s="2828"/>
      <c r="N58" s="2829"/>
      <c r="O58" s="2829"/>
      <c r="P58" s="2829"/>
      <c r="Q58" s="2829"/>
      <c r="R58" s="2829"/>
      <c r="S58" s="2830"/>
    </row>
    <row r="59" spans="2:19" ht="14.5" hidden="1" customHeight="1">
      <c r="B59" s="202"/>
      <c r="C59" s="846" t="str">
        <f>IF('Worksheet Common Lighting'!S62="","",'Common Lighting References'!$U$95)</f>
        <v/>
      </c>
      <c r="D59" s="846" t="str">
        <f>IF('Worksheet Common Lighting'!S62="","",'Worksheet Common Lighting'!G62)</f>
        <v/>
      </c>
      <c r="E59" s="846" t="str">
        <f>IF('Worksheet Common Lighting'!S62="","",'Worksheet Common Lighting'!I62)</f>
        <v/>
      </c>
      <c r="F59" s="202"/>
      <c r="H59" s="2335" t="str">
        <f>IF('Worksheet Common Lighting'!S62="","",'Worksheet Common Lighting'!E62)</f>
        <v/>
      </c>
      <c r="I59" s="2827"/>
      <c r="J59" s="2336"/>
      <c r="K59" s="202"/>
      <c r="M59" s="2828"/>
      <c r="N59" s="2829"/>
      <c r="O59" s="2829"/>
      <c r="P59" s="2829"/>
      <c r="Q59" s="2829"/>
      <c r="R59" s="2829"/>
      <c r="S59" s="2830"/>
    </row>
    <row r="60" spans="2:19" ht="14.5" hidden="1" customHeight="1">
      <c r="B60" s="202"/>
      <c r="C60" s="846" t="str">
        <f>IF('Worksheet Common Lighting'!S63="","",'Common Lighting References'!$U$95)</f>
        <v/>
      </c>
      <c r="D60" s="846" t="str">
        <f>IF('Worksheet Common Lighting'!S63="","",'Worksheet Common Lighting'!G63)</f>
        <v/>
      </c>
      <c r="E60" s="846" t="str">
        <f>IF('Worksheet Common Lighting'!S63="","",'Worksheet Common Lighting'!I63)</f>
        <v/>
      </c>
      <c r="F60" s="202"/>
      <c r="H60" s="2335" t="str">
        <f>IF('Worksheet Common Lighting'!S63="","",'Worksheet Common Lighting'!E63)</f>
        <v/>
      </c>
      <c r="I60" s="2827"/>
      <c r="J60" s="2336"/>
      <c r="K60" s="202"/>
      <c r="M60" s="2828"/>
      <c r="N60" s="2829"/>
      <c r="O60" s="2829"/>
      <c r="P60" s="2829"/>
      <c r="Q60" s="2829"/>
      <c r="R60" s="2829"/>
      <c r="S60" s="2830"/>
    </row>
    <row r="61" spans="2:19" ht="14.5" hidden="1" customHeight="1">
      <c r="B61" s="202"/>
      <c r="C61" s="846" t="str">
        <f>IF('Worksheet Common Lighting'!S64="","",'Common Lighting References'!$U$95)</f>
        <v/>
      </c>
      <c r="D61" s="846" t="str">
        <f>IF('Worksheet Common Lighting'!S64="","",'Worksheet Common Lighting'!G64)</f>
        <v/>
      </c>
      <c r="E61" s="846" t="str">
        <f>IF('Worksheet Common Lighting'!S64="","",'Worksheet Common Lighting'!I64)</f>
        <v/>
      </c>
      <c r="F61" s="202"/>
      <c r="H61" s="2335" t="str">
        <f>IF('Worksheet Common Lighting'!S64="","",'Worksheet Common Lighting'!E64)</f>
        <v/>
      </c>
      <c r="I61" s="2827"/>
      <c r="J61" s="2336"/>
      <c r="K61" s="202"/>
      <c r="M61" s="2828"/>
      <c r="N61" s="2829"/>
      <c r="O61" s="2829"/>
      <c r="P61" s="2829"/>
      <c r="Q61" s="2829"/>
      <c r="R61" s="2829"/>
      <c r="S61" s="2830"/>
    </row>
    <row r="62" spans="2:19" hidden="1">
      <c r="B62" s="202"/>
      <c r="C62" s="846" t="str">
        <f>IF('Worksheet Common Lighting'!S69="","",'Common Lighting References'!$U$97)</f>
        <v/>
      </c>
      <c r="D62" s="846" t="str">
        <f>IF('Worksheet Common Lighting'!S69="","",'Worksheet Common Lighting'!G69)</f>
        <v/>
      </c>
      <c r="E62" s="846" t="str">
        <f>IF('Worksheet Common Lighting'!S69="","",'Worksheet Common Lighting'!I69)</f>
        <v/>
      </c>
      <c r="F62" s="202"/>
      <c r="H62" s="2335" t="str">
        <f>IF('Worksheet Common Lighting'!S69="","",'Worksheet Common Lighting'!E69)</f>
        <v/>
      </c>
      <c r="I62" s="2827"/>
      <c r="J62" s="2336"/>
      <c r="K62" s="202"/>
      <c r="M62" s="2828"/>
      <c r="N62" s="2829"/>
      <c r="O62" s="2829"/>
      <c r="P62" s="2829"/>
      <c r="Q62" s="2829"/>
      <c r="R62" s="2829"/>
      <c r="S62" s="2830"/>
    </row>
    <row r="63" spans="2:19" hidden="1">
      <c r="B63" s="202"/>
      <c r="C63" s="846" t="str">
        <f>IF('Worksheet Common Lighting'!S70="","",'Common Lighting References'!$U$97)</f>
        <v/>
      </c>
      <c r="D63" s="846" t="str">
        <f>IF('Worksheet Common Lighting'!S70="","",'Worksheet Common Lighting'!G70)</f>
        <v/>
      </c>
      <c r="E63" s="846" t="str">
        <f>IF('Worksheet Common Lighting'!S70="","",'Worksheet Common Lighting'!I70)</f>
        <v/>
      </c>
      <c r="F63" s="202"/>
      <c r="H63" s="2335" t="str">
        <f>IF('Worksheet Common Lighting'!S70="","",'Worksheet Common Lighting'!E70)</f>
        <v/>
      </c>
      <c r="I63" s="2827"/>
      <c r="J63" s="2336"/>
      <c r="K63" s="202"/>
      <c r="M63" s="2828"/>
      <c r="N63" s="2829"/>
      <c r="O63" s="2829"/>
      <c r="P63" s="2829"/>
      <c r="Q63" s="2829"/>
      <c r="R63" s="2829"/>
      <c r="S63" s="2830"/>
    </row>
    <row r="64" spans="2:19" hidden="1">
      <c r="B64" s="202"/>
      <c r="C64" s="846" t="str">
        <f>IF('Worksheet Common Lighting'!S71="","",'Common Lighting References'!$U$97)</f>
        <v/>
      </c>
      <c r="D64" s="846" t="str">
        <f>IF('Worksheet Common Lighting'!S71="","",'Worksheet Common Lighting'!G71)</f>
        <v/>
      </c>
      <c r="E64" s="846" t="str">
        <f>IF('Worksheet Common Lighting'!S71="","",'Worksheet Common Lighting'!I71)</f>
        <v/>
      </c>
      <c r="F64" s="202"/>
      <c r="H64" s="2335" t="str">
        <f>IF('Worksheet Common Lighting'!S71="","",'Worksheet Common Lighting'!E71)</f>
        <v/>
      </c>
      <c r="I64" s="2827"/>
      <c r="J64" s="2336"/>
      <c r="K64" s="202"/>
      <c r="M64" s="2828"/>
      <c r="N64" s="2829"/>
      <c r="O64" s="2829"/>
      <c r="P64" s="2829"/>
      <c r="Q64" s="2829"/>
      <c r="R64" s="2829"/>
      <c r="S64" s="2830"/>
    </row>
    <row r="65" spans="2:19" hidden="1">
      <c r="B65" s="202"/>
      <c r="C65" s="846" t="str">
        <f>IF('Worksheet Common Lighting'!S72="","",'Common Lighting References'!$U$97)</f>
        <v/>
      </c>
      <c r="D65" s="846" t="str">
        <f>IF('Worksheet Common Lighting'!S72="","",'Worksheet Common Lighting'!G72)</f>
        <v/>
      </c>
      <c r="E65" s="846" t="str">
        <f>IF('Worksheet Common Lighting'!S72="","",'Worksheet Common Lighting'!I72)</f>
        <v/>
      </c>
      <c r="F65" s="202"/>
      <c r="H65" s="2335" t="str">
        <f>IF('Worksheet Common Lighting'!S72="","",'Worksheet Common Lighting'!E72)</f>
        <v/>
      </c>
      <c r="I65" s="2827"/>
      <c r="J65" s="2336"/>
      <c r="K65" s="202"/>
      <c r="M65" s="2828"/>
      <c r="N65" s="2829"/>
      <c r="O65" s="2829"/>
      <c r="P65" s="2829"/>
      <c r="Q65" s="2829"/>
      <c r="R65" s="2829"/>
      <c r="S65" s="2830"/>
    </row>
    <row r="66" spans="2:19" ht="14.5" hidden="1" customHeight="1">
      <c r="B66" s="202"/>
      <c r="C66" s="846" t="str">
        <f>IF('Worksheet Common Lighting'!S77="","",'Common Lighting References'!$U$99)</f>
        <v/>
      </c>
      <c r="D66" s="846" t="str">
        <f>IF('Worksheet Common Lighting'!S77="","",'Worksheet Common Lighting'!G77)</f>
        <v/>
      </c>
      <c r="E66" s="846" t="str">
        <f>IF('Worksheet Common Lighting'!S77="","",'Worksheet Common Lighting'!I77)</f>
        <v/>
      </c>
      <c r="F66" s="202"/>
      <c r="H66" s="2335" t="str">
        <f>IF('Worksheet Common Lighting'!S77="","",'Worksheet Common Lighting'!E77)</f>
        <v/>
      </c>
      <c r="I66" s="2827"/>
      <c r="J66" s="2336"/>
      <c r="K66" s="202"/>
      <c r="M66" s="2828"/>
      <c r="N66" s="2829"/>
      <c r="O66" s="2829"/>
      <c r="P66" s="2829"/>
      <c r="Q66" s="2829"/>
      <c r="R66" s="2829"/>
      <c r="S66" s="2830"/>
    </row>
    <row r="67" spans="2:19" ht="14.5" hidden="1" customHeight="1">
      <c r="B67" s="202"/>
      <c r="C67" s="846" t="str">
        <f>IF('Worksheet Common Lighting'!S78="","",'Common Lighting References'!$U$99)</f>
        <v/>
      </c>
      <c r="D67" s="846" t="str">
        <f>IF('Worksheet Common Lighting'!S78="","",'Worksheet Common Lighting'!G78)</f>
        <v/>
      </c>
      <c r="E67" s="846" t="str">
        <f>IF('Worksheet Common Lighting'!S78="","",'Worksheet Common Lighting'!I78)</f>
        <v/>
      </c>
      <c r="F67" s="202"/>
      <c r="H67" s="2335" t="str">
        <f>IF('Worksheet Common Lighting'!S78="","",'Worksheet Common Lighting'!E78)</f>
        <v/>
      </c>
      <c r="I67" s="2827"/>
      <c r="J67" s="2336"/>
      <c r="K67" s="202"/>
      <c r="M67" s="2828"/>
      <c r="N67" s="2829"/>
      <c r="O67" s="2829"/>
      <c r="P67" s="2829"/>
      <c r="Q67" s="2829"/>
      <c r="R67" s="2829"/>
      <c r="S67" s="2830"/>
    </row>
    <row r="68" spans="2:19" ht="14.5" hidden="1" customHeight="1">
      <c r="B68" s="202"/>
      <c r="C68" s="846" t="str">
        <f>IF('Worksheet Common Lighting'!S79="","",'Common Lighting References'!$U$99)</f>
        <v/>
      </c>
      <c r="D68" s="846" t="str">
        <f>IF('Worksheet Common Lighting'!S79="","",'Worksheet Common Lighting'!G79)</f>
        <v/>
      </c>
      <c r="E68" s="846" t="str">
        <f>IF('Worksheet Common Lighting'!S79="","",'Worksheet Common Lighting'!I79)</f>
        <v/>
      </c>
      <c r="F68" s="202"/>
      <c r="H68" s="2335" t="str">
        <f>IF('Worksheet Common Lighting'!S79="","",'Worksheet Common Lighting'!E79)</f>
        <v/>
      </c>
      <c r="I68" s="2827"/>
      <c r="J68" s="2336"/>
      <c r="K68" s="202"/>
      <c r="M68" s="2828"/>
      <c r="N68" s="2829"/>
      <c r="O68" s="2829"/>
      <c r="P68" s="2829"/>
      <c r="Q68" s="2829"/>
      <c r="R68" s="2829"/>
      <c r="S68" s="2830"/>
    </row>
    <row r="69" spans="2:19" ht="14.5" hidden="1" customHeight="1">
      <c r="B69" s="202"/>
      <c r="C69" s="846" t="str">
        <f>IF('Worksheet Common Lighting'!S80="","",'Common Lighting References'!$U$99)</f>
        <v/>
      </c>
      <c r="D69" s="846" t="str">
        <f>IF('Worksheet Common Lighting'!S80="","",'Worksheet Common Lighting'!G80)</f>
        <v/>
      </c>
      <c r="E69" s="846" t="str">
        <f>IF('Worksheet Common Lighting'!S80="","",'Worksheet Common Lighting'!I80)</f>
        <v/>
      </c>
      <c r="F69" s="202"/>
      <c r="H69" s="2335" t="str">
        <f>IF('Worksheet Common Lighting'!S80="","",'Worksheet Common Lighting'!E80)</f>
        <v/>
      </c>
      <c r="I69" s="2827"/>
      <c r="J69" s="2336"/>
      <c r="K69" s="202"/>
      <c r="M69" s="2828"/>
      <c r="N69" s="2829"/>
      <c r="O69" s="2829"/>
      <c r="P69" s="2829"/>
      <c r="Q69" s="2829"/>
      <c r="R69" s="2829"/>
      <c r="S69" s="2830"/>
    </row>
    <row r="70" spans="2:19" hidden="1">
      <c r="B70" s="202"/>
      <c r="C70" s="846" t="str">
        <f>IF('Worksheet Common Lighting'!S85="","",'Common Lighting References'!$U$101)</f>
        <v>2' Linear Ambient LED Luminaire</v>
      </c>
      <c r="D70" s="846">
        <f>IF('Worksheet Common Lighting'!S85="","",'Worksheet Common Lighting'!G85)</f>
        <v>12</v>
      </c>
      <c r="E70" s="846">
        <f>IF('Worksheet Common Lighting'!S85="","",'Worksheet Common Lighting'!I85)</f>
        <v>35</v>
      </c>
      <c r="F70" s="202"/>
      <c r="H70" s="2335" t="str">
        <f>IF('Worksheet Common Lighting'!S85="","",'Worksheet Common Lighting'!E85)</f>
        <v>T12</v>
      </c>
      <c r="I70" s="2827"/>
      <c r="J70" s="2336"/>
      <c r="K70" s="202"/>
      <c r="M70" s="2828"/>
      <c r="N70" s="2829"/>
      <c r="O70" s="2829"/>
      <c r="P70" s="2829"/>
      <c r="Q70" s="2829"/>
      <c r="R70" s="2829"/>
      <c r="S70" s="2830"/>
    </row>
    <row r="71" spans="2:19" hidden="1">
      <c r="B71" s="202"/>
      <c r="C71" s="846" t="str">
        <f>IF('Worksheet Common Lighting'!S86="","",'Common Lighting References'!$U$101)</f>
        <v/>
      </c>
      <c r="D71" s="846" t="str">
        <f>IF('Worksheet Common Lighting'!S86="","",'Worksheet Common Lighting'!G86)</f>
        <v/>
      </c>
      <c r="E71" s="846" t="str">
        <f>IF('Worksheet Common Lighting'!S86="","",'Worksheet Common Lighting'!I86)</f>
        <v/>
      </c>
      <c r="F71" s="202"/>
      <c r="H71" s="2335" t="str">
        <f>IF('Worksheet Common Lighting'!S86="","",'Worksheet Common Lighting'!E86)</f>
        <v/>
      </c>
      <c r="I71" s="2827"/>
      <c r="J71" s="2336"/>
      <c r="K71" s="202"/>
      <c r="M71" s="2828"/>
      <c r="N71" s="2829"/>
      <c r="O71" s="2829"/>
      <c r="P71" s="2829"/>
      <c r="Q71" s="2829"/>
      <c r="R71" s="2829"/>
      <c r="S71" s="2830"/>
    </row>
    <row r="72" spans="2:19" hidden="1">
      <c r="B72" s="202"/>
      <c r="C72" s="846" t="str">
        <f>IF('Worksheet Common Lighting'!S87="","",'Common Lighting References'!$U$101)</f>
        <v/>
      </c>
      <c r="D72" s="846" t="str">
        <f>IF('Worksheet Common Lighting'!S87="","",'Worksheet Common Lighting'!G87)</f>
        <v/>
      </c>
      <c r="E72" s="846" t="str">
        <f>IF('Worksheet Common Lighting'!S87="","",'Worksheet Common Lighting'!I87)</f>
        <v/>
      </c>
      <c r="F72" s="202"/>
      <c r="H72" s="2335" t="str">
        <f>IF('Worksheet Common Lighting'!S87="","",'Worksheet Common Lighting'!E87)</f>
        <v/>
      </c>
      <c r="I72" s="2827"/>
      <c r="J72" s="2336"/>
      <c r="K72" s="202"/>
      <c r="M72" s="2828"/>
      <c r="N72" s="2829"/>
      <c r="O72" s="2829"/>
      <c r="P72" s="2829"/>
      <c r="Q72" s="2829"/>
      <c r="R72" s="2829"/>
      <c r="S72" s="2830"/>
    </row>
    <row r="73" spans="2:19" hidden="1">
      <c r="B73" s="202"/>
      <c r="C73" s="846" t="str">
        <f>IF('Worksheet Common Lighting'!S88="","",'Common Lighting References'!$U$101)</f>
        <v/>
      </c>
      <c r="D73" s="846" t="str">
        <f>IF('Worksheet Common Lighting'!S88="","",'Worksheet Common Lighting'!G88)</f>
        <v/>
      </c>
      <c r="E73" s="846" t="str">
        <f>IF('Worksheet Common Lighting'!S88="","",'Worksheet Common Lighting'!I88)</f>
        <v/>
      </c>
      <c r="F73" s="202"/>
      <c r="H73" s="2335" t="str">
        <f>IF('Worksheet Common Lighting'!S88="","",'Worksheet Common Lighting'!E88)</f>
        <v/>
      </c>
      <c r="I73" s="2827"/>
      <c r="J73" s="2336"/>
      <c r="K73" s="202"/>
      <c r="M73" s="2828"/>
      <c r="N73" s="2829"/>
      <c r="O73" s="2829"/>
      <c r="P73" s="2829"/>
      <c r="Q73" s="2829"/>
      <c r="R73" s="2829"/>
      <c r="S73" s="2830"/>
    </row>
    <row r="74" spans="2:19" ht="14.5" hidden="1" customHeight="1">
      <c r="B74" s="202"/>
      <c r="C74" s="846" t="str">
        <f>IF('Worksheet Common Lighting'!S93="","",'Common Lighting References'!$U$103)</f>
        <v/>
      </c>
      <c r="D74" s="846" t="str">
        <f>IF('Worksheet Common Lighting'!S93="","",'Worksheet Common Lighting'!G93)</f>
        <v/>
      </c>
      <c r="E74" s="846" t="str">
        <f>IF('Worksheet Common Lighting'!S93="","",'Worksheet Common Lighting'!I93)</f>
        <v/>
      </c>
      <c r="F74" s="202"/>
      <c r="H74" s="2335" t="str">
        <f>IF('Worksheet Common Lighting'!S93="","",'Worksheet Common Lighting'!E93)</f>
        <v/>
      </c>
      <c r="I74" s="2827"/>
      <c r="J74" s="2336"/>
      <c r="K74" s="202"/>
      <c r="M74" s="2828"/>
      <c r="N74" s="2829"/>
      <c r="O74" s="2829"/>
      <c r="P74" s="2829"/>
      <c r="Q74" s="2829"/>
      <c r="R74" s="2829"/>
      <c r="S74" s="2830"/>
    </row>
    <row r="75" spans="2:19" ht="14.5" hidden="1" customHeight="1">
      <c r="B75" s="202"/>
      <c r="C75" s="846" t="str">
        <f>IF('Worksheet Common Lighting'!S94="","",'Common Lighting References'!$U$103)</f>
        <v/>
      </c>
      <c r="D75" s="846" t="str">
        <f>IF('Worksheet Common Lighting'!S94="","",'Worksheet Common Lighting'!G94)</f>
        <v/>
      </c>
      <c r="E75" s="846" t="str">
        <f>IF('Worksheet Common Lighting'!S94="","",'Worksheet Common Lighting'!I94)</f>
        <v/>
      </c>
      <c r="F75" s="202"/>
      <c r="H75" s="2335" t="str">
        <f>IF('Worksheet Common Lighting'!S94="","",'Worksheet Common Lighting'!E94)</f>
        <v/>
      </c>
      <c r="I75" s="2827"/>
      <c r="J75" s="2336"/>
      <c r="K75" s="202"/>
      <c r="M75" s="2828"/>
      <c r="N75" s="2829"/>
      <c r="O75" s="2829"/>
      <c r="P75" s="2829"/>
      <c r="Q75" s="2829"/>
      <c r="R75" s="2829"/>
      <c r="S75" s="2830"/>
    </row>
    <row r="76" spans="2:19" ht="14.5" hidden="1" customHeight="1">
      <c r="B76" s="202"/>
      <c r="C76" s="846" t="str">
        <f>IF('Worksheet Common Lighting'!S95="","",'Common Lighting References'!$U$103)</f>
        <v/>
      </c>
      <c r="D76" s="846" t="str">
        <f>IF('Worksheet Common Lighting'!S95="","",'Worksheet Common Lighting'!G95)</f>
        <v/>
      </c>
      <c r="E76" s="846" t="str">
        <f>IF('Worksheet Common Lighting'!S95="","",'Worksheet Common Lighting'!I95)</f>
        <v/>
      </c>
      <c r="F76" s="202"/>
      <c r="H76" s="2335" t="str">
        <f>IF('Worksheet Common Lighting'!S95="","",'Worksheet Common Lighting'!E95)</f>
        <v/>
      </c>
      <c r="I76" s="2827"/>
      <c r="J76" s="2336"/>
      <c r="K76" s="202"/>
      <c r="M76" s="2828"/>
      <c r="N76" s="2829"/>
      <c r="O76" s="2829"/>
      <c r="P76" s="2829"/>
      <c r="Q76" s="2829"/>
      <c r="R76" s="2829"/>
      <c r="S76" s="2830"/>
    </row>
    <row r="77" spans="2:19" ht="14.5" hidden="1" customHeight="1">
      <c r="B77" s="202"/>
      <c r="C77" s="846" t="str">
        <f>IF('Worksheet Common Lighting'!S96="","",'Common Lighting References'!$U$103)</f>
        <v/>
      </c>
      <c r="D77" s="846" t="str">
        <f>IF('Worksheet Common Lighting'!S96="","",'Worksheet Common Lighting'!G96)</f>
        <v/>
      </c>
      <c r="E77" s="846" t="str">
        <f>IF('Worksheet Common Lighting'!S96="","",'Worksheet Common Lighting'!I96)</f>
        <v/>
      </c>
      <c r="F77" s="202"/>
      <c r="H77" s="2335" t="str">
        <f>IF('Worksheet Common Lighting'!S96="","",'Worksheet Common Lighting'!E96)</f>
        <v/>
      </c>
      <c r="I77" s="2827"/>
      <c r="J77" s="2336"/>
      <c r="K77" s="202"/>
      <c r="M77" s="2828"/>
      <c r="N77" s="2829"/>
      <c r="O77" s="2829"/>
      <c r="P77" s="2829"/>
      <c r="Q77" s="2829"/>
      <c r="R77" s="2829"/>
      <c r="S77" s="2830"/>
    </row>
    <row r="78" spans="2:19" hidden="1">
      <c r="B78" s="202"/>
      <c r="C78" s="846" t="str">
        <f>IF('Worksheet Common Lighting'!S101="","",'Common Lighting References'!$U$105)</f>
        <v/>
      </c>
      <c r="D78" s="846" t="str">
        <f>IF('Worksheet Common Lighting'!S101="","",'Worksheet Common Lighting'!G101)</f>
        <v/>
      </c>
      <c r="E78" s="846" t="str">
        <f>IF('Worksheet Common Lighting'!S101="","",'Worksheet Common Lighting'!I101)</f>
        <v/>
      </c>
      <c r="F78" s="202"/>
      <c r="H78" s="2335" t="str">
        <f>IF('Worksheet Common Lighting'!S101="","",'Worksheet Common Lighting'!E101)</f>
        <v/>
      </c>
      <c r="I78" s="2827"/>
      <c r="J78" s="2336"/>
      <c r="K78" s="202"/>
      <c r="M78" s="2828"/>
      <c r="N78" s="2829"/>
      <c r="O78" s="2829"/>
      <c r="P78" s="2829"/>
      <c r="Q78" s="2829"/>
      <c r="R78" s="2829"/>
      <c r="S78" s="2830"/>
    </row>
    <row r="79" spans="2:19" hidden="1">
      <c r="B79" s="202"/>
      <c r="C79" s="846" t="str">
        <f>IF('Worksheet Common Lighting'!S102="","",'Common Lighting References'!$U$105)</f>
        <v/>
      </c>
      <c r="D79" s="846" t="str">
        <f>IF('Worksheet Common Lighting'!S102="","",'Worksheet Common Lighting'!G102)</f>
        <v/>
      </c>
      <c r="E79" s="846" t="str">
        <f>IF('Worksheet Common Lighting'!S102="","",'Worksheet Common Lighting'!I102)</f>
        <v/>
      </c>
      <c r="F79" s="202"/>
      <c r="H79" s="2335" t="str">
        <f>IF('Worksheet Common Lighting'!S102="","",'Worksheet Common Lighting'!E102)</f>
        <v/>
      </c>
      <c r="I79" s="2827"/>
      <c r="J79" s="2336"/>
      <c r="K79" s="202"/>
      <c r="M79" s="2828"/>
      <c r="N79" s="2829"/>
      <c r="O79" s="2829"/>
      <c r="P79" s="2829"/>
      <c r="Q79" s="2829"/>
      <c r="R79" s="2829"/>
      <c r="S79" s="2830"/>
    </row>
    <row r="80" spans="2:19" hidden="1">
      <c r="B80" s="202"/>
      <c r="C80" s="846" t="str">
        <f>IF('Worksheet Common Lighting'!S103="","",'Common Lighting References'!$U$105)</f>
        <v/>
      </c>
      <c r="D80" s="846" t="str">
        <f>IF('Worksheet Common Lighting'!S103="","",'Worksheet Common Lighting'!G103)</f>
        <v/>
      </c>
      <c r="E80" s="846" t="str">
        <f>IF('Worksheet Common Lighting'!S103="","",'Worksheet Common Lighting'!I103)</f>
        <v/>
      </c>
      <c r="F80" s="202"/>
      <c r="H80" s="2335" t="str">
        <f>IF('Worksheet Common Lighting'!S103="","",'Worksheet Common Lighting'!E103)</f>
        <v/>
      </c>
      <c r="I80" s="2827"/>
      <c r="J80" s="2336"/>
      <c r="K80" s="202"/>
      <c r="M80" s="2828"/>
      <c r="N80" s="2829"/>
      <c r="O80" s="2829"/>
      <c r="P80" s="2829"/>
      <c r="Q80" s="2829"/>
      <c r="R80" s="2829"/>
      <c r="S80" s="2830"/>
    </row>
    <row r="81" spans="2:19" hidden="1">
      <c r="B81" s="202"/>
      <c r="C81" s="846" t="str">
        <f>IF('Worksheet Common Lighting'!S104="","",'Common Lighting References'!$U$105)</f>
        <v/>
      </c>
      <c r="D81" s="846" t="str">
        <f>IF('Worksheet Common Lighting'!S104="","",'Worksheet Common Lighting'!G104)</f>
        <v/>
      </c>
      <c r="E81" s="846" t="str">
        <f>IF('Worksheet Common Lighting'!S104="","",'Worksheet Common Lighting'!I104)</f>
        <v/>
      </c>
      <c r="F81" s="202"/>
      <c r="H81" s="2335" t="str">
        <f>IF('Worksheet Common Lighting'!S104="","",'Worksheet Common Lighting'!E104)</f>
        <v/>
      </c>
      <c r="I81" s="2827"/>
      <c r="J81" s="2336"/>
      <c r="K81" s="202"/>
      <c r="M81" s="2828"/>
      <c r="N81" s="2829"/>
      <c r="O81" s="2829"/>
      <c r="P81" s="2829"/>
      <c r="Q81" s="2829"/>
      <c r="R81" s="2829"/>
      <c r="S81" s="2830"/>
    </row>
    <row r="82" spans="2:19" ht="14.5" hidden="1" customHeight="1">
      <c r="B82" s="202"/>
      <c r="C82" s="846" t="str">
        <f>IF('Worksheet Common Lighting'!S110="","",'Common Lighting References'!$U$106)</f>
        <v/>
      </c>
      <c r="D82" s="846" t="str">
        <f>IF('Worksheet Common Lighting'!S110="","",'Worksheet Common Lighting'!G110)</f>
        <v/>
      </c>
      <c r="E82" s="846" t="str">
        <f>IF('Worksheet Common Lighting'!S110="","",'Worksheet Common Lighting'!I110)</f>
        <v/>
      </c>
      <c r="F82" s="202"/>
      <c r="H82" s="2335" t="str">
        <f>IF('Worksheet Common Lighting'!S110="","",'Worksheet Common Lighting'!E110)</f>
        <v/>
      </c>
      <c r="I82" s="2827"/>
      <c r="J82" s="2336"/>
      <c r="K82" s="202"/>
      <c r="M82" s="2828"/>
      <c r="N82" s="2829"/>
      <c r="O82" s="2829"/>
      <c r="P82" s="2829"/>
      <c r="Q82" s="2829"/>
      <c r="R82" s="2829"/>
      <c r="S82" s="2830"/>
    </row>
    <row r="83" spans="2:19" ht="14.5" hidden="1" customHeight="1">
      <c r="B83" s="202"/>
      <c r="C83" s="846" t="str">
        <f>IF('Worksheet Common Lighting'!S111="","",'Common Lighting References'!$U$106)</f>
        <v/>
      </c>
      <c r="D83" s="846" t="str">
        <f>IF('Worksheet Common Lighting'!S111="","",'Worksheet Common Lighting'!G111)</f>
        <v/>
      </c>
      <c r="E83" s="846" t="str">
        <f>IF('Worksheet Common Lighting'!S111="","",'Worksheet Common Lighting'!I111)</f>
        <v/>
      </c>
      <c r="F83" s="202"/>
      <c r="H83" s="2335" t="str">
        <f>IF('Worksheet Common Lighting'!S111="","",'Worksheet Common Lighting'!E111)</f>
        <v/>
      </c>
      <c r="I83" s="2827"/>
      <c r="J83" s="2336"/>
      <c r="K83" s="202"/>
      <c r="M83" s="2828"/>
      <c r="N83" s="2829"/>
      <c r="O83" s="2829"/>
      <c r="P83" s="2829"/>
      <c r="Q83" s="2829"/>
      <c r="R83" s="2829"/>
      <c r="S83" s="2830"/>
    </row>
    <row r="84" spans="2:19" ht="14.5" hidden="1" customHeight="1">
      <c r="B84" s="202"/>
      <c r="C84" s="846" t="str">
        <f>IF('Worksheet Common Lighting'!S112="","",'Common Lighting References'!$U$106)</f>
        <v/>
      </c>
      <c r="D84" s="846" t="str">
        <f>IF('Worksheet Common Lighting'!S112="","",'Worksheet Common Lighting'!G112)</f>
        <v/>
      </c>
      <c r="E84" s="846" t="str">
        <f>IF('Worksheet Common Lighting'!S112="","",'Worksheet Common Lighting'!I112)</f>
        <v/>
      </c>
      <c r="F84" s="202"/>
      <c r="H84" s="2335" t="str">
        <f>IF('Worksheet Common Lighting'!S112="","",'Worksheet Common Lighting'!E112)</f>
        <v/>
      </c>
      <c r="I84" s="2827"/>
      <c r="J84" s="2336"/>
      <c r="K84" s="202"/>
      <c r="M84" s="2828"/>
      <c r="N84" s="2829"/>
      <c r="O84" s="2829"/>
      <c r="P84" s="2829"/>
      <c r="Q84" s="2829"/>
      <c r="R84" s="2829"/>
      <c r="S84" s="2830"/>
    </row>
    <row r="85" spans="2:19" ht="14.5" hidden="1" customHeight="1">
      <c r="B85" s="202"/>
      <c r="C85" s="846" t="str">
        <f>IF('Worksheet Common Lighting'!S113="","",'Common Lighting References'!$U$106)</f>
        <v/>
      </c>
      <c r="D85" s="846" t="str">
        <f>IF('Worksheet Common Lighting'!S113="","",'Worksheet Common Lighting'!G113)</f>
        <v/>
      </c>
      <c r="E85" s="846" t="str">
        <f>IF('Worksheet Common Lighting'!S113="","",'Worksheet Common Lighting'!I113)</f>
        <v/>
      </c>
      <c r="F85" s="202"/>
      <c r="H85" s="2335" t="str">
        <f>IF('Worksheet Common Lighting'!S113="","",'Worksheet Common Lighting'!E113)</f>
        <v/>
      </c>
      <c r="I85" s="2827"/>
      <c r="J85" s="2336"/>
      <c r="K85" s="202"/>
      <c r="M85" s="2828"/>
      <c r="N85" s="2829"/>
      <c r="O85" s="2829"/>
      <c r="P85" s="2829"/>
      <c r="Q85" s="2829"/>
      <c r="R85" s="2829"/>
      <c r="S85" s="2830"/>
    </row>
    <row r="86" spans="2:19" hidden="1">
      <c r="B86" s="202"/>
      <c r="C86" s="846" t="str">
        <f>IF('Worksheet Common Lighting'!S120="","",'Common Lighting References'!$U$107)</f>
        <v>Retrofit Kits for 2x2 Luminaires</v>
      </c>
      <c r="D86" s="846">
        <f>IF('Worksheet Common Lighting'!S120="","",'Worksheet Common Lighting'!G120)</f>
        <v>12</v>
      </c>
      <c r="E86" s="846">
        <f>IF('Worksheet Common Lighting'!S120="","",'Worksheet Common Lighting'!I120)</f>
        <v>24</v>
      </c>
      <c r="F86" s="202"/>
      <c r="H86" s="2335" t="str">
        <f>IF('Worksheet Common Lighting'!S120="","",'Worksheet Common Lighting'!E120)</f>
        <v>T12</v>
      </c>
      <c r="I86" s="2827"/>
      <c r="J86" s="2336"/>
      <c r="K86" s="202"/>
      <c r="M86" s="2828"/>
      <c r="N86" s="2829"/>
      <c r="O86" s="2829"/>
      <c r="P86" s="2829"/>
      <c r="Q86" s="2829"/>
      <c r="R86" s="2829"/>
      <c r="S86" s="2830"/>
    </row>
    <row r="87" spans="2:19" hidden="1">
      <c r="B87" s="202"/>
      <c r="C87" s="846" t="str">
        <f>IF('Worksheet Common Lighting'!S121="","",'Common Lighting References'!$U$107)</f>
        <v/>
      </c>
      <c r="D87" s="846" t="str">
        <f>IF('Worksheet Common Lighting'!S121="","",'Worksheet Common Lighting'!G121)</f>
        <v/>
      </c>
      <c r="E87" s="846" t="str">
        <f>IF('Worksheet Common Lighting'!S121="","",'Worksheet Common Lighting'!I121)</f>
        <v/>
      </c>
      <c r="F87" s="202"/>
      <c r="H87" s="2335" t="str">
        <f>IF('Worksheet Common Lighting'!S121="","",'Worksheet Common Lighting'!E121)</f>
        <v/>
      </c>
      <c r="I87" s="2827"/>
      <c r="J87" s="2336"/>
      <c r="K87" s="202"/>
      <c r="M87" s="2828"/>
      <c r="N87" s="2829"/>
      <c r="O87" s="2829"/>
      <c r="P87" s="2829"/>
      <c r="Q87" s="2829"/>
      <c r="R87" s="2829"/>
      <c r="S87" s="2830"/>
    </row>
    <row r="88" spans="2:19" hidden="1">
      <c r="B88" s="202"/>
      <c r="C88" s="846" t="str">
        <f>IF('Worksheet Common Lighting'!S122="","",'Common Lighting References'!$U$107)</f>
        <v/>
      </c>
      <c r="D88" s="846" t="str">
        <f>IF('Worksheet Common Lighting'!S122="","",'Worksheet Common Lighting'!G122)</f>
        <v/>
      </c>
      <c r="E88" s="846" t="str">
        <f>IF('Worksheet Common Lighting'!S122="","",'Worksheet Common Lighting'!I122)</f>
        <v/>
      </c>
      <c r="F88" s="202"/>
      <c r="H88" s="2335" t="str">
        <f>IF('Worksheet Common Lighting'!S122="","",'Worksheet Common Lighting'!E122)</f>
        <v/>
      </c>
      <c r="I88" s="2827"/>
      <c r="J88" s="2336"/>
      <c r="K88" s="202"/>
      <c r="M88" s="2828"/>
      <c r="N88" s="2829"/>
      <c r="O88" s="2829"/>
      <c r="P88" s="2829"/>
      <c r="Q88" s="2829"/>
      <c r="R88" s="2829"/>
      <c r="S88" s="2830"/>
    </row>
    <row r="89" spans="2:19" hidden="1">
      <c r="B89" s="202"/>
      <c r="C89" s="846" t="str">
        <f>IF('Worksheet Common Lighting'!S123="","",'Common Lighting References'!$U$107)</f>
        <v/>
      </c>
      <c r="D89" s="846" t="str">
        <f>IF('Worksheet Common Lighting'!S123="","",'Worksheet Common Lighting'!G123)</f>
        <v/>
      </c>
      <c r="E89" s="846" t="str">
        <f>IF('Worksheet Common Lighting'!S123="","",'Worksheet Common Lighting'!I123)</f>
        <v/>
      </c>
      <c r="F89" s="202"/>
      <c r="H89" s="2335" t="str">
        <f>IF('Worksheet Common Lighting'!S123="","",'Worksheet Common Lighting'!E123)</f>
        <v/>
      </c>
      <c r="I89" s="2827"/>
      <c r="J89" s="2336"/>
      <c r="K89" s="202"/>
      <c r="M89" s="2828"/>
      <c r="N89" s="2829"/>
      <c r="O89" s="2829"/>
      <c r="P89" s="2829"/>
      <c r="Q89" s="2829"/>
      <c r="R89" s="2829"/>
      <c r="S89" s="2830"/>
    </row>
    <row r="90" spans="2:19" ht="14.5" hidden="1" customHeight="1">
      <c r="B90" s="202"/>
      <c r="C90" s="846" t="str">
        <f>IF('Worksheet Common Lighting'!S129="","",'Common Lighting References'!$U$109)</f>
        <v/>
      </c>
      <c r="D90" s="846" t="str">
        <f>IF('Worksheet Common Lighting'!S129="","",'Worksheet Common Lighting'!G129)</f>
        <v/>
      </c>
      <c r="E90" s="846" t="str">
        <f>IF('Worksheet Common Lighting'!S129="","",'Worksheet Common Lighting'!I129)</f>
        <v/>
      </c>
      <c r="F90" s="202"/>
      <c r="H90" s="2335" t="str">
        <f>IF('Worksheet Common Lighting'!S129="","",'Worksheet Common Lighting'!E129)</f>
        <v/>
      </c>
      <c r="I90" s="2827"/>
      <c r="J90" s="2336"/>
      <c r="K90" s="202"/>
      <c r="M90" s="2828"/>
      <c r="N90" s="2829"/>
      <c r="O90" s="2829"/>
      <c r="P90" s="2829"/>
      <c r="Q90" s="2829"/>
      <c r="R90" s="2829"/>
      <c r="S90" s="2830"/>
    </row>
    <row r="91" spans="2:19" ht="14.5" hidden="1" customHeight="1">
      <c r="B91" s="202"/>
      <c r="C91" s="846" t="str">
        <f>IF('Worksheet Common Lighting'!S130="","",'Common Lighting References'!$U$109)</f>
        <v/>
      </c>
      <c r="D91" s="846" t="str">
        <f>IF('Worksheet Common Lighting'!S130="","",'Worksheet Common Lighting'!G130)</f>
        <v/>
      </c>
      <c r="E91" s="846" t="str">
        <f>IF('Worksheet Common Lighting'!S130="","",'Worksheet Common Lighting'!I130)</f>
        <v/>
      </c>
      <c r="F91" s="202"/>
      <c r="H91" s="2335" t="str">
        <f>IF('Worksheet Common Lighting'!S130="","",'Worksheet Common Lighting'!E130)</f>
        <v/>
      </c>
      <c r="I91" s="2827"/>
      <c r="J91" s="2336"/>
      <c r="K91" s="202"/>
      <c r="M91" s="2828"/>
      <c r="N91" s="2829"/>
      <c r="O91" s="2829"/>
      <c r="P91" s="2829"/>
      <c r="Q91" s="2829"/>
      <c r="R91" s="2829"/>
      <c r="S91" s="2830"/>
    </row>
    <row r="92" spans="2:19" ht="14.5" hidden="1" customHeight="1">
      <c r="B92" s="202"/>
      <c r="C92" s="846" t="str">
        <f>IF('Worksheet Common Lighting'!S131="","",'Common Lighting References'!$U$109)</f>
        <v/>
      </c>
      <c r="D92" s="846" t="str">
        <f>IF('Worksheet Common Lighting'!S131="","",'Worksheet Common Lighting'!G131)</f>
        <v/>
      </c>
      <c r="E92" s="846" t="str">
        <f>IF('Worksheet Common Lighting'!S131="","",'Worksheet Common Lighting'!I131)</f>
        <v/>
      </c>
      <c r="F92" s="202"/>
      <c r="H92" s="2335" t="str">
        <f>IF('Worksheet Common Lighting'!S131="","",'Worksheet Common Lighting'!E131)</f>
        <v/>
      </c>
      <c r="I92" s="2827"/>
      <c r="J92" s="2336"/>
      <c r="K92" s="202"/>
      <c r="M92" s="2828"/>
      <c r="N92" s="2829"/>
      <c r="O92" s="2829"/>
      <c r="P92" s="2829"/>
      <c r="Q92" s="2829"/>
      <c r="R92" s="2829"/>
      <c r="S92" s="2830"/>
    </row>
    <row r="93" spans="2:19" ht="14.5" hidden="1" customHeight="1">
      <c r="B93" s="202"/>
      <c r="C93" s="846" t="str">
        <f>IF('Worksheet Common Lighting'!S132="","",'Common Lighting References'!$U$109)</f>
        <v/>
      </c>
      <c r="D93" s="846" t="str">
        <f>IF('Worksheet Common Lighting'!S132="","",'Worksheet Common Lighting'!G132)</f>
        <v/>
      </c>
      <c r="E93" s="846" t="str">
        <f>IF('Worksheet Common Lighting'!S132="","",'Worksheet Common Lighting'!I132)</f>
        <v/>
      </c>
      <c r="F93" s="202"/>
      <c r="H93" s="2335" t="str">
        <f>IF('Worksheet Common Lighting'!S132="","",'Worksheet Common Lighting'!E132)</f>
        <v/>
      </c>
      <c r="I93" s="2827"/>
      <c r="J93" s="2336"/>
      <c r="K93" s="202"/>
      <c r="M93" s="2828"/>
      <c r="N93" s="2829"/>
      <c r="O93" s="2829"/>
      <c r="P93" s="2829"/>
      <c r="Q93" s="2829"/>
      <c r="R93" s="2829"/>
      <c r="S93" s="2830"/>
    </row>
    <row r="94" spans="2:19" hidden="1">
      <c r="B94" s="202"/>
      <c r="C94" s="846" t="str">
        <f>IF('Worksheet Common Lighting'!S137="","",'Common Lighting References'!$U$111)</f>
        <v/>
      </c>
      <c r="D94" s="846" t="str">
        <f>IF('Worksheet Common Lighting'!S137="","",'Worksheet Common Lighting'!G137)</f>
        <v/>
      </c>
      <c r="E94" s="846" t="str">
        <f>IF('Worksheet Common Lighting'!S137="","",'Worksheet Common Lighting'!I137)</f>
        <v/>
      </c>
      <c r="F94" s="202"/>
      <c r="H94" s="2335" t="str">
        <f>IF('Worksheet Common Lighting'!S137="","",'Worksheet Common Lighting'!E137)</f>
        <v/>
      </c>
      <c r="I94" s="2827"/>
      <c r="J94" s="2336"/>
      <c r="K94" s="202"/>
      <c r="M94" s="2828"/>
      <c r="N94" s="2829"/>
      <c r="O94" s="2829"/>
      <c r="P94" s="2829"/>
      <c r="Q94" s="2829"/>
      <c r="R94" s="2829"/>
      <c r="S94" s="2830"/>
    </row>
    <row r="95" spans="2:19" hidden="1">
      <c r="B95" s="202"/>
      <c r="C95" s="846" t="str">
        <f>IF('Worksheet Common Lighting'!S138="","",'Common Lighting References'!$U$111)</f>
        <v/>
      </c>
      <c r="D95" s="846" t="str">
        <f>IF('Worksheet Common Lighting'!S138="","",'Worksheet Common Lighting'!G138)</f>
        <v/>
      </c>
      <c r="E95" s="846" t="str">
        <f>IF('Worksheet Common Lighting'!S138="","",'Worksheet Common Lighting'!I138)</f>
        <v/>
      </c>
      <c r="F95" s="202"/>
      <c r="H95" s="2335" t="str">
        <f>IF('Worksheet Common Lighting'!S138="","",'Worksheet Common Lighting'!E138)</f>
        <v/>
      </c>
      <c r="I95" s="2827"/>
      <c r="J95" s="2336"/>
      <c r="K95" s="202"/>
      <c r="M95" s="2828"/>
      <c r="N95" s="2829"/>
      <c r="O95" s="2829"/>
      <c r="P95" s="2829"/>
      <c r="Q95" s="2829"/>
      <c r="R95" s="2829"/>
      <c r="S95" s="2830"/>
    </row>
    <row r="96" spans="2:19" hidden="1">
      <c r="B96" s="202"/>
      <c r="C96" s="846" t="str">
        <f>IF('Worksheet Common Lighting'!S139="","",'Common Lighting References'!$U$111)</f>
        <v/>
      </c>
      <c r="D96" s="846" t="str">
        <f>IF('Worksheet Common Lighting'!S139="","",'Worksheet Common Lighting'!G139)</f>
        <v/>
      </c>
      <c r="E96" s="846" t="str">
        <f>IF('Worksheet Common Lighting'!S139="","",'Worksheet Common Lighting'!I139)</f>
        <v/>
      </c>
      <c r="F96" s="202"/>
      <c r="H96" s="2335" t="str">
        <f>IF('Worksheet Common Lighting'!S139="","",'Worksheet Common Lighting'!E139)</f>
        <v/>
      </c>
      <c r="I96" s="2827"/>
      <c r="J96" s="2336"/>
      <c r="K96" s="202"/>
      <c r="M96" s="2828"/>
      <c r="N96" s="2829"/>
      <c r="O96" s="2829"/>
      <c r="P96" s="2829"/>
      <c r="Q96" s="2829"/>
      <c r="R96" s="2829"/>
      <c r="S96" s="2830"/>
    </row>
    <row r="97" spans="2:19" hidden="1">
      <c r="B97" s="202"/>
      <c r="C97" s="846" t="str">
        <f>IF('Worksheet Common Lighting'!S140="","",'Common Lighting References'!$U$111)</f>
        <v/>
      </c>
      <c r="D97" s="846" t="str">
        <f>IF('Worksheet Common Lighting'!S140="","",'Worksheet Common Lighting'!G140)</f>
        <v/>
      </c>
      <c r="E97" s="846" t="str">
        <f>IF('Worksheet Common Lighting'!S140="","",'Worksheet Common Lighting'!I140)</f>
        <v/>
      </c>
      <c r="F97" s="202"/>
      <c r="H97" s="2335" t="str">
        <f>IF('Worksheet Common Lighting'!S140="","",'Worksheet Common Lighting'!E140)</f>
        <v/>
      </c>
      <c r="I97" s="2827"/>
      <c r="J97" s="2336"/>
      <c r="K97" s="202"/>
      <c r="M97" s="2828"/>
      <c r="N97" s="2829"/>
      <c r="O97" s="2829"/>
      <c r="P97" s="2829"/>
      <c r="Q97" s="2829"/>
      <c r="R97" s="2829"/>
      <c r="S97" s="2830"/>
    </row>
    <row r="98" spans="2:19" ht="14.5" hidden="1" customHeight="1">
      <c r="B98" s="202"/>
      <c r="C98" s="846" t="str">
        <f>IF('Worksheet Common Lighting'!S145="","",'Common Lighting References'!$U$113)</f>
        <v/>
      </c>
      <c r="D98" s="846" t="str">
        <f>IF('Worksheet Common Lighting'!S145="","",'Worksheet Common Lighting'!G145)</f>
        <v/>
      </c>
      <c r="E98" s="846" t="str">
        <f>IF('Worksheet Common Lighting'!S145="","",'Worksheet Common Lighting'!I145)</f>
        <v/>
      </c>
      <c r="F98" s="202"/>
      <c r="H98" s="2335" t="str">
        <f>IF('Worksheet Common Lighting'!S145="","",'Worksheet Common Lighting'!E145)</f>
        <v/>
      </c>
      <c r="I98" s="2827"/>
      <c r="J98" s="2336"/>
      <c r="K98" s="202"/>
      <c r="M98" s="2828"/>
      <c r="N98" s="2829"/>
      <c r="O98" s="2829"/>
      <c r="P98" s="2829"/>
      <c r="Q98" s="2829"/>
      <c r="R98" s="2829"/>
      <c r="S98" s="2830"/>
    </row>
    <row r="99" spans="2:19" ht="14.5" hidden="1" customHeight="1">
      <c r="B99" s="202"/>
      <c r="C99" s="846" t="str">
        <f>IF('Worksheet Common Lighting'!S146="","",'Common Lighting References'!$U$113)</f>
        <v/>
      </c>
      <c r="D99" s="846" t="str">
        <f>IF('Worksheet Common Lighting'!S146="","",'Worksheet Common Lighting'!G146)</f>
        <v/>
      </c>
      <c r="E99" s="846" t="str">
        <f>IF('Worksheet Common Lighting'!S146="","",'Worksheet Common Lighting'!I146)</f>
        <v/>
      </c>
      <c r="F99" s="202"/>
      <c r="H99" s="2335" t="str">
        <f>IF('Worksheet Common Lighting'!S146="","",'Worksheet Common Lighting'!E146)</f>
        <v/>
      </c>
      <c r="I99" s="2827"/>
      <c r="J99" s="2336"/>
      <c r="K99" s="202"/>
      <c r="M99" s="2828"/>
      <c r="N99" s="2829"/>
      <c r="O99" s="2829"/>
      <c r="P99" s="2829"/>
      <c r="Q99" s="2829"/>
      <c r="R99" s="2829"/>
      <c r="S99" s="2830"/>
    </row>
    <row r="100" spans="2:19" ht="14.5" hidden="1" customHeight="1">
      <c r="B100" s="202"/>
      <c r="C100" s="846" t="str">
        <f>IF('Worksheet Common Lighting'!S147="","",'Common Lighting References'!$U$113)</f>
        <v/>
      </c>
      <c r="D100" s="846" t="str">
        <f>IF('Worksheet Common Lighting'!S147="","",'Worksheet Common Lighting'!G147)</f>
        <v/>
      </c>
      <c r="E100" s="846" t="str">
        <f>IF('Worksheet Common Lighting'!S147="","",'Worksheet Common Lighting'!I147)</f>
        <v/>
      </c>
      <c r="F100" s="202"/>
      <c r="H100" s="2335" t="str">
        <f>IF('Worksheet Common Lighting'!S147="","",'Worksheet Common Lighting'!E147)</f>
        <v/>
      </c>
      <c r="I100" s="2827"/>
      <c r="J100" s="2336"/>
      <c r="K100" s="202"/>
      <c r="M100" s="2828"/>
      <c r="N100" s="2829"/>
      <c r="O100" s="2829"/>
      <c r="P100" s="2829"/>
      <c r="Q100" s="2829"/>
      <c r="R100" s="2829"/>
      <c r="S100" s="2830"/>
    </row>
    <row r="101" spans="2:19" ht="14.5" hidden="1" customHeight="1">
      <c r="B101" s="202"/>
      <c r="C101" s="846" t="str">
        <f>IF('Worksheet Common Lighting'!S148="","",'Common Lighting References'!$U$113)</f>
        <v/>
      </c>
      <c r="D101" s="846" t="str">
        <f>IF('Worksheet Common Lighting'!S148="","",'Worksheet Common Lighting'!G148)</f>
        <v/>
      </c>
      <c r="E101" s="846" t="str">
        <f>IF('Worksheet Common Lighting'!S148="","",'Worksheet Common Lighting'!I148)</f>
        <v/>
      </c>
      <c r="F101" s="202"/>
      <c r="H101" s="2335" t="str">
        <f>IF('Worksheet Common Lighting'!S148="","",'Worksheet Common Lighting'!E148)</f>
        <v/>
      </c>
      <c r="I101" s="2827"/>
      <c r="J101" s="2336"/>
      <c r="K101" s="202"/>
      <c r="M101" s="2828"/>
      <c r="N101" s="2829"/>
      <c r="O101" s="2829"/>
      <c r="P101" s="2829"/>
      <c r="Q101" s="2829"/>
      <c r="R101" s="2829"/>
      <c r="S101" s="2830"/>
    </row>
    <row r="102" spans="2:19" hidden="1">
      <c r="B102" s="202"/>
      <c r="C102" s="846" t="str">
        <f>IF('Worksheet Common Lighting'!S153="","",'Common Lighting References'!$U$115)</f>
        <v/>
      </c>
      <c r="D102" s="846" t="str">
        <f>IF('Worksheet Common Lighting'!S153="","",'Worksheet Common Lighting'!G153)</f>
        <v/>
      </c>
      <c r="E102" s="846" t="str">
        <f>IF('Worksheet Common Lighting'!S153="","",'Worksheet Common Lighting'!I153)</f>
        <v/>
      </c>
      <c r="F102" s="202"/>
      <c r="H102" s="2335" t="str">
        <f>IF('Worksheet Common Lighting'!S153="","",'Worksheet Common Lighting'!E153)</f>
        <v/>
      </c>
      <c r="I102" s="2827"/>
      <c r="J102" s="2336"/>
      <c r="K102" s="202"/>
      <c r="M102" s="2828"/>
      <c r="N102" s="2829"/>
      <c r="O102" s="2829"/>
      <c r="P102" s="2829"/>
      <c r="Q102" s="2829"/>
      <c r="R102" s="2829"/>
      <c r="S102" s="2830"/>
    </row>
    <row r="103" spans="2:19" hidden="1">
      <c r="B103" s="202"/>
      <c r="C103" s="846" t="str">
        <f>IF('Worksheet Common Lighting'!S154="","",'Common Lighting References'!$U$115)</f>
        <v/>
      </c>
      <c r="D103" s="846" t="str">
        <f>IF('Worksheet Common Lighting'!S154="","",'Worksheet Common Lighting'!G154)</f>
        <v/>
      </c>
      <c r="E103" s="846" t="str">
        <f>IF('Worksheet Common Lighting'!S154="","",'Worksheet Common Lighting'!I154)</f>
        <v/>
      </c>
      <c r="F103" s="202"/>
      <c r="H103" s="2335" t="str">
        <f>IF('Worksheet Common Lighting'!S154="","",'Worksheet Common Lighting'!E154)</f>
        <v/>
      </c>
      <c r="I103" s="2827"/>
      <c r="J103" s="2336"/>
      <c r="K103" s="202"/>
      <c r="M103" s="2828"/>
      <c r="N103" s="2829"/>
      <c r="O103" s="2829"/>
      <c r="P103" s="2829"/>
      <c r="Q103" s="2829"/>
      <c r="R103" s="2829"/>
      <c r="S103" s="2830"/>
    </row>
    <row r="104" spans="2:19" hidden="1">
      <c r="B104" s="202"/>
      <c r="C104" s="846" t="str">
        <f>IF('Worksheet Common Lighting'!S155="","",'Common Lighting References'!$U$115)</f>
        <v/>
      </c>
      <c r="D104" s="846" t="str">
        <f>IF('Worksheet Common Lighting'!S155="","",'Worksheet Common Lighting'!G155)</f>
        <v/>
      </c>
      <c r="E104" s="846" t="str">
        <f>IF('Worksheet Common Lighting'!S155="","",'Worksheet Common Lighting'!I155)</f>
        <v/>
      </c>
      <c r="F104" s="202"/>
      <c r="H104" s="2335" t="str">
        <f>IF('Worksheet Common Lighting'!S155="","",'Worksheet Common Lighting'!E155)</f>
        <v/>
      </c>
      <c r="I104" s="2827"/>
      <c r="J104" s="2336"/>
      <c r="K104" s="202"/>
      <c r="M104" s="2828"/>
      <c r="N104" s="2829"/>
      <c r="O104" s="2829"/>
      <c r="P104" s="2829"/>
      <c r="Q104" s="2829"/>
      <c r="R104" s="2829"/>
      <c r="S104" s="2830"/>
    </row>
    <row r="105" spans="2:19" hidden="1">
      <c r="B105" s="202"/>
      <c r="C105" s="846" t="str">
        <f>IF('Worksheet Common Lighting'!S156="","",'Common Lighting References'!$U$115)</f>
        <v/>
      </c>
      <c r="D105" s="846" t="str">
        <f>IF('Worksheet Common Lighting'!S156="","",'Worksheet Common Lighting'!G156)</f>
        <v/>
      </c>
      <c r="E105" s="846" t="str">
        <f>IF('Worksheet Common Lighting'!S156="","",'Worksheet Common Lighting'!I156)</f>
        <v/>
      </c>
      <c r="F105" s="202"/>
      <c r="H105" s="2335" t="str">
        <f>IF('Worksheet Common Lighting'!S156="","",'Worksheet Common Lighting'!E156)</f>
        <v/>
      </c>
      <c r="I105" s="2827"/>
      <c r="J105" s="2336"/>
      <c r="K105" s="202"/>
      <c r="M105" s="2828"/>
      <c r="N105" s="2829"/>
      <c r="O105" s="2829"/>
      <c r="P105" s="2829"/>
      <c r="Q105" s="2829"/>
      <c r="R105" s="2829"/>
      <c r="S105" s="2830"/>
    </row>
    <row r="106" spans="2:19" ht="14.5" hidden="1" customHeight="1">
      <c r="B106" s="202"/>
      <c r="C106" s="846" t="str">
        <f>IF('Worksheet Common Lighting'!S161="","",'Common Lighting References'!$U$117)</f>
        <v/>
      </c>
      <c r="D106" s="846" t="str">
        <f>IF('Worksheet Common Lighting'!S161="","",'Worksheet Common Lighting'!G161)</f>
        <v/>
      </c>
      <c r="E106" s="846" t="str">
        <f>IF('Worksheet Common Lighting'!S161="","",'Worksheet Common Lighting'!I161)</f>
        <v/>
      </c>
      <c r="F106" s="202"/>
      <c r="H106" s="2335" t="str">
        <f>IF('Worksheet Common Lighting'!S161="","",'Worksheet Common Lighting'!E161)</f>
        <v/>
      </c>
      <c r="I106" s="2827"/>
      <c r="J106" s="2336"/>
      <c r="K106" s="202"/>
      <c r="M106" s="2828"/>
      <c r="N106" s="2829"/>
      <c r="O106" s="2829"/>
      <c r="P106" s="2829"/>
      <c r="Q106" s="2829"/>
      <c r="R106" s="2829"/>
      <c r="S106" s="2830"/>
    </row>
    <row r="107" spans="2:19" ht="14.5" hidden="1" customHeight="1">
      <c r="B107" s="202"/>
      <c r="C107" s="846" t="str">
        <f>IF('Worksheet Common Lighting'!S162="","",'Common Lighting References'!$U$117)</f>
        <v/>
      </c>
      <c r="D107" s="846" t="str">
        <f>IF('Worksheet Common Lighting'!S162="","",'Worksheet Common Lighting'!G162)</f>
        <v/>
      </c>
      <c r="E107" s="846" t="str">
        <f>IF('Worksheet Common Lighting'!S162="","",'Worksheet Common Lighting'!I162)</f>
        <v/>
      </c>
      <c r="F107" s="202"/>
      <c r="H107" s="2335" t="str">
        <f>IF('Worksheet Common Lighting'!S162="","",'Worksheet Common Lighting'!E162)</f>
        <v/>
      </c>
      <c r="I107" s="2827"/>
      <c r="J107" s="2336"/>
      <c r="K107" s="202"/>
      <c r="M107" s="2828"/>
      <c r="N107" s="2829"/>
      <c r="O107" s="2829"/>
      <c r="P107" s="2829"/>
      <c r="Q107" s="2829"/>
      <c r="R107" s="2829"/>
      <c r="S107" s="2830"/>
    </row>
    <row r="108" spans="2:19" ht="14.5" hidden="1" customHeight="1">
      <c r="B108" s="202"/>
      <c r="C108" s="846" t="str">
        <f>IF('Worksheet Common Lighting'!S163="","",'Common Lighting References'!$U$117)</f>
        <v/>
      </c>
      <c r="D108" s="846" t="str">
        <f>IF('Worksheet Common Lighting'!S163="","",'Worksheet Common Lighting'!G163)</f>
        <v/>
      </c>
      <c r="E108" s="846" t="str">
        <f>IF('Worksheet Common Lighting'!S163="","",'Worksheet Common Lighting'!I163)</f>
        <v/>
      </c>
      <c r="F108" s="202"/>
      <c r="H108" s="2335" t="str">
        <f>IF('Worksheet Common Lighting'!S163="","",'Worksheet Common Lighting'!E163)</f>
        <v/>
      </c>
      <c r="I108" s="2827"/>
      <c r="J108" s="2336"/>
      <c r="K108" s="202"/>
      <c r="M108" s="2828"/>
      <c r="N108" s="2829"/>
      <c r="O108" s="2829"/>
      <c r="P108" s="2829"/>
      <c r="Q108" s="2829"/>
      <c r="R108" s="2829"/>
      <c r="S108" s="2830"/>
    </row>
    <row r="109" spans="2:19" ht="14.5" hidden="1" customHeight="1">
      <c r="B109" s="202"/>
      <c r="C109" s="846" t="str">
        <f>IF('Worksheet Common Lighting'!S164="","",'Common Lighting References'!$U$117)</f>
        <v/>
      </c>
      <c r="D109" s="846" t="str">
        <f>IF('Worksheet Common Lighting'!S164="","",'Worksheet Common Lighting'!G164)</f>
        <v/>
      </c>
      <c r="E109" s="846" t="str">
        <f>IF('Worksheet Common Lighting'!S164="","",'Worksheet Common Lighting'!I164)</f>
        <v/>
      </c>
      <c r="F109" s="202"/>
      <c r="H109" s="2335" t="str">
        <f>IF('Worksheet Common Lighting'!S164="","",'Worksheet Common Lighting'!E164)</f>
        <v/>
      </c>
      <c r="I109" s="2827"/>
      <c r="J109" s="2336"/>
      <c r="K109" s="202"/>
      <c r="M109" s="2828"/>
      <c r="N109" s="2829"/>
      <c r="O109" s="2829"/>
      <c r="P109" s="2829"/>
      <c r="Q109" s="2829"/>
      <c r="R109" s="2829"/>
      <c r="S109" s="2830"/>
    </row>
    <row r="110" spans="2:19" hidden="1">
      <c r="B110" s="202"/>
      <c r="C110" s="846" t="str">
        <f>IF('Worksheet Common Lighting'!Q169="","",'Common Lighting References'!U121)</f>
        <v xml:space="preserve">Wall Mounted </v>
      </c>
      <c r="D110" s="846">
        <f>IF('Worksheet Common Lighting'!Q169="","",'Worksheet Common Lighting'!G169)</f>
        <v>15</v>
      </c>
      <c r="E110" s="846"/>
      <c r="F110" s="202"/>
      <c r="H110" s="2650"/>
      <c r="I110" s="2650"/>
      <c r="J110" s="2650"/>
      <c r="K110" s="202"/>
      <c r="M110" s="2828"/>
      <c r="N110" s="2829"/>
      <c r="O110" s="2829"/>
      <c r="P110" s="2829"/>
      <c r="Q110" s="2829"/>
      <c r="R110" s="2829"/>
      <c r="S110" s="2830"/>
    </row>
    <row r="111" spans="2:19" hidden="1">
      <c r="B111" s="202"/>
      <c r="C111" s="846" t="str">
        <f>IF('Worksheet Common Lighting'!Q170="","",'Common Lighting References'!U122)</f>
        <v/>
      </c>
      <c r="D111" s="846" t="str">
        <f>IF('Worksheet Common Lighting'!Q170="","",'Worksheet Common Lighting'!G170)</f>
        <v/>
      </c>
      <c r="E111" s="846"/>
      <c r="F111" s="202"/>
      <c r="H111" s="2650"/>
      <c r="I111" s="2650"/>
      <c r="J111" s="2650"/>
      <c r="K111" s="202"/>
      <c r="M111" s="2828"/>
      <c r="N111" s="2829"/>
      <c r="O111" s="2829"/>
      <c r="P111" s="2829"/>
      <c r="Q111" s="2829"/>
      <c r="R111" s="2829"/>
      <c r="S111" s="2830"/>
    </row>
    <row r="112" spans="2:19" hidden="1">
      <c r="B112" s="202"/>
      <c r="C112" s="846" t="str">
        <f>IF('Worksheet Common Lighting'!Q171="","",'Common Lighting References'!U123)</f>
        <v/>
      </c>
      <c r="D112" s="846" t="str">
        <f>IF('Worksheet Common Lighting'!Q171="","",'Worksheet Common Lighting'!G171)</f>
        <v/>
      </c>
      <c r="E112" s="846"/>
      <c r="F112" s="202"/>
      <c r="H112" s="2650"/>
      <c r="I112" s="2650"/>
      <c r="J112" s="2650"/>
      <c r="K112" s="202"/>
      <c r="M112" s="2828"/>
      <c r="N112" s="2829"/>
      <c r="O112" s="2829"/>
      <c r="P112" s="2829"/>
      <c r="Q112" s="2829"/>
      <c r="R112" s="2829"/>
      <c r="S112" s="2830"/>
    </row>
    <row r="113" spans="2:19" hidden="1">
      <c r="B113" s="202"/>
      <c r="C113" s="846" t="str">
        <f>IF('Worksheet Common Lighting'!Q172="","",'Common Lighting References'!U124)</f>
        <v/>
      </c>
      <c r="D113" s="846" t="str">
        <f>IF('Worksheet Common Lighting'!Q172="","",'Worksheet Common Lighting'!G172)</f>
        <v/>
      </c>
      <c r="E113" s="846"/>
      <c r="F113" s="202"/>
      <c r="H113" s="2650"/>
      <c r="I113" s="2650"/>
      <c r="J113" s="2650"/>
      <c r="K113" s="202"/>
      <c r="M113" s="2828"/>
      <c r="N113" s="2829"/>
      <c r="O113" s="2829"/>
      <c r="P113" s="2829"/>
      <c r="Q113" s="2829"/>
      <c r="R113" s="2829"/>
      <c r="S113" s="2830"/>
    </row>
    <row r="114" spans="2:19" ht="14.5" hidden="1" customHeight="1">
      <c r="B114" s="202"/>
      <c r="C114" s="846" t="str">
        <f>IF('Worksheet Common Lighting'!Q173="","",'Common Lighting References'!U126)</f>
        <v/>
      </c>
      <c r="D114" s="846" t="str">
        <f>IF('Worksheet Common Lighting'!Q173="","",'Worksheet Common Lighting'!G173)</f>
        <v/>
      </c>
      <c r="E114" s="846"/>
      <c r="F114" s="202"/>
      <c r="H114" s="2650"/>
      <c r="I114" s="2650"/>
      <c r="J114" s="2650"/>
      <c r="K114" s="202"/>
      <c r="M114" s="2828"/>
      <c r="N114" s="2829"/>
      <c r="O114" s="2829"/>
      <c r="P114" s="2829"/>
      <c r="Q114" s="2829"/>
      <c r="R114" s="2829"/>
      <c r="S114" s="2830"/>
    </row>
    <row r="115" spans="2:19" ht="14.5" hidden="1" customHeight="1">
      <c r="B115" s="202"/>
      <c r="C115" s="846" t="str">
        <f>IF('Worksheet Common Lighting'!S182="","",'Common Lighting References'!$U$51)</f>
        <v/>
      </c>
      <c r="D115" s="846" t="str">
        <f>IF('Worksheet Common Lighting'!S182="","",'Worksheet Common Lighting'!G182)</f>
        <v/>
      </c>
      <c r="E115" s="846" t="str">
        <f>IF('Worksheet Common Lighting'!S182="","",'Worksheet Common Lighting'!I182)</f>
        <v/>
      </c>
      <c r="F115" s="202"/>
      <c r="H115" s="2335" t="str">
        <f>IF('Worksheet Common Lighting'!S182="","",'Worksheet Common Lighting'!E182)</f>
        <v/>
      </c>
      <c r="I115" s="2827"/>
      <c r="J115" s="2336"/>
      <c r="K115" s="202"/>
      <c r="M115" s="2828"/>
      <c r="N115" s="2829"/>
      <c r="O115" s="2829"/>
      <c r="P115" s="2829"/>
      <c r="Q115" s="2829"/>
      <c r="R115" s="2829"/>
      <c r="S115" s="2830"/>
    </row>
    <row r="116" spans="2:19" ht="14.5" hidden="1" customHeight="1">
      <c r="B116" s="202"/>
      <c r="C116" s="846" t="str">
        <f>IF('Worksheet Common Lighting'!S183="","",'Common Lighting References'!$U$51)</f>
        <v/>
      </c>
      <c r="D116" s="846" t="str">
        <f>IF('Worksheet Common Lighting'!S183="","",'Worksheet Common Lighting'!G183)</f>
        <v/>
      </c>
      <c r="E116" s="846" t="str">
        <f>IF('Worksheet Common Lighting'!S183="","",'Worksheet Common Lighting'!I183)</f>
        <v/>
      </c>
      <c r="F116" s="202"/>
      <c r="H116" s="2335" t="str">
        <f>IF('Worksheet Common Lighting'!S183="","",'Worksheet Common Lighting'!E183)</f>
        <v/>
      </c>
      <c r="I116" s="2827"/>
      <c r="J116" s="2336"/>
      <c r="K116" s="202"/>
      <c r="M116" s="2828"/>
      <c r="N116" s="2829"/>
      <c r="O116" s="2829"/>
      <c r="P116" s="2829"/>
      <c r="Q116" s="2829"/>
      <c r="R116" s="2829"/>
      <c r="S116" s="2830"/>
    </row>
    <row r="117" spans="2:19" ht="14.5" hidden="1" customHeight="1">
      <c r="B117" s="202"/>
      <c r="C117" s="846" t="str">
        <f>IF('Worksheet Common Lighting'!S184="","",'Common Lighting References'!$U$51)</f>
        <v/>
      </c>
      <c r="D117" s="846" t="str">
        <f>IF('Worksheet Common Lighting'!S184="","",'Worksheet Common Lighting'!G184)</f>
        <v/>
      </c>
      <c r="E117" s="846" t="str">
        <f>IF('Worksheet Common Lighting'!S184="","",'Worksheet Common Lighting'!I184)</f>
        <v/>
      </c>
      <c r="F117" s="202"/>
      <c r="H117" s="2335" t="str">
        <f>IF('Worksheet Common Lighting'!S184="","",'Worksheet Common Lighting'!E184)</f>
        <v/>
      </c>
      <c r="I117" s="2827"/>
      <c r="J117" s="2336"/>
      <c r="K117" s="202"/>
      <c r="M117" s="2828"/>
      <c r="N117" s="2829"/>
      <c r="O117" s="2829"/>
      <c r="P117" s="2829"/>
      <c r="Q117" s="2829"/>
      <c r="R117" s="2829"/>
      <c r="S117" s="2830"/>
    </row>
    <row r="118" spans="2:19" hidden="1">
      <c r="B118" s="202"/>
      <c r="C118" s="846" t="str">
        <f>IF('Worksheet Common Lighting'!S185="","",'Common Lighting References'!$U$51)</f>
        <v/>
      </c>
      <c r="D118" s="846" t="str">
        <f>IF('Worksheet Common Lighting'!S185="","",'Worksheet Common Lighting'!G185)</f>
        <v/>
      </c>
      <c r="E118" s="846" t="str">
        <f>IF('Worksheet Common Lighting'!S185="","",'Worksheet Common Lighting'!I185)</f>
        <v/>
      </c>
      <c r="F118" s="202"/>
      <c r="H118" s="2335" t="str">
        <f>IF('Worksheet Common Lighting'!S185="","",'Worksheet Common Lighting'!E185)</f>
        <v/>
      </c>
      <c r="I118" s="2827"/>
      <c r="J118" s="2336"/>
      <c r="K118" s="202"/>
      <c r="M118" s="2828"/>
      <c r="N118" s="2829"/>
      <c r="O118" s="2829"/>
      <c r="P118" s="2829"/>
      <c r="Q118" s="2829"/>
      <c r="R118" s="2829"/>
      <c r="S118" s="2830"/>
    </row>
    <row r="119" spans="2:19" hidden="1">
      <c r="B119" s="202"/>
      <c r="C119" s="846" t="str">
        <f>IF('Worksheet Common Lighting'!S190="","",'Common Lighting References'!$U$53)</f>
        <v/>
      </c>
      <c r="D119" s="846" t="str">
        <f>IF('Worksheet Common Lighting'!S190="","",'Worksheet Common Lighting'!G190)</f>
        <v/>
      </c>
      <c r="E119" s="846" t="str">
        <f>IF('Worksheet Common Lighting'!S190="","",'Worksheet Common Lighting'!I190)</f>
        <v/>
      </c>
      <c r="F119" s="202"/>
      <c r="H119" s="2335" t="str">
        <f>IF('Worksheet Common Lighting'!S190="","",'Worksheet Common Lighting'!E190)</f>
        <v/>
      </c>
      <c r="I119" s="2827"/>
      <c r="J119" s="2336"/>
      <c r="K119" s="202"/>
      <c r="M119" s="2828"/>
      <c r="N119" s="2829"/>
      <c r="O119" s="2829"/>
      <c r="P119" s="2829"/>
      <c r="Q119" s="2829"/>
      <c r="R119" s="2829"/>
      <c r="S119" s="2830"/>
    </row>
    <row r="120" spans="2:19" hidden="1">
      <c r="B120" s="202"/>
      <c r="C120" s="846" t="str">
        <f>IF('Worksheet Common Lighting'!S191="","",'Common Lighting References'!$U$53)</f>
        <v/>
      </c>
      <c r="D120" s="846" t="str">
        <f>IF('Worksheet Common Lighting'!S191="","",'Worksheet Common Lighting'!G191)</f>
        <v/>
      </c>
      <c r="E120" s="846" t="str">
        <f>IF('Worksheet Common Lighting'!S191="","",'Worksheet Common Lighting'!I191)</f>
        <v/>
      </c>
      <c r="F120" s="202"/>
      <c r="H120" s="2335" t="str">
        <f>IF('Worksheet Common Lighting'!S191="","",'Worksheet Common Lighting'!E191)</f>
        <v/>
      </c>
      <c r="I120" s="2827"/>
      <c r="J120" s="2336"/>
      <c r="K120" s="202"/>
      <c r="M120" s="2828"/>
      <c r="N120" s="2829"/>
      <c r="O120" s="2829"/>
      <c r="P120" s="2829"/>
      <c r="Q120" s="2829"/>
      <c r="R120" s="2829"/>
      <c r="S120" s="2830"/>
    </row>
    <row r="121" spans="2:19" hidden="1">
      <c r="B121" s="202"/>
      <c r="C121" s="846" t="str">
        <f>IF('Worksheet Common Lighting'!S192="","",'Common Lighting References'!$U$53)</f>
        <v/>
      </c>
      <c r="D121" s="846" t="str">
        <f>IF('Worksheet Common Lighting'!S192="","",'Worksheet Common Lighting'!G192)</f>
        <v/>
      </c>
      <c r="E121" s="846" t="str">
        <f>IF('Worksheet Common Lighting'!S192="","",'Worksheet Common Lighting'!I192)</f>
        <v/>
      </c>
      <c r="F121" s="202"/>
      <c r="H121" s="2335" t="str">
        <f>IF('Worksheet Common Lighting'!S192="","",'Worksheet Common Lighting'!E192)</f>
        <v/>
      </c>
      <c r="I121" s="2827"/>
      <c r="J121" s="2336"/>
      <c r="K121" s="202"/>
      <c r="M121" s="2828"/>
      <c r="N121" s="2829"/>
      <c r="O121" s="2829"/>
      <c r="P121" s="2829"/>
      <c r="Q121" s="2829"/>
      <c r="R121" s="2829"/>
      <c r="S121" s="2830"/>
    </row>
    <row r="122" spans="2:19" ht="14.5" hidden="1" customHeight="1">
      <c r="B122" s="202"/>
      <c r="C122" s="846" t="str">
        <f>IF('Worksheet Common Lighting'!S193="","",'Common Lighting References'!$U$53)</f>
        <v/>
      </c>
      <c r="D122" s="846" t="str">
        <f>IF('Worksheet Common Lighting'!S193="","",'Worksheet Common Lighting'!G193)</f>
        <v/>
      </c>
      <c r="E122" s="846" t="str">
        <f>IF('Worksheet Common Lighting'!S193="","",'Worksheet Common Lighting'!I193)</f>
        <v/>
      </c>
      <c r="F122" s="202"/>
      <c r="H122" s="2335" t="str">
        <f>IF('Worksheet Common Lighting'!S193="","",'Worksheet Common Lighting'!E193)</f>
        <v/>
      </c>
      <c r="I122" s="2827"/>
      <c r="J122" s="2336"/>
      <c r="K122" s="202"/>
      <c r="M122" s="2828"/>
      <c r="N122" s="2829"/>
      <c r="O122" s="2829"/>
      <c r="P122" s="2829"/>
      <c r="Q122" s="2829"/>
      <c r="R122" s="2829"/>
      <c r="S122" s="2830"/>
    </row>
    <row r="123" spans="2:19" ht="14.5" hidden="1" customHeight="1">
      <c r="B123" s="202"/>
      <c r="C123" s="846" t="str">
        <f>IF('Worksheet Common Lighting'!S198="","",'Common Lighting References'!$U$55)</f>
        <v xml:space="preserve">LED Area Lighting Fixtures - Low, Mid </v>
      </c>
      <c r="D123" s="846">
        <f>IF('Worksheet Common Lighting'!S198="","",'Worksheet Common Lighting'!G198)</f>
        <v>10</v>
      </c>
      <c r="E123" s="846">
        <f>IF('Worksheet Common Lighting'!S198="","",'Worksheet Common Lighting'!I198)</f>
        <v>35</v>
      </c>
      <c r="F123" s="202"/>
      <c r="H123" s="2335" t="str">
        <f>IF('Worksheet Common Lighting'!S198="","",'Worksheet Common Lighting'!E198)</f>
        <v>New Install</v>
      </c>
      <c r="I123" s="2827"/>
      <c r="J123" s="2336"/>
      <c r="K123" s="202"/>
      <c r="M123" s="2828"/>
      <c r="N123" s="2829"/>
      <c r="O123" s="2829"/>
      <c r="P123" s="2829"/>
      <c r="Q123" s="2829"/>
      <c r="R123" s="2829"/>
      <c r="S123" s="2830"/>
    </row>
    <row r="124" spans="2:19" ht="14.5" hidden="1" customHeight="1">
      <c r="B124" s="202"/>
      <c r="C124" s="846" t="str">
        <f>IF('Worksheet Common Lighting'!S199="","",'Common Lighting References'!$U$55)</f>
        <v/>
      </c>
      <c r="D124" s="846" t="str">
        <f>IF('Worksheet Common Lighting'!S199="","",'Worksheet Common Lighting'!G199)</f>
        <v/>
      </c>
      <c r="E124" s="846" t="str">
        <f>IF('Worksheet Common Lighting'!S199="","",'Worksheet Common Lighting'!I199)</f>
        <v/>
      </c>
      <c r="F124" s="202"/>
      <c r="H124" s="2335" t="str">
        <f>IF('Worksheet Common Lighting'!S199="","",'Worksheet Common Lighting'!E199)</f>
        <v/>
      </c>
      <c r="I124" s="2827"/>
      <c r="J124" s="2336"/>
      <c r="K124" s="202"/>
      <c r="M124" s="2828"/>
      <c r="N124" s="2829"/>
      <c r="O124" s="2829"/>
      <c r="P124" s="2829"/>
      <c r="Q124" s="2829"/>
      <c r="R124" s="2829"/>
      <c r="S124" s="2830"/>
    </row>
    <row r="125" spans="2:19" ht="14.5" hidden="1" customHeight="1">
      <c r="B125" s="202"/>
      <c r="C125" s="846" t="str">
        <f>IF('Worksheet Common Lighting'!S200="","",'Common Lighting References'!$U$55)</f>
        <v/>
      </c>
      <c r="D125" s="846" t="str">
        <f>IF('Worksheet Common Lighting'!S200="","",'Worksheet Common Lighting'!G200)</f>
        <v/>
      </c>
      <c r="E125" s="846" t="str">
        <f>IF('Worksheet Common Lighting'!S200="","",'Worksheet Common Lighting'!I200)</f>
        <v/>
      </c>
      <c r="F125" s="202"/>
      <c r="H125" s="2335" t="str">
        <f>IF('Worksheet Common Lighting'!S200="","",'Worksheet Common Lighting'!E200)</f>
        <v/>
      </c>
      <c r="I125" s="2827"/>
      <c r="J125" s="2336"/>
      <c r="K125" s="202"/>
      <c r="M125" s="2828"/>
      <c r="N125" s="2829"/>
      <c r="O125" s="2829"/>
      <c r="P125" s="2829"/>
      <c r="Q125" s="2829"/>
      <c r="R125" s="2829"/>
      <c r="S125" s="2830"/>
    </row>
    <row r="126" spans="2:19" hidden="1">
      <c r="B126" s="202"/>
      <c r="C126" s="846" t="str">
        <f>IF('Worksheet Common Lighting'!S201="","",'Common Lighting References'!$U$55)</f>
        <v/>
      </c>
      <c r="D126" s="846" t="str">
        <f>IF('Worksheet Common Lighting'!S201="","",'Worksheet Common Lighting'!G201)</f>
        <v/>
      </c>
      <c r="E126" s="846" t="str">
        <f>IF('Worksheet Common Lighting'!S201="","",'Worksheet Common Lighting'!I201)</f>
        <v/>
      </c>
      <c r="F126" s="202"/>
      <c r="H126" s="2335" t="str">
        <f>IF('Worksheet Common Lighting'!S201="","",'Worksheet Common Lighting'!E201)</f>
        <v/>
      </c>
      <c r="I126" s="2827"/>
      <c r="J126" s="2336"/>
      <c r="K126" s="202"/>
      <c r="M126" s="2828"/>
      <c r="N126" s="2829"/>
      <c r="O126" s="2829"/>
      <c r="P126" s="2829"/>
      <c r="Q126" s="2829"/>
      <c r="R126" s="2829"/>
      <c r="S126" s="2830"/>
    </row>
    <row r="127" spans="2:19" hidden="1">
      <c r="B127" s="202"/>
      <c r="C127" s="846" t="str">
        <f>IF('Worksheet Common Lighting'!S206="","",'Common Lighting References'!$U$57)</f>
        <v/>
      </c>
      <c r="D127" s="846" t="str">
        <f>IF('Worksheet Common Lighting'!S206="","",'Worksheet Common Lighting'!G206)</f>
        <v/>
      </c>
      <c r="E127" s="846" t="str">
        <f>IF('Worksheet Common Lighting'!S206="","",'Worksheet Common Lighting'!I206)</f>
        <v/>
      </c>
      <c r="F127" s="202"/>
      <c r="H127" s="2335" t="str">
        <f>IF('Worksheet Common Lighting'!S206="","",'Worksheet Common Lighting'!E206)</f>
        <v/>
      </c>
      <c r="I127" s="2827"/>
      <c r="J127" s="2336"/>
      <c r="K127" s="202"/>
      <c r="M127" s="2828"/>
      <c r="N127" s="2829"/>
      <c r="O127" s="2829"/>
      <c r="P127" s="2829"/>
      <c r="Q127" s="2829"/>
      <c r="R127" s="2829"/>
      <c r="S127" s="2830"/>
    </row>
    <row r="128" spans="2:19" hidden="1">
      <c r="B128" s="202"/>
      <c r="C128" s="846" t="str">
        <f>IF('Worksheet Common Lighting'!S207="","",'Common Lighting References'!$U$57)</f>
        <v/>
      </c>
      <c r="D128" s="846" t="str">
        <f>IF('Worksheet Common Lighting'!S207="","",'Worksheet Common Lighting'!G207)</f>
        <v/>
      </c>
      <c r="E128" s="846" t="str">
        <f>IF('Worksheet Common Lighting'!S207="","",'Worksheet Common Lighting'!I207)</f>
        <v/>
      </c>
      <c r="F128" s="202"/>
      <c r="H128" s="2335" t="str">
        <f>IF('Worksheet Common Lighting'!S207="","",'Worksheet Common Lighting'!E207)</f>
        <v/>
      </c>
      <c r="I128" s="2827"/>
      <c r="J128" s="2336"/>
      <c r="K128" s="202"/>
      <c r="M128" s="2828"/>
      <c r="N128" s="2829"/>
      <c r="O128" s="2829"/>
      <c r="P128" s="2829"/>
      <c r="Q128" s="2829"/>
      <c r="R128" s="2829"/>
      <c r="S128" s="2830"/>
    </row>
    <row r="129" spans="2:19" hidden="1">
      <c r="B129" s="202"/>
      <c r="C129" s="846" t="str">
        <f>IF('Worksheet Common Lighting'!S208="","",'Common Lighting References'!$U$57)</f>
        <v/>
      </c>
      <c r="D129" s="846" t="str">
        <f>IF('Worksheet Common Lighting'!S208="","",'Worksheet Common Lighting'!G208)</f>
        <v/>
      </c>
      <c r="E129" s="846" t="str">
        <f>IF('Worksheet Common Lighting'!S208="","",'Worksheet Common Lighting'!I208)</f>
        <v/>
      </c>
      <c r="F129" s="202"/>
      <c r="H129" s="2335" t="str">
        <f>IF('Worksheet Common Lighting'!S208="","",'Worksheet Common Lighting'!E208)</f>
        <v/>
      </c>
      <c r="I129" s="2827"/>
      <c r="J129" s="2336"/>
      <c r="K129" s="202"/>
      <c r="M129" s="2828"/>
      <c r="N129" s="2829"/>
      <c r="O129" s="2829"/>
      <c r="P129" s="2829"/>
      <c r="Q129" s="2829"/>
      <c r="R129" s="2829"/>
      <c r="S129" s="2830"/>
    </row>
    <row r="130" spans="2:19" ht="14.5" hidden="1" customHeight="1">
      <c r="B130" s="202"/>
      <c r="C130" s="846" t="str">
        <f>IF('Worksheet Common Lighting'!S209="","",'Common Lighting References'!$U$57)</f>
        <v/>
      </c>
      <c r="D130" s="846" t="str">
        <f>IF('Worksheet Common Lighting'!S209="","",'Worksheet Common Lighting'!G209)</f>
        <v/>
      </c>
      <c r="E130" s="846" t="str">
        <f>IF('Worksheet Common Lighting'!S209="","",'Worksheet Common Lighting'!I209)</f>
        <v/>
      </c>
      <c r="F130" s="202"/>
      <c r="H130" s="2335" t="str">
        <f>IF('Worksheet Common Lighting'!S209="","",'Worksheet Common Lighting'!E209)</f>
        <v/>
      </c>
      <c r="I130" s="2827"/>
      <c r="J130" s="2336"/>
      <c r="K130" s="202"/>
      <c r="M130" s="2828"/>
      <c r="N130" s="2829"/>
      <c r="O130" s="2829"/>
      <c r="P130" s="2829"/>
      <c r="Q130" s="2829"/>
      <c r="R130" s="2829"/>
      <c r="S130" s="2830"/>
    </row>
    <row r="131" spans="2:19" ht="14.5" hidden="1" customHeight="1">
      <c r="B131" s="202"/>
      <c r="C131" s="846" t="str">
        <f>IF('Worksheet Common Lighting'!S214="","",'Common Lighting References'!$U$59)</f>
        <v/>
      </c>
      <c r="D131" s="846" t="str">
        <f>IF('Worksheet Common Lighting'!S214="","",'Worksheet Common Lighting'!G214)</f>
        <v/>
      </c>
      <c r="E131" s="846" t="str">
        <f>IF('Worksheet Common Lighting'!S214="","",'Worksheet Common Lighting'!I214)</f>
        <v/>
      </c>
      <c r="F131" s="202"/>
      <c r="H131" s="2335" t="str">
        <f>IF('Worksheet Common Lighting'!S214="","",'Worksheet Common Lighting'!E214)</f>
        <v/>
      </c>
      <c r="I131" s="2827"/>
      <c r="J131" s="2336"/>
      <c r="K131" s="202"/>
      <c r="M131" s="2828"/>
      <c r="N131" s="2829"/>
      <c r="O131" s="2829"/>
      <c r="P131" s="2829"/>
      <c r="Q131" s="2829"/>
      <c r="R131" s="2829"/>
      <c r="S131" s="2830"/>
    </row>
    <row r="132" spans="2:19" ht="14.5" hidden="1" customHeight="1">
      <c r="B132" s="202"/>
      <c r="C132" s="846" t="str">
        <f>IF('Worksheet Common Lighting'!S215="","",'Common Lighting References'!$U$59)</f>
        <v/>
      </c>
      <c r="D132" s="846" t="str">
        <f>IF('Worksheet Common Lighting'!S215="","",'Worksheet Common Lighting'!G215)</f>
        <v/>
      </c>
      <c r="E132" s="846" t="str">
        <f>IF('Worksheet Common Lighting'!S215="","",'Worksheet Common Lighting'!I215)</f>
        <v/>
      </c>
      <c r="F132" s="202"/>
      <c r="H132" s="2335" t="str">
        <f>IF('Worksheet Common Lighting'!S215="","",'Worksheet Common Lighting'!E215)</f>
        <v/>
      </c>
      <c r="I132" s="2827"/>
      <c r="J132" s="2336"/>
      <c r="K132" s="202"/>
      <c r="M132" s="2828"/>
      <c r="N132" s="2829"/>
      <c r="O132" s="2829"/>
      <c r="P132" s="2829"/>
      <c r="Q132" s="2829"/>
      <c r="R132" s="2829"/>
      <c r="S132" s="2830"/>
    </row>
    <row r="133" spans="2:19" ht="14.5" hidden="1" customHeight="1">
      <c r="B133" s="202"/>
      <c r="C133" s="846" t="str">
        <f>IF('Worksheet Common Lighting'!S216="","",'Common Lighting References'!$U$59)</f>
        <v/>
      </c>
      <c r="D133" s="846" t="str">
        <f>IF('Worksheet Common Lighting'!S216="","",'Worksheet Common Lighting'!G216)</f>
        <v/>
      </c>
      <c r="E133" s="846" t="str">
        <f>IF('Worksheet Common Lighting'!S216="","",'Worksheet Common Lighting'!I216)</f>
        <v/>
      </c>
      <c r="F133" s="202"/>
      <c r="H133" s="2335" t="str">
        <f>IF('Worksheet Common Lighting'!S216="","",'Worksheet Common Lighting'!E216)</f>
        <v/>
      </c>
      <c r="I133" s="2827"/>
      <c r="J133" s="2336"/>
      <c r="K133" s="202"/>
      <c r="M133" s="2828"/>
      <c r="N133" s="2829"/>
      <c r="O133" s="2829"/>
      <c r="P133" s="2829"/>
      <c r="Q133" s="2829"/>
      <c r="R133" s="2829"/>
      <c r="S133" s="2830"/>
    </row>
    <row r="134" spans="2:19" hidden="1">
      <c r="B134" s="202"/>
      <c r="C134" s="846" t="str">
        <f>IF('Worksheet Common Lighting'!S217="","",'Common Lighting References'!$U$59)</f>
        <v/>
      </c>
      <c r="D134" s="846" t="str">
        <f>IF('Worksheet Common Lighting'!S217="","",'Worksheet Common Lighting'!G217)</f>
        <v/>
      </c>
      <c r="E134" s="846" t="str">
        <f>IF('Worksheet Common Lighting'!S217="","",'Worksheet Common Lighting'!I217)</f>
        <v/>
      </c>
      <c r="F134" s="202"/>
      <c r="H134" s="2335" t="str">
        <f>IF('Worksheet Common Lighting'!S217="","",'Worksheet Common Lighting'!E217)</f>
        <v/>
      </c>
      <c r="I134" s="2827"/>
      <c r="J134" s="2336"/>
      <c r="K134" s="202"/>
      <c r="M134" s="2828"/>
      <c r="N134" s="2829"/>
      <c r="O134" s="2829"/>
      <c r="P134" s="2829"/>
      <c r="Q134" s="2829"/>
      <c r="R134" s="2829"/>
      <c r="S134" s="2830"/>
    </row>
    <row r="135" spans="2:19" hidden="1">
      <c r="B135" s="202"/>
      <c r="C135" s="846" t="str">
        <f>IF('Worksheet Common Lighting'!S222="","",'Common Lighting References'!$U$60)</f>
        <v/>
      </c>
      <c r="D135" s="846" t="str">
        <f>IF('Worksheet Common Lighting'!S222="","",'Worksheet Common Lighting'!G222)</f>
        <v/>
      </c>
      <c r="E135" s="846" t="str">
        <f>IF('Worksheet Common Lighting'!S222="","",'Worksheet Common Lighting'!I222)</f>
        <v/>
      </c>
      <c r="F135" s="202"/>
      <c r="H135" s="2335" t="str">
        <f>IF('Worksheet Common Lighting'!S222="","",'Worksheet Common Lighting'!E222)</f>
        <v/>
      </c>
      <c r="I135" s="2827"/>
      <c r="J135" s="2336"/>
      <c r="K135" s="202"/>
      <c r="M135" s="2828"/>
      <c r="N135" s="2829"/>
      <c r="O135" s="2829"/>
      <c r="P135" s="2829"/>
      <c r="Q135" s="2829"/>
      <c r="R135" s="2829"/>
      <c r="S135" s="2830"/>
    </row>
    <row r="136" spans="2:19" hidden="1">
      <c r="B136" s="202"/>
      <c r="C136" s="846" t="str">
        <f>IF('Worksheet Common Lighting'!S223="","",'Common Lighting References'!$U$60)</f>
        <v/>
      </c>
      <c r="D136" s="846" t="str">
        <f>IF('Worksheet Common Lighting'!S223="","",'Worksheet Common Lighting'!G223)</f>
        <v/>
      </c>
      <c r="E136" s="846" t="str">
        <f>IF('Worksheet Common Lighting'!S223="","",'Worksheet Common Lighting'!I223)</f>
        <v/>
      </c>
      <c r="F136" s="202"/>
      <c r="H136" s="2335" t="str">
        <f>IF('Worksheet Common Lighting'!S223="","",'Worksheet Common Lighting'!E223)</f>
        <v/>
      </c>
      <c r="I136" s="2827"/>
      <c r="J136" s="2336"/>
      <c r="K136" s="202"/>
      <c r="M136" s="2828"/>
      <c r="N136" s="2829"/>
      <c r="O136" s="2829"/>
      <c r="P136" s="2829"/>
      <c r="Q136" s="2829"/>
      <c r="R136" s="2829"/>
      <c r="S136" s="2830"/>
    </row>
    <row r="137" spans="2:19" hidden="1">
      <c r="B137" s="202"/>
      <c r="C137" s="846" t="str">
        <f>IF('Worksheet Common Lighting'!S224="","",'Common Lighting References'!$U$60)</f>
        <v/>
      </c>
      <c r="D137" s="846" t="str">
        <f>IF('Worksheet Common Lighting'!S224="","",'Worksheet Common Lighting'!G224)</f>
        <v/>
      </c>
      <c r="E137" s="846" t="str">
        <f>IF('Worksheet Common Lighting'!S224="","",'Worksheet Common Lighting'!I224)</f>
        <v/>
      </c>
      <c r="F137" s="202"/>
      <c r="H137" s="2335" t="str">
        <f>IF('Worksheet Common Lighting'!S224="","",'Worksheet Common Lighting'!E224)</f>
        <v/>
      </c>
      <c r="I137" s="2827"/>
      <c r="J137" s="2336"/>
      <c r="K137" s="202"/>
      <c r="M137" s="2828"/>
      <c r="N137" s="2829"/>
      <c r="O137" s="2829"/>
      <c r="P137" s="2829"/>
      <c r="Q137" s="2829"/>
      <c r="R137" s="2829"/>
      <c r="S137" s="2830"/>
    </row>
    <row r="138" spans="2:19" ht="14.5" hidden="1" customHeight="1">
      <c r="B138" s="202"/>
      <c r="C138" s="846" t="str">
        <f>IF('Worksheet Common Lighting'!S225="","",'Common Lighting References'!$U$60)</f>
        <v/>
      </c>
      <c r="D138" s="846" t="str">
        <f>IF('Worksheet Common Lighting'!S225="","",'Worksheet Common Lighting'!G225)</f>
        <v/>
      </c>
      <c r="E138" s="846" t="str">
        <f>IF('Worksheet Common Lighting'!S225="","",'Worksheet Common Lighting'!I225)</f>
        <v/>
      </c>
      <c r="F138" s="202"/>
      <c r="H138" s="2335" t="str">
        <f>IF('Worksheet Common Lighting'!S225="","",'Worksheet Common Lighting'!E225)</f>
        <v/>
      </c>
      <c r="I138" s="2827"/>
      <c r="J138" s="2336"/>
      <c r="K138" s="202"/>
      <c r="M138" s="2828"/>
      <c r="N138" s="2829"/>
      <c r="O138" s="2829"/>
      <c r="P138" s="2829"/>
      <c r="Q138" s="2829"/>
      <c r="R138" s="2829"/>
      <c r="S138" s="2830"/>
    </row>
    <row r="139" spans="2:19" ht="14.5" hidden="1" customHeight="1">
      <c r="B139" s="202"/>
      <c r="C139" s="846" t="str">
        <f>IF('Worksheet Common Lighting'!S231="","",'Common Lighting References'!$U$61)</f>
        <v/>
      </c>
      <c r="D139" s="846" t="str">
        <f>IF('Worksheet Common Lighting'!S231="","",'Worksheet Common Lighting'!G231)</f>
        <v/>
      </c>
      <c r="E139" s="846" t="str">
        <f>IF('Worksheet Common Lighting'!S231="","",'Worksheet Common Lighting'!I231)</f>
        <v/>
      </c>
      <c r="F139" s="202"/>
      <c r="H139" s="2335" t="str">
        <f>IF('Worksheet Common Lighting'!S231="","",'Worksheet Common Lighting'!E231)</f>
        <v/>
      </c>
      <c r="I139" s="2827"/>
      <c r="J139" s="2336"/>
      <c r="K139" s="202"/>
      <c r="M139" s="2828"/>
      <c r="N139" s="2829"/>
      <c r="O139" s="2829"/>
      <c r="P139" s="2829"/>
      <c r="Q139" s="2829"/>
      <c r="R139" s="2829"/>
      <c r="S139" s="2830"/>
    </row>
    <row r="140" spans="2:19" ht="14.5" hidden="1" customHeight="1">
      <c r="B140" s="202"/>
      <c r="C140" s="846" t="str">
        <f>IF('Worksheet Common Lighting'!S232="","",'Common Lighting References'!$U$61)</f>
        <v/>
      </c>
      <c r="D140" s="846" t="str">
        <f>IF('Worksheet Common Lighting'!S232="","",'Worksheet Common Lighting'!G232)</f>
        <v/>
      </c>
      <c r="E140" s="846" t="str">
        <f>IF('Worksheet Common Lighting'!S232="","",'Worksheet Common Lighting'!I232)</f>
        <v/>
      </c>
      <c r="F140" s="202"/>
      <c r="H140" s="2335" t="str">
        <f>IF('Worksheet Common Lighting'!S232="","",'Worksheet Common Lighting'!E232)</f>
        <v/>
      </c>
      <c r="I140" s="2827"/>
      <c r="J140" s="2336"/>
      <c r="K140" s="202"/>
      <c r="M140" s="2828"/>
      <c r="N140" s="2829"/>
      <c r="O140" s="2829"/>
      <c r="P140" s="2829"/>
      <c r="Q140" s="2829"/>
      <c r="R140" s="2829"/>
      <c r="S140" s="2830"/>
    </row>
    <row r="141" spans="2:19" ht="14.5" hidden="1" customHeight="1">
      <c r="B141" s="202"/>
      <c r="C141" s="846" t="str">
        <f>IF('Worksheet Common Lighting'!S233="","",'Common Lighting References'!$U$61)</f>
        <v/>
      </c>
      <c r="D141" s="846" t="str">
        <f>IF('Worksheet Common Lighting'!S233="","",'Worksheet Common Lighting'!G233)</f>
        <v/>
      </c>
      <c r="E141" s="846" t="str">
        <f>IF('Worksheet Common Lighting'!S233="","",'Worksheet Common Lighting'!I233)</f>
        <v/>
      </c>
      <c r="F141" s="202"/>
      <c r="H141" s="2335" t="str">
        <f>IF('Worksheet Common Lighting'!S233="","",'Worksheet Common Lighting'!E233)</f>
        <v/>
      </c>
      <c r="I141" s="2827"/>
      <c r="J141" s="2336"/>
      <c r="K141" s="202"/>
      <c r="M141" s="2828"/>
      <c r="N141" s="2829"/>
      <c r="O141" s="2829"/>
      <c r="P141" s="2829"/>
      <c r="Q141" s="2829"/>
      <c r="R141" s="2829"/>
      <c r="S141" s="2830"/>
    </row>
    <row r="142" spans="2:19" hidden="1">
      <c r="B142" s="202"/>
      <c r="C142" s="846" t="str">
        <f>IF('Worksheet Common Lighting'!S234="","",'Common Lighting References'!$U$61)</f>
        <v/>
      </c>
      <c r="D142" s="846" t="str">
        <f>IF('Worksheet Common Lighting'!S234="","",'Worksheet Common Lighting'!G234)</f>
        <v/>
      </c>
      <c r="E142" s="846" t="str">
        <f>IF('Worksheet Common Lighting'!S234="","",'Worksheet Common Lighting'!I234)</f>
        <v/>
      </c>
      <c r="F142" s="202"/>
      <c r="H142" s="2335" t="str">
        <f>IF('Worksheet Common Lighting'!S234="","",'Worksheet Common Lighting'!E234)</f>
        <v/>
      </c>
      <c r="I142" s="2827"/>
      <c r="J142" s="2336"/>
      <c r="K142" s="202"/>
      <c r="M142" s="2828"/>
      <c r="N142" s="2829"/>
      <c r="O142" s="2829"/>
      <c r="P142" s="2829"/>
      <c r="Q142" s="2829"/>
      <c r="R142" s="2829"/>
      <c r="S142" s="2830"/>
    </row>
    <row r="143" spans="2:19" hidden="1">
      <c r="B143" s="202"/>
      <c r="C143" s="846" t="str">
        <f>IF('Worksheet Common Lighting'!S239="","",'Common Lighting References'!$U$63)</f>
        <v/>
      </c>
      <c r="D143" s="846" t="str">
        <f>IF('Worksheet Common Lighting'!S239="","",'Worksheet Common Lighting'!G239)</f>
        <v/>
      </c>
      <c r="E143" s="846" t="str">
        <f>IF('Worksheet Common Lighting'!S239="","",'Worksheet Common Lighting'!I239)</f>
        <v/>
      </c>
      <c r="F143" s="202"/>
      <c r="H143" s="2335" t="str">
        <f>IF('Worksheet Common Lighting'!S239="","",'Worksheet Common Lighting'!E239)</f>
        <v/>
      </c>
      <c r="I143" s="2827"/>
      <c r="J143" s="2336"/>
      <c r="K143" s="202"/>
      <c r="M143" s="2828"/>
      <c r="N143" s="2829"/>
      <c r="O143" s="2829"/>
      <c r="P143" s="2829"/>
      <c r="Q143" s="2829"/>
      <c r="R143" s="2829"/>
      <c r="S143" s="2830"/>
    </row>
    <row r="144" spans="2:19" hidden="1">
      <c r="B144" s="202"/>
      <c r="C144" s="846" t="str">
        <f>IF('Worksheet Common Lighting'!S240="","",'Common Lighting References'!$U$63)</f>
        <v/>
      </c>
      <c r="D144" s="846" t="str">
        <f>IF('Worksheet Common Lighting'!S240="","",'Worksheet Common Lighting'!G240)</f>
        <v/>
      </c>
      <c r="E144" s="846" t="str">
        <f>IF('Worksheet Common Lighting'!S240="","",'Worksheet Common Lighting'!I240)</f>
        <v/>
      </c>
      <c r="F144" s="202"/>
      <c r="H144" s="2335" t="str">
        <f>IF('Worksheet Common Lighting'!S240="","",'Worksheet Common Lighting'!E240)</f>
        <v/>
      </c>
      <c r="I144" s="2827"/>
      <c r="J144" s="2336"/>
      <c r="K144" s="202"/>
      <c r="M144" s="2828"/>
      <c r="N144" s="2829"/>
      <c r="O144" s="2829"/>
      <c r="P144" s="2829"/>
      <c r="Q144" s="2829"/>
      <c r="R144" s="2829"/>
      <c r="S144" s="2830"/>
    </row>
    <row r="145" spans="2:19" hidden="1">
      <c r="B145" s="202"/>
      <c r="C145" s="846" t="str">
        <f>IF('Worksheet Common Lighting'!S241="","",'Common Lighting References'!$U$63)</f>
        <v/>
      </c>
      <c r="D145" s="846" t="str">
        <f>IF('Worksheet Common Lighting'!S241="","",'Worksheet Common Lighting'!G241)</f>
        <v/>
      </c>
      <c r="E145" s="846" t="str">
        <f>IF('Worksheet Common Lighting'!S241="","",'Worksheet Common Lighting'!I241)</f>
        <v/>
      </c>
      <c r="F145" s="202"/>
      <c r="H145" s="2335" t="str">
        <f>IF('Worksheet Common Lighting'!S241="","",'Worksheet Common Lighting'!E241)</f>
        <v/>
      </c>
      <c r="I145" s="2827"/>
      <c r="J145" s="2336"/>
      <c r="K145" s="202"/>
      <c r="M145" s="2828"/>
      <c r="N145" s="2829"/>
      <c r="O145" s="2829"/>
      <c r="P145" s="2829"/>
      <c r="Q145" s="2829"/>
      <c r="R145" s="2829"/>
      <c r="S145" s="2830"/>
    </row>
    <row r="146" spans="2:19" ht="14.5" hidden="1" customHeight="1">
      <c r="B146" s="202"/>
      <c r="C146" s="846" t="str">
        <f>IF('Worksheet Common Lighting'!S242="","",'Common Lighting References'!$U$63)</f>
        <v/>
      </c>
      <c r="D146" s="846" t="str">
        <f>IF('Worksheet Common Lighting'!S242="","",'Worksheet Common Lighting'!G242)</f>
        <v/>
      </c>
      <c r="E146" s="846" t="str">
        <f>IF('Worksheet Common Lighting'!S242="","",'Worksheet Common Lighting'!I242)</f>
        <v/>
      </c>
      <c r="F146" s="202"/>
      <c r="H146" s="2335" t="str">
        <f>IF('Worksheet Common Lighting'!S242="","",'Worksheet Common Lighting'!E242)</f>
        <v/>
      </c>
      <c r="I146" s="2827"/>
      <c r="J146" s="2336"/>
      <c r="K146" s="202"/>
      <c r="M146" s="2828"/>
      <c r="N146" s="2829"/>
      <c r="O146" s="2829"/>
      <c r="P146" s="2829"/>
      <c r="Q146" s="2829"/>
      <c r="R146" s="2829"/>
      <c r="S146" s="2830"/>
    </row>
    <row r="147" spans="2:19" ht="14.5" hidden="1" customHeight="1">
      <c r="B147" s="202"/>
      <c r="C147" s="846" t="str">
        <f>IF('Worksheet Common Lighting'!S247="","",'Common Lighting References'!$U$65)</f>
        <v xml:space="preserve">LED Wall Mounted Full-Cutoff, Fixtures - Low, Mid </v>
      </c>
      <c r="D147" s="846">
        <f>IF('Worksheet Common Lighting'!S247="","",'Worksheet Common Lighting'!G247)</f>
        <v>54</v>
      </c>
      <c r="E147" s="846">
        <f>IF('Worksheet Common Lighting'!S247="","",'Worksheet Common Lighting'!I247)</f>
        <v>15</v>
      </c>
      <c r="F147" s="202"/>
      <c r="H147" s="2335" t="str">
        <f>IF('Worksheet Common Lighting'!S247="","",'Worksheet Common Lighting'!E247)</f>
        <v>New Install</v>
      </c>
      <c r="I147" s="2827"/>
      <c r="J147" s="2336"/>
      <c r="K147" s="202"/>
      <c r="M147" s="2828"/>
      <c r="N147" s="2829"/>
      <c r="O147" s="2829"/>
      <c r="P147" s="2829"/>
      <c r="Q147" s="2829"/>
      <c r="R147" s="2829"/>
      <c r="S147" s="2830"/>
    </row>
    <row r="148" spans="2:19" ht="14.5" hidden="1" customHeight="1">
      <c r="B148" s="202"/>
      <c r="C148" s="846" t="str">
        <f>IF('Worksheet Common Lighting'!S248="","",'Common Lighting References'!$U$65)</f>
        <v/>
      </c>
      <c r="D148" s="846" t="str">
        <f>IF('Worksheet Common Lighting'!S248="","",'Worksheet Common Lighting'!G248)</f>
        <v/>
      </c>
      <c r="E148" s="846" t="str">
        <f>IF('Worksheet Common Lighting'!S248="","",'Worksheet Common Lighting'!I248)</f>
        <v/>
      </c>
      <c r="F148" s="202"/>
      <c r="H148" s="2335" t="str">
        <f>IF('Worksheet Common Lighting'!S248="","",'Worksheet Common Lighting'!E248)</f>
        <v/>
      </c>
      <c r="I148" s="2827"/>
      <c r="J148" s="2336"/>
      <c r="K148" s="202"/>
      <c r="M148" s="2828"/>
      <c r="N148" s="2829"/>
      <c r="O148" s="2829"/>
      <c r="P148" s="2829"/>
      <c r="Q148" s="2829"/>
      <c r="R148" s="2829"/>
      <c r="S148" s="2830"/>
    </row>
    <row r="149" spans="2:19" ht="14.5" hidden="1" customHeight="1">
      <c r="B149" s="202"/>
      <c r="C149" s="846" t="str">
        <f>IF('Worksheet Common Lighting'!S249="","",'Common Lighting References'!$U$65)</f>
        <v/>
      </c>
      <c r="D149" s="846" t="str">
        <f>IF('Worksheet Common Lighting'!S249="","",'Worksheet Common Lighting'!G249)</f>
        <v/>
      </c>
      <c r="E149" s="846" t="str">
        <f>IF('Worksheet Common Lighting'!S249="","",'Worksheet Common Lighting'!I249)</f>
        <v/>
      </c>
      <c r="F149" s="202"/>
      <c r="H149" s="2335" t="str">
        <f>IF('Worksheet Common Lighting'!S249="","",'Worksheet Common Lighting'!E249)</f>
        <v/>
      </c>
      <c r="I149" s="2827"/>
      <c r="J149" s="2336"/>
      <c r="K149" s="202"/>
      <c r="M149" s="2828"/>
      <c r="N149" s="2829"/>
      <c r="O149" s="2829"/>
      <c r="P149" s="2829"/>
      <c r="Q149" s="2829"/>
      <c r="R149" s="2829"/>
      <c r="S149" s="2830"/>
    </row>
    <row r="150" spans="2:19" hidden="1">
      <c r="B150" s="202"/>
      <c r="C150" s="846" t="str">
        <f>IF('Worksheet Common Lighting'!S250="","",'Common Lighting References'!$U$65)</f>
        <v/>
      </c>
      <c r="D150" s="846" t="str">
        <f>IF('Worksheet Common Lighting'!S250="","",'Worksheet Common Lighting'!G250)</f>
        <v/>
      </c>
      <c r="E150" s="846" t="str">
        <f>IF('Worksheet Common Lighting'!S250="","",'Worksheet Common Lighting'!I250)</f>
        <v/>
      </c>
      <c r="F150" s="202"/>
      <c r="H150" s="2335" t="str">
        <f>IF('Worksheet Common Lighting'!S250="","",'Worksheet Common Lighting'!E250)</f>
        <v/>
      </c>
      <c r="I150" s="2827"/>
      <c r="J150" s="2336"/>
      <c r="K150" s="202"/>
      <c r="M150" s="2828"/>
      <c r="N150" s="2829"/>
      <c r="O150" s="2829"/>
      <c r="P150" s="2829"/>
      <c r="Q150" s="2829"/>
      <c r="R150" s="2829"/>
      <c r="S150" s="2830"/>
    </row>
    <row r="151" spans="2:19" hidden="1">
      <c r="B151" s="202"/>
      <c r="C151" s="846" t="str">
        <f>IF('Worksheet Common Lighting'!S255="","",'Common Lighting References'!$U$68)</f>
        <v/>
      </c>
      <c r="D151" s="846" t="str">
        <f>IF('Worksheet Common Lighting'!S255="","",'Worksheet Common Lighting'!G255)</f>
        <v/>
      </c>
      <c r="E151" s="846" t="str">
        <f>IF('Worksheet Common Lighting'!S255="","",'Worksheet Common Lighting'!I255)</f>
        <v/>
      </c>
      <c r="F151" s="202"/>
      <c r="H151" s="2335" t="str">
        <f>IF('Worksheet Common Lighting'!S255="","",'Worksheet Common Lighting'!E255)</f>
        <v/>
      </c>
      <c r="I151" s="2827"/>
      <c r="J151" s="2336"/>
      <c r="K151" s="202"/>
      <c r="M151" s="2828"/>
      <c r="N151" s="2829"/>
      <c r="O151" s="2829"/>
      <c r="P151" s="2829"/>
      <c r="Q151" s="2829"/>
      <c r="R151" s="2829"/>
      <c r="S151" s="2830"/>
    </row>
    <row r="152" spans="2:19" hidden="1">
      <c r="B152" s="202"/>
      <c r="C152" s="846" t="str">
        <f>IF('Worksheet Common Lighting'!S256="","",'Common Lighting References'!$U$68)</f>
        <v/>
      </c>
      <c r="D152" s="846" t="str">
        <f>IF('Worksheet Common Lighting'!S256="","",'Worksheet Common Lighting'!G256)</f>
        <v/>
      </c>
      <c r="E152" s="846" t="str">
        <f>IF('Worksheet Common Lighting'!S256="","",'Worksheet Common Lighting'!I256)</f>
        <v/>
      </c>
      <c r="F152" s="202"/>
      <c r="H152" s="2335" t="str">
        <f>IF('Worksheet Common Lighting'!S256="","",'Worksheet Common Lighting'!E256)</f>
        <v/>
      </c>
      <c r="I152" s="2827"/>
      <c r="J152" s="2336"/>
      <c r="K152" s="202"/>
      <c r="M152" s="2828"/>
      <c r="N152" s="2829"/>
      <c r="O152" s="2829"/>
      <c r="P152" s="2829"/>
      <c r="Q152" s="2829"/>
      <c r="R152" s="2829"/>
      <c r="S152" s="2830"/>
    </row>
    <row r="153" spans="2:19" hidden="1">
      <c r="B153" s="202"/>
      <c r="C153" s="846" t="str">
        <f>IF('Worksheet Common Lighting'!S257="","",'Common Lighting References'!$U$68)</f>
        <v/>
      </c>
      <c r="D153" s="846" t="str">
        <f>IF('Worksheet Common Lighting'!S257="","",'Worksheet Common Lighting'!G257)</f>
        <v/>
      </c>
      <c r="E153" s="846" t="str">
        <f>IF('Worksheet Common Lighting'!S257="","",'Worksheet Common Lighting'!I257)</f>
        <v/>
      </c>
      <c r="F153" s="202"/>
      <c r="H153" s="2335" t="str">
        <f>IF('Worksheet Common Lighting'!S257="","",'Worksheet Common Lighting'!E257)</f>
        <v/>
      </c>
      <c r="I153" s="2827"/>
      <c r="J153" s="2336"/>
      <c r="K153" s="202"/>
      <c r="M153" s="2828"/>
      <c r="N153" s="2829"/>
      <c r="O153" s="2829"/>
      <c r="P153" s="2829"/>
      <c r="Q153" s="2829"/>
      <c r="R153" s="2829"/>
      <c r="S153" s="2830"/>
    </row>
    <row r="154" spans="2:19" ht="14.5" hidden="1" customHeight="1">
      <c r="B154" s="202"/>
      <c r="C154" s="846" t="str">
        <f>IF('Worksheet Common Lighting'!S258="","",'Common Lighting References'!$U$68)</f>
        <v/>
      </c>
      <c r="D154" s="846" t="str">
        <f>IF('Worksheet Common Lighting'!S258="","",'Worksheet Common Lighting'!G258)</f>
        <v/>
      </c>
      <c r="E154" s="846" t="str">
        <f>IF('Worksheet Common Lighting'!S258="","",'Worksheet Common Lighting'!I258)</f>
        <v/>
      </c>
      <c r="F154" s="202"/>
      <c r="H154" s="2335" t="str">
        <f>IF('Worksheet Common Lighting'!S258="","",'Worksheet Common Lighting'!E258)</f>
        <v/>
      </c>
      <c r="I154" s="2827"/>
      <c r="J154" s="2336"/>
      <c r="K154" s="202"/>
      <c r="M154" s="2828"/>
      <c r="N154" s="2829"/>
      <c r="O154" s="2829"/>
      <c r="P154" s="2829"/>
      <c r="Q154" s="2829"/>
      <c r="R154" s="2829"/>
      <c r="S154" s="2830"/>
    </row>
    <row r="155" spans="2:19" ht="14.5" hidden="1" customHeight="1">
      <c r="B155" s="202"/>
      <c r="C155" s="846" t="str">
        <f>IF('Worksheet Common Lighting'!S263="","",'Common Lighting References'!$U$69)</f>
        <v/>
      </c>
      <c r="D155" s="846" t="str">
        <f>IF('Worksheet Common Lighting'!S263="","",'Worksheet Common Lighting'!G263)</f>
        <v/>
      </c>
      <c r="E155" s="846" t="str">
        <f>IF('Worksheet Common Lighting'!S263="","",'Worksheet Common Lighting'!I263)</f>
        <v/>
      </c>
      <c r="F155" s="202"/>
      <c r="H155" s="2335" t="str">
        <f>IF('Worksheet Common Lighting'!S263="","",'Worksheet Common Lighting'!E263)</f>
        <v/>
      </c>
      <c r="I155" s="2827"/>
      <c r="J155" s="2336"/>
      <c r="K155" s="202"/>
      <c r="M155" s="2828"/>
      <c r="N155" s="2829"/>
      <c r="O155" s="2829"/>
      <c r="P155" s="2829"/>
      <c r="Q155" s="2829"/>
      <c r="R155" s="2829"/>
      <c r="S155" s="2830"/>
    </row>
    <row r="156" spans="2:19" ht="14.5" hidden="1" customHeight="1">
      <c r="B156" s="202"/>
      <c r="C156" s="846" t="str">
        <f>IF('Worksheet Common Lighting'!S264="","",'Common Lighting References'!$U$69)</f>
        <v/>
      </c>
      <c r="D156" s="846" t="str">
        <f>IF('Worksheet Common Lighting'!S264="","",'Worksheet Common Lighting'!G264)</f>
        <v/>
      </c>
      <c r="E156" s="846" t="str">
        <f>IF('Worksheet Common Lighting'!S264="","",'Worksheet Common Lighting'!I264)</f>
        <v/>
      </c>
      <c r="F156" s="202"/>
      <c r="H156" s="2335" t="str">
        <f>IF('Worksheet Common Lighting'!S264="","",'Worksheet Common Lighting'!E264)</f>
        <v/>
      </c>
      <c r="I156" s="2827"/>
      <c r="J156" s="2336"/>
      <c r="K156" s="202"/>
      <c r="M156" s="2828"/>
      <c r="N156" s="2829"/>
      <c r="O156" s="2829"/>
      <c r="P156" s="2829"/>
      <c r="Q156" s="2829"/>
      <c r="R156" s="2829"/>
      <c r="S156" s="2830"/>
    </row>
    <row r="157" spans="2:19" ht="14.5" hidden="1" customHeight="1">
      <c r="B157" s="202"/>
      <c r="C157" s="846" t="str">
        <f>IF('Worksheet Common Lighting'!S265="","",'Common Lighting References'!$U$69)</f>
        <v/>
      </c>
      <c r="D157" s="846" t="str">
        <f>IF('Worksheet Common Lighting'!S265="","",'Worksheet Common Lighting'!G265)</f>
        <v/>
      </c>
      <c r="E157" s="846" t="str">
        <f>IF('Worksheet Common Lighting'!S265="","",'Worksheet Common Lighting'!I265)</f>
        <v/>
      </c>
      <c r="F157" s="202"/>
      <c r="H157" s="2335" t="str">
        <f>IF('Worksheet Common Lighting'!S265="","",'Worksheet Common Lighting'!E265)</f>
        <v/>
      </c>
      <c r="I157" s="2827"/>
      <c r="J157" s="2336"/>
      <c r="K157" s="202"/>
      <c r="M157" s="2828"/>
      <c r="N157" s="2829"/>
      <c r="O157" s="2829"/>
      <c r="P157" s="2829"/>
      <c r="Q157" s="2829"/>
      <c r="R157" s="2829"/>
      <c r="S157" s="2830"/>
    </row>
    <row r="158" spans="2:19" hidden="1">
      <c r="B158" s="202"/>
      <c r="C158" s="846" t="str">
        <f>IF('Worksheet Common Lighting'!S266="","",'Common Lighting References'!$U$69)</f>
        <v/>
      </c>
      <c r="D158" s="846" t="str">
        <f>IF('Worksheet Common Lighting'!S266="","",'Worksheet Common Lighting'!G266)</f>
        <v/>
      </c>
      <c r="E158" s="846" t="str">
        <f>IF('Worksheet Common Lighting'!S266="","",'Worksheet Common Lighting'!I266)</f>
        <v/>
      </c>
      <c r="F158" s="202"/>
      <c r="H158" s="2335" t="str">
        <f>IF('Worksheet Common Lighting'!S266="","",'Worksheet Common Lighting'!E266)</f>
        <v/>
      </c>
      <c r="I158" s="2827"/>
      <c r="J158" s="2336"/>
      <c r="K158" s="202"/>
      <c r="M158" s="2828"/>
      <c r="N158" s="2829"/>
      <c r="O158" s="2829"/>
      <c r="P158" s="2829"/>
      <c r="Q158" s="2829"/>
      <c r="R158" s="2829"/>
      <c r="S158" s="2830"/>
    </row>
    <row r="159" spans="2:19" hidden="1">
      <c r="B159" s="202"/>
      <c r="C159" s="846" t="str">
        <f>IF('Worksheet Common Lighting'!S271="","",'Common Lighting References'!$U$70)</f>
        <v/>
      </c>
      <c r="D159" s="846" t="str">
        <f>IF('Worksheet Common Lighting'!S271="","",'Worksheet Common Lighting'!G271)</f>
        <v/>
      </c>
      <c r="E159" s="846" t="str">
        <f>IF('Worksheet Common Lighting'!S271="","",'Worksheet Common Lighting'!I271)</f>
        <v/>
      </c>
      <c r="F159" s="202"/>
      <c r="H159" s="2335" t="str">
        <f>IF('Worksheet Common Lighting'!S271="","",'Worksheet Common Lighting'!E271)</f>
        <v/>
      </c>
      <c r="I159" s="2827"/>
      <c r="J159" s="2336"/>
      <c r="K159" s="202"/>
      <c r="M159" s="2828"/>
      <c r="N159" s="2829"/>
      <c r="O159" s="2829"/>
      <c r="P159" s="2829"/>
      <c r="Q159" s="2829"/>
      <c r="R159" s="2829"/>
      <c r="S159" s="2830"/>
    </row>
    <row r="160" spans="2:19" hidden="1">
      <c r="B160" s="202"/>
      <c r="C160" s="846" t="str">
        <f>IF('Worksheet Common Lighting'!S272="","",'Common Lighting References'!$U$70)</f>
        <v/>
      </c>
      <c r="D160" s="846" t="str">
        <f>IF('Worksheet Common Lighting'!S272="","",'Worksheet Common Lighting'!G272)</f>
        <v/>
      </c>
      <c r="E160" s="846" t="str">
        <f>IF('Worksheet Common Lighting'!S272="","",'Worksheet Common Lighting'!I272)</f>
        <v/>
      </c>
      <c r="F160" s="202"/>
      <c r="H160" s="2335" t="str">
        <f>IF('Worksheet Common Lighting'!S272="","",'Worksheet Common Lighting'!E272)</f>
        <v/>
      </c>
      <c r="I160" s="2827"/>
      <c r="J160" s="2336"/>
      <c r="K160" s="202"/>
      <c r="M160" s="2828"/>
      <c r="N160" s="2829"/>
      <c r="O160" s="2829"/>
      <c r="P160" s="2829"/>
      <c r="Q160" s="2829"/>
      <c r="R160" s="2829"/>
      <c r="S160" s="2830"/>
    </row>
    <row r="161" spans="2:19" hidden="1">
      <c r="B161" s="202"/>
      <c r="C161" s="846" t="str">
        <f>IF('Worksheet Common Lighting'!S273="","",'Common Lighting References'!$U$70)</f>
        <v/>
      </c>
      <c r="D161" s="846" t="str">
        <f>IF('Worksheet Common Lighting'!S273="","",'Worksheet Common Lighting'!G273)</f>
        <v/>
      </c>
      <c r="E161" s="846" t="str">
        <f>IF('Worksheet Common Lighting'!S273="","",'Worksheet Common Lighting'!I273)</f>
        <v/>
      </c>
      <c r="F161" s="202"/>
      <c r="H161" s="2335" t="str">
        <f>IF('Worksheet Common Lighting'!S273="","",'Worksheet Common Lighting'!E273)</f>
        <v/>
      </c>
      <c r="I161" s="2827"/>
      <c r="J161" s="2336"/>
      <c r="K161" s="202"/>
      <c r="M161" s="2828"/>
      <c r="N161" s="2829"/>
      <c r="O161" s="2829"/>
      <c r="P161" s="2829"/>
      <c r="Q161" s="2829"/>
      <c r="R161" s="2829"/>
      <c r="S161" s="2830"/>
    </row>
    <row r="162" spans="2:19" ht="14.5" hidden="1" customHeight="1">
      <c r="B162" s="202"/>
      <c r="C162" s="846" t="str">
        <f>IF('Worksheet Common Lighting'!S274="","",'Common Lighting References'!$U$70)</f>
        <v/>
      </c>
      <c r="D162" s="846" t="str">
        <f>IF('Worksheet Common Lighting'!S274="","",'Worksheet Common Lighting'!G274)</f>
        <v/>
      </c>
      <c r="E162" s="846" t="str">
        <f>IF('Worksheet Common Lighting'!S274="","",'Worksheet Common Lighting'!I274)</f>
        <v/>
      </c>
      <c r="F162" s="202"/>
      <c r="H162" s="2335" t="str">
        <f>IF('Worksheet Common Lighting'!S274="","",'Worksheet Common Lighting'!E274)</f>
        <v/>
      </c>
      <c r="I162" s="2827"/>
      <c r="J162" s="2336"/>
      <c r="K162" s="202"/>
      <c r="M162" s="2828"/>
      <c r="N162" s="2829"/>
      <c r="O162" s="2829"/>
      <c r="P162" s="2829"/>
      <c r="Q162" s="2829"/>
      <c r="R162" s="2829"/>
      <c r="S162" s="2830"/>
    </row>
    <row r="163" spans="2:19" ht="14.5" hidden="1" customHeight="1">
      <c r="B163" s="202"/>
      <c r="C163" s="846" t="str">
        <f>IF('Worksheet Common Lighting'!S280="","",'Common Lighting References'!$U$71)</f>
        <v/>
      </c>
      <c r="D163" s="846" t="str">
        <f>IF('Worksheet Common Lighting'!S280="","",'Worksheet Common Lighting'!G280)</f>
        <v/>
      </c>
      <c r="E163" s="846" t="str">
        <f>IF('Worksheet Common Lighting'!S280="","",'Worksheet Common Lighting'!I280)</f>
        <v/>
      </c>
      <c r="F163" s="202"/>
      <c r="H163" s="2335" t="str">
        <f>IF('Worksheet Common Lighting'!S280="","",'Worksheet Common Lighting'!E280)</f>
        <v/>
      </c>
      <c r="I163" s="2827"/>
      <c r="J163" s="2336"/>
      <c r="K163" s="202"/>
      <c r="M163" s="2828"/>
      <c r="N163" s="2829"/>
      <c r="O163" s="2829"/>
      <c r="P163" s="2829"/>
      <c r="Q163" s="2829"/>
      <c r="R163" s="2829"/>
      <c r="S163" s="2830"/>
    </row>
    <row r="164" spans="2:19" ht="14.5" hidden="1" customHeight="1">
      <c r="B164" s="202"/>
      <c r="C164" s="846" t="str">
        <f>IF('Worksheet Common Lighting'!S281="","",'Common Lighting References'!$U$71)</f>
        <v/>
      </c>
      <c r="D164" s="846" t="str">
        <f>IF('Worksheet Common Lighting'!S281="","",'Worksheet Common Lighting'!G281)</f>
        <v/>
      </c>
      <c r="E164" s="846" t="str">
        <f>IF('Worksheet Common Lighting'!S281="","",'Worksheet Common Lighting'!I281)</f>
        <v/>
      </c>
      <c r="F164" s="202"/>
      <c r="H164" s="2335" t="str">
        <f>IF('Worksheet Common Lighting'!S281="","",'Worksheet Common Lighting'!E281)</f>
        <v/>
      </c>
      <c r="I164" s="2827"/>
      <c r="J164" s="2336"/>
      <c r="K164" s="202"/>
      <c r="M164" s="2828"/>
      <c r="N164" s="2829"/>
      <c r="O164" s="2829"/>
      <c r="P164" s="2829"/>
      <c r="Q164" s="2829"/>
      <c r="R164" s="2829"/>
      <c r="S164" s="2830"/>
    </row>
    <row r="165" spans="2:19" ht="14.5" hidden="1" customHeight="1">
      <c r="B165" s="202"/>
      <c r="C165" s="846" t="str">
        <f>IF('Worksheet Common Lighting'!S282="","",'Common Lighting References'!$U$71)</f>
        <v/>
      </c>
      <c r="D165" s="846" t="str">
        <f>IF('Worksheet Common Lighting'!S282="","",'Worksheet Common Lighting'!G282)</f>
        <v/>
      </c>
      <c r="E165" s="846" t="str">
        <f>IF('Worksheet Common Lighting'!S282="","",'Worksheet Common Lighting'!I282)</f>
        <v/>
      </c>
      <c r="F165" s="202"/>
      <c r="H165" s="2335" t="str">
        <f>IF('Worksheet Common Lighting'!S282="","",'Worksheet Common Lighting'!E282)</f>
        <v/>
      </c>
      <c r="I165" s="2827"/>
      <c r="J165" s="2336"/>
      <c r="K165" s="202"/>
      <c r="M165" s="1777"/>
      <c r="N165" s="1778"/>
      <c r="O165" s="1778"/>
      <c r="P165" s="1778"/>
      <c r="Q165" s="1778"/>
      <c r="R165" s="1778"/>
      <c r="S165" s="1779"/>
    </row>
    <row r="166" spans="2:19" ht="14.5" hidden="1" customHeight="1">
      <c r="B166" s="202"/>
      <c r="C166" s="846" t="str">
        <f>IF('Worksheet Common Lighting'!S283="","",'Common Lighting References'!$U$71)</f>
        <v/>
      </c>
      <c r="D166" s="846" t="str">
        <f>IF('Worksheet Common Lighting'!S283="","",'Worksheet Common Lighting'!G283)</f>
        <v/>
      </c>
      <c r="E166" s="846" t="str">
        <f>IF('Worksheet Common Lighting'!S283="","",'Worksheet Common Lighting'!I283)</f>
        <v/>
      </c>
      <c r="F166" s="202"/>
      <c r="H166" s="2335" t="str">
        <f>IF('Worksheet Common Lighting'!S283="","",'Worksheet Common Lighting'!E283)</f>
        <v/>
      </c>
      <c r="I166" s="2827"/>
      <c r="J166" s="2336"/>
      <c r="K166" s="202"/>
      <c r="M166" s="1777"/>
      <c r="N166" s="1778"/>
      <c r="O166" s="1778"/>
      <c r="P166" s="1778"/>
      <c r="Q166" s="1778"/>
      <c r="R166" s="1778"/>
      <c r="S166" s="1779"/>
    </row>
    <row r="167" spans="2:19" ht="14.5" hidden="1" customHeight="1">
      <c r="B167" s="202"/>
      <c r="C167" s="846" t="str">
        <f>IF('Worksheet Common Lighting'!S288="","",'Common Lighting References'!$U$73)</f>
        <v/>
      </c>
      <c r="D167" s="846" t="str">
        <f>IF('Worksheet Common Lighting'!S288="","",'Worksheet Common Lighting'!G288)</f>
        <v/>
      </c>
      <c r="E167" s="846" t="str">
        <f>IF('Worksheet Common Lighting'!S288="","",'Worksheet Common Lighting'!I288)</f>
        <v/>
      </c>
      <c r="F167" s="202"/>
      <c r="H167" s="2335" t="str">
        <f>IF('Worksheet Common Lighting'!S288="","",'Worksheet Common Lighting'!E288)</f>
        <v/>
      </c>
      <c r="I167" s="2827"/>
      <c r="J167" s="2336"/>
      <c r="K167" s="202"/>
      <c r="M167" s="1777"/>
      <c r="N167" s="1778"/>
      <c r="O167" s="1778"/>
      <c r="P167" s="1778"/>
      <c r="Q167" s="1778"/>
      <c r="R167" s="1778"/>
      <c r="S167" s="1779"/>
    </row>
    <row r="168" spans="2:19" ht="14.5" hidden="1" customHeight="1">
      <c r="B168" s="202"/>
      <c r="C168" s="846" t="str">
        <f>IF('Worksheet Common Lighting'!S289="","",'Common Lighting References'!$U$73)</f>
        <v/>
      </c>
      <c r="D168" s="846" t="str">
        <f>IF('Worksheet Common Lighting'!S289="","",'Worksheet Common Lighting'!G289)</f>
        <v/>
      </c>
      <c r="E168" s="846" t="str">
        <f>IF('Worksheet Common Lighting'!S289="","",'Worksheet Common Lighting'!I289)</f>
        <v/>
      </c>
      <c r="F168" s="202"/>
      <c r="H168" s="2335" t="str">
        <f>IF('Worksheet Common Lighting'!S289="","",'Worksheet Common Lighting'!E289)</f>
        <v/>
      </c>
      <c r="I168" s="2827"/>
      <c r="J168" s="2336"/>
      <c r="K168" s="202"/>
      <c r="M168" s="1777"/>
      <c r="N168" s="1778"/>
      <c r="O168" s="1778"/>
      <c r="P168" s="1778"/>
      <c r="Q168" s="1778"/>
      <c r="R168" s="1778"/>
      <c r="S168" s="1779"/>
    </row>
    <row r="169" spans="2:19" ht="14.5" hidden="1" customHeight="1">
      <c r="B169" s="202"/>
      <c r="C169" s="846" t="str">
        <f>IF('Worksheet Common Lighting'!S290="","",'Common Lighting References'!$U$73)</f>
        <v/>
      </c>
      <c r="D169" s="846" t="str">
        <f>IF('Worksheet Common Lighting'!S290="","",'Worksheet Common Lighting'!G290)</f>
        <v/>
      </c>
      <c r="E169" s="846" t="str">
        <f>IF('Worksheet Common Lighting'!S290="","",'Worksheet Common Lighting'!I290)</f>
        <v/>
      </c>
      <c r="F169" s="202"/>
      <c r="H169" s="2335" t="str">
        <f>IF('Worksheet Common Lighting'!S290="","",'Worksheet Common Lighting'!E290)</f>
        <v/>
      </c>
      <c r="I169" s="2827"/>
      <c r="J169" s="2336"/>
      <c r="K169" s="202"/>
      <c r="M169" s="1777"/>
      <c r="N169" s="1778"/>
      <c r="O169" s="1778"/>
      <c r="P169" s="1778"/>
      <c r="Q169" s="1778"/>
      <c r="R169" s="1778"/>
      <c r="S169" s="1779"/>
    </row>
    <row r="170" spans="2:19" ht="14.5" hidden="1" customHeight="1">
      <c r="B170" s="202"/>
      <c r="C170" s="846" t="str">
        <f>IF('Worksheet Common Lighting'!S291="","",'Common Lighting References'!$U$73)</f>
        <v/>
      </c>
      <c r="D170" s="846" t="str">
        <f>IF('Worksheet Common Lighting'!S291="","",'Worksheet Common Lighting'!G291)</f>
        <v/>
      </c>
      <c r="E170" s="846" t="str">
        <f>IF('Worksheet Common Lighting'!S291="","",'Worksheet Common Lighting'!I291)</f>
        <v/>
      </c>
      <c r="F170" s="202"/>
      <c r="H170" s="2335" t="str">
        <f>IF('Worksheet Common Lighting'!S291="","",'Worksheet Common Lighting'!E291)</f>
        <v/>
      </c>
      <c r="I170" s="2827"/>
      <c r="J170" s="2336"/>
      <c r="K170" s="202"/>
      <c r="M170" s="1777"/>
      <c r="N170" s="1778"/>
      <c r="O170" s="1778"/>
      <c r="P170" s="1778"/>
      <c r="Q170" s="1778"/>
      <c r="R170" s="1778"/>
      <c r="S170" s="1779"/>
    </row>
    <row r="171" spans="2:19" ht="14.5" hidden="1" customHeight="1">
      <c r="B171" s="202"/>
      <c r="C171" s="846" t="str">
        <f>IF('Worksheet Common Lighting'!S296="","",'Common Lighting References'!$U$75)</f>
        <v/>
      </c>
      <c r="D171" s="846" t="str">
        <f>IF('Worksheet Common Lighting'!S296="","",'Worksheet Common Lighting'!G296)</f>
        <v/>
      </c>
      <c r="E171" s="846" t="str">
        <f>IF('Worksheet Common Lighting'!S296="","",'Worksheet Common Lighting'!I296)</f>
        <v/>
      </c>
      <c r="F171" s="202"/>
      <c r="H171" s="2335" t="str">
        <f>IF('Worksheet Common Lighting'!S296="","",'Worksheet Common Lighting'!E296)</f>
        <v/>
      </c>
      <c r="I171" s="2827"/>
      <c r="J171" s="2336"/>
      <c r="K171" s="202"/>
      <c r="M171" s="1777"/>
      <c r="N171" s="1778"/>
      <c r="O171" s="1778"/>
      <c r="P171" s="1778"/>
      <c r="Q171" s="1778"/>
      <c r="R171" s="1778"/>
      <c r="S171" s="1779"/>
    </row>
    <row r="172" spans="2:19" ht="14.5" hidden="1" customHeight="1">
      <c r="B172" s="202"/>
      <c r="C172" s="846" t="str">
        <f>IF('Worksheet Common Lighting'!S297="","",'Common Lighting References'!$U$75)</f>
        <v/>
      </c>
      <c r="D172" s="846" t="str">
        <f>IF('Worksheet Common Lighting'!S297="","",'Worksheet Common Lighting'!G297)</f>
        <v/>
      </c>
      <c r="E172" s="846" t="str">
        <f>IF('Worksheet Common Lighting'!S297="","",'Worksheet Common Lighting'!I297)</f>
        <v/>
      </c>
      <c r="F172" s="202"/>
      <c r="H172" s="2335" t="str">
        <f>IF('Worksheet Common Lighting'!S297="","",'Worksheet Common Lighting'!E297)</f>
        <v/>
      </c>
      <c r="I172" s="2827"/>
      <c r="J172" s="2336"/>
      <c r="K172" s="202"/>
      <c r="M172" s="1777"/>
      <c r="N172" s="1778"/>
      <c r="O172" s="1778"/>
      <c r="P172" s="1778"/>
      <c r="Q172" s="1778"/>
      <c r="R172" s="1778"/>
      <c r="S172" s="1779"/>
    </row>
    <row r="173" spans="2:19" ht="14.5" hidden="1" customHeight="1">
      <c r="B173" s="202"/>
      <c r="C173" s="846" t="str">
        <f>IF('Worksheet Common Lighting'!S298="","",'Common Lighting References'!$U$75)</f>
        <v/>
      </c>
      <c r="D173" s="846" t="str">
        <f>IF('Worksheet Common Lighting'!S298="","",'Worksheet Common Lighting'!G298)</f>
        <v/>
      </c>
      <c r="E173" s="846" t="str">
        <f>IF('Worksheet Common Lighting'!S298="","",'Worksheet Common Lighting'!I298)</f>
        <v/>
      </c>
      <c r="F173" s="202"/>
      <c r="H173" s="2335" t="str">
        <f>IF('Worksheet Common Lighting'!S298="","",'Worksheet Common Lighting'!E298)</f>
        <v/>
      </c>
      <c r="I173" s="2827"/>
      <c r="J173" s="2336"/>
      <c r="K173" s="202"/>
      <c r="M173" s="1777"/>
      <c r="N173" s="1778"/>
      <c r="O173" s="1778"/>
      <c r="P173" s="1778"/>
      <c r="Q173" s="1778"/>
      <c r="R173" s="1778"/>
      <c r="S173" s="1779"/>
    </row>
    <row r="174" spans="2:19" ht="14.5" hidden="1" customHeight="1">
      <c r="B174" s="202"/>
      <c r="C174" s="846" t="str">
        <f>IF('Worksheet Common Lighting'!S299="","",'Common Lighting References'!$U$75)</f>
        <v/>
      </c>
      <c r="D174" s="846" t="str">
        <f>IF('Worksheet Common Lighting'!S299="","",'Worksheet Common Lighting'!G299)</f>
        <v/>
      </c>
      <c r="E174" s="846" t="str">
        <f>IF('Worksheet Common Lighting'!S299="","",'Worksheet Common Lighting'!I299)</f>
        <v/>
      </c>
      <c r="F174" s="202"/>
      <c r="H174" s="2335" t="str">
        <f>IF('Worksheet Common Lighting'!S299="","",'Worksheet Common Lighting'!E299)</f>
        <v/>
      </c>
      <c r="I174" s="2827"/>
      <c r="J174" s="2336"/>
      <c r="K174" s="202"/>
      <c r="M174" s="1777"/>
      <c r="N174" s="1778"/>
      <c r="O174" s="1778"/>
      <c r="P174" s="1778"/>
      <c r="Q174" s="1778"/>
      <c r="R174" s="1778"/>
      <c r="S174" s="1779"/>
    </row>
    <row r="175" spans="2:19" ht="14.5" hidden="1" customHeight="1">
      <c r="B175" s="202"/>
      <c r="C175" s="846" t="str">
        <f>IF('Worksheet Common Lighting'!S304="","",'Common Lighting References'!$U$78)</f>
        <v/>
      </c>
      <c r="D175" s="846" t="str">
        <f>IF('Worksheet Common Lighting'!S304="","",'Worksheet Common Lighting'!G304)</f>
        <v/>
      </c>
      <c r="E175" s="846" t="str">
        <f>IF('Worksheet Common Lighting'!S304="","",'Worksheet Common Lighting'!I304)</f>
        <v/>
      </c>
      <c r="F175" s="202"/>
      <c r="H175" s="2335" t="str">
        <f>IF('Worksheet Common Lighting'!S304="","",'Worksheet Common Lighting'!E304)</f>
        <v/>
      </c>
      <c r="I175" s="2827"/>
      <c r="J175" s="2336"/>
      <c r="K175" s="202"/>
      <c r="M175" s="1777"/>
      <c r="N175" s="1778"/>
      <c r="O175" s="1778"/>
      <c r="P175" s="1778"/>
      <c r="Q175" s="1778"/>
      <c r="R175" s="1778"/>
      <c r="S175" s="1779"/>
    </row>
    <row r="176" spans="2:19" ht="14.5" hidden="1" customHeight="1">
      <c r="B176" s="202"/>
      <c r="C176" s="846" t="str">
        <f>IF('Worksheet Common Lighting'!S305="","",'Common Lighting References'!$U$78)</f>
        <v/>
      </c>
      <c r="D176" s="846" t="str">
        <f>IF('Worksheet Common Lighting'!S305="","",'Worksheet Common Lighting'!G305)</f>
        <v/>
      </c>
      <c r="E176" s="846" t="str">
        <f>IF('Worksheet Common Lighting'!S305="","",'Worksheet Common Lighting'!I305)</f>
        <v/>
      </c>
      <c r="F176" s="202"/>
      <c r="H176" s="2335" t="str">
        <f>IF('Worksheet Common Lighting'!S305="","",'Worksheet Common Lighting'!E305)</f>
        <v/>
      </c>
      <c r="I176" s="2827"/>
      <c r="J176" s="2336"/>
      <c r="K176" s="202"/>
      <c r="M176" s="1777"/>
      <c r="N176" s="1778"/>
      <c r="O176" s="1778"/>
      <c r="P176" s="1778"/>
      <c r="Q176" s="1778"/>
      <c r="R176" s="1778"/>
      <c r="S176" s="1779"/>
    </row>
    <row r="177" spans="2:19" ht="14.5" hidden="1" customHeight="1">
      <c r="B177" s="202"/>
      <c r="C177" s="846" t="str">
        <f>IF('Worksheet Common Lighting'!S306="","",'Common Lighting References'!$U$78)</f>
        <v/>
      </c>
      <c r="D177" s="846" t="str">
        <f>IF('Worksheet Common Lighting'!S306="","",'Worksheet Common Lighting'!G306)</f>
        <v/>
      </c>
      <c r="E177" s="846" t="str">
        <f>IF('Worksheet Common Lighting'!S306="","",'Worksheet Common Lighting'!I306)</f>
        <v/>
      </c>
      <c r="F177" s="202"/>
      <c r="H177" s="2335" t="str">
        <f>IF('Worksheet Common Lighting'!S306="","",'Worksheet Common Lighting'!E306)</f>
        <v/>
      </c>
      <c r="I177" s="2827"/>
      <c r="J177" s="2336"/>
      <c r="K177" s="202"/>
      <c r="M177" s="1777"/>
      <c r="N177" s="1778"/>
      <c r="O177" s="1778"/>
      <c r="P177" s="1778"/>
      <c r="Q177" s="1778"/>
      <c r="R177" s="1778"/>
      <c r="S177" s="1779"/>
    </row>
    <row r="178" spans="2:19" ht="14.5" hidden="1" customHeight="1">
      <c r="B178" s="202"/>
      <c r="C178" s="846" t="str">
        <f>IF('Worksheet Common Lighting'!S307="","",'Common Lighting References'!$U$78)</f>
        <v/>
      </c>
      <c r="D178" s="846" t="str">
        <f>IF('Worksheet Common Lighting'!S307="","",'Worksheet Common Lighting'!G307)</f>
        <v/>
      </c>
      <c r="E178" s="846" t="str">
        <f>IF('Worksheet Common Lighting'!S307="","",'Worksheet Common Lighting'!I307)</f>
        <v/>
      </c>
      <c r="F178" s="202"/>
      <c r="H178" s="2335" t="str">
        <f>IF('Worksheet Common Lighting'!S307="","",'Worksheet Common Lighting'!E307)</f>
        <v/>
      </c>
      <c r="I178" s="2827"/>
      <c r="J178" s="2336"/>
      <c r="K178" s="202"/>
      <c r="M178" s="1777"/>
      <c r="N178" s="1778"/>
      <c r="O178" s="1778"/>
      <c r="P178" s="1778"/>
      <c r="Q178" s="1778"/>
      <c r="R178" s="1778"/>
      <c r="S178" s="1779"/>
    </row>
    <row r="179" spans="2:19" ht="14.5" hidden="1" customHeight="1">
      <c r="B179" s="202"/>
      <c r="C179" s="846" t="str">
        <f>IF('Worksheet Common Lighting'!S313="","",'Common Lighting References'!$U$79)</f>
        <v/>
      </c>
      <c r="D179" s="846" t="str">
        <f>IF('Worksheet Common Lighting'!S313="","",'Worksheet Common Lighting'!G313)</f>
        <v/>
      </c>
      <c r="E179" s="846" t="str">
        <f>IF('Worksheet Common Lighting'!S313="","",'Worksheet Common Lighting'!I313)</f>
        <v/>
      </c>
      <c r="F179" s="202"/>
      <c r="H179" s="2335" t="str">
        <f>IF('Worksheet Common Lighting'!S313="","",'Worksheet Common Lighting'!E313)</f>
        <v/>
      </c>
      <c r="I179" s="2827"/>
      <c r="J179" s="2336"/>
      <c r="K179" s="202"/>
      <c r="M179" s="1777"/>
      <c r="N179" s="1778"/>
      <c r="O179" s="1778"/>
      <c r="P179" s="1778"/>
      <c r="Q179" s="1778"/>
      <c r="R179" s="1778"/>
      <c r="S179" s="1779"/>
    </row>
    <row r="180" spans="2:19" ht="14.5" hidden="1" customHeight="1">
      <c r="B180" s="202"/>
      <c r="C180" s="846" t="str">
        <f>IF('Worksheet Common Lighting'!S314="","",'Common Lighting References'!$U$79)</f>
        <v/>
      </c>
      <c r="D180" s="846" t="str">
        <f>IF('Worksheet Common Lighting'!S314="","",'Worksheet Common Lighting'!G314)</f>
        <v/>
      </c>
      <c r="E180" s="846" t="str">
        <f>IF('Worksheet Common Lighting'!S314="","",'Worksheet Common Lighting'!I314)</f>
        <v/>
      </c>
      <c r="F180" s="202"/>
      <c r="H180" s="2335" t="str">
        <f>IF('Worksheet Common Lighting'!S314="","",'Worksheet Common Lighting'!E314)</f>
        <v/>
      </c>
      <c r="I180" s="2827"/>
      <c r="J180" s="2336"/>
      <c r="K180" s="202"/>
      <c r="M180" s="1777"/>
      <c r="N180" s="1778"/>
      <c r="O180" s="1778"/>
      <c r="P180" s="1778"/>
      <c r="Q180" s="1778"/>
      <c r="R180" s="1778"/>
      <c r="S180" s="1779"/>
    </row>
    <row r="181" spans="2:19" ht="14.5" hidden="1" customHeight="1">
      <c r="B181" s="202"/>
      <c r="C181" s="846" t="str">
        <f>IF('Worksheet Common Lighting'!S315="","",'Common Lighting References'!$U$79)</f>
        <v/>
      </c>
      <c r="D181" s="846" t="str">
        <f>IF('Worksheet Common Lighting'!S315="","",'Worksheet Common Lighting'!G315)</f>
        <v/>
      </c>
      <c r="E181" s="846" t="str">
        <f>IF('Worksheet Common Lighting'!S315="","",'Worksheet Common Lighting'!I315)</f>
        <v/>
      </c>
      <c r="F181" s="202"/>
      <c r="H181" s="2335" t="str">
        <f>IF('Worksheet Common Lighting'!S315="","",'Worksheet Common Lighting'!E315)</f>
        <v/>
      </c>
      <c r="I181" s="2827"/>
      <c r="J181" s="2336"/>
      <c r="K181" s="202"/>
      <c r="M181" s="2828"/>
      <c r="N181" s="2829"/>
      <c r="O181" s="2829"/>
      <c r="P181" s="2829"/>
      <c r="Q181" s="2829"/>
      <c r="R181" s="2829"/>
      <c r="S181" s="2830"/>
    </row>
    <row r="182" spans="2:19" hidden="1">
      <c r="B182" s="202"/>
      <c r="C182" s="846" t="str">
        <f>IF('Worksheet Common Lighting'!S316="","",'Common Lighting References'!$U$79)</f>
        <v/>
      </c>
      <c r="D182" s="846" t="str">
        <f>IF('Worksheet Common Lighting'!S316="","",'Worksheet Common Lighting'!G316)</f>
        <v/>
      </c>
      <c r="E182" s="846" t="str">
        <f>IF('Worksheet Common Lighting'!S316="","",'Worksheet Common Lighting'!I316)</f>
        <v/>
      </c>
      <c r="F182" s="202"/>
      <c r="H182" s="2335" t="str">
        <f>IF('Worksheet Common Lighting'!S316="","",'Worksheet Common Lighting'!E316)</f>
        <v/>
      </c>
      <c r="I182" s="2827"/>
      <c r="J182" s="2336"/>
      <c r="K182" s="202"/>
      <c r="M182" s="2828"/>
      <c r="N182" s="2829"/>
      <c r="O182" s="2829"/>
      <c r="P182" s="2829"/>
      <c r="Q182" s="2829"/>
      <c r="R182" s="2829"/>
      <c r="S182" s="2830"/>
    </row>
    <row r="183" spans="2:19" hidden="1">
      <c r="B183" s="202"/>
      <c r="C183" s="846" t="str">
        <f>IF('Worksheet Common Lighting'!S321="","",'Common Lighting References'!$U$80)</f>
        <v/>
      </c>
      <c r="D183" s="846" t="str">
        <f>IF('Worksheet Common Lighting'!S321="","",'Worksheet Common Lighting'!G321)</f>
        <v/>
      </c>
      <c r="E183" s="846" t="str">
        <f>IF('Worksheet Common Lighting'!S321="","",'Worksheet Common Lighting'!I321)</f>
        <v/>
      </c>
      <c r="F183" s="202"/>
      <c r="H183" s="2335" t="str">
        <f>IF('Worksheet Common Lighting'!S321="","",'Worksheet Common Lighting'!E321)</f>
        <v/>
      </c>
      <c r="I183" s="2827"/>
      <c r="J183" s="2336"/>
      <c r="K183" s="202"/>
      <c r="M183" s="2828"/>
      <c r="N183" s="2829"/>
      <c r="O183" s="2829"/>
      <c r="P183" s="2829"/>
      <c r="Q183" s="2829"/>
      <c r="R183" s="2829"/>
      <c r="S183" s="2830"/>
    </row>
    <row r="184" spans="2:19" hidden="1">
      <c r="B184" s="202"/>
      <c r="C184" s="846" t="str">
        <f>IF('Worksheet Common Lighting'!S322="","",'Common Lighting References'!$U$80)</f>
        <v/>
      </c>
      <c r="D184" s="846" t="str">
        <f>IF('Worksheet Common Lighting'!S322="","",'Worksheet Common Lighting'!G322)</f>
        <v/>
      </c>
      <c r="E184" s="846" t="str">
        <f>IF('Worksheet Common Lighting'!S322="","",'Worksheet Common Lighting'!I322)</f>
        <v/>
      </c>
      <c r="F184" s="202"/>
      <c r="H184" s="2335" t="str">
        <f>IF('Worksheet Common Lighting'!S322="","",'Worksheet Common Lighting'!E322)</f>
        <v/>
      </c>
      <c r="I184" s="2827"/>
      <c r="J184" s="2336"/>
      <c r="K184" s="202"/>
      <c r="M184" s="2828"/>
      <c r="N184" s="2829"/>
      <c r="O184" s="2829"/>
      <c r="P184" s="2829"/>
      <c r="Q184" s="2829"/>
      <c r="R184" s="2829"/>
      <c r="S184" s="2830"/>
    </row>
    <row r="185" spans="2:19" hidden="1">
      <c r="B185" s="202"/>
      <c r="C185" s="846" t="str">
        <f>IF('Worksheet Common Lighting'!S323="","",'Common Lighting References'!$U$80)</f>
        <v/>
      </c>
      <c r="D185" s="846" t="str">
        <f>IF('Worksheet Common Lighting'!S323="","",'Worksheet Common Lighting'!G323)</f>
        <v/>
      </c>
      <c r="E185" s="846" t="str">
        <f>IF('Worksheet Common Lighting'!S323="","",'Worksheet Common Lighting'!I323)</f>
        <v/>
      </c>
      <c r="F185" s="202"/>
      <c r="H185" s="2335" t="str">
        <f>IF('Worksheet Common Lighting'!S323="","",'Worksheet Common Lighting'!E323)</f>
        <v/>
      </c>
      <c r="I185" s="2827"/>
      <c r="J185" s="2336"/>
      <c r="K185" s="202"/>
      <c r="M185" s="2828"/>
      <c r="N185" s="2829"/>
      <c r="O185" s="2829"/>
      <c r="P185" s="2829"/>
      <c r="Q185" s="2829"/>
      <c r="R185" s="2829"/>
      <c r="S185" s="2830"/>
    </row>
    <row r="186" spans="2:19" hidden="1">
      <c r="B186" s="202"/>
      <c r="C186" s="846" t="str">
        <f>IF('Worksheet Common Lighting'!S324="","",'Common Lighting References'!$U$80)</f>
        <v/>
      </c>
      <c r="D186" s="846" t="str">
        <f>IF('Worksheet Common Lighting'!S324="","",'Worksheet Common Lighting'!G324)</f>
        <v/>
      </c>
      <c r="E186" s="846" t="str">
        <f>IF('Worksheet Common Lighting'!S324="","",'Worksheet Common Lighting'!I324)</f>
        <v/>
      </c>
      <c r="F186" s="202"/>
      <c r="H186" s="2335" t="str">
        <f>IF('Worksheet Common Lighting'!S324="","",'Worksheet Common Lighting'!E324)</f>
        <v/>
      </c>
      <c r="I186" s="2827"/>
      <c r="J186" s="2336"/>
      <c r="K186" s="202"/>
      <c r="M186" s="2828"/>
      <c r="N186" s="2829"/>
      <c r="O186" s="2829"/>
      <c r="P186" s="2829"/>
      <c r="Q186" s="2829"/>
      <c r="R186" s="2829"/>
      <c r="S186" s="2830"/>
    </row>
    <row r="187" spans="2:19" hidden="1">
      <c r="B187" s="202"/>
      <c r="C187" s="846" t="str">
        <f>IF('Worksheet Common Lighting'!S325="","",'Common Lighting References'!$U$80)</f>
        <v/>
      </c>
      <c r="D187" s="846" t="str">
        <f>IF('Worksheet Common Lighting'!S325="","",'Worksheet Common Lighting'!G325)</f>
        <v/>
      </c>
      <c r="E187" s="846" t="str">
        <f>IF('Worksheet Common Lighting'!S325="","",'Worksheet Common Lighting'!I325)</f>
        <v/>
      </c>
      <c r="F187" s="202"/>
      <c r="H187" s="2335" t="str">
        <f>IF('Worksheet Common Lighting'!S325="","",'Worksheet Common Lighting'!E325)</f>
        <v/>
      </c>
      <c r="I187" s="2827"/>
      <c r="J187" s="2336"/>
      <c r="K187" s="202"/>
      <c r="M187" s="2828"/>
      <c r="N187" s="2829"/>
      <c r="O187" s="2829"/>
      <c r="P187" s="2829"/>
      <c r="Q187" s="2829"/>
      <c r="R187" s="2829"/>
      <c r="S187" s="2830"/>
    </row>
    <row r="188" spans="2:19" hidden="1">
      <c r="B188" s="202"/>
      <c r="C188" s="846" t="str">
        <f>IF('Worksheet Common Lighting'!S329="","",'Common Lighting References'!$U$81)</f>
        <v/>
      </c>
      <c r="D188" s="846" t="str">
        <f>IF('Worksheet Common Lighting'!S329="","",'Worksheet Common Lighting'!G329)</f>
        <v/>
      </c>
      <c r="E188" s="846" t="str">
        <f>IF('Worksheet Common Lighting'!S329="","",'Worksheet Common Lighting'!I329)</f>
        <v/>
      </c>
      <c r="F188" s="202"/>
      <c r="H188" s="2335" t="str">
        <f>IF('Worksheet Common Lighting'!S329="","",'Worksheet Common Lighting'!E329)</f>
        <v/>
      </c>
      <c r="I188" s="2827"/>
      <c r="J188" s="2336"/>
      <c r="K188" s="202"/>
      <c r="M188" s="2828"/>
      <c r="N188" s="2829"/>
      <c r="O188" s="2829"/>
      <c r="P188" s="2829"/>
      <c r="Q188" s="2829"/>
      <c r="R188" s="2829"/>
      <c r="S188" s="2830"/>
    </row>
    <row r="189" spans="2:19" hidden="1">
      <c r="B189" s="202"/>
      <c r="C189" s="846" t="str">
        <f>IF('Worksheet Common Lighting'!S330="","",'Common Lighting References'!$U$81)</f>
        <v/>
      </c>
      <c r="D189" s="846" t="str">
        <f>IF('Worksheet Common Lighting'!S330="","",'Worksheet Common Lighting'!G330)</f>
        <v/>
      </c>
      <c r="E189" s="846" t="str">
        <f>IF('Worksheet Common Lighting'!S330="","",'Worksheet Common Lighting'!I330)</f>
        <v/>
      </c>
      <c r="F189" s="202"/>
      <c r="H189" s="2335" t="str">
        <f>IF('Worksheet Common Lighting'!S330="","",'Worksheet Common Lighting'!E330)</f>
        <v/>
      </c>
      <c r="I189" s="2827"/>
      <c r="J189" s="2336"/>
      <c r="K189" s="202"/>
      <c r="M189" s="1777"/>
      <c r="N189" s="1778"/>
      <c r="O189" s="1778"/>
      <c r="P189" s="1778"/>
      <c r="Q189" s="1778"/>
      <c r="R189" s="1778"/>
      <c r="S189" s="1779"/>
    </row>
    <row r="190" spans="2:19" hidden="1">
      <c r="B190" s="202"/>
      <c r="C190" s="846" t="str">
        <f>IF('Worksheet Common Lighting'!S331="","",'Common Lighting References'!$U$81)</f>
        <v/>
      </c>
      <c r="D190" s="846" t="str">
        <f>IF('Worksheet Common Lighting'!S331="","",'Worksheet Common Lighting'!G331)</f>
        <v/>
      </c>
      <c r="E190" s="846" t="str">
        <f>IF('Worksheet Common Lighting'!S331="","",'Worksheet Common Lighting'!I331)</f>
        <v/>
      </c>
      <c r="F190" s="202"/>
      <c r="H190" s="2335" t="str">
        <f>IF('Worksheet Common Lighting'!S331="","",'Worksheet Common Lighting'!E331)</f>
        <v/>
      </c>
      <c r="I190" s="2827"/>
      <c r="J190" s="2336"/>
      <c r="K190" s="202"/>
      <c r="M190" s="2828"/>
      <c r="N190" s="2829"/>
      <c r="O190" s="2829"/>
      <c r="P190" s="2829"/>
      <c r="Q190" s="2829"/>
      <c r="R190" s="2829"/>
      <c r="S190" s="2830"/>
    </row>
    <row r="191" spans="2:19" hidden="1">
      <c r="B191" s="202"/>
      <c r="C191" s="846" t="str">
        <f>IF('Worksheet Common Lighting'!S332="","",'Common Lighting References'!$U$81)</f>
        <v/>
      </c>
      <c r="D191" s="846" t="str">
        <f>IF('Worksheet Common Lighting'!S332="","",'Worksheet Common Lighting'!G332)</f>
        <v/>
      </c>
      <c r="E191" s="846" t="str">
        <f>IF('Worksheet Common Lighting'!S332="","",'Worksheet Common Lighting'!I332)</f>
        <v/>
      </c>
      <c r="F191" s="202"/>
      <c r="H191" s="2335" t="str">
        <f>IF('Worksheet Common Lighting'!S332="","",'Worksheet Common Lighting'!E332)</f>
        <v/>
      </c>
      <c r="I191" s="2827"/>
      <c r="J191" s="2336"/>
      <c r="K191" s="202"/>
      <c r="M191" s="2828"/>
      <c r="N191" s="2829"/>
      <c r="O191" s="2829"/>
      <c r="P191" s="2829"/>
      <c r="Q191" s="2829"/>
      <c r="R191" s="2829"/>
      <c r="S191" s="2830"/>
    </row>
    <row r="192" spans="2:19" hidden="1">
      <c r="B192" s="202"/>
      <c r="C192" s="846" t="str">
        <f>IF('Worksheet Common Lighting'!S337="","",'Common Lighting References'!$U$83)</f>
        <v xml:space="preserve">LED Decorative Retrofit Kits - High, Very High </v>
      </c>
      <c r="D192" s="846">
        <f>IF('Worksheet Common Lighting'!S337="","",'Worksheet Common Lighting'!G337)</f>
        <v>14</v>
      </c>
      <c r="E192" s="846">
        <f>IF('Worksheet Common Lighting'!S337="","",'Worksheet Common Lighting'!I337)</f>
        <v>25</v>
      </c>
      <c r="F192" s="202"/>
      <c r="H192" s="2335" t="str">
        <f>IF('Worksheet Common Lighting'!S337="","",'Worksheet Common Lighting'!E337)</f>
        <v>New Install</v>
      </c>
      <c r="I192" s="2827"/>
      <c r="J192" s="2336"/>
      <c r="K192" s="202"/>
      <c r="M192" s="2828"/>
      <c r="N192" s="2829"/>
      <c r="O192" s="2829"/>
      <c r="P192" s="2829"/>
      <c r="Q192" s="2829"/>
      <c r="R192" s="2829"/>
      <c r="S192" s="2830"/>
    </row>
    <row r="193" spans="2:19" hidden="1">
      <c r="B193" s="202"/>
      <c r="C193" s="846" t="str">
        <f>IF('Worksheet Common Lighting'!S338="","",'Common Lighting References'!$U$83)</f>
        <v/>
      </c>
      <c r="D193" s="846" t="str">
        <f>IF('Worksheet Common Lighting'!S338="","",'Worksheet Common Lighting'!G338)</f>
        <v/>
      </c>
      <c r="E193" s="846" t="str">
        <f>IF('Worksheet Common Lighting'!S338="","",'Worksheet Common Lighting'!I338)</f>
        <v/>
      </c>
      <c r="F193" s="202"/>
      <c r="H193" s="2335" t="str">
        <f>IF('Worksheet Common Lighting'!S338="","",'Worksheet Common Lighting'!E338)</f>
        <v/>
      </c>
      <c r="I193" s="2827"/>
      <c r="J193" s="2336"/>
      <c r="K193" s="202"/>
      <c r="M193" s="2828"/>
      <c r="N193" s="2829"/>
      <c r="O193" s="2829"/>
      <c r="P193" s="2829"/>
      <c r="Q193" s="2829"/>
      <c r="R193" s="2829"/>
      <c r="S193" s="2830"/>
    </row>
    <row r="194" spans="2:19" hidden="1">
      <c r="B194" s="202" t="str">
        <f>IF([5]Worksheet!G406="","",INDEX([5]References!$G$13:$G$48,MATCH([5]Calculations!A357,[5]References!$F$13:$F$48,0)))</f>
        <v/>
      </c>
      <c r="C194" s="846" t="str">
        <f>IF('Worksheet Common Lighting'!S339="","",'Common Lighting References'!$U$83)</f>
        <v/>
      </c>
      <c r="D194" s="846" t="str">
        <f>IF('Worksheet Common Lighting'!S339="","",'Worksheet Common Lighting'!G339)</f>
        <v/>
      </c>
      <c r="E194" s="846" t="str">
        <f>IF('Worksheet Common Lighting'!S339="","",'Worksheet Common Lighting'!I339)</f>
        <v/>
      </c>
      <c r="F194" s="202"/>
      <c r="H194" s="2335" t="str">
        <f>IF('Worksheet Common Lighting'!S339="","",'Worksheet Common Lighting'!E339)</f>
        <v/>
      </c>
      <c r="I194" s="2827"/>
      <c r="J194" s="2336"/>
      <c r="K194" s="202"/>
      <c r="M194" s="2828"/>
      <c r="N194" s="2829"/>
      <c r="O194" s="2829"/>
      <c r="P194" s="2829"/>
      <c r="Q194" s="2829"/>
      <c r="R194" s="2829"/>
      <c r="S194" s="2830"/>
    </row>
    <row r="195" spans="2:19" hidden="1">
      <c r="B195" s="202"/>
      <c r="C195" s="846" t="str">
        <f>IF('Worksheet Common Lighting'!S340="","",'Common Lighting References'!$U$83)</f>
        <v/>
      </c>
      <c r="D195" s="846" t="str">
        <f>IF('Worksheet Common Lighting'!S340="","",'Worksheet Common Lighting'!G340)</f>
        <v/>
      </c>
      <c r="E195" s="846" t="str">
        <f>IF('Worksheet Common Lighting'!S340="","",'Worksheet Common Lighting'!I340)</f>
        <v/>
      </c>
      <c r="F195" s="202"/>
      <c r="H195" s="2335" t="str">
        <f>IF('Worksheet Common Lighting'!S340="","",'Worksheet Common Lighting'!E340)</f>
        <v/>
      </c>
      <c r="I195" s="2827"/>
      <c r="J195" s="2336"/>
      <c r="K195" s="202"/>
      <c r="M195" s="2828"/>
      <c r="N195" s="2829"/>
      <c r="O195" s="2829"/>
      <c r="P195" s="2829"/>
      <c r="Q195" s="2829"/>
      <c r="R195" s="2829"/>
      <c r="S195" s="2830"/>
    </row>
    <row r="196" spans="2:19" hidden="1">
      <c r="B196" s="202"/>
      <c r="C196" s="846" t="str">
        <f>IF('Worksheet Common Lighting'!S345="","",'Common Lighting References'!$U$85)</f>
        <v/>
      </c>
      <c r="D196" s="846" t="str">
        <f>IF('Worksheet Common Lighting'!S345="","",'Worksheet Common Lighting'!G345)</f>
        <v/>
      </c>
      <c r="E196" s="846" t="str">
        <f>IF('Worksheet Common Lighting'!S345="","",'Worksheet Common Lighting'!I345)</f>
        <v/>
      </c>
      <c r="F196" s="202"/>
      <c r="H196" s="2335" t="str">
        <f>IF('Worksheet Common Lighting'!S345="","",'Worksheet Common Lighting'!E345)</f>
        <v/>
      </c>
      <c r="I196" s="2827"/>
      <c r="J196" s="2336"/>
      <c r="K196" s="202"/>
      <c r="M196" s="2828"/>
      <c r="N196" s="2829"/>
      <c r="O196" s="2829"/>
      <c r="P196" s="2829"/>
      <c r="Q196" s="2829"/>
      <c r="R196" s="2829"/>
      <c r="S196" s="2830"/>
    </row>
    <row r="197" spans="2:19" hidden="1">
      <c r="B197" s="202"/>
      <c r="C197" s="846" t="str">
        <f>IF('Worksheet Common Lighting'!S346="","",'Common Lighting References'!$U$85)</f>
        <v/>
      </c>
      <c r="D197" s="846" t="str">
        <f>IF('Worksheet Common Lighting'!S346="","",'Worksheet Common Lighting'!G346)</f>
        <v/>
      </c>
      <c r="E197" s="846" t="str">
        <f>IF('Worksheet Common Lighting'!S346="","",'Worksheet Common Lighting'!I346)</f>
        <v/>
      </c>
      <c r="F197" s="202"/>
      <c r="H197" s="2335" t="str">
        <f>IF('Worksheet Common Lighting'!S346="","",'Worksheet Common Lighting'!E346)</f>
        <v/>
      </c>
      <c r="I197" s="2827"/>
      <c r="J197" s="2336"/>
      <c r="K197" s="202"/>
      <c r="M197" s="2828"/>
      <c r="N197" s="2829"/>
      <c r="O197" s="2829"/>
      <c r="P197" s="2829"/>
      <c r="Q197" s="2829"/>
      <c r="R197" s="2829"/>
      <c r="S197" s="2830"/>
    </row>
    <row r="198" spans="2:19" hidden="1">
      <c r="B198" s="202"/>
      <c r="C198" s="846" t="str">
        <f>IF('Worksheet Common Lighting'!S347="","",'Common Lighting References'!$U$85)</f>
        <v/>
      </c>
      <c r="D198" s="846" t="str">
        <f>IF('Worksheet Common Lighting'!S347="","",'Worksheet Common Lighting'!G347)</f>
        <v/>
      </c>
      <c r="E198" s="846" t="str">
        <f>IF('Worksheet Common Lighting'!S347="","",'Worksheet Common Lighting'!I347)</f>
        <v/>
      </c>
      <c r="F198" s="202"/>
      <c r="H198" s="2335" t="str">
        <f>IF('Worksheet Common Lighting'!S347="","",'Worksheet Common Lighting'!E347)</f>
        <v/>
      </c>
      <c r="I198" s="2827"/>
      <c r="J198" s="2336"/>
      <c r="K198" s="202"/>
      <c r="M198" s="2828"/>
      <c r="N198" s="2829"/>
      <c r="O198" s="2829"/>
      <c r="P198" s="2829"/>
      <c r="Q198" s="2829"/>
      <c r="R198" s="2829"/>
      <c r="S198" s="2830"/>
    </row>
    <row r="199" spans="2:19" hidden="1">
      <c r="B199" s="202"/>
      <c r="C199" s="846" t="str">
        <f>IF('Worksheet Common Lighting'!S348="","",'Common Lighting References'!$U$85)</f>
        <v/>
      </c>
      <c r="D199" s="846" t="str">
        <f>IF('Worksheet Common Lighting'!S348="","",'Worksheet Common Lighting'!G348)</f>
        <v/>
      </c>
      <c r="E199" s="846" t="str">
        <f>IF('Worksheet Common Lighting'!S348="","",'Worksheet Common Lighting'!I348)</f>
        <v/>
      </c>
      <c r="F199" s="202"/>
      <c r="H199" s="2335" t="str">
        <f>IF('Worksheet Common Lighting'!S348="","",'Worksheet Common Lighting'!E348)</f>
        <v/>
      </c>
      <c r="I199" s="2827"/>
      <c r="J199" s="2336"/>
      <c r="K199" s="202"/>
      <c r="M199" s="2828"/>
      <c r="N199" s="2829"/>
      <c r="O199" s="2829"/>
      <c r="P199" s="2829"/>
      <c r="Q199" s="2829"/>
      <c r="R199" s="2829"/>
      <c r="S199" s="2830"/>
    </row>
    <row r="200" spans="2:19" hidden="1">
      <c r="B200" s="202"/>
      <c r="C200" s="846" t="str">
        <f>IF('Worksheet Common Lighting'!S353="","",'Common Lighting References'!$U$86)</f>
        <v/>
      </c>
      <c r="D200" s="846" t="str">
        <f>IF('Worksheet Common Lighting'!S353="","",'Worksheet Common Lighting'!G353)</f>
        <v/>
      </c>
      <c r="E200" s="846" t="str">
        <f>IF('Worksheet Common Lighting'!S353="","",'Worksheet Common Lighting'!I353)</f>
        <v/>
      </c>
      <c r="F200" s="202"/>
      <c r="H200" s="2335" t="str">
        <f>IF('Worksheet Common Lighting'!S353="","",'Worksheet Common Lighting'!E353)</f>
        <v/>
      </c>
      <c r="I200" s="2827"/>
      <c r="J200" s="2336"/>
      <c r="K200" s="202"/>
      <c r="M200" s="2828"/>
      <c r="N200" s="2829"/>
      <c r="O200" s="2829"/>
      <c r="P200" s="2829"/>
      <c r="Q200" s="2829"/>
      <c r="R200" s="2829"/>
      <c r="S200" s="2830"/>
    </row>
    <row r="201" spans="2:19" hidden="1">
      <c r="B201" s="202"/>
      <c r="C201" s="846" t="str">
        <f>IF('Worksheet Common Lighting'!S354="","",'Common Lighting References'!$U$86)</f>
        <v/>
      </c>
      <c r="D201" s="846" t="str">
        <f>IF('Worksheet Common Lighting'!S354="","",'Worksheet Common Lighting'!G354)</f>
        <v/>
      </c>
      <c r="E201" s="846" t="str">
        <f>IF('Worksheet Common Lighting'!S354="","",'Worksheet Common Lighting'!I354)</f>
        <v/>
      </c>
      <c r="F201" s="202"/>
      <c r="H201" s="2335" t="str">
        <f>IF('Worksheet Common Lighting'!S354="","",'Worksheet Common Lighting'!E354)</f>
        <v/>
      </c>
      <c r="I201" s="2827"/>
      <c r="J201" s="2336"/>
      <c r="K201" s="202"/>
      <c r="M201" s="2828"/>
      <c r="N201" s="2829"/>
      <c r="O201" s="2829"/>
      <c r="P201" s="2829"/>
      <c r="Q201" s="2829"/>
      <c r="R201" s="2829"/>
      <c r="S201" s="2830"/>
    </row>
    <row r="202" spans="2:19" hidden="1">
      <c r="B202" s="202"/>
      <c r="C202" s="846" t="str">
        <f>IF('Worksheet Common Lighting'!S355="","",'Common Lighting References'!$U$86)</f>
        <v/>
      </c>
      <c r="D202" s="846" t="str">
        <f>IF('Worksheet Common Lighting'!S355="","",'Worksheet Common Lighting'!G355)</f>
        <v/>
      </c>
      <c r="E202" s="846" t="str">
        <f>IF('Worksheet Common Lighting'!S355="","",'Worksheet Common Lighting'!I355)</f>
        <v/>
      </c>
      <c r="F202" s="202"/>
      <c r="H202" s="2335" t="str">
        <f>IF('Worksheet Common Lighting'!S355="","",'Worksheet Common Lighting'!E355)</f>
        <v/>
      </c>
      <c r="I202" s="2827"/>
      <c r="J202" s="2336"/>
      <c r="K202" s="202"/>
      <c r="M202" s="2828"/>
      <c r="N202" s="2829"/>
      <c r="O202" s="2829"/>
      <c r="P202" s="2829"/>
      <c r="Q202" s="2829"/>
      <c r="R202" s="2829"/>
      <c r="S202" s="2830"/>
    </row>
    <row r="203" spans="2:19" hidden="1">
      <c r="B203" s="202"/>
      <c r="C203" s="846" t="str">
        <f>IF('Worksheet Common Lighting'!S356="","",'Common Lighting References'!$U$86)</f>
        <v/>
      </c>
      <c r="D203" s="846" t="str">
        <f>IF('Worksheet Common Lighting'!S356="","",'Worksheet Common Lighting'!G356)</f>
        <v/>
      </c>
      <c r="E203" s="846" t="str">
        <f>IF('Worksheet Common Lighting'!S356="","",'Worksheet Common Lighting'!I356)</f>
        <v/>
      </c>
      <c r="F203" s="202"/>
      <c r="H203" s="2335" t="str">
        <f>IF('Worksheet Common Lighting'!S356="","",'Worksheet Common Lighting'!E356)</f>
        <v/>
      </c>
      <c r="I203" s="2827"/>
      <c r="J203" s="2336"/>
      <c r="K203" s="202"/>
      <c r="M203" s="2828"/>
      <c r="N203" s="2829"/>
      <c r="O203" s="2829"/>
      <c r="P203" s="2829"/>
      <c r="Q203" s="2829"/>
      <c r="R203" s="2829"/>
      <c r="S203" s="2830"/>
    </row>
    <row r="204" spans="2:19" hidden="1">
      <c r="B204" s="202"/>
      <c r="C204" s="846" t="str">
        <f>IF('Worksheet Common Lighting'!S363="","",'Common Lighting References'!$U$87)</f>
        <v/>
      </c>
      <c r="D204" s="846" t="str">
        <f>IF('Worksheet Common Lighting'!S363="","",'Worksheet Common Lighting'!G363)</f>
        <v/>
      </c>
      <c r="E204" s="846" t="str">
        <f>IF('Worksheet Common Lighting'!S363="","",'Worksheet Common Lighting'!I363)</f>
        <v/>
      </c>
      <c r="F204" s="202"/>
      <c r="H204" s="2335" t="str">
        <f>IF('Worksheet Common Lighting'!S363="","",'Worksheet Common Lighting'!E363)</f>
        <v/>
      </c>
      <c r="I204" s="2827"/>
      <c r="J204" s="2336"/>
      <c r="K204" s="202"/>
      <c r="M204" s="2828"/>
      <c r="N204" s="2829"/>
      <c r="O204" s="2829"/>
      <c r="P204" s="2829"/>
      <c r="Q204" s="2829"/>
      <c r="R204" s="2829"/>
      <c r="S204" s="2830"/>
    </row>
    <row r="205" spans="2:19" hidden="1">
      <c r="B205" s="202"/>
      <c r="C205" s="846" t="str">
        <f>IF('Worksheet Common Lighting'!S364="","",'Common Lighting References'!$U$87)</f>
        <v/>
      </c>
      <c r="D205" s="846" t="str">
        <f>IF('Worksheet Common Lighting'!S364="","",'Worksheet Common Lighting'!G364)</f>
        <v/>
      </c>
      <c r="E205" s="846" t="str">
        <f>IF('Worksheet Common Lighting'!S364="","",'Worksheet Common Lighting'!I364)</f>
        <v/>
      </c>
      <c r="F205" s="202"/>
      <c r="H205" s="2335" t="str">
        <f>IF('Worksheet Common Lighting'!S364="","",'Worksheet Common Lighting'!E364)</f>
        <v/>
      </c>
      <c r="I205" s="2827"/>
      <c r="J205" s="2336"/>
      <c r="K205" s="202"/>
      <c r="M205" s="2828"/>
      <c r="N205" s="2829"/>
      <c r="O205" s="2829"/>
      <c r="P205" s="2829"/>
      <c r="Q205" s="2829"/>
      <c r="R205" s="2829"/>
      <c r="S205" s="2830"/>
    </row>
    <row r="206" spans="2:19" hidden="1">
      <c r="B206" s="202"/>
      <c r="C206" s="846" t="str">
        <f>IF('Worksheet Common Lighting'!S365="","",'Common Lighting References'!$U$87)</f>
        <v/>
      </c>
      <c r="D206" s="846" t="str">
        <f>IF('Worksheet Common Lighting'!S365="","",'Worksheet Common Lighting'!G365)</f>
        <v/>
      </c>
      <c r="E206" s="846" t="str">
        <f>IF('Worksheet Common Lighting'!S365="","",'Worksheet Common Lighting'!I365)</f>
        <v/>
      </c>
      <c r="F206" s="202"/>
      <c r="H206" s="2335" t="str">
        <f>IF('Worksheet Common Lighting'!S365="","",'Worksheet Common Lighting'!E365)</f>
        <v/>
      </c>
      <c r="I206" s="2827"/>
      <c r="J206" s="2336"/>
      <c r="K206" s="202"/>
      <c r="M206" s="2828"/>
      <c r="N206" s="2829"/>
      <c r="O206" s="2829"/>
      <c r="P206" s="2829"/>
      <c r="Q206" s="2829"/>
      <c r="R206" s="2829"/>
      <c r="S206" s="2830"/>
    </row>
    <row r="207" spans="2:19" hidden="1">
      <c r="B207" s="202"/>
      <c r="C207" s="846" t="str">
        <f>IF('Worksheet Common Lighting'!S366="","",'Common Lighting References'!$U$87)</f>
        <v/>
      </c>
      <c r="D207" s="846" t="str">
        <f>IF('Worksheet Common Lighting'!S366="","",'Worksheet Common Lighting'!G366)</f>
        <v/>
      </c>
      <c r="E207" s="846" t="str">
        <f>IF('Worksheet Common Lighting'!S366="","",'Worksheet Common Lighting'!I366)</f>
        <v/>
      </c>
      <c r="F207" s="202"/>
      <c r="H207" s="2335" t="str">
        <f>IF('Worksheet Common Lighting'!S366="","",'Worksheet Common Lighting'!E366)</f>
        <v/>
      </c>
      <c r="I207" s="2827"/>
      <c r="J207" s="2336"/>
      <c r="K207" s="202"/>
      <c r="M207" s="2828"/>
      <c r="N207" s="2829"/>
      <c r="O207" s="2829"/>
      <c r="P207" s="2829"/>
      <c r="Q207" s="2829"/>
      <c r="R207" s="2829"/>
      <c r="S207" s="2830"/>
    </row>
    <row r="208" spans="2:19">
      <c r="B208" s="202"/>
      <c r="C208" s="846" t="str">
        <f>IF('Worksheet Common Lighting'!S371="","",'Common Lighting References'!$U$88)</f>
        <v>LED Stairwell and Passageway Fixtures</v>
      </c>
      <c r="D208" s="846">
        <f>IF('Worksheet Common Lighting'!S371="","",'Worksheet Common Lighting'!G371)</f>
        <v>10</v>
      </c>
      <c r="E208" s="846">
        <f>IF('Worksheet Common Lighting'!S371="","",'Worksheet Common Lighting'!I371)</f>
        <v>30</v>
      </c>
      <c r="F208" s="202"/>
      <c r="H208" s="2335" t="str">
        <f>IF('Worksheet Common Lighting'!S371="","",'Worksheet Common Lighting'!E371)</f>
        <v>New Install</v>
      </c>
      <c r="I208" s="2827"/>
      <c r="J208" s="2336"/>
      <c r="K208" s="202"/>
      <c r="M208" s="2828"/>
      <c r="N208" s="2829"/>
      <c r="O208" s="2829"/>
      <c r="P208" s="2829"/>
      <c r="Q208" s="2829"/>
      <c r="R208" s="2829"/>
      <c r="S208" s="2830"/>
    </row>
    <row r="209" spans="2:19" hidden="1">
      <c r="B209" s="202"/>
      <c r="C209" s="846" t="str">
        <f>IF('Worksheet Common Lighting'!S372="","",'Common Lighting References'!$U$88)</f>
        <v/>
      </c>
      <c r="D209" s="846" t="str">
        <f>IF('Worksheet Common Lighting'!S372="","",'Worksheet Common Lighting'!G372)</f>
        <v/>
      </c>
      <c r="E209" s="846" t="str">
        <f>IF('Worksheet Common Lighting'!S372="","",'Worksheet Common Lighting'!I372)</f>
        <v/>
      </c>
      <c r="F209" s="202"/>
      <c r="H209" s="2335" t="str">
        <f>IF('Worksheet Common Lighting'!S372="","",'Worksheet Common Lighting'!E372)</f>
        <v/>
      </c>
      <c r="I209" s="2827"/>
      <c r="J209" s="2336"/>
      <c r="K209" s="202"/>
      <c r="M209" s="2828"/>
      <c r="N209" s="2829"/>
      <c r="O209" s="2829"/>
      <c r="P209" s="2829"/>
      <c r="Q209" s="2829"/>
      <c r="R209" s="2829"/>
      <c r="S209" s="2830"/>
    </row>
    <row r="210" spans="2:19" hidden="1">
      <c r="B210" s="202"/>
      <c r="C210" s="846" t="str">
        <f>IF('Worksheet Common Lighting'!S373="","",'Common Lighting References'!$U$88)</f>
        <v/>
      </c>
      <c r="D210" s="846" t="str">
        <f>IF('Worksheet Common Lighting'!S373="","",'Worksheet Common Lighting'!G373)</f>
        <v/>
      </c>
      <c r="E210" s="846" t="str">
        <f>IF('Worksheet Common Lighting'!S373="","",'Worksheet Common Lighting'!I373)</f>
        <v/>
      </c>
      <c r="F210" s="202"/>
      <c r="H210" s="2335" t="str">
        <f>IF('Worksheet Common Lighting'!S373="","",'Worksheet Common Lighting'!E373)</f>
        <v/>
      </c>
      <c r="I210" s="2827"/>
      <c r="J210" s="2336"/>
      <c r="K210" s="202"/>
      <c r="M210" s="2828"/>
      <c r="N210" s="2829"/>
      <c r="O210" s="2829"/>
      <c r="P210" s="2829"/>
      <c r="Q210" s="2829"/>
      <c r="R210" s="2829"/>
      <c r="S210" s="2830"/>
    </row>
    <row r="211" spans="2:19" hidden="1">
      <c r="B211" s="202"/>
      <c r="C211" s="846" t="str">
        <f>IF('Worksheet Common Lighting'!S374="","",'Common Lighting References'!$U$88)</f>
        <v/>
      </c>
      <c r="D211" s="846" t="str">
        <f>IF('Worksheet Common Lighting'!S374="","",'Worksheet Common Lighting'!G374)</f>
        <v/>
      </c>
      <c r="E211" s="846" t="str">
        <f>IF('Worksheet Common Lighting'!S374="","",'Worksheet Common Lighting'!I374)</f>
        <v/>
      </c>
      <c r="F211" s="202"/>
      <c r="H211" s="2335" t="str">
        <f>IF('Worksheet Common Lighting'!S374="","",'Worksheet Common Lighting'!E374)</f>
        <v/>
      </c>
      <c r="I211" s="2827"/>
      <c r="J211" s="2336"/>
      <c r="K211" s="202"/>
      <c r="M211" s="2828"/>
      <c r="N211" s="2829"/>
      <c r="O211" s="2829"/>
      <c r="P211" s="2829"/>
      <c r="Q211" s="2829"/>
      <c r="R211" s="2829"/>
      <c r="S211" s="2830"/>
    </row>
  </sheetData>
  <sheetProtection algorithmName="SHA-512" hashValue="fJfLHfPC7dcgZz61hchdFLVBVNw8snJrqPFAHvwX8lZiAI7j934+tuTKEV7IvHz/QGnVRcW0ijB2v+G4pZ7EbQ==" saltValue="ZZKr+um85BL4s2hn5kzdXg==" spinCount="100000" sheet="1" objects="1" scenarios="1"/>
  <mergeCells count="340">
    <mergeCell ref="H5:T5"/>
    <mergeCell ref="K7:M7"/>
    <mergeCell ref="P7:R7"/>
    <mergeCell ref="K9:M9"/>
    <mergeCell ref="P9:R9"/>
    <mergeCell ref="K11:M11"/>
    <mergeCell ref="P11:R11"/>
    <mergeCell ref="H40:J40"/>
    <mergeCell ref="M40:S40"/>
    <mergeCell ref="H41:J41"/>
    <mergeCell ref="M41:S41"/>
    <mergeCell ref="H42:J42"/>
    <mergeCell ref="M42:S42"/>
    <mergeCell ref="H37:J37"/>
    <mergeCell ref="M37:S37"/>
    <mergeCell ref="H38:J38"/>
    <mergeCell ref="M38:S38"/>
    <mergeCell ref="H39:J39"/>
    <mergeCell ref="M39:S39"/>
    <mergeCell ref="H46:J46"/>
    <mergeCell ref="M46:S46"/>
    <mergeCell ref="H47:J47"/>
    <mergeCell ref="M47:S47"/>
    <mergeCell ref="H48:J48"/>
    <mergeCell ref="M48:S48"/>
    <mergeCell ref="H43:J43"/>
    <mergeCell ref="M43:S43"/>
    <mergeCell ref="H44:J44"/>
    <mergeCell ref="M44:S44"/>
    <mergeCell ref="H45:J45"/>
    <mergeCell ref="M45:S45"/>
    <mergeCell ref="H52:J52"/>
    <mergeCell ref="M52:S52"/>
    <mergeCell ref="H53:J53"/>
    <mergeCell ref="M53:S53"/>
    <mergeCell ref="H54:J54"/>
    <mergeCell ref="M54:S54"/>
    <mergeCell ref="H49:J49"/>
    <mergeCell ref="M49:S49"/>
    <mergeCell ref="H50:J50"/>
    <mergeCell ref="M50:S50"/>
    <mergeCell ref="H51:J51"/>
    <mergeCell ref="M51:S51"/>
    <mergeCell ref="H58:J58"/>
    <mergeCell ref="M58:S58"/>
    <mergeCell ref="H59:J59"/>
    <mergeCell ref="M59:S59"/>
    <mergeCell ref="H60:J60"/>
    <mergeCell ref="M60:S60"/>
    <mergeCell ref="H55:J55"/>
    <mergeCell ref="M55:S55"/>
    <mergeCell ref="H56:J56"/>
    <mergeCell ref="M56:S56"/>
    <mergeCell ref="H57:J57"/>
    <mergeCell ref="M57:S57"/>
    <mergeCell ref="H64:J64"/>
    <mergeCell ref="M64:S64"/>
    <mergeCell ref="H65:J65"/>
    <mergeCell ref="M65:S65"/>
    <mergeCell ref="H66:J66"/>
    <mergeCell ref="M66:S66"/>
    <mergeCell ref="H61:J61"/>
    <mergeCell ref="M61:S61"/>
    <mergeCell ref="H62:J62"/>
    <mergeCell ref="M62:S62"/>
    <mergeCell ref="H63:J63"/>
    <mergeCell ref="M63:S63"/>
    <mergeCell ref="H70:J70"/>
    <mergeCell ref="M70:S70"/>
    <mergeCell ref="H71:J71"/>
    <mergeCell ref="M71:S71"/>
    <mergeCell ref="H72:J72"/>
    <mergeCell ref="M72:S72"/>
    <mergeCell ref="H67:J67"/>
    <mergeCell ref="M67:S67"/>
    <mergeCell ref="H68:J68"/>
    <mergeCell ref="M68:S68"/>
    <mergeCell ref="H69:J69"/>
    <mergeCell ref="M69:S69"/>
    <mergeCell ref="H76:J76"/>
    <mergeCell ref="M76:S76"/>
    <mergeCell ref="H77:J77"/>
    <mergeCell ref="M77:S77"/>
    <mergeCell ref="H78:J78"/>
    <mergeCell ref="M78:S78"/>
    <mergeCell ref="H73:J73"/>
    <mergeCell ref="M73:S73"/>
    <mergeCell ref="H74:J74"/>
    <mergeCell ref="M74:S74"/>
    <mergeCell ref="H75:J75"/>
    <mergeCell ref="M75:S75"/>
    <mergeCell ref="H82:J82"/>
    <mergeCell ref="M82:S82"/>
    <mergeCell ref="H83:J83"/>
    <mergeCell ref="M83:S83"/>
    <mergeCell ref="H84:J84"/>
    <mergeCell ref="M84:S84"/>
    <mergeCell ref="H79:J79"/>
    <mergeCell ref="M79:S79"/>
    <mergeCell ref="H80:J80"/>
    <mergeCell ref="M80:S80"/>
    <mergeCell ref="H81:J81"/>
    <mergeCell ref="M81:S81"/>
    <mergeCell ref="H88:J88"/>
    <mergeCell ref="M88:S88"/>
    <mergeCell ref="H89:J89"/>
    <mergeCell ref="M89:S89"/>
    <mergeCell ref="H90:J90"/>
    <mergeCell ref="M90:S90"/>
    <mergeCell ref="H85:J85"/>
    <mergeCell ref="M85:S85"/>
    <mergeCell ref="H86:J86"/>
    <mergeCell ref="M86:S86"/>
    <mergeCell ref="H87:J87"/>
    <mergeCell ref="M87:S87"/>
    <mergeCell ref="H94:J94"/>
    <mergeCell ref="M94:S94"/>
    <mergeCell ref="H95:J95"/>
    <mergeCell ref="M95:S95"/>
    <mergeCell ref="H96:J96"/>
    <mergeCell ref="M96:S96"/>
    <mergeCell ref="H91:J91"/>
    <mergeCell ref="M91:S91"/>
    <mergeCell ref="H92:J92"/>
    <mergeCell ref="M92:S92"/>
    <mergeCell ref="H93:J93"/>
    <mergeCell ref="M93:S93"/>
    <mergeCell ref="H100:J100"/>
    <mergeCell ref="M100:S100"/>
    <mergeCell ref="H101:J101"/>
    <mergeCell ref="M101:S101"/>
    <mergeCell ref="H102:J102"/>
    <mergeCell ref="M102:S102"/>
    <mergeCell ref="H97:J97"/>
    <mergeCell ref="M97:S97"/>
    <mergeCell ref="H98:J98"/>
    <mergeCell ref="M98:S98"/>
    <mergeCell ref="H99:J99"/>
    <mergeCell ref="M99:S99"/>
    <mergeCell ref="H106:J106"/>
    <mergeCell ref="M106:S106"/>
    <mergeCell ref="H107:J107"/>
    <mergeCell ref="M107:S107"/>
    <mergeCell ref="H108:J108"/>
    <mergeCell ref="M108:S108"/>
    <mergeCell ref="H103:J103"/>
    <mergeCell ref="M103:S103"/>
    <mergeCell ref="H104:J104"/>
    <mergeCell ref="M104:S104"/>
    <mergeCell ref="H105:J105"/>
    <mergeCell ref="M105:S105"/>
    <mergeCell ref="H112:J112"/>
    <mergeCell ref="M112:S112"/>
    <mergeCell ref="H113:J113"/>
    <mergeCell ref="M113:S113"/>
    <mergeCell ref="H114:J114"/>
    <mergeCell ref="M114:S114"/>
    <mergeCell ref="H109:J109"/>
    <mergeCell ref="M109:S109"/>
    <mergeCell ref="H110:J110"/>
    <mergeCell ref="M110:S110"/>
    <mergeCell ref="H111:J111"/>
    <mergeCell ref="M111:S111"/>
    <mergeCell ref="H118:J118"/>
    <mergeCell ref="M118:S118"/>
    <mergeCell ref="H119:J119"/>
    <mergeCell ref="M119:S119"/>
    <mergeCell ref="H120:J120"/>
    <mergeCell ref="M120:S120"/>
    <mergeCell ref="H115:J115"/>
    <mergeCell ref="M115:S115"/>
    <mergeCell ref="H116:J116"/>
    <mergeCell ref="M116:S116"/>
    <mergeCell ref="H117:J117"/>
    <mergeCell ref="M117:S117"/>
    <mergeCell ref="H124:J124"/>
    <mergeCell ref="M124:S124"/>
    <mergeCell ref="H125:J125"/>
    <mergeCell ref="M125:S125"/>
    <mergeCell ref="H126:J126"/>
    <mergeCell ref="M126:S126"/>
    <mergeCell ref="H121:J121"/>
    <mergeCell ref="M121:S121"/>
    <mergeCell ref="H122:J122"/>
    <mergeCell ref="M122:S122"/>
    <mergeCell ref="H123:J123"/>
    <mergeCell ref="M123:S123"/>
    <mergeCell ref="H130:J130"/>
    <mergeCell ref="M130:S130"/>
    <mergeCell ref="H131:J131"/>
    <mergeCell ref="M131:S131"/>
    <mergeCell ref="H132:J132"/>
    <mergeCell ref="M132:S132"/>
    <mergeCell ref="H127:J127"/>
    <mergeCell ref="M127:S127"/>
    <mergeCell ref="H128:J128"/>
    <mergeCell ref="M128:S128"/>
    <mergeCell ref="H129:J129"/>
    <mergeCell ref="M129:S129"/>
    <mergeCell ref="H136:J136"/>
    <mergeCell ref="M136:S136"/>
    <mergeCell ref="H137:J137"/>
    <mergeCell ref="M137:S137"/>
    <mergeCell ref="H138:J138"/>
    <mergeCell ref="M138:S138"/>
    <mergeCell ref="H133:J133"/>
    <mergeCell ref="M133:S133"/>
    <mergeCell ref="H134:J134"/>
    <mergeCell ref="M134:S134"/>
    <mergeCell ref="H135:J135"/>
    <mergeCell ref="M135:S135"/>
    <mergeCell ref="H142:J142"/>
    <mergeCell ref="M142:S142"/>
    <mergeCell ref="H143:J143"/>
    <mergeCell ref="M143:S143"/>
    <mergeCell ref="H144:J144"/>
    <mergeCell ref="M144:S144"/>
    <mergeCell ref="H139:J139"/>
    <mergeCell ref="M139:S139"/>
    <mergeCell ref="H140:J140"/>
    <mergeCell ref="M140:S140"/>
    <mergeCell ref="H141:J141"/>
    <mergeCell ref="M141:S141"/>
    <mergeCell ref="H148:J148"/>
    <mergeCell ref="M148:S148"/>
    <mergeCell ref="H149:J149"/>
    <mergeCell ref="M149:S149"/>
    <mergeCell ref="H150:J150"/>
    <mergeCell ref="M150:S150"/>
    <mergeCell ref="H145:J145"/>
    <mergeCell ref="M145:S145"/>
    <mergeCell ref="H146:J146"/>
    <mergeCell ref="M146:S146"/>
    <mergeCell ref="H147:J147"/>
    <mergeCell ref="M147:S147"/>
    <mergeCell ref="H154:J154"/>
    <mergeCell ref="M154:S154"/>
    <mergeCell ref="H155:J155"/>
    <mergeCell ref="M155:S155"/>
    <mergeCell ref="H156:J156"/>
    <mergeCell ref="M156:S156"/>
    <mergeCell ref="H151:J151"/>
    <mergeCell ref="M151:S151"/>
    <mergeCell ref="H152:J152"/>
    <mergeCell ref="M152:S152"/>
    <mergeCell ref="H153:J153"/>
    <mergeCell ref="M153:S153"/>
    <mergeCell ref="H160:J160"/>
    <mergeCell ref="M160:S160"/>
    <mergeCell ref="H161:J161"/>
    <mergeCell ref="M161:S161"/>
    <mergeCell ref="H162:J162"/>
    <mergeCell ref="M162:S162"/>
    <mergeCell ref="H157:J157"/>
    <mergeCell ref="M157:S157"/>
    <mergeCell ref="H158:J158"/>
    <mergeCell ref="M158:S158"/>
    <mergeCell ref="H159:J159"/>
    <mergeCell ref="M159:S159"/>
    <mergeCell ref="H167:J167"/>
    <mergeCell ref="H168:J168"/>
    <mergeCell ref="H169:J169"/>
    <mergeCell ref="H170:J170"/>
    <mergeCell ref="H171:J171"/>
    <mergeCell ref="H172:J172"/>
    <mergeCell ref="H163:J163"/>
    <mergeCell ref="M163:S163"/>
    <mergeCell ref="H164:J164"/>
    <mergeCell ref="M164:S164"/>
    <mergeCell ref="H165:J165"/>
    <mergeCell ref="H166:J166"/>
    <mergeCell ref="H179:J179"/>
    <mergeCell ref="H180:J180"/>
    <mergeCell ref="H181:J181"/>
    <mergeCell ref="M181:S181"/>
    <mergeCell ref="H182:J182"/>
    <mergeCell ref="M182:S182"/>
    <mergeCell ref="H173:J173"/>
    <mergeCell ref="H174:J174"/>
    <mergeCell ref="H175:J175"/>
    <mergeCell ref="H176:J176"/>
    <mergeCell ref="H177:J177"/>
    <mergeCell ref="H178:J178"/>
    <mergeCell ref="H186:J186"/>
    <mergeCell ref="M186:S186"/>
    <mergeCell ref="H187:J187"/>
    <mergeCell ref="M187:S187"/>
    <mergeCell ref="H188:J188"/>
    <mergeCell ref="M188:S188"/>
    <mergeCell ref="H183:J183"/>
    <mergeCell ref="M183:S183"/>
    <mergeCell ref="H184:J184"/>
    <mergeCell ref="M184:S184"/>
    <mergeCell ref="H185:J185"/>
    <mergeCell ref="M185:S185"/>
    <mergeCell ref="H193:J193"/>
    <mergeCell ref="M193:S193"/>
    <mergeCell ref="H189:J189"/>
    <mergeCell ref="H190:J190"/>
    <mergeCell ref="M190:S190"/>
    <mergeCell ref="H191:J191"/>
    <mergeCell ref="M191:S191"/>
    <mergeCell ref="H192:J192"/>
    <mergeCell ref="M192:S192"/>
    <mergeCell ref="H199:J199"/>
    <mergeCell ref="M199:S199"/>
    <mergeCell ref="H194:J194"/>
    <mergeCell ref="M194:S194"/>
    <mergeCell ref="H195:J195"/>
    <mergeCell ref="M195:S195"/>
    <mergeCell ref="H196:J196"/>
    <mergeCell ref="M196:S196"/>
    <mergeCell ref="H197:J197"/>
    <mergeCell ref="M197:S197"/>
    <mergeCell ref="H198:J198"/>
    <mergeCell ref="M198:S198"/>
    <mergeCell ref="H200:J200"/>
    <mergeCell ref="M200:S200"/>
    <mergeCell ref="H201:J201"/>
    <mergeCell ref="M201:S201"/>
    <mergeCell ref="H202:J202"/>
    <mergeCell ref="M202:S202"/>
    <mergeCell ref="H203:J203"/>
    <mergeCell ref="M203:S203"/>
    <mergeCell ref="H204:J204"/>
    <mergeCell ref="M204:S204"/>
    <mergeCell ref="H210:J210"/>
    <mergeCell ref="M210:S210"/>
    <mergeCell ref="H211:J211"/>
    <mergeCell ref="M211:S211"/>
    <mergeCell ref="H205:J205"/>
    <mergeCell ref="M205:S205"/>
    <mergeCell ref="H206:J206"/>
    <mergeCell ref="M206:S206"/>
    <mergeCell ref="H207:J207"/>
    <mergeCell ref="M207:S207"/>
    <mergeCell ref="H208:J208"/>
    <mergeCell ref="M208:S208"/>
    <mergeCell ref="H209:J209"/>
    <mergeCell ref="M209:S209"/>
  </mergeCells>
  <pageMargins left="0.7" right="0.7" top="0.75" bottom="0.75" header="0.3" footer="0.3"/>
  <pageSetup scale="5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75137" r:id="rId4" name="Button 1">
              <controlPr defaultSize="0" print="0" autoFill="0" autoPict="0" macro="[0]!Sheet43.Button1_Click">
                <anchor moveWithCells="1" sizeWithCells="1">
                  <from>
                    <xdr:col>19</xdr:col>
                    <xdr:colOff>2451100</xdr:colOff>
                    <xdr:row>25</xdr:row>
                    <xdr:rowOff>31750</xdr:rowOff>
                  </from>
                  <to>
                    <xdr:col>19</xdr:col>
                    <xdr:colOff>6203950</xdr:colOff>
                    <xdr:row>35</xdr:row>
                    <xdr:rowOff>31750</xdr:rowOff>
                  </to>
                </anchor>
              </controlPr>
            </control>
          </mc:Choice>
        </mc:AlternateContent>
        <mc:AlternateContent xmlns:mc="http://schemas.openxmlformats.org/markup-compatibility/2006">
          <mc:Choice Requires="x14">
            <control shapeId="475138" r:id="rId5" name="Check Box 2">
              <controlPr defaultSize="0" autoFill="0" autoLine="0" autoPict="0">
                <anchor moveWithCells="1">
                  <from>
                    <xdr:col>13</xdr:col>
                    <xdr:colOff>146050</xdr:colOff>
                    <xdr:row>12</xdr:row>
                    <xdr:rowOff>457200</xdr:rowOff>
                  </from>
                  <to>
                    <xdr:col>14</xdr:col>
                    <xdr:colOff>0</xdr:colOff>
                    <xdr:row>13</xdr:row>
                    <xdr:rowOff>127000</xdr:rowOff>
                  </to>
                </anchor>
              </controlPr>
            </control>
          </mc:Choice>
        </mc:AlternateContent>
        <mc:AlternateContent xmlns:mc="http://schemas.openxmlformats.org/markup-compatibility/2006">
          <mc:Choice Requires="x14">
            <control shapeId="475139" r:id="rId6" name="Check Box 3">
              <controlPr defaultSize="0" autoFill="0" autoLine="0" autoPict="0">
                <anchor moveWithCells="1">
                  <from>
                    <xdr:col>13</xdr:col>
                    <xdr:colOff>4032250</xdr:colOff>
                    <xdr:row>12</xdr:row>
                    <xdr:rowOff>260350</xdr:rowOff>
                  </from>
                  <to>
                    <xdr:col>15</xdr:col>
                    <xdr:colOff>146050</xdr:colOff>
                    <xdr:row>14</xdr:row>
                    <xdr:rowOff>0</xdr:rowOff>
                  </to>
                </anchor>
              </controlPr>
            </control>
          </mc:Choice>
        </mc:AlternateContent>
        <mc:AlternateContent xmlns:mc="http://schemas.openxmlformats.org/markup-compatibility/2006">
          <mc:Choice Requires="x14">
            <control shapeId="475140" r:id="rId7" name="Check Box 4">
              <controlPr defaultSize="0" autoFill="0" autoLine="0" autoPict="0">
                <anchor moveWithCells="1">
                  <from>
                    <xdr:col>7</xdr:col>
                    <xdr:colOff>812800</xdr:colOff>
                    <xdr:row>15</xdr:row>
                    <xdr:rowOff>114300</xdr:rowOff>
                  </from>
                  <to>
                    <xdr:col>9</xdr:col>
                    <xdr:colOff>0</xdr:colOff>
                    <xdr:row>16</xdr:row>
                    <xdr:rowOff>127000</xdr:rowOff>
                  </to>
                </anchor>
              </controlPr>
            </control>
          </mc:Choice>
        </mc:AlternateContent>
        <mc:AlternateContent xmlns:mc="http://schemas.openxmlformats.org/markup-compatibility/2006">
          <mc:Choice Requires="x14">
            <control shapeId="475141" r:id="rId8" name="Check Box 5">
              <controlPr defaultSize="0" autoFill="0" autoLine="0" autoPict="0">
                <anchor moveWithCells="1">
                  <from>
                    <xdr:col>8</xdr:col>
                    <xdr:colOff>3594100</xdr:colOff>
                    <xdr:row>14</xdr:row>
                    <xdr:rowOff>1860550</xdr:rowOff>
                  </from>
                  <to>
                    <xdr:col>10</xdr:col>
                    <xdr:colOff>0</xdr:colOff>
                    <xdr:row>17</xdr:row>
                    <xdr:rowOff>0</xdr:rowOff>
                  </to>
                </anchor>
              </controlPr>
            </control>
          </mc:Choice>
        </mc:AlternateContent>
        <mc:AlternateContent xmlns:mc="http://schemas.openxmlformats.org/markup-compatibility/2006">
          <mc:Choice Requires="x14">
            <control shapeId="475142" r:id="rId9" name="Check Box 6">
              <controlPr defaultSize="0" autoFill="0" autoLine="0" autoPict="0">
                <anchor moveWithCells="1">
                  <from>
                    <xdr:col>7</xdr:col>
                    <xdr:colOff>812800</xdr:colOff>
                    <xdr:row>18</xdr:row>
                    <xdr:rowOff>114300</xdr:rowOff>
                  </from>
                  <to>
                    <xdr:col>9</xdr:col>
                    <xdr:colOff>0</xdr:colOff>
                    <xdr:row>19</xdr:row>
                    <xdr:rowOff>127000</xdr:rowOff>
                  </to>
                </anchor>
              </controlPr>
            </control>
          </mc:Choice>
        </mc:AlternateContent>
        <mc:AlternateContent xmlns:mc="http://schemas.openxmlformats.org/markup-compatibility/2006">
          <mc:Choice Requires="x14">
            <control shapeId="475143" r:id="rId10" name="Check Box 7">
              <controlPr defaultSize="0" autoFill="0" autoLine="0" autoPict="0">
                <anchor moveWithCells="1">
                  <from>
                    <xdr:col>8</xdr:col>
                    <xdr:colOff>3505200</xdr:colOff>
                    <xdr:row>18</xdr:row>
                    <xdr:rowOff>171450</xdr:rowOff>
                  </from>
                  <to>
                    <xdr:col>10</xdr:col>
                    <xdr:colOff>0</xdr:colOff>
                    <xdr:row>20</xdr:row>
                    <xdr:rowOff>0</xdr:rowOff>
                  </to>
                </anchor>
              </controlPr>
            </control>
          </mc:Choice>
        </mc:AlternateContent>
        <mc:AlternateContent xmlns:mc="http://schemas.openxmlformats.org/markup-compatibility/2006">
          <mc:Choice Requires="x14">
            <control shapeId="475144" r:id="rId11" name="Check Box 8">
              <controlPr defaultSize="0" autoFill="0" autoLine="0" autoPict="0">
                <anchor moveWithCells="1">
                  <from>
                    <xdr:col>7</xdr:col>
                    <xdr:colOff>603250</xdr:colOff>
                    <xdr:row>21</xdr:row>
                    <xdr:rowOff>393700</xdr:rowOff>
                  </from>
                  <to>
                    <xdr:col>9</xdr:col>
                    <xdr:colOff>0</xdr:colOff>
                    <xdr:row>23</xdr:row>
                    <xdr:rowOff>0</xdr:rowOff>
                  </to>
                </anchor>
              </controlPr>
            </control>
          </mc:Choice>
        </mc:AlternateContent>
        <mc:AlternateContent xmlns:mc="http://schemas.openxmlformats.org/markup-compatibility/2006">
          <mc:Choice Requires="x14">
            <control shapeId="475145" r:id="rId12" name="Check Box 9">
              <controlPr defaultSize="0" autoFill="0" autoLine="0" autoPict="0">
                <anchor moveWithCells="1">
                  <from>
                    <xdr:col>8</xdr:col>
                    <xdr:colOff>3505200</xdr:colOff>
                    <xdr:row>21</xdr:row>
                    <xdr:rowOff>260350</xdr:rowOff>
                  </from>
                  <to>
                    <xdr:col>10</xdr:col>
                    <xdr:colOff>0</xdr:colOff>
                    <xdr:row>23</xdr:row>
                    <xdr:rowOff>0</xdr:rowOff>
                  </to>
                </anchor>
              </controlPr>
            </control>
          </mc:Choice>
        </mc:AlternateContent>
      </controls>
    </mc:Choice>
  </mc:AlternateContent>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B40782-01C5-4044-894B-3C3A04DC2AD1}">
  <sheetPr codeName="Sheet51">
    <tabColor rgb="FF00B0F0"/>
  </sheetPr>
  <dimension ref="A1:FC155"/>
  <sheetViews>
    <sheetView showGridLines="0" topLeftCell="A13" zoomScale="70" zoomScaleNormal="70" workbookViewId="0">
      <selection activeCell="M29" sqref="M29"/>
    </sheetView>
  </sheetViews>
  <sheetFormatPr defaultColWidth="0" defaultRowHeight="14.5"/>
  <cols>
    <col min="1" max="1" width="8.7265625" customWidth="1"/>
    <col min="2" max="2" width="31.7265625" customWidth="1"/>
    <col min="3" max="3" width="13.1796875" customWidth="1"/>
    <col min="4" max="4" width="30.453125" customWidth="1"/>
    <col min="5" max="8" width="8.7265625" customWidth="1"/>
    <col min="9" max="9" width="14.1796875" customWidth="1"/>
    <col min="10" max="11" width="8.7265625" customWidth="1"/>
    <col min="12" max="12" width="18.81640625" customWidth="1"/>
    <col min="13" max="14" width="8.7265625" customWidth="1"/>
    <col min="15" max="15" width="51.1796875" customWidth="1"/>
    <col min="16" max="16" width="8.7265625" customWidth="1"/>
    <col min="17" max="17" width="13.81640625" customWidth="1"/>
    <col min="18" max="25" width="8.7265625" customWidth="1"/>
    <col min="26" max="26" width="53.453125" customWidth="1"/>
    <col min="27" max="27" width="8.7265625" customWidth="1"/>
    <col min="28" max="16384" width="8.7265625" hidden="1"/>
  </cols>
  <sheetData>
    <row r="1" spans="1:23" ht="60" customHeight="1">
      <c r="A1" s="1381"/>
      <c r="B1" s="1381" t="str">
        <f>'Customer Information'!A1</f>
        <v>2024 Multi-Family Program</v>
      </c>
    </row>
    <row r="2" spans="1:23" s="698" customFormat="1" ht="55" customHeight="1">
      <c r="B2" s="698" t="str">
        <f>"Appliances Inspection Form, Version "&amp;Development!A2</f>
        <v>Appliances Inspection Form, Version 2.0</v>
      </c>
    </row>
    <row r="3" spans="1:23" ht="25" customHeight="1" thickBot="1"/>
    <row r="4" spans="1:23" ht="25" customHeight="1" thickBot="1">
      <c r="B4" s="1745" t="s">
        <v>5382</v>
      </c>
      <c r="C4" s="1717" t="str">
        <f>IF('Customer Information'!L43="","",'Customer Information'!L43)</f>
        <v/>
      </c>
      <c r="D4" s="1746"/>
      <c r="E4" s="1746"/>
      <c r="F4" s="1746"/>
      <c r="K4" s="2837" t="s">
        <v>5337</v>
      </c>
      <c r="L4" s="2838"/>
      <c r="M4" s="2838"/>
      <c r="N4" s="2838"/>
      <c r="O4" s="2838"/>
      <c r="P4" s="2838"/>
      <c r="Q4" s="2838"/>
      <c r="R4" s="2838"/>
      <c r="S4" s="2838"/>
      <c r="T4" s="2838"/>
      <c r="U4" s="2838"/>
      <c r="V4" s="2838"/>
      <c r="W4" s="2839"/>
    </row>
    <row r="5" spans="1:23" ht="25" customHeight="1">
      <c r="B5" s="896" t="s">
        <v>5383</v>
      </c>
      <c r="C5" s="1717" t="str">
        <f>IF('Customer Information'!C6="","",'Customer Information'!C6)</f>
        <v/>
      </c>
      <c r="D5" s="1766"/>
      <c r="E5" s="1766"/>
      <c r="F5" s="1766"/>
      <c r="K5" s="1747"/>
      <c r="L5" s="1748"/>
      <c r="M5" s="1748"/>
      <c r="N5" s="1748"/>
      <c r="O5" s="1748"/>
      <c r="P5" s="1748"/>
      <c r="Q5" s="1748"/>
      <c r="R5" s="1748"/>
      <c r="S5" s="1748"/>
      <c r="T5" s="1748"/>
      <c r="U5" s="1748"/>
      <c r="V5" s="1749"/>
      <c r="W5" s="1750"/>
    </row>
    <row r="6" spans="1:23" ht="25" customHeight="1">
      <c r="B6" s="896" t="s">
        <v>5405</v>
      </c>
      <c r="C6" s="1717" t="str">
        <f>IF('Customer Information'!C7="","",'Customer Information'!C7)</f>
        <v/>
      </c>
      <c r="D6" s="1769"/>
      <c r="E6" s="1769"/>
      <c r="F6" s="1769"/>
      <c r="K6" s="1751"/>
      <c r="L6" s="157"/>
      <c r="M6" s="263" t="s">
        <v>5386</v>
      </c>
      <c r="N6" s="2152"/>
      <c r="O6" s="2152"/>
      <c r="P6" s="2152"/>
      <c r="Q6" s="348"/>
      <c r="R6" s="263" t="s">
        <v>5387</v>
      </c>
      <c r="S6" s="2152"/>
      <c r="T6" s="2152"/>
      <c r="U6" s="2152"/>
      <c r="V6" s="42"/>
      <c r="W6" s="377"/>
    </row>
    <row r="7" spans="1:23" ht="25" customHeight="1">
      <c r="B7" s="896" t="s">
        <v>5414</v>
      </c>
      <c r="C7" s="1717" t="str">
        <f>IF('Customer Information'!I7="","",'Customer Information'!I7)</f>
        <v/>
      </c>
      <c r="D7" s="1769"/>
      <c r="E7" s="1769"/>
      <c r="F7" s="1769"/>
      <c r="K7" s="1751"/>
      <c r="L7" s="157"/>
      <c r="M7" s="157"/>
      <c r="N7" s="157"/>
      <c r="O7" s="157"/>
      <c r="P7" s="157"/>
      <c r="Q7" s="157"/>
      <c r="R7" s="157"/>
      <c r="S7" s="42"/>
      <c r="T7" s="42"/>
      <c r="U7" s="157"/>
      <c r="V7" s="42"/>
      <c r="W7" s="377"/>
    </row>
    <row r="8" spans="1:23" ht="25" customHeight="1">
      <c r="B8" s="896" t="s">
        <v>5451</v>
      </c>
      <c r="C8" s="1717" t="str">
        <f>IF('Customer Information'!C10="","",'Customer Information'!C10)</f>
        <v/>
      </c>
      <c r="D8" s="1769"/>
      <c r="E8" s="1769"/>
      <c r="F8" s="1769"/>
      <c r="K8" s="1751"/>
      <c r="L8" s="157"/>
      <c r="M8" s="263" t="s">
        <v>5390</v>
      </c>
      <c r="N8" s="2152"/>
      <c r="O8" s="2152"/>
      <c r="P8" s="2152"/>
      <c r="Q8" s="348"/>
      <c r="R8" s="263" t="s">
        <v>9</v>
      </c>
      <c r="S8" s="2840"/>
      <c r="T8" s="2840"/>
      <c r="U8" s="2840"/>
      <c r="V8" s="42"/>
      <c r="W8" s="377"/>
    </row>
    <row r="9" spans="1:23" ht="25" customHeight="1">
      <c r="B9" s="896" t="s">
        <v>5389</v>
      </c>
      <c r="C9" s="1726" t="str">
        <f>IF('Customer Information'!K9="","",'Customer Information'!K9)</f>
        <v/>
      </c>
      <c r="D9" s="1769"/>
      <c r="E9" s="1769"/>
      <c r="F9" s="1769"/>
      <c r="K9" s="1654"/>
      <c r="L9" s="157"/>
      <c r="M9" s="157"/>
      <c r="N9" s="157"/>
      <c r="O9" s="157"/>
      <c r="P9" s="157"/>
      <c r="Q9" s="157"/>
      <c r="R9" s="157"/>
      <c r="S9" s="42"/>
      <c r="T9" s="42"/>
      <c r="U9" s="157"/>
      <c r="V9" s="42"/>
      <c r="W9" s="377"/>
    </row>
    <row r="10" spans="1:23" ht="25" customHeight="1">
      <c r="B10" s="896" t="s">
        <v>3283</v>
      </c>
      <c r="C10" s="1717" t="str">
        <f>IF('Customer Information'!K13="","",'Customer Information'!K13)</f>
        <v/>
      </c>
      <c r="D10" s="1771"/>
      <c r="E10" s="1771"/>
      <c r="F10" s="1771"/>
      <c r="K10" s="1654"/>
      <c r="L10" s="157"/>
      <c r="M10" s="263" t="s">
        <v>10</v>
      </c>
      <c r="N10" s="2152"/>
      <c r="O10" s="2152"/>
      <c r="P10" s="2152"/>
      <c r="Q10" s="348"/>
      <c r="R10" s="263" t="s">
        <v>140</v>
      </c>
      <c r="S10" s="2152"/>
      <c r="T10" s="2152"/>
      <c r="U10" s="2152"/>
      <c r="V10" s="42"/>
      <c r="W10" s="377"/>
    </row>
    <row r="11" spans="1:23" ht="25" customHeight="1">
      <c r="B11" s="1029" t="s">
        <v>5484</v>
      </c>
      <c r="K11" s="1654"/>
      <c r="L11" s="157"/>
      <c r="M11" s="157"/>
      <c r="N11" s="157"/>
      <c r="O11" s="157"/>
      <c r="P11" s="157"/>
      <c r="Q11" s="157"/>
      <c r="R11" s="157"/>
      <c r="S11" s="157"/>
      <c r="T11" s="1752"/>
      <c r="U11" s="1753"/>
      <c r="V11" s="42"/>
      <c r="W11" s="377"/>
    </row>
    <row r="12" spans="1:23" ht="25" customHeight="1">
      <c r="K12" s="1654" t="s">
        <v>5406</v>
      </c>
      <c r="L12" s="263"/>
      <c r="M12" s="157"/>
      <c r="N12" s="157"/>
      <c r="O12" s="157"/>
      <c r="P12" s="157"/>
      <c r="Q12" s="263"/>
      <c r="R12" s="157"/>
      <c r="S12" s="157"/>
      <c r="T12" s="1752"/>
      <c r="U12" s="1753"/>
      <c r="V12" s="42"/>
      <c r="W12" s="377"/>
    </row>
    <row r="13" spans="1:23" ht="25" customHeight="1">
      <c r="K13" s="1654"/>
      <c r="L13" s="263"/>
      <c r="M13" s="348"/>
      <c r="N13" s="348"/>
      <c r="O13" s="157"/>
      <c r="P13" s="157"/>
      <c r="Q13" s="263" t="s">
        <v>651</v>
      </c>
      <c r="R13" s="1754"/>
      <c r="S13" s="157"/>
      <c r="T13" s="1752"/>
      <c r="U13" s="1753"/>
      <c r="V13" s="42"/>
      <c r="W13" s="377"/>
    </row>
    <row r="14" spans="1:23" ht="25" customHeight="1">
      <c r="K14" s="1654" t="s">
        <v>5338</v>
      </c>
      <c r="L14" s="157"/>
      <c r="M14" s="157"/>
      <c r="N14" s="157"/>
      <c r="O14" s="157"/>
      <c r="P14" s="157"/>
      <c r="Q14" s="157"/>
      <c r="R14" s="157"/>
      <c r="S14" s="157"/>
      <c r="T14" s="1752"/>
      <c r="U14" s="1753"/>
      <c r="V14" s="42"/>
      <c r="W14" s="377"/>
    </row>
    <row r="15" spans="1:23" ht="25" customHeight="1">
      <c r="K15" s="1654"/>
      <c r="L15" s="157"/>
      <c r="M15" s="157"/>
      <c r="N15" s="157"/>
      <c r="O15" s="157"/>
      <c r="P15" s="157"/>
      <c r="Q15" s="157"/>
      <c r="R15" s="157"/>
      <c r="S15" s="157"/>
      <c r="T15" s="1752"/>
      <c r="U15" s="1753"/>
      <c r="V15" s="42"/>
      <c r="W15" s="377"/>
    </row>
    <row r="16" spans="1:23" ht="25" customHeight="1">
      <c r="K16" s="1654"/>
      <c r="L16" s="157"/>
      <c r="M16" s="157"/>
      <c r="N16" s="157"/>
      <c r="O16" s="157"/>
      <c r="P16" s="157"/>
      <c r="Q16" s="157"/>
      <c r="R16" s="157"/>
      <c r="S16" s="157"/>
      <c r="T16" s="1752"/>
      <c r="U16" s="1753"/>
      <c r="V16" s="42"/>
      <c r="W16" s="377"/>
    </row>
    <row r="17" spans="11:23" ht="25" customHeight="1">
      <c r="K17" s="1654" t="s">
        <v>5407</v>
      </c>
      <c r="L17" s="157"/>
      <c r="M17" s="157"/>
      <c r="N17" s="157"/>
      <c r="O17" s="157"/>
      <c r="P17" s="157"/>
      <c r="Q17" s="157"/>
      <c r="R17" s="157"/>
      <c r="S17" s="157"/>
      <c r="T17" s="1752"/>
      <c r="U17" s="1753"/>
      <c r="V17" s="42"/>
      <c r="W17" s="377"/>
    </row>
    <row r="18" spans="11:23" ht="25" customHeight="1">
      <c r="K18" s="1654"/>
      <c r="L18" s="157"/>
      <c r="M18" s="157"/>
      <c r="N18" s="157"/>
      <c r="O18" s="157"/>
      <c r="P18" s="157"/>
      <c r="Q18" s="157"/>
      <c r="R18" s="157"/>
      <c r="S18" s="157"/>
      <c r="T18" s="1752"/>
      <c r="U18" s="1753"/>
      <c r="V18" s="42"/>
      <c r="W18" s="377"/>
    </row>
    <row r="19" spans="11:23" ht="25" customHeight="1">
      <c r="K19" s="1654"/>
      <c r="L19" s="157"/>
      <c r="M19" s="157"/>
      <c r="N19" s="157"/>
      <c r="O19" s="157"/>
      <c r="P19" s="157"/>
      <c r="Q19" s="157"/>
      <c r="R19" s="157"/>
      <c r="S19" s="157"/>
      <c r="T19" s="1752"/>
      <c r="U19" s="1753"/>
      <c r="V19" s="42"/>
      <c r="W19" s="377"/>
    </row>
    <row r="20" spans="11:23" ht="25" customHeight="1">
      <c r="K20" s="1654" t="s">
        <v>5340</v>
      </c>
      <c r="L20" s="157"/>
      <c r="M20" s="157"/>
      <c r="N20" s="157"/>
      <c r="O20" s="157"/>
      <c r="P20" s="157"/>
      <c r="Q20" s="157"/>
      <c r="R20" s="157"/>
      <c r="S20" s="157"/>
      <c r="T20" s="1752"/>
      <c r="U20" s="1753"/>
      <c r="V20" s="42"/>
      <c r="W20" s="377"/>
    </row>
    <row r="21" spans="11:23" ht="25" customHeight="1">
      <c r="K21" s="1654"/>
      <c r="L21" s="157"/>
      <c r="M21" s="157"/>
      <c r="N21" s="157"/>
      <c r="O21" s="157"/>
      <c r="P21" s="157"/>
      <c r="Q21" s="157"/>
      <c r="R21" s="157"/>
      <c r="S21" s="157"/>
      <c r="T21" s="1752"/>
      <c r="U21" s="1753"/>
      <c r="V21" s="42"/>
      <c r="W21" s="377"/>
    </row>
    <row r="22" spans="11:23" ht="25" customHeight="1">
      <c r="K22" s="1755"/>
      <c r="L22" s="157"/>
      <c r="M22" s="157"/>
      <c r="N22" s="157"/>
      <c r="O22" s="157"/>
      <c r="P22" s="157"/>
      <c r="Q22" s="157"/>
      <c r="R22" s="157"/>
      <c r="S22" s="157"/>
      <c r="T22" s="1752"/>
      <c r="U22" s="1753"/>
      <c r="V22" s="42"/>
      <c r="W22" s="377"/>
    </row>
    <row r="23" spans="11:23" ht="25" customHeight="1" thickBot="1">
      <c r="K23" s="1656" t="s">
        <v>5341</v>
      </c>
      <c r="L23" s="1756"/>
      <c r="M23" s="1756"/>
      <c r="N23" s="1756"/>
      <c r="O23" s="1756"/>
      <c r="P23" s="1756"/>
      <c r="Q23" s="1756"/>
      <c r="R23" s="1756"/>
      <c r="S23" s="1756"/>
      <c r="T23" s="1757"/>
      <c r="U23" s="1758"/>
      <c r="V23" s="1759"/>
      <c r="W23" s="1760"/>
    </row>
    <row r="24" spans="11:23" ht="25" customHeight="1">
      <c r="K24" s="76"/>
      <c r="L24" s="157"/>
      <c r="M24" s="157"/>
      <c r="N24" s="157"/>
      <c r="O24" s="157"/>
      <c r="P24" s="157"/>
      <c r="Q24" s="157" t="s">
        <v>1277</v>
      </c>
      <c r="R24" s="157"/>
      <c r="S24" s="157"/>
      <c r="T24" s="1752"/>
      <c r="U24" s="1753"/>
      <c r="V24" s="42"/>
      <c r="W24" s="42"/>
    </row>
    <row r="25" spans="11:23" ht="25" customHeight="1">
      <c r="K25" s="76"/>
      <c r="L25" s="157"/>
      <c r="M25" s="157"/>
      <c r="N25" s="157"/>
      <c r="O25" s="157"/>
      <c r="P25" s="157"/>
      <c r="Q25" s="157"/>
      <c r="R25" s="157"/>
      <c r="S25" s="157"/>
      <c r="T25" s="1752"/>
      <c r="U25" s="1753"/>
      <c r="V25" s="42"/>
      <c r="W25" s="42"/>
    </row>
    <row r="26" spans="11:23" ht="25" customHeight="1"/>
    <row r="27" spans="11:23" ht="25" customHeight="1"/>
    <row r="28" spans="11:23" ht="25" customHeight="1"/>
    <row r="29" spans="11:23" ht="25" customHeight="1"/>
    <row r="30" spans="11:23" ht="25" customHeight="1"/>
    <row r="38" spans="1:159" s="1762" customFormat="1" ht="36" customHeight="1">
      <c r="A38"/>
      <c r="B38" s="2857" t="s">
        <v>5408</v>
      </c>
      <c r="C38" s="2857" t="s">
        <v>5409</v>
      </c>
      <c r="D38" s="2847" t="s">
        <v>5409</v>
      </c>
      <c r="E38" s="2848"/>
      <c r="F38" s="2848"/>
      <c r="G38" s="2848"/>
      <c r="H38" s="2848"/>
      <c r="I38" s="2849"/>
      <c r="J38" s="2857" t="s">
        <v>80</v>
      </c>
      <c r="K38" s="2857"/>
      <c r="L38" s="2857"/>
      <c r="M38" s="2857"/>
      <c r="N38" s="2847" t="s">
        <v>78</v>
      </c>
      <c r="O38" s="2849"/>
      <c r="P38" s="2857" t="s">
        <v>2624</v>
      </c>
      <c r="Q38" s="2857"/>
      <c r="R38" s="2857" t="s">
        <v>5400</v>
      </c>
      <c r="S38" s="2857"/>
      <c r="T38" s="1761"/>
      <c r="U38" s="2857" t="s">
        <v>5410</v>
      </c>
      <c r="V38" s="2857"/>
      <c r="W38" s="2857"/>
      <c r="X38" s="2857"/>
      <c r="Y38" s="2857"/>
      <c r="Z38" s="2857"/>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row>
    <row r="39" spans="1:159" ht="20.149999999999999" hidden="1" customHeight="1">
      <c r="B39" s="2842"/>
      <c r="C39" s="2842"/>
      <c r="D39" s="2844"/>
      <c r="E39" s="2846"/>
      <c r="F39" s="2846"/>
      <c r="G39" s="2846"/>
      <c r="H39" s="2846"/>
      <c r="I39" s="2845"/>
      <c r="J39" s="2843"/>
      <c r="K39" s="2843"/>
      <c r="L39" s="2843"/>
      <c r="M39" s="2843"/>
      <c r="N39" s="2844"/>
      <c r="O39" s="2845"/>
      <c r="P39" s="2844"/>
      <c r="Q39" s="2845"/>
      <c r="R39" s="2842"/>
      <c r="S39" s="2842"/>
      <c r="U39" s="2483"/>
      <c r="V39" s="2483"/>
      <c r="W39" s="2483"/>
      <c r="X39" s="2483"/>
      <c r="Y39" s="2483"/>
      <c r="Z39" s="2483"/>
    </row>
    <row r="40" spans="1:159" ht="20.149999999999999" hidden="1" customHeight="1">
      <c r="B40" s="2842"/>
      <c r="C40" s="2842"/>
      <c r="D40" s="2844"/>
      <c r="E40" s="2846"/>
      <c r="F40" s="2846"/>
      <c r="G40" s="2846"/>
      <c r="H40" s="2846"/>
      <c r="I40" s="2845"/>
      <c r="J40" s="2843"/>
      <c r="K40" s="2843"/>
      <c r="L40" s="2843"/>
      <c r="M40" s="2843"/>
      <c r="N40" s="2844"/>
      <c r="O40" s="2845"/>
      <c r="P40" s="2844"/>
      <c r="Q40" s="2845"/>
      <c r="R40" s="2842"/>
      <c r="S40" s="2842"/>
      <c r="U40" s="2483"/>
      <c r="V40" s="2483"/>
      <c r="W40" s="2483"/>
      <c r="X40" s="2483"/>
      <c r="Y40" s="2483"/>
      <c r="Z40" s="2483"/>
    </row>
    <row r="41" spans="1:159" ht="20.149999999999999" hidden="1" customHeight="1">
      <c r="B41" s="2842"/>
      <c r="C41" s="2842"/>
      <c r="D41" s="2844"/>
      <c r="E41" s="2846"/>
      <c r="F41" s="2846"/>
      <c r="G41" s="2846"/>
      <c r="H41" s="2846"/>
      <c r="I41" s="2845"/>
      <c r="J41" s="2843"/>
      <c r="K41" s="2843"/>
      <c r="L41" s="2843"/>
      <c r="M41" s="2843"/>
      <c r="N41" s="2844"/>
      <c r="O41" s="2845"/>
      <c r="P41" s="2844"/>
      <c r="Q41" s="2845"/>
      <c r="R41" s="2842"/>
      <c r="S41" s="2842"/>
      <c r="U41" s="2483"/>
      <c r="V41" s="2483"/>
      <c r="W41" s="2483"/>
      <c r="X41" s="2483"/>
      <c r="Y41" s="2483"/>
      <c r="Z41" s="2483"/>
    </row>
    <row r="42" spans="1:159" ht="20.149999999999999" hidden="1" customHeight="1">
      <c r="B42" s="2842"/>
      <c r="C42" s="2842"/>
      <c r="D42" s="2844"/>
      <c r="E42" s="2846"/>
      <c r="F42" s="2846"/>
      <c r="G42" s="2846"/>
      <c r="H42" s="2846"/>
      <c r="I42" s="2845"/>
      <c r="J42" s="2843"/>
      <c r="K42" s="2843"/>
      <c r="L42" s="2843"/>
      <c r="M42" s="2843"/>
      <c r="N42" s="2844"/>
      <c r="O42" s="2845"/>
      <c r="P42" s="2844"/>
      <c r="Q42" s="2845"/>
      <c r="R42" s="2842"/>
      <c r="S42" s="2842"/>
      <c r="U42" s="2483"/>
      <c r="V42" s="2483"/>
      <c r="W42" s="2483"/>
      <c r="X42" s="2483"/>
      <c r="Y42" s="2483"/>
      <c r="Z42" s="2483"/>
    </row>
    <row r="43" spans="1:159" ht="20.149999999999999" hidden="1" customHeight="1">
      <c r="B43" s="2842"/>
      <c r="C43" s="2842"/>
      <c r="D43" s="2844"/>
      <c r="E43" s="2846"/>
      <c r="F43" s="2846"/>
      <c r="G43" s="2846"/>
      <c r="H43" s="2846"/>
      <c r="I43" s="2845"/>
      <c r="J43" s="2843"/>
      <c r="K43" s="2843"/>
      <c r="L43" s="2843"/>
      <c r="M43" s="2843"/>
      <c r="N43" s="2844"/>
      <c r="O43" s="2845"/>
      <c r="P43" s="2843"/>
      <c r="Q43" s="2843"/>
      <c r="R43" s="2842"/>
      <c r="S43" s="2842"/>
      <c r="U43" s="2483"/>
      <c r="V43" s="2483"/>
      <c r="W43" s="2483"/>
      <c r="X43" s="2483"/>
      <c r="Y43" s="2483"/>
      <c r="Z43" s="2483"/>
    </row>
    <row r="44" spans="1:159" ht="20.149999999999999" hidden="1" customHeight="1">
      <c r="B44" s="2842"/>
      <c r="C44" s="2842"/>
      <c r="D44" s="2844"/>
      <c r="E44" s="2846"/>
      <c r="F44" s="2846"/>
      <c r="G44" s="2846"/>
      <c r="H44" s="2846"/>
      <c r="I44" s="2845"/>
      <c r="J44" s="2843"/>
      <c r="K44" s="2843"/>
      <c r="L44" s="2843"/>
      <c r="M44" s="2843"/>
      <c r="N44" s="2844"/>
      <c r="O44" s="2845"/>
      <c r="P44" s="2843"/>
      <c r="Q44" s="2843"/>
      <c r="R44" s="2842"/>
      <c r="S44" s="2842"/>
      <c r="U44" s="2483"/>
      <c r="V44" s="2483"/>
      <c r="W44" s="2483"/>
      <c r="X44" s="2483"/>
      <c r="Y44" s="2483"/>
      <c r="Z44" s="2483"/>
    </row>
    <row r="45" spans="1:159" ht="20.149999999999999" hidden="1" customHeight="1">
      <c r="B45" s="2842"/>
      <c r="C45" s="2842"/>
      <c r="D45" s="2844"/>
      <c r="E45" s="2846"/>
      <c r="F45" s="2846"/>
      <c r="G45" s="2846"/>
      <c r="H45" s="2846"/>
      <c r="I45" s="2845"/>
      <c r="J45" s="2843"/>
      <c r="K45" s="2843"/>
      <c r="L45" s="2843"/>
      <c r="M45" s="2843"/>
      <c r="N45" s="2844"/>
      <c r="O45" s="2845"/>
      <c r="P45" s="2843"/>
      <c r="Q45" s="2843"/>
      <c r="R45" s="2842"/>
      <c r="S45" s="2842"/>
      <c r="U45" s="2483"/>
      <c r="V45" s="2483"/>
      <c r="W45" s="2483"/>
      <c r="X45" s="2483"/>
      <c r="Y45" s="2483"/>
      <c r="Z45" s="2483"/>
    </row>
    <row r="46" spans="1:159" ht="20.149999999999999" hidden="1" customHeight="1">
      <c r="B46" s="2842"/>
      <c r="C46" s="2842"/>
      <c r="D46" s="2844"/>
      <c r="E46" s="2846"/>
      <c r="F46" s="2846"/>
      <c r="G46" s="2846"/>
      <c r="H46" s="2846"/>
      <c r="I46" s="2845"/>
      <c r="J46" s="2843"/>
      <c r="K46" s="2843"/>
      <c r="L46" s="2843"/>
      <c r="M46" s="2843"/>
      <c r="N46" s="2844"/>
      <c r="O46" s="2845"/>
      <c r="P46" s="2843"/>
      <c r="Q46" s="2843"/>
      <c r="R46" s="2842"/>
      <c r="S46" s="2842"/>
      <c r="U46" s="2483"/>
      <c r="V46" s="2483"/>
      <c r="W46" s="2483"/>
      <c r="X46" s="2483"/>
      <c r="Y46" s="2483"/>
      <c r="Z46" s="2483"/>
    </row>
    <row r="47" spans="1:159" ht="20.149999999999999" customHeight="1">
      <c r="B47" s="2842"/>
      <c r="C47" s="2842"/>
      <c r="D47" s="2844" t="str">
        <f>IF('Multi-Family Heat Pumps'!Q78="","",'Appliances References'!$J$7)</f>
        <v>Most Efficient Clothes Washer</v>
      </c>
      <c r="E47" s="2846"/>
      <c r="F47" s="2846"/>
      <c r="G47" s="2846"/>
      <c r="H47" s="2846"/>
      <c r="I47" s="2845"/>
      <c r="J47" s="2843" t="str">
        <f>IF('Multi-Family Heat Pumps'!Q78="","",'Multi-Family Heat Pumps'!K78)</f>
        <v>x</v>
      </c>
      <c r="K47" s="2843"/>
      <c r="L47" s="2843"/>
      <c r="M47" s="2843"/>
      <c r="N47" s="2844" t="str">
        <f>IF('Multi-Family Heat Pumps'!Q78="","",'Multi-Family Heat Pumps'!N78)</f>
        <v>x</v>
      </c>
      <c r="O47" s="2845"/>
      <c r="P47" s="2843">
        <f>IF('Multi-Family Heat Pumps'!Q78="","",'Multi-Family Heat Pumps'!F78)</f>
        <v>15</v>
      </c>
      <c r="Q47" s="2843"/>
      <c r="R47" s="2842"/>
      <c r="S47" s="2842"/>
      <c r="U47" s="2483"/>
      <c r="V47" s="2483"/>
      <c r="W47" s="2483"/>
      <c r="X47" s="2483"/>
      <c r="Y47" s="2483"/>
      <c r="Z47" s="2483"/>
    </row>
    <row r="48" spans="1:159" ht="20.149999999999999" hidden="1" customHeight="1">
      <c r="B48" s="2842"/>
      <c r="C48" s="2842"/>
      <c r="D48" s="2844" t="str">
        <f>IF('Multi-Family Heat Pumps'!Q79="","",'Appliances References'!$J$7)</f>
        <v/>
      </c>
      <c r="E48" s="2846"/>
      <c r="F48" s="2846"/>
      <c r="G48" s="2846"/>
      <c r="H48" s="2846"/>
      <c r="I48" s="2845"/>
      <c r="J48" s="2843" t="str">
        <f>IF('Multi-Family Heat Pumps'!Q79="","",'Multi-Family Heat Pumps'!K79)</f>
        <v/>
      </c>
      <c r="K48" s="2843"/>
      <c r="L48" s="2843"/>
      <c r="M48" s="2843"/>
      <c r="N48" s="2844" t="str">
        <f>IF('Multi-Family Heat Pumps'!Q79="","",'Multi-Family Heat Pumps'!N79)</f>
        <v/>
      </c>
      <c r="O48" s="2845"/>
      <c r="P48" s="2843" t="str">
        <f>IF('Multi-Family Heat Pumps'!Q79="","",'Multi-Family Heat Pumps'!F79)</f>
        <v/>
      </c>
      <c r="Q48" s="2843"/>
      <c r="R48" s="2842"/>
      <c r="S48" s="2842"/>
      <c r="U48" s="2483"/>
      <c r="V48" s="2483"/>
      <c r="W48" s="2483"/>
      <c r="X48" s="2483"/>
      <c r="Y48" s="2483"/>
      <c r="Z48" s="2483"/>
    </row>
    <row r="49" spans="2:26" ht="20.149999999999999" hidden="1" customHeight="1">
      <c r="B49" s="2842"/>
      <c r="C49" s="2842"/>
      <c r="D49" s="2844" t="str">
        <f>IF('Multi-Family Heat Pumps'!Q80="","",'Appliances References'!$J$7)</f>
        <v/>
      </c>
      <c r="E49" s="2846"/>
      <c r="F49" s="2846"/>
      <c r="G49" s="2846"/>
      <c r="H49" s="2846"/>
      <c r="I49" s="2845"/>
      <c r="J49" s="2843" t="str">
        <f>IF('Multi-Family Heat Pumps'!Q80="","",'Multi-Family Heat Pumps'!K80)</f>
        <v/>
      </c>
      <c r="K49" s="2843"/>
      <c r="L49" s="2843"/>
      <c r="M49" s="2843"/>
      <c r="N49" s="2844" t="str">
        <f>IF('Multi-Family Heat Pumps'!Q80="","",'Multi-Family Heat Pumps'!N80)</f>
        <v/>
      </c>
      <c r="O49" s="2845"/>
      <c r="P49" s="2843" t="str">
        <f>IF('Multi-Family Heat Pumps'!Q80="","",'Multi-Family Heat Pumps'!F80)</f>
        <v/>
      </c>
      <c r="Q49" s="2843"/>
      <c r="R49" s="2842"/>
      <c r="S49" s="2842"/>
      <c r="U49" s="2483"/>
      <c r="V49" s="2483"/>
      <c r="W49" s="2483"/>
      <c r="X49" s="2483"/>
      <c r="Y49" s="2483"/>
      <c r="Z49" s="2483"/>
    </row>
    <row r="50" spans="2:26" ht="20.149999999999999" hidden="1" customHeight="1">
      <c r="B50" s="2842"/>
      <c r="C50" s="2842"/>
      <c r="D50" s="2844" t="str">
        <f>IF('Multi-Family Heat Pumps'!Q81="","",'Appliances References'!$J$7)</f>
        <v/>
      </c>
      <c r="E50" s="2846"/>
      <c r="F50" s="2846"/>
      <c r="G50" s="2846"/>
      <c r="H50" s="2846"/>
      <c r="I50" s="2845"/>
      <c r="J50" s="2843" t="str">
        <f>IF('Multi-Family Heat Pumps'!Q81="","",'Multi-Family Heat Pumps'!K81)</f>
        <v/>
      </c>
      <c r="K50" s="2843"/>
      <c r="L50" s="2843"/>
      <c r="M50" s="2843"/>
      <c r="N50" s="2844" t="str">
        <f>IF('Multi-Family Heat Pumps'!Q81="","",'Multi-Family Heat Pumps'!N81)</f>
        <v/>
      </c>
      <c r="O50" s="2845"/>
      <c r="P50" s="2843" t="str">
        <f>IF('Multi-Family Heat Pumps'!Q81="","",'Multi-Family Heat Pumps'!F81)</f>
        <v/>
      </c>
      <c r="Q50" s="2843"/>
      <c r="R50" s="2842"/>
      <c r="S50" s="2842"/>
      <c r="U50" s="2483"/>
      <c r="V50" s="2483"/>
      <c r="W50" s="2483"/>
      <c r="X50" s="2483"/>
      <c r="Y50" s="2483"/>
      <c r="Z50" s="2483"/>
    </row>
    <row r="51" spans="2:26" ht="20.149999999999999" customHeight="1">
      <c r="B51" s="2842"/>
      <c r="C51" s="2842"/>
      <c r="D51" s="2844" t="str">
        <f>IF('Multi-Family Heat Pumps'!Q89="","",'Appliances References'!$J$9)</f>
        <v>Most Efficient Dryer - Heat Pump</v>
      </c>
      <c r="E51" s="2846"/>
      <c r="F51" s="2846"/>
      <c r="G51" s="2846"/>
      <c r="H51" s="2846"/>
      <c r="I51" s="2845"/>
      <c r="J51" s="2843" t="str">
        <f>IF('Multi-Family Heat Pumps'!Q89="","",'Multi-Family Heat Pumps'!K89)</f>
        <v>w</v>
      </c>
      <c r="K51" s="2843"/>
      <c r="L51" s="2843"/>
      <c r="M51" s="2843"/>
      <c r="N51" s="2844" t="str">
        <f>IF('Multi-Family Heat Pumps'!Q89="","",'Multi-Family Heat Pumps'!N89)</f>
        <v>w</v>
      </c>
      <c r="O51" s="2845"/>
      <c r="P51" s="2843">
        <f>IF('Multi-Family Heat Pumps'!Q89="","",'Multi-Family Heat Pumps'!F89)</f>
        <v>15</v>
      </c>
      <c r="Q51" s="2843"/>
      <c r="R51" s="2842"/>
      <c r="S51" s="2842"/>
      <c r="U51" s="2483"/>
      <c r="V51" s="2483"/>
      <c r="W51" s="2483"/>
      <c r="X51" s="2483"/>
      <c r="Y51" s="2483"/>
      <c r="Z51" s="2483"/>
    </row>
    <row r="52" spans="2:26" ht="20.149999999999999" hidden="1" customHeight="1">
      <c r="B52" s="2842"/>
      <c r="C52" s="2842"/>
      <c r="D52" s="2844" t="str">
        <f>IF('Multi-Family Heat Pumps'!Q90="","",'Appliances References'!$J$9)</f>
        <v/>
      </c>
      <c r="E52" s="2846"/>
      <c r="F52" s="2846"/>
      <c r="G52" s="2846"/>
      <c r="H52" s="2846"/>
      <c r="I52" s="2845"/>
      <c r="J52" s="2843" t="str">
        <f>IF('Multi-Family Heat Pumps'!Q90="","",'Multi-Family Heat Pumps'!K90)</f>
        <v/>
      </c>
      <c r="K52" s="2843"/>
      <c r="L52" s="2843"/>
      <c r="M52" s="2843"/>
      <c r="N52" s="2844" t="str">
        <f>IF('Multi-Family Heat Pumps'!Q90="","",'Multi-Family Heat Pumps'!N90)</f>
        <v/>
      </c>
      <c r="O52" s="2845"/>
      <c r="P52" s="2843" t="str">
        <f>IF('Multi-Family Heat Pumps'!Q90="","",'Multi-Family Heat Pumps'!F90)</f>
        <v/>
      </c>
      <c r="Q52" s="2843"/>
      <c r="R52" s="2842"/>
      <c r="S52" s="2842"/>
      <c r="U52" s="2483"/>
      <c r="V52" s="2483"/>
      <c r="W52" s="2483"/>
      <c r="X52" s="2483"/>
      <c r="Y52" s="2483"/>
      <c r="Z52" s="2483"/>
    </row>
    <row r="53" spans="2:26" ht="20.149999999999999" hidden="1" customHeight="1">
      <c r="B53" s="2842"/>
      <c r="C53" s="2842"/>
      <c r="D53" s="2844" t="str">
        <f>IF('Multi-Family Heat Pumps'!Q91="","",'Appliances References'!$J$9)</f>
        <v/>
      </c>
      <c r="E53" s="2846"/>
      <c r="F53" s="2846"/>
      <c r="G53" s="2846"/>
      <c r="H53" s="2846"/>
      <c r="I53" s="2845"/>
      <c r="J53" s="2843" t="str">
        <f>IF('Multi-Family Heat Pumps'!Q91="","",'Multi-Family Heat Pumps'!K91)</f>
        <v/>
      </c>
      <c r="K53" s="2843"/>
      <c r="L53" s="2843"/>
      <c r="M53" s="2843"/>
      <c r="N53" s="2844" t="str">
        <f>IF('Multi-Family Heat Pumps'!Q91="","",'Multi-Family Heat Pumps'!N91)</f>
        <v/>
      </c>
      <c r="O53" s="2845"/>
      <c r="P53" s="2843" t="str">
        <f>IF('Multi-Family Heat Pumps'!Q91="","",'Multi-Family Heat Pumps'!F91)</f>
        <v/>
      </c>
      <c r="Q53" s="2843"/>
      <c r="R53" s="2842"/>
      <c r="S53" s="2842"/>
      <c r="U53" s="2483"/>
      <c r="V53" s="2483"/>
      <c r="W53" s="2483"/>
      <c r="X53" s="2483"/>
      <c r="Y53" s="2483"/>
      <c r="Z53" s="2483"/>
    </row>
    <row r="54" spans="2:26" ht="20.149999999999999" hidden="1" customHeight="1">
      <c r="B54" s="2842"/>
      <c r="C54" s="2842"/>
      <c r="D54" s="2844" t="str">
        <f>IF('Multi-Family Heat Pumps'!Q92="","",'Appliances References'!$J$9)</f>
        <v/>
      </c>
      <c r="E54" s="2846"/>
      <c r="F54" s="2846"/>
      <c r="G54" s="2846"/>
      <c r="H54" s="2846"/>
      <c r="I54" s="2845"/>
      <c r="J54" s="2843" t="str">
        <f>IF('Multi-Family Heat Pumps'!Q92="","",'Multi-Family Heat Pumps'!K92)</f>
        <v/>
      </c>
      <c r="K54" s="2843"/>
      <c r="L54" s="2843"/>
      <c r="M54" s="2843"/>
      <c r="N54" s="2844" t="str">
        <f>IF('Multi-Family Heat Pumps'!Q92="","",'Multi-Family Heat Pumps'!N92)</f>
        <v/>
      </c>
      <c r="O54" s="2845"/>
      <c r="P54" s="2843" t="str">
        <f>IF('Multi-Family Heat Pumps'!Q92="","",'Multi-Family Heat Pumps'!F92)</f>
        <v/>
      </c>
      <c r="Q54" s="2843"/>
      <c r="R54" s="2842"/>
      <c r="S54" s="2842"/>
      <c r="U54" s="2483"/>
      <c r="V54" s="2483"/>
      <c r="W54" s="2483"/>
      <c r="X54" s="2483"/>
      <c r="Y54" s="2483"/>
      <c r="Z54" s="2483"/>
    </row>
    <row r="55" spans="2:26" ht="20.149999999999999" customHeight="1">
      <c r="B55" s="2842"/>
      <c r="C55" s="2842"/>
      <c r="D55" s="2844" t="str">
        <f>IF('Multi-Family Heat Pumps'!Q101="","",'Appliances References'!$J$10)</f>
        <v>Most Efficient Dishwasher</v>
      </c>
      <c r="E55" s="2846"/>
      <c r="F55" s="2846"/>
      <c r="G55" s="2846"/>
      <c r="H55" s="2846"/>
      <c r="I55" s="2845"/>
      <c r="J55" s="2843">
        <f>IF('Multi-Family Heat Pumps'!Q101="","",'Multi-Family Heat Pumps'!K101)</f>
        <v>2</v>
      </c>
      <c r="K55" s="2843"/>
      <c r="L55" s="2843"/>
      <c r="M55" s="2843"/>
      <c r="N55" s="2844" t="str">
        <f>IF('Multi-Family Heat Pumps'!Q101="","",'Multi-Family Heat Pumps'!N101)</f>
        <v>s</v>
      </c>
      <c r="O55" s="2845"/>
      <c r="P55" s="2843">
        <f>IF('Multi-Family Heat Pumps'!Q101="","",'Multi-Family Heat Pumps'!F101)</f>
        <v>15</v>
      </c>
      <c r="Q55" s="2843"/>
      <c r="R55" s="2842"/>
      <c r="S55" s="2842"/>
      <c r="U55" s="2483"/>
      <c r="V55" s="2483"/>
      <c r="W55" s="2483"/>
      <c r="X55" s="2483"/>
      <c r="Y55" s="2483"/>
      <c r="Z55" s="2483"/>
    </row>
    <row r="56" spans="2:26" ht="20.149999999999999" hidden="1" customHeight="1">
      <c r="B56" s="2842"/>
      <c r="C56" s="2842"/>
      <c r="D56" s="2844" t="str">
        <f>IF('Multi-Family Heat Pumps'!Q102="","",'Appliances References'!$J$10)</f>
        <v/>
      </c>
      <c r="E56" s="2846"/>
      <c r="F56" s="2846"/>
      <c r="G56" s="2846"/>
      <c r="H56" s="2846"/>
      <c r="I56" s="2845"/>
      <c r="J56" s="2843" t="str">
        <f>IF('Multi-Family Heat Pumps'!Q102="","",'Multi-Family Heat Pumps'!K102)</f>
        <v/>
      </c>
      <c r="K56" s="2843"/>
      <c r="L56" s="2843"/>
      <c r="M56" s="2843"/>
      <c r="N56" s="2844" t="str">
        <f>IF('Multi-Family Heat Pumps'!Q102="","",'Multi-Family Heat Pumps'!N102)</f>
        <v/>
      </c>
      <c r="O56" s="2845"/>
      <c r="P56" s="2843" t="str">
        <f>IF('Multi-Family Heat Pumps'!Q102="","",'Multi-Family Heat Pumps'!F102)</f>
        <v/>
      </c>
      <c r="Q56" s="2843"/>
      <c r="R56" s="2842"/>
      <c r="S56" s="2842"/>
      <c r="U56" s="2483"/>
      <c r="V56" s="2483"/>
      <c r="W56" s="2483"/>
      <c r="X56" s="2483"/>
      <c r="Y56" s="2483"/>
      <c r="Z56" s="2483"/>
    </row>
    <row r="57" spans="2:26" ht="20.149999999999999" hidden="1" customHeight="1">
      <c r="B57" s="2842"/>
      <c r="C57" s="2842"/>
      <c r="D57" s="2844" t="str">
        <f>IF('Multi-Family Heat Pumps'!Q103="","",'Appliances References'!$J$10)</f>
        <v/>
      </c>
      <c r="E57" s="2846"/>
      <c r="F57" s="2846"/>
      <c r="G57" s="2846"/>
      <c r="H57" s="2846"/>
      <c r="I57" s="2845"/>
      <c r="J57" s="2843" t="str">
        <f>IF('Multi-Family Heat Pumps'!Q103="","",'Multi-Family Heat Pumps'!K103)</f>
        <v/>
      </c>
      <c r="K57" s="2843"/>
      <c r="L57" s="2843"/>
      <c r="M57" s="2843"/>
      <c r="N57" s="2844" t="str">
        <f>IF('Multi-Family Heat Pumps'!Q103="","",'Multi-Family Heat Pumps'!N103)</f>
        <v/>
      </c>
      <c r="O57" s="2845"/>
      <c r="P57" s="2843" t="str">
        <f>IF('Multi-Family Heat Pumps'!Q103="","",'Multi-Family Heat Pumps'!F103)</f>
        <v/>
      </c>
      <c r="Q57" s="2843"/>
      <c r="R57" s="2842"/>
      <c r="S57" s="2842"/>
      <c r="U57" s="2483"/>
      <c r="V57" s="2483"/>
      <c r="W57" s="2483"/>
      <c r="X57" s="2483"/>
      <c r="Y57" s="2483"/>
      <c r="Z57" s="2483"/>
    </row>
    <row r="58" spans="2:26" ht="20.149999999999999" hidden="1" customHeight="1">
      <c r="B58" s="2842"/>
      <c r="C58" s="2842"/>
      <c r="D58" s="2844" t="str">
        <f>IF('Multi-Family Heat Pumps'!Q104="","",'Appliances References'!$J$10)</f>
        <v/>
      </c>
      <c r="E58" s="2846"/>
      <c r="F58" s="2846"/>
      <c r="G58" s="2846"/>
      <c r="H58" s="2846"/>
      <c r="I58" s="2845"/>
      <c r="J58" s="2843" t="str">
        <f>IF('Multi-Family Heat Pumps'!Q104="","",'Multi-Family Heat Pumps'!K104)</f>
        <v/>
      </c>
      <c r="K58" s="2843"/>
      <c r="L58" s="2843"/>
      <c r="M58" s="2843"/>
      <c r="N58" s="2844" t="str">
        <f>IF('Multi-Family Heat Pumps'!Q104="","",'Multi-Family Heat Pumps'!N104)</f>
        <v/>
      </c>
      <c r="O58" s="2845"/>
      <c r="P58" s="2843" t="str">
        <f>IF('Multi-Family Heat Pumps'!Q104="","",'Multi-Family Heat Pumps'!F104)</f>
        <v/>
      </c>
      <c r="Q58" s="2843"/>
      <c r="R58" s="2842"/>
      <c r="S58" s="2842"/>
      <c r="U58" s="2483"/>
      <c r="V58" s="2483"/>
      <c r="W58" s="2483"/>
      <c r="X58" s="2483"/>
      <c r="Y58" s="2483"/>
      <c r="Z58" s="2483"/>
    </row>
    <row r="59" spans="2:26" ht="20.149999999999999" hidden="1" customHeight="1">
      <c r="B59" s="2842"/>
      <c r="C59" s="2842"/>
      <c r="D59" s="2844" t="str">
        <f>IF('Multi-Family Heat Pumps'!Q113="","",'Appliances References'!$J$8)</f>
        <v/>
      </c>
      <c r="E59" s="2846"/>
      <c r="F59" s="2846"/>
      <c r="G59" s="2846"/>
      <c r="H59" s="2846"/>
      <c r="I59" s="2845"/>
      <c r="J59" s="2843" t="str">
        <f>IF('Multi-Family Heat Pumps'!Q113="","",'Multi-Family Heat Pumps'!K113)</f>
        <v/>
      </c>
      <c r="K59" s="2843"/>
      <c r="L59" s="2843"/>
      <c r="M59" s="2843"/>
      <c r="N59" s="2844" t="str">
        <f>IF('Multi-Family Heat Pumps'!Q113="","",'Multi-Family Heat Pumps'!N113)</f>
        <v/>
      </c>
      <c r="O59" s="2845"/>
      <c r="P59" s="2843" t="str">
        <f>IF('Multi-Family Heat Pumps'!Q113="","",'Multi-Family Heat Pumps'!F113)</f>
        <v/>
      </c>
      <c r="Q59" s="2843"/>
      <c r="R59" s="2842"/>
      <c r="S59" s="2842"/>
      <c r="U59" s="2483"/>
      <c r="V59" s="2483"/>
      <c r="W59" s="2483"/>
      <c r="X59" s="2483"/>
      <c r="Y59" s="2483"/>
      <c r="Z59" s="2483"/>
    </row>
    <row r="60" spans="2:26" ht="20.149999999999999" hidden="1" customHeight="1">
      <c r="B60" s="2842"/>
      <c r="C60" s="2842"/>
      <c r="D60" s="2844" t="str">
        <f>IF('Multi-Family Heat Pumps'!Q114="","",'Appliances References'!$J$8)</f>
        <v/>
      </c>
      <c r="E60" s="2846"/>
      <c r="F60" s="2846"/>
      <c r="G60" s="2846"/>
      <c r="H60" s="2846"/>
      <c r="I60" s="2845"/>
      <c r="J60" s="2843" t="str">
        <f>IF('Multi-Family Heat Pumps'!Q114="","",'Multi-Family Heat Pumps'!K114)</f>
        <v/>
      </c>
      <c r="K60" s="2843"/>
      <c r="L60" s="2843"/>
      <c r="M60" s="2843"/>
      <c r="N60" s="2844" t="str">
        <f>IF('Multi-Family Heat Pumps'!Q114="","",'Multi-Family Heat Pumps'!N114)</f>
        <v/>
      </c>
      <c r="O60" s="2845"/>
      <c r="P60" s="2843" t="str">
        <f>IF('Multi-Family Heat Pumps'!Q114="","",'Multi-Family Heat Pumps'!F114)</f>
        <v/>
      </c>
      <c r="Q60" s="2843"/>
      <c r="R60" s="2842"/>
      <c r="S60" s="2842"/>
      <c r="U60" s="2483"/>
      <c r="V60" s="2483"/>
      <c r="W60" s="2483"/>
      <c r="X60" s="2483"/>
      <c r="Y60" s="2483"/>
      <c r="Z60" s="2483"/>
    </row>
    <row r="61" spans="2:26" ht="20.149999999999999" hidden="1" customHeight="1">
      <c r="B61" s="2842"/>
      <c r="C61" s="2842"/>
      <c r="D61" s="2844" t="str">
        <f>IF('Multi-Family Heat Pumps'!Q115="","",'Appliances References'!$J$8)</f>
        <v/>
      </c>
      <c r="E61" s="2846"/>
      <c r="F61" s="2846"/>
      <c r="G61" s="2846"/>
      <c r="H61" s="2846"/>
      <c r="I61" s="2845"/>
      <c r="J61" s="2843" t="str">
        <f>IF('Multi-Family Heat Pumps'!Q115="","",'Multi-Family Heat Pumps'!K115)</f>
        <v/>
      </c>
      <c r="K61" s="2843"/>
      <c r="L61" s="2843"/>
      <c r="M61" s="2843"/>
      <c r="N61" s="2844" t="str">
        <f>IF('Multi-Family Heat Pumps'!Q115="","",'Multi-Family Heat Pumps'!N115)</f>
        <v/>
      </c>
      <c r="O61" s="2845"/>
      <c r="P61" s="2843" t="str">
        <f>IF('Multi-Family Heat Pumps'!Q115="","",'Multi-Family Heat Pumps'!F115)</f>
        <v/>
      </c>
      <c r="Q61" s="2843"/>
      <c r="R61" s="2842"/>
      <c r="S61" s="2842"/>
      <c r="U61" s="2483"/>
      <c r="V61" s="2483"/>
      <c r="W61" s="2483"/>
      <c r="X61" s="2483"/>
      <c r="Y61" s="2483"/>
      <c r="Z61" s="2483"/>
    </row>
    <row r="62" spans="2:26" ht="20.149999999999999" hidden="1" customHeight="1">
      <c r="B62" s="2842"/>
      <c r="C62" s="2842"/>
      <c r="D62" s="2844" t="str">
        <f>IF('Multi-Family Heat Pumps'!Q116="","",'Appliances References'!$J$8)</f>
        <v/>
      </c>
      <c r="E62" s="2846"/>
      <c r="F62" s="2846"/>
      <c r="G62" s="2846"/>
      <c r="H62" s="2846"/>
      <c r="I62" s="2845"/>
      <c r="J62" s="2843" t="str">
        <f>IF('Multi-Family Heat Pumps'!Q116="","",'Multi-Family Heat Pumps'!K116)</f>
        <v/>
      </c>
      <c r="K62" s="2843"/>
      <c r="L62" s="2843"/>
      <c r="M62" s="2843"/>
      <c r="N62" s="2844" t="str">
        <f>IF('Multi-Family Heat Pumps'!Q116="","",'Multi-Family Heat Pumps'!N116)</f>
        <v/>
      </c>
      <c r="O62" s="2845"/>
      <c r="P62" s="2843" t="str">
        <f>IF('Multi-Family Heat Pumps'!Q116="","",'Multi-Family Heat Pumps'!F116)</f>
        <v/>
      </c>
      <c r="Q62" s="2843"/>
      <c r="R62" s="2842"/>
      <c r="S62" s="2842"/>
      <c r="U62" s="2483"/>
      <c r="V62" s="2483"/>
      <c r="W62" s="2483"/>
      <c r="X62" s="2483"/>
      <c r="Y62" s="2483"/>
      <c r="Z62" s="2483"/>
    </row>
    <row r="63" spans="2:26" ht="20.149999999999999" customHeight="1">
      <c r="B63" s="2842"/>
      <c r="C63" s="2842"/>
      <c r="D63" s="2844" t="str">
        <f>IF('Multi-Family Heat Pumps'!W129="","",'Appliances References'!$H$5)</f>
        <v>Heat Pump Water Heater</v>
      </c>
      <c r="E63" s="2846"/>
      <c r="F63" s="2846"/>
      <c r="G63" s="2846"/>
      <c r="H63" s="2846"/>
      <c r="I63" s="2845"/>
      <c r="J63" s="2843">
        <f>IF('Multi-Family Heat Pumps'!W129="","",'Multi-Family Heat Pumps'!N129)</f>
        <v>0</v>
      </c>
      <c r="K63" s="2843"/>
      <c r="L63" s="2843"/>
      <c r="M63" s="2843"/>
      <c r="N63" s="2844">
        <f>IF('Multi-Family Heat Pumps'!W129="","",'Multi-Family Heat Pumps'!Q129)</f>
        <v>0</v>
      </c>
      <c r="O63" s="2845"/>
      <c r="P63" s="2843">
        <f>IF('Multi-Family Heat Pumps'!W129="","",'Multi-Family Heat Pumps'!F129)</f>
        <v>0</v>
      </c>
      <c r="Q63" s="2843"/>
      <c r="R63" s="2842"/>
      <c r="S63" s="2842"/>
      <c r="U63" s="2483"/>
      <c r="V63" s="2483"/>
      <c r="W63" s="2483"/>
      <c r="X63" s="2483"/>
      <c r="Y63" s="2483"/>
      <c r="Z63" s="2483"/>
    </row>
    <row r="64" spans="2:26" ht="20.149999999999999" hidden="1" customHeight="1">
      <c r="B64" s="2842"/>
      <c r="C64" s="2842"/>
      <c r="D64" s="2844" t="str">
        <f>IF('Multi-Family Heat Pumps'!W131="","",'Appliances References'!$H$5)</f>
        <v>Heat Pump Water Heater</v>
      </c>
      <c r="E64" s="2846"/>
      <c r="F64" s="2846"/>
      <c r="G64" s="2846"/>
      <c r="H64" s="2846"/>
      <c r="I64" s="2845"/>
      <c r="J64" s="2843">
        <f>IF('Multi-Family Heat Pumps'!W131="","",'Multi-Family Heat Pumps'!N131)</f>
        <v>0</v>
      </c>
      <c r="K64" s="2843"/>
      <c r="L64" s="2843"/>
      <c r="M64" s="2843"/>
      <c r="N64" s="2844">
        <f>IF('Multi-Family Heat Pumps'!W131="","",'Multi-Family Heat Pumps'!Q131)</f>
        <v>0</v>
      </c>
      <c r="O64" s="2845"/>
      <c r="P64" s="2843">
        <f>IF('Multi-Family Heat Pumps'!W131="","",'Multi-Family Heat Pumps'!F131)</f>
        <v>0</v>
      </c>
      <c r="Q64" s="2843"/>
      <c r="R64" s="2842"/>
      <c r="S64" s="2842"/>
      <c r="U64" s="2483"/>
      <c r="V64" s="2483"/>
      <c r="W64" s="2483"/>
      <c r="X64" s="2483"/>
      <c r="Y64" s="2483"/>
      <c r="Z64" s="2483"/>
    </row>
    <row r="65" spans="2:26" ht="20.149999999999999" hidden="1" customHeight="1">
      <c r="B65" s="2842"/>
      <c r="C65" s="2842"/>
      <c r="D65" s="2844" t="str">
        <f>IF('Multi-Family Heat Pumps'!W133="","",'Appliances References'!$H$5)</f>
        <v>Heat Pump Water Heater</v>
      </c>
      <c r="E65" s="2846"/>
      <c r="F65" s="2846"/>
      <c r="G65" s="2846"/>
      <c r="H65" s="2846"/>
      <c r="I65" s="2845"/>
      <c r="J65" s="2843">
        <f>IF('Multi-Family Heat Pumps'!W133="","",'Multi-Family Heat Pumps'!N133)</f>
        <v>0</v>
      </c>
      <c r="K65" s="2843"/>
      <c r="L65" s="2843"/>
      <c r="M65" s="2843"/>
      <c r="N65" s="2844">
        <f>IF('Multi-Family Heat Pumps'!W133="","",'Multi-Family Heat Pumps'!Q133)</f>
        <v>0</v>
      </c>
      <c r="O65" s="2845"/>
      <c r="P65" s="2843">
        <f>IF('Multi-Family Heat Pumps'!W133="","",'Multi-Family Heat Pumps'!F133)</f>
        <v>0</v>
      </c>
      <c r="Q65" s="2843"/>
      <c r="R65" s="2842"/>
      <c r="S65" s="2842"/>
      <c r="U65" s="2483"/>
      <c r="V65" s="2483"/>
      <c r="W65" s="2483"/>
      <c r="X65" s="2483"/>
      <c r="Y65" s="2483"/>
      <c r="Z65" s="2483"/>
    </row>
    <row r="66" spans="2:26" ht="20.149999999999999" hidden="1" customHeight="1">
      <c r="B66" s="2842"/>
      <c r="C66" s="2842"/>
      <c r="D66" s="2844" t="str">
        <f>IF('Multi-Family Heat Pumps'!W135="","",'Appliances References'!$H$5)</f>
        <v>Heat Pump Water Heater</v>
      </c>
      <c r="E66" s="2846"/>
      <c r="F66" s="2846"/>
      <c r="G66" s="2846"/>
      <c r="H66" s="2846"/>
      <c r="I66" s="2845"/>
      <c r="J66" s="2843">
        <f>IF('Multi-Family Heat Pumps'!W135="","",'Multi-Family Heat Pumps'!N135)</f>
        <v>0</v>
      </c>
      <c r="K66" s="2843"/>
      <c r="L66" s="2843"/>
      <c r="M66" s="2843"/>
      <c r="N66" s="2844">
        <f>IF('Multi-Family Heat Pumps'!W135="","",'Multi-Family Heat Pumps'!Q135)</f>
        <v>0</v>
      </c>
      <c r="O66" s="2845"/>
      <c r="P66" s="2843">
        <f>IF('Multi-Family Heat Pumps'!W135="","",'Multi-Family Heat Pumps'!F135)</f>
        <v>0</v>
      </c>
      <c r="Q66" s="2843"/>
      <c r="R66" s="2842"/>
      <c r="S66" s="2842"/>
      <c r="U66" s="2483"/>
      <c r="V66" s="2483"/>
      <c r="W66" s="2483"/>
      <c r="X66" s="2483"/>
      <c r="Y66" s="2483"/>
      <c r="Z66" s="2483"/>
    </row>
    <row r="67" spans="2:26" ht="20.149999999999999" hidden="1" customHeight="1">
      <c r="B67" s="2842"/>
      <c r="C67" s="2842"/>
      <c r="D67" s="2844" t="str">
        <f>IF('Multi-Family Heat Pumps'!Q149="","",'Appliances References'!$H$20)</f>
        <v/>
      </c>
      <c r="E67" s="2846"/>
      <c r="F67" s="2846"/>
      <c r="G67" s="2846"/>
      <c r="H67" s="2846"/>
      <c r="I67" s="2845"/>
      <c r="J67" s="2843" t="str">
        <f>IF('Multi-Family Heat Pumps'!Q149="","",'Multi-Family Heat Pumps'!K149)</f>
        <v/>
      </c>
      <c r="K67" s="2843"/>
      <c r="L67" s="2843"/>
      <c r="M67" s="2843"/>
      <c r="N67" s="2844" t="str">
        <f>IF('Multi-Family Heat Pumps'!Q149="","",'Multi-Family Heat Pumps'!N149)</f>
        <v/>
      </c>
      <c r="O67" s="2845"/>
      <c r="P67" s="2843" t="str">
        <f>IF('Multi-Family Heat Pumps'!Q149="","",'Multi-Family Heat Pumps'!F149)</f>
        <v/>
      </c>
      <c r="Q67" s="2843"/>
      <c r="R67" s="2842"/>
      <c r="S67" s="2842"/>
      <c r="U67" s="2483"/>
      <c r="V67" s="2483"/>
      <c r="W67" s="2483"/>
      <c r="X67" s="2483"/>
      <c r="Y67" s="2483"/>
      <c r="Z67" s="2483"/>
    </row>
    <row r="68" spans="2:26" ht="20.149999999999999" hidden="1" customHeight="1">
      <c r="B68" s="2842"/>
      <c r="C68" s="2842"/>
      <c r="D68" s="2844" t="str">
        <f>IF('Multi-Family Heat Pumps'!Q150="","",'Appliances References'!$H$20)</f>
        <v/>
      </c>
      <c r="E68" s="2846"/>
      <c r="F68" s="2846"/>
      <c r="G68" s="2846"/>
      <c r="H68" s="2846"/>
      <c r="I68" s="2845"/>
      <c r="J68" s="2843" t="str">
        <f>IF('Multi-Family Heat Pumps'!Q150="","",'Multi-Family Heat Pumps'!K150)</f>
        <v/>
      </c>
      <c r="K68" s="2843"/>
      <c r="L68" s="2843"/>
      <c r="M68" s="2843"/>
      <c r="N68" s="2844" t="str">
        <f>IF('Multi-Family Heat Pumps'!Q150="","",'Multi-Family Heat Pumps'!N150)</f>
        <v/>
      </c>
      <c r="O68" s="2845"/>
      <c r="P68" s="2843" t="str">
        <f>IF('Multi-Family Heat Pumps'!Q150="","",'Multi-Family Heat Pumps'!F150)</f>
        <v/>
      </c>
      <c r="Q68" s="2843"/>
      <c r="R68" s="2842"/>
      <c r="S68" s="2842"/>
      <c r="U68" s="2483"/>
      <c r="V68" s="2483"/>
      <c r="W68" s="2483"/>
      <c r="X68" s="2483"/>
      <c r="Y68" s="2483"/>
      <c r="Z68" s="2483"/>
    </row>
    <row r="69" spans="2:26" ht="20.149999999999999" hidden="1" customHeight="1">
      <c r="B69" s="2842"/>
      <c r="C69" s="2842"/>
      <c r="D69" s="2844" t="str">
        <f>IF('Multi-Family Heat Pumps'!Q151="","",'Appliances References'!$H$20)</f>
        <v/>
      </c>
      <c r="E69" s="2846"/>
      <c r="F69" s="2846"/>
      <c r="G69" s="2846"/>
      <c r="H69" s="2846"/>
      <c r="I69" s="2845"/>
      <c r="J69" s="2843" t="str">
        <f>IF('Multi-Family Heat Pumps'!Q151="","",'Multi-Family Heat Pumps'!K151)</f>
        <v/>
      </c>
      <c r="K69" s="2843"/>
      <c r="L69" s="2843"/>
      <c r="M69" s="2843"/>
      <c r="N69" s="2844" t="str">
        <f>IF('Multi-Family Heat Pumps'!Q151="","",'Multi-Family Heat Pumps'!N151)</f>
        <v/>
      </c>
      <c r="O69" s="2845"/>
      <c r="P69" s="2843" t="str">
        <f>IF('Multi-Family Heat Pumps'!Q151="","",'Multi-Family Heat Pumps'!F151)</f>
        <v/>
      </c>
      <c r="Q69" s="2843"/>
      <c r="R69" s="2842"/>
      <c r="S69" s="2842"/>
      <c r="U69" s="2483"/>
      <c r="V69" s="2483"/>
      <c r="W69" s="2483"/>
      <c r="X69" s="2483"/>
      <c r="Y69" s="2483"/>
      <c r="Z69" s="2483"/>
    </row>
    <row r="70" spans="2:26" ht="20.149999999999999" hidden="1" customHeight="1">
      <c r="B70" s="2842"/>
      <c r="C70" s="2842"/>
      <c r="D70" s="2844" t="str">
        <f>IF('Multi-Family Heat Pumps'!Q152="","",'Appliances References'!$H$20)</f>
        <v/>
      </c>
      <c r="E70" s="2846"/>
      <c r="F70" s="2846"/>
      <c r="G70" s="2846"/>
      <c r="H70" s="2846"/>
      <c r="I70" s="2845"/>
      <c r="J70" s="2843" t="str">
        <f>IF('Multi-Family Heat Pumps'!Q152="","",'Multi-Family Heat Pumps'!K152)</f>
        <v/>
      </c>
      <c r="K70" s="2843"/>
      <c r="L70" s="2843"/>
      <c r="M70" s="2843"/>
      <c r="N70" s="2844" t="str">
        <f>IF('Multi-Family Heat Pumps'!Q152="","",'Multi-Family Heat Pumps'!N152)</f>
        <v/>
      </c>
      <c r="O70" s="2845"/>
      <c r="P70" s="2843" t="str">
        <f>IF('Multi-Family Heat Pumps'!Q152="","",'Multi-Family Heat Pumps'!F152)</f>
        <v/>
      </c>
      <c r="Q70" s="2843"/>
      <c r="R70" s="2842"/>
      <c r="S70" s="2842"/>
      <c r="U70" s="2483"/>
      <c r="V70" s="2483"/>
      <c r="W70" s="2483"/>
      <c r="X70" s="2483"/>
      <c r="Y70" s="2483"/>
      <c r="Z70" s="2483"/>
    </row>
    <row r="71" spans="2:26" ht="20.149999999999999" hidden="1" customHeight="1">
      <c r="B71" s="2842"/>
      <c r="C71" s="2842"/>
      <c r="D71" s="2844" t="str">
        <f>IF('Multi-Family Heat Pumps'!Q161="","",'Appliances References'!$J$12)</f>
        <v/>
      </c>
      <c r="E71" s="2846"/>
      <c r="F71" s="2846"/>
      <c r="G71" s="2846"/>
      <c r="H71" s="2846"/>
      <c r="I71" s="2845"/>
      <c r="J71" s="2843" t="str">
        <f>IF('Multi-Family Heat Pumps'!Q161="","",'Multi-Family Heat Pumps'!K161)</f>
        <v/>
      </c>
      <c r="K71" s="2843"/>
      <c r="L71" s="2843"/>
      <c r="M71" s="2843"/>
      <c r="N71" s="2844" t="str">
        <f>IF('Multi-Family Heat Pumps'!Q161="","",'Multi-Family Heat Pumps'!N161)</f>
        <v/>
      </c>
      <c r="O71" s="2845"/>
      <c r="P71" s="2843" t="str">
        <f>IF('Multi-Family Heat Pumps'!Q161="","",'Multi-Family Heat Pumps'!F161)</f>
        <v/>
      </c>
      <c r="Q71" s="2843"/>
      <c r="R71" s="2842"/>
      <c r="S71" s="2842"/>
      <c r="U71" s="2483"/>
      <c r="V71" s="2483"/>
      <c r="W71" s="2483"/>
      <c r="X71" s="2483"/>
      <c r="Y71" s="2483"/>
      <c r="Z71" s="2483"/>
    </row>
    <row r="72" spans="2:26" ht="20.149999999999999" hidden="1" customHeight="1">
      <c r="B72" s="2842"/>
      <c r="C72" s="2842"/>
      <c r="D72" s="2844" t="str">
        <f>IF('Multi-Family Heat Pumps'!Q162="","",'Appliances References'!$J$12)</f>
        <v/>
      </c>
      <c r="E72" s="2846"/>
      <c r="F72" s="2846"/>
      <c r="G72" s="2846"/>
      <c r="H72" s="2846"/>
      <c r="I72" s="2845"/>
      <c r="J72" s="2843" t="str">
        <f>IF('Multi-Family Heat Pumps'!Q162="","",'Multi-Family Heat Pumps'!K162)</f>
        <v/>
      </c>
      <c r="K72" s="2843"/>
      <c r="L72" s="2843"/>
      <c r="M72" s="2843"/>
      <c r="N72" s="2844" t="str">
        <f>IF('Multi-Family Heat Pumps'!Q162="","",'Multi-Family Heat Pumps'!N162)</f>
        <v/>
      </c>
      <c r="O72" s="2845"/>
      <c r="P72" s="2843" t="str">
        <f>IF('Multi-Family Heat Pumps'!Q162="","",'Multi-Family Heat Pumps'!F162)</f>
        <v/>
      </c>
      <c r="Q72" s="2843"/>
      <c r="R72" s="2842"/>
      <c r="S72" s="2842"/>
      <c r="U72" s="2483"/>
      <c r="V72" s="2483"/>
      <c r="W72" s="2483"/>
      <c r="X72" s="2483"/>
      <c r="Y72" s="2483"/>
      <c r="Z72" s="2483"/>
    </row>
    <row r="73" spans="2:26" ht="20.149999999999999" hidden="1" customHeight="1">
      <c r="B73" s="2842"/>
      <c r="C73" s="2842"/>
      <c r="D73" s="2844" t="str">
        <f>IF('Multi-Family Heat Pumps'!Q163="","",'Appliances References'!$J$12)</f>
        <v/>
      </c>
      <c r="E73" s="2846"/>
      <c r="F73" s="2846"/>
      <c r="G73" s="2846"/>
      <c r="H73" s="2846"/>
      <c r="I73" s="2845"/>
      <c r="J73" s="2843" t="str">
        <f>IF('Multi-Family Heat Pumps'!Q163="","",'Multi-Family Heat Pumps'!K163)</f>
        <v/>
      </c>
      <c r="K73" s="2843"/>
      <c r="L73" s="2843"/>
      <c r="M73" s="2843"/>
      <c r="N73" s="2844" t="str">
        <f>IF('Multi-Family Heat Pumps'!Q163="","",'Multi-Family Heat Pumps'!N163)</f>
        <v/>
      </c>
      <c r="O73" s="2845"/>
      <c r="P73" s="2843" t="str">
        <f>IF('Multi-Family Heat Pumps'!Q163="","",'Multi-Family Heat Pumps'!F163)</f>
        <v/>
      </c>
      <c r="Q73" s="2843"/>
      <c r="R73" s="2842"/>
      <c r="S73" s="2842"/>
      <c r="U73" s="2483"/>
      <c r="V73" s="2483"/>
      <c r="W73" s="2483"/>
      <c r="X73" s="2483"/>
      <c r="Y73" s="2483"/>
      <c r="Z73" s="2483"/>
    </row>
    <row r="74" spans="2:26" ht="20.149999999999999" hidden="1" customHeight="1">
      <c r="B74" s="2842"/>
      <c r="C74" s="2842"/>
      <c r="D74" s="2844" t="str">
        <f>IF('Multi-Family Heat Pumps'!Q164="","",'Appliances References'!$J$12)</f>
        <v/>
      </c>
      <c r="E74" s="2846"/>
      <c r="F74" s="2846"/>
      <c r="G74" s="2846"/>
      <c r="H74" s="2846"/>
      <c r="I74" s="2845"/>
      <c r="J74" s="2843" t="str">
        <f>IF('Multi-Family Heat Pumps'!Q164="","",'Multi-Family Heat Pumps'!K164)</f>
        <v/>
      </c>
      <c r="K74" s="2843"/>
      <c r="L74" s="2843"/>
      <c r="M74" s="2843"/>
      <c r="N74" s="2844" t="str">
        <f>IF('Multi-Family Heat Pumps'!Q164="","",'Multi-Family Heat Pumps'!N164)</f>
        <v/>
      </c>
      <c r="O74" s="2845"/>
      <c r="P74" s="2843" t="str">
        <f>IF('Multi-Family Heat Pumps'!Q164="","",'Multi-Family Heat Pumps'!F164)</f>
        <v/>
      </c>
      <c r="Q74" s="2843"/>
      <c r="R74" s="2842"/>
      <c r="S74" s="2842"/>
      <c r="U74" s="2483"/>
      <c r="V74" s="2483"/>
      <c r="W74" s="2483"/>
      <c r="X74" s="2483"/>
      <c r="Y74" s="2483"/>
      <c r="Z74" s="2483"/>
    </row>
    <row r="75" spans="2:26" ht="20.149999999999999" customHeight="1">
      <c r="B75" s="2842"/>
      <c r="C75" s="2842"/>
      <c r="D75" s="2844" t="str">
        <f>IF('Multi-Family Heat Pumps'!Q172="","",'Appliances References'!$J$13)</f>
        <v>ENERGY STAR Air  Purifier &gt;150 CADR</v>
      </c>
      <c r="E75" s="2846"/>
      <c r="F75" s="2846"/>
      <c r="G75" s="2846"/>
      <c r="H75" s="2846"/>
      <c r="I75" s="2845"/>
      <c r="J75" s="2843" t="str">
        <f>IF('Multi-Family Heat Pumps'!Q172="","",'Multi-Family Heat Pumps'!K172)</f>
        <v>d</v>
      </c>
      <c r="K75" s="2843"/>
      <c r="L75" s="2843"/>
      <c r="M75" s="2843"/>
      <c r="N75" s="2844" t="str">
        <f>IF('Multi-Family Heat Pumps'!Q172="","",'Multi-Family Heat Pumps'!N172)</f>
        <v>w</v>
      </c>
      <c r="O75" s="2845"/>
      <c r="P75" s="2843">
        <f>IF('Multi-Family Heat Pumps'!Q172="","",'Multi-Family Heat Pumps'!F172)</f>
        <v>15</v>
      </c>
      <c r="Q75" s="2843"/>
      <c r="R75" s="2842"/>
      <c r="S75" s="2842"/>
      <c r="U75" s="2483"/>
      <c r="V75" s="2483"/>
      <c r="W75" s="2483"/>
      <c r="X75" s="2483"/>
      <c r="Y75" s="2483"/>
      <c r="Z75" s="2483"/>
    </row>
    <row r="76" spans="2:26" ht="20.149999999999999" hidden="1" customHeight="1">
      <c r="B76" s="2842"/>
      <c r="C76" s="2842"/>
      <c r="D76" s="2844" t="str">
        <f>IF('Multi-Family Heat Pumps'!Q173="","",'Appliances References'!$J$13)</f>
        <v/>
      </c>
      <c r="E76" s="2846"/>
      <c r="F76" s="2846"/>
      <c r="G76" s="2846"/>
      <c r="H76" s="2846"/>
      <c r="I76" s="2845"/>
      <c r="J76" s="2843" t="str">
        <f>IF('Multi-Family Heat Pumps'!Q173="","",'Multi-Family Heat Pumps'!K173)</f>
        <v/>
      </c>
      <c r="K76" s="2843"/>
      <c r="L76" s="2843"/>
      <c r="M76" s="2843"/>
      <c r="N76" s="2844" t="str">
        <f>IF('Multi-Family Heat Pumps'!Q173="","",'Multi-Family Heat Pumps'!N173)</f>
        <v/>
      </c>
      <c r="O76" s="2845"/>
      <c r="P76" s="2843" t="str">
        <f>IF('Multi-Family Heat Pumps'!Q173="","",'Multi-Family Heat Pumps'!F173)</f>
        <v/>
      </c>
      <c r="Q76" s="2843"/>
      <c r="R76" s="2842"/>
      <c r="S76" s="2842"/>
      <c r="U76" s="2483"/>
      <c r="V76" s="2483"/>
      <c r="W76" s="2483"/>
      <c r="X76" s="2483"/>
      <c r="Y76" s="2483"/>
      <c r="Z76" s="2483"/>
    </row>
    <row r="77" spans="2:26" ht="20.149999999999999" hidden="1" customHeight="1">
      <c r="B77" s="2842"/>
      <c r="C77" s="2842"/>
      <c r="D77" s="2844" t="str">
        <f>IF('Multi-Family Heat Pumps'!Q174="","",'Appliances References'!$J$13)</f>
        <v/>
      </c>
      <c r="E77" s="2846"/>
      <c r="F77" s="2846"/>
      <c r="G77" s="2846"/>
      <c r="H77" s="2846"/>
      <c r="I77" s="2845"/>
      <c r="J77" s="2843" t="str">
        <f>IF('Multi-Family Heat Pumps'!Q174="","",'Multi-Family Heat Pumps'!K174)</f>
        <v/>
      </c>
      <c r="K77" s="2843"/>
      <c r="L77" s="2843"/>
      <c r="M77" s="2843"/>
      <c r="N77" s="2844" t="str">
        <f>IF('Multi-Family Heat Pumps'!Q174="","",'Multi-Family Heat Pumps'!N174)</f>
        <v/>
      </c>
      <c r="O77" s="2845"/>
      <c r="P77" s="2843" t="str">
        <f>IF('Multi-Family Heat Pumps'!Q174="","",'Multi-Family Heat Pumps'!F174)</f>
        <v/>
      </c>
      <c r="Q77" s="2843"/>
      <c r="R77" s="2842"/>
      <c r="S77" s="2842"/>
      <c r="U77" s="2483"/>
      <c r="V77" s="2483"/>
      <c r="W77" s="2483"/>
      <c r="X77" s="2483"/>
      <c r="Y77" s="2483"/>
      <c r="Z77" s="2483"/>
    </row>
    <row r="78" spans="2:26" ht="20.149999999999999" hidden="1" customHeight="1">
      <c r="B78" s="2842"/>
      <c r="C78" s="2842"/>
      <c r="D78" s="2844" t="str">
        <f>IF('Multi-Family Heat Pumps'!Q175="","",'Appliances References'!$J$13)</f>
        <v/>
      </c>
      <c r="E78" s="2846"/>
      <c r="F78" s="2846"/>
      <c r="G78" s="2846"/>
      <c r="H78" s="2846"/>
      <c r="I78" s="2845"/>
      <c r="J78" s="2843" t="str">
        <f>IF('Multi-Family Heat Pumps'!Q175="","",'Multi-Family Heat Pumps'!K175)</f>
        <v/>
      </c>
      <c r="K78" s="2843"/>
      <c r="L78" s="2843"/>
      <c r="M78" s="2843"/>
      <c r="N78" s="2844" t="str">
        <f>IF('Multi-Family Heat Pumps'!Q175="","",'Multi-Family Heat Pumps'!N175)</f>
        <v/>
      </c>
      <c r="O78" s="2845"/>
      <c r="P78" s="2843" t="str">
        <f>IF('Multi-Family Heat Pumps'!Q175="","",'Multi-Family Heat Pumps'!F175)</f>
        <v/>
      </c>
      <c r="Q78" s="2843"/>
      <c r="R78" s="2842"/>
      <c r="S78" s="2842"/>
      <c r="U78" s="2483"/>
      <c r="V78" s="2483"/>
      <c r="W78" s="2483"/>
      <c r="X78" s="2483"/>
      <c r="Y78" s="2483"/>
      <c r="Z78" s="2483"/>
    </row>
    <row r="79" spans="2:26" ht="20.149999999999999" customHeight="1">
      <c r="B79" s="2842"/>
      <c r="C79" s="2842"/>
      <c r="D79" s="2844" t="str">
        <f>IF('Multi-Family Heat Pumps'!Q183="","",'Appliances References'!$J$14)</f>
        <v/>
      </c>
      <c r="E79" s="2846"/>
      <c r="F79" s="2846"/>
      <c r="G79" s="2846"/>
      <c r="H79" s="2846"/>
      <c r="I79" s="2845"/>
      <c r="J79" s="2843" t="str">
        <f>IF('Multi-Family Heat Pumps'!Q183="","",'Multi-Family Heat Pumps'!K183)</f>
        <v/>
      </c>
      <c r="K79" s="2843"/>
      <c r="L79" s="2843"/>
      <c r="M79" s="2843"/>
      <c r="N79" s="2844" t="str">
        <f>IF('Multi-Family Heat Pumps'!Q183="","",'Multi-Family Heat Pumps'!N183)</f>
        <v/>
      </c>
      <c r="O79" s="2845"/>
      <c r="P79" s="2843" t="str">
        <f>IF('Multi-Family Heat Pumps'!Q183="","",'Multi-Family Heat Pumps'!F183)</f>
        <v/>
      </c>
      <c r="Q79" s="2843"/>
      <c r="R79" s="2842"/>
      <c r="S79" s="2842"/>
      <c r="U79" s="2483"/>
      <c r="V79" s="2483"/>
      <c r="W79" s="2483"/>
      <c r="X79" s="2483"/>
      <c r="Y79" s="2483"/>
      <c r="Z79" s="2483"/>
    </row>
    <row r="80" spans="2:26" ht="20.149999999999999" hidden="1" customHeight="1">
      <c r="B80" s="2842"/>
      <c r="C80" s="2842"/>
      <c r="D80" s="2844" t="str">
        <f>IF('Multi-Family Heat Pumps'!Q184="","",'Appliances References'!$J$14)</f>
        <v/>
      </c>
      <c r="E80" s="2846"/>
      <c r="F80" s="2846"/>
      <c r="G80" s="2846"/>
      <c r="H80" s="2846"/>
      <c r="I80" s="2845"/>
      <c r="J80" s="2843" t="str">
        <f>IF('Multi-Family Heat Pumps'!Q184="","",'Multi-Family Heat Pumps'!K184)</f>
        <v/>
      </c>
      <c r="K80" s="2843"/>
      <c r="L80" s="2843"/>
      <c r="M80" s="2843"/>
      <c r="N80" s="2844" t="str">
        <f>IF('Multi-Family Heat Pumps'!Q184="","",'Multi-Family Heat Pumps'!N184)</f>
        <v/>
      </c>
      <c r="O80" s="2845"/>
      <c r="P80" s="2843" t="str">
        <f>IF('Multi-Family Heat Pumps'!Q184="","",'Multi-Family Heat Pumps'!F184)</f>
        <v/>
      </c>
      <c r="Q80" s="2843"/>
      <c r="R80" s="2842"/>
      <c r="S80" s="2842"/>
      <c r="U80" s="2483"/>
      <c r="V80" s="2483"/>
      <c r="W80" s="2483"/>
      <c r="X80" s="2483"/>
      <c r="Y80" s="2483"/>
      <c r="Z80" s="2483"/>
    </row>
    <row r="81" spans="2:26" ht="20.149999999999999" hidden="1" customHeight="1">
      <c r="B81" s="2842"/>
      <c r="C81" s="2842"/>
      <c r="D81" s="2844" t="str">
        <f>IF('Multi-Family Heat Pumps'!Q185="","",'Appliances References'!$J$14)</f>
        <v/>
      </c>
      <c r="E81" s="2846"/>
      <c r="F81" s="2846"/>
      <c r="G81" s="2846"/>
      <c r="H81" s="2846"/>
      <c r="I81" s="2845"/>
      <c r="J81" s="2843" t="str">
        <f>IF('Multi-Family Heat Pumps'!Q185="","",'Multi-Family Heat Pumps'!K185)</f>
        <v/>
      </c>
      <c r="K81" s="2843"/>
      <c r="L81" s="2843"/>
      <c r="M81" s="2843"/>
      <c r="N81" s="2844" t="str">
        <f>IF('Multi-Family Heat Pumps'!Q185="","",'Multi-Family Heat Pumps'!N185)</f>
        <v/>
      </c>
      <c r="O81" s="2845"/>
      <c r="P81" s="2843" t="str">
        <f>IF('Multi-Family Heat Pumps'!Q185="","",'Multi-Family Heat Pumps'!F185)</f>
        <v/>
      </c>
      <c r="Q81" s="2843"/>
      <c r="R81" s="2842"/>
      <c r="S81" s="2842"/>
      <c r="U81" s="2483"/>
      <c r="V81" s="2483"/>
      <c r="W81" s="2483"/>
      <c r="X81" s="2483"/>
      <c r="Y81" s="2483"/>
      <c r="Z81" s="2483"/>
    </row>
    <row r="82" spans="2:26" ht="20.149999999999999" hidden="1" customHeight="1">
      <c r="B82" s="2842"/>
      <c r="C82" s="2842"/>
      <c r="D82" s="2844" t="str">
        <f>IF('Multi-Family Heat Pumps'!Q186="","",'Appliances References'!$J$14)</f>
        <v/>
      </c>
      <c r="E82" s="2846"/>
      <c r="F82" s="2846"/>
      <c r="G82" s="2846"/>
      <c r="H82" s="2846"/>
      <c r="I82" s="2845"/>
      <c r="J82" s="2843" t="str">
        <f>IF('Multi-Family Heat Pumps'!Q186="","",'Multi-Family Heat Pumps'!K186)</f>
        <v/>
      </c>
      <c r="K82" s="2843"/>
      <c r="L82" s="2843"/>
      <c r="M82" s="2843"/>
      <c r="N82" s="2844" t="str">
        <f>IF('Multi-Family Heat Pumps'!Q186="","",'Multi-Family Heat Pumps'!N186)</f>
        <v/>
      </c>
      <c r="O82" s="2845"/>
      <c r="P82" s="2843" t="str">
        <f>IF('Multi-Family Heat Pumps'!Q186="","",'Multi-Family Heat Pumps'!F186)</f>
        <v/>
      </c>
      <c r="Q82" s="2843"/>
      <c r="R82" s="2842"/>
      <c r="S82" s="2842"/>
      <c r="U82" s="2483"/>
      <c r="V82" s="2483"/>
      <c r="W82" s="2483"/>
      <c r="X82" s="2483"/>
      <c r="Y82" s="2483"/>
      <c r="Z82" s="2483"/>
    </row>
    <row r="83" spans="2:26" ht="20.149999999999999" customHeight="1">
      <c r="B83" s="2842"/>
      <c r="C83" s="2842"/>
      <c r="D83" s="2844" t="str">
        <f>IF('Multi-Family Heat Pumps'!N195="","",'Appliances References'!$J$15)</f>
        <v>Advanced Power Strips Tier I</v>
      </c>
      <c r="E83" s="2846"/>
      <c r="F83" s="2846"/>
      <c r="G83" s="2846"/>
      <c r="H83" s="2846"/>
      <c r="I83" s="2845"/>
      <c r="J83" s="2843" t="str">
        <f>IF('Multi-Family Heat Pumps'!N195="","",'Multi-Family Heat Pumps'!H195)</f>
        <v>z</v>
      </c>
      <c r="K83" s="2843"/>
      <c r="L83" s="2843"/>
      <c r="M83" s="2843"/>
      <c r="N83" s="2844" t="str">
        <f>IF('Multi-Family Heat Pumps'!N195="","",'Multi-Family Heat Pumps'!K195)</f>
        <v>w</v>
      </c>
      <c r="O83" s="2845"/>
      <c r="P83" s="2843">
        <f>IF('Multi-Family Heat Pumps'!N195="","",'Multi-Family Heat Pumps'!F195)</f>
        <v>30</v>
      </c>
      <c r="Q83" s="2843"/>
      <c r="R83" s="2842"/>
      <c r="S83" s="2842"/>
      <c r="U83" s="2483"/>
      <c r="V83" s="2483"/>
      <c r="W83" s="2483"/>
      <c r="X83" s="2483"/>
      <c r="Y83" s="2483"/>
      <c r="Z83" s="2483"/>
    </row>
    <row r="84" spans="2:26" ht="20.149999999999999" hidden="1" customHeight="1">
      <c r="B84" s="2842"/>
      <c r="C84" s="2842"/>
      <c r="D84" s="2844" t="str">
        <f>IF('Multi-Family Heat Pumps'!N196="","",'Appliances References'!$J$15)</f>
        <v/>
      </c>
      <c r="E84" s="2846"/>
      <c r="F84" s="2846"/>
      <c r="G84" s="2846"/>
      <c r="H84" s="2846"/>
      <c r="I84" s="2845"/>
      <c r="J84" s="2843" t="str">
        <f>IF('Multi-Family Heat Pumps'!N196="","",'Multi-Family Heat Pumps'!H196)</f>
        <v/>
      </c>
      <c r="K84" s="2843"/>
      <c r="L84" s="2843"/>
      <c r="M84" s="2843"/>
      <c r="N84" s="2844" t="str">
        <f>IF('Multi-Family Heat Pumps'!N196="","",'Multi-Family Heat Pumps'!K196)</f>
        <v/>
      </c>
      <c r="O84" s="2845"/>
      <c r="P84" s="2843" t="str">
        <f>IF('Multi-Family Heat Pumps'!N196="","",'Multi-Family Heat Pumps'!F196)</f>
        <v/>
      </c>
      <c r="Q84" s="2843"/>
      <c r="R84" s="2842"/>
      <c r="S84" s="2842"/>
      <c r="U84" s="2483"/>
      <c r="V84" s="2483"/>
      <c r="W84" s="2483"/>
      <c r="X84" s="2483"/>
      <c r="Y84" s="2483"/>
      <c r="Z84" s="2483"/>
    </row>
    <row r="85" spans="2:26" ht="20.149999999999999" hidden="1" customHeight="1">
      <c r="B85" s="2842"/>
      <c r="C85" s="2842"/>
      <c r="D85" s="2844" t="str">
        <f>IF('Multi-Family Heat Pumps'!N197="","",'Appliances References'!$J$15)</f>
        <v/>
      </c>
      <c r="E85" s="2846"/>
      <c r="F85" s="2846"/>
      <c r="G85" s="2846"/>
      <c r="H85" s="2846"/>
      <c r="I85" s="2845"/>
      <c r="J85" s="2843" t="str">
        <f>IF('Multi-Family Heat Pumps'!N197="","",'Multi-Family Heat Pumps'!H197)</f>
        <v/>
      </c>
      <c r="K85" s="2843"/>
      <c r="L85" s="2843"/>
      <c r="M85" s="2843"/>
      <c r="N85" s="2844" t="str">
        <f>IF('Multi-Family Heat Pumps'!N197="","",'Multi-Family Heat Pumps'!K197)</f>
        <v/>
      </c>
      <c r="O85" s="2845"/>
      <c r="P85" s="2843" t="str">
        <f>IF('Multi-Family Heat Pumps'!N197="","",'Multi-Family Heat Pumps'!F197)</f>
        <v/>
      </c>
      <c r="Q85" s="2843"/>
      <c r="R85" s="2842"/>
      <c r="S85" s="2842"/>
      <c r="U85" s="2483"/>
      <c r="V85" s="2483"/>
      <c r="W85" s="2483"/>
      <c r="X85" s="2483"/>
      <c r="Y85" s="2483"/>
      <c r="Z85" s="2483"/>
    </row>
    <row r="86" spans="2:26" ht="20.149999999999999" hidden="1" customHeight="1">
      <c r="B86" s="2842"/>
      <c r="C86" s="2842"/>
      <c r="D86" s="2844" t="str">
        <f>IF('Multi-Family Heat Pumps'!N198="","",'Appliances References'!$J$15)</f>
        <v/>
      </c>
      <c r="E86" s="2846"/>
      <c r="F86" s="2846"/>
      <c r="G86" s="2846"/>
      <c r="H86" s="2846"/>
      <c r="I86" s="2845"/>
      <c r="J86" s="2843" t="str">
        <f>IF('Multi-Family Heat Pumps'!N198="","",'Multi-Family Heat Pumps'!H198)</f>
        <v/>
      </c>
      <c r="K86" s="2843"/>
      <c r="L86" s="2843"/>
      <c r="M86" s="2843"/>
      <c r="N86" s="2844" t="str">
        <f>IF('Multi-Family Heat Pumps'!N198="","",'Multi-Family Heat Pumps'!K198)</f>
        <v/>
      </c>
      <c r="O86" s="2845"/>
      <c r="P86" s="2843" t="str">
        <f>IF('Multi-Family Heat Pumps'!N198="","",'Multi-Family Heat Pumps'!F198)</f>
        <v/>
      </c>
      <c r="Q86" s="2843"/>
      <c r="R86" s="2842"/>
      <c r="S86" s="2842"/>
      <c r="U86" s="2483"/>
      <c r="V86" s="2483"/>
      <c r="W86" s="2483"/>
      <c r="X86" s="2483"/>
      <c r="Y86" s="2483"/>
      <c r="Z86" s="2483"/>
    </row>
    <row r="87" spans="2:26" ht="20.149999999999999" customHeight="1">
      <c r="B87" s="2842"/>
      <c r="C87" s="2842"/>
      <c r="D87" s="2844" t="str">
        <f>IF('Multi-Family Heat Pumps'!N207="","",'Appliances References'!$J$16)</f>
        <v/>
      </c>
      <c r="E87" s="2846"/>
      <c r="F87" s="2846"/>
      <c r="G87" s="2846"/>
      <c r="H87" s="2846"/>
      <c r="I87" s="2845"/>
      <c r="J87" s="2843" t="str">
        <f>IF('Multi-Family Heat Pumps'!N207="","",'Multi-Family Heat Pumps'!H207)</f>
        <v/>
      </c>
      <c r="K87" s="2843"/>
      <c r="L87" s="2843"/>
      <c r="M87" s="2843"/>
      <c r="N87" s="2844" t="str">
        <f>IF('Multi-Family Heat Pumps'!N207="","",'Multi-Family Heat Pumps'!K207)</f>
        <v/>
      </c>
      <c r="O87" s="2845"/>
      <c r="P87" s="2843" t="str">
        <f>IF('Multi-Family Heat Pumps'!N207="","",'Multi-Family Heat Pumps'!F207)</f>
        <v/>
      </c>
      <c r="Q87" s="2843"/>
      <c r="R87" s="2842"/>
      <c r="S87" s="2842"/>
      <c r="U87" s="2483"/>
      <c r="V87" s="2483"/>
      <c r="W87" s="2483"/>
      <c r="X87" s="2483"/>
      <c r="Y87" s="2483"/>
      <c r="Z87" s="2483"/>
    </row>
    <row r="88" spans="2:26" ht="20.149999999999999" hidden="1" customHeight="1">
      <c r="B88" s="2842"/>
      <c r="C88" s="2842"/>
      <c r="D88" s="2844" t="str">
        <f>IF('Multi-Family Heat Pumps'!N208="","",'Appliances References'!$J$16)</f>
        <v/>
      </c>
      <c r="E88" s="2846"/>
      <c r="F88" s="2846"/>
      <c r="G88" s="2846"/>
      <c r="H88" s="2846"/>
      <c r="I88" s="2845"/>
      <c r="J88" s="2843" t="str">
        <f>IF('Multi-Family Heat Pumps'!N208="","",'Multi-Family Heat Pumps'!H208)</f>
        <v/>
      </c>
      <c r="K88" s="2843"/>
      <c r="L88" s="2843"/>
      <c r="M88" s="2843"/>
      <c r="N88" s="2844" t="str">
        <f>IF('Multi-Family Heat Pumps'!N208="","",'Multi-Family Heat Pumps'!K208)</f>
        <v/>
      </c>
      <c r="O88" s="2845"/>
      <c r="P88" s="2843" t="str">
        <f>IF('Multi-Family Heat Pumps'!N208="","",'Multi-Family Heat Pumps'!F208)</f>
        <v/>
      </c>
      <c r="Q88" s="2843"/>
      <c r="R88" s="2842"/>
      <c r="S88" s="2842"/>
      <c r="U88" s="2483"/>
      <c r="V88" s="2483"/>
      <c r="W88" s="2483"/>
      <c r="X88" s="2483"/>
      <c r="Y88" s="2483"/>
      <c r="Z88" s="2483"/>
    </row>
    <row r="89" spans="2:26" ht="20.149999999999999" hidden="1" customHeight="1">
      <c r="B89" s="2842"/>
      <c r="C89" s="2842"/>
      <c r="D89" s="2844" t="str">
        <f>IF('Multi-Family Heat Pumps'!N209="","",'Appliances References'!$J$16)</f>
        <v/>
      </c>
      <c r="E89" s="2846"/>
      <c r="F89" s="2846"/>
      <c r="G89" s="2846"/>
      <c r="H89" s="2846"/>
      <c r="I89" s="2845"/>
      <c r="J89" s="2843" t="str">
        <f>IF('Multi-Family Heat Pumps'!N209="","",'Multi-Family Heat Pumps'!H209)</f>
        <v/>
      </c>
      <c r="K89" s="2843"/>
      <c r="L89" s="2843"/>
      <c r="M89" s="2843"/>
      <c r="N89" s="2844" t="str">
        <f>IF('Multi-Family Heat Pumps'!N209="","",'Multi-Family Heat Pumps'!K209)</f>
        <v/>
      </c>
      <c r="O89" s="2845"/>
      <c r="P89" s="2843" t="str">
        <f>IF('Multi-Family Heat Pumps'!N209="","",'Multi-Family Heat Pumps'!F209)</f>
        <v/>
      </c>
      <c r="Q89" s="2843"/>
      <c r="R89" s="2842"/>
      <c r="S89" s="2842"/>
      <c r="U89" s="2483"/>
      <c r="V89" s="2483"/>
      <c r="W89" s="2483"/>
      <c r="X89" s="2483"/>
      <c r="Y89" s="2483"/>
      <c r="Z89" s="2483"/>
    </row>
    <row r="90" spans="2:26" ht="20.149999999999999" hidden="1" customHeight="1">
      <c r="B90" s="2842"/>
      <c r="C90" s="2842"/>
      <c r="D90" s="2844" t="str">
        <f>IF('Multi-Family Heat Pumps'!N210="","",'Appliances References'!$J$16)</f>
        <v/>
      </c>
      <c r="E90" s="2846"/>
      <c r="F90" s="2846"/>
      <c r="G90" s="2846"/>
      <c r="H90" s="2846"/>
      <c r="I90" s="2845"/>
      <c r="J90" s="2843" t="str">
        <f>IF('Multi-Family Heat Pumps'!N210="","",'Multi-Family Heat Pumps'!H210)</f>
        <v/>
      </c>
      <c r="K90" s="2843"/>
      <c r="L90" s="2843"/>
      <c r="M90" s="2843"/>
      <c r="N90" s="2844" t="str">
        <f>IF('Multi-Family Heat Pumps'!N210="","",'Multi-Family Heat Pumps'!K210)</f>
        <v/>
      </c>
      <c r="O90" s="2845"/>
      <c r="P90" s="2843" t="str">
        <f>IF('Multi-Family Heat Pumps'!N210="","",'Multi-Family Heat Pumps'!F210)</f>
        <v/>
      </c>
      <c r="Q90" s="2843"/>
      <c r="R90" s="2842"/>
      <c r="S90" s="2842"/>
      <c r="U90" s="2483"/>
      <c r="V90" s="2483"/>
      <c r="W90" s="2483"/>
      <c r="X90" s="2483"/>
      <c r="Y90" s="2483"/>
      <c r="Z90" s="2483"/>
    </row>
    <row r="91" spans="2:26" ht="20.149999999999999" customHeight="1">
      <c r="B91" s="2842"/>
      <c r="C91" s="2842"/>
      <c r="D91" s="2844" t="str">
        <f>IF('Multi-Family Heat Pumps'!N219="","",'Appliances References'!$J$19)</f>
        <v/>
      </c>
      <c r="E91" s="2846"/>
      <c r="F91" s="2846"/>
      <c r="G91" s="2846"/>
      <c r="H91" s="2846"/>
      <c r="I91" s="2845"/>
      <c r="J91" s="2843" t="str">
        <f>IF('Multi-Family Heat Pumps'!N219="","",'Multi-Family Heat Pumps'!H219)</f>
        <v/>
      </c>
      <c r="K91" s="2843"/>
      <c r="L91" s="2843"/>
      <c r="M91" s="2843"/>
      <c r="N91" s="2844" t="str">
        <f>IF('Multi-Family Heat Pumps'!N219="","",'Multi-Family Heat Pumps'!K219)</f>
        <v/>
      </c>
      <c r="O91" s="2845"/>
      <c r="P91" s="2843" t="str">
        <f>IF('Multi-Family Heat Pumps'!N219="","",'Multi-Family Heat Pumps'!F219)</f>
        <v/>
      </c>
      <c r="Q91" s="2843"/>
      <c r="R91" s="2842"/>
      <c r="S91" s="2842"/>
      <c r="U91" s="2483"/>
      <c r="V91" s="2483"/>
      <c r="W91" s="2483"/>
      <c r="X91" s="2483"/>
      <c r="Y91" s="2483"/>
      <c r="Z91" s="2483"/>
    </row>
    <row r="92" spans="2:26" ht="20.149999999999999" hidden="1" customHeight="1">
      <c r="B92" s="2842"/>
      <c r="C92" s="2842"/>
      <c r="D92" s="2844" t="str">
        <f>IF('Multi-Family Heat Pumps'!N220="","",'Appliances References'!$J$19)</f>
        <v/>
      </c>
      <c r="E92" s="2846"/>
      <c r="F92" s="2846"/>
      <c r="G92" s="2846"/>
      <c r="H92" s="2846"/>
      <c r="I92" s="2845"/>
      <c r="J92" s="2843" t="str">
        <f>IF('Multi-Family Heat Pumps'!N220="","",'Multi-Family Heat Pumps'!H220)</f>
        <v/>
      </c>
      <c r="K92" s="2843"/>
      <c r="L92" s="2843"/>
      <c r="M92" s="2843"/>
      <c r="N92" s="2844" t="str">
        <f>IF('Multi-Family Heat Pumps'!N220="","",'Multi-Family Heat Pumps'!K220)</f>
        <v/>
      </c>
      <c r="O92" s="2845"/>
      <c r="P92" s="2843" t="str">
        <f>IF('Multi-Family Heat Pumps'!N220="","",'Multi-Family Heat Pumps'!F220)</f>
        <v/>
      </c>
      <c r="Q92" s="2843"/>
      <c r="R92" s="2842"/>
      <c r="S92" s="2842"/>
      <c r="U92" s="2483"/>
      <c r="V92" s="2483"/>
      <c r="W92" s="2483"/>
      <c r="X92" s="2483"/>
      <c r="Y92" s="2483"/>
      <c r="Z92" s="2483"/>
    </row>
    <row r="93" spans="2:26" ht="20.149999999999999" hidden="1" customHeight="1">
      <c r="B93" s="2842"/>
      <c r="C93" s="2842"/>
      <c r="D93" s="2844" t="str">
        <f>IF('Multi-Family Heat Pumps'!N221="","",'Appliances References'!$J$19)</f>
        <v/>
      </c>
      <c r="E93" s="2846"/>
      <c r="F93" s="2846"/>
      <c r="G93" s="2846"/>
      <c r="H93" s="2846"/>
      <c r="I93" s="2845"/>
      <c r="J93" s="2843" t="str">
        <f>IF('Multi-Family Heat Pumps'!N221="","",'Multi-Family Heat Pumps'!H221)</f>
        <v/>
      </c>
      <c r="K93" s="2843"/>
      <c r="L93" s="2843"/>
      <c r="M93" s="2843"/>
      <c r="N93" s="2844" t="str">
        <f>IF('Multi-Family Heat Pumps'!N221="","",'Multi-Family Heat Pumps'!K221)</f>
        <v/>
      </c>
      <c r="O93" s="2845"/>
      <c r="P93" s="2843" t="str">
        <f>IF('Multi-Family Heat Pumps'!N221="","",'Multi-Family Heat Pumps'!F221)</f>
        <v/>
      </c>
      <c r="Q93" s="2843"/>
      <c r="R93" s="2842"/>
      <c r="S93" s="2842"/>
      <c r="U93" s="2483"/>
      <c r="V93" s="2483"/>
      <c r="W93" s="2483"/>
      <c r="X93" s="2483"/>
      <c r="Y93" s="2483"/>
      <c r="Z93" s="2483"/>
    </row>
    <row r="94" spans="2:26" ht="20.149999999999999" hidden="1" customHeight="1">
      <c r="B94" s="2842"/>
      <c r="C94" s="2842"/>
      <c r="D94" s="2844" t="str">
        <f>IF('Multi-Family Heat Pumps'!N222="","",'Appliances References'!$J$19)</f>
        <v/>
      </c>
      <c r="E94" s="2846"/>
      <c r="F94" s="2846"/>
      <c r="G94" s="2846"/>
      <c r="H94" s="2846"/>
      <c r="I94" s="2845"/>
      <c r="J94" s="2843" t="str">
        <f>IF('Multi-Family Heat Pumps'!N222="","",'Multi-Family Heat Pumps'!H222)</f>
        <v/>
      </c>
      <c r="K94" s="2843"/>
      <c r="L94" s="2843"/>
      <c r="M94" s="2843"/>
      <c r="N94" s="2844" t="str">
        <f>IF('Multi-Family Heat Pumps'!N222="","",'Multi-Family Heat Pumps'!K222)</f>
        <v/>
      </c>
      <c r="O94" s="2845"/>
      <c r="P94" s="2843" t="str">
        <f>IF('Multi-Family Heat Pumps'!N222="","",'Multi-Family Heat Pumps'!F222)</f>
        <v/>
      </c>
      <c r="Q94" s="2843"/>
      <c r="R94" s="2842"/>
      <c r="S94" s="2842"/>
      <c r="U94" s="2483"/>
      <c r="V94" s="2483"/>
      <c r="W94" s="2483"/>
      <c r="X94" s="2483"/>
      <c r="Y94" s="2483"/>
      <c r="Z94" s="2483"/>
    </row>
    <row r="95" spans="2:26" ht="20.149999999999999" customHeight="1">
      <c r="B95" s="2842"/>
      <c r="C95" s="2842"/>
      <c r="D95" s="2844" t="str">
        <f>IF('Multi-Family Heat Pumps'!N231="","",'Appliances References'!$J$18)</f>
        <v/>
      </c>
      <c r="E95" s="2846"/>
      <c r="F95" s="2846"/>
      <c r="G95" s="2846"/>
      <c r="H95" s="2846"/>
      <c r="I95" s="2845"/>
      <c r="J95" s="2843" t="str">
        <f>IF('Multi-Family Heat Pumps'!N231="","",'Multi-Family Heat Pumps'!H231)</f>
        <v/>
      </c>
      <c r="K95" s="2843"/>
      <c r="L95" s="2843"/>
      <c r="M95" s="2843"/>
      <c r="N95" s="2844" t="str">
        <f>IF('Multi-Family Heat Pumps'!N231="","",'Multi-Family Heat Pumps'!K231)</f>
        <v/>
      </c>
      <c r="O95" s="2845"/>
      <c r="P95" s="2843" t="str">
        <f>IF('Multi-Family Heat Pumps'!N231="","",'Multi-Family Heat Pumps'!F231)</f>
        <v/>
      </c>
      <c r="Q95" s="2843"/>
      <c r="R95" s="2842"/>
      <c r="S95" s="2842"/>
      <c r="U95" s="2483"/>
      <c r="V95" s="2483"/>
      <c r="W95" s="2483"/>
      <c r="X95" s="2483"/>
      <c r="Y95" s="2483"/>
      <c r="Z95" s="2483"/>
    </row>
    <row r="96" spans="2:26" ht="20.149999999999999" hidden="1" customHeight="1">
      <c r="B96" s="2842"/>
      <c r="C96" s="2842"/>
      <c r="D96" s="2844" t="str">
        <f>IF('Multi-Family Heat Pumps'!N232="","",'Appliances References'!$J$18)</f>
        <v/>
      </c>
      <c r="E96" s="2846"/>
      <c r="F96" s="2846"/>
      <c r="G96" s="2846"/>
      <c r="H96" s="2846"/>
      <c r="I96" s="2845"/>
      <c r="J96" s="2843" t="str">
        <f>IF('Multi-Family Heat Pumps'!N232="","",'Multi-Family Heat Pumps'!H232)</f>
        <v/>
      </c>
      <c r="K96" s="2843"/>
      <c r="L96" s="2843"/>
      <c r="M96" s="2843"/>
      <c r="N96" s="2844" t="str">
        <f>IF('Multi-Family Heat Pumps'!N232="","",'Multi-Family Heat Pumps'!K232)</f>
        <v/>
      </c>
      <c r="O96" s="2845"/>
      <c r="P96" s="2843" t="str">
        <f>IF('Multi-Family Heat Pumps'!N232="","",'Multi-Family Heat Pumps'!F232)</f>
        <v/>
      </c>
      <c r="Q96" s="2843"/>
      <c r="R96" s="2842"/>
      <c r="S96" s="2842"/>
      <c r="U96" s="2483"/>
      <c r="V96" s="2483"/>
      <c r="W96" s="2483"/>
      <c r="X96" s="2483"/>
      <c r="Y96" s="2483"/>
      <c r="Z96" s="2483"/>
    </row>
    <row r="97" spans="2:26" ht="20.149999999999999" hidden="1" customHeight="1">
      <c r="B97" s="2842"/>
      <c r="C97" s="2842"/>
      <c r="D97" s="2844" t="str">
        <f>IF('Multi-Family Heat Pumps'!N233="","",'Appliances References'!$J$18)</f>
        <v/>
      </c>
      <c r="E97" s="2846"/>
      <c r="F97" s="2846"/>
      <c r="G97" s="2846"/>
      <c r="H97" s="2846"/>
      <c r="I97" s="2845"/>
      <c r="J97" s="2843" t="str">
        <f>IF('Multi-Family Heat Pumps'!N233="","",'Multi-Family Heat Pumps'!H233)</f>
        <v/>
      </c>
      <c r="K97" s="2843"/>
      <c r="L97" s="2843"/>
      <c r="M97" s="2843"/>
      <c r="N97" s="2844" t="str">
        <f>IF('Multi-Family Heat Pumps'!N233="","",'Multi-Family Heat Pumps'!K233)</f>
        <v/>
      </c>
      <c r="O97" s="2845"/>
      <c r="P97" s="2843" t="str">
        <f>IF('Multi-Family Heat Pumps'!N233="","",'Multi-Family Heat Pumps'!F233)</f>
        <v/>
      </c>
      <c r="Q97" s="2843"/>
      <c r="R97" s="2842"/>
      <c r="S97" s="2842"/>
      <c r="U97" s="2483"/>
      <c r="V97" s="2483"/>
      <c r="W97" s="2483"/>
      <c r="X97" s="2483"/>
      <c r="Y97" s="2483"/>
      <c r="Z97" s="2483"/>
    </row>
    <row r="98" spans="2:26" ht="20.149999999999999" hidden="1" customHeight="1">
      <c r="B98" s="2842"/>
      <c r="C98" s="2842"/>
      <c r="D98" s="2844" t="str">
        <f>IF('Multi-Family Heat Pumps'!N234="","",'Appliances References'!$J$18)</f>
        <v/>
      </c>
      <c r="E98" s="2846"/>
      <c r="F98" s="2846"/>
      <c r="G98" s="2846"/>
      <c r="H98" s="2846"/>
      <c r="I98" s="2845"/>
      <c r="J98" s="2843" t="str">
        <f>IF('Multi-Family Heat Pumps'!N234="","",'Multi-Family Heat Pumps'!H234)</f>
        <v/>
      </c>
      <c r="K98" s="2843"/>
      <c r="L98" s="2843"/>
      <c r="M98" s="2843"/>
      <c r="N98" s="2844" t="str">
        <f>IF('Multi-Family Heat Pumps'!N234="","",'Multi-Family Heat Pumps'!K234)</f>
        <v/>
      </c>
      <c r="O98" s="2845"/>
      <c r="P98" s="2843" t="str">
        <f>IF('Multi-Family Heat Pumps'!N234="","",'Multi-Family Heat Pumps'!F234)</f>
        <v/>
      </c>
      <c r="Q98" s="2843"/>
      <c r="R98" s="2842"/>
      <c r="S98" s="2842"/>
      <c r="U98" s="2483"/>
      <c r="V98" s="2483"/>
      <c r="W98" s="2483"/>
      <c r="X98" s="2483"/>
      <c r="Y98" s="2483"/>
      <c r="Z98" s="2483"/>
    </row>
    <row r="99" spans="2:26" ht="20.149999999999999" hidden="1" customHeight="1">
      <c r="B99" s="2842"/>
      <c r="C99" s="2842"/>
      <c r="D99" s="2844" t="str">
        <f>IF('Multi-Family Heat Pumps'!Q241="","",'Appliances References'!$J$23)</f>
        <v/>
      </c>
      <c r="E99" s="2846"/>
      <c r="F99" s="2846"/>
      <c r="G99" s="2846"/>
      <c r="H99" s="2846"/>
      <c r="I99" s="2845"/>
      <c r="J99" s="2843" t="str">
        <f>IF('Multi-Family Heat Pumps'!Q241="","",'Multi-Family Heat Pumps'!K241)</f>
        <v/>
      </c>
      <c r="K99" s="2843"/>
      <c r="L99" s="2843"/>
      <c r="M99" s="2843"/>
      <c r="N99" s="2844" t="str">
        <f>IF('Multi-Family Heat Pumps'!Q241="","",'Multi-Family Heat Pumps'!N241)</f>
        <v/>
      </c>
      <c r="O99" s="2845"/>
      <c r="P99" s="2843" t="str">
        <f>IF('Multi-Family Heat Pumps'!Q241="","",'Multi-Family Heat Pumps'!F241)</f>
        <v/>
      </c>
      <c r="Q99" s="2843"/>
      <c r="R99" s="2842"/>
      <c r="S99" s="2842"/>
      <c r="U99" s="2483"/>
      <c r="V99" s="2483"/>
      <c r="W99" s="2483"/>
      <c r="X99" s="2483"/>
      <c r="Y99" s="2483"/>
      <c r="Z99" s="2483"/>
    </row>
    <row r="100" spans="2:26" ht="20.149999999999999" hidden="1" customHeight="1">
      <c r="B100" s="2842"/>
      <c r="C100" s="2842"/>
      <c r="D100" s="2844" t="str">
        <f>IF('Multi-Family Heat Pumps'!Q242="","",'Appliances References'!$J$23)</f>
        <v/>
      </c>
      <c r="E100" s="2846"/>
      <c r="F100" s="2846"/>
      <c r="G100" s="2846"/>
      <c r="H100" s="2846"/>
      <c r="I100" s="2845"/>
      <c r="J100" s="2843" t="str">
        <f>IF('Multi-Family Heat Pumps'!Q242="","",'Multi-Family Heat Pumps'!K242)</f>
        <v/>
      </c>
      <c r="K100" s="2843"/>
      <c r="L100" s="2843"/>
      <c r="M100" s="2843"/>
      <c r="N100" s="2844" t="str">
        <f>IF('Multi-Family Heat Pumps'!Q242="","",'Multi-Family Heat Pumps'!N242)</f>
        <v/>
      </c>
      <c r="O100" s="2845"/>
      <c r="P100" s="2843" t="str">
        <f>IF('Multi-Family Heat Pumps'!Q242="","",'Multi-Family Heat Pumps'!F242)</f>
        <v/>
      </c>
      <c r="Q100" s="2843"/>
      <c r="R100" s="2842"/>
      <c r="S100" s="2842"/>
      <c r="U100" s="2483"/>
      <c r="V100" s="2483"/>
      <c r="W100" s="2483"/>
      <c r="X100" s="2483"/>
      <c r="Y100" s="2483"/>
      <c r="Z100" s="2483"/>
    </row>
    <row r="101" spans="2:26" ht="20.149999999999999" hidden="1" customHeight="1">
      <c r="B101" s="2842"/>
      <c r="C101" s="2842"/>
      <c r="D101" s="2844" t="str">
        <f>IF('Multi-Family Heat Pumps'!Q243="","",'Appliances References'!$J$23)</f>
        <v/>
      </c>
      <c r="E101" s="2846"/>
      <c r="F101" s="2846"/>
      <c r="G101" s="2846"/>
      <c r="H101" s="2846"/>
      <c r="I101" s="2845"/>
      <c r="J101" s="2843" t="str">
        <f>IF('Multi-Family Heat Pumps'!Q243="","",'Multi-Family Heat Pumps'!K243)</f>
        <v/>
      </c>
      <c r="K101" s="2843"/>
      <c r="L101" s="2843"/>
      <c r="M101" s="2843"/>
      <c r="N101" s="2844" t="str">
        <f>IF('Multi-Family Heat Pumps'!Q243="","",'Multi-Family Heat Pumps'!N243)</f>
        <v/>
      </c>
      <c r="O101" s="2845"/>
      <c r="P101" s="2843" t="str">
        <f>IF('Multi-Family Heat Pumps'!Q243="","",'Multi-Family Heat Pumps'!F243)</f>
        <v/>
      </c>
      <c r="Q101" s="2843"/>
      <c r="R101" s="2842"/>
      <c r="S101" s="2842"/>
      <c r="U101" s="2483"/>
      <c r="V101" s="2483"/>
      <c r="W101" s="2483"/>
      <c r="X101" s="2483"/>
      <c r="Y101" s="2483"/>
      <c r="Z101" s="2483"/>
    </row>
    <row r="102" spans="2:26" ht="20.149999999999999" hidden="1" customHeight="1">
      <c r="B102" s="2842"/>
      <c r="C102" s="2842"/>
      <c r="D102" s="2844" t="str">
        <f>IF('Multi-Family Heat Pumps'!Q244="","",'Appliances References'!$J$23)</f>
        <v/>
      </c>
      <c r="E102" s="2846"/>
      <c r="F102" s="2846"/>
      <c r="G102" s="2846"/>
      <c r="H102" s="2846"/>
      <c r="I102" s="2845"/>
      <c r="J102" s="2843" t="str">
        <f>IF('Multi-Family Heat Pumps'!Q244="","",'Multi-Family Heat Pumps'!K244)</f>
        <v/>
      </c>
      <c r="K102" s="2843"/>
      <c r="L102" s="2843"/>
      <c r="M102" s="2843"/>
      <c r="N102" s="2844" t="str">
        <f>IF('Multi-Family Heat Pumps'!Q244="","",'Multi-Family Heat Pumps'!N244)</f>
        <v/>
      </c>
      <c r="O102" s="2845"/>
      <c r="P102" s="2843" t="str">
        <f>IF('Multi-Family Heat Pumps'!Q244="","",'Multi-Family Heat Pumps'!F244)</f>
        <v/>
      </c>
      <c r="Q102" s="2843"/>
      <c r="R102" s="2842"/>
      <c r="S102" s="2842"/>
      <c r="U102" s="2483"/>
      <c r="V102" s="2483"/>
      <c r="W102" s="2483"/>
      <c r="X102" s="2483"/>
      <c r="Y102" s="2483"/>
      <c r="Z102" s="2483"/>
    </row>
    <row r="103" spans="2:26" ht="20.149999999999999" hidden="1" customHeight="1">
      <c r="B103" s="2842"/>
      <c r="C103" s="2842"/>
      <c r="D103" s="2844" t="str">
        <f>IF('Multi-Family Heat Pumps'!Q256="","",'Appliances References'!$J$23)</f>
        <v/>
      </c>
      <c r="E103" s="2846"/>
      <c r="F103" s="2846"/>
      <c r="G103" s="2846"/>
      <c r="H103" s="2846"/>
      <c r="I103" s="2845"/>
      <c r="J103" s="2843" t="str">
        <f>IF('Multi-Family Heat Pumps'!Q256="","",'Multi-Family Heat Pumps'!K256)</f>
        <v/>
      </c>
      <c r="K103" s="2843"/>
      <c r="L103" s="2843"/>
      <c r="M103" s="2843"/>
      <c r="N103" s="2844" t="str">
        <f>IF('Multi-Family Heat Pumps'!Q256="","",'Multi-Family Heat Pumps'!N256)</f>
        <v/>
      </c>
      <c r="O103" s="2845"/>
      <c r="P103" s="2843" t="str">
        <f>IF('Multi-Family Heat Pumps'!Q256="","",'Multi-Family Heat Pumps'!F256)</f>
        <v/>
      </c>
      <c r="Q103" s="2843"/>
      <c r="R103" s="2842"/>
      <c r="S103" s="2842"/>
      <c r="U103" s="2483"/>
      <c r="V103" s="2483"/>
      <c r="W103" s="2483"/>
      <c r="X103" s="2483"/>
      <c r="Y103" s="2483"/>
      <c r="Z103" s="2483"/>
    </row>
    <row r="104" spans="2:26" ht="20.149999999999999" hidden="1" customHeight="1">
      <c r="B104" s="2842"/>
      <c r="C104" s="2842"/>
      <c r="D104" s="2844" t="str">
        <f>IF('Multi-Family Heat Pumps'!Q257="","",'Appliances References'!$J$23)</f>
        <v/>
      </c>
      <c r="E104" s="2846"/>
      <c r="F104" s="2846"/>
      <c r="G104" s="2846"/>
      <c r="H104" s="2846"/>
      <c r="I104" s="2845"/>
      <c r="J104" s="2843" t="str">
        <f>IF('Multi-Family Heat Pumps'!Q257="","",'Multi-Family Heat Pumps'!K257)</f>
        <v/>
      </c>
      <c r="K104" s="2843"/>
      <c r="L104" s="2843"/>
      <c r="M104" s="2843"/>
      <c r="N104" s="2844" t="str">
        <f>IF('Multi-Family Heat Pumps'!Q257="","",'Multi-Family Heat Pumps'!N257)</f>
        <v/>
      </c>
      <c r="O104" s="2845"/>
      <c r="P104" s="2843" t="str">
        <f>IF('Multi-Family Heat Pumps'!Q257="","",'Multi-Family Heat Pumps'!F257)</f>
        <v/>
      </c>
      <c r="Q104" s="2843"/>
      <c r="R104" s="2842"/>
      <c r="S104" s="2842"/>
      <c r="U104" s="2483"/>
      <c r="V104" s="2483"/>
      <c r="W104" s="2483"/>
      <c r="X104" s="2483"/>
      <c r="Y104" s="2483"/>
      <c r="Z104" s="2483"/>
    </row>
    <row r="105" spans="2:26" ht="20.149999999999999" hidden="1" customHeight="1">
      <c r="B105" s="2842"/>
      <c r="C105" s="2842"/>
      <c r="D105" s="2844" t="str">
        <f>IF('Multi-Family Heat Pumps'!Q258="","",'Appliances References'!$J$23)</f>
        <v/>
      </c>
      <c r="E105" s="2846"/>
      <c r="F105" s="2846"/>
      <c r="G105" s="2846"/>
      <c r="H105" s="2846"/>
      <c r="I105" s="2845"/>
      <c r="J105" s="2843" t="str">
        <f>IF('Multi-Family Heat Pumps'!Q258="","",'Multi-Family Heat Pumps'!K258)</f>
        <v/>
      </c>
      <c r="K105" s="2843"/>
      <c r="L105" s="2843"/>
      <c r="M105" s="2843"/>
      <c r="N105" s="2844" t="str">
        <f>IF('Multi-Family Heat Pumps'!Q258="","",'Multi-Family Heat Pumps'!N258)</f>
        <v/>
      </c>
      <c r="O105" s="2845"/>
      <c r="P105" s="2843" t="str">
        <f>IF('Multi-Family Heat Pumps'!Q258="","",'Multi-Family Heat Pumps'!F258)</f>
        <v/>
      </c>
      <c r="Q105" s="2843"/>
      <c r="R105" s="2842"/>
      <c r="S105" s="2842"/>
      <c r="U105" s="2483"/>
      <c r="V105" s="2483"/>
      <c r="W105" s="2483"/>
      <c r="X105" s="2483"/>
      <c r="Y105" s="2483"/>
      <c r="Z105" s="2483"/>
    </row>
    <row r="106" spans="2:26" ht="20.149999999999999" hidden="1" customHeight="1">
      <c r="B106" s="2842"/>
      <c r="C106" s="2842"/>
      <c r="D106" s="2844" t="str">
        <f>IF('Multi-Family Heat Pumps'!Q259="","",'Appliances References'!$J$23)</f>
        <v/>
      </c>
      <c r="E106" s="2846"/>
      <c r="F106" s="2846"/>
      <c r="G106" s="2846"/>
      <c r="H106" s="2846"/>
      <c r="I106" s="2845"/>
      <c r="J106" s="2843" t="str">
        <f>IF('Multi-Family Heat Pumps'!Q259="","",'Multi-Family Heat Pumps'!K259)</f>
        <v/>
      </c>
      <c r="K106" s="2843"/>
      <c r="L106" s="2843"/>
      <c r="M106" s="2843"/>
      <c r="N106" s="2844" t="str">
        <f>IF('Multi-Family Heat Pumps'!Q259="","",'Multi-Family Heat Pumps'!N259)</f>
        <v/>
      </c>
      <c r="O106" s="2845"/>
      <c r="P106" s="2843" t="str">
        <f>IF('Multi-Family Heat Pumps'!Q259="","",'Multi-Family Heat Pumps'!F259)</f>
        <v/>
      </c>
      <c r="Q106" s="2843"/>
      <c r="R106" s="2842"/>
      <c r="S106" s="2842"/>
      <c r="U106" s="2483"/>
      <c r="V106" s="2483"/>
      <c r="W106" s="2483"/>
      <c r="X106" s="2483"/>
      <c r="Y106" s="2483"/>
      <c r="Z106" s="2483"/>
    </row>
    <row r="107" spans="2:26" ht="20.149999999999999" hidden="1" customHeight="1">
      <c r="B107" s="2842"/>
      <c r="C107" s="2842"/>
      <c r="D107" s="2844" t="str">
        <f>IF('Multi-Family Heat Pumps'!Q263="","",'Appliances References'!$J$24)</f>
        <v/>
      </c>
      <c r="E107" s="2846"/>
      <c r="F107" s="2846"/>
      <c r="G107" s="2846"/>
      <c r="H107" s="2846"/>
      <c r="I107" s="2845"/>
      <c r="J107" s="2843" t="str">
        <f>IF('Multi-Family Heat Pumps'!Q263="","",'Multi-Family Heat Pumps'!K263)</f>
        <v/>
      </c>
      <c r="K107" s="2843"/>
      <c r="L107" s="2843"/>
      <c r="M107" s="2843"/>
      <c r="N107" s="2844" t="str">
        <f>IF('Multi-Family Heat Pumps'!Q263="","",'Multi-Family Heat Pumps'!N263)</f>
        <v/>
      </c>
      <c r="O107" s="2845"/>
      <c r="P107" s="2843" t="str">
        <f>IF('Multi-Family Heat Pumps'!Q263="","",'Multi-Family Heat Pumps'!F263)</f>
        <v/>
      </c>
      <c r="Q107" s="2843"/>
      <c r="R107" s="2842"/>
      <c r="S107" s="2842"/>
      <c r="U107" s="2483"/>
      <c r="V107" s="2483"/>
      <c r="W107" s="2483"/>
      <c r="X107" s="2483"/>
      <c r="Y107" s="2483"/>
      <c r="Z107" s="2483"/>
    </row>
    <row r="108" spans="2:26" ht="20.149999999999999" hidden="1" customHeight="1">
      <c r="B108" s="2842"/>
      <c r="C108" s="2842"/>
      <c r="D108" s="2844" t="str">
        <f>IF('Multi-Family Heat Pumps'!Q264="","",'Appliances References'!$J$24)</f>
        <v/>
      </c>
      <c r="E108" s="2846"/>
      <c r="F108" s="2846"/>
      <c r="G108" s="2846"/>
      <c r="H108" s="2846"/>
      <c r="I108" s="2845"/>
      <c r="J108" s="2843" t="str">
        <f>IF('Multi-Family Heat Pumps'!Q264="","",'Multi-Family Heat Pumps'!K264)</f>
        <v/>
      </c>
      <c r="K108" s="2843"/>
      <c r="L108" s="2843"/>
      <c r="M108" s="2843"/>
      <c r="N108" s="2844" t="str">
        <f>IF('Multi-Family Heat Pumps'!Q264="","",'Multi-Family Heat Pumps'!N264)</f>
        <v/>
      </c>
      <c r="O108" s="2845"/>
      <c r="P108" s="2843" t="str">
        <f>IF('Multi-Family Heat Pumps'!Q264="","",'Multi-Family Heat Pumps'!F264)</f>
        <v/>
      </c>
      <c r="Q108" s="2843"/>
      <c r="R108" s="2842"/>
      <c r="S108" s="2842"/>
      <c r="U108" s="2483"/>
      <c r="V108" s="2483"/>
      <c r="W108" s="2483"/>
      <c r="X108" s="2483"/>
      <c r="Y108" s="2483"/>
      <c r="Z108" s="2483"/>
    </row>
    <row r="109" spans="2:26" ht="20.149999999999999" hidden="1" customHeight="1">
      <c r="B109" s="2842"/>
      <c r="C109" s="2842"/>
      <c r="D109" s="2844" t="str">
        <f>IF('Multi-Family Heat Pumps'!Q265="","",'Appliances References'!$J$24)</f>
        <v/>
      </c>
      <c r="E109" s="2846"/>
      <c r="F109" s="2846"/>
      <c r="G109" s="2846"/>
      <c r="H109" s="2846"/>
      <c r="I109" s="2845"/>
      <c r="J109" s="2843" t="str">
        <f>IF('Multi-Family Heat Pumps'!Q265="","",'Multi-Family Heat Pumps'!K265)</f>
        <v/>
      </c>
      <c r="K109" s="2843"/>
      <c r="L109" s="2843"/>
      <c r="M109" s="2843"/>
      <c r="N109" s="2844" t="str">
        <f>IF('Multi-Family Heat Pumps'!Q265="","",'Multi-Family Heat Pumps'!N265)</f>
        <v/>
      </c>
      <c r="O109" s="2845"/>
      <c r="P109" s="2843" t="str">
        <f>IF('Multi-Family Heat Pumps'!Q265="","",'Multi-Family Heat Pumps'!F265)</f>
        <v/>
      </c>
      <c r="Q109" s="2843"/>
      <c r="R109" s="2842"/>
      <c r="S109" s="2842"/>
      <c r="U109" s="2483"/>
      <c r="V109" s="2483"/>
      <c r="W109" s="2483"/>
      <c r="X109" s="2483"/>
      <c r="Y109" s="2483"/>
      <c r="Z109" s="2483"/>
    </row>
    <row r="110" spans="2:26" ht="20.149999999999999" hidden="1" customHeight="1">
      <c r="B110" s="2842"/>
      <c r="C110" s="2842"/>
      <c r="D110" s="2844" t="str">
        <f>IF('Multi-Family Heat Pumps'!Q266="","",'Appliances References'!$J$24)</f>
        <v/>
      </c>
      <c r="E110" s="2846"/>
      <c r="F110" s="2846"/>
      <c r="G110" s="2846"/>
      <c r="H110" s="2846"/>
      <c r="I110" s="2845"/>
      <c r="J110" s="2843" t="str">
        <f>IF('Multi-Family Heat Pumps'!Q266="","",'Multi-Family Heat Pumps'!K266)</f>
        <v/>
      </c>
      <c r="K110" s="2843"/>
      <c r="L110" s="2843"/>
      <c r="M110" s="2843"/>
      <c r="N110" s="2844" t="str">
        <f>IF('Multi-Family Heat Pumps'!Q266="","",'Multi-Family Heat Pumps'!N266)</f>
        <v/>
      </c>
      <c r="O110" s="2845"/>
      <c r="P110" s="2843" t="str">
        <f>IF('Multi-Family Heat Pumps'!Q266="","",'Multi-Family Heat Pumps'!F266)</f>
        <v/>
      </c>
      <c r="Q110" s="2843"/>
      <c r="R110" s="2842"/>
      <c r="S110" s="2842"/>
      <c r="U110" s="2483"/>
      <c r="V110" s="2483"/>
      <c r="W110" s="2483"/>
      <c r="X110" s="2483"/>
      <c r="Y110" s="2483"/>
      <c r="Z110" s="2483"/>
    </row>
    <row r="111" spans="2:26" ht="20.149999999999999" hidden="1" customHeight="1">
      <c r="B111" s="2842"/>
      <c r="C111" s="2842"/>
      <c r="D111" s="2844" t="str">
        <f>IF('Multi-Family Heat Pumps'!Q276="","",'Appliances References'!$J$23)</f>
        <v/>
      </c>
      <c r="E111" s="2846"/>
      <c r="F111" s="2846"/>
      <c r="G111" s="2846"/>
      <c r="H111" s="2846"/>
      <c r="I111" s="2845"/>
      <c r="J111" s="2843" t="str">
        <f>IF('Multi-Family Heat Pumps'!Q276="","",'Multi-Family Heat Pumps'!K276)</f>
        <v/>
      </c>
      <c r="K111" s="2843"/>
      <c r="L111" s="2843"/>
      <c r="M111" s="2843"/>
      <c r="N111" s="2844" t="str">
        <f>IF('Multi-Family Heat Pumps'!Q276="","",'Multi-Family Heat Pumps'!N276)</f>
        <v/>
      </c>
      <c r="O111" s="2845"/>
      <c r="P111" s="2843" t="str">
        <f>IF('Multi-Family Heat Pumps'!Q276="","",'Multi-Family Heat Pumps'!F276)</f>
        <v/>
      </c>
      <c r="Q111" s="2843"/>
      <c r="R111" s="2842"/>
      <c r="S111" s="2842"/>
      <c r="U111" s="2483"/>
      <c r="V111" s="2483"/>
      <c r="W111" s="2483"/>
      <c r="X111" s="2483"/>
      <c r="Y111" s="2483"/>
      <c r="Z111" s="2483"/>
    </row>
    <row r="112" spans="2:26" ht="20.149999999999999" hidden="1" customHeight="1">
      <c r="B112" s="2842"/>
      <c r="C112" s="2842"/>
      <c r="D112" s="2844" t="str">
        <f>IF('Multi-Family Heat Pumps'!Q277="","",'Appliances References'!$J$23)</f>
        <v/>
      </c>
      <c r="E112" s="2846"/>
      <c r="F112" s="2846"/>
      <c r="G112" s="2846"/>
      <c r="H112" s="2846"/>
      <c r="I112" s="2845"/>
      <c r="J112" s="2843" t="str">
        <f>IF('Multi-Family Heat Pumps'!Q277="","",'Multi-Family Heat Pumps'!K277)</f>
        <v/>
      </c>
      <c r="K112" s="2843"/>
      <c r="L112" s="2843"/>
      <c r="M112" s="2843"/>
      <c r="N112" s="2844" t="str">
        <f>IF('Multi-Family Heat Pumps'!Q277="","",'Multi-Family Heat Pumps'!N277)</f>
        <v/>
      </c>
      <c r="O112" s="2845"/>
      <c r="P112" s="2843" t="str">
        <f>IF('Multi-Family Heat Pumps'!Q277="","",'Multi-Family Heat Pumps'!F277)</f>
        <v/>
      </c>
      <c r="Q112" s="2843"/>
      <c r="R112" s="2842"/>
      <c r="S112" s="2842"/>
      <c r="U112" s="2483"/>
      <c r="V112" s="2483"/>
      <c r="W112" s="2483"/>
      <c r="X112" s="2483"/>
      <c r="Y112" s="2483"/>
      <c r="Z112" s="2483"/>
    </row>
    <row r="113" spans="2:26" ht="20.149999999999999" hidden="1" customHeight="1">
      <c r="B113" s="2842"/>
      <c r="C113" s="2842"/>
      <c r="D113" s="2844" t="str">
        <f>IF('Multi-Family Heat Pumps'!Q278="","",'Appliances References'!$J$23)</f>
        <v/>
      </c>
      <c r="E113" s="2846"/>
      <c r="F113" s="2846"/>
      <c r="G113" s="2846"/>
      <c r="H113" s="2846"/>
      <c r="I113" s="2845"/>
      <c r="J113" s="2843" t="str">
        <f>IF('Multi-Family Heat Pumps'!Q278="","",'Multi-Family Heat Pumps'!K278)</f>
        <v/>
      </c>
      <c r="K113" s="2843"/>
      <c r="L113" s="2843"/>
      <c r="M113" s="2843"/>
      <c r="N113" s="2844" t="str">
        <f>IF('Multi-Family Heat Pumps'!Q278="","",'Multi-Family Heat Pumps'!N278)</f>
        <v/>
      </c>
      <c r="O113" s="2845"/>
      <c r="P113" s="2843" t="str">
        <f>IF('Multi-Family Heat Pumps'!Q278="","",'Multi-Family Heat Pumps'!F278)</f>
        <v/>
      </c>
      <c r="Q113" s="2843"/>
      <c r="R113" s="2842"/>
      <c r="S113" s="2842"/>
      <c r="U113" s="2483"/>
      <c r="V113" s="2483"/>
      <c r="W113" s="2483"/>
      <c r="X113" s="2483"/>
      <c r="Y113" s="2483"/>
      <c r="Z113" s="2483"/>
    </row>
    <row r="114" spans="2:26" ht="20.149999999999999" hidden="1" customHeight="1">
      <c r="B114" s="2842"/>
      <c r="C114" s="2842"/>
      <c r="D114" s="2844" t="str">
        <f>IF('Multi-Family Heat Pumps'!Q279="","",'Appliances References'!$J$23)</f>
        <v/>
      </c>
      <c r="E114" s="2846"/>
      <c r="F114" s="2846"/>
      <c r="G114" s="2846"/>
      <c r="H114" s="2846"/>
      <c r="I114" s="2845"/>
      <c r="J114" s="2843" t="str">
        <f>IF('Multi-Family Heat Pumps'!Q279="","",'Multi-Family Heat Pumps'!K279)</f>
        <v/>
      </c>
      <c r="K114" s="2843"/>
      <c r="L114" s="2843"/>
      <c r="M114" s="2843"/>
      <c r="N114" s="2844" t="str">
        <f>IF('Multi-Family Heat Pumps'!Q279="","",'Multi-Family Heat Pumps'!N279)</f>
        <v/>
      </c>
      <c r="O114" s="2845"/>
      <c r="P114" s="2843" t="str">
        <f>IF('Multi-Family Heat Pumps'!Q279="","",'Multi-Family Heat Pumps'!F279)</f>
        <v/>
      </c>
      <c r="Q114" s="2843"/>
      <c r="R114" s="2842"/>
      <c r="S114" s="2842"/>
      <c r="U114" s="2483"/>
      <c r="V114" s="2483"/>
      <c r="W114" s="2483"/>
      <c r="X114" s="2483"/>
      <c r="Y114" s="2483"/>
      <c r="Z114" s="2483"/>
    </row>
    <row r="115" spans="2:26" ht="20.149999999999999" hidden="1" customHeight="1">
      <c r="B115" s="2842"/>
      <c r="C115" s="2842"/>
      <c r="D115" s="2844" t="str">
        <f>IF('Multi-Family Heat Pumps'!Q283="","",'Appliances References'!$J$25)</f>
        <v/>
      </c>
      <c r="E115" s="2846"/>
      <c r="F115" s="2846"/>
      <c r="G115" s="2846"/>
      <c r="H115" s="2846"/>
      <c r="I115" s="2845"/>
      <c r="J115" s="2843" t="str">
        <f>IF('Multi-Family Heat Pumps'!Q283="","",'Multi-Family Heat Pumps'!K283)</f>
        <v/>
      </c>
      <c r="K115" s="2843"/>
      <c r="L115" s="2843"/>
      <c r="M115" s="2843"/>
      <c r="N115" s="2844" t="str">
        <f>IF('Multi-Family Heat Pumps'!Q283="","",'Multi-Family Heat Pumps'!N283)</f>
        <v/>
      </c>
      <c r="O115" s="2845"/>
      <c r="P115" s="2843" t="str">
        <f>IF('Multi-Family Heat Pumps'!Q283="","",'Multi-Family Heat Pumps'!F283)</f>
        <v/>
      </c>
      <c r="Q115" s="2843"/>
      <c r="R115" s="2842"/>
      <c r="S115" s="2842"/>
      <c r="U115" s="2483"/>
      <c r="V115" s="2483"/>
      <c r="W115" s="2483"/>
      <c r="X115" s="2483"/>
      <c r="Y115" s="2483"/>
      <c r="Z115" s="2483"/>
    </row>
    <row r="116" spans="2:26" ht="20.149999999999999" hidden="1" customHeight="1">
      <c r="B116" s="2842"/>
      <c r="C116" s="2842"/>
      <c r="D116" s="2844" t="str">
        <f>IF('Multi-Family Heat Pumps'!Q284="","",'Appliances References'!$J$25)</f>
        <v/>
      </c>
      <c r="E116" s="2846"/>
      <c r="F116" s="2846"/>
      <c r="G116" s="2846"/>
      <c r="H116" s="2846"/>
      <c r="I116" s="2845"/>
      <c r="J116" s="2843" t="str">
        <f>IF('Multi-Family Heat Pumps'!Q284="","",'Multi-Family Heat Pumps'!K284)</f>
        <v/>
      </c>
      <c r="K116" s="2843"/>
      <c r="L116" s="2843"/>
      <c r="M116" s="2843"/>
      <c r="N116" s="2844" t="str">
        <f>IF('Multi-Family Heat Pumps'!Q284="","",'Multi-Family Heat Pumps'!N284)</f>
        <v/>
      </c>
      <c r="O116" s="2845"/>
      <c r="P116" s="2843" t="str">
        <f>IF('Multi-Family Heat Pumps'!Q284="","",'Multi-Family Heat Pumps'!F284)</f>
        <v/>
      </c>
      <c r="Q116" s="2843"/>
      <c r="R116" s="2842"/>
      <c r="S116" s="2842"/>
      <c r="U116" s="2483"/>
      <c r="V116" s="2483"/>
      <c r="W116" s="2483"/>
      <c r="X116" s="2483"/>
      <c r="Y116" s="2483"/>
      <c r="Z116" s="2483"/>
    </row>
    <row r="117" spans="2:26" ht="20.149999999999999" hidden="1" customHeight="1">
      <c r="B117" s="2842"/>
      <c r="C117" s="2842"/>
      <c r="D117" s="2844" t="str">
        <f>IF('Multi-Family Heat Pumps'!Q285="","",'Appliances References'!$J$25)</f>
        <v/>
      </c>
      <c r="E117" s="2846"/>
      <c r="F117" s="2846"/>
      <c r="G117" s="2846"/>
      <c r="H117" s="2846"/>
      <c r="I117" s="2845"/>
      <c r="J117" s="2843" t="str">
        <f>IF('Multi-Family Heat Pumps'!Q285="","",'Multi-Family Heat Pumps'!K285)</f>
        <v/>
      </c>
      <c r="K117" s="2843"/>
      <c r="L117" s="2843"/>
      <c r="M117" s="2843"/>
      <c r="N117" s="2844" t="str">
        <f>IF('Multi-Family Heat Pumps'!Q285="","",'Multi-Family Heat Pumps'!N285)</f>
        <v/>
      </c>
      <c r="O117" s="2845"/>
      <c r="P117" s="2843" t="str">
        <f>IF('Multi-Family Heat Pumps'!Q285="","",'Multi-Family Heat Pumps'!F285)</f>
        <v/>
      </c>
      <c r="Q117" s="2843"/>
      <c r="R117" s="2842"/>
      <c r="S117" s="2842"/>
      <c r="U117" s="2483"/>
      <c r="V117" s="2483"/>
      <c r="W117" s="2483"/>
      <c r="X117" s="2483"/>
      <c r="Y117" s="2483"/>
      <c r="Z117" s="2483"/>
    </row>
    <row r="118" spans="2:26" ht="20.149999999999999" hidden="1" customHeight="1">
      <c r="B118" s="2842"/>
      <c r="C118" s="2842"/>
      <c r="D118" s="2844" t="str">
        <f>IF('Multi-Family Heat Pumps'!Q286="","",'Appliances References'!$J$25)</f>
        <v/>
      </c>
      <c r="E118" s="2846"/>
      <c r="F118" s="2846"/>
      <c r="G118" s="2846"/>
      <c r="H118" s="2846"/>
      <c r="I118" s="2845"/>
      <c r="J118" s="2843" t="str">
        <f>IF('Multi-Family Heat Pumps'!Q286="","",'Multi-Family Heat Pumps'!K286)</f>
        <v/>
      </c>
      <c r="K118" s="2843"/>
      <c r="L118" s="2843"/>
      <c r="M118" s="2843"/>
      <c r="N118" s="2844" t="str">
        <f>IF('Multi-Family Heat Pumps'!Q286="","",'Multi-Family Heat Pumps'!N286)</f>
        <v/>
      </c>
      <c r="O118" s="2845"/>
      <c r="P118" s="2843" t="str">
        <f>IF('Multi-Family Heat Pumps'!Q286="","",'Multi-Family Heat Pumps'!F286)</f>
        <v/>
      </c>
      <c r="Q118" s="2843"/>
      <c r="R118" s="2842"/>
      <c r="S118" s="2842"/>
      <c r="U118" s="2483"/>
      <c r="V118" s="2483"/>
      <c r="W118" s="2483"/>
      <c r="X118" s="2483"/>
      <c r="Y118" s="2483"/>
      <c r="Z118" s="2483"/>
    </row>
    <row r="119" spans="2:26" ht="20.149999999999999" hidden="1" customHeight="1">
      <c r="B119" s="2842"/>
      <c r="C119" s="2842"/>
      <c r="D119" s="2844" t="str">
        <f>IF('Multi-Family Heat Pumps'!Q296="","",'Appliances References'!$J$23)</f>
        <v>ENGERY STAR Clothes Washer</v>
      </c>
      <c r="E119" s="2846"/>
      <c r="F119" s="2846"/>
      <c r="G119" s="2846"/>
      <c r="H119" s="2846"/>
      <c r="I119" s="2845"/>
      <c r="J119" s="2843" t="str">
        <f>IF('Multi-Family Heat Pumps'!Q296="","",'Multi-Family Heat Pumps'!K296)</f>
        <v>boshe</v>
      </c>
      <c r="K119" s="2843"/>
      <c r="L119" s="2843"/>
      <c r="M119" s="2843"/>
      <c r="N119" s="2844">
        <f>IF('Multi-Family Heat Pumps'!Q296="","",'Multi-Family Heat Pumps'!N296)</f>
        <v>4234</v>
      </c>
      <c r="O119" s="2845"/>
      <c r="P119" s="2843">
        <f>IF('Multi-Family Heat Pumps'!Q296="","",'Multi-Family Heat Pumps'!F296)</f>
        <v>15</v>
      </c>
      <c r="Q119" s="2843"/>
      <c r="R119" s="2842"/>
      <c r="S119" s="2842"/>
      <c r="U119" s="2483"/>
      <c r="V119" s="2483"/>
      <c r="W119" s="2483"/>
      <c r="X119" s="2483"/>
      <c r="Y119" s="2483"/>
      <c r="Z119" s="2483"/>
    </row>
    <row r="120" spans="2:26" ht="20.149999999999999" hidden="1" customHeight="1">
      <c r="B120" s="2842"/>
      <c r="C120" s="2842"/>
      <c r="D120" s="2844" t="str">
        <f>IF('Multi-Family Heat Pumps'!Q297="","",'Appliances References'!$J$23)</f>
        <v/>
      </c>
      <c r="E120" s="2846"/>
      <c r="F120" s="2846"/>
      <c r="G120" s="2846"/>
      <c r="H120" s="2846"/>
      <c r="I120" s="2845"/>
      <c r="J120" s="2843" t="str">
        <f>IF('Multi-Family Heat Pumps'!Q297="","",'Multi-Family Heat Pumps'!K297)</f>
        <v/>
      </c>
      <c r="K120" s="2843"/>
      <c r="L120" s="2843"/>
      <c r="M120" s="2843"/>
      <c r="N120" s="2844" t="str">
        <f>IF('Multi-Family Heat Pumps'!Q297="","",'Multi-Family Heat Pumps'!N297)</f>
        <v/>
      </c>
      <c r="O120" s="2845"/>
      <c r="P120" s="2843" t="str">
        <f>IF('Multi-Family Heat Pumps'!Q297="","",'Multi-Family Heat Pumps'!F297)</f>
        <v/>
      </c>
      <c r="Q120" s="2843"/>
      <c r="R120" s="2842"/>
      <c r="S120" s="2842"/>
      <c r="U120" s="2483"/>
      <c r="V120" s="2483"/>
      <c r="W120" s="2483"/>
      <c r="X120" s="2483"/>
      <c r="Y120" s="2483"/>
      <c r="Z120" s="2483"/>
    </row>
    <row r="121" spans="2:26" ht="20.149999999999999" hidden="1" customHeight="1">
      <c r="B121" s="2842"/>
      <c r="C121" s="2842"/>
      <c r="D121" s="2844" t="str">
        <f>IF('Multi-Family Heat Pumps'!Q298="","",'Appliances References'!$J$23)</f>
        <v/>
      </c>
      <c r="E121" s="2846"/>
      <c r="F121" s="2846"/>
      <c r="G121" s="2846"/>
      <c r="H121" s="2846"/>
      <c r="I121" s="2845"/>
      <c r="J121" s="2843" t="str">
        <f>IF('Multi-Family Heat Pumps'!Q298="","",'Multi-Family Heat Pumps'!K298)</f>
        <v/>
      </c>
      <c r="K121" s="2843"/>
      <c r="L121" s="2843"/>
      <c r="M121" s="2843"/>
      <c r="N121" s="2844" t="str">
        <f>IF('Multi-Family Heat Pumps'!Q298="","",'Multi-Family Heat Pumps'!N298)</f>
        <v/>
      </c>
      <c r="O121" s="2845"/>
      <c r="P121" s="2843" t="str">
        <f>IF('Multi-Family Heat Pumps'!Q298="","",'Multi-Family Heat Pumps'!F298)</f>
        <v/>
      </c>
      <c r="Q121" s="2843"/>
      <c r="R121" s="2842"/>
      <c r="S121" s="2842"/>
      <c r="U121" s="2483"/>
      <c r="V121" s="2483"/>
      <c r="W121" s="2483"/>
      <c r="X121" s="2483"/>
      <c r="Y121" s="2483"/>
      <c r="Z121" s="2483"/>
    </row>
    <row r="122" spans="2:26" ht="20.149999999999999" hidden="1" customHeight="1">
      <c r="B122" s="2842"/>
      <c r="C122" s="2842"/>
      <c r="D122" s="2844" t="str">
        <f>IF('Multi-Family Heat Pumps'!Q299="","",'Appliances References'!$J$23)</f>
        <v/>
      </c>
      <c r="E122" s="2846"/>
      <c r="F122" s="2846"/>
      <c r="G122" s="2846"/>
      <c r="H122" s="2846"/>
      <c r="I122" s="2845"/>
      <c r="J122" s="2843" t="str">
        <f>IF('Multi-Family Heat Pumps'!Q299="","",'Multi-Family Heat Pumps'!K299)</f>
        <v/>
      </c>
      <c r="K122" s="2843"/>
      <c r="L122" s="2843"/>
      <c r="M122" s="2843"/>
      <c r="N122" s="2844" t="str">
        <f>IF('Multi-Family Heat Pumps'!Q299="","",'Multi-Family Heat Pumps'!N299)</f>
        <v/>
      </c>
      <c r="O122" s="2845"/>
      <c r="P122" s="2843" t="str">
        <f>IF('Multi-Family Heat Pumps'!Q299="","",'Multi-Family Heat Pumps'!F299)</f>
        <v/>
      </c>
      <c r="Q122" s="2843"/>
      <c r="R122" s="2842"/>
      <c r="S122" s="2842"/>
      <c r="U122" s="2483"/>
      <c r="V122" s="2483"/>
      <c r="W122" s="2483"/>
      <c r="X122" s="2483"/>
      <c r="Y122" s="2483"/>
      <c r="Z122" s="2483"/>
    </row>
    <row r="123" spans="2:26" ht="20.149999999999999" hidden="1" customHeight="1">
      <c r="B123" s="2842"/>
      <c r="C123" s="2842"/>
      <c r="D123" s="2844" t="str">
        <f>IF('Multi-Family Heat Pumps'!Q303="","",'Appliances References'!$J$24)</f>
        <v>ENERGY STAR Refrigerator</v>
      </c>
      <c r="E123" s="2846"/>
      <c r="F123" s="2846"/>
      <c r="G123" s="2846"/>
      <c r="H123" s="2846"/>
      <c r="I123" s="2845"/>
      <c r="J123" s="2843">
        <f>IF('Multi-Family Heat Pumps'!Q303="","",'Multi-Family Heat Pumps'!K303)</f>
        <v>234</v>
      </c>
      <c r="K123" s="2843"/>
      <c r="L123" s="2843"/>
      <c r="M123" s="2843"/>
      <c r="N123" s="2844">
        <f>IF('Multi-Family Heat Pumps'!Q303="","",'Multi-Family Heat Pumps'!N303)</f>
        <v>3123</v>
      </c>
      <c r="O123" s="2845"/>
      <c r="P123" s="2843">
        <f>IF('Multi-Family Heat Pumps'!Q303="","",'Multi-Family Heat Pumps'!F303)</f>
        <v>15</v>
      </c>
      <c r="Q123" s="2843"/>
      <c r="R123" s="2842"/>
      <c r="S123" s="2842"/>
      <c r="U123" s="2483"/>
      <c r="V123" s="2483"/>
      <c r="W123" s="2483"/>
      <c r="X123" s="2483"/>
      <c r="Y123" s="2483"/>
      <c r="Z123" s="2483"/>
    </row>
    <row r="124" spans="2:26" ht="20.149999999999999" hidden="1" customHeight="1">
      <c r="B124" s="2842"/>
      <c r="C124" s="2842"/>
      <c r="D124" s="2844" t="str">
        <f>IF('Multi-Family Heat Pumps'!Q304="","",'Appliances References'!$J$24)</f>
        <v/>
      </c>
      <c r="E124" s="2846"/>
      <c r="F124" s="2846"/>
      <c r="G124" s="2846"/>
      <c r="H124" s="2846"/>
      <c r="I124" s="2845"/>
      <c r="J124" s="2843" t="str">
        <f>IF('Multi-Family Heat Pumps'!Q304="","",'Multi-Family Heat Pumps'!K304)</f>
        <v/>
      </c>
      <c r="K124" s="2843"/>
      <c r="L124" s="2843"/>
      <c r="M124" s="2843"/>
      <c r="N124" s="2844" t="str">
        <f>IF('Multi-Family Heat Pumps'!Q304="","",'Multi-Family Heat Pumps'!N304)</f>
        <v/>
      </c>
      <c r="O124" s="2845"/>
      <c r="P124" s="2843" t="str">
        <f>IF('Multi-Family Heat Pumps'!Q304="","",'Multi-Family Heat Pumps'!F304)</f>
        <v/>
      </c>
      <c r="Q124" s="2843"/>
      <c r="R124" s="2842"/>
      <c r="S124" s="2842"/>
      <c r="U124" s="2483"/>
      <c r="V124" s="2483"/>
      <c r="W124" s="2483"/>
      <c r="X124" s="2483"/>
      <c r="Y124" s="2483"/>
      <c r="Z124" s="2483"/>
    </row>
    <row r="125" spans="2:26" ht="20.149999999999999" hidden="1" customHeight="1">
      <c r="B125" s="2842"/>
      <c r="C125" s="2842"/>
      <c r="D125" s="2844" t="str">
        <f>IF('Multi-Family Heat Pumps'!Q305="","",'Appliances References'!$J$24)</f>
        <v/>
      </c>
      <c r="E125" s="2846"/>
      <c r="F125" s="2846"/>
      <c r="G125" s="2846"/>
      <c r="H125" s="2846"/>
      <c r="I125" s="2845"/>
      <c r="J125" s="2843" t="str">
        <f>IF('Multi-Family Heat Pumps'!Q305="","",'Multi-Family Heat Pumps'!K305)</f>
        <v/>
      </c>
      <c r="K125" s="2843"/>
      <c r="L125" s="2843"/>
      <c r="M125" s="2843"/>
      <c r="N125" s="2844" t="str">
        <f>IF('Multi-Family Heat Pumps'!Q305="","",'Multi-Family Heat Pumps'!N305)</f>
        <v/>
      </c>
      <c r="O125" s="2845"/>
      <c r="P125" s="2843" t="str">
        <f>IF('Multi-Family Heat Pumps'!Q305="","",'Multi-Family Heat Pumps'!F305)</f>
        <v/>
      </c>
      <c r="Q125" s="2843"/>
      <c r="R125" s="2842"/>
      <c r="S125" s="2842"/>
      <c r="U125" s="2483"/>
      <c r="V125" s="2483"/>
      <c r="W125" s="2483"/>
      <c r="X125" s="2483"/>
      <c r="Y125" s="2483"/>
      <c r="Z125" s="2483"/>
    </row>
    <row r="126" spans="2:26" ht="20.149999999999999" hidden="1" customHeight="1">
      <c r="B126" s="2842"/>
      <c r="C126" s="2842"/>
      <c r="D126" s="2844" t="str">
        <f>IF('Multi-Family Heat Pumps'!Q306="","",'Appliances References'!$J$24)</f>
        <v/>
      </c>
      <c r="E126" s="2846"/>
      <c r="F126" s="2846"/>
      <c r="G126" s="2846"/>
      <c r="H126" s="2846"/>
      <c r="I126" s="2845"/>
      <c r="J126" s="2843" t="str">
        <f>IF('Multi-Family Heat Pumps'!Q306="","",'Multi-Family Heat Pumps'!K306)</f>
        <v/>
      </c>
      <c r="K126" s="2843"/>
      <c r="L126" s="2843"/>
      <c r="M126" s="2843"/>
      <c r="N126" s="2844" t="str">
        <f>IF('Multi-Family Heat Pumps'!Q306="","",'Multi-Family Heat Pumps'!N306)</f>
        <v/>
      </c>
      <c r="O126" s="2845"/>
      <c r="P126" s="2843" t="str">
        <f>IF('Multi-Family Heat Pumps'!Q306="","",'Multi-Family Heat Pumps'!F306)</f>
        <v/>
      </c>
      <c r="Q126" s="2843"/>
      <c r="R126" s="2842"/>
      <c r="S126" s="2842"/>
      <c r="U126" s="2483"/>
      <c r="V126" s="2483"/>
      <c r="W126" s="2483"/>
      <c r="X126" s="2483"/>
      <c r="Y126" s="2483"/>
      <c r="Z126" s="2483"/>
    </row>
    <row r="127" spans="2:26" ht="20.149999999999999" hidden="1" customHeight="1">
      <c r="B127" s="2842"/>
      <c r="C127" s="2842"/>
      <c r="D127" s="2844" t="str">
        <f>IF('Multi-Family Heat Pumps'!Q310="","",'Appliances References'!$J$25)</f>
        <v>ENERGY STAR Dishwasher</v>
      </c>
      <c r="E127" s="2846"/>
      <c r="F127" s="2846"/>
      <c r="G127" s="2846"/>
      <c r="H127" s="2846"/>
      <c r="I127" s="2845"/>
      <c r="J127" s="2843">
        <f>IF('Multi-Family Heat Pumps'!Q310="","",'Multi-Family Heat Pumps'!K310)</f>
        <v>3121</v>
      </c>
      <c r="K127" s="2843"/>
      <c r="L127" s="2843"/>
      <c r="M127" s="2843"/>
      <c r="N127" s="2844">
        <f>IF('Multi-Family Heat Pumps'!Q310="","",'Multi-Family Heat Pumps'!N310)</f>
        <v>321312</v>
      </c>
      <c r="O127" s="2845"/>
      <c r="P127" s="2843">
        <f>IF('Multi-Family Heat Pumps'!Q310="","",'Multi-Family Heat Pumps'!F310)</f>
        <v>15</v>
      </c>
      <c r="Q127" s="2843"/>
      <c r="R127" s="2842"/>
      <c r="S127" s="2842"/>
      <c r="U127" s="2483"/>
      <c r="V127" s="2483"/>
      <c r="W127" s="2483"/>
      <c r="X127" s="2483"/>
      <c r="Y127" s="2483"/>
      <c r="Z127" s="2483"/>
    </row>
    <row r="128" spans="2:26" ht="20.149999999999999" hidden="1" customHeight="1">
      <c r="B128" s="2842"/>
      <c r="C128" s="2842"/>
      <c r="D128" s="2844" t="str">
        <f>IF('Multi-Family Heat Pumps'!Q311="","",'Appliances References'!$J$25)</f>
        <v/>
      </c>
      <c r="E128" s="2846"/>
      <c r="F128" s="2846"/>
      <c r="G128" s="2846"/>
      <c r="H128" s="2846"/>
      <c r="I128" s="2845"/>
      <c r="J128" s="2843" t="str">
        <f>IF('Multi-Family Heat Pumps'!Q311="","",'Multi-Family Heat Pumps'!K311)</f>
        <v/>
      </c>
      <c r="K128" s="2843"/>
      <c r="L128" s="2843"/>
      <c r="M128" s="2843"/>
      <c r="N128" s="2844" t="str">
        <f>IF('Multi-Family Heat Pumps'!Q311="","",'Multi-Family Heat Pumps'!N311)</f>
        <v/>
      </c>
      <c r="O128" s="2845"/>
      <c r="P128" s="2843" t="str">
        <f>IF('Multi-Family Heat Pumps'!Q311="","",'Multi-Family Heat Pumps'!F311)</f>
        <v/>
      </c>
      <c r="Q128" s="2843"/>
      <c r="R128" s="2842"/>
      <c r="S128" s="2842"/>
      <c r="U128" s="2483"/>
      <c r="V128" s="2483"/>
      <c r="W128" s="2483"/>
      <c r="X128" s="2483"/>
      <c r="Y128" s="2483"/>
      <c r="Z128" s="2483"/>
    </row>
    <row r="129" spans="2:26" ht="20.149999999999999" hidden="1" customHeight="1">
      <c r="B129" s="2842"/>
      <c r="C129" s="2842"/>
      <c r="D129" s="2844" t="str">
        <f>IF('Multi-Family Heat Pumps'!Q312="","",'Appliances References'!$J$25)</f>
        <v/>
      </c>
      <c r="E129" s="2846"/>
      <c r="F129" s="2846"/>
      <c r="G129" s="2846"/>
      <c r="H129" s="2846"/>
      <c r="I129" s="2845"/>
      <c r="J129" s="2843" t="str">
        <f>IF('Multi-Family Heat Pumps'!Q312="","",'Multi-Family Heat Pumps'!K312)</f>
        <v/>
      </c>
      <c r="K129" s="2843"/>
      <c r="L129" s="2843"/>
      <c r="M129" s="2843"/>
      <c r="N129" s="2844" t="str">
        <f>IF('Multi-Family Heat Pumps'!Q312="","",'Multi-Family Heat Pumps'!N312)</f>
        <v/>
      </c>
      <c r="O129" s="2845"/>
      <c r="P129" s="2843" t="str">
        <f>IF('Multi-Family Heat Pumps'!Q312="","",'Multi-Family Heat Pumps'!F312)</f>
        <v/>
      </c>
      <c r="Q129" s="2843"/>
      <c r="R129" s="2842"/>
      <c r="S129" s="2842"/>
      <c r="U129" s="2483"/>
      <c r="V129" s="2483"/>
      <c r="W129" s="2483"/>
      <c r="X129" s="2483"/>
      <c r="Y129" s="2483"/>
      <c r="Z129" s="2483"/>
    </row>
    <row r="130" spans="2:26" ht="20.149999999999999" hidden="1" customHeight="1">
      <c r="B130" s="2842"/>
      <c r="C130" s="2842"/>
      <c r="D130" s="2844" t="str">
        <f>IF('Multi-Family Heat Pumps'!Q313="","",'Appliances References'!$J$25)</f>
        <v/>
      </c>
      <c r="E130" s="2846"/>
      <c r="F130" s="2846"/>
      <c r="G130" s="2846"/>
      <c r="H130" s="2846"/>
      <c r="I130" s="2845"/>
      <c r="J130" s="2843" t="str">
        <f>IF('Multi-Family Heat Pumps'!Q313="","",'Multi-Family Heat Pumps'!K313)</f>
        <v/>
      </c>
      <c r="K130" s="2843"/>
      <c r="L130" s="2843"/>
      <c r="M130" s="2843"/>
      <c r="N130" s="2844" t="str">
        <f>IF('Multi-Family Heat Pumps'!Q313="","",'Multi-Family Heat Pumps'!N313)</f>
        <v/>
      </c>
      <c r="O130" s="2845"/>
      <c r="P130" s="2843" t="str">
        <f>IF('Multi-Family Heat Pumps'!Q313="","",'Multi-Family Heat Pumps'!F313)</f>
        <v/>
      </c>
      <c r="Q130" s="2843"/>
      <c r="R130" s="2842"/>
      <c r="S130" s="2842"/>
      <c r="U130" s="2483"/>
      <c r="V130" s="2483"/>
      <c r="W130" s="2483"/>
      <c r="X130" s="2483"/>
      <c r="Y130" s="2483"/>
      <c r="Z130" s="2483"/>
    </row>
    <row r="131" spans="2:26" ht="14.5" customHeight="1">
      <c r="B131" s="2841"/>
      <c r="C131" s="2841"/>
    </row>
    <row r="132" spans="2:26" ht="36" customHeight="1">
      <c r="B132" s="2850" t="str">
        <f>IF(D134="","","LED Down Lights New Contruction")</f>
        <v>LED Down Lights New Contruction</v>
      </c>
      <c r="C132" s="2850"/>
      <c r="D132" s="2850"/>
      <c r="E132" s="2850"/>
      <c r="F132" s="2850"/>
      <c r="G132" s="2850"/>
      <c r="H132" s="2850"/>
      <c r="I132" s="2850"/>
      <c r="J132" s="2850"/>
      <c r="K132" s="2850"/>
      <c r="L132" s="2850"/>
      <c r="M132" s="2850"/>
      <c r="N132" s="2850"/>
      <c r="O132" s="2850"/>
      <c r="P132" s="2850"/>
      <c r="Q132" s="2850"/>
      <c r="R132" s="2850"/>
      <c r="S132" s="2850"/>
    </row>
    <row r="133" spans="2:26" ht="50.15" customHeight="1">
      <c r="B133" s="2851" t="str">
        <f>IF(D134="","","Location/Designation")</f>
        <v>Location/Designation</v>
      </c>
      <c r="C133" s="2851" t="s">
        <v>5409</v>
      </c>
      <c r="D133" s="1885" t="str">
        <f>IF(D134="","","Apartment Type")</f>
        <v>Apartment Type</v>
      </c>
      <c r="E133" s="2853" t="str">
        <f>IF(D134="","","Apartment Sqft")</f>
        <v>Apartment Sqft</v>
      </c>
      <c r="F133" s="2856"/>
      <c r="G133" s="2856"/>
      <c r="H133" s="2852" t="str">
        <f>IF(D134="","","Watts/Fixture")</f>
        <v>Watts/Fixture</v>
      </c>
      <c r="I133" s="2852"/>
      <c r="J133" s="2852" t="str">
        <f>IF(D134="","","Manufacturer")</f>
        <v>Manufacturer</v>
      </c>
      <c r="K133" s="2852"/>
      <c r="L133" s="2852"/>
      <c r="M133" s="2852"/>
      <c r="N133" s="2853" t="str">
        <f>IF(D134="","","Model Number")</f>
        <v>Model Number</v>
      </c>
      <c r="O133" s="2854"/>
      <c r="P133" s="2855" t="str">
        <f>IF(D134="","","Quantity per Apt Type")</f>
        <v>Quantity per Apt Type</v>
      </c>
      <c r="Q133" s="2855"/>
      <c r="R133" s="2851" t="str">
        <f>IF(D134="","","Verified")</f>
        <v>Verified</v>
      </c>
      <c r="S133" s="2851"/>
      <c r="U133" s="2850" t="str">
        <f>IF(D134="","","Notes")</f>
        <v>Notes</v>
      </c>
      <c r="V133" s="2850"/>
      <c r="W133" s="2850"/>
      <c r="X133" s="2850"/>
      <c r="Y133" s="2850"/>
      <c r="Z133" s="2850"/>
    </row>
    <row r="134" spans="2:26" ht="20.5" customHeight="1">
      <c r="B134" s="2842"/>
      <c r="C134" s="2842"/>
      <c r="D134" s="585" t="str">
        <f>IF('Multi-Family Heat Pumps'!U67="","",'Multi-Family Heat Pumps'!U67)</f>
        <v>Studio</v>
      </c>
      <c r="E134" s="2600">
        <f>IF('Multi-Family Heat Pumps'!Z67="","",'Multi-Family Heat Pumps'!Z67)</f>
        <v>500</v>
      </c>
      <c r="F134" s="2601"/>
      <c r="G134" s="2602"/>
      <c r="H134" s="2600">
        <f>IF('Multi-Family Heat Pumps'!AB67="","",'Multi-Family Heat Pumps'!AB67)</f>
        <v>9</v>
      </c>
      <c r="I134" s="2602"/>
      <c r="J134" s="2600">
        <f>IF('Multi-Family Heat Pumps'!M67="","",'Multi-Family Heat Pumps'!M67)</f>
        <v>234324</v>
      </c>
      <c r="K134" s="2601"/>
      <c r="L134" s="2601"/>
      <c r="M134" s="2602"/>
      <c r="N134" s="2600">
        <f>IF('Multi-Family Heat Pumps'!P67="","",'Multi-Family Heat Pumps'!P67)</f>
        <v>234234</v>
      </c>
      <c r="O134" s="2602"/>
      <c r="P134" s="2600">
        <f>IF('Multi-Family Heat Pumps'!H67="","",'Multi-Family Heat Pumps'!H67)</f>
        <v>5</v>
      </c>
      <c r="Q134" s="2602"/>
      <c r="R134" s="2842"/>
      <c r="S134" s="2842"/>
      <c r="U134" s="2483"/>
      <c r="V134" s="2483"/>
      <c r="W134" s="2483"/>
      <c r="X134" s="2483"/>
      <c r="Y134" s="2483"/>
      <c r="Z134" s="2483"/>
    </row>
    <row r="135" spans="2:26" ht="20.5" customHeight="1">
      <c r="B135" s="2842"/>
      <c r="C135" s="2842"/>
      <c r="D135" s="585" t="str">
        <f>IF('Multi-Family Heat Pumps'!U68="","",'Multi-Family Heat Pumps'!U68)</f>
        <v/>
      </c>
      <c r="E135" s="2600" t="str">
        <f>IF('Multi-Family Heat Pumps'!Z68="","",'Multi-Family Heat Pumps'!Z68)</f>
        <v/>
      </c>
      <c r="F135" s="2601"/>
      <c r="G135" s="2602"/>
      <c r="H135" s="2600" t="str">
        <f>IF('Multi-Family Heat Pumps'!AB68="","",'Multi-Family Heat Pumps'!AB68)</f>
        <v/>
      </c>
      <c r="I135" s="2602"/>
      <c r="J135" s="2600" t="str">
        <f>IF('Multi-Family Heat Pumps'!M68="","",'Multi-Family Heat Pumps'!M68)</f>
        <v/>
      </c>
      <c r="K135" s="2601"/>
      <c r="L135" s="2601"/>
      <c r="M135" s="2602"/>
      <c r="N135" s="2600" t="str">
        <f>IF('Multi-Family Heat Pumps'!P68="","",'Multi-Family Heat Pumps'!P68)</f>
        <v/>
      </c>
      <c r="O135" s="2602"/>
      <c r="P135" s="2600" t="str">
        <f>IF('Multi-Family Heat Pumps'!H68="","",'Multi-Family Heat Pumps'!H68)</f>
        <v/>
      </c>
      <c r="Q135" s="2602"/>
      <c r="R135" s="2842"/>
      <c r="S135" s="2842"/>
      <c r="U135" s="2483"/>
      <c r="V135" s="2483"/>
      <c r="W135" s="2483"/>
      <c r="X135" s="2483"/>
      <c r="Y135" s="2483"/>
      <c r="Z135" s="2483"/>
    </row>
    <row r="136" spans="2:26" ht="20.5" customHeight="1">
      <c r="B136" s="2842"/>
      <c r="C136" s="2842"/>
      <c r="D136" s="585" t="str">
        <f>IF('Multi-Family Heat Pumps'!U69="","",'Multi-Family Heat Pumps'!U69)</f>
        <v/>
      </c>
      <c r="E136" s="2600" t="str">
        <f>IF('Multi-Family Heat Pumps'!Z69="","",'Multi-Family Heat Pumps'!Z69)</f>
        <v/>
      </c>
      <c r="F136" s="2601"/>
      <c r="G136" s="2602"/>
      <c r="H136" s="2600" t="str">
        <f>IF('Multi-Family Heat Pumps'!AB69="","",'Multi-Family Heat Pumps'!AB69)</f>
        <v/>
      </c>
      <c r="I136" s="2602"/>
      <c r="J136" s="2600" t="str">
        <f>IF('Multi-Family Heat Pumps'!M69="","",'Multi-Family Heat Pumps'!M69)</f>
        <v/>
      </c>
      <c r="K136" s="2601"/>
      <c r="L136" s="2601"/>
      <c r="M136" s="2602"/>
      <c r="N136" s="2600" t="str">
        <f>IF('Multi-Family Heat Pumps'!P69="","",'Multi-Family Heat Pumps'!P69)</f>
        <v/>
      </c>
      <c r="O136" s="2602"/>
      <c r="P136" s="2600" t="str">
        <f>IF('Multi-Family Heat Pumps'!H69="","",'Multi-Family Heat Pumps'!H69)</f>
        <v/>
      </c>
      <c r="Q136" s="2602"/>
      <c r="R136" s="2842"/>
      <c r="S136" s="2842"/>
      <c r="U136" s="2483"/>
      <c r="V136" s="2483"/>
      <c r="W136" s="2483"/>
      <c r="X136" s="2483"/>
      <c r="Y136" s="2483"/>
      <c r="Z136" s="2483"/>
    </row>
    <row r="137" spans="2:26" ht="20.5" customHeight="1">
      <c r="B137" s="2842"/>
      <c r="C137" s="2842"/>
      <c r="D137" s="585" t="str">
        <f>IF('Multi-Family Heat Pumps'!U70="","",'Multi-Family Heat Pumps'!U70)</f>
        <v/>
      </c>
      <c r="E137" s="2600" t="str">
        <f>IF('Multi-Family Heat Pumps'!Z70="","",'Multi-Family Heat Pumps'!Z70)</f>
        <v/>
      </c>
      <c r="F137" s="2601"/>
      <c r="G137" s="2602"/>
      <c r="H137" s="2600" t="str">
        <f>IF('Multi-Family Heat Pumps'!AB70="","",'Multi-Family Heat Pumps'!AB70)</f>
        <v/>
      </c>
      <c r="I137" s="2602"/>
      <c r="J137" s="2600" t="str">
        <f>IF('Multi-Family Heat Pumps'!M70="","",'Multi-Family Heat Pumps'!M70)</f>
        <v/>
      </c>
      <c r="K137" s="2601"/>
      <c r="L137" s="2601"/>
      <c r="M137" s="2602"/>
      <c r="N137" s="2600" t="str">
        <f>IF('Multi-Family Heat Pumps'!P70="","",'Multi-Family Heat Pumps'!P70)</f>
        <v/>
      </c>
      <c r="O137" s="2602"/>
      <c r="P137" s="2600" t="str">
        <f>IF('Multi-Family Heat Pumps'!H70="","",'Multi-Family Heat Pumps'!H70)</f>
        <v/>
      </c>
      <c r="Q137" s="2602"/>
      <c r="R137" s="2842"/>
      <c r="S137" s="2842"/>
      <c r="U137" s="2483"/>
      <c r="V137" s="2483"/>
      <c r="W137" s="2483"/>
      <c r="X137" s="2483"/>
      <c r="Y137" s="2483"/>
      <c r="Z137" s="2483"/>
    </row>
    <row r="138" spans="2:26" ht="20.5" customHeight="1">
      <c r="B138" s="2842"/>
      <c r="C138" s="2842"/>
      <c r="D138" s="585" t="str">
        <f>IF('Multi-Family Heat Pumps'!U71="","",'Multi-Family Heat Pumps'!U71)</f>
        <v/>
      </c>
      <c r="E138" s="2600" t="str">
        <f>IF('Multi-Family Heat Pumps'!Z71="","",'Multi-Family Heat Pumps'!Z71)</f>
        <v/>
      </c>
      <c r="F138" s="2601"/>
      <c r="G138" s="2602"/>
      <c r="H138" s="2600" t="str">
        <f>IF('Multi-Family Heat Pumps'!AB71="","",'Multi-Family Heat Pumps'!AB71)</f>
        <v/>
      </c>
      <c r="I138" s="2602"/>
      <c r="J138" s="2600" t="str">
        <f>IF('Multi-Family Heat Pumps'!M71="","",'Multi-Family Heat Pumps'!M71)</f>
        <v/>
      </c>
      <c r="K138" s="2601"/>
      <c r="L138" s="2601"/>
      <c r="M138" s="2602"/>
      <c r="N138" s="2600" t="str">
        <f>IF('Multi-Family Heat Pumps'!P71="","",'Multi-Family Heat Pumps'!P71)</f>
        <v/>
      </c>
      <c r="O138" s="2602"/>
      <c r="P138" s="2600" t="str">
        <f>IF('Multi-Family Heat Pumps'!H71="","",'Multi-Family Heat Pumps'!H71)</f>
        <v/>
      </c>
      <c r="Q138" s="2602"/>
      <c r="R138" s="2842"/>
      <c r="S138" s="2842"/>
      <c r="U138" s="2483"/>
      <c r="V138" s="2483"/>
      <c r="W138" s="2483"/>
      <c r="X138" s="2483"/>
      <c r="Y138" s="2483"/>
      <c r="Z138" s="2483"/>
    </row>
    <row r="139" spans="2:26" ht="20.5" customHeight="1">
      <c r="B139" s="2842"/>
      <c r="C139" s="2842"/>
      <c r="D139" s="585" t="str">
        <f>IF('Multi-Family Heat Pumps'!U72="","",'Multi-Family Heat Pumps'!U72)</f>
        <v>1 Bedroom</v>
      </c>
      <c r="E139" s="2600">
        <f>IF('Multi-Family Heat Pumps'!Z72="","",'Multi-Family Heat Pumps'!Z72)</f>
        <v>800</v>
      </c>
      <c r="F139" s="2601"/>
      <c r="G139" s="2602"/>
      <c r="H139" s="2600">
        <f>IF('Multi-Family Heat Pumps'!AB72="","",'Multi-Family Heat Pumps'!AB72)</f>
        <v>11</v>
      </c>
      <c r="I139" s="2602"/>
      <c r="J139" s="2600" t="str">
        <f>IF('Multi-Family Heat Pumps'!M72="","",'Multi-Family Heat Pumps'!M72)</f>
        <v>rtrwtrtre</v>
      </c>
      <c r="K139" s="2601"/>
      <c r="L139" s="2601"/>
      <c r="M139" s="2602"/>
      <c r="N139" s="2600" t="str">
        <f>IF('Multi-Family Heat Pumps'!P72="","",'Multi-Family Heat Pumps'!P72)</f>
        <v>retretew</v>
      </c>
      <c r="O139" s="2602"/>
      <c r="P139" s="2600">
        <f>IF('Multi-Family Heat Pumps'!H72="","",'Multi-Family Heat Pumps'!H72)</f>
        <v>8</v>
      </c>
      <c r="Q139" s="2602"/>
      <c r="R139" s="2842"/>
      <c r="S139" s="2842"/>
      <c r="U139" s="2483"/>
      <c r="V139" s="2483"/>
      <c r="W139" s="2483"/>
      <c r="X139" s="2483"/>
      <c r="Y139" s="2483"/>
      <c r="Z139" s="2483"/>
    </row>
    <row r="145" customFormat="1"/>
    <row r="146" customFormat="1"/>
    <row r="147" customFormat="1"/>
    <row r="148" customFormat="1"/>
    <row r="149" customFormat="1"/>
    <row r="150" customFormat="1"/>
    <row r="151" customFormat="1"/>
    <row r="152" customFormat="1"/>
    <row r="153" customFormat="1"/>
    <row r="154" customFormat="1"/>
    <row r="155" customFormat="1"/>
  </sheetData>
  <sheetProtection algorithmName="SHA-512" hashValue="tz2Zx8AJvhhRSLJ4jl2CyR03ZI2+XIA6VdMRTeDHZd4xfpJ749cfmUc2DtzxSOOVnq1h+Yf5GMzbGs4JSn9JCA==" saltValue="shuakseKx7Q7YtD8K33iFw==" spinCount="100000" sheet="1" objects="1" scenarios="1"/>
  <mergeCells count="716">
    <mergeCell ref="U138:Z138"/>
    <mergeCell ref="U139:Z139"/>
    <mergeCell ref="B138:C138"/>
    <mergeCell ref="B139:C139"/>
    <mergeCell ref="E138:G138"/>
    <mergeCell ref="H138:I138"/>
    <mergeCell ref="J138:M138"/>
    <mergeCell ref="N138:O138"/>
    <mergeCell ref="P138:Q138"/>
    <mergeCell ref="R138:S138"/>
    <mergeCell ref="E139:G139"/>
    <mergeCell ref="H139:I139"/>
    <mergeCell ref="J139:M139"/>
    <mergeCell ref="N139:O139"/>
    <mergeCell ref="P139:Q139"/>
    <mergeCell ref="R139:S139"/>
    <mergeCell ref="U133:Z133"/>
    <mergeCell ref="U134:Z134"/>
    <mergeCell ref="U135:Z135"/>
    <mergeCell ref="U136:Z136"/>
    <mergeCell ref="U137:Z137"/>
    <mergeCell ref="R134:S134"/>
    <mergeCell ref="R135:S135"/>
    <mergeCell ref="R136:S136"/>
    <mergeCell ref="R137:S137"/>
    <mergeCell ref="B134:C134"/>
    <mergeCell ref="B135:C135"/>
    <mergeCell ref="B136:C136"/>
    <mergeCell ref="B137:C137"/>
    <mergeCell ref="E134:G134"/>
    <mergeCell ref="H134:I134"/>
    <mergeCell ref="J134:M134"/>
    <mergeCell ref="N134:O134"/>
    <mergeCell ref="P134:Q134"/>
    <mergeCell ref="E135:G135"/>
    <mergeCell ref="H135:I135"/>
    <mergeCell ref="J135:M135"/>
    <mergeCell ref="N135:O135"/>
    <mergeCell ref="P135:Q135"/>
    <mergeCell ref="E136:G136"/>
    <mergeCell ref="H136:I136"/>
    <mergeCell ref="J136:M136"/>
    <mergeCell ref="N136:O136"/>
    <mergeCell ref="P136:Q136"/>
    <mergeCell ref="E137:G137"/>
    <mergeCell ref="H137:I137"/>
    <mergeCell ref="J137:M137"/>
    <mergeCell ref="N137:O137"/>
    <mergeCell ref="P137:Q137"/>
    <mergeCell ref="B132:S132"/>
    <mergeCell ref="B133:C133"/>
    <mergeCell ref="J133:M133"/>
    <mergeCell ref="N133:O133"/>
    <mergeCell ref="P133:Q133"/>
    <mergeCell ref="R133:S133"/>
    <mergeCell ref="E133:G133"/>
    <mergeCell ref="H133:I133"/>
    <mergeCell ref="K4:W4"/>
    <mergeCell ref="N6:P6"/>
    <mergeCell ref="S6:U6"/>
    <mergeCell ref="R38:S38"/>
    <mergeCell ref="U38:Z38"/>
    <mergeCell ref="B39:C39"/>
    <mergeCell ref="J39:M39"/>
    <mergeCell ref="N39:O39"/>
    <mergeCell ref="P39:Q39"/>
    <mergeCell ref="R39:S39"/>
    <mergeCell ref="U39:Z39"/>
    <mergeCell ref="B38:C38"/>
    <mergeCell ref="J38:M38"/>
    <mergeCell ref="N38:O38"/>
    <mergeCell ref="P38:Q38"/>
    <mergeCell ref="N8:P8"/>
    <mergeCell ref="S8:U8"/>
    <mergeCell ref="N10:P10"/>
    <mergeCell ref="S10:U10"/>
    <mergeCell ref="D38:I38"/>
    <mergeCell ref="D39:I39"/>
    <mergeCell ref="U42:Z42"/>
    <mergeCell ref="B43:C43"/>
    <mergeCell ref="J43:M43"/>
    <mergeCell ref="N43:O43"/>
    <mergeCell ref="P43:Q43"/>
    <mergeCell ref="R43:S43"/>
    <mergeCell ref="U43:Z43"/>
    <mergeCell ref="B42:C42"/>
    <mergeCell ref="J42:M42"/>
    <mergeCell ref="N42:O42"/>
    <mergeCell ref="P42:Q42"/>
    <mergeCell ref="R42:S42"/>
    <mergeCell ref="D42:I42"/>
    <mergeCell ref="D43:I43"/>
    <mergeCell ref="U40:Z40"/>
    <mergeCell ref="B41:C41"/>
    <mergeCell ref="J41:M41"/>
    <mergeCell ref="N41:O41"/>
    <mergeCell ref="P41:Q41"/>
    <mergeCell ref="R41:S41"/>
    <mergeCell ref="U41:Z41"/>
    <mergeCell ref="B40:C40"/>
    <mergeCell ref="J40:M40"/>
    <mergeCell ref="N40:O40"/>
    <mergeCell ref="P40:Q40"/>
    <mergeCell ref="R40:S40"/>
    <mergeCell ref="D40:I40"/>
    <mergeCell ref="D41:I41"/>
    <mergeCell ref="U46:Z46"/>
    <mergeCell ref="B47:C47"/>
    <mergeCell ref="J47:M47"/>
    <mergeCell ref="N47:O47"/>
    <mergeCell ref="P47:Q47"/>
    <mergeCell ref="R47:S47"/>
    <mergeCell ref="U47:Z47"/>
    <mergeCell ref="B46:C46"/>
    <mergeCell ref="J46:M46"/>
    <mergeCell ref="N46:O46"/>
    <mergeCell ref="P46:Q46"/>
    <mergeCell ref="R46:S46"/>
    <mergeCell ref="D46:I46"/>
    <mergeCell ref="D47:I47"/>
    <mergeCell ref="U44:Z44"/>
    <mergeCell ref="B45:C45"/>
    <mergeCell ref="J45:M45"/>
    <mergeCell ref="N45:O45"/>
    <mergeCell ref="P45:Q45"/>
    <mergeCell ref="R45:S45"/>
    <mergeCell ref="U45:Z45"/>
    <mergeCell ref="B44:C44"/>
    <mergeCell ref="J44:M44"/>
    <mergeCell ref="N44:O44"/>
    <mergeCell ref="P44:Q44"/>
    <mergeCell ref="R44:S44"/>
    <mergeCell ref="D44:I44"/>
    <mergeCell ref="D45:I45"/>
    <mergeCell ref="U50:Z50"/>
    <mergeCell ref="B51:C51"/>
    <mergeCell ref="J51:M51"/>
    <mergeCell ref="N51:O51"/>
    <mergeCell ref="P51:Q51"/>
    <mergeCell ref="R51:S51"/>
    <mergeCell ref="U51:Z51"/>
    <mergeCell ref="B50:C50"/>
    <mergeCell ref="J50:M50"/>
    <mergeCell ref="N50:O50"/>
    <mergeCell ref="P50:Q50"/>
    <mergeCell ref="R50:S50"/>
    <mergeCell ref="D50:I50"/>
    <mergeCell ref="D51:I51"/>
    <mergeCell ref="U48:Z48"/>
    <mergeCell ref="B49:C49"/>
    <mergeCell ref="J49:M49"/>
    <mergeCell ref="N49:O49"/>
    <mergeCell ref="P49:Q49"/>
    <mergeCell ref="R49:S49"/>
    <mergeCell ref="U49:Z49"/>
    <mergeCell ref="B48:C48"/>
    <mergeCell ref="J48:M48"/>
    <mergeCell ref="N48:O48"/>
    <mergeCell ref="P48:Q48"/>
    <mergeCell ref="R48:S48"/>
    <mergeCell ref="D48:I48"/>
    <mergeCell ref="D49:I49"/>
    <mergeCell ref="U54:Z54"/>
    <mergeCell ref="B55:C55"/>
    <mergeCell ref="J55:M55"/>
    <mergeCell ref="N55:O55"/>
    <mergeCell ref="P55:Q55"/>
    <mergeCell ref="R55:S55"/>
    <mergeCell ref="U55:Z55"/>
    <mergeCell ref="B54:C54"/>
    <mergeCell ref="J54:M54"/>
    <mergeCell ref="N54:O54"/>
    <mergeCell ref="P54:Q54"/>
    <mergeCell ref="R54:S54"/>
    <mergeCell ref="D54:I54"/>
    <mergeCell ref="D55:I55"/>
    <mergeCell ref="U52:Z52"/>
    <mergeCell ref="B53:C53"/>
    <mergeCell ref="J53:M53"/>
    <mergeCell ref="N53:O53"/>
    <mergeCell ref="P53:Q53"/>
    <mergeCell ref="R53:S53"/>
    <mergeCell ref="U53:Z53"/>
    <mergeCell ref="B52:C52"/>
    <mergeCell ref="J52:M52"/>
    <mergeCell ref="N52:O52"/>
    <mergeCell ref="P52:Q52"/>
    <mergeCell ref="R52:S52"/>
    <mergeCell ref="D52:I52"/>
    <mergeCell ref="D53:I53"/>
    <mergeCell ref="U58:Z58"/>
    <mergeCell ref="B59:C59"/>
    <mergeCell ref="J59:M59"/>
    <mergeCell ref="N59:O59"/>
    <mergeCell ref="P59:Q59"/>
    <mergeCell ref="R59:S59"/>
    <mergeCell ref="U59:Z59"/>
    <mergeCell ref="B58:C58"/>
    <mergeCell ref="J58:M58"/>
    <mergeCell ref="N58:O58"/>
    <mergeCell ref="P58:Q58"/>
    <mergeCell ref="R58:S58"/>
    <mergeCell ref="D58:I58"/>
    <mergeCell ref="D59:I59"/>
    <mergeCell ref="U56:Z56"/>
    <mergeCell ref="B57:C57"/>
    <mergeCell ref="J57:M57"/>
    <mergeCell ref="N57:O57"/>
    <mergeCell ref="P57:Q57"/>
    <mergeCell ref="R57:S57"/>
    <mergeCell ref="U57:Z57"/>
    <mergeCell ref="B56:C56"/>
    <mergeCell ref="J56:M56"/>
    <mergeCell ref="N56:O56"/>
    <mergeCell ref="P56:Q56"/>
    <mergeCell ref="R56:S56"/>
    <mergeCell ref="D56:I56"/>
    <mergeCell ref="D57:I57"/>
    <mergeCell ref="U62:Z62"/>
    <mergeCell ref="B63:C63"/>
    <mergeCell ref="J63:M63"/>
    <mergeCell ref="N63:O63"/>
    <mergeCell ref="P63:Q63"/>
    <mergeCell ref="R63:S63"/>
    <mergeCell ref="U63:Z63"/>
    <mergeCell ref="B62:C62"/>
    <mergeCell ref="J62:M62"/>
    <mergeCell ref="N62:O62"/>
    <mergeCell ref="P62:Q62"/>
    <mergeCell ref="R62:S62"/>
    <mergeCell ref="D62:I62"/>
    <mergeCell ref="D63:I63"/>
    <mergeCell ref="U60:Z60"/>
    <mergeCell ref="B61:C61"/>
    <mergeCell ref="J61:M61"/>
    <mergeCell ref="N61:O61"/>
    <mergeCell ref="P61:Q61"/>
    <mergeCell ref="R61:S61"/>
    <mergeCell ref="U61:Z61"/>
    <mergeCell ref="B60:C60"/>
    <mergeCell ref="J60:M60"/>
    <mergeCell ref="N60:O60"/>
    <mergeCell ref="P60:Q60"/>
    <mergeCell ref="R60:S60"/>
    <mergeCell ref="D60:I60"/>
    <mergeCell ref="D61:I61"/>
    <mergeCell ref="U66:Z66"/>
    <mergeCell ref="B67:C67"/>
    <mergeCell ref="J67:M67"/>
    <mergeCell ref="N67:O67"/>
    <mergeCell ref="P67:Q67"/>
    <mergeCell ref="R67:S67"/>
    <mergeCell ref="U67:Z67"/>
    <mergeCell ref="B66:C66"/>
    <mergeCell ref="J66:M66"/>
    <mergeCell ref="N66:O66"/>
    <mergeCell ref="P66:Q66"/>
    <mergeCell ref="R66:S66"/>
    <mergeCell ref="D66:I66"/>
    <mergeCell ref="D67:I67"/>
    <mergeCell ref="U64:Z64"/>
    <mergeCell ref="B65:C65"/>
    <mergeCell ref="J65:M65"/>
    <mergeCell ref="N65:O65"/>
    <mergeCell ref="P65:Q65"/>
    <mergeCell ref="R65:S65"/>
    <mergeCell ref="U65:Z65"/>
    <mergeCell ref="B64:C64"/>
    <mergeCell ref="J64:M64"/>
    <mergeCell ref="N64:O64"/>
    <mergeCell ref="P64:Q64"/>
    <mergeCell ref="R64:S64"/>
    <mergeCell ref="D64:I64"/>
    <mergeCell ref="D65:I65"/>
    <mergeCell ref="U70:Z70"/>
    <mergeCell ref="B71:C71"/>
    <mergeCell ref="J71:M71"/>
    <mergeCell ref="N71:O71"/>
    <mergeCell ref="P71:Q71"/>
    <mergeCell ref="R71:S71"/>
    <mergeCell ref="U71:Z71"/>
    <mergeCell ref="B70:C70"/>
    <mergeCell ref="J70:M70"/>
    <mergeCell ref="N70:O70"/>
    <mergeCell ref="P70:Q70"/>
    <mergeCell ref="R70:S70"/>
    <mergeCell ref="D70:I70"/>
    <mergeCell ref="D71:I71"/>
    <mergeCell ref="U68:Z68"/>
    <mergeCell ref="B69:C69"/>
    <mergeCell ref="J69:M69"/>
    <mergeCell ref="N69:O69"/>
    <mergeCell ref="P69:Q69"/>
    <mergeCell ref="R69:S69"/>
    <mergeCell ref="U69:Z69"/>
    <mergeCell ref="B68:C68"/>
    <mergeCell ref="J68:M68"/>
    <mergeCell ref="N68:O68"/>
    <mergeCell ref="P68:Q68"/>
    <mergeCell ref="R68:S68"/>
    <mergeCell ref="D68:I68"/>
    <mergeCell ref="D69:I69"/>
    <mergeCell ref="U74:Z74"/>
    <mergeCell ref="B75:C75"/>
    <mergeCell ref="J75:M75"/>
    <mergeCell ref="N75:O75"/>
    <mergeCell ref="P75:Q75"/>
    <mergeCell ref="R75:S75"/>
    <mergeCell ref="U75:Z75"/>
    <mergeCell ref="B74:C74"/>
    <mergeCell ref="J74:M74"/>
    <mergeCell ref="N74:O74"/>
    <mergeCell ref="P74:Q74"/>
    <mergeCell ref="R74:S74"/>
    <mergeCell ref="D74:I74"/>
    <mergeCell ref="D75:I75"/>
    <mergeCell ref="U72:Z72"/>
    <mergeCell ref="B73:C73"/>
    <mergeCell ref="J73:M73"/>
    <mergeCell ref="N73:O73"/>
    <mergeCell ref="P73:Q73"/>
    <mergeCell ref="R73:S73"/>
    <mergeCell ref="U73:Z73"/>
    <mergeCell ref="B72:C72"/>
    <mergeCell ref="J72:M72"/>
    <mergeCell ref="N72:O72"/>
    <mergeCell ref="P72:Q72"/>
    <mergeCell ref="R72:S72"/>
    <mergeCell ref="D72:I72"/>
    <mergeCell ref="D73:I73"/>
    <mergeCell ref="U78:Z78"/>
    <mergeCell ref="B79:C79"/>
    <mergeCell ref="J79:M79"/>
    <mergeCell ref="N79:O79"/>
    <mergeCell ref="P79:Q79"/>
    <mergeCell ref="R79:S79"/>
    <mergeCell ref="U79:Z79"/>
    <mergeCell ref="B78:C78"/>
    <mergeCell ref="J78:M78"/>
    <mergeCell ref="N78:O78"/>
    <mergeCell ref="P78:Q78"/>
    <mergeCell ref="R78:S78"/>
    <mergeCell ref="D78:I78"/>
    <mergeCell ref="D79:I79"/>
    <mergeCell ref="U76:Z76"/>
    <mergeCell ref="B77:C77"/>
    <mergeCell ref="J77:M77"/>
    <mergeCell ref="N77:O77"/>
    <mergeCell ref="P77:Q77"/>
    <mergeCell ref="R77:S77"/>
    <mergeCell ref="U77:Z77"/>
    <mergeCell ref="B76:C76"/>
    <mergeCell ref="J76:M76"/>
    <mergeCell ref="N76:O76"/>
    <mergeCell ref="P76:Q76"/>
    <mergeCell ref="R76:S76"/>
    <mergeCell ref="D76:I76"/>
    <mergeCell ref="D77:I77"/>
    <mergeCell ref="U82:Z82"/>
    <mergeCell ref="B83:C83"/>
    <mergeCell ref="J83:M83"/>
    <mergeCell ref="N83:O83"/>
    <mergeCell ref="P83:Q83"/>
    <mergeCell ref="R83:S83"/>
    <mergeCell ref="U83:Z83"/>
    <mergeCell ref="B82:C82"/>
    <mergeCell ref="J82:M82"/>
    <mergeCell ref="N82:O82"/>
    <mergeCell ref="P82:Q82"/>
    <mergeCell ref="R82:S82"/>
    <mergeCell ref="D82:I82"/>
    <mergeCell ref="D83:I83"/>
    <mergeCell ref="U80:Z80"/>
    <mergeCell ref="B81:C81"/>
    <mergeCell ref="J81:M81"/>
    <mergeCell ref="N81:O81"/>
    <mergeCell ref="P81:Q81"/>
    <mergeCell ref="R81:S81"/>
    <mergeCell ref="U81:Z81"/>
    <mergeCell ref="B80:C80"/>
    <mergeCell ref="J80:M80"/>
    <mergeCell ref="N80:O80"/>
    <mergeCell ref="P80:Q80"/>
    <mergeCell ref="R80:S80"/>
    <mergeCell ref="D80:I80"/>
    <mergeCell ref="D81:I81"/>
    <mergeCell ref="U86:Z86"/>
    <mergeCell ref="B87:C87"/>
    <mergeCell ref="J87:M87"/>
    <mergeCell ref="N87:O87"/>
    <mergeCell ref="P87:Q87"/>
    <mergeCell ref="R87:S87"/>
    <mergeCell ref="U87:Z87"/>
    <mergeCell ref="B86:C86"/>
    <mergeCell ref="J86:M86"/>
    <mergeCell ref="N86:O86"/>
    <mergeCell ref="P86:Q86"/>
    <mergeCell ref="R86:S86"/>
    <mergeCell ref="D86:I86"/>
    <mergeCell ref="D87:I87"/>
    <mergeCell ref="U84:Z84"/>
    <mergeCell ref="B85:C85"/>
    <mergeCell ref="J85:M85"/>
    <mergeCell ref="N85:O85"/>
    <mergeCell ref="P85:Q85"/>
    <mergeCell ref="R85:S85"/>
    <mergeCell ref="U85:Z85"/>
    <mergeCell ref="B84:C84"/>
    <mergeCell ref="J84:M84"/>
    <mergeCell ref="N84:O84"/>
    <mergeCell ref="P84:Q84"/>
    <mergeCell ref="R84:S84"/>
    <mergeCell ref="D84:I84"/>
    <mergeCell ref="D85:I85"/>
    <mergeCell ref="U90:Z90"/>
    <mergeCell ref="B91:C91"/>
    <mergeCell ref="J91:M91"/>
    <mergeCell ref="N91:O91"/>
    <mergeCell ref="P91:Q91"/>
    <mergeCell ref="R91:S91"/>
    <mergeCell ref="U91:Z91"/>
    <mergeCell ref="B90:C90"/>
    <mergeCell ref="J90:M90"/>
    <mergeCell ref="N90:O90"/>
    <mergeCell ref="P90:Q90"/>
    <mergeCell ref="R90:S90"/>
    <mergeCell ref="D90:I90"/>
    <mergeCell ref="D91:I91"/>
    <mergeCell ref="U88:Z88"/>
    <mergeCell ref="B89:C89"/>
    <mergeCell ref="J89:M89"/>
    <mergeCell ref="N89:O89"/>
    <mergeCell ref="P89:Q89"/>
    <mergeCell ref="R89:S89"/>
    <mergeCell ref="U89:Z89"/>
    <mergeCell ref="B88:C88"/>
    <mergeCell ref="J88:M88"/>
    <mergeCell ref="N88:O88"/>
    <mergeCell ref="P88:Q88"/>
    <mergeCell ref="R88:S88"/>
    <mergeCell ref="D88:I88"/>
    <mergeCell ref="D89:I89"/>
    <mergeCell ref="U94:Z94"/>
    <mergeCell ref="B95:C95"/>
    <mergeCell ref="J95:M95"/>
    <mergeCell ref="N95:O95"/>
    <mergeCell ref="P95:Q95"/>
    <mergeCell ref="R95:S95"/>
    <mergeCell ref="U95:Z95"/>
    <mergeCell ref="B94:C94"/>
    <mergeCell ref="J94:M94"/>
    <mergeCell ref="N94:O94"/>
    <mergeCell ref="P94:Q94"/>
    <mergeCell ref="R94:S94"/>
    <mergeCell ref="D94:I94"/>
    <mergeCell ref="D95:I95"/>
    <mergeCell ref="U92:Z92"/>
    <mergeCell ref="B93:C93"/>
    <mergeCell ref="J93:M93"/>
    <mergeCell ref="N93:O93"/>
    <mergeCell ref="P93:Q93"/>
    <mergeCell ref="R93:S93"/>
    <mergeCell ref="U93:Z93"/>
    <mergeCell ref="B92:C92"/>
    <mergeCell ref="J92:M92"/>
    <mergeCell ref="N92:O92"/>
    <mergeCell ref="P92:Q92"/>
    <mergeCell ref="R92:S92"/>
    <mergeCell ref="D92:I92"/>
    <mergeCell ref="D93:I93"/>
    <mergeCell ref="U98:Z98"/>
    <mergeCell ref="B99:C99"/>
    <mergeCell ref="J99:M99"/>
    <mergeCell ref="N99:O99"/>
    <mergeCell ref="P99:Q99"/>
    <mergeCell ref="R99:S99"/>
    <mergeCell ref="U99:Z99"/>
    <mergeCell ref="B98:C98"/>
    <mergeCell ref="J98:M98"/>
    <mergeCell ref="N98:O98"/>
    <mergeCell ref="P98:Q98"/>
    <mergeCell ref="R98:S98"/>
    <mergeCell ref="D98:I98"/>
    <mergeCell ref="D99:I99"/>
    <mergeCell ref="U96:Z96"/>
    <mergeCell ref="B97:C97"/>
    <mergeCell ref="J97:M97"/>
    <mergeCell ref="N97:O97"/>
    <mergeCell ref="P97:Q97"/>
    <mergeCell ref="R97:S97"/>
    <mergeCell ref="U97:Z97"/>
    <mergeCell ref="B96:C96"/>
    <mergeCell ref="J96:M96"/>
    <mergeCell ref="N96:O96"/>
    <mergeCell ref="P96:Q96"/>
    <mergeCell ref="R96:S96"/>
    <mergeCell ref="D96:I96"/>
    <mergeCell ref="D97:I97"/>
    <mergeCell ref="U102:Z102"/>
    <mergeCell ref="B103:C103"/>
    <mergeCell ref="J103:M103"/>
    <mergeCell ref="N103:O103"/>
    <mergeCell ref="P103:Q103"/>
    <mergeCell ref="R103:S103"/>
    <mergeCell ref="U103:Z103"/>
    <mergeCell ref="B102:C102"/>
    <mergeCell ref="J102:M102"/>
    <mergeCell ref="N102:O102"/>
    <mergeCell ref="P102:Q102"/>
    <mergeCell ref="R102:S102"/>
    <mergeCell ref="D102:I102"/>
    <mergeCell ref="D103:I103"/>
    <mergeCell ref="U100:Z100"/>
    <mergeCell ref="B101:C101"/>
    <mergeCell ref="J101:M101"/>
    <mergeCell ref="N101:O101"/>
    <mergeCell ref="P101:Q101"/>
    <mergeCell ref="R101:S101"/>
    <mergeCell ref="U101:Z101"/>
    <mergeCell ref="B100:C100"/>
    <mergeCell ref="J100:M100"/>
    <mergeCell ref="N100:O100"/>
    <mergeCell ref="P100:Q100"/>
    <mergeCell ref="R100:S100"/>
    <mergeCell ref="D100:I100"/>
    <mergeCell ref="D101:I101"/>
    <mergeCell ref="U106:Z106"/>
    <mergeCell ref="B107:C107"/>
    <mergeCell ref="J107:M107"/>
    <mergeCell ref="N107:O107"/>
    <mergeCell ref="P107:Q107"/>
    <mergeCell ref="R107:S107"/>
    <mergeCell ref="U107:Z107"/>
    <mergeCell ref="B106:C106"/>
    <mergeCell ref="J106:M106"/>
    <mergeCell ref="N106:O106"/>
    <mergeCell ref="P106:Q106"/>
    <mergeCell ref="R106:S106"/>
    <mergeCell ref="D106:I106"/>
    <mergeCell ref="D107:I107"/>
    <mergeCell ref="U104:Z104"/>
    <mergeCell ref="B105:C105"/>
    <mergeCell ref="J105:M105"/>
    <mergeCell ref="N105:O105"/>
    <mergeCell ref="P105:Q105"/>
    <mergeCell ref="R105:S105"/>
    <mergeCell ref="U105:Z105"/>
    <mergeCell ref="B104:C104"/>
    <mergeCell ref="J104:M104"/>
    <mergeCell ref="N104:O104"/>
    <mergeCell ref="P104:Q104"/>
    <mergeCell ref="R104:S104"/>
    <mergeCell ref="D104:I104"/>
    <mergeCell ref="D105:I105"/>
    <mergeCell ref="U110:Z110"/>
    <mergeCell ref="B111:C111"/>
    <mergeCell ref="J111:M111"/>
    <mergeCell ref="N111:O111"/>
    <mergeCell ref="P111:Q111"/>
    <mergeCell ref="R111:S111"/>
    <mergeCell ref="U111:Z111"/>
    <mergeCell ref="B110:C110"/>
    <mergeCell ref="J110:M110"/>
    <mergeCell ref="N110:O110"/>
    <mergeCell ref="P110:Q110"/>
    <mergeCell ref="R110:S110"/>
    <mergeCell ref="D110:I110"/>
    <mergeCell ref="D111:I111"/>
    <mergeCell ref="U108:Z108"/>
    <mergeCell ref="B109:C109"/>
    <mergeCell ref="J109:M109"/>
    <mergeCell ref="N109:O109"/>
    <mergeCell ref="P109:Q109"/>
    <mergeCell ref="R109:S109"/>
    <mergeCell ref="U109:Z109"/>
    <mergeCell ref="B108:C108"/>
    <mergeCell ref="J108:M108"/>
    <mergeCell ref="N108:O108"/>
    <mergeCell ref="P108:Q108"/>
    <mergeCell ref="R108:S108"/>
    <mergeCell ref="D108:I108"/>
    <mergeCell ref="D109:I109"/>
    <mergeCell ref="U114:Z114"/>
    <mergeCell ref="B115:C115"/>
    <mergeCell ref="J115:M115"/>
    <mergeCell ref="N115:O115"/>
    <mergeCell ref="P115:Q115"/>
    <mergeCell ref="R115:S115"/>
    <mergeCell ref="U115:Z115"/>
    <mergeCell ref="B114:C114"/>
    <mergeCell ref="J114:M114"/>
    <mergeCell ref="N114:O114"/>
    <mergeCell ref="P114:Q114"/>
    <mergeCell ref="R114:S114"/>
    <mergeCell ref="D114:I114"/>
    <mergeCell ref="D115:I115"/>
    <mergeCell ref="U112:Z112"/>
    <mergeCell ref="B113:C113"/>
    <mergeCell ref="J113:M113"/>
    <mergeCell ref="N113:O113"/>
    <mergeCell ref="P113:Q113"/>
    <mergeCell ref="R113:S113"/>
    <mergeCell ref="U113:Z113"/>
    <mergeCell ref="B112:C112"/>
    <mergeCell ref="J112:M112"/>
    <mergeCell ref="N112:O112"/>
    <mergeCell ref="P112:Q112"/>
    <mergeCell ref="R112:S112"/>
    <mergeCell ref="D112:I112"/>
    <mergeCell ref="D113:I113"/>
    <mergeCell ref="U118:Z118"/>
    <mergeCell ref="B119:C119"/>
    <mergeCell ref="J119:M119"/>
    <mergeCell ref="N119:O119"/>
    <mergeCell ref="P119:Q119"/>
    <mergeCell ref="R119:S119"/>
    <mergeCell ref="U119:Z119"/>
    <mergeCell ref="B118:C118"/>
    <mergeCell ref="J118:M118"/>
    <mergeCell ref="N118:O118"/>
    <mergeCell ref="P118:Q118"/>
    <mergeCell ref="R118:S118"/>
    <mergeCell ref="D118:I118"/>
    <mergeCell ref="D119:I119"/>
    <mergeCell ref="U116:Z116"/>
    <mergeCell ref="B117:C117"/>
    <mergeCell ref="J117:M117"/>
    <mergeCell ref="N117:O117"/>
    <mergeCell ref="P117:Q117"/>
    <mergeCell ref="R117:S117"/>
    <mergeCell ref="U117:Z117"/>
    <mergeCell ref="B116:C116"/>
    <mergeCell ref="J116:M116"/>
    <mergeCell ref="N116:O116"/>
    <mergeCell ref="P116:Q116"/>
    <mergeCell ref="R116:S116"/>
    <mergeCell ref="D116:I116"/>
    <mergeCell ref="D117:I117"/>
    <mergeCell ref="U122:Z122"/>
    <mergeCell ref="B123:C123"/>
    <mergeCell ref="J123:M123"/>
    <mergeCell ref="N123:O123"/>
    <mergeCell ref="P123:Q123"/>
    <mergeCell ref="R123:S123"/>
    <mergeCell ref="U123:Z123"/>
    <mergeCell ref="B122:C122"/>
    <mergeCell ref="J122:M122"/>
    <mergeCell ref="N122:O122"/>
    <mergeCell ref="P122:Q122"/>
    <mergeCell ref="R122:S122"/>
    <mergeCell ref="D122:I122"/>
    <mergeCell ref="D123:I123"/>
    <mergeCell ref="U120:Z120"/>
    <mergeCell ref="B121:C121"/>
    <mergeCell ref="J121:M121"/>
    <mergeCell ref="N121:O121"/>
    <mergeCell ref="P121:Q121"/>
    <mergeCell ref="R121:S121"/>
    <mergeCell ref="U121:Z121"/>
    <mergeCell ref="B120:C120"/>
    <mergeCell ref="J120:M120"/>
    <mergeCell ref="N120:O120"/>
    <mergeCell ref="P120:Q120"/>
    <mergeCell ref="R120:S120"/>
    <mergeCell ref="D120:I120"/>
    <mergeCell ref="D121:I121"/>
    <mergeCell ref="U126:Z126"/>
    <mergeCell ref="B127:C127"/>
    <mergeCell ref="J127:M127"/>
    <mergeCell ref="N127:O127"/>
    <mergeCell ref="P127:Q127"/>
    <mergeCell ref="R127:S127"/>
    <mergeCell ref="U127:Z127"/>
    <mergeCell ref="B126:C126"/>
    <mergeCell ref="J126:M126"/>
    <mergeCell ref="N126:O126"/>
    <mergeCell ref="P126:Q126"/>
    <mergeCell ref="R126:S126"/>
    <mergeCell ref="D126:I126"/>
    <mergeCell ref="D127:I127"/>
    <mergeCell ref="U124:Z124"/>
    <mergeCell ref="B125:C125"/>
    <mergeCell ref="J125:M125"/>
    <mergeCell ref="N125:O125"/>
    <mergeCell ref="P125:Q125"/>
    <mergeCell ref="R125:S125"/>
    <mergeCell ref="U125:Z125"/>
    <mergeCell ref="B124:C124"/>
    <mergeCell ref="J124:M124"/>
    <mergeCell ref="N124:O124"/>
    <mergeCell ref="P124:Q124"/>
    <mergeCell ref="R124:S124"/>
    <mergeCell ref="D124:I124"/>
    <mergeCell ref="D125:I125"/>
    <mergeCell ref="B131:C131"/>
    <mergeCell ref="U130:Z130"/>
    <mergeCell ref="B130:C130"/>
    <mergeCell ref="J130:M130"/>
    <mergeCell ref="N130:O130"/>
    <mergeCell ref="P130:Q130"/>
    <mergeCell ref="R130:S130"/>
    <mergeCell ref="U128:Z128"/>
    <mergeCell ref="B129:C129"/>
    <mergeCell ref="J129:M129"/>
    <mergeCell ref="N129:O129"/>
    <mergeCell ref="P129:Q129"/>
    <mergeCell ref="R129:S129"/>
    <mergeCell ref="U129:Z129"/>
    <mergeCell ref="B128:C128"/>
    <mergeCell ref="J128:M128"/>
    <mergeCell ref="N128:O128"/>
    <mergeCell ref="P128:Q128"/>
    <mergeCell ref="R128:S128"/>
    <mergeCell ref="D128:I128"/>
    <mergeCell ref="D129:I129"/>
    <mergeCell ref="D130:I13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74114" r:id="rId4" name="Check Box 2">
              <controlPr defaultSize="0" autoFill="0" autoLine="0" autoPict="0">
                <anchor moveWithCells="1">
                  <from>
                    <xdr:col>16</xdr:col>
                    <xdr:colOff>31750</xdr:colOff>
                    <xdr:row>11</xdr:row>
                    <xdr:rowOff>88900</xdr:rowOff>
                  </from>
                  <to>
                    <xdr:col>16</xdr:col>
                    <xdr:colOff>584200</xdr:colOff>
                    <xdr:row>11</xdr:row>
                    <xdr:rowOff>279400</xdr:rowOff>
                  </to>
                </anchor>
              </controlPr>
            </control>
          </mc:Choice>
        </mc:AlternateContent>
        <mc:AlternateContent xmlns:mc="http://schemas.openxmlformats.org/markup-compatibility/2006">
          <mc:Choice Requires="x14">
            <control shapeId="474115" r:id="rId5" name="Check Box 3">
              <controlPr defaultSize="0" autoFill="0" autoLine="0" autoPict="0">
                <anchor moveWithCells="1">
                  <from>
                    <xdr:col>16</xdr:col>
                    <xdr:colOff>781050</xdr:colOff>
                    <xdr:row>11</xdr:row>
                    <xdr:rowOff>50800</xdr:rowOff>
                  </from>
                  <to>
                    <xdr:col>17</xdr:col>
                    <xdr:colOff>476250</xdr:colOff>
                    <xdr:row>12</xdr:row>
                    <xdr:rowOff>12700</xdr:rowOff>
                  </to>
                </anchor>
              </controlPr>
            </control>
          </mc:Choice>
        </mc:AlternateContent>
        <mc:AlternateContent xmlns:mc="http://schemas.openxmlformats.org/markup-compatibility/2006">
          <mc:Choice Requires="x14">
            <control shapeId="474116" r:id="rId6" name="Check Box 4">
              <controlPr defaultSize="0" autoFill="0" autoLine="0" autoPict="0">
                <anchor moveWithCells="1">
                  <from>
                    <xdr:col>10</xdr:col>
                    <xdr:colOff>152400</xdr:colOff>
                    <xdr:row>14</xdr:row>
                    <xdr:rowOff>19050</xdr:rowOff>
                  </from>
                  <to>
                    <xdr:col>11</xdr:col>
                    <xdr:colOff>203200</xdr:colOff>
                    <xdr:row>14</xdr:row>
                    <xdr:rowOff>279400</xdr:rowOff>
                  </to>
                </anchor>
              </controlPr>
            </control>
          </mc:Choice>
        </mc:AlternateContent>
        <mc:AlternateContent xmlns:mc="http://schemas.openxmlformats.org/markup-compatibility/2006">
          <mc:Choice Requires="x14">
            <control shapeId="474117" r:id="rId7" name="Check Box 5">
              <controlPr defaultSize="0" autoFill="0" autoLine="0" autoPict="0">
                <anchor moveWithCells="1">
                  <from>
                    <xdr:col>11</xdr:col>
                    <xdr:colOff>698500</xdr:colOff>
                    <xdr:row>13</xdr:row>
                    <xdr:rowOff>361950</xdr:rowOff>
                  </from>
                  <to>
                    <xdr:col>12</xdr:col>
                    <xdr:colOff>133350</xdr:colOff>
                    <xdr:row>15</xdr:row>
                    <xdr:rowOff>12700</xdr:rowOff>
                  </to>
                </anchor>
              </controlPr>
            </control>
          </mc:Choice>
        </mc:AlternateContent>
        <mc:AlternateContent xmlns:mc="http://schemas.openxmlformats.org/markup-compatibility/2006">
          <mc:Choice Requires="x14">
            <control shapeId="474118" r:id="rId8" name="Check Box 6">
              <controlPr defaultSize="0" autoFill="0" autoLine="0" autoPict="0">
                <anchor moveWithCells="1">
                  <from>
                    <xdr:col>10</xdr:col>
                    <xdr:colOff>152400</xdr:colOff>
                    <xdr:row>17</xdr:row>
                    <xdr:rowOff>19050</xdr:rowOff>
                  </from>
                  <to>
                    <xdr:col>11</xdr:col>
                    <xdr:colOff>203200</xdr:colOff>
                    <xdr:row>17</xdr:row>
                    <xdr:rowOff>279400</xdr:rowOff>
                  </to>
                </anchor>
              </controlPr>
            </control>
          </mc:Choice>
        </mc:AlternateContent>
        <mc:AlternateContent xmlns:mc="http://schemas.openxmlformats.org/markup-compatibility/2006">
          <mc:Choice Requires="x14">
            <control shapeId="474119" r:id="rId9" name="Check Box 7">
              <controlPr defaultSize="0" autoFill="0" autoLine="0" autoPict="0">
                <anchor moveWithCells="1">
                  <from>
                    <xdr:col>11</xdr:col>
                    <xdr:colOff>679450</xdr:colOff>
                    <xdr:row>17</xdr:row>
                    <xdr:rowOff>31750</xdr:rowOff>
                  </from>
                  <to>
                    <xdr:col>12</xdr:col>
                    <xdr:colOff>107950</xdr:colOff>
                    <xdr:row>18</xdr:row>
                    <xdr:rowOff>12700</xdr:rowOff>
                  </to>
                </anchor>
              </controlPr>
            </control>
          </mc:Choice>
        </mc:AlternateContent>
        <mc:AlternateContent xmlns:mc="http://schemas.openxmlformats.org/markup-compatibility/2006">
          <mc:Choice Requires="x14">
            <control shapeId="474120" r:id="rId10" name="Check Box 8">
              <controlPr defaultSize="0" autoFill="0" autoLine="0" autoPict="0">
                <anchor moveWithCells="1">
                  <from>
                    <xdr:col>10</xdr:col>
                    <xdr:colOff>114300</xdr:colOff>
                    <xdr:row>20</xdr:row>
                    <xdr:rowOff>76200</xdr:rowOff>
                  </from>
                  <to>
                    <xdr:col>11</xdr:col>
                    <xdr:colOff>203200</xdr:colOff>
                    <xdr:row>20</xdr:row>
                    <xdr:rowOff>298450</xdr:rowOff>
                  </to>
                </anchor>
              </controlPr>
            </control>
          </mc:Choice>
        </mc:AlternateContent>
        <mc:AlternateContent xmlns:mc="http://schemas.openxmlformats.org/markup-compatibility/2006">
          <mc:Choice Requires="x14">
            <control shapeId="474121" r:id="rId11" name="Check Box 9">
              <controlPr defaultSize="0" autoFill="0" autoLine="0" autoPict="0">
                <anchor moveWithCells="1">
                  <from>
                    <xdr:col>11</xdr:col>
                    <xdr:colOff>679450</xdr:colOff>
                    <xdr:row>20</xdr:row>
                    <xdr:rowOff>50800</xdr:rowOff>
                  </from>
                  <to>
                    <xdr:col>12</xdr:col>
                    <xdr:colOff>107950</xdr:colOff>
                    <xdr:row>21</xdr:row>
                    <xdr:rowOff>38100</xdr:rowOff>
                  </to>
                </anchor>
              </controlPr>
            </control>
          </mc:Choice>
        </mc:AlternateContent>
        <mc:AlternateContent xmlns:mc="http://schemas.openxmlformats.org/markup-compatibility/2006">
          <mc:Choice Requires="x14">
            <control shapeId="474128" r:id="rId12" name="Button 16">
              <controlPr defaultSize="0" print="0" autoFill="0" autoPict="0" macro="[0]!Button16_Click">
                <anchor moveWithCells="1" sizeWithCells="1">
                  <from>
                    <xdr:col>18</xdr:col>
                    <xdr:colOff>533400</xdr:colOff>
                    <xdr:row>27</xdr:row>
                    <xdr:rowOff>152400</xdr:rowOff>
                  </from>
                  <to>
                    <xdr:col>24</xdr:col>
                    <xdr:colOff>412750</xdr:colOff>
                    <xdr:row>32</xdr:row>
                    <xdr:rowOff>88900</xdr:rowOff>
                  </to>
                </anchor>
              </controlPr>
            </control>
          </mc:Choice>
        </mc:AlternateContent>
      </controls>
    </mc:Choice>
  </mc:AlternateContent>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CD7B7-CC65-4C5B-B09B-64D11FFDE923}">
  <sheetPr codeName="Sheet49">
    <tabColor rgb="FFC00000"/>
  </sheetPr>
  <dimension ref="A1:CH141"/>
  <sheetViews>
    <sheetView showGridLines="0" topLeftCell="AO2" zoomScale="80" zoomScaleNormal="80" workbookViewId="0">
      <selection activeCell="BA21" sqref="BA21"/>
    </sheetView>
  </sheetViews>
  <sheetFormatPr defaultColWidth="9.1796875" defaultRowHeight="13"/>
  <cols>
    <col min="1" max="1" width="3.54296875" style="761" customWidth="1"/>
    <col min="2" max="2" width="24.453125" style="761" bestFit="1" customWidth="1"/>
    <col min="3" max="3" width="3.54296875" style="761" customWidth="1"/>
    <col min="4" max="4" width="44.54296875" style="761" bestFit="1" customWidth="1"/>
    <col min="5" max="5" width="44.54296875" style="761" customWidth="1"/>
    <col min="6" max="6" width="47.453125" style="761" bestFit="1" customWidth="1"/>
    <col min="7" max="7" width="30.453125" style="761" bestFit="1" customWidth="1"/>
    <col min="8" max="8" width="17.54296875" style="761" bestFit="1" customWidth="1"/>
    <col min="9" max="9" width="22" style="761" bestFit="1" customWidth="1"/>
    <col min="10" max="15" width="20.54296875" style="761" customWidth="1"/>
    <col min="16" max="16" width="28.81640625" style="761" customWidth="1"/>
    <col min="17" max="17" width="33.453125" style="761" customWidth="1"/>
    <col min="18" max="18" width="28.81640625" style="761" customWidth="1"/>
    <col min="19" max="19" width="51.54296875" style="761" bestFit="1" customWidth="1"/>
    <col min="20" max="20" width="12.54296875" style="761" bestFit="1" customWidth="1"/>
    <col min="21" max="21" width="12.54296875" style="761" customWidth="1"/>
    <col min="22" max="22" width="27.453125" style="761" bestFit="1" customWidth="1"/>
    <col min="23" max="23" width="27.453125" style="761" customWidth="1"/>
    <col min="24" max="24" width="15.54296875" style="761" bestFit="1" customWidth="1"/>
    <col min="25" max="25" width="18.26953125" style="761" bestFit="1" customWidth="1"/>
    <col min="26" max="26" width="16.7265625" style="761" bestFit="1" customWidth="1"/>
    <col min="27" max="27" width="15.7265625" style="761" bestFit="1" customWidth="1"/>
    <col min="28" max="28" width="14.1796875" style="761" bestFit="1" customWidth="1"/>
    <col min="29" max="30" width="4.7265625" style="761" bestFit="1" customWidth="1"/>
    <col min="31" max="31" width="8.54296875" style="761" bestFit="1" customWidth="1"/>
    <col min="32" max="32" width="56.26953125" style="761" bestFit="1" customWidth="1"/>
    <col min="33" max="33" width="11.1796875" style="761" customWidth="1"/>
    <col min="34" max="34" width="25.453125" style="761" customWidth="1"/>
    <col min="35" max="35" width="11.7265625" style="761" bestFit="1" customWidth="1"/>
    <col min="36" max="36" width="43" style="761" bestFit="1" customWidth="1"/>
    <col min="37" max="38" width="5.54296875" style="761" customWidth="1"/>
    <col min="39" max="39" width="69.54296875" style="761" customWidth="1"/>
    <col min="40" max="48" width="9.1796875" style="761"/>
    <col min="49" max="49" width="16.81640625" style="761" bestFit="1" customWidth="1"/>
    <col min="50" max="50" width="64.453125" style="761" bestFit="1" customWidth="1"/>
    <col min="51" max="59" width="9.1796875" style="761" customWidth="1"/>
    <col min="60" max="60" width="14" style="761" customWidth="1"/>
    <col min="61" max="62" width="9.1796875" style="761" customWidth="1"/>
    <col min="63" max="70" width="9.1796875" style="761"/>
    <col min="71" max="71" width="20.54296875" style="761" bestFit="1" customWidth="1"/>
    <col min="72" max="72" width="17.453125" style="761" bestFit="1" customWidth="1"/>
    <col min="73" max="73" width="9.1796875" style="761"/>
    <col min="74" max="74" width="26.453125" style="761" bestFit="1" customWidth="1"/>
    <col min="75" max="75" width="41.54296875" style="761" bestFit="1" customWidth="1"/>
    <col min="76" max="76" width="23.7265625" style="761" bestFit="1" customWidth="1"/>
    <col min="77" max="77" width="21.1796875" style="761" bestFit="1" customWidth="1"/>
    <col min="78" max="78" width="36.7265625" style="761" bestFit="1" customWidth="1"/>
    <col min="79" max="79" width="41.453125" style="761" bestFit="1" customWidth="1"/>
    <col min="80" max="80" width="18.81640625" style="761" bestFit="1" customWidth="1"/>
    <col min="81" max="81" width="41" style="761" bestFit="1" customWidth="1"/>
    <col min="82" max="82" width="54.7265625" style="761" bestFit="1" customWidth="1"/>
    <col min="83" max="83" width="19" style="761" bestFit="1" customWidth="1"/>
    <col min="84" max="84" width="36" style="761" bestFit="1" customWidth="1"/>
    <col min="85" max="85" width="32" style="761" bestFit="1" customWidth="1"/>
    <col min="86" max="86" width="6.26953125" style="761" bestFit="1" customWidth="1"/>
    <col min="87" max="16384" width="9.1796875" style="761"/>
  </cols>
  <sheetData>
    <row r="1" spans="1:86" ht="14">
      <c r="A1" s="157"/>
      <c r="B1" s="157"/>
      <c r="C1" s="157"/>
      <c r="D1" s="157"/>
      <c r="E1" s="157"/>
      <c r="G1" s="157"/>
      <c r="AM1" s="761" t="s">
        <v>2179</v>
      </c>
      <c r="BS1" s="782" t="s">
        <v>1037</v>
      </c>
    </row>
    <row r="2" spans="1:86" ht="14">
      <c r="A2" s="157"/>
      <c r="B2" s="157"/>
      <c r="C2" s="157"/>
      <c r="D2" s="144" t="s">
        <v>2180</v>
      </c>
      <c r="E2" s="144"/>
      <c r="F2" s="144"/>
      <c r="S2" s="144" t="s">
        <v>2181</v>
      </c>
      <c r="T2" s="144"/>
      <c r="U2" s="144"/>
      <c r="V2" s="144"/>
      <c r="W2" s="144"/>
      <c r="AF2" s="144" t="s">
        <v>2182</v>
      </c>
      <c r="AJ2" s="732"/>
      <c r="AK2" s="732"/>
      <c r="AL2" s="732"/>
      <c r="AM2" s="745" t="s">
        <v>20</v>
      </c>
      <c r="AN2" s="2864" t="s">
        <v>2183</v>
      </c>
      <c r="AO2" s="2865"/>
      <c r="AP2" s="2865"/>
      <c r="AQ2" s="2865"/>
      <c r="AR2" s="2865"/>
      <c r="AS2" s="2864" t="s">
        <v>2184</v>
      </c>
      <c r="AT2" s="2865"/>
      <c r="AU2" s="2865"/>
      <c r="AV2" s="2866"/>
      <c r="AX2" s="144" t="s">
        <v>20</v>
      </c>
      <c r="AY2" s="2861" t="s">
        <v>2185</v>
      </c>
      <c r="AZ2" s="2862"/>
      <c r="BA2" s="2862"/>
      <c r="BB2" s="2862"/>
      <c r="BC2" s="2862"/>
      <c r="BD2" s="2861" t="s">
        <v>2186</v>
      </c>
      <c r="BE2" s="2862"/>
      <c r="BF2" s="2862"/>
      <c r="BG2" s="2862"/>
      <c r="BH2" s="2862"/>
      <c r="BI2" s="1646"/>
      <c r="BJ2" s="1646"/>
      <c r="BK2" s="2862" t="s">
        <v>471</v>
      </c>
      <c r="BL2" s="2862"/>
      <c r="BM2" s="2862"/>
      <c r="BN2" s="2863"/>
      <c r="BS2" s="61" t="s">
        <v>1040</v>
      </c>
    </row>
    <row r="3" spans="1:86" ht="14.5">
      <c r="A3" s="157"/>
      <c r="C3" s="157"/>
      <c r="D3" s="712" t="s">
        <v>2188</v>
      </c>
      <c r="E3" s="712" t="s">
        <v>2156</v>
      </c>
      <c r="F3" s="712" t="s">
        <v>2189</v>
      </c>
      <c r="G3" s="712" t="s">
        <v>2190</v>
      </c>
      <c r="H3" s="708" t="s">
        <v>2191</v>
      </c>
      <c r="I3" s="708" t="s">
        <v>2192</v>
      </c>
      <c r="J3" s="712" t="s">
        <v>2193</v>
      </c>
      <c r="K3" s="712" t="s">
        <v>2194</v>
      </c>
      <c r="L3" s="712" t="s">
        <v>2195</v>
      </c>
      <c r="M3" s="712" t="s">
        <v>2196</v>
      </c>
      <c r="N3" s="712" t="s">
        <v>2197</v>
      </c>
      <c r="O3" s="712" t="s">
        <v>1342</v>
      </c>
      <c r="P3" s="712" t="s">
        <v>2198</v>
      </c>
      <c r="Q3" s="712" t="s">
        <v>2199</v>
      </c>
      <c r="S3" s="725" t="s">
        <v>1402</v>
      </c>
      <c r="T3" s="725" t="s">
        <v>2200</v>
      </c>
      <c r="U3" s="725" t="s">
        <v>2201</v>
      </c>
      <c r="V3" s="725" t="s">
        <v>5258</v>
      </c>
      <c r="W3" s="725" t="s">
        <v>5259</v>
      </c>
      <c r="X3" s="2858" t="s">
        <v>3343</v>
      </c>
      <c r="Y3" s="2859"/>
      <c r="Z3" s="2859"/>
      <c r="AA3" s="2859"/>
      <c r="AB3" s="2859"/>
      <c r="AC3" s="2859"/>
      <c r="AD3" s="2860"/>
      <c r="AF3" s="739" t="s">
        <v>673</v>
      </c>
      <c r="AG3" s="739" t="s">
        <v>2164</v>
      </c>
      <c r="AH3" s="739" t="s">
        <v>38</v>
      </c>
      <c r="AI3" s="739" t="s">
        <v>636</v>
      </c>
      <c r="AJ3" s="739" t="s">
        <v>39</v>
      </c>
      <c r="AK3" s="732"/>
      <c r="AL3" s="732"/>
      <c r="AM3" s="760"/>
      <c r="AN3" s="759" t="s">
        <v>12</v>
      </c>
      <c r="AO3" s="758" t="s">
        <v>13</v>
      </c>
      <c r="AP3" s="758" t="s">
        <v>14</v>
      </c>
      <c r="AQ3" s="758" t="s">
        <v>2202</v>
      </c>
      <c r="AR3" s="758" t="s">
        <v>2203</v>
      </c>
      <c r="AS3" s="759" t="s">
        <v>12</v>
      </c>
      <c r="AT3" s="758" t="s">
        <v>13</v>
      </c>
      <c r="AU3" s="758" t="s">
        <v>14</v>
      </c>
      <c r="AV3" s="757" t="s">
        <v>2202</v>
      </c>
      <c r="AX3" s="778"/>
      <c r="AY3" s="777" t="s">
        <v>2204</v>
      </c>
      <c r="AZ3" s="776" t="s">
        <v>13</v>
      </c>
      <c r="BA3" s="776" t="s">
        <v>14</v>
      </c>
      <c r="BB3" s="776" t="s">
        <v>2202</v>
      </c>
      <c r="BC3" s="776" t="s">
        <v>2203</v>
      </c>
      <c r="BD3" s="777" t="s">
        <v>12</v>
      </c>
      <c r="BE3" s="776" t="s">
        <v>13</v>
      </c>
      <c r="BF3" s="776" t="s">
        <v>14</v>
      </c>
      <c r="BG3" s="776" t="s">
        <v>2202</v>
      </c>
      <c r="BH3" s="776" t="s">
        <v>3342</v>
      </c>
      <c r="BI3" s="776" t="s">
        <v>3341</v>
      </c>
      <c r="BJ3" s="776" t="s">
        <v>3340</v>
      </c>
      <c r="BK3" s="777" t="s">
        <v>2205</v>
      </c>
      <c r="BL3" s="776" t="s">
        <v>13</v>
      </c>
      <c r="BM3" s="776" t="s">
        <v>14</v>
      </c>
      <c r="BN3" s="775" t="s">
        <v>2202</v>
      </c>
      <c r="BS3" s="2" t="s">
        <v>1042</v>
      </c>
      <c r="BT3"/>
      <c r="BU3"/>
      <c r="BV3" t="s">
        <v>1041</v>
      </c>
      <c r="BW3"/>
      <c r="BX3"/>
      <c r="BY3"/>
      <c r="BZ3"/>
      <c r="CA3"/>
      <c r="CB3"/>
      <c r="CC3"/>
      <c r="CD3"/>
      <c r="CE3"/>
      <c r="CF3"/>
      <c r="CG3"/>
      <c r="CH3"/>
    </row>
    <row r="4" spans="1:86" ht="14.5">
      <c r="A4" s="157"/>
      <c r="B4" s="761" t="s">
        <v>3339</v>
      </c>
      <c r="C4" s="157"/>
      <c r="D4" s="737"/>
      <c r="E4" s="737"/>
      <c r="F4" s="737"/>
      <c r="G4" s="737"/>
      <c r="H4" s="737"/>
      <c r="I4" s="737"/>
      <c r="J4" s="737"/>
      <c r="K4" s="729"/>
      <c r="L4" s="729"/>
      <c r="M4" s="729"/>
      <c r="N4" s="768"/>
      <c r="O4" s="768"/>
      <c r="P4" s="768"/>
      <c r="Q4" s="768"/>
      <c r="S4" s="771" t="s">
        <v>2206</v>
      </c>
      <c r="T4" s="726">
        <v>2</v>
      </c>
      <c r="U4" s="726">
        <v>2</v>
      </c>
      <c r="V4" s="728" t="s">
        <v>2207</v>
      </c>
      <c r="W4" s="728" t="s">
        <v>1404</v>
      </c>
      <c r="X4" s="727"/>
      <c r="Y4" s="727" t="s">
        <v>2207</v>
      </c>
      <c r="Z4" s="727" t="s">
        <v>1404</v>
      </c>
      <c r="AA4" s="727"/>
      <c r="AB4" s="724"/>
      <c r="AC4" s="724"/>
      <c r="AD4" s="729"/>
      <c r="AF4" s="737" t="s">
        <v>2208</v>
      </c>
      <c r="AG4" s="738" t="s">
        <v>2209</v>
      </c>
      <c r="AH4" s="738" t="s">
        <v>43</v>
      </c>
      <c r="AI4" s="738" t="s">
        <v>3377</v>
      </c>
      <c r="AJ4" s="738" t="s">
        <v>3378</v>
      </c>
      <c r="AK4" s="732"/>
      <c r="AL4" s="732"/>
      <c r="AM4" s="743" t="s">
        <v>2210</v>
      </c>
      <c r="AN4" s="744"/>
      <c r="AO4" s="769">
        <v>10.4</v>
      </c>
      <c r="AP4" s="769"/>
      <c r="AQ4" s="769"/>
      <c r="AR4" s="982">
        <v>200</v>
      </c>
      <c r="AS4" s="744" t="s">
        <v>288</v>
      </c>
      <c r="AT4" s="769">
        <v>8</v>
      </c>
      <c r="AU4" s="769" t="s">
        <v>288</v>
      </c>
      <c r="AV4" s="767" t="s">
        <v>288</v>
      </c>
      <c r="AX4" s="770" t="s">
        <v>2206</v>
      </c>
      <c r="AY4" s="713"/>
      <c r="AZ4" s="994">
        <v>10.4</v>
      </c>
      <c r="BA4" s="994"/>
      <c r="BB4" s="994"/>
      <c r="BC4" s="993">
        <v>0.55000000000000004</v>
      </c>
      <c r="BD4" s="713"/>
      <c r="BE4" s="994"/>
      <c r="BF4" s="994"/>
      <c r="BG4" s="994"/>
      <c r="BH4" s="718"/>
      <c r="BI4" s="713"/>
      <c r="BJ4" s="718"/>
      <c r="BK4" s="773"/>
      <c r="BL4" s="773"/>
      <c r="BM4" s="773"/>
      <c r="BN4" s="766"/>
      <c r="BS4" s="2" t="s">
        <v>1054</v>
      </c>
      <c r="BT4"/>
      <c r="BU4"/>
      <c r="BV4" s="61" t="s">
        <v>1043</v>
      </c>
      <c r="BW4" s="61" t="s">
        <v>1044</v>
      </c>
      <c r="BX4" s="61" t="s">
        <v>1045</v>
      </c>
      <c r="BY4" s="61" t="s">
        <v>1046</v>
      </c>
      <c r="BZ4" s="61" t="s">
        <v>1047</v>
      </c>
      <c r="CA4" s="61" t="s">
        <v>456</v>
      </c>
      <c r="CB4" s="61" t="s">
        <v>1048</v>
      </c>
      <c r="CC4" s="61" t="s">
        <v>1049</v>
      </c>
      <c r="CD4" s="61" t="s">
        <v>1050</v>
      </c>
      <c r="CE4" s="61" t="s">
        <v>363</v>
      </c>
      <c r="CF4" s="61" t="s">
        <v>1051</v>
      </c>
      <c r="CG4" s="61" t="s">
        <v>1052</v>
      </c>
      <c r="CH4" s="61" t="s">
        <v>1053</v>
      </c>
    </row>
    <row r="5" spans="1:86" ht="14.5">
      <c r="A5" s="157"/>
      <c r="B5" s="157"/>
      <c r="C5" s="157"/>
      <c r="D5" s="768" t="s">
        <v>2155</v>
      </c>
      <c r="E5" s="768" t="s">
        <v>2155</v>
      </c>
      <c r="F5" s="768" t="s">
        <v>2158</v>
      </c>
      <c r="G5" s="768" t="s">
        <v>2158</v>
      </c>
      <c r="H5" s="768" t="s">
        <v>2211</v>
      </c>
      <c r="I5" s="768" t="s">
        <v>2155</v>
      </c>
      <c r="J5" s="768" t="s">
        <v>2158</v>
      </c>
      <c r="K5" s="767" t="s">
        <v>2155</v>
      </c>
      <c r="L5" s="767" t="s">
        <v>2212</v>
      </c>
      <c r="M5" s="767" t="s">
        <v>2212</v>
      </c>
      <c r="N5" s="768" t="s">
        <v>2155</v>
      </c>
      <c r="O5" s="768" t="s">
        <v>2155</v>
      </c>
      <c r="P5" s="768" t="s">
        <v>2155</v>
      </c>
      <c r="Q5" s="768" t="s">
        <v>2155</v>
      </c>
      <c r="S5" s="771" t="s">
        <v>2213</v>
      </c>
      <c r="T5" s="771">
        <v>1</v>
      </c>
      <c r="U5" s="771">
        <v>1</v>
      </c>
      <c r="V5" s="768" t="s">
        <v>2156</v>
      </c>
      <c r="W5" s="904" t="s">
        <v>1404</v>
      </c>
      <c r="Y5" s="761" t="s">
        <v>2207</v>
      </c>
      <c r="Z5" s="761" t="s">
        <v>2156</v>
      </c>
      <c r="AA5" s="761" t="s">
        <v>1404</v>
      </c>
      <c r="AD5" s="767"/>
      <c r="AF5" s="768" t="s">
        <v>2214</v>
      </c>
      <c r="AG5" s="736" t="s">
        <v>2215</v>
      </c>
      <c r="AH5" s="736" t="s">
        <v>43</v>
      </c>
      <c r="AI5" s="736" t="s">
        <v>3377</v>
      </c>
      <c r="AJ5" s="736" t="s">
        <v>3379</v>
      </c>
      <c r="AK5" s="732"/>
      <c r="AL5" s="732"/>
      <c r="AM5" s="740" t="s">
        <v>2216</v>
      </c>
      <c r="AN5" s="755">
        <v>15</v>
      </c>
      <c r="AO5" s="754">
        <v>12.5</v>
      </c>
      <c r="AP5" s="769"/>
      <c r="AQ5" s="769"/>
      <c r="AR5" s="982">
        <v>600</v>
      </c>
      <c r="AS5" s="744" t="s">
        <v>288</v>
      </c>
      <c r="AT5" s="769">
        <v>8</v>
      </c>
      <c r="AU5" s="769" t="s">
        <v>288</v>
      </c>
      <c r="AV5" s="767" t="s">
        <v>288</v>
      </c>
      <c r="AX5" s="1954" t="s">
        <v>2217</v>
      </c>
      <c r="AY5" s="1955">
        <v>15</v>
      </c>
      <c r="AZ5" s="1956">
        <v>12.5</v>
      </c>
      <c r="BA5" s="1956"/>
      <c r="BB5" s="1956"/>
      <c r="BC5" s="1957">
        <v>0.55000000000000004</v>
      </c>
      <c r="BD5" s="1955">
        <v>16</v>
      </c>
      <c r="BE5" s="1956">
        <v>13</v>
      </c>
      <c r="BF5" s="1956"/>
      <c r="BG5" s="1956"/>
      <c r="BH5" s="1958">
        <v>230</v>
      </c>
      <c r="BI5" s="1959"/>
      <c r="BJ5" s="1959"/>
      <c r="BK5" s="1955">
        <v>13</v>
      </c>
      <c r="BL5" s="2010">
        <v>11.2</v>
      </c>
      <c r="BM5" s="1956"/>
      <c r="BN5" s="1960"/>
      <c r="BS5" s="2" t="s">
        <v>2218</v>
      </c>
      <c r="BT5"/>
      <c r="BU5"/>
      <c r="BV5" s="29">
        <v>8446</v>
      </c>
      <c r="BW5" s="29" t="s">
        <v>1055</v>
      </c>
      <c r="BX5" s="29" t="s">
        <v>1056</v>
      </c>
      <c r="BY5" s="29" t="s">
        <v>1057</v>
      </c>
      <c r="BZ5" s="29" t="s">
        <v>1058</v>
      </c>
      <c r="CA5" s="29" t="s">
        <v>1059</v>
      </c>
      <c r="CB5" s="29" t="s">
        <v>1060</v>
      </c>
      <c r="CC5" s="29" t="s">
        <v>1061</v>
      </c>
      <c r="CD5" s="29" t="s">
        <v>1062</v>
      </c>
      <c r="CE5" s="29" t="s">
        <v>1063</v>
      </c>
      <c r="CF5" s="29" t="s">
        <v>1064</v>
      </c>
      <c r="CG5" s="29" t="s">
        <v>1052</v>
      </c>
      <c r="CH5" s="29" t="s">
        <v>1065</v>
      </c>
    </row>
    <row r="6" spans="1:86" ht="14.5">
      <c r="A6" s="157"/>
      <c r="B6" s="157"/>
      <c r="C6" s="157"/>
      <c r="D6" s="768"/>
      <c r="E6" s="768"/>
      <c r="F6" s="768" t="s">
        <v>2159</v>
      </c>
      <c r="G6" s="768" t="s">
        <v>2159</v>
      </c>
      <c r="H6" s="768" t="s">
        <v>2219</v>
      </c>
      <c r="I6" s="768"/>
      <c r="J6" s="768" t="s">
        <v>2159</v>
      </c>
      <c r="K6" s="767"/>
      <c r="L6" s="767"/>
      <c r="M6" s="767"/>
      <c r="N6" s="768"/>
      <c r="O6" s="768"/>
      <c r="P6" s="768"/>
      <c r="Q6" s="768"/>
      <c r="S6" s="771" t="s">
        <v>2220</v>
      </c>
      <c r="T6" s="771">
        <v>1</v>
      </c>
      <c r="U6" s="771">
        <v>1</v>
      </c>
      <c r="V6" s="768" t="s">
        <v>2221</v>
      </c>
      <c r="W6" s="904" t="s">
        <v>1404</v>
      </c>
      <c r="Y6" s="761" t="s">
        <v>2207</v>
      </c>
      <c r="Z6" s="761" t="s">
        <v>2222</v>
      </c>
      <c r="AA6" s="761" t="s">
        <v>1404</v>
      </c>
      <c r="AD6" s="767"/>
      <c r="AF6" s="768" t="s">
        <v>2223</v>
      </c>
      <c r="AG6" s="736" t="s">
        <v>2168</v>
      </c>
      <c r="AH6" s="736" t="s">
        <v>43</v>
      </c>
      <c r="AI6" s="736" t="s">
        <v>3377</v>
      </c>
      <c r="AJ6" s="736" t="s">
        <v>3380</v>
      </c>
      <c r="AK6" s="732"/>
      <c r="AL6" s="732"/>
      <c r="AM6" s="756" t="s">
        <v>2224</v>
      </c>
      <c r="AN6" s="755">
        <v>15</v>
      </c>
      <c r="AO6" s="754">
        <v>12.5</v>
      </c>
      <c r="AP6" s="769">
        <v>8.5</v>
      </c>
      <c r="AQ6" s="769"/>
      <c r="AR6" s="982">
        <v>600</v>
      </c>
      <c r="AS6" s="744" t="s">
        <v>288</v>
      </c>
      <c r="AT6" s="769">
        <v>8</v>
      </c>
      <c r="AU6" s="769" t="s">
        <v>288</v>
      </c>
      <c r="AV6" s="767" t="s">
        <v>288</v>
      </c>
      <c r="AX6" s="1961" t="s">
        <v>2220</v>
      </c>
      <c r="AY6" s="1962">
        <v>16</v>
      </c>
      <c r="AZ6" s="1963">
        <v>13</v>
      </c>
      <c r="BA6" s="1963"/>
      <c r="BB6" s="1963"/>
      <c r="BC6" s="1964">
        <v>0.55000000000000004</v>
      </c>
      <c r="BD6" s="1962">
        <v>18</v>
      </c>
      <c r="BE6" s="1963">
        <v>13</v>
      </c>
      <c r="BF6" s="1963"/>
      <c r="BG6" s="1963"/>
      <c r="BH6" s="1965">
        <v>230</v>
      </c>
      <c r="BI6" s="1966"/>
      <c r="BJ6" s="1966"/>
      <c r="BK6" s="1962">
        <v>13</v>
      </c>
      <c r="BL6" s="1963">
        <f t="shared" ref="BL6:BL7" si="0">(1.12*BK6)-(0.02*BK6^2)</f>
        <v>11.180000000000003</v>
      </c>
      <c r="BM6" s="1963"/>
      <c r="BN6" s="1967"/>
      <c r="BT6"/>
      <c r="BU6"/>
      <c r="BV6" s="29">
        <v>8448</v>
      </c>
      <c r="BW6" s="29"/>
      <c r="BX6" s="29" t="s">
        <v>1058</v>
      </c>
      <c r="BY6" s="29"/>
      <c r="BZ6" s="29" t="s">
        <v>1066</v>
      </c>
      <c r="CA6" s="29" t="s">
        <v>1067</v>
      </c>
      <c r="CB6" s="29" t="s">
        <v>1068</v>
      </c>
      <c r="CC6" s="29" t="s">
        <v>1069</v>
      </c>
      <c r="CD6" s="29"/>
      <c r="CE6" s="29"/>
      <c r="CF6" s="29"/>
      <c r="CG6" s="29"/>
      <c r="CH6" s="29"/>
    </row>
    <row r="7" spans="1:86" ht="14.5">
      <c r="A7" s="157"/>
      <c r="B7" s="739" t="s">
        <v>2187</v>
      </c>
      <c r="C7" s="157"/>
      <c r="D7" s="763"/>
      <c r="E7" s="763"/>
      <c r="F7" s="763"/>
      <c r="G7" s="763"/>
      <c r="H7" s="763" t="s">
        <v>2225</v>
      </c>
      <c r="I7" s="763"/>
      <c r="J7" s="763"/>
      <c r="K7" s="766"/>
      <c r="L7" s="766"/>
      <c r="M7" s="766"/>
      <c r="N7" s="763"/>
      <c r="O7" s="763"/>
      <c r="P7" s="763"/>
      <c r="Q7" s="763"/>
      <c r="S7" s="771" t="s">
        <v>2226</v>
      </c>
      <c r="T7" s="771">
        <v>1</v>
      </c>
      <c r="U7" s="771">
        <v>1</v>
      </c>
      <c r="V7" s="768" t="s">
        <v>2227</v>
      </c>
      <c r="W7" s="904" t="s">
        <v>1404</v>
      </c>
      <c r="Y7" s="761" t="s">
        <v>2207</v>
      </c>
      <c r="Z7" s="761" t="s">
        <v>2228</v>
      </c>
      <c r="AA7" s="761" t="s">
        <v>1404</v>
      </c>
      <c r="AD7" s="767"/>
      <c r="AF7" s="768" t="s">
        <v>2229</v>
      </c>
      <c r="AG7" s="736" t="s">
        <v>2230</v>
      </c>
      <c r="AH7" s="736" t="s">
        <v>43</v>
      </c>
      <c r="AI7" s="736" t="s">
        <v>3377</v>
      </c>
      <c r="AJ7" s="736" t="s">
        <v>3381</v>
      </c>
      <c r="AK7" s="732"/>
      <c r="AL7" s="732"/>
      <c r="AM7" s="740" t="s">
        <v>2231</v>
      </c>
      <c r="AN7" s="755">
        <v>16</v>
      </c>
      <c r="AO7" s="754">
        <v>13</v>
      </c>
      <c r="AP7" s="769"/>
      <c r="AQ7" s="769"/>
      <c r="AR7" s="982">
        <v>300</v>
      </c>
      <c r="AS7" s="744" t="s">
        <v>288</v>
      </c>
      <c r="AT7" s="769">
        <v>9</v>
      </c>
      <c r="AU7" s="769" t="s">
        <v>288</v>
      </c>
      <c r="AV7" s="767" t="s">
        <v>288</v>
      </c>
      <c r="AX7" s="1961" t="s">
        <v>2226</v>
      </c>
      <c r="AY7" s="1962">
        <v>16</v>
      </c>
      <c r="AZ7" s="1963">
        <v>12</v>
      </c>
      <c r="BA7" s="1963"/>
      <c r="BB7" s="1963"/>
      <c r="BC7" s="1964">
        <v>0.55000000000000004</v>
      </c>
      <c r="BD7" s="1962">
        <v>17</v>
      </c>
      <c r="BE7" s="1963">
        <v>12.5</v>
      </c>
      <c r="BF7" s="1963"/>
      <c r="BG7" s="1963"/>
      <c r="BH7" s="1965">
        <v>230</v>
      </c>
      <c r="BI7" s="1966"/>
      <c r="BJ7" s="1966"/>
      <c r="BK7" s="1962">
        <v>14</v>
      </c>
      <c r="BL7" s="1963">
        <f t="shared" si="0"/>
        <v>11.760000000000002</v>
      </c>
      <c r="BM7" s="1963"/>
      <c r="BN7" s="1967"/>
      <c r="BS7" t="s">
        <v>455</v>
      </c>
      <c r="BT7"/>
      <c r="BU7"/>
      <c r="BV7" s="29">
        <v>8476</v>
      </c>
      <c r="BW7" s="29"/>
      <c r="BX7" s="29" t="s">
        <v>1066</v>
      </c>
      <c r="BY7" s="29"/>
      <c r="BZ7" s="29" t="s">
        <v>1070</v>
      </c>
      <c r="CA7" s="29" t="s">
        <v>1071</v>
      </c>
      <c r="CB7" s="29" t="s">
        <v>1072</v>
      </c>
      <c r="CC7" s="29" t="s">
        <v>1073</v>
      </c>
      <c r="CD7" s="29"/>
      <c r="CE7" s="29"/>
      <c r="CF7" s="29"/>
      <c r="CG7" s="29"/>
      <c r="CH7" s="29"/>
    </row>
    <row r="8" spans="1:86" ht="14.5">
      <c r="A8" s="157"/>
      <c r="B8" s="705" t="s">
        <v>3338</v>
      </c>
      <c r="C8" s="157"/>
      <c r="S8" s="771" t="s">
        <v>2232</v>
      </c>
      <c r="T8" s="771">
        <v>1</v>
      </c>
      <c r="U8" s="771">
        <v>1</v>
      </c>
      <c r="V8" s="768" t="s">
        <v>2221</v>
      </c>
      <c r="W8" s="904" t="s">
        <v>1404</v>
      </c>
      <c r="Y8" s="761" t="s">
        <v>2207</v>
      </c>
      <c r="Z8" s="761" t="s">
        <v>2222</v>
      </c>
      <c r="AA8" s="761" t="s">
        <v>1404</v>
      </c>
      <c r="AD8" s="767"/>
      <c r="AF8" s="768" t="s">
        <v>2233</v>
      </c>
      <c r="AG8" s="736" t="s">
        <v>2234</v>
      </c>
      <c r="AH8" s="736" t="s">
        <v>43</v>
      </c>
      <c r="AI8" s="736" t="s">
        <v>3377</v>
      </c>
      <c r="AJ8" s="736" t="s">
        <v>3382</v>
      </c>
      <c r="AK8" s="732"/>
      <c r="AL8" s="732"/>
      <c r="AM8" s="740" t="s">
        <v>2235</v>
      </c>
      <c r="AN8" s="755">
        <v>16</v>
      </c>
      <c r="AO8" s="754">
        <v>13</v>
      </c>
      <c r="AP8" s="769"/>
      <c r="AQ8" s="769"/>
      <c r="AR8" s="982">
        <v>300</v>
      </c>
      <c r="AS8" s="744">
        <v>10</v>
      </c>
      <c r="AT8" s="769">
        <v>9.4</v>
      </c>
      <c r="AU8" s="769" t="s">
        <v>288</v>
      </c>
      <c r="AV8" s="767" t="s">
        <v>288</v>
      </c>
      <c r="AX8" s="1961" t="s">
        <v>2232</v>
      </c>
      <c r="AY8" s="1962">
        <v>14.6</v>
      </c>
      <c r="AZ8" s="1963">
        <v>12</v>
      </c>
      <c r="BA8" s="1963"/>
      <c r="BB8" s="1963"/>
      <c r="BC8" s="1964">
        <v>0.55000000000000004</v>
      </c>
      <c r="BD8" s="1962">
        <v>17.8</v>
      </c>
      <c r="BE8" s="1963">
        <v>12.4</v>
      </c>
      <c r="BF8" s="1963"/>
      <c r="BG8" s="1963"/>
      <c r="BH8" s="1965">
        <v>110</v>
      </c>
      <c r="BI8" s="1966"/>
      <c r="BJ8" s="1966"/>
      <c r="BK8" s="2011">
        <v>14.6</v>
      </c>
      <c r="BL8" s="2012">
        <v>12.1</v>
      </c>
      <c r="BM8" s="1963"/>
      <c r="BN8" s="1967"/>
      <c r="BS8" s="61" t="s">
        <v>1042</v>
      </c>
      <c r="BT8" s="61" t="s">
        <v>1054</v>
      </c>
      <c r="BU8"/>
      <c r="BV8" s="29">
        <v>8600</v>
      </c>
      <c r="BW8" s="29"/>
      <c r="BX8" s="29" t="s">
        <v>1070</v>
      </c>
      <c r="BY8" s="29"/>
      <c r="BZ8" s="29" t="s">
        <v>1074</v>
      </c>
      <c r="CA8" s="29"/>
      <c r="CB8" s="29" t="s">
        <v>1075</v>
      </c>
      <c r="CC8" s="29" t="s">
        <v>1076</v>
      </c>
      <c r="CD8" s="29"/>
      <c r="CE8" s="29"/>
      <c r="CF8" s="29"/>
      <c r="CG8" s="29"/>
      <c r="CH8" s="29"/>
    </row>
    <row r="9" spans="1:86" ht="14.5">
      <c r="A9" s="157"/>
      <c r="B9" s="157"/>
      <c r="C9" s="157"/>
      <c r="D9" s="144" t="s">
        <v>2236</v>
      </c>
      <c r="E9" s="144"/>
      <c r="F9" s="144"/>
      <c r="G9" s="144"/>
      <c r="H9" s="144"/>
      <c r="S9" s="723" t="s">
        <v>2237</v>
      </c>
      <c r="T9" s="723">
        <v>1</v>
      </c>
      <c r="U9" s="723">
        <v>1</v>
      </c>
      <c r="V9" s="768" t="s">
        <v>2227</v>
      </c>
      <c r="W9" s="904" t="s">
        <v>1404</v>
      </c>
      <c r="X9" s="721"/>
      <c r="Y9" s="721" t="s">
        <v>2207</v>
      </c>
      <c r="Z9" s="721" t="s">
        <v>2222</v>
      </c>
      <c r="AA9" s="721" t="s">
        <v>2228</v>
      </c>
      <c r="AB9" s="721" t="s">
        <v>1404</v>
      </c>
      <c r="AC9" s="721"/>
      <c r="AD9" s="722"/>
      <c r="AF9" s="768" t="s">
        <v>2238</v>
      </c>
      <c r="AG9" s="736" t="s">
        <v>2169</v>
      </c>
      <c r="AH9" s="736" t="s">
        <v>43</v>
      </c>
      <c r="AI9" s="736" t="s">
        <v>3377</v>
      </c>
      <c r="AJ9" s="736" t="s">
        <v>3383</v>
      </c>
      <c r="AK9" s="732"/>
      <c r="AL9" s="732"/>
      <c r="AM9" s="740" t="s">
        <v>2239</v>
      </c>
      <c r="AN9" s="755">
        <v>16</v>
      </c>
      <c r="AO9" s="754">
        <v>12</v>
      </c>
      <c r="AP9" s="769"/>
      <c r="AQ9" s="769"/>
      <c r="AR9" s="982">
        <v>300</v>
      </c>
      <c r="AS9" s="744" t="s">
        <v>288</v>
      </c>
      <c r="AT9" s="769">
        <v>9</v>
      </c>
      <c r="AU9" s="769" t="s">
        <v>288</v>
      </c>
      <c r="AV9" s="767" t="s">
        <v>288</v>
      </c>
      <c r="AX9" s="1961" t="s">
        <v>2237</v>
      </c>
      <c r="AY9" s="1962">
        <v>14.6</v>
      </c>
      <c r="AZ9" s="1963">
        <v>12</v>
      </c>
      <c r="BA9" s="1963"/>
      <c r="BB9" s="1963"/>
      <c r="BC9" s="1964">
        <v>0.55000000000000004</v>
      </c>
      <c r="BD9" s="1962">
        <v>17.8</v>
      </c>
      <c r="BE9" s="1963">
        <v>12.4</v>
      </c>
      <c r="BF9" s="1963"/>
      <c r="BG9" s="1963"/>
      <c r="BH9" s="1965">
        <v>110</v>
      </c>
      <c r="BI9" s="1966"/>
      <c r="BJ9" s="1966"/>
      <c r="BK9" s="2011">
        <v>14.6</v>
      </c>
      <c r="BL9" s="2012">
        <v>12.1</v>
      </c>
      <c r="BM9" s="1963"/>
      <c r="BN9" s="1967"/>
      <c r="BS9" s="2" t="s">
        <v>1043</v>
      </c>
      <c r="BT9" s="2" t="s">
        <v>1047</v>
      </c>
      <c r="BU9"/>
      <c r="BV9" s="29">
        <v>8620</v>
      </c>
      <c r="BW9" s="29"/>
      <c r="BX9" s="29"/>
      <c r="BY9" s="29"/>
      <c r="BZ9" s="29"/>
      <c r="CA9" s="29"/>
      <c r="CB9" s="29" t="s">
        <v>1077</v>
      </c>
      <c r="CC9" s="29"/>
      <c r="CD9" s="29"/>
      <c r="CE9" s="29"/>
      <c r="CF9" s="29"/>
      <c r="CG9" s="29"/>
      <c r="CH9" s="29"/>
    </row>
    <row r="10" spans="1:86" ht="14.5">
      <c r="A10" s="157"/>
      <c r="B10" s="739" t="s">
        <v>2240</v>
      </c>
      <c r="C10" s="157"/>
      <c r="D10" s="712" t="s">
        <v>2188</v>
      </c>
      <c r="E10" s="712" t="s">
        <v>2156</v>
      </c>
      <c r="F10" s="712" t="s">
        <v>2189</v>
      </c>
      <c r="G10" s="712" t="s">
        <v>2190</v>
      </c>
      <c r="H10" s="708" t="s">
        <v>2191</v>
      </c>
      <c r="I10" s="708" t="s">
        <v>2192</v>
      </c>
      <c r="J10" s="712" t="s">
        <v>2193</v>
      </c>
      <c r="K10" s="712" t="s">
        <v>2194</v>
      </c>
      <c r="L10" s="712" t="s">
        <v>2195</v>
      </c>
      <c r="M10" s="712" t="s">
        <v>2196</v>
      </c>
      <c r="N10" s="712" t="s">
        <v>2197</v>
      </c>
      <c r="O10" s="712" t="s">
        <v>1342</v>
      </c>
      <c r="P10" s="712" t="s">
        <v>2198</v>
      </c>
      <c r="Q10" s="712" t="s">
        <v>2199</v>
      </c>
      <c r="S10" s="723" t="s">
        <v>2241</v>
      </c>
      <c r="T10" s="723">
        <v>1</v>
      </c>
      <c r="U10" s="723">
        <v>1</v>
      </c>
      <c r="V10" s="768" t="s">
        <v>2221</v>
      </c>
      <c r="W10" s="904" t="s">
        <v>1404</v>
      </c>
      <c r="X10" s="721"/>
      <c r="Y10" s="721" t="s">
        <v>2207</v>
      </c>
      <c r="Z10" s="721" t="s">
        <v>2222</v>
      </c>
      <c r="AA10" s="721" t="s">
        <v>2228</v>
      </c>
      <c r="AB10" s="721" t="s">
        <v>1404</v>
      </c>
      <c r="AC10" s="721"/>
      <c r="AD10" s="722"/>
      <c r="AF10" s="768" t="s">
        <v>2242</v>
      </c>
      <c r="AG10" s="736" t="s">
        <v>2243</v>
      </c>
      <c r="AH10" s="736" t="s">
        <v>43</v>
      </c>
      <c r="AI10" s="736" t="s">
        <v>3377</v>
      </c>
      <c r="AJ10" s="736" t="s">
        <v>3384</v>
      </c>
      <c r="AK10" s="732"/>
      <c r="AL10" s="732"/>
      <c r="AM10" s="740" t="s">
        <v>2244</v>
      </c>
      <c r="AN10" s="755">
        <v>16</v>
      </c>
      <c r="AO10" s="754">
        <v>12</v>
      </c>
      <c r="AP10" s="769"/>
      <c r="AQ10" s="769"/>
      <c r="AR10" s="982">
        <v>300</v>
      </c>
      <c r="AS10" s="744">
        <v>10</v>
      </c>
      <c r="AT10" s="769">
        <v>9.4</v>
      </c>
      <c r="AU10" s="769" t="s">
        <v>288</v>
      </c>
      <c r="AV10" s="767" t="s">
        <v>288</v>
      </c>
      <c r="AX10" s="1961" t="s">
        <v>2241</v>
      </c>
      <c r="AY10" s="1962">
        <v>14</v>
      </c>
      <c r="AZ10" s="1963">
        <v>12</v>
      </c>
      <c r="BA10" s="1963"/>
      <c r="BB10" s="1963"/>
      <c r="BC10" s="1964">
        <v>0.55000000000000004</v>
      </c>
      <c r="BD10" s="1962">
        <v>16.8</v>
      </c>
      <c r="BE10" s="1963">
        <v>12</v>
      </c>
      <c r="BF10" s="1963"/>
      <c r="BG10" s="1963"/>
      <c r="BH10" s="1965">
        <v>100</v>
      </c>
      <c r="BI10" s="1968"/>
      <c r="BJ10" s="1965"/>
      <c r="BK10" s="2012">
        <v>14</v>
      </c>
      <c r="BL10" s="2012">
        <v>11.8</v>
      </c>
      <c r="BM10" s="1963"/>
      <c r="BN10" s="1967"/>
      <c r="BS10" s="2" t="s">
        <v>1044</v>
      </c>
      <c r="BT10" s="2" t="s">
        <v>1078</v>
      </c>
      <c r="BU10"/>
      <c r="BV10" s="29">
        <v>8910</v>
      </c>
      <c r="BW10" s="29"/>
      <c r="BX10" s="29"/>
      <c r="BY10" s="29"/>
      <c r="BZ10" s="29"/>
      <c r="CA10" s="29"/>
      <c r="CB10" s="29" t="s">
        <v>1077</v>
      </c>
      <c r="CC10" s="29"/>
      <c r="CD10" s="29"/>
      <c r="CE10" s="29"/>
      <c r="CF10" s="29"/>
      <c r="CG10" s="29"/>
      <c r="CH10" s="29"/>
    </row>
    <row r="11" spans="1:86" ht="14.5">
      <c r="A11" s="157"/>
      <c r="B11" s="705" t="s">
        <v>283</v>
      </c>
      <c r="C11" s="157"/>
      <c r="D11" s="768"/>
      <c r="E11" s="768"/>
      <c r="F11" s="768"/>
      <c r="G11" s="771"/>
      <c r="H11" s="737"/>
      <c r="J11" s="768"/>
      <c r="K11" s="768"/>
      <c r="L11" s="768"/>
      <c r="M11" s="768"/>
      <c r="N11" s="768"/>
      <c r="O11" s="768"/>
      <c r="P11" s="768"/>
      <c r="Q11" s="768"/>
      <c r="S11" s="723" t="s">
        <v>2245</v>
      </c>
      <c r="T11" s="723">
        <v>1</v>
      </c>
      <c r="U11" s="723">
        <v>1</v>
      </c>
      <c r="V11" s="768" t="s">
        <v>2227</v>
      </c>
      <c r="W11" s="904" t="s">
        <v>1404</v>
      </c>
      <c r="X11" s="721"/>
      <c r="Y11" s="721" t="s">
        <v>2207</v>
      </c>
      <c r="Z11" s="721" t="s">
        <v>2246</v>
      </c>
      <c r="AA11" s="721" t="s">
        <v>2228</v>
      </c>
      <c r="AB11" s="721" t="s">
        <v>1404</v>
      </c>
      <c r="AC11" s="721"/>
      <c r="AD11" s="722"/>
      <c r="AF11" s="768" t="s">
        <v>2247</v>
      </c>
      <c r="AG11" s="736" t="s">
        <v>2248</v>
      </c>
      <c r="AH11" s="736" t="s">
        <v>43</v>
      </c>
      <c r="AI11" s="736" t="s">
        <v>3377</v>
      </c>
      <c r="AJ11" s="736" t="s">
        <v>3385</v>
      </c>
      <c r="AK11" s="732"/>
      <c r="AL11" s="732"/>
      <c r="AM11" s="740" t="s">
        <v>2249</v>
      </c>
      <c r="AN11" s="755">
        <v>13.8</v>
      </c>
      <c r="AO11" s="769">
        <v>12</v>
      </c>
      <c r="AP11" s="769"/>
      <c r="AQ11" s="769"/>
      <c r="AR11" s="982">
        <v>400</v>
      </c>
      <c r="AS11" s="744" t="s">
        <v>288</v>
      </c>
      <c r="AT11" s="769">
        <v>9</v>
      </c>
      <c r="AU11" s="769" t="s">
        <v>288</v>
      </c>
      <c r="AV11" s="767" t="s">
        <v>288</v>
      </c>
      <c r="AX11" s="1961" t="s">
        <v>2245</v>
      </c>
      <c r="AY11" s="1962">
        <v>14</v>
      </c>
      <c r="AZ11" s="1963">
        <v>12</v>
      </c>
      <c r="BA11" s="1963"/>
      <c r="BB11" s="1963"/>
      <c r="BC11" s="1964">
        <v>0.55000000000000004</v>
      </c>
      <c r="BD11" s="1962">
        <v>16.8</v>
      </c>
      <c r="BE11" s="1963">
        <v>12</v>
      </c>
      <c r="BF11" s="1963"/>
      <c r="BG11" s="1963"/>
      <c r="BH11" s="1965">
        <v>100</v>
      </c>
      <c r="BI11" s="1968"/>
      <c r="BJ11" s="1965"/>
      <c r="BK11" s="2012">
        <v>14</v>
      </c>
      <c r="BL11" s="2012">
        <v>11.8</v>
      </c>
      <c r="BM11" s="1963"/>
      <c r="BN11" s="1967"/>
      <c r="BS11" s="2" t="s">
        <v>1045</v>
      </c>
      <c r="BT11" s="2" t="s">
        <v>1079</v>
      </c>
      <c r="BU11"/>
      <c r="BV11" s="29" t="s">
        <v>1083</v>
      </c>
      <c r="BW11" s="29"/>
      <c r="BX11" s="29"/>
      <c r="BY11" s="29"/>
      <c r="BZ11" s="29"/>
      <c r="CA11" s="29"/>
      <c r="CB11" s="29" t="s">
        <v>1080</v>
      </c>
      <c r="CC11" s="29"/>
      <c r="CD11" s="29"/>
      <c r="CE11" s="29"/>
      <c r="CF11" s="29"/>
      <c r="CG11" s="29"/>
      <c r="CH11" s="29"/>
    </row>
    <row r="12" spans="1:86" ht="14.5">
      <c r="A12" s="157"/>
      <c r="B12" s="705" t="s">
        <v>1413</v>
      </c>
      <c r="C12" s="157"/>
      <c r="D12" s="768" t="s">
        <v>2250</v>
      </c>
      <c r="E12" s="768" t="s">
        <v>2157</v>
      </c>
      <c r="F12" s="768" t="s">
        <v>2157</v>
      </c>
      <c r="G12" s="761" t="s">
        <v>2163</v>
      </c>
      <c r="H12" s="768" t="s">
        <v>2251</v>
      </c>
      <c r="I12" s="767" t="s">
        <v>2157</v>
      </c>
      <c r="J12" s="768" t="s">
        <v>2157</v>
      </c>
      <c r="K12" s="768" t="s">
        <v>2251</v>
      </c>
      <c r="L12" s="768" t="s">
        <v>2157</v>
      </c>
      <c r="M12" s="768" t="s">
        <v>2251</v>
      </c>
      <c r="N12" s="768" t="s">
        <v>2252</v>
      </c>
      <c r="O12" s="768" t="s">
        <v>2252</v>
      </c>
      <c r="P12" s="768" t="s">
        <v>2163</v>
      </c>
      <c r="Q12" s="768" t="s">
        <v>2163</v>
      </c>
      <c r="S12" s="723" t="s">
        <v>2253</v>
      </c>
      <c r="T12" s="723">
        <v>1</v>
      </c>
      <c r="U12" s="723">
        <v>1</v>
      </c>
      <c r="V12" s="768" t="s">
        <v>2221</v>
      </c>
      <c r="W12" s="904" t="s">
        <v>1404</v>
      </c>
      <c r="X12" s="721"/>
      <c r="Y12" s="721" t="s">
        <v>2207</v>
      </c>
      <c r="Z12" s="721" t="s">
        <v>2246</v>
      </c>
      <c r="AA12" s="721" t="s">
        <v>2228</v>
      </c>
      <c r="AB12" s="721" t="s">
        <v>1404</v>
      </c>
      <c r="AC12" s="721"/>
      <c r="AD12" s="722"/>
      <c r="AF12" s="768" t="s">
        <v>2254</v>
      </c>
      <c r="AG12" s="736" t="s">
        <v>2170</v>
      </c>
      <c r="AH12" s="736" t="s">
        <v>43</v>
      </c>
      <c r="AI12" s="736" t="s">
        <v>3377</v>
      </c>
      <c r="AJ12" s="736" t="s">
        <v>3386</v>
      </c>
      <c r="AK12" s="732"/>
      <c r="AL12" s="732"/>
      <c r="AM12" s="740" t="s">
        <v>2255</v>
      </c>
      <c r="AN12" s="755">
        <v>13.8</v>
      </c>
      <c r="AO12" s="769">
        <v>12</v>
      </c>
      <c r="AP12" s="769"/>
      <c r="AQ12" s="769"/>
      <c r="AR12" s="982">
        <v>400</v>
      </c>
      <c r="AS12" s="744">
        <v>10.3</v>
      </c>
      <c r="AT12" s="753">
        <v>10.1</v>
      </c>
      <c r="AU12" s="769" t="s">
        <v>288</v>
      </c>
      <c r="AV12" s="767" t="s">
        <v>288</v>
      </c>
      <c r="AX12" s="1961" t="s">
        <v>2253</v>
      </c>
      <c r="AY12" s="1962">
        <v>13</v>
      </c>
      <c r="AZ12" s="1963">
        <v>10.6</v>
      </c>
      <c r="BA12" s="1963"/>
      <c r="BB12" s="1963"/>
      <c r="BC12" s="1964">
        <v>0.55000000000000004</v>
      </c>
      <c r="BD12" s="1962">
        <v>14.3</v>
      </c>
      <c r="BE12" s="1963">
        <v>10.6</v>
      </c>
      <c r="BF12" s="1963"/>
      <c r="BG12" s="1963"/>
      <c r="BH12" s="1965">
        <v>90</v>
      </c>
      <c r="BI12" s="1968"/>
      <c r="BJ12" s="1965"/>
      <c r="BK12" s="2012">
        <v>13</v>
      </c>
      <c r="BL12" s="2012">
        <v>11.2</v>
      </c>
      <c r="BM12" s="1963"/>
      <c r="BN12" s="1967"/>
      <c r="BS12" s="2" t="s">
        <v>1046</v>
      </c>
      <c r="BT12" s="2" t="s">
        <v>1081</v>
      </c>
      <c r="BU12"/>
      <c r="BV12" s="29" t="s">
        <v>1085</v>
      </c>
      <c r="BW12" s="29"/>
      <c r="BX12" s="29"/>
      <c r="BY12" s="29"/>
      <c r="BZ12" s="29"/>
      <c r="CA12" s="29"/>
      <c r="CB12" s="29" t="s">
        <v>1855</v>
      </c>
      <c r="CC12" s="29"/>
      <c r="CD12" s="29"/>
      <c r="CE12" s="29"/>
      <c r="CF12" s="29"/>
      <c r="CG12" s="29"/>
      <c r="CH12" s="29"/>
    </row>
    <row r="13" spans="1:86" ht="14.5">
      <c r="A13" s="157"/>
      <c r="B13" s="705" t="s">
        <v>281</v>
      </c>
      <c r="C13" s="157"/>
      <c r="D13" s="768"/>
      <c r="E13" s="768"/>
      <c r="F13" s="768" t="s">
        <v>2160</v>
      </c>
      <c r="G13" s="771"/>
      <c r="H13" s="768"/>
      <c r="J13" s="768" t="s">
        <v>2160</v>
      </c>
      <c r="K13" s="768"/>
      <c r="L13" s="768" t="s">
        <v>2160</v>
      </c>
      <c r="M13" s="768"/>
      <c r="N13" s="707" t="s">
        <v>2256</v>
      </c>
      <c r="O13" s="707" t="s">
        <v>2256</v>
      </c>
      <c r="P13" s="707"/>
      <c r="Q13" s="707"/>
      <c r="S13" s="723" t="s">
        <v>2257</v>
      </c>
      <c r="T13" s="723">
        <v>1</v>
      </c>
      <c r="U13" s="723">
        <v>1</v>
      </c>
      <c r="V13" s="768" t="s">
        <v>2227</v>
      </c>
      <c r="W13" s="904" t="s">
        <v>1404</v>
      </c>
      <c r="X13" s="721"/>
      <c r="Y13" s="721" t="s">
        <v>2207</v>
      </c>
      <c r="Z13" s="721" t="s">
        <v>2222</v>
      </c>
      <c r="AA13" s="721" t="s">
        <v>2228</v>
      </c>
      <c r="AB13" s="721" t="s">
        <v>1404</v>
      </c>
      <c r="AC13" s="721"/>
      <c r="AD13" s="722"/>
      <c r="AF13" s="768" t="s">
        <v>2258</v>
      </c>
      <c r="AG13" s="736" t="s">
        <v>2259</v>
      </c>
      <c r="AH13" s="736" t="s">
        <v>43</v>
      </c>
      <c r="AI13" s="736" t="s">
        <v>3377</v>
      </c>
      <c r="AJ13" s="736" t="s">
        <v>3387</v>
      </c>
      <c r="AK13" s="732"/>
      <c r="AL13" s="732"/>
      <c r="AM13" s="740" t="s">
        <v>2260</v>
      </c>
      <c r="AN13" s="755">
        <v>13.8</v>
      </c>
      <c r="AO13" s="769">
        <v>12</v>
      </c>
      <c r="AP13" s="769"/>
      <c r="AQ13" s="769"/>
      <c r="AR13" s="982">
        <v>400</v>
      </c>
      <c r="AS13" s="744">
        <v>10.3</v>
      </c>
      <c r="AT13" s="753">
        <v>10.1</v>
      </c>
      <c r="AU13" s="769" t="s">
        <v>288</v>
      </c>
      <c r="AV13" s="767" t="s">
        <v>288</v>
      </c>
      <c r="AX13" s="1961" t="s">
        <v>2257</v>
      </c>
      <c r="AY13" s="1962">
        <v>13</v>
      </c>
      <c r="AZ13" s="1963">
        <v>10.6</v>
      </c>
      <c r="BA13" s="1963"/>
      <c r="BB13" s="1963"/>
      <c r="BC13" s="1964">
        <v>0.55000000000000004</v>
      </c>
      <c r="BD13" s="1962">
        <v>14.3</v>
      </c>
      <c r="BE13" s="1963">
        <v>10.6</v>
      </c>
      <c r="BF13" s="1963"/>
      <c r="BG13" s="1963"/>
      <c r="BH13" s="1965">
        <v>90</v>
      </c>
      <c r="BI13" s="1968"/>
      <c r="BJ13" s="1965"/>
      <c r="BK13" s="2012">
        <v>13</v>
      </c>
      <c r="BL13" s="2012">
        <v>11.2</v>
      </c>
      <c r="BM13" s="1963"/>
      <c r="BN13" s="1967"/>
      <c r="BS13" s="2" t="s">
        <v>1047</v>
      </c>
      <c r="BT13" s="2" t="s">
        <v>1082</v>
      </c>
      <c r="BU13"/>
      <c r="BV13" s="29" t="s">
        <v>1087</v>
      </c>
      <c r="BW13" s="29"/>
      <c r="BX13" s="29"/>
      <c r="BY13" s="29"/>
      <c r="BZ13" s="29"/>
      <c r="CA13" s="29"/>
      <c r="CB13" s="29" t="s">
        <v>1856</v>
      </c>
      <c r="CC13" s="29"/>
      <c r="CD13" s="29"/>
      <c r="CE13" s="29"/>
      <c r="CF13" s="29"/>
      <c r="CG13" s="29"/>
      <c r="CH13" s="29"/>
    </row>
    <row r="14" spans="1:86" ht="14.5">
      <c r="A14" s="157"/>
      <c r="B14" s="705" t="s">
        <v>282</v>
      </c>
      <c r="C14" s="157"/>
      <c r="D14" s="768"/>
      <c r="E14" s="768"/>
      <c r="F14" s="768" t="s">
        <v>2161</v>
      </c>
      <c r="G14" s="771"/>
      <c r="H14" s="768"/>
      <c r="J14" s="768" t="s">
        <v>2161</v>
      </c>
      <c r="K14" s="768"/>
      <c r="L14" s="768" t="s">
        <v>2161</v>
      </c>
      <c r="M14" s="768"/>
      <c r="N14" s="707" t="s">
        <v>2261</v>
      </c>
      <c r="O14" s="707" t="s">
        <v>2261</v>
      </c>
      <c r="P14" s="707"/>
      <c r="Q14" s="707"/>
      <c r="S14" s="723" t="s">
        <v>2262</v>
      </c>
      <c r="T14" s="723">
        <v>1</v>
      </c>
      <c r="U14" s="723">
        <v>1</v>
      </c>
      <c r="V14" s="768" t="s">
        <v>2221</v>
      </c>
      <c r="W14" s="904" t="s">
        <v>1404</v>
      </c>
      <c r="X14" s="721"/>
      <c r="Y14" s="721" t="s">
        <v>2207</v>
      </c>
      <c r="Z14" s="721" t="s">
        <v>2222</v>
      </c>
      <c r="AA14" s="721" t="s">
        <v>2228</v>
      </c>
      <c r="AB14" s="721" t="s">
        <v>1404</v>
      </c>
      <c r="AC14" s="721"/>
      <c r="AD14" s="722"/>
      <c r="AF14" s="768" t="s">
        <v>2263</v>
      </c>
      <c r="AG14" s="736" t="s">
        <v>2264</v>
      </c>
      <c r="AH14" s="736" t="s">
        <v>43</v>
      </c>
      <c r="AI14" s="736" t="s">
        <v>3377</v>
      </c>
      <c r="AJ14" s="736" t="s">
        <v>3388</v>
      </c>
      <c r="AK14" s="732"/>
      <c r="AL14" s="732"/>
      <c r="AM14" s="740" t="s">
        <v>2265</v>
      </c>
      <c r="AN14" s="755">
        <v>13.8</v>
      </c>
      <c r="AO14" s="769">
        <v>12</v>
      </c>
      <c r="AP14" s="769"/>
      <c r="AQ14" s="769"/>
      <c r="AR14" s="982">
        <v>400</v>
      </c>
      <c r="AS14" s="744">
        <v>10.3</v>
      </c>
      <c r="AT14" s="753">
        <v>10.1</v>
      </c>
      <c r="AU14" s="769" t="s">
        <v>288</v>
      </c>
      <c r="AV14" s="767" t="s">
        <v>288</v>
      </c>
      <c r="AX14" s="1969" t="s">
        <v>2262</v>
      </c>
      <c r="AY14" s="1970">
        <v>11.4</v>
      </c>
      <c r="AZ14" s="1971">
        <v>9.6999999999999993</v>
      </c>
      <c r="BA14" s="1971"/>
      <c r="BB14" s="1971"/>
      <c r="BC14" s="1972">
        <v>0.55000000000000004</v>
      </c>
      <c r="BD14" s="1970">
        <v>12.1</v>
      </c>
      <c r="BE14" s="1971">
        <v>10.199999999999999</v>
      </c>
      <c r="BF14" s="1971"/>
      <c r="BG14" s="1971"/>
      <c r="BH14" s="1973">
        <v>50</v>
      </c>
      <c r="BI14" s="1974"/>
      <c r="BJ14" s="1973"/>
      <c r="BK14" s="1963">
        <v>11</v>
      </c>
      <c r="BL14" s="1963">
        <v>9.5</v>
      </c>
      <c r="BM14" s="1963"/>
      <c r="BN14" s="1967"/>
      <c r="BS14" s="2" t="s">
        <v>456</v>
      </c>
      <c r="BT14" s="2" t="s">
        <v>1084</v>
      </c>
      <c r="BU14"/>
      <c r="BV14" s="29" t="s">
        <v>1088</v>
      </c>
      <c r="BW14" s="29"/>
      <c r="BX14" s="29"/>
      <c r="BY14" s="29"/>
      <c r="BZ14" s="29"/>
      <c r="CA14" s="29"/>
      <c r="CB14" s="29"/>
      <c r="CC14" s="29"/>
      <c r="CD14" s="29"/>
      <c r="CE14" s="29"/>
      <c r="CF14" s="29"/>
      <c r="CG14" s="29"/>
      <c r="CH14" s="29"/>
    </row>
    <row r="15" spans="1:86" ht="14.5">
      <c r="A15" s="157"/>
      <c r="B15" s="705" t="s">
        <v>292</v>
      </c>
      <c r="C15" s="157"/>
      <c r="D15" s="768"/>
      <c r="E15" s="768"/>
      <c r="F15" s="768" t="s">
        <v>2162</v>
      </c>
      <c r="G15" s="771"/>
      <c r="H15" s="768"/>
      <c r="J15" s="768" t="s">
        <v>2162</v>
      </c>
      <c r="K15" s="768"/>
      <c r="L15" s="768" t="s">
        <v>2266</v>
      </c>
      <c r="M15" s="768"/>
      <c r="N15" s="768"/>
      <c r="O15" s="706"/>
      <c r="P15" s="706"/>
      <c r="Q15" s="706"/>
      <c r="S15" s="723" t="s">
        <v>2267</v>
      </c>
      <c r="T15" s="723">
        <v>1</v>
      </c>
      <c r="U15" s="723">
        <v>1</v>
      </c>
      <c r="V15" s="768" t="s">
        <v>2227</v>
      </c>
      <c r="W15" s="904" t="s">
        <v>1404</v>
      </c>
      <c r="X15" s="721"/>
      <c r="Y15" s="721" t="s">
        <v>2207</v>
      </c>
      <c r="Z15" s="721" t="s">
        <v>2222</v>
      </c>
      <c r="AA15" s="721" t="s">
        <v>2228</v>
      </c>
      <c r="AB15" s="721" t="s">
        <v>1404</v>
      </c>
      <c r="AC15" s="721"/>
      <c r="AD15" s="722"/>
      <c r="AF15" s="768" t="s">
        <v>2268</v>
      </c>
      <c r="AG15" s="736" t="s">
        <v>2171</v>
      </c>
      <c r="AH15" s="736" t="s">
        <v>43</v>
      </c>
      <c r="AI15" s="736" t="s">
        <v>3377</v>
      </c>
      <c r="AJ15" s="736" t="s">
        <v>3389</v>
      </c>
      <c r="AK15" s="732"/>
      <c r="AL15" s="732"/>
      <c r="AM15" s="740" t="s">
        <v>2269</v>
      </c>
      <c r="AN15" s="772">
        <v>13.8</v>
      </c>
      <c r="AO15" s="769">
        <v>12</v>
      </c>
      <c r="AP15" s="769"/>
      <c r="AQ15" s="769"/>
      <c r="AR15" s="982">
        <v>400</v>
      </c>
      <c r="AS15" s="744">
        <v>10.3</v>
      </c>
      <c r="AT15" s="753">
        <v>10.1</v>
      </c>
      <c r="AU15" s="769" t="s">
        <v>288</v>
      </c>
      <c r="AV15" s="767" t="s">
        <v>288</v>
      </c>
      <c r="AX15" s="1969" t="s">
        <v>2267</v>
      </c>
      <c r="AY15" s="1970">
        <v>11.4</v>
      </c>
      <c r="AZ15" s="1971">
        <v>9.6999999999999993</v>
      </c>
      <c r="BA15" s="1971"/>
      <c r="BB15" s="1971"/>
      <c r="BC15" s="1972">
        <v>0.55000000000000004</v>
      </c>
      <c r="BD15" s="1970">
        <v>12.1</v>
      </c>
      <c r="BE15" s="1971">
        <v>10.199999999999999</v>
      </c>
      <c r="BF15" s="1971"/>
      <c r="BG15" s="1971"/>
      <c r="BH15" s="1973">
        <v>50</v>
      </c>
      <c r="BI15" s="1975"/>
      <c r="BJ15" s="1973"/>
      <c r="BK15" s="1963">
        <v>11</v>
      </c>
      <c r="BL15" s="1963">
        <v>9.5</v>
      </c>
      <c r="BM15" s="1963"/>
      <c r="BN15" s="1967"/>
      <c r="BS15" s="2" t="s">
        <v>1048</v>
      </c>
      <c r="BT15" s="2" t="s">
        <v>1086</v>
      </c>
      <c r="BU15"/>
      <c r="BV15" s="29">
        <v>8800</v>
      </c>
      <c r="BW15" s="29"/>
      <c r="BX15" s="29"/>
      <c r="BY15" s="29"/>
      <c r="BZ15" s="29"/>
      <c r="CA15" s="29"/>
      <c r="CB15" s="29"/>
      <c r="CC15" s="29"/>
      <c r="CD15" s="29"/>
      <c r="CE15" s="29"/>
      <c r="CF15" s="29"/>
      <c r="CG15" s="29"/>
      <c r="CH15" s="29"/>
    </row>
    <row r="16" spans="1:86" ht="14.5">
      <c r="A16" s="157"/>
      <c r="B16" s="705" t="s">
        <v>1404</v>
      </c>
      <c r="C16" s="157"/>
      <c r="D16" s="768"/>
      <c r="E16" s="768"/>
      <c r="F16" s="768"/>
      <c r="G16" s="771"/>
      <c r="H16" s="768"/>
      <c r="J16" s="768"/>
      <c r="K16" s="768"/>
      <c r="L16" s="768"/>
      <c r="M16" s="768"/>
      <c r="N16" s="768"/>
      <c r="O16" s="768"/>
      <c r="P16" s="768"/>
      <c r="Q16" s="768"/>
      <c r="S16" s="771" t="s">
        <v>2270</v>
      </c>
      <c r="T16" s="771">
        <v>2</v>
      </c>
      <c r="U16" s="771">
        <v>2</v>
      </c>
      <c r="V16" s="768" t="s">
        <v>2221</v>
      </c>
      <c r="W16" s="904" t="s">
        <v>1404</v>
      </c>
      <c r="Y16" s="761" t="s">
        <v>2222</v>
      </c>
      <c r="Z16" s="761" t="s">
        <v>2228</v>
      </c>
      <c r="AA16" s="761" t="s">
        <v>1404</v>
      </c>
      <c r="AD16" s="767"/>
      <c r="AF16" s="768" t="s">
        <v>2271</v>
      </c>
      <c r="AG16" s="736" t="s">
        <v>2272</v>
      </c>
      <c r="AH16" s="736" t="s">
        <v>43</v>
      </c>
      <c r="AI16" s="736" t="s">
        <v>3377</v>
      </c>
      <c r="AJ16" s="736" t="s">
        <v>3390</v>
      </c>
      <c r="AK16" s="732"/>
      <c r="AL16" s="732"/>
      <c r="AM16" s="740" t="s">
        <v>2273</v>
      </c>
      <c r="AN16" s="772">
        <v>13.8</v>
      </c>
      <c r="AO16" s="769">
        <v>12</v>
      </c>
      <c r="AP16" s="769"/>
      <c r="AQ16" s="769"/>
      <c r="AR16" s="982">
        <v>400</v>
      </c>
      <c r="AS16" s="744">
        <v>10.3</v>
      </c>
      <c r="AT16" s="753">
        <v>10.1</v>
      </c>
      <c r="AU16" s="769" t="s">
        <v>288</v>
      </c>
      <c r="AV16" s="767" t="s">
        <v>288</v>
      </c>
      <c r="AX16" s="1976" t="s">
        <v>2270</v>
      </c>
      <c r="AY16" s="1977"/>
      <c r="AZ16" s="1978">
        <v>14</v>
      </c>
      <c r="BA16" s="1978"/>
      <c r="BB16" s="1978"/>
      <c r="BC16" s="1979">
        <v>0.55000000000000004</v>
      </c>
      <c r="BD16" s="1977" t="s">
        <v>288</v>
      </c>
      <c r="BE16" s="1978" t="s">
        <v>288</v>
      </c>
      <c r="BF16" s="1978" t="s">
        <v>288</v>
      </c>
      <c r="BG16" s="1978" t="s">
        <v>288</v>
      </c>
      <c r="BH16" s="1980" t="s">
        <v>288</v>
      </c>
      <c r="BI16" s="1981"/>
      <c r="BJ16" s="1981"/>
      <c r="BK16" s="1977"/>
      <c r="BL16" s="1978">
        <v>12.1</v>
      </c>
      <c r="BM16" s="1978"/>
      <c r="BN16" s="1982"/>
      <c r="BS16" s="2" t="s">
        <v>1049</v>
      </c>
      <c r="BT16" s="2" t="s">
        <v>1050</v>
      </c>
      <c r="BU16"/>
      <c r="BV16" s="29">
        <v>8810</v>
      </c>
      <c r="BW16" s="29"/>
      <c r="BX16" s="29"/>
      <c r="BY16" s="29"/>
      <c r="BZ16" s="29"/>
      <c r="CA16" s="29"/>
      <c r="CB16" s="29"/>
      <c r="CC16" s="29"/>
      <c r="CD16" s="29"/>
      <c r="CE16" s="29"/>
      <c r="CF16" s="29"/>
      <c r="CG16" s="29"/>
      <c r="CH16" s="29"/>
    </row>
    <row r="17" spans="1:86" ht="14.5">
      <c r="A17" s="157"/>
      <c r="B17" s="705"/>
      <c r="C17" s="157"/>
      <c r="D17" s="763"/>
      <c r="E17" s="763"/>
      <c r="F17" s="763"/>
      <c r="G17" s="770"/>
      <c r="H17" s="763"/>
      <c r="I17" s="773"/>
      <c r="J17" s="763"/>
      <c r="K17" s="763"/>
      <c r="L17" s="763"/>
      <c r="M17" s="763"/>
      <c r="N17" s="763"/>
      <c r="O17" s="763"/>
      <c r="P17" s="763"/>
      <c r="Q17" s="763"/>
      <c r="S17" s="771" t="s">
        <v>2274</v>
      </c>
      <c r="T17" s="771">
        <v>2</v>
      </c>
      <c r="U17" s="771">
        <v>2</v>
      </c>
      <c r="V17" s="768" t="s">
        <v>2227</v>
      </c>
      <c r="W17" s="904" t="s">
        <v>1404</v>
      </c>
      <c r="Y17" s="761" t="s">
        <v>2222</v>
      </c>
      <c r="Z17" s="761" t="s">
        <v>2228</v>
      </c>
      <c r="AA17" s="761" t="s">
        <v>1404</v>
      </c>
      <c r="AD17" s="767"/>
      <c r="AF17" s="768" t="s">
        <v>2275</v>
      </c>
      <c r="AG17" s="736" t="s">
        <v>2276</v>
      </c>
      <c r="AH17" s="736" t="s">
        <v>43</v>
      </c>
      <c r="AI17" s="736" t="s">
        <v>3377</v>
      </c>
      <c r="AJ17" s="736" t="s">
        <v>3391</v>
      </c>
      <c r="AK17" s="732"/>
      <c r="AL17" s="732"/>
      <c r="AM17" s="740" t="s">
        <v>2277</v>
      </c>
      <c r="AN17" s="772">
        <v>13.8</v>
      </c>
      <c r="AO17" s="769">
        <v>12</v>
      </c>
      <c r="AP17" s="769"/>
      <c r="AQ17" s="769"/>
      <c r="AR17" s="982">
        <v>400</v>
      </c>
      <c r="AS17" s="744">
        <v>10.3</v>
      </c>
      <c r="AT17" s="753">
        <v>10.1</v>
      </c>
      <c r="AU17" s="769" t="s">
        <v>288</v>
      </c>
      <c r="AV17" s="767" t="s">
        <v>288</v>
      </c>
      <c r="AX17" s="1976" t="s">
        <v>2274</v>
      </c>
      <c r="AY17" s="1977"/>
      <c r="AZ17" s="1978">
        <v>14</v>
      </c>
      <c r="BA17" s="1978"/>
      <c r="BB17" s="1978"/>
      <c r="BC17" s="1979">
        <v>0.55000000000000004</v>
      </c>
      <c r="BD17" s="1977" t="s">
        <v>288</v>
      </c>
      <c r="BE17" s="1978" t="s">
        <v>288</v>
      </c>
      <c r="BF17" s="1978" t="s">
        <v>288</v>
      </c>
      <c r="BG17" s="1978" t="s">
        <v>288</v>
      </c>
      <c r="BH17" s="1980" t="s">
        <v>288</v>
      </c>
      <c r="BI17" s="1981"/>
      <c r="BJ17" s="1981"/>
      <c r="BK17" s="1977"/>
      <c r="BL17" s="1978">
        <v>12.1</v>
      </c>
      <c r="BM17" s="1978"/>
      <c r="BN17" s="1982"/>
      <c r="BS17" s="2" t="s">
        <v>1050</v>
      </c>
      <c r="BT17" s="2" t="s">
        <v>1089</v>
      </c>
      <c r="BU17"/>
      <c r="BV17" s="29">
        <v>8820</v>
      </c>
      <c r="BW17" s="29"/>
      <c r="BX17" s="29"/>
      <c r="BY17" s="29"/>
      <c r="BZ17" s="29"/>
      <c r="CA17" s="29"/>
      <c r="CB17" s="29"/>
      <c r="CC17" s="29"/>
      <c r="CD17" s="29"/>
      <c r="CE17" s="29"/>
      <c r="CF17" s="29"/>
      <c r="CG17" s="29"/>
      <c r="CH17" s="29"/>
    </row>
    <row r="18" spans="1:86" ht="14.5">
      <c r="A18" s="157"/>
      <c r="B18" s="157"/>
      <c r="C18" s="157"/>
      <c r="S18" s="771" t="s">
        <v>2278</v>
      </c>
      <c r="T18" s="771">
        <v>4</v>
      </c>
      <c r="U18" s="771">
        <v>3</v>
      </c>
      <c r="V18" s="768" t="s">
        <v>2279</v>
      </c>
      <c r="W18" s="768" t="s">
        <v>605</v>
      </c>
      <c r="Y18" s="761" t="s">
        <v>2207</v>
      </c>
      <c r="Z18" s="761" t="s">
        <v>2156</v>
      </c>
      <c r="AA18" s="761" t="s">
        <v>2280</v>
      </c>
      <c r="AB18" s="761" t="s">
        <v>1404</v>
      </c>
      <c r="AD18" s="767"/>
      <c r="AF18" s="768" t="s">
        <v>2281</v>
      </c>
      <c r="AG18" s="736" t="s">
        <v>2172</v>
      </c>
      <c r="AH18" s="736" t="s">
        <v>43</v>
      </c>
      <c r="AI18" s="736" t="s">
        <v>3377</v>
      </c>
      <c r="AJ18" s="736" t="s">
        <v>3392</v>
      </c>
      <c r="AK18" s="732"/>
      <c r="AL18" s="732"/>
      <c r="AM18" s="740" t="s">
        <v>2282</v>
      </c>
      <c r="AN18" s="772">
        <v>13.8</v>
      </c>
      <c r="AO18" s="769">
        <v>12</v>
      </c>
      <c r="AP18" s="769"/>
      <c r="AQ18" s="769"/>
      <c r="AR18" s="982">
        <v>400</v>
      </c>
      <c r="AS18" s="744">
        <v>10.3</v>
      </c>
      <c r="AT18" s="753">
        <v>10.1</v>
      </c>
      <c r="AU18" s="769" t="s">
        <v>288</v>
      </c>
      <c r="AV18" s="767" t="s">
        <v>288</v>
      </c>
      <c r="AX18" s="1961" t="s">
        <v>2278</v>
      </c>
      <c r="AY18" s="1962">
        <v>15</v>
      </c>
      <c r="AZ18" s="1963">
        <v>12.5</v>
      </c>
      <c r="BA18" s="1963">
        <v>8.5</v>
      </c>
      <c r="BB18" s="1963"/>
      <c r="BC18" s="1964">
        <v>2</v>
      </c>
      <c r="BD18" s="1962">
        <v>16</v>
      </c>
      <c r="BE18" s="1963">
        <v>13</v>
      </c>
      <c r="BF18" s="1963">
        <v>9</v>
      </c>
      <c r="BG18" s="1963"/>
      <c r="BH18" s="1965">
        <v>230</v>
      </c>
      <c r="BI18" s="1966"/>
      <c r="BJ18" s="1966"/>
      <c r="BK18" s="1962">
        <v>13</v>
      </c>
      <c r="BL18" s="1963">
        <v>11.2</v>
      </c>
      <c r="BM18" s="1963">
        <v>8.1999999999999993</v>
      </c>
      <c r="BN18" s="1967">
        <v>2.4032825322391558</v>
      </c>
      <c r="BS18" s="2" t="s">
        <v>363</v>
      </c>
      <c r="BT18" s="2" t="s">
        <v>1090</v>
      </c>
      <c r="BU18"/>
      <c r="BV18" s="29">
        <v>8830</v>
      </c>
      <c r="BW18" s="29"/>
      <c r="BX18" s="29"/>
      <c r="BY18" s="29"/>
      <c r="BZ18" s="29"/>
      <c r="CA18" s="29"/>
      <c r="CB18" s="29"/>
      <c r="CC18" s="29"/>
      <c r="CD18" s="29"/>
      <c r="CE18" s="29"/>
      <c r="CF18" s="29"/>
      <c r="CG18" s="29"/>
      <c r="CH18" s="29"/>
    </row>
    <row r="19" spans="1:86" ht="14.5">
      <c r="B19" s="149" t="s">
        <v>2939</v>
      </c>
      <c r="C19" s="157"/>
      <c r="D19" s="144" t="s">
        <v>2283</v>
      </c>
      <c r="E19" s="144"/>
      <c r="K19" s="144" t="s">
        <v>2295</v>
      </c>
      <c r="S19" s="771" t="s">
        <v>2284</v>
      </c>
      <c r="T19" s="771">
        <v>4</v>
      </c>
      <c r="U19" s="771">
        <v>3</v>
      </c>
      <c r="V19" s="768" t="s">
        <v>2285</v>
      </c>
      <c r="W19" s="768" t="s">
        <v>605</v>
      </c>
      <c r="Y19" s="761" t="s">
        <v>2222</v>
      </c>
      <c r="Z19" s="761" t="s">
        <v>2286</v>
      </c>
      <c r="AA19" s="761" t="s">
        <v>1404</v>
      </c>
      <c r="AD19" s="767"/>
      <c r="AF19" s="768" t="s">
        <v>2287</v>
      </c>
      <c r="AG19" s="736" t="s">
        <v>2288</v>
      </c>
      <c r="AH19" s="736" t="s">
        <v>43</v>
      </c>
      <c r="AI19" s="736" t="s">
        <v>3377</v>
      </c>
      <c r="AJ19" s="736" t="s">
        <v>3393</v>
      </c>
      <c r="AK19" s="732"/>
      <c r="AL19" s="732"/>
      <c r="AM19" s="740" t="s">
        <v>2289</v>
      </c>
      <c r="AN19" s="772">
        <v>2</v>
      </c>
      <c r="AO19" s="769">
        <v>11.5</v>
      </c>
      <c r="AP19" s="769"/>
      <c r="AQ19" s="769"/>
      <c r="AR19" s="982">
        <v>400</v>
      </c>
      <c r="AS19" s="744" t="s">
        <v>288</v>
      </c>
      <c r="AT19" s="769">
        <v>9</v>
      </c>
      <c r="AU19" s="769" t="s">
        <v>288</v>
      </c>
      <c r="AV19" s="767" t="s">
        <v>288</v>
      </c>
      <c r="AX19" s="1983" t="s">
        <v>2290</v>
      </c>
      <c r="AY19" s="1978"/>
      <c r="AZ19" s="1978">
        <v>12.2</v>
      </c>
      <c r="BA19" s="1978"/>
      <c r="BB19" s="1978"/>
      <c r="BC19" s="1984">
        <v>0.55000000000000004</v>
      </c>
      <c r="BD19" s="1978" t="s">
        <v>288</v>
      </c>
      <c r="BE19" s="1978" t="s">
        <v>288</v>
      </c>
      <c r="BF19" s="1978" t="s">
        <v>288</v>
      </c>
      <c r="BG19" s="1978" t="s">
        <v>288</v>
      </c>
      <c r="BH19" s="1978" t="s">
        <v>288</v>
      </c>
      <c r="BI19" s="1978"/>
      <c r="BJ19" s="1978"/>
      <c r="BK19" s="1978"/>
      <c r="BL19" s="1985">
        <v>14</v>
      </c>
      <c r="BM19" s="1978"/>
      <c r="BN19" s="1982"/>
      <c r="BS19" s="2" t="s">
        <v>1051</v>
      </c>
      <c r="BT19" s="2" t="s">
        <v>1091</v>
      </c>
      <c r="BU19"/>
      <c r="BV19" s="29">
        <v>8840</v>
      </c>
      <c r="BW19" s="29"/>
      <c r="BX19" s="29"/>
      <c r="BY19" s="29"/>
      <c r="BZ19" s="29"/>
      <c r="CA19" s="29"/>
      <c r="CB19" s="29"/>
      <c r="CC19" s="29"/>
      <c r="CD19" s="29"/>
      <c r="CE19" s="29"/>
      <c r="CF19" s="29"/>
      <c r="CG19" s="29"/>
      <c r="CH19" s="29"/>
    </row>
    <row r="20" spans="1:86" ht="14.5">
      <c r="B20" s="898" t="s">
        <v>2940</v>
      </c>
      <c r="C20" s="157"/>
      <c r="D20" s="712" t="s">
        <v>2292</v>
      </c>
      <c r="E20" s="712" t="s">
        <v>2293</v>
      </c>
      <c r="F20" s="712" t="s">
        <v>80</v>
      </c>
      <c r="G20" s="712" t="s">
        <v>2294</v>
      </c>
      <c r="H20" s="712" t="s">
        <v>3337</v>
      </c>
      <c r="I20" s="712" t="s">
        <v>3336</v>
      </c>
      <c r="K20" s="739" t="s">
        <v>507</v>
      </c>
      <c r="L20" s="739" t="s">
        <v>2306</v>
      </c>
      <c r="M20" s="739" t="s">
        <v>2307</v>
      </c>
      <c r="S20" s="771" t="s">
        <v>2296</v>
      </c>
      <c r="T20" s="771">
        <v>4</v>
      </c>
      <c r="U20" s="771">
        <v>3</v>
      </c>
      <c r="V20" s="768" t="s">
        <v>2297</v>
      </c>
      <c r="W20" s="768" t="s">
        <v>605</v>
      </c>
      <c r="Y20" s="761" t="s">
        <v>2228</v>
      </c>
      <c r="Z20" s="761" t="s">
        <v>2298</v>
      </c>
      <c r="AA20" s="761" t="s">
        <v>1404</v>
      </c>
      <c r="AD20" s="767"/>
      <c r="AF20" s="768" t="s">
        <v>2299</v>
      </c>
      <c r="AG20" s="736" t="s">
        <v>2300</v>
      </c>
      <c r="AH20" s="736" t="s">
        <v>43</v>
      </c>
      <c r="AI20" s="736" t="s">
        <v>3377</v>
      </c>
      <c r="AJ20" s="736" t="s">
        <v>3394</v>
      </c>
      <c r="AK20" s="732"/>
      <c r="AL20" s="732"/>
      <c r="AM20" s="740" t="s">
        <v>2301</v>
      </c>
      <c r="AN20" s="772">
        <v>13</v>
      </c>
      <c r="AO20" s="769">
        <v>12</v>
      </c>
      <c r="AP20" s="769"/>
      <c r="AQ20" s="769"/>
      <c r="AR20" s="982">
        <v>400</v>
      </c>
      <c r="AS20" s="744">
        <v>9.6999999999999993</v>
      </c>
      <c r="AT20" s="753">
        <v>9.5</v>
      </c>
      <c r="AU20" s="769" t="s">
        <v>288</v>
      </c>
      <c r="AV20" s="767" t="s">
        <v>288</v>
      </c>
      <c r="AX20" s="1983" t="s">
        <v>2302</v>
      </c>
      <c r="AY20" s="1978"/>
      <c r="AZ20" s="1978">
        <v>11.4</v>
      </c>
      <c r="BA20" s="1978"/>
      <c r="BB20" s="1978"/>
      <c r="BC20" s="1984">
        <v>0.55000000000000004</v>
      </c>
      <c r="BD20" s="1978" t="s">
        <v>288</v>
      </c>
      <c r="BE20" s="1978" t="s">
        <v>288</v>
      </c>
      <c r="BF20" s="1978" t="s">
        <v>288</v>
      </c>
      <c r="BG20" s="1978" t="s">
        <v>288</v>
      </c>
      <c r="BH20" s="1978" t="s">
        <v>288</v>
      </c>
      <c r="BI20" s="1978"/>
      <c r="BJ20" s="1978"/>
      <c r="BK20" s="1978"/>
      <c r="BL20" s="1985">
        <v>14</v>
      </c>
      <c r="BM20" s="1978"/>
      <c r="BN20" s="1982"/>
      <c r="BS20" s="2" t="s">
        <v>1052</v>
      </c>
      <c r="BT20" s="2" t="s">
        <v>1859</v>
      </c>
      <c r="BU20"/>
      <c r="BW20" s="29"/>
      <c r="BX20" s="29"/>
      <c r="BY20" s="29"/>
      <c r="BZ20" s="29"/>
      <c r="CA20" s="29"/>
      <c r="CB20" s="29"/>
      <c r="CC20" s="29"/>
      <c r="CD20" s="29"/>
      <c r="CE20" s="29"/>
      <c r="CF20" s="29"/>
      <c r="CG20" s="29"/>
      <c r="CH20" s="29"/>
    </row>
    <row r="21" spans="1:86" ht="14.5">
      <c r="B21" s="992">
        <v>1.3409629999999999</v>
      </c>
      <c r="C21" s="157"/>
      <c r="D21" s="768" t="s">
        <v>2189</v>
      </c>
      <c r="E21" s="768" t="s">
        <v>2156</v>
      </c>
      <c r="F21" s="740" t="s">
        <v>2304</v>
      </c>
      <c r="G21" s="710" t="s">
        <v>2305</v>
      </c>
      <c r="H21" s="710"/>
      <c r="I21" s="710"/>
      <c r="K21" s="768" t="s">
        <v>2154</v>
      </c>
      <c r="L21" s="736">
        <v>0</v>
      </c>
      <c r="M21" s="720">
        <v>0.74999899999999997</v>
      </c>
      <c r="S21" s="771" t="s">
        <v>2308</v>
      </c>
      <c r="T21" s="771">
        <v>3</v>
      </c>
      <c r="U21" s="771">
        <v>3</v>
      </c>
      <c r="V21" s="768" t="s">
        <v>2285</v>
      </c>
      <c r="W21" s="768" t="s">
        <v>605</v>
      </c>
      <c r="Y21" s="761" t="s">
        <v>2222</v>
      </c>
      <c r="Z21" s="761" t="s">
        <v>2228</v>
      </c>
      <c r="AA21" s="761" t="s">
        <v>2286</v>
      </c>
      <c r="AB21" s="761" t="s">
        <v>2298</v>
      </c>
      <c r="AC21" s="761" t="s">
        <v>1404</v>
      </c>
      <c r="AD21" s="767"/>
      <c r="AF21" s="768" t="s">
        <v>2309</v>
      </c>
      <c r="AG21" s="736" t="s">
        <v>2173</v>
      </c>
      <c r="AH21" s="736" t="s">
        <v>43</v>
      </c>
      <c r="AI21" s="736" t="s">
        <v>3377</v>
      </c>
      <c r="AJ21" s="736" t="s">
        <v>3395</v>
      </c>
      <c r="AK21" s="732"/>
      <c r="AL21" s="732"/>
      <c r="AM21" s="740" t="s">
        <v>2310</v>
      </c>
      <c r="AN21" s="772">
        <v>13</v>
      </c>
      <c r="AO21" s="769">
        <v>12</v>
      </c>
      <c r="AP21" s="769"/>
      <c r="AQ21" s="769"/>
      <c r="AR21" s="982">
        <v>400</v>
      </c>
      <c r="AS21" s="744">
        <v>9.6999999999999993</v>
      </c>
      <c r="AT21" s="753">
        <v>9.5</v>
      </c>
      <c r="AU21" s="769" t="s">
        <v>288</v>
      </c>
      <c r="AV21" s="767" t="s">
        <v>288</v>
      </c>
      <c r="AX21" s="1983" t="s">
        <v>2311</v>
      </c>
      <c r="AY21" s="1978"/>
      <c r="AZ21" s="1978">
        <v>10.4</v>
      </c>
      <c r="BA21" s="1978"/>
      <c r="BB21" s="1978"/>
      <c r="BC21" s="1984">
        <v>0.55000000000000004</v>
      </c>
      <c r="BD21" s="1978" t="s">
        <v>288</v>
      </c>
      <c r="BE21" s="1978" t="s">
        <v>288</v>
      </c>
      <c r="BF21" s="1978" t="s">
        <v>288</v>
      </c>
      <c r="BG21" s="1978" t="s">
        <v>288</v>
      </c>
      <c r="BH21" s="1978" t="s">
        <v>288</v>
      </c>
      <c r="BI21" s="1978"/>
      <c r="BJ21" s="1978"/>
      <c r="BK21" s="1978"/>
      <c r="BL21" s="1985">
        <v>14</v>
      </c>
      <c r="BM21" s="1978"/>
      <c r="BN21" s="1982"/>
      <c r="BS21" s="2" t="s">
        <v>1053</v>
      </c>
      <c r="BT21" s="2"/>
      <c r="BU21"/>
      <c r="BW21" s="29"/>
      <c r="BX21" s="29"/>
      <c r="BY21" s="29"/>
      <c r="BZ21" s="29"/>
      <c r="CA21" s="29"/>
      <c r="CB21" s="29"/>
      <c r="CC21" s="29"/>
      <c r="CD21" s="29"/>
      <c r="CE21" s="29"/>
      <c r="CF21" s="29"/>
      <c r="CG21" s="29"/>
      <c r="CH21" s="29"/>
    </row>
    <row r="22" spans="1:86" ht="14.5">
      <c r="A22" s="840"/>
      <c r="B22"/>
      <c r="C22" s="157"/>
      <c r="D22" s="768" t="s">
        <v>2190</v>
      </c>
      <c r="E22" s="768" t="s">
        <v>2189</v>
      </c>
      <c r="F22" s="740" t="s">
        <v>2312</v>
      </c>
      <c r="G22" s="709" t="s">
        <v>2313</v>
      </c>
      <c r="H22" s="709">
        <v>669</v>
      </c>
      <c r="I22" s="709">
        <v>603</v>
      </c>
      <c r="K22" s="768" t="s">
        <v>2320</v>
      </c>
      <c r="L22" s="720">
        <v>0.75</v>
      </c>
      <c r="M22" s="720">
        <v>0.999</v>
      </c>
      <c r="S22" s="730" t="s">
        <v>2314</v>
      </c>
      <c r="T22" s="768">
        <v>3</v>
      </c>
      <c r="U22" s="768">
        <v>3</v>
      </c>
      <c r="V22" s="768" t="s">
        <v>2297</v>
      </c>
      <c r="W22" s="768" t="s">
        <v>605</v>
      </c>
      <c r="Y22" s="761" t="s">
        <v>2222</v>
      </c>
      <c r="Z22" s="761" t="s">
        <v>2228</v>
      </c>
      <c r="AA22" s="761" t="s">
        <v>2286</v>
      </c>
      <c r="AB22" s="761" t="s">
        <v>2298</v>
      </c>
      <c r="AC22" s="761" t="s">
        <v>1404</v>
      </c>
      <c r="AD22" s="767"/>
      <c r="AF22" s="768" t="s">
        <v>2315</v>
      </c>
      <c r="AG22" s="736" t="s">
        <v>2316</v>
      </c>
      <c r="AH22" s="736" t="s">
        <v>43</v>
      </c>
      <c r="AI22" s="736" t="s">
        <v>3377</v>
      </c>
      <c r="AJ22" s="736" t="s">
        <v>3396</v>
      </c>
      <c r="AK22" s="732"/>
      <c r="AL22" s="732"/>
      <c r="AM22" s="740" t="s">
        <v>2317</v>
      </c>
      <c r="AN22" s="772">
        <v>13</v>
      </c>
      <c r="AO22" s="769">
        <v>12</v>
      </c>
      <c r="AP22" s="769"/>
      <c r="AQ22" s="769"/>
      <c r="AR22" s="982">
        <v>400</v>
      </c>
      <c r="AS22" s="744">
        <v>9.6999999999999993</v>
      </c>
      <c r="AT22" s="753">
        <v>9.5</v>
      </c>
      <c r="AU22" s="769" t="s">
        <v>288</v>
      </c>
      <c r="AV22" s="767" t="s">
        <v>288</v>
      </c>
      <c r="AX22" s="1986" t="s">
        <v>2284</v>
      </c>
      <c r="AY22" s="1987">
        <v>15</v>
      </c>
      <c r="AZ22" s="1988">
        <v>12.5</v>
      </c>
      <c r="BA22" s="1988">
        <v>8.5</v>
      </c>
      <c r="BB22" s="1988"/>
      <c r="BC22" s="1989">
        <v>2</v>
      </c>
      <c r="BD22" s="1987">
        <v>16</v>
      </c>
      <c r="BE22" s="1988">
        <v>13</v>
      </c>
      <c r="BF22" s="1988">
        <v>9</v>
      </c>
      <c r="BG22" s="1988"/>
      <c r="BH22" s="1990">
        <v>230</v>
      </c>
      <c r="BI22" s="1991"/>
      <c r="BJ22" s="1991"/>
      <c r="BK22" s="1987">
        <v>14</v>
      </c>
      <c r="BL22" s="1988">
        <f t="shared" ref="BL22:BL23" si="1">(1.12*BK22)-(0.02*BK22^2)</f>
        <v>11.760000000000002</v>
      </c>
      <c r="BM22" s="1988">
        <v>8.1999999999999993</v>
      </c>
      <c r="BN22" s="1992">
        <f>BM22/3.412</f>
        <v>2.4032825322391558</v>
      </c>
      <c r="BS22"/>
      <c r="BT22"/>
      <c r="BU22"/>
      <c r="BV22"/>
      <c r="BW22"/>
      <c r="BX22"/>
      <c r="BY22"/>
      <c r="BZ22"/>
      <c r="CA22"/>
      <c r="CB22"/>
      <c r="CC22"/>
      <c r="CD22"/>
      <c r="CE22"/>
      <c r="CF22"/>
      <c r="CG22"/>
      <c r="CH22"/>
    </row>
    <row r="23" spans="1:86" ht="14.5">
      <c r="B23" s="149" t="s">
        <v>1784</v>
      </c>
      <c r="C23" s="157"/>
      <c r="D23" s="768" t="s">
        <v>2193</v>
      </c>
      <c r="E23" s="768" t="s">
        <v>2190</v>
      </c>
      <c r="F23" s="740" t="s">
        <v>2318</v>
      </c>
      <c r="G23" s="709" t="s">
        <v>2319</v>
      </c>
      <c r="H23" s="709">
        <v>426</v>
      </c>
      <c r="I23" s="709">
        <v>1910</v>
      </c>
      <c r="K23" s="768" t="s">
        <v>2261</v>
      </c>
      <c r="L23" s="720">
        <v>1</v>
      </c>
      <c r="M23" s="736" t="s">
        <v>1404</v>
      </c>
      <c r="S23" s="771" t="s">
        <v>2321</v>
      </c>
      <c r="T23" s="768">
        <v>3</v>
      </c>
      <c r="U23" s="768">
        <v>3</v>
      </c>
      <c r="V23" s="768" t="s">
        <v>2285</v>
      </c>
      <c r="W23" s="768" t="s">
        <v>605</v>
      </c>
      <c r="Y23" s="761" t="s">
        <v>2222</v>
      </c>
      <c r="Z23" s="761" t="s">
        <v>2228</v>
      </c>
      <c r="AA23" s="761" t="s">
        <v>2286</v>
      </c>
      <c r="AB23" s="761" t="s">
        <v>2298</v>
      </c>
      <c r="AC23" s="761" t="s">
        <v>1404</v>
      </c>
      <c r="AD23" s="767"/>
      <c r="AF23" s="768" t="s">
        <v>2322</v>
      </c>
      <c r="AG23" s="736" t="s">
        <v>2323</v>
      </c>
      <c r="AH23" s="736" t="s">
        <v>43</v>
      </c>
      <c r="AI23" s="736" t="s">
        <v>3377</v>
      </c>
      <c r="AJ23" s="736" t="s">
        <v>3397</v>
      </c>
      <c r="AK23" s="732"/>
      <c r="AL23" s="732"/>
      <c r="AM23" s="740" t="s">
        <v>2324</v>
      </c>
      <c r="AN23" s="772">
        <v>13</v>
      </c>
      <c r="AO23" s="769">
        <v>12</v>
      </c>
      <c r="AP23" s="769"/>
      <c r="AQ23" s="769"/>
      <c r="AR23" s="982">
        <v>400</v>
      </c>
      <c r="AS23" s="744">
        <v>9.6999999999999993</v>
      </c>
      <c r="AT23" s="753">
        <v>9.5</v>
      </c>
      <c r="AU23" s="769" t="s">
        <v>288</v>
      </c>
      <c r="AV23" s="767" t="s">
        <v>288</v>
      </c>
      <c r="AX23" s="1986" t="s">
        <v>2296</v>
      </c>
      <c r="AY23" s="1987">
        <v>15</v>
      </c>
      <c r="AZ23" s="1988">
        <v>12</v>
      </c>
      <c r="BA23" s="1988">
        <v>8.1999999999999993</v>
      </c>
      <c r="BB23" s="1988"/>
      <c r="BC23" s="1989">
        <v>2</v>
      </c>
      <c r="BD23" s="1987">
        <v>16</v>
      </c>
      <c r="BE23" s="1988">
        <v>12</v>
      </c>
      <c r="BF23" s="1988">
        <v>8.1999999999999993</v>
      </c>
      <c r="BG23" s="1988"/>
      <c r="BH23" s="1990">
        <v>230</v>
      </c>
      <c r="BI23" s="1991"/>
      <c r="BJ23" s="1991"/>
      <c r="BK23" s="1987">
        <v>14</v>
      </c>
      <c r="BL23" s="1988">
        <f t="shared" si="1"/>
        <v>11.760000000000002</v>
      </c>
      <c r="BM23" s="1988">
        <v>8</v>
      </c>
      <c r="BN23" s="1992">
        <f>BM23/3.412</f>
        <v>2.3446658851113718</v>
      </c>
      <c r="BO23" s="761" t="s">
        <v>2325</v>
      </c>
      <c r="BS23" t="s">
        <v>1092</v>
      </c>
      <c r="BU23"/>
      <c r="BV23" t="s">
        <v>1093</v>
      </c>
      <c r="BW23"/>
      <c r="BX23"/>
      <c r="BY23"/>
      <c r="BZ23"/>
      <c r="CA23"/>
      <c r="CB23"/>
      <c r="CC23"/>
      <c r="CD23"/>
      <c r="CE23"/>
      <c r="CF23"/>
      <c r="CG23"/>
      <c r="CH23"/>
    </row>
    <row r="24" spans="1:86" ht="14.5">
      <c r="B24" s="898" t="s">
        <v>2941</v>
      </c>
      <c r="C24" s="157"/>
      <c r="D24" s="768" t="s">
        <v>2156</v>
      </c>
      <c r="E24" s="768" t="s">
        <v>2192</v>
      </c>
      <c r="F24" s="740" t="s">
        <v>2327</v>
      </c>
      <c r="G24" s="709" t="s">
        <v>2328</v>
      </c>
      <c r="H24" s="709">
        <v>1276</v>
      </c>
      <c r="I24" s="709">
        <v>191</v>
      </c>
      <c r="K24" s="768" t="s">
        <v>2157</v>
      </c>
      <c r="L24" s="736">
        <v>0</v>
      </c>
      <c r="M24" s="1123">
        <v>5.3999899999999998</v>
      </c>
      <c r="S24" s="771" t="s">
        <v>2329</v>
      </c>
      <c r="T24" s="768">
        <v>3</v>
      </c>
      <c r="U24" s="768">
        <v>3</v>
      </c>
      <c r="V24" s="768" t="s">
        <v>2297</v>
      </c>
      <c r="W24" s="768" t="s">
        <v>605</v>
      </c>
      <c r="Y24" s="761" t="s">
        <v>2222</v>
      </c>
      <c r="Z24" s="761" t="s">
        <v>2228</v>
      </c>
      <c r="AA24" s="761" t="s">
        <v>2286</v>
      </c>
      <c r="AB24" s="761" t="s">
        <v>2298</v>
      </c>
      <c r="AC24" s="761" t="s">
        <v>1404</v>
      </c>
      <c r="AD24" s="767"/>
      <c r="AF24" s="768" t="s">
        <v>2330</v>
      </c>
      <c r="AG24" s="736" t="s">
        <v>2174</v>
      </c>
      <c r="AH24" s="736" t="s">
        <v>43</v>
      </c>
      <c r="AI24" s="736" t="s">
        <v>3377</v>
      </c>
      <c r="AJ24" s="736" t="s">
        <v>3398</v>
      </c>
      <c r="AK24" s="732"/>
      <c r="AL24" s="732"/>
      <c r="AM24" s="740" t="s">
        <v>2331</v>
      </c>
      <c r="AN24" s="772">
        <v>13</v>
      </c>
      <c r="AO24" s="769">
        <v>12</v>
      </c>
      <c r="AP24" s="769"/>
      <c r="AQ24" s="769"/>
      <c r="AR24" s="982">
        <v>400</v>
      </c>
      <c r="AS24" s="744">
        <v>9.6999999999999993</v>
      </c>
      <c r="AT24" s="753">
        <v>9.5</v>
      </c>
      <c r="AU24" s="769" t="s">
        <v>288</v>
      </c>
      <c r="AV24" s="767" t="s">
        <v>288</v>
      </c>
      <c r="AX24" s="1986" t="s">
        <v>2308</v>
      </c>
      <c r="AY24" s="1987">
        <v>13.4</v>
      </c>
      <c r="AZ24" s="1988">
        <v>11.6</v>
      </c>
      <c r="BA24" s="1988"/>
      <c r="BB24" s="1988">
        <v>3.4</v>
      </c>
      <c r="BC24" s="1989">
        <v>2</v>
      </c>
      <c r="BD24" s="1987" t="s">
        <v>288</v>
      </c>
      <c r="BE24" s="1988" t="s">
        <v>288</v>
      </c>
      <c r="BF24" s="1988" t="s">
        <v>288</v>
      </c>
      <c r="BG24" s="1988" t="s">
        <v>288</v>
      </c>
      <c r="BH24" s="1990" t="s">
        <v>288</v>
      </c>
      <c r="BI24" s="1991"/>
      <c r="BJ24" s="1991"/>
      <c r="BK24" s="2013">
        <v>13.9</v>
      </c>
      <c r="BL24" s="2014">
        <v>11.7</v>
      </c>
      <c r="BM24" s="1963"/>
      <c r="BN24" s="2015">
        <v>3.4</v>
      </c>
      <c r="BS24" s="61" t="s">
        <v>655</v>
      </c>
      <c r="BT24" s="61" t="s">
        <v>1094</v>
      </c>
      <c r="BU24"/>
      <c r="BV24" s="61" t="s">
        <v>1043</v>
      </c>
      <c r="BW24" s="61" t="s">
        <v>1044</v>
      </c>
      <c r="BX24" s="61" t="s">
        <v>1045</v>
      </c>
      <c r="BY24" s="61" t="s">
        <v>1046</v>
      </c>
      <c r="BZ24" s="61" t="s">
        <v>1047</v>
      </c>
      <c r="CA24" s="61" t="s">
        <v>456</v>
      </c>
      <c r="CB24" s="61" t="s">
        <v>1048</v>
      </c>
      <c r="CC24" s="61" t="s">
        <v>1049</v>
      </c>
      <c r="CD24" s="61" t="s">
        <v>1050</v>
      </c>
      <c r="CE24" s="61" t="s">
        <v>363</v>
      </c>
      <c r="CF24" s="61" t="s">
        <v>1051</v>
      </c>
      <c r="CG24" s="61" t="s">
        <v>1052</v>
      </c>
      <c r="CH24" s="61" t="s">
        <v>1053</v>
      </c>
    </row>
    <row r="25" spans="1:86" ht="15" customHeight="1">
      <c r="B25" s="991">
        <v>3.4120000000000001E-3</v>
      </c>
      <c r="C25" s="157"/>
      <c r="D25" s="768" t="s">
        <v>2192</v>
      </c>
      <c r="E25" s="768" t="s">
        <v>2193</v>
      </c>
      <c r="F25" s="740" t="s">
        <v>2333</v>
      </c>
      <c r="G25" s="709" t="s">
        <v>2334</v>
      </c>
      <c r="H25" s="709">
        <v>992</v>
      </c>
      <c r="I25" s="709">
        <v>1082</v>
      </c>
      <c r="K25" s="768" t="s">
        <v>2250</v>
      </c>
      <c r="L25" s="736">
        <v>0</v>
      </c>
      <c r="M25" s="1123">
        <v>2.4999899999999999</v>
      </c>
      <c r="S25" s="771" t="s">
        <v>2335</v>
      </c>
      <c r="T25" s="768">
        <v>3</v>
      </c>
      <c r="U25" s="768">
        <v>3</v>
      </c>
      <c r="V25" s="768" t="s">
        <v>2285</v>
      </c>
      <c r="W25" s="768" t="s">
        <v>605</v>
      </c>
      <c r="Y25" s="761" t="s">
        <v>2222</v>
      </c>
      <c r="Z25" s="761" t="s">
        <v>2228</v>
      </c>
      <c r="AA25" s="761" t="s">
        <v>2286</v>
      </c>
      <c r="AB25" s="761" t="s">
        <v>2298</v>
      </c>
      <c r="AC25" s="761" t="s">
        <v>1404</v>
      </c>
      <c r="AD25" s="767"/>
      <c r="AF25" s="768" t="s">
        <v>2336</v>
      </c>
      <c r="AG25" s="736" t="s">
        <v>2337</v>
      </c>
      <c r="AH25" s="736" t="s">
        <v>43</v>
      </c>
      <c r="AI25" s="736" t="s">
        <v>3377</v>
      </c>
      <c r="AJ25" s="736" t="s">
        <v>3399</v>
      </c>
      <c r="AK25" s="732"/>
      <c r="AL25" s="732"/>
      <c r="AM25" s="740" t="s">
        <v>2338</v>
      </c>
      <c r="AN25" s="772">
        <v>13</v>
      </c>
      <c r="AO25" s="769">
        <v>12</v>
      </c>
      <c r="AP25" s="769"/>
      <c r="AQ25" s="769"/>
      <c r="AR25" s="982">
        <v>400</v>
      </c>
      <c r="AS25" s="744">
        <v>9.6999999999999993</v>
      </c>
      <c r="AT25" s="753">
        <v>9.5</v>
      </c>
      <c r="AU25" s="769" t="s">
        <v>288</v>
      </c>
      <c r="AV25" s="767" t="s">
        <v>288</v>
      </c>
      <c r="AX25" s="1986" t="s">
        <v>2314</v>
      </c>
      <c r="AY25" s="1987">
        <v>13.4</v>
      </c>
      <c r="AZ25" s="1988">
        <v>11.6</v>
      </c>
      <c r="BA25" s="1988"/>
      <c r="BB25" s="1988">
        <v>3.4</v>
      </c>
      <c r="BC25" s="1989">
        <v>2</v>
      </c>
      <c r="BD25" s="1987" t="s">
        <v>288</v>
      </c>
      <c r="BE25" s="1988" t="s">
        <v>288</v>
      </c>
      <c r="BF25" s="1988" t="s">
        <v>288</v>
      </c>
      <c r="BG25" s="1988" t="s">
        <v>288</v>
      </c>
      <c r="BH25" s="1990" t="s">
        <v>288</v>
      </c>
      <c r="BI25" s="1991"/>
      <c r="BJ25" s="1991"/>
      <c r="BK25" s="2013">
        <v>13.9</v>
      </c>
      <c r="BL25" s="2014">
        <v>11.7</v>
      </c>
      <c r="BM25" s="1963"/>
      <c r="BN25" s="2015">
        <v>3.4</v>
      </c>
      <c r="BS25" s="420">
        <v>8446</v>
      </c>
      <c r="BT25" s="2"/>
      <c r="BU25"/>
      <c r="BV25" s="29">
        <v>8446</v>
      </c>
      <c r="BW25" s="29" t="s">
        <v>1095</v>
      </c>
      <c r="BX25" s="29" t="s">
        <v>1096</v>
      </c>
      <c r="BY25" s="29" t="s">
        <v>1097</v>
      </c>
      <c r="BZ25" s="29" t="s">
        <v>1098</v>
      </c>
      <c r="CA25" s="29" t="s">
        <v>1099</v>
      </c>
      <c r="CB25" s="29" t="s">
        <v>1100</v>
      </c>
      <c r="CC25" s="29" t="s">
        <v>1101</v>
      </c>
      <c r="CD25" s="29" t="s">
        <v>1102</v>
      </c>
      <c r="CE25" s="29" t="s">
        <v>1103</v>
      </c>
      <c r="CF25" s="29" t="s">
        <v>1104</v>
      </c>
      <c r="CG25" s="29" t="s">
        <v>1105</v>
      </c>
      <c r="CH25" s="29">
        <v>564</v>
      </c>
    </row>
    <row r="26" spans="1:86" ht="14.5">
      <c r="A26" s="157"/>
      <c r="B26" s="157"/>
      <c r="C26" s="157"/>
      <c r="D26" s="768" t="s">
        <v>2197</v>
      </c>
      <c r="E26" s="768" t="s">
        <v>2194</v>
      </c>
      <c r="F26" s="740" t="s">
        <v>2339</v>
      </c>
      <c r="G26" s="709" t="s">
        <v>2340</v>
      </c>
      <c r="H26" s="709">
        <v>645</v>
      </c>
      <c r="I26" s="709">
        <v>813</v>
      </c>
      <c r="K26" s="768" t="s">
        <v>2251</v>
      </c>
      <c r="L26" s="736">
        <v>0</v>
      </c>
      <c r="M26" s="720">
        <v>11.249999000000001</v>
      </c>
      <c r="S26" s="771" t="s">
        <v>2341</v>
      </c>
      <c r="T26" s="768">
        <v>3</v>
      </c>
      <c r="U26" s="768">
        <v>3</v>
      </c>
      <c r="V26" s="768" t="s">
        <v>2297</v>
      </c>
      <c r="W26" s="768" t="s">
        <v>605</v>
      </c>
      <c r="Y26" s="761" t="s">
        <v>2222</v>
      </c>
      <c r="Z26" s="761" t="s">
        <v>2228</v>
      </c>
      <c r="AA26" s="761" t="s">
        <v>2286</v>
      </c>
      <c r="AB26" s="761" t="s">
        <v>2298</v>
      </c>
      <c r="AC26" s="761" t="s">
        <v>1404</v>
      </c>
      <c r="AD26" s="767"/>
      <c r="AF26" s="768" t="s">
        <v>2342</v>
      </c>
      <c r="AG26" s="736" t="s">
        <v>2343</v>
      </c>
      <c r="AH26" s="736" t="s">
        <v>43</v>
      </c>
      <c r="AI26" s="736" t="s">
        <v>3377</v>
      </c>
      <c r="AJ26" s="736" t="s">
        <v>3400</v>
      </c>
      <c r="AK26" s="732"/>
      <c r="AL26" s="732"/>
      <c r="AM26" s="740" t="s">
        <v>2344</v>
      </c>
      <c r="AN26" s="772">
        <v>13</v>
      </c>
      <c r="AO26" s="769">
        <v>12</v>
      </c>
      <c r="AP26" s="769"/>
      <c r="AQ26" s="769"/>
      <c r="AR26" s="982">
        <v>400</v>
      </c>
      <c r="AS26" s="744">
        <v>9.6999999999999993</v>
      </c>
      <c r="AT26" s="753">
        <v>9.5</v>
      </c>
      <c r="AU26" s="769" t="s">
        <v>288</v>
      </c>
      <c r="AV26" s="767" t="s">
        <v>288</v>
      </c>
      <c r="AX26" s="1986" t="s">
        <v>2321</v>
      </c>
      <c r="AY26" s="1987">
        <v>12.6</v>
      </c>
      <c r="AZ26" s="1988">
        <v>10.7</v>
      </c>
      <c r="BA26" s="1988"/>
      <c r="BB26" s="1988">
        <v>3.3</v>
      </c>
      <c r="BC26" s="1989">
        <v>2</v>
      </c>
      <c r="BD26" s="1987" t="s">
        <v>288</v>
      </c>
      <c r="BE26" s="1988" t="s">
        <v>288</v>
      </c>
      <c r="BF26" s="1988" t="s">
        <v>288</v>
      </c>
      <c r="BG26" s="1988" t="s">
        <v>288</v>
      </c>
      <c r="BH26" s="1990" t="s">
        <v>288</v>
      </c>
      <c r="BI26" s="1991"/>
      <c r="BJ26" s="1991"/>
      <c r="BK26" s="2013">
        <v>13.3</v>
      </c>
      <c r="BL26" s="2014">
        <v>11.4</v>
      </c>
      <c r="BM26" s="1963"/>
      <c r="BN26" s="2015">
        <v>3.3</v>
      </c>
      <c r="BS26" s="420">
        <v>8448</v>
      </c>
      <c r="BT26" s="2"/>
      <c r="BU26"/>
      <c r="BV26" s="29">
        <v>8448</v>
      </c>
      <c r="BW26" s="29"/>
      <c r="BX26" s="29" t="s">
        <v>1098</v>
      </c>
      <c r="BY26" s="29"/>
      <c r="BZ26" s="29" t="s">
        <v>1106</v>
      </c>
      <c r="CA26" s="29" t="s">
        <v>1107</v>
      </c>
      <c r="CB26" s="29" t="s">
        <v>1108</v>
      </c>
      <c r="CC26" s="29" t="s">
        <v>1109</v>
      </c>
      <c r="CD26" s="29" t="s">
        <v>1110</v>
      </c>
      <c r="CE26" s="29" t="s">
        <v>1111</v>
      </c>
      <c r="CF26" s="29" t="s">
        <v>1112</v>
      </c>
      <c r="CG26" s="29" t="s">
        <v>1113</v>
      </c>
      <c r="CH26" s="29" t="s">
        <v>1114</v>
      </c>
    </row>
    <row r="27" spans="1:86" ht="14.5">
      <c r="A27" s="157"/>
      <c r="B27" s="149" t="s">
        <v>2326</v>
      </c>
      <c r="C27" s="157"/>
      <c r="D27" s="768" t="s">
        <v>1342</v>
      </c>
      <c r="E27" s="768" t="s">
        <v>2197</v>
      </c>
      <c r="F27" s="740" t="s">
        <v>2345</v>
      </c>
      <c r="G27" s="709" t="s">
        <v>2346</v>
      </c>
      <c r="H27" s="709">
        <v>574</v>
      </c>
      <c r="I27" s="709">
        <v>821</v>
      </c>
      <c r="K27" s="768" t="s">
        <v>2160</v>
      </c>
      <c r="L27" s="736">
        <v>5.4</v>
      </c>
      <c r="M27" s="720">
        <v>11.24999</v>
      </c>
      <c r="S27" s="989" t="s">
        <v>2347</v>
      </c>
      <c r="T27" s="988">
        <v>5</v>
      </c>
      <c r="U27" s="988">
        <v>6</v>
      </c>
      <c r="V27" s="988"/>
      <c r="W27" s="768" t="s">
        <v>605</v>
      </c>
      <c r="X27" s="987"/>
      <c r="Y27" s="987"/>
      <c r="Z27" s="987"/>
      <c r="AA27" s="987"/>
      <c r="AB27" s="987"/>
      <c r="AC27" s="987"/>
      <c r="AD27" s="986"/>
      <c r="AF27" s="768" t="s">
        <v>2348</v>
      </c>
      <c r="AG27" s="736" t="s">
        <v>2175</v>
      </c>
      <c r="AH27" s="736" t="s">
        <v>43</v>
      </c>
      <c r="AI27" s="736" t="s">
        <v>3377</v>
      </c>
      <c r="AJ27" s="736" t="s">
        <v>3401</v>
      </c>
      <c r="AK27" s="732"/>
      <c r="AL27" s="732"/>
      <c r="AM27" s="740" t="s">
        <v>2349</v>
      </c>
      <c r="AN27" s="772">
        <v>12.1</v>
      </c>
      <c r="AO27" s="754">
        <v>10.6</v>
      </c>
      <c r="AP27" s="769"/>
      <c r="AQ27" s="769"/>
      <c r="AR27" s="982">
        <v>400</v>
      </c>
      <c r="AS27" s="744" t="s">
        <v>288</v>
      </c>
      <c r="AT27" s="769">
        <v>9</v>
      </c>
      <c r="AU27" s="769" t="s">
        <v>288</v>
      </c>
      <c r="AV27" s="767" t="s">
        <v>288</v>
      </c>
      <c r="AX27" s="1986" t="s">
        <v>2329</v>
      </c>
      <c r="AY27" s="1987">
        <v>12.6</v>
      </c>
      <c r="AZ27" s="1988">
        <v>10.7</v>
      </c>
      <c r="BA27" s="1988"/>
      <c r="BB27" s="1988">
        <v>3.3</v>
      </c>
      <c r="BC27" s="1989">
        <v>2</v>
      </c>
      <c r="BD27" s="1987" t="s">
        <v>288</v>
      </c>
      <c r="BE27" s="1988" t="s">
        <v>288</v>
      </c>
      <c r="BF27" s="1988" t="s">
        <v>288</v>
      </c>
      <c r="BG27" s="1988" t="s">
        <v>288</v>
      </c>
      <c r="BH27" s="1990" t="s">
        <v>288</v>
      </c>
      <c r="BI27" s="1991"/>
      <c r="BJ27" s="1991"/>
      <c r="BK27" s="2013">
        <v>13.3</v>
      </c>
      <c r="BL27" s="2014">
        <v>11.4</v>
      </c>
      <c r="BM27" s="1963"/>
      <c r="BN27" s="2015">
        <v>3.3</v>
      </c>
      <c r="BS27" s="420">
        <v>8465</v>
      </c>
      <c r="BT27" s="2"/>
      <c r="BU27"/>
      <c r="BV27" s="29">
        <v>8476</v>
      </c>
      <c r="BW27" s="29"/>
      <c r="BX27" s="29" t="s">
        <v>1106</v>
      </c>
      <c r="BY27" s="29"/>
      <c r="BZ27" s="29" t="s">
        <v>1115</v>
      </c>
      <c r="CA27" s="29" t="s">
        <v>1116</v>
      </c>
      <c r="CB27" s="29" t="s">
        <v>1117</v>
      </c>
      <c r="CC27" s="29" t="s">
        <v>1118</v>
      </c>
      <c r="CD27" s="29"/>
      <c r="CE27" s="29" t="s">
        <v>1119</v>
      </c>
      <c r="CF27" s="29" t="s">
        <v>1120</v>
      </c>
      <c r="CG27" s="29"/>
      <c r="CH27" s="29">
        <v>557</v>
      </c>
    </row>
    <row r="28" spans="1:86" ht="14.5">
      <c r="A28" s="157"/>
      <c r="B28" s="898" t="s">
        <v>2332</v>
      </c>
      <c r="C28" s="157"/>
      <c r="D28" s="768" t="s">
        <v>2194</v>
      </c>
      <c r="E28" s="768" t="s">
        <v>1342</v>
      </c>
      <c r="F28" s="740" t="s">
        <v>2350</v>
      </c>
      <c r="G28" s="709" t="s">
        <v>2351</v>
      </c>
      <c r="H28" s="709">
        <v>1279</v>
      </c>
      <c r="I28" s="709">
        <v>191</v>
      </c>
      <c r="K28" s="768" t="s">
        <v>2161</v>
      </c>
      <c r="L28" s="736">
        <v>11.25</v>
      </c>
      <c r="M28" s="1124">
        <v>19.99999</v>
      </c>
      <c r="S28" s="989" t="s">
        <v>2352</v>
      </c>
      <c r="T28" s="988">
        <v>5</v>
      </c>
      <c r="U28" s="988">
        <v>6</v>
      </c>
      <c r="V28" s="988"/>
      <c r="W28" s="768" t="s">
        <v>605</v>
      </c>
      <c r="X28" s="987"/>
      <c r="Y28" s="987"/>
      <c r="Z28" s="987"/>
      <c r="AA28" s="987"/>
      <c r="AB28" s="987"/>
      <c r="AC28" s="987"/>
      <c r="AD28" s="986"/>
      <c r="AF28" s="768" t="s">
        <v>2353</v>
      </c>
      <c r="AG28" s="736" t="s">
        <v>2354</v>
      </c>
      <c r="AH28" s="736" t="s">
        <v>43</v>
      </c>
      <c r="AI28" s="736" t="s">
        <v>3377</v>
      </c>
      <c r="AJ28" s="736" t="s">
        <v>3402</v>
      </c>
      <c r="AK28" s="732"/>
      <c r="AL28" s="732"/>
      <c r="AM28" s="740" t="s">
        <v>2355</v>
      </c>
      <c r="AN28" s="772">
        <v>12.1</v>
      </c>
      <c r="AO28" s="754">
        <v>10.6</v>
      </c>
      <c r="AP28" s="769"/>
      <c r="AQ28" s="769"/>
      <c r="AR28" s="982">
        <v>400</v>
      </c>
      <c r="AS28" s="744">
        <v>9.5</v>
      </c>
      <c r="AT28" s="753">
        <v>9.3000000000000007</v>
      </c>
      <c r="AU28" s="769" t="s">
        <v>288</v>
      </c>
      <c r="AV28" s="767" t="s">
        <v>288</v>
      </c>
      <c r="AX28" s="1986" t="s">
        <v>2335</v>
      </c>
      <c r="AY28" s="1987">
        <v>11.6</v>
      </c>
      <c r="AZ28" s="1988">
        <v>10.1</v>
      </c>
      <c r="BA28" s="1988"/>
      <c r="BB28" s="1988">
        <v>3.3</v>
      </c>
      <c r="BC28" s="1989">
        <v>2</v>
      </c>
      <c r="BD28" s="1987" t="s">
        <v>288</v>
      </c>
      <c r="BE28" s="1988" t="s">
        <v>288</v>
      </c>
      <c r="BF28" s="1988" t="s">
        <v>288</v>
      </c>
      <c r="BG28" s="1988" t="s">
        <v>288</v>
      </c>
      <c r="BH28" s="1990" t="s">
        <v>288</v>
      </c>
      <c r="BI28" s="1991"/>
      <c r="BJ28" s="1991"/>
      <c r="BK28" s="2013">
        <v>12.3</v>
      </c>
      <c r="BL28" s="2014">
        <v>10.8</v>
      </c>
      <c r="BM28" s="1963"/>
      <c r="BN28" s="2016">
        <v>3.2</v>
      </c>
      <c r="BS28" s="420">
        <v>8466</v>
      </c>
      <c r="BT28" s="2"/>
      <c r="BU28"/>
      <c r="BV28" s="29">
        <v>8600</v>
      </c>
      <c r="BW28" s="29"/>
      <c r="BX28" s="29" t="s">
        <v>1115</v>
      </c>
      <c r="BY28" s="29"/>
      <c r="BZ28" s="29" t="s">
        <v>1121</v>
      </c>
      <c r="CA28" s="29"/>
      <c r="CB28" s="29" t="s">
        <v>1122</v>
      </c>
      <c r="CC28" s="29" t="s">
        <v>1123</v>
      </c>
      <c r="CD28" s="29"/>
      <c r="CE28" s="29" t="s">
        <v>1124</v>
      </c>
      <c r="CF28" s="29" t="s">
        <v>1125</v>
      </c>
      <c r="CG28" s="29"/>
      <c r="CH28" s="29">
        <v>563</v>
      </c>
    </row>
    <row r="29" spans="1:86" ht="15" thickBot="1">
      <c r="A29" s="157"/>
      <c r="B29" s="990">
        <v>0.8</v>
      </c>
      <c r="C29" s="157"/>
      <c r="D29" s="768" t="s">
        <v>2199</v>
      </c>
      <c r="E29" s="768" t="s">
        <v>2198</v>
      </c>
      <c r="F29" s="740" t="s">
        <v>2356</v>
      </c>
      <c r="G29" s="709" t="s">
        <v>2357</v>
      </c>
      <c r="H29" s="709">
        <v>704</v>
      </c>
      <c r="I29" s="709">
        <v>708</v>
      </c>
      <c r="K29" s="768" t="s">
        <v>2162</v>
      </c>
      <c r="L29" s="736">
        <v>20</v>
      </c>
      <c r="M29" s="1124">
        <v>62.999989999999997</v>
      </c>
      <c r="S29" s="989" t="s">
        <v>2358</v>
      </c>
      <c r="T29" s="988">
        <v>5</v>
      </c>
      <c r="U29" s="988">
        <v>6</v>
      </c>
      <c r="V29" s="988"/>
      <c r="W29" s="768" t="s">
        <v>605</v>
      </c>
      <c r="X29" s="987"/>
      <c r="Y29" s="987"/>
      <c r="Z29" s="987"/>
      <c r="AA29" s="987"/>
      <c r="AB29" s="987"/>
      <c r="AC29" s="987"/>
      <c r="AD29" s="986"/>
      <c r="AF29" s="768" t="s">
        <v>2359</v>
      </c>
      <c r="AG29" s="736" t="s">
        <v>2360</v>
      </c>
      <c r="AH29" s="736" t="s">
        <v>43</v>
      </c>
      <c r="AI29" s="736" t="s">
        <v>3377</v>
      </c>
      <c r="AJ29" s="736" t="s">
        <v>3403</v>
      </c>
      <c r="AK29" s="732"/>
      <c r="AL29" s="732"/>
      <c r="AM29" s="740" t="s">
        <v>2361</v>
      </c>
      <c r="AN29" s="772">
        <v>12.1</v>
      </c>
      <c r="AO29" s="754">
        <v>10.6</v>
      </c>
      <c r="AP29" s="769"/>
      <c r="AQ29" s="769"/>
      <c r="AR29" s="982">
        <v>400</v>
      </c>
      <c r="AS29" s="744">
        <v>9.5</v>
      </c>
      <c r="AT29" s="753">
        <v>9.3000000000000007</v>
      </c>
      <c r="AU29" s="769" t="s">
        <v>288</v>
      </c>
      <c r="AV29" s="767" t="s">
        <v>288</v>
      </c>
      <c r="AX29" s="1986" t="s">
        <v>2341</v>
      </c>
      <c r="AY29" s="1987">
        <v>11.6</v>
      </c>
      <c r="AZ29" s="1988">
        <v>10.1</v>
      </c>
      <c r="BA29" s="1988"/>
      <c r="BB29" s="1988">
        <v>3.3</v>
      </c>
      <c r="BC29" s="1989">
        <v>2</v>
      </c>
      <c r="BD29" s="1987" t="s">
        <v>288</v>
      </c>
      <c r="BE29" s="1988" t="s">
        <v>288</v>
      </c>
      <c r="BF29" s="1988" t="s">
        <v>288</v>
      </c>
      <c r="BG29" s="1988" t="s">
        <v>288</v>
      </c>
      <c r="BH29" s="1990" t="s">
        <v>288</v>
      </c>
      <c r="BI29" s="1991"/>
      <c r="BJ29" s="1991"/>
      <c r="BK29" s="2017">
        <v>12.3</v>
      </c>
      <c r="BL29" s="2018">
        <v>10.8</v>
      </c>
      <c r="BM29" s="2019"/>
      <c r="BN29" s="2020">
        <v>3.2</v>
      </c>
      <c r="BS29" s="420">
        <v>8476</v>
      </c>
      <c r="BT29" s="2"/>
      <c r="BU29"/>
      <c r="BV29" s="29">
        <v>8620</v>
      </c>
      <c r="BW29" s="29"/>
      <c r="BX29" s="29"/>
      <c r="BY29" s="29"/>
      <c r="BZ29" s="29"/>
      <c r="CA29" s="29"/>
      <c r="CB29" s="29" t="s">
        <v>1126</v>
      </c>
      <c r="CC29" s="29"/>
      <c r="CD29" s="29"/>
      <c r="CE29" s="29"/>
      <c r="CF29" s="29" t="s">
        <v>1127</v>
      </c>
      <c r="CG29" s="29"/>
      <c r="CH29" s="29"/>
    </row>
    <row r="30" spans="1:86" ht="14.5">
      <c r="A30" s="157"/>
      <c r="C30" s="157"/>
      <c r="D30" s="768" t="s">
        <v>2198</v>
      </c>
      <c r="E30" s="768" t="s">
        <v>2199</v>
      </c>
      <c r="F30" s="740" t="s">
        <v>2362</v>
      </c>
      <c r="G30" s="709" t="s">
        <v>2363</v>
      </c>
      <c r="H30" s="709">
        <v>1925</v>
      </c>
      <c r="I30" s="709">
        <v>2477</v>
      </c>
      <c r="K30" s="768" t="s">
        <v>2266</v>
      </c>
      <c r="L30" s="736">
        <v>20</v>
      </c>
      <c r="M30" s="736" t="s">
        <v>1404</v>
      </c>
      <c r="S30" s="771" t="s">
        <v>2364</v>
      </c>
      <c r="T30" s="768">
        <v>5</v>
      </c>
      <c r="U30" s="768">
        <v>4</v>
      </c>
      <c r="V30" s="768" t="s">
        <v>2365</v>
      </c>
      <c r="W30" s="768" t="s">
        <v>605</v>
      </c>
      <c r="Y30" s="761" t="s">
        <v>2365</v>
      </c>
      <c r="Z30" s="761" t="s">
        <v>1404</v>
      </c>
      <c r="AD30" s="767"/>
      <c r="AF30" s="768" t="s">
        <v>2366</v>
      </c>
      <c r="AG30" s="736" t="s">
        <v>2176</v>
      </c>
      <c r="AH30" s="736" t="s">
        <v>43</v>
      </c>
      <c r="AI30" s="736" t="s">
        <v>3377</v>
      </c>
      <c r="AJ30" s="736" t="s">
        <v>3404</v>
      </c>
      <c r="AK30" s="732"/>
      <c r="AL30" s="732"/>
      <c r="AM30" s="740" t="s">
        <v>2367</v>
      </c>
      <c r="AN30" s="772">
        <v>12.1</v>
      </c>
      <c r="AO30" s="754">
        <v>10.6</v>
      </c>
      <c r="AP30" s="769"/>
      <c r="AQ30" s="769"/>
      <c r="AR30" s="982">
        <v>400</v>
      </c>
      <c r="AS30" s="744">
        <v>9.5</v>
      </c>
      <c r="AT30" s="753">
        <v>9.3000000000000007</v>
      </c>
      <c r="AU30" s="769" t="s">
        <v>288</v>
      </c>
      <c r="AV30" s="767" t="s">
        <v>288</v>
      </c>
      <c r="AX30" s="1976" t="s">
        <v>2347</v>
      </c>
      <c r="AY30" s="1977"/>
      <c r="AZ30" s="1978">
        <v>17</v>
      </c>
      <c r="BA30" s="1978"/>
      <c r="BB30" s="1978">
        <v>3.5</v>
      </c>
      <c r="BC30" s="1979">
        <v>2</v>
      </c>
      <c r="BD30" s="1977"/>
      <c r="BE30" s="1978">
        <v>18</v>
      </c>
      <c r="BF30" s="1978"/>
      <c r="BG30" s="1978">
        <v>3.9</v>
      </c>
      <c r="BH30" s="1980">
        <v>1500</v>
      </c>
      <c r="BI30" s="1981"/>
      <c r="BJ30" s="1981"/>
      <c r="BK30" s="1977"/>
      <c r="BL30" s="2021">
        <v>11.2</v>
      </c>
      <c r="BM30" s="1978"/>
      <c r="BN30" s="1982">
        <v>3.3</v>
      </c>
      <c r="BS30" s="420">
        <v>8600</v>
      </c>
      <c r="BT30" s="2"/>
      <c r="BU30"/>
      <c r="BV30" s="29">
        <v>8910</v>
      </c>
      <c r="BW30" s="29"/>
      <c r="BX30" s="29"/>
      <c r="BY30" s="29"/>
      <c r="BZ30" s="29"/>
      <c r="CA30" s="29"/>
      <c r="CB30" s="29" t="s">
        <v>1128</v>
      </c>
      <c r="CC30" s="29"/>
      <c r="CD30" s="29"/>
      <c r="CE30" s="29"/>
      <c r="CF30" s="29" t="s">
        <v>1129</v>
      </c>
      <c r="CG30" s="29"/>
      <c r="CH30" s="29"/>
    </row>
    <row r="31" spans="1:86" ht="14.5">
      <c r="A31" s="157"/>
      <c r="B31" s="149" t="s">
        <v>2291</v>
      </c>
      <c r="C31" s="157"/>
      <c r="D31" s="768" t="s">
        <v>5272</v>
      </c>
      <c r="E31" s="768" t="s">
        <v>5272</v>
      </c>
      <c r="F31" s="740" t="s">
        <v>2368</v>
      </c>
      <c r="G31" s="709" t="s">
        <v>2369</v>
      </c>
      <c r="H31" s="709">
        <v>3049</v>
      </c>
      <c r="I31" s="709">
        <v>655</v>
      </c>
      <c r="K31" s="768" t="s">
        <v>2377</v>
      </c>
      <c r="L31" s="736">
        <v>63</v>
      </c>
      <c r="M31" s="736" t="s">
        <v>1404</v>
      </c>
      <c r="S31" s="771" t="s">
        <v>2290</v>
      </c>
      <c r="T31" s="768">
        <v>2</v>
      </c>
      <c r="U31" s="768">
        <v>2</v>
      </c>
      <c r="V31" s="768" t="s">
        <v>2370</v>
      </c>
      <c r="W31" s="768" t="s">
        <v>1404</v>
      </c>
      <c r="Y31" s="761" t="s">
        <v>2371</v>
      </c>
      <c r="Z31" s="761" t="s">
        <v>1404</v>
      </c>
      <c r="AD31" s="767"/>
      <c r="AF31" s="768" t="s">
        <v>2372</v>
      </c>
      <c r="AG31" s="736" t="s">
        <v>2373</v>
      </c>
      <c r="AH31" s="736" t="s">
        <v>43</v>
      </c>
      <c r="AI31" s="736" t="s">
        <v>3377</v>
      </c>
      <c r="AJ31" s="736" t="s">
        <v>3405</v>
      </c>
      <c r="AK31" s="732"/>
      <c r="AL31" s="732"/>
      <c r="AM31" s="740" t="s">
        <v>2374</v>
      </c>
      <c r="AN31" s="772">
        <v>12.1</v>
      </c>
      <c r="AO31" s="754">
        <v>10.6</v>
      </c>
      <c r="AP31" s="769"/>
      <c r="AQ31" s="769"/>
      <c r="AR31" s="982">
        <v>400</v>
      </c>
      <c r="AS31" s="744">
        <v>9.5</v>
      </c>
      <c r="AT31" s="753">
        <v>9.3000000000000007</v>
      </c>
      <c r="AU31" s="769" t="s">
        <v>288</v>
      </c>
      <c r="AV31" s="767" t="s">
        <v>288</v>
      </c>
      <c r="AX31" s="1976" t="s">
        <v>2352</v>
      </c>
      <c r="AY31" s="1977"/>
      <c r="AZ31" s="1978">
        <v>20</v>
      </c>
      <c r="BA31" s="1978"/>
      <c r="BB31" s="1978">
        <v>4.2</v>
      </c>
      <c r="BC31" s="1979">
        <v>2</v>
      </c>
      <c r="BD31" s="1977"/>
      <c r="BE31" s="1978">
        <v>23</v>
      </c>
      <c r="BF31" s="1978"/>
      <c r="BG31" s="1978">
        <v>4.5</v>
      </c>
      <c r="BH31" s="1980">
        <v>1500</v>
      </c>
      <c r="BI31" s="1981"/>
      <c r="BJ31" s="1981"/>
      <c r="BK31" s="1977"/>
      <c r="BL31" s="2014">
        <v>11.2</v>
      </c>
      <c r="BM31" s="1978"/>
      <c r="BN31" s="1982">
        <v>3.3</v>
      </c>
      <c r="BS31" s="420">
        <v>8620</v>
      </c>
      <c r="BT31" s="2"/>
      <c r="BU31"/>
      <c r="BV31" s="29" t="s">
        <v>1083</v>
      </c>
      <c r="BW31" s="29"/>
      <c r="BX31" s="29"/>
      <c r="BY31" s="29"/>
      <c r="BZ31" s="29"/>
      <c r="CA31" s="29"/>
      <c r="CB31" s="29" t="s">
        <v>1130</v>
      </c>
      <c r="CC31" s="29"/>
      <c r="CD31" s="29"/>
      <c r="CE31" s="29"/>
      <c r="CF31" s="29" t="s">
        <v>1131</v>
      </c>
      <c r="CG31" s="29"/>
      <c r="CH31" s="29"/>
    </row>
    <row r="32" spans="1:86" ht="15" thickBot="1">
      <c r="A32" s="157"/>
      <c r="B32" s="898" t="s">
        <v>2303</v>
      </c>
      <c r="C32" s="157"/>
      <c r="D32" s="768"/>
      <c r="E32" s="768"/>
      <c r="F32" s="740" t="s">
        <v>2375</v>
      </c>
      <c r="G32" s="709" t="s">
        <v>2376</v>
      </c>
      <c r="H32" s="709">
        <v>1756</v>
      </c>
      <c r="I32" s="709">
        <v>1643</v>
      </c>
      <c r="K32" s="763" t="s">
        <v>2163</v>
      </c>
      <c r="L32" s="733">
        <v>0</v>
      </c>
      <c r="M32" s="733" t="s">
        <v>1404</v>
      </c>
      <c r="S32" s="768" t="s">
        <v>2302</v>
      </c>
      <c r="T32" s="768">
        <v>2</v>
      </c>
      <c r="U32" s="768">
        <v>2</v>
      </c>
      <c r="V32" s="768" t="s">
        <v>2370</v>
      </c>
      <c r="W32" s="768" t="s">
        <v>1404</v>
      </c>
      <c r="Y32" s="761" t="s">
        <v>2371</v>
      </c>
      <c r="Z32" s="761" t="s">
        <v>1404</v>
      </c>
      <c r="AD32" s="767"/>
      <c r="AF32" s="768" t="s">
        <v>2378</v>
      </c>
      <c r="AG32" s="736" t="s">
        <v>2379</v>
      </c>
      <c r="AH32" s="736" t="s">
        <v>43</v>
      </c>
      <c r="AI32" s="736" t="s">
        <v>3377</v>
      </c>
      <c r="AJ32" s="736" t="s">
        <v>3406</v>
      </c>
      <c r="AK32" s="732"/>
      <c r="AL32" s="732"/>
      <c r="AM32" s="740" t="s">
        <v>2380</v>
      </c>
      <c r="AN32" s="772">
        <v>12.1</v>
      </c>
      <c r="AO32" s="754">
        <v>10.6</v>
      </c>
      <c r="AP32" s="769"/>
      <c r="AQ32" s="769"/>
      <c r="AR32" s="982">
        <v>400</v>
      </c>
      <c r="AS32" s="744">
        <v>9.5</v>
      </c>
      <c r="AT32" s="753">
        <v>9.3000000000000007</v>
      </c>
      <c r="AU32" s="769" t="s">
        <v>288</v>
      </c>
      <c r="AV32" s="767" t="s">
        <v>288</v>
      </c>
      <c r="AX32" s="1976" t="s">
        <v>2358</v>
      </c>
      <c r="AY32" s="1977"/>
      <c r="AZ32" s="1993">
        <v>17</v>
      </c>
      <c r="BA32" s="1993"/>
      <c r="BB32" s="1993">
        <v>3.5</v>
      </c>
      <c r="BC32" s="1979">
        <v>2</v>
      </c>
      <c r="BD32" s="1977"/>
      <c r="BE32" s="1978">
        <v>20</v>
      </c>
      <c r="BF32" s="1978"/>
      <c r="BG32" s="1978">
        <v>4</v>
      </c>
      <c r="BH32" s="1980">
        <v>1500</v>
      </c>
      <c r="BI32" s="1981"/>
      <c r="BJ32" s="1981"/>
      <c r="BK32" s="1977"/>
      <c r="BL32" s="2018">
        <v>11.2</v>
      </c>
      <c r="BM32" s="1978"/>
      <c r="BN32" s="1982">
        <v>3.3</v>
      </c>
      <c r="BS32" s="420">
        <v>8910</v>
      </c>
      <c r="BT32" s="2"/>
      <c r="BU32"/>
      <c r="BV32" s="29" t="s">
        <v>1085</v>
      </c>
      <c r="BW32" s="29"/>
      <c r="BX32" s="29"/>
      <c r="BY32" s="29"/>
      <c r="BZ32" s="29"/>
      <c r="CA32" s="29"/>
      <c r="CB32" s="29" t="s">
        <v>1132</v>
      </c>
      <c r="CC32" s="29"/>
      <c r="CD32" s="29"/>
      <c r="CE32" s="29"/>
      <c r="CF32" s="29" t="s">
        <v>1133</v>
      </c>
      <c r="CG32" s="29"/>
      <c r="CH32" s="29"/>
    </row>
    <row r="33" spans="1:86" ht="14.5">
      <c r="A33" s="157"/>
      <c r="B33" s="985">
        <v>15</v>
      </c>
      <c r="C33" s="157"/>
      <c r="D33" s="768"/>
      <c r="E33" s="768"/>
      <c r="F33" s="740" t="s">
        <v>2381</v>
      </c>
      <c r="G33" s="709" t="s">
        <v>2382</v>
      </c>
      <c r="H33" s="709">
        <v>1487</v>
      </c>
      <c r="I33" s="709">
        <v>1711</v>
      </c>
      <c r="S33" s="768" t="s">
        <v>2311</v>
      </c>
      <c r="T33" s="768">
        <v>2</v>
      </c>
      <c r="U33" s="768">
        <v>2</v>
      </c>
      <c r="V33" s="768" t="s">
        <v>2370</v>
      </c>
      <c r="W33" s="768" t="s">
        <v>1404</v>
      </c>
      <c r="Y33" s="761" t="s">
        <v>2371</v>
      </c>
      <c r="Z33" s="761" t="s">
        <v>1404</v>
      </c>
      <c r="AD33" s="767"/>
      <c r="AF33" s="768" t="s">
        <v>2383</v>
      </c>
      <c r="AG33" s="736" t="s">
        <v>2384</v>
      </c>
      <c r="AH33" s="736" t="s">
        <v>43</v>
      </c>
      <c r="AI33" s="736" t="s">
        <v>3377</v>
      </c>
      <c r="AJ33" s="736" t="s">
        <v>3407</v>
      </c>
      <c r="AK33" s="732"/>
      <c r="AL33" s="732"/>
      <c r="AM33" s="740" t="s">
        <v>2385</v>
      </c>
      <c r="AN33" s="772">
        <v>12.1</v>
      </c>
      <c r="AO33" s="754">
        <v>10.6</v>
      </c>
      <c r="AP33" s="769"/>
      <c r="AQ33" s="769"/>
      <c r="AR33" s="982">
        <v>400</v>
      </c>
      <c r="AS33" s="744">
        <v>9.5</v>
      </c>
      <c r="AT33" s="753">
        <v>9.3000000000000007</v>
      </c>
      <c r="AU33" s="769" t="s">
        <v>288</v>
      </c>
      <c r="AV33" s="767" t="s">
        <v>288</v>
      </c>
      <c r="AX33" s="1961" t="s">
        <v>2364</v>
      </c>
      <c r="AY33" s="1962"/>
      <c r="AZ33" s="1963">
        <v>14</v>
      </c>
      <c r="BA33" s="1963"/>
      <c r="BB33" s="1963">
        <v>4.5999999999999996</v>
      </c>
      <c r="BC33" s="1964">
        <v>2</v>
      </c>
      <c r="BD33" s="1962" t="s">
        <v>288</v>
      </c>
      <c r="BE33" s="1963" t="s">
        <v>288</v>
      </c>
      <c r="BF33" s="1963" t="s">
        <v>288</v>
      </c>
      <c r="BG33" s="1963" t="s">
        <v>288</v>
      </c>
      <c r="BH33" s="1965" t="s">
        <v>288</v>
      </c>
      <c r="BI33" s="1966"/>
      <c r="BJ33" s="1966"/>
      <c r="BK33" s="1962"/>
      <c r="BL33" s="1963">
        <v>12.2</v>
      </c>
      <c r="BM33" s="1963"/>
      <c r="BN33" s="1967">
        <v>4.3</v>
      </c>
      <c r="BS33" s="420" t="s">
        <v>1083</v>
      </c>
      <c r="BT33" s="2"/>
      <c r="BU33"/>
      <c r="BV33" s="29" t="s">
        <v>1087</v>
      </c>
      <c r="BW33" s="29"/>
      <c r="BX33" s="29"/>
      <c r="BY33" s="29"/>
      <c r="BZ33" s="29"/>
      <c r="CA33" s="29"/>
      <c r="CB33" s="29" t="s">
        <v>1857</v>
      </c>
      <c r="CC33" s="29"/>
      <c r="CD33" s="29"/>
      <c r="CE33" s="29"/>
      <c r="CF33" s="29" t="s">
        <v>1134</v>
      </c>
      <c r="CG33" s="29"/>
      <c r="CH33" s="29"/>
    </row>
    <row r="34" spans="1:86" ht="14.5">
      <c r="A34" s="157"/>
      <c r="B34" s="157"/>
      <c r="C34" s="157"/>
      <c r="D34" s="768"/>
      <c r="E34" s="768"/>
      <c r="F34" s="740" t="s">
        <v>2386</v>
      </c>
      <c r="G34" s="709" t="s">
        <v>2387</v>
      </c>
      <c r="H34" s="709">
        <v>549</v>
      </c>
      <c r="I34" s="709">
        <v>714</v>
      </c>
      <c r="S34" s="768" t="s">
        <v>2388</v>
      </c>
      <c r="T34" s="768">
        <v>5</v>
      </c>
      <c r="U34" s="768">
        <v>4</v>
      </c>
      <c r="V34" s="768" t="s">
        <v>2370</v>
      </c>
      <c r="W34" s="768" t="s">
        <v>605</v>
      </c>
      <c r="Y34" s="761" t="s">
        <v>2389</v>
      </c>
      <c r="Z34" s="761" t="s">
        <v>2371</v>
      </c>
      <c r="AA34" s="761" t="s">
        <v>1404</v>
      </c>
      <c r="AD34" s="767"/>
      <c r="AF34" s="768" t="s">
        <v>2390</v>
      </c>
      <c r="AG34" s="736" t="s">
        <v>2391</v>
      </c>
      <c r="AH34" s="736" t="s">
        <v>43</v>
      </c>
      <c r="AI34" s="736" t="s">
        <v>3377</v>
      </c>
      <c r="AJ34" s="736" t="s">
        <v>3408</v>
      </c>
      <c r="AK34" s="732"/>
      <c r="AL34" s="732"/>
      <c r="AM34" s="740" t="s">
        <v>2392</v>
      </c>
      <c r="AN34" s="772">
        <v>12.1</v>
      </c>
      <c r="AO34" s="754">
        <v>10.6</v>
      </c>
      <c r="AP34" s="769"/>
      <c r="AQ34" s="769"/>
      <c r="AR34" s="982">
        <v>400</v>
      </c>
      <c r="AS34" s="744">
        <v>9.5</v>
      </c>
      <c r="AT34" s="753">
        <v>9.3000000000000007</v>
      </c>
      <c r="AU34" s="769" t="s">
        <v>288</v>
      </c>
      <c r="AV34" s="767" t="s">
        <v>288</v>
      </c>
      <c r="AX34" s="1994" t="s">
        <v>2388</v>
      </c>
      <c r="AY34" s="1978"/>
      <c r="AZ34" s="1978">
        <v>12.2</v>
      </c>
      <c r="BA34" s="1978"/>
      <c r="BB34" s="1978">
        <v>3.5</v>
      </c>
      <c r="BC34" s="1979">
        <v>2</v>
      </c>
      <c r="BD34" s="1978" t="s">
        <v>288</v>
      </c>
      <c r="BE34" s="1978" t="s">
        <v>288</v>
      </c>
      <c r="BF34" s="1978" t="s">
        <v>288</v>
      </c>
      <c r="BG34" s="1978" t="s">
        <v>288</v>
      </c>
      <c r="BH34" s="1978" t="s">
        <v>288</v>
      </c>
      <c r="BI34" s="1978"/>
      <c r="BJ34" s="1982"/>
      <c r="BK34" s="1978"/>
      <c r="BL34" s="1978">
        <v>14</v>
      </c>
      <c r="BM34" s="1978">
        <v>3.7</v>
      </c>
      <c r="BN34" s="1982">
        <v>5.1999999999999998E-2</v>
      </c>
      <c r="BS34" s="420" t="s">
        <v>1085</v>
      </c>
      <c r="BT34" s="2"/>
      <c r="BU34"/>
      <c r="BV34" s="29" t="s">
        <v>1088</v>
      </c>
      <c r="BW34" s="29"/>
      <c r="BX34" s="29"/>
      <c r="BY34" s="29"/>
      <c r="BZ34" s="29"/>
      <c r="CA34" s="29"/>
      <c r="CB34" s="29" t="s">
        <v>1858</v>
      </c>
      <c r="CC34" s="29"/>
      <c r="CD34" s="29"/>
      <c r="CE34" s="29"/>
      <c r="CF34" s="29" t="s">
        <v>1135</v>
      </c>
      <c r="CG34" s="29"/>
      <c r="CH34" s="29"/>
    </row>
    <row r="35" spans="1:86" ht="14.5">
      <c r="A35" s="157"/>
      <c r="B35" s="114" t="s">
        <v>3335</v>
      </c>
      <c r="C35" s="157"/>
      <c r="D35" s="768"/>
      <c r="E35" s="768"/>
      <c r="F35" s="740" t="s">
        <v>2393</v>
      </c>
      <c r="G35" s="709" t="s">
        <v>2394</v>
      </c>
      <c r="H35" s="709">
        <v>1233</v>
      </c>
      <c r="I35" s="709">
        <v>619</v>
      </c>
      <c r="S35" s="768" t="s">
        <v>2395</v>
      </c>
      <c r="T35" s="768">
        <v>5</v>
      </c>
      <c r="U35" s="768">
        <v>4</v>
      </c>
      <c r="V35" s="768" t="s">
        <v>2370</v>
      </c>
      <c r="W35" s="768" t="s">
        <v>605</v>
      </c>
      <c r="Y35" s="761" t="s">
        <v>2389</v>
      </c>
      <c r="Z35" s="761" t="s">
        <v>2371</v>
      </c>
      <c r="AA35" s="761" t="s">
        <v>1404</v>
      </c>
      <c r="AD35" s="767"/>
      <c r="AF35" s="768" t="s">
        <v>2396</v>
      </c>
      <c r="AG35" s="736" t="s">
        <v>2397</v>
      </c>
      <c r="AH35" s="736" t="s">
        <v>43</v>
      </c>
      <c r="AI35" s="736" t="s">
        <v>3377</v>
      </c>
      <c r="AJ35" s="736" t="s">
        <v>3409</v>
      </c>
      <c r="AK35" s="732"/>
      <c r="AL35" s="732"/>
      <c r="AM35" s="740" t="s">
        <v>2398</v>
      </c>
      <c r="AN35" s="772">
        <v>11.4</v>
      </c>
      <c r="AO35" s="769">
        <v>10.199999999999999</v>
      </c>
      <c r="AP35" s="769"/>
      <c r="AQ35" s="769"/>
      <c r="AR35" s="982">
        <v>400</v>
      </c>
      <c r="AS35" s="744" t="s">
        <v>288</v>
      </c>
      <c r="AT35" s="769">
        <v>8.5</v>
      </c>
      <c r="AU35" s="769" t="s">
        <v>288</v>
      </c>
      <c r="AV35" s="767" t="s">
        <v>288</v>
      </c>
      <c r="AX35" s="1994" t="s">
        <v>2395</v>
      </c>
      <c r="AY35" s="1978"/>
      <c r="AZ35" s="1978">
        <v>11.4</v>
      </c>
      <c r="BA35" s="1978"/>
      <c r="BB35" s="1978">
        <v>3.3</v>
      </c>
      <c r="BC35" s="1979">
        <v>2</v>
      </c>
      <c r="BD35" s="1978" t="s">
        <v>288</v>
      </c>
      <c r="BE35" s="1978" t="s">
        <v>288</v>
      </c>
      <c r="BF35" s="1978" t="s">
        <v>288</v>
      </c>
      <c r="BG35" s="1978" t="s">
        <v>288</v>
      </c>
      <c r="BH35" s="1978" t="s">
        <v>288</v>
      </c>
      <c r="BI35" s="1978"/>
      <c r="BJ35" s="1982"/>
      <c r="BK35" s="1978"/>
      <c r="BL35" s="1978">
        <v>14</v>
      </c>
      <c r="BM35" s="1978">
        <v>3.7</v>
      </c>
      <c r="BN35" s="1982">
        <v>5.1999999999999998E-2</v>
      </c>
      <c r="BS35" s="420" t="s">
        <v>1087</v>
      </c>
      <c r="BT35" s="2"/>
      <c r="BU35"/>
      <c r="BV35" s="29">
        <v>8800</v>
      </c>
      <c r="BW35" s="29"/>
      <c r="BX35" s="29"/>
      <c r="BY35" s="29"/>
      <c r="BZ35" s="29"/>
      <c r="CA35" s="29"/>
      <c r="CB35" s="29"/>
      <c r="CC35" s="29"/>
      <c r="CD35" s="29"/>
      <c r="CE35" s="29"/>
      <c r="CF35" s="29"/>
      <c r="CG35" s="29"/>
      <c r="CH35" s="29"/>
    </row>
    <row r="36" spans="1:86" ht="14.5">
      <c r="A36" s="157"/>
      <c r="B36" s="984">
        <v>7</v>
      </c>
      <c r="C36" s="157"/>
      <c r="D36" s="768"/>
      <c r="E36" s="768"/>
      <c r="F36" s="740" t="s">
        <v>2399</v>
      </c>
      <c r="G36" s="709" t="s">
        <v>2400</v>
      </c>
      <c r="H36" s="709">
        <v>394</v>
      </c>
      <c r="I36" s="709">
        <v>840</v>
      </c>
      <c r="S36" s="768" t="s">
        <v>2401</v>
      </c>
      <c r="T36" s="768">
        <v>5</v>
      </c>
      <c r="U36" s="768">
        <v>4</v>
      </c>
      <c r="V36" s="768" t="s">
        <v>2370</v>
      </c>
      <c r="W36" s="768" t="s">
        <v>605</v>
      </c>
      <c r="Y36" s="761" t="s">
        <v>2389</v>
      </c>
      <c r="Z36" s="761" t="s">
        <v>2371</v>
      </c>
      <c r="AA36" s="761" t="s">
        <v>1404</v>
      </c>
      <c r="AD36" s="767"/>
      <c r="AF36" s="768" t="s">
        <v>2402</v>
      </c>
      <c r="AG36" s="736" t="s">
        <v>2403</v>
      </c>
      <c r="AH36" s="736" t="s">
        <v>43</v>
      </c>
      <c r="AI36" s="736" t="s">
        <v>3377</v>
      </c>
      <c r="AJ36" s="736" t="s">
        <v>3410</v>
      </c>
      <c r="AK36" s="732"/>
      <c r="AL36" s="732"/>
      <c r="AM36" s="740" t="s">
        <v>2404</v>
      </c>
      <c r="AN36" s="772">
        <v>11.4</v>
      </c>
      <c r="AO36" s="769">
        <v>10.199999999999999</v>
      </c>
      <c r="AP36" s="769"/>
      <c r="AQ36" s="769"/>
      <c r="AR36" s="982">
        <v>400</v>
      </c>
      <c r="AS36" s="744" t="s">
        <v>288</v>
      </c>
      <c r="AT36" s="769">
        <v>8.5</v>
      </c>
      <c r="AU36" s="769" t="s">
        <v>288</v>
      </c>
      <c r="AV36" s="767" t="s">
        <v>288</v>
      </c>
      <c r="AX36" s="1994" t="s">
        <v>2401</v>
      </c>
      <c r="AY36" s="1978"/>
      <c r="AZ36" s="1978">
        <v>10.4</v>
      </c>
      <c r="BA36" s="1978"/>
      <c r="BB36" s="1978">
        <v>3.1</v>
      </c>
      <c r="BC36" s="1979">
        <v>2</v>
      </c>
      <c r="BD36" s="1978" t="s">
        <v>288</v>
      </c>
      <c r="BE36" s="1978" t="s">
        <v>288</v>
      </c>
      <c r="BF36" s="1978" t="s">
        <v>288</v>
      </c>
      <c r="BG36" s="1978" t="s">
        <v>288</v>
      </c>
      <c r="BH36" s="1978" t="s">
        <v>288</v>
      </c>
      <c r="BI36" s="1978"/>
      <c r="BJ36" s="1982"/>
      <c r="BK36" s="1978"/>
      <c r="BL36" s="1978">
        <v>14</v>
      </c>
      <c r="BM36" s="1978">
        <v>3.7</v>
      </c>
      <c r="BN36" s="1982">
        <v>5.1999999999999998E-2</v>
      </c>
      <c r="BS36" s="420" t="s">
        <v>1088</v>
      </c>
      <c r="BT36" s="2"/>
      <c r="BU36"/>
      <c r="BV36" s="29">
        <v>8810</v>
      </c>
      <c r="BW36" s="29"/>
      <c r="BX36" s="29"/>
      <c r="BY36" s="29"/>
      <c r="BZ36" s="29"/>
      <c r="CA36" s="29"/>
      <c r="CB36" s="29"/>
      <c r="CC36" s="29"/>
      <c r="CD36" s="29"/>
      <c r="CE36" s="29"/>
      <c r="CF36" s="29"/>
      <c r="CG36" s="29"/>
      <c r="CH36" s="29"/>
    </row>
    <row r="37" spans="1:86" ht="14.5">
      <c r="A37" s="157"/>
      <c r="B37" s="157"/>
      <c r="C37" s="157"/>
      <c r="D37" s="768"/>
      <c r="E37" s="768"/>
      <c r="F37" s="740" t="s">
        <v>2405</v>
      </c>
      <c r="G37" s="709" t="s">
        <v>2406</v>
      </c>
      <c r="H37" s="709">
        <v>279</v>
      </c>
      <c r="I37" s="709">
        <v>722</v>
      </c>
      <c r="S37" s="768" t="s">
        <v>2407</v>
      </c>
      <c r="T37" s="768">
        <v>4</v>
      </c>
      <c r="U37" s="768">
        <v>3</v>
      </c>
      <c r="V37" s="768" t="s">
        <v>2408</v>
      </c>
      <c r="W37" s="768" t="s">
        <v>605</v>
      </c>
      <c r="Y37" s="761" t="s">
        <v>2212</v>
      </c>
      <c r="Z37" s="761" t="s">
        <v>1404</v>
      </c>
      <c r="AD37" s="767"/>
      <c r="AF37" s="768" t="s">
        <v>2409</v>
      </c>
      <c r="AG37" s="736" t="s">
        <v>2410</v>
      </c>
      <c r="AH37" s="736" t="s">
        <v>43</v>
      </c>
      <c r="AI37" s="736" t="s">
        <v>3377</v>
      </c>
      <c r="AJ37" s="736" t="s">
        <v>3411</v>
      </c>
      <c r="AK37" s="732"/>
      <c r="AL37" s="732"/>
      <c r="AM37" s="740" t="s">
        <v>2411</v>
      </c>
      <c r="AN37" s="772">
        <v>11.4</v>
      </c>
      <c r="AO37" s="769">
        <v>10.199999999999999</v>
      </c>
      <c r="AP37" s="769"/>
      <c r="AQ37" s="769"/>
      <c r="AR37" s="982">
        <v>400</v>
      </c>
      <c r="AS37" s="744" t="s">
        <v>288</v>
      </c>
      <c r="AT37" s="769">
        <v>8.5</v>
      </c>
      <c r="AU37" s="769" t="s">
        <v>288</v>
      </c>
      <c r="AV37" s="767" t="s">
        <v>288</v>
      </c>
      <c r="AX37" s="1995" t="s">
        <v>2407</v>
      </c>
      <c r="AY37" s="1996">
        <v>15</v>
      </c>
      <c r="AZ37" s="1997">
        <v>12.5</v>
      </c>
      <c r="BA37" s="1997">
        <v>8.5</v>
      </c>
      <c r="BB37" s="1997"/>
      <c r="BC37" s="1998">
        <v>2</v>
      </c>
      <c r="BD37" s="1997">
        <v>16</v>
      </c>
      <c r="BE37" s="1997">
        <v>13</v>
      </c>
      <c r="BF37" s="1997">
        <v>9</v>
      </c>
      <c r="BG37" s="1997"/>
      <c r="BH37" s="1963">
        <v>230</v>
      </c>
      <c r="BI37" s="1999"/>
      <c r="BJ37" s="1967"/>
      <c r="BK37" s="1997">
        <v>13</v>
      </c>
      <c r="BL37" s="1997">
        <v>11.18</v>
      </c>
      <c r="BM37" s="1997">
        <v>7.7</v>
      </c>
      <c r="BN37" s="2000"/>
      <c r="BS37" s="420">
        <v>8800</v>
      </c>
      <c r="BT37" s="2"/>
      <c r="BU37"/>
      <c r="BV37" s="29">
        <v>8820</v>
      </c>
      <c r="BW37" s="29"/>
      <c r="BX37" s="29"/>
      <c r="BY37" s="29"/>
      <c r="BZ37" s="29"/>
      <c r="CA37" s="29"/>
      <c r="CB37" s="29"/>
      <c r="CC37" s="29"/>
      <c r="CD37" s="29"/>
      <c r="CE37" s="29"/>
      <c r="CF37" s="29"/>
      <c r="CG37" s="29"/>
      <c r="CH37" s="29"/>
    </row>
    <row r="38" spans="1:86" ht="14.5">
      <c r="A38" s="157"/>
      <c r="B38" s="114" t="s">
        <v>3334</v>
      </c>
      <c r="C38" s="157"/>
      <c r="D38" s="768"/>
      <c r="E38" s="768"/>
      <c r="F38" s="740" t="s">
        <v>2412</v>
      </c>
      <c r="G38" s="709" t="s">
        <v>2413</v>
      </c>
      <c r="H38" s="709">
        <v>955</v>
      </c>
      <c r="I38" s="709">
        <v>431</v>
      </c>
      <c r="S38" s="771" t="s">
        <v>2414</v>
      </c>
      <c r="T38" s="768">
        <v>3</v>
      </c>
      <c r="U38" s="768">
        <v>3</v>
      </c>
      <c r="V38" s="768" t="s">
        <v>2408</v>
      </c>
      <c r="W38" s="768" t="s">
        <v>605</v>
      </c>
      <c r="Y38" s="761" t="s">
        <v>2212</v>
      </c>
      <c r="Z38" s="761" t="s">
        <v>1404</v>
      </c>
      <c r="AD38" s="767"/>
      <c r="AF38" s="768" t="s">
        <v>2415</v>
      </c>
      <c r="AG38" s="736" t="s">
        <v>2177</v>
      </c>
      <c r="AH38" s="736" t="s">
        <v>43</v>
      </c>
      <c r="AI38" s="736" t="s">
        <v>3377</v>
      </c>
      <c r="AJ38" s="736" t="s">
        <v>3412</v>
      </c>
      <c r="AK38" s="732"/>
      <c r="AL38" s="732"/>
      <c r="AM38" s="740" t="s">
        <v>2416</v>
      </c>
      <c r="AN38" s="772">
        <v>11.4</v>
      </c>
      <c r="AO38" s="769">
        <v>10.199999999999999</v>
      </c>
      <c r="AP38" s="769"/>
      <c r="AQ38" s="769"/>
      <c r="AR38" s="982">
        <v>400</v>
      </c>
      <c r="AS38" s="744" t="s">
        <v>288</v>
      </c>
      <c r="AT38" s="769">
        <v>8.5</v>
      </c>
      <c r="AU38" s="769" t="s">
        <v>288</v>
      </c>
      <c r="AV38" s="767" t="s">
        <v>288</v>
      </c>
      <c r="AX38" s="2001" t="s">
        <v>2414</v>
      </c>
      <c r="AY38" s="1962">
        <v>14.6</v>
      </c>
      <c r="AZ38" s="1963">
        <v>11.3</v>
      </c>
      <c r="BA38" s="1963"/>
      <c r="BB38" s="1963">
        <v>3.4</v>
      </c>
      <c r="BC38" s="1998">
        <v>2</v>
      </c>
      <c r="BD38" s="1963" t="s">
        <v>288</v>
      </c>
      <c r="BE38" s="1963" t="s">
        <v>288</v>
      </c>
      <c r="BF38" s="1963" t="s">
        <v>288</v>
      </c>
      <c r="BG38" s="1963" t="s">
        <v>288</v>
      </c>
      <c r="BH38" s="1963" t="s">
        <v>288</v>
      </c>
      <c r="BI38" s="1999"/>
      <c r="BJ38" s="1967"/>
      <c r="BK38" s="1988">
        <v>14.6</v>
      </c>
      <c r="BL38" s="1988">
        <v>11</v>
      </c>
      <c r="BM38" s="1988"/>
      <c r="BN38" s="1992">
        <v>3.3</v>
      </c>
      <c r="BS38" s="420">
        <v>8810</v>
      </c>
      <c r="BT38" s="2"/>
      <c r="BU38"/>
      <c r="BV38" s="29">
        <v>8830</v>
      </c>
      <c r="BW38" s="29"/>
      <c r="BX38" s="29"/>
      <c r="BY38" s="29"/>
      <c r="BZ38" s="29"/>
      <c r="CA38" s="29"/>
      <c r="CB38" s="29"/>
      <c r="CC38" s="29"/>
      <c r="CD38" s="29"/>
      <c r="CE38" s="29"/>
      <c r="CF38" s="29"/>
      <c r="CG38" s="29"/>
      <c r="CH38" s="29"/>
    </row>
    <row r="39" spans="1:86" ht="14.5">
      <c r="A39" s="157"/>
      <c r="B39" s="984">
        <v>5</v>
      </c>
      <c r="C39" s="157"/>
      <c r="D39" s="768"/>
      <c r="E39" s="768"/>
      <c r="F39" s="732" t="s">
        <v>2417</v>
      </c>
      <c r="G39" s="709" t="s">
        <v>2418</v>
      </c>
      <c r="H39" s="709">
        <v>882</v>
      </c>
      <c r="I39" s="709">
        <v>545</v>
      </c>
      <c r="S39" s="771" t="s">
        <v>2419</v>
      </c>
      <c r="T39" s="768">
        <v>3</v>
      </c>
      <c r="U39" s="768">
        <v>3</v>
      </c>
      <c r="V39" s="768" t="s">
        <v>2408</v>
      </c>
      <c r="W39" s="768" t="s">
        <v>605</v>
      </c>
      <c r="Y39" s="761" t="s">
        <v>2212</v>
      </c>
      <c r="Z39" s="761" t="s">
        <v>1404</v>
      </c>
      <c r="AD39" s="767"/>
      <c r="AF39" s="768" t="s">
        <v>2420</v>
      </c>
      <c r="AG39" s="736" t="s">
        <v>2178</v>
      </c>
      <c r="AH39" s="736" t="s">
        <v>43</v>
      </c>
      <c r="AI39" s="736" t="s">
        <v>3377</v>
      </c>
      <c r="AJ39" s="736" t="s">
        <v>3413</v>
      </c>
      <c r="AK39" s="732"/>
      <c r="AL39" s="732"/>
      <c r="AM39" s="740" t="s">
        <v>2421</v>
      </c>
      <c r="AN39" s="772">
        <v>11.4</v>
      </c>
      <c r="AO39" s="769">
        <v>10.199999999999999</v>
      </c>
      <c r="AP39" s="769"/>
      <c r="AQ39" s="769"/>
      <c r="AR39" s="982">
        <v>400</v>
      </c>
      <c r="AS39" s="744" t="s">
        <v>288</v>
      </c>
      <c r="AT39" s="769">
        <v>8.5</v>
      </c>
      <c r="AU39" s="769" t="s">
        <v>288</v>
      </c>
      <c r="AV39" s="767" t="s">
        <v>288</v>
      </c>
      <c r="AX39" s="2001" t="s">
        <v>2419</v>
      </c>
      <c r="AY39" s="1962">
        <v>13.9</v>
      </c>
      <c r="AZ39" s="1963">
        <v>10.9</v>
      </c>
      <c r="BA39" s="1963"/>
      <c r="BB39" s="1963">
        <v>3.2</v>
      </c>
      <c r="BC39" s="1998">
        <v>2</v>
      </c>
      <c r="BD39" s="1963" t="s">
        <v>288</v>
      </c>
      <c r="BE39" s="1963" t="s">
        <v>288</v>
      </c>
      <c r="BF39" s="1963" t="s">
        <v>288</v>
      </c>
      <c r="BG39" s="1963" t="s">
        <v>288</v>
      </c>
      <c r="BH39" s="1963" t="s">
        <v>288</v>
      </c>
      <c r="BI39" s="1999"/>
      <c r="BJ39" s="1967"/>
      <c r="BK39" s="1988">
        <v>13.9</v>
      </c>
      <c r="BL39" s="1988">
        <v>10.6</v>
      </c>
      <c r="BM39" s="1988"/>
      <c r="BN39" s="1992">
        <v>3.2</v>
      </c>
      <c r="BS39" s="420">
        <v>8820</v>
      </c>
      <c r="BT39" s="2"/>
      <c r="BU39"/>
      <c r="BV39" s="29">
        <v>8840</v>
      </c>
      <c r="BW39" s="29"/>
      <c r="BX39" s="29"/>
      <c r="BY39" s="29"/>
      <c r="BZ39" s="29"/>
      <c r="CA39" s="29"/>
      <c r="CB39" s="29"/>
      <c r="CC39" s="29"/>
      <c r="CD39" s="29"/>
      <c r="CE39" s="29"/>
      <c r="CF39" s="29"/>
      <c r="CG39" s="29"/>
      <c r="CH39" s="29"/>
    </row>
    <row r="40" spans="1:86" ht="14.5">
      <c r="A40" s="157"/>
      <c r="B40" s="157"/>
      <c r="C40" s="157"/>
      <c r="D40" s="768"/>
      <c r="E40" s="768"/>
      <c r="F40" s="732" t="s">
        <v>2422</v>
      </c>
      <c r="G40" s="709" t="s">
        <v>2423</v>
      </c>
      <c r="H40" s="709">
        <v>1057</v>
      </c>
      <c r="I40" s="709">
        <v>1011</v>
      </c>
      <c r="S40" s="771" t="s">
        <v>2424</v>
      </c>
      <c r="T40" s="768">
        <v>3</v>
      </c>
      <c r="U40" s="768">
        <v>3</v>
      </c>
      <c r="V40" s="768" t="s">
        <v>2408</v>
      </c>
      <c r="W40" s="768" t="s">
        <v>605</v>
      </c>
      <c r="Y40" s="761" t="s">
        <v>2212</v>
      </c>
      <c r="Z40" s="761" t="s">
        <v>1404</v>
      </c>
      <c r="AD40" s="767"/>
      <c r="AF40" s="740" t="s">
        <v>2425</v>
      </c>
      <c r="AG40" s="736" t="s">
        <v>2165</v>
      </c>
      <c r="AH40" s="736" t="s">
        <v>43</v>
      </c>
      <c r="AI40" s="736" t="s">
        <v>3377</v>
      </c>
      <c r="AJ40" s="736" t="s">
        <v>3414</v>
      </c>
      <c r="AM40" s="740" t="s">
        <v>2426</v>
      </c>
      <c r="AN40" s="772">
        <v>11.4</v>
      </c>
      <c r="AO40" s="769">
        <v>10.199999999999999</v>
      </c>
      <c r="AP40" s="769"/>
      <c r="AQ40" s="769"/>
      <c r="AR40" s="982">
        <v>400</v>
      </c>
      <c r="AS40" s="744" t="s">
        <v>288</v>
      </c>
      <c r="AT40" s="769">
        <v>8.5</v>
      </c>
      <c r="AU40" s="769" t="s">
        <v>288</v>
      </c>
      <c r="AV40" s="767" t="s">
        <v>288</v>
      </c>
      <c r="AX40" s="2001" t="s">
        <v>2424</v>
      </c>
      <c r="AY40" s="1962">
        <v>12.7</v>
      </c>
      <c r="AZ40" s="1963">
        <v>10.3</v>
      </c>
      <c r="BA40" s="1963"/>
      <c r="BB40" s="1963">
        <v>3.2</v>
      </c>
      <c r="BC40" s="1998">
        <v>2</v>
      </c>
      <c r="BD40" s="1963" t="s">
        <v>288</v>
      </c>
      <c r="BE40" s="1963" t="s">
        <v>288</v>
      </c>
      <c r="BF40" s="1963" t="s">
        <v>288</v>
      </c>
      <c r="BG40" s="1963" t="s">
        <v>288</v>
      </c>
      <c r="BH40" s="1963" t="s">
        <v>288</v>
      </c>
      <c r="BI40" s="1999"/>
      <c r="BJ40" s="1967"/>
      <c r="BK40" s="1988">
        <v>12.7</v>
      </c>
      <c r="BL40" s="1988">
        <v>9.5</v>
      </c>
      <c r="BM40" s="1988"/>
      <c r="BN40" s="1992">
        <v>3.2</v>
      </c>
      <c r="BS40" s="420">
        <v>8830</v>
      </c>
      <c r="BT40" s="2"/>
      <c r="BU40"/>
      <c r="BW40" s="29"/>
      <c r="BX40" s="29"/>
      <c r="BY40" s="29"/>
      <c r="BZ40" s="29"/>
      <c r="CA40" s="29"/>
      <c r="CB40" s="29"/>
      <c r="CC40" s="29"/>
      <c r="CD40" s="29"/>
      <c r="CE40" s="29"/>
      <c r="CF40" s="29"/>
      <c r="CG40" s="29"/>
      <c r="CH40" s="29"/>
    </row>
    <row r="41" spans="1:86" ht="15" thickBot="1">
      <c r="A41" s="157"/>
      <c r="B41" s="114" t="s">
        <v>3333</v>
      </c>
      <c r="C41" s="157"/>
      <c r="D41" s="768"/>
      <c r="E41" s="768"/>
      <c r="F41" s="732" t="s">
        <v>2427</v>
      </c>
      <c r="G41" s="709" t="s">
        <v>2428</v>
      </c>
      <c r="H41" s="709">
        <v>400</v>
      </c>
      <c r="I41" s="709">
        <v>452</v>
      </c>
      <c r="S41" s="771" t="s">
        <v>2429</v>
      </c>
      <c r="T41" s="768">
        <v>5</v>
      </c>
      <c r="U41" s="768">
        <v>3</v>
      </c>
      <c r="V41" s="768" t="s">
        <v>2196</v>
      </c>
      <c r="W41" s="768" t="s">
        <v>605</v>
      </c>
      <c r="Y41" s="761" t="s">
        <v>2212</v>
      </c>
      <c r="Z41" s="761" t="s">
        <v>1404</v>
      </c>
      <c r="AD41" s="767"/>
      <c r="AF41" s="740" t="s">
        <v>2430</v>
      </c>
      <c r="AG41" s="736" t="s">
        <v>2166</v>
      </c>
      <c r="AH41" s="736" t="s">
        <v>43</v>
      </c>
      <c r="AI41" s="736" t="s">
        <v>3377</v>
      </c>
      <c r="AJ41" s="736" t="s">
        <v>3415</v>
      </c>
      <c r="AM41" s="740" t="s">
        <v>2431</v>
      </c>
      <c r="AN41" s="772">
        <v>11.4</v>
      </c>
      <c r="AO41" s="769">
        <v>10.199999999999999</v>
      </c>
      <c r="AP41" s="769"/>
      <c r="AQ41" s="769"/>
      <c r="AR41" s="982">
        <v>400</v>
      </c>
      <c r="AS41" s="744" t="s">
        <v>288</v>
      </c>
      <c r="AT41" s="769">
        <v>8.5</v>
      </c>
      <c r="AU41" s="769" t="s">
        <v>288</v>
      </c>
      <c r="AV41" s="767" t="s">
        <v>288</v>
      </c>
      <c r="AX41" s="2002" t="s">
        <v>2429</v>
      </c>
      <c r="AY41" s="1977"/>
      <c r="AZ41" s="1978">
        <v>14</v>
      </c>
      <c r="BA41" s="1978"/>
      <c r="BB41" s="1978">
        <v>4.5999999999999996</v>
      </c>
      <c r="BC41" s="2003">
        <v>2</v>
      </c>
      <c r="BD41" s="1978" t="s">
        <v>288</v>
      </c>
      <c r="BE41" s="1978" t="s">
        <v>288</v>
      </c>
      <c r="BF41" s="1978" t="s">
        <v>288</v>
      </c>
      <c r="BG41" s="1978" t="s">
        <v>288</v>
      </c>
      <c r="BH41" s="1978" t="s">
        <v>288</v>
      </c>
      <c r="BI41" s="2004"/>
      <c r="BJ41" s="1982"/>
      <c r="BK41" s="2022">
        <v>16</v>
      </c>
      <c r="BL41" s="2005">
        <v>12</v>
      </c>
      <c r="BM41" s="2005"/>
      <c r="BN41" s="2006">
        <v>4.3</v>
      </c>
      <c r="BS41" s="420">
        <v>8840</v>
      </c>
      <c r="BT41" s="2"/>
      <c r="BU41"/>
      <c r="BW41" s="29"/>
      <c r="BX41" s="29"/>
      <c r="BY41" s="29"/>
      <c r="BZ41" s="29"/>
      <c r="CA41" s="29"/>
      <c r="CB41" s="29"/>
      <c r="CC41" s="29"/>
      <c r="CD41" s="29"/>
      <c r="CE41" s="29"/>
      <c r="CF41" s="29"/>
      <c r="CG41" s="29"/>
      <c r="CH41" s="29"/>
    </row>
    <row r="42" spans="1:86" ht="14.5">
      <c r="A42" s="157"/>
      <c r="B42" s="984">
        <v>7</v>
      </c>
      <c r="C42" s="157"/>
      <c r="D42" s="768"/>
      <c r="E42" s="768"/>
      <c r="F42" s="732" t="s">
        <v>2432</v>
      </c>
      <c r="G42" s="709" t="s">
        <v>292</v>
      </c>
      <c r="H42" s="709">
        <v>736</v>
      </c>
      <c r="I42" s="709">
        <v>681</v>
      </c>
      <c r="S42" s="771" t="s">
        <v>2433</v>
      </c>
      <c r="T42" s="768">
        <v>4</v>
      </c>
      <c r="U42" s="768">
        <v>3</v>
      </c>
      <c r="V42" s="761" t="s">
        <v>2286</v>
      </c>
      <c r="W42" s="768" t="s">
        <v>605</v>
      </c>
      <c r="X42" s="771"/>
      <c r="Y42" s="761" t="s">
        <v>2222</v>
      </c>
      <c r="Z42" s="761" t="s">
        <v>2228</v>
      </c>
      <c r="AA42" s="761" t="s">
        <v>2286</v>
      </c>
      <c r="AB42" s="761" t="s">
        <v>2298</v>
      </c>
      <c r="AC42" s="761" t="s">
        <v>292</v>
      </c>
      <c r="AD42" s="767" t="s">
        <v>1404</v>
      </c>
      <c r="AF42" s="740" t="s">
        <v>2434</v>
      </c>
      <c r="AG42" s="736" t="s">
        <v>2167</v>
      </c>
      <c r="AH42" s="736" t="s">
        <v>43</v>
      </c>
      <c r="AI42" s="736" t="s">
        <v>3377</v>
      </c>
      <c r="AJ42" s="736" t="s">
        <v>3416</v>
      </c>
      <c r="AM42" s="740" t="s">
        <v>2435</v>
      </c>
      <c r="AN42" s="772">
        <v>11.4</v>
      </c>
      <c r="AO42" s="769">
        <v>10.199999999999999</v>
      </c>
      <c r="AP42" s="769"/>
      <c r="AQ42" s="769"/>
      <c r="AR42" s="982">
        <v>400</v>
      </c>
      <c r="AS42" s="744" t="s">
        <v>288</v>
      </c>
      <c r="AT42" s="769">
        <v>8.5</v>
      </c>
      <c r="AU42" s="769" t="s">
        <v>288</v>
      </c>
      <c r="AV42" s="767" t="s">
        <v>288</v>
      </c>
      <c r="AX42" s="2007" t="s">
        <v>2433</v>
      </c>
      <c r="AY42" s="1962">
        <v>17</v>
      </c>
      <c r="AZ42" s="1963">
        <v>11.76</v>
      </c>
      <c r="BA42" s="1963">
        <v>10</v>
      </c>
      <c r="BB42" s="2008"/>
      <c r="BC42" s="1998">
        <v>2</v>
      </c>
      <c r="BD42" s="1963" t="s">
        <v>288</v>
      </c>
      <c r="BE42" s="1963" t="s">
        <v>288</v>
      </c>
      <c r="BF42" s="1963" t="s">
        <v>288</v>
      </c>
      <c r="BG42" s="1963" t="s">
        <v>288</v>
      </c>
      <c r="BH42" s="1963">
        <v>1000</v>
      </c>
      <c r="BI42" s="1961">
        <v>2500</v>
      </c>
      <c r="BJ42" s="1961">
        <v>2500</v>
      </c>
      <c r="BK42" s="1962">
        <v>14</v>
      </c>
      <c r="BL42" s="2021">
        <v>11.8</v>
      </c>
      <c r="BM42" s="2008">
        <v>8.1999999999999993</v>
      </c>
      <c r="BN42" s="2009">
        <v>2.4032825322391558</v>
      </c>
      <c r="BS42" s="420" t="s">
        <v>1095</v>
      </c>
      <c r="BT42" s="2"/>
      <c r="BU42"/>
      <c r="BV42"/>
      <c r="BW42"/>
      <c r="BX42"/>
      <c r="BY42"/>
      <c r="BZ42"/>
      <c r="CA42"/>
      <c r="CB42"/>
      <c r="CC42"/>
      <c r="CD42"/>
      <c r="CE42"/>
      <c r="CF42"/>
      <c r="CG42"/>
      <c r="CH42"/>
    </row>
    <row r="43" spans="1:86" ht="14.5">
      <c r="A43" s="157"/>
      <c r="B43" s="157"/>
      <c r="C43" s="157"/>
      <c r="D43" s="768"/>
      <c r="E43" s="768"/>
      <c r="F43" s="732" t="s">
        <v>2436</v>
      </c>
      <c r="G43" s="709" t="s">
        <v>3311</v>
      </c>
      <c r="H43" s="1024">
        <v>736</v>
      </c>
      <c r="I43" s="1024">
        <v>681</v>
      </c>
      <c r="S43" s="770" t="s">
        <v>5270</v>
      </c>
      <c r="T43" s="763">
        <v>4</v>
      </c>
      <c r="U43" s="763">
        <v>3</v>
      </c>
      <c r="V43" s="773" t="s">
        <v>2280</v>
      </c>
      <c r="W43" s="768" t="s">
        <v>605</v>
      </c>
      <c r="X43" s="770"/>
      <c r="Y43" s="773" t="s">
        <v>2207</v>
      </c>
      <c r="Z43" s="773" t="s">
        <v>2156</v>
      </c>
      <c r="AA43" s="773" t="s">
        <v>2280</v>
      </c>
      <c r="AB43" s="773" t="s">
        <v>292</v>
      </c>
      <c r="AC43" s="773" t="s">
        <v>1404</v>
      </c>
      <c r="AD43" s="766"/>
      <c r="AF43" s="768" t="s">
        <v>2438</v>
      </c>
      <c r="AG43" s="736" t="s">
        <v>2439</v>
      </c>
      <c r="AH43" s="736" t="s">
        <v>43</v>
      </c>
      <c r="AI43" s="736" t="s">
        <v>1310</v>
      </c>
      <c r="AJ43" s="736" t="s">
        <v>3417</v>
      </c>
      <c r="AK43" s="732"/>
      <c r="AL43" s="732"/>
      <c r="AM43" s="740" t="s">
        <v>2440</v>
      </c>
      <c r="AO43" s="769">
        <v>17</v>
      </c>
      <c r="AP43" s="769"/>
      <c r="AQ43" s="769">
        <v>3.5</v>
      </c>
      <c r="AR43" s="982">
        <v>2000</v>
      </c>
      <c r="AS43" s="744" t="s">
        <v>288</v>
      </c>
      <c r="AT43" s="769">
        <v>9.5</v>
      </c>
      <c r="AU43" s="769" t="s">
        <v>288</v>
      </c>
      <c r="AV43" s="767" t="s">
        <v>288</v>
      </c>
      <c r="AX43" s="2007" t="s">
        <v>5270</v>
      </c>
      <c r="AY43" s="1962">
        <v>18</v>
      </c>
      <c r="AZ43" s="1963">
        <v>11.76</v>
      </c>
      <c r="BA43" s="1963">
        <v>10</v>
      </c>
      <c r="BB43" s="2008"/>
      <c r="BC43" s="1998">
        <v>2</v>
      </c>
      <c r="BD43" s="1963" t="s">
        <v>288</v>
      </c>
      <c r="BE43" s="1963" t="s">
        <v>288</v>
      </c>
      <c r="BF43" s="1963" t="s">
        <v>288</v>
      </c>
      <c r="BG43" s="1963" t="s">
        <v>288</v>
      </c>
      <c r="BH43" s="1967">
        <v>1000</v>
      </c>
      <c r="BI43" s="1961">
        <v>2500</v>
      </c>
      <c r="BJ43" s="1961">
        <v>2500</v>
      </c>
      <c r="BK43" s="1962">
        <v>14</v>
      </c>
      <c r="BL43" s="2014">
        <v>11.8</v>
      </c>
      <c r="BM43" s="2008">
        <v>8.1999999999999993</v>
      </c>
      <c r="BN43" s="2009">
        <v>2.4032825322391558</v>
      </c>
      <c r="BS43" s="420" t="s">
        <v>1096</v>
      </c>
      <c r="BT43" s="2"/>
      <c r="BU43"/>
      <c r="BV43" t="s">
        <v>1136</v>
      </c>
      <c r="BW43"/>
      <c r="BX43"/>
      <c r="BY43"/>
      <c r="BZ43"/>
      <c r="CA43"/>
      <c r="CB43"/>
      <c r="CC43"/>
      <c r="CD43"/>
      <c r="CE43"/>
      <c r="CF43"/>
      <c r="CG43"/>
      <c r="CH43"/>
    </row>
    <row r="44" spans="1:86" ht="15" thickBot="1">
      <c r="A44" s="157"/>
      <c r="B44" s="114" t="s">
        <v>3332</v>
      </c>
      <c r="C44" s="157"/>
      <c r="D44" s="768"/>
      <c r="E44" s="768"/>
      <c r="F44" s="732" t="s">
        <v>2441</v>
      </c>
      <c r="G44" s="768"/>
      <c r="H44" s="768"/>
      <c r="I44" s="768"/>
      <c r="S44" s="761" t="s">
        <v>2437</v>
      </c>
      <c r="T44" s="761">
        <v>4</v>
      </c>
      <c r="U44" s="761">
        <v>3</v>
      </c>
      <c r="V44" s="761" t="s">
        <v>2280</v>
      </c>
      <c r="W44" s="768" t="s">
        <v>605</v>
      </c>
      <c r="Y44" s="761" t="s">
        <v>2207</v>
      </c>
      <c r="Z44" s="761" t="s">
        <v>2156</v>
      </c>
      <c r="AA44" s="761" t="s">
        <v>2280</v>
      </c>
      <c r="AB44" s="761" t="s">
        <v>292</v>
      </c>
      <c r="AC44" s="761" t="s">
        <v>1404</v>
      </c>
      <c r="AF44" s="768" t="s">
        <v>2442</v>
      </c>
      <c r="AG44" s="736" t="s">
        <v>2443</v>
      </c>
      <c r="AH44" s="736" t="s">
        <v>43</v>
      </c>
      <c r="AI44" s="736" t="s">
        <v>1310</v>
      </c>
      <c r="AJ44" s="736" t="s">
        <v>3418</v>
      </c>
      <c r="AK44" s="732"/>
      <c r="AL44" s="732"/>
      <c r="AM44" s="740" t="s">
        <v>2444</v>
      </c>
      <c r="AO44" s="769">
        <v>17</v>
      </c>
      <c r="AP44" s="769"/>
      <c r="AQ44" s="769">
        <v>3.5</v>
      </c>
      <c r="AR44" s="982">
        <v>2000</v>
      </c>
      <c r="AS44" s="744" t="s">
        <v>288</v>
      </c>
      <c r="AT44" s="769">
        <v>9.5</v>
      </c>
      <c r="AU44" s="769" t="s">
        <v>288</v>
      </c>
      <c r="AV44" s="767" t="s">
        <v>288</v>
      </c>
      <c r="AX44" s="2007" t="s">
        <v>2437</v>
      </c>
      <c r="AY44" s="1962">
        <v>18</v>
      </c>
      <c r="AZ44" s="1963">
        <v>11.76</v>
      </c>
      <c r="BA44" s="1963">
        <v>10</v>
      </c>
      <c r="BB44" s="2008"/>
      <c r="BC44" s="1998">
        <v>2</v>
      </c>
      <c r="BD44" s="1963" t="s">
        <v>288</v>
      </c>
      <c r="BE44" s="1963" t="s">
        <v>288</v>
      </c>
      <c r="BF44" s="1963" t="s">
        <v>288</v>
      </c>
      <c r="BG44" s="1963" t="s">
        <v>288</v>
      </c>
      <c r="BH44" s="1967">
        <v>1000</v>
      </c>
      <c r="BI44" s="1961">
        <v>2500</v>
      </c>
      <c r="BJ44" s="1961">
        <v>2500</v>
      </c>
      <c r="BK44" s="1962">
        <v>14</v>
      </c>
      <c r="BL44" s="2018">
        <v>11.8</v>
      </c>
      <c r="BM44" s="2008">
        <v>8.1999999999999993</v>
      </c>
      <c r="BN44" s="2009">
        <v>2.4032825322391558</v>
      </c>
      <c r="BS44" s="420" t="s">
        <v>1098</v>
      </c>
      <c r="BT44" s="2"/>
      <c r="BU44"/>
      <c r="BV44" s="114" t="s">
        <v>1047</v>
      </c>
      <c r="BW44" s="114" t="s">
        <v>1078</v>
      </c>
      <c r="BX44" s="114" t="s">
        <v>1079</v>
      </c>
      <c r="BY44" s="114" t="s">
        <v>1081</v>
      </c>
      <c r="BZ44" s="114" t="s">
        <v>1082</v>
      </c>
      <c r="CA44" s="114" t="s">
        <v>1084</v>
      </c>
      <c r="CB44" s="114" t="s">
        <v>1086</v>
      </c>
      <c r="CC44" s="114" t="s">
        <v>1050</v>
      </c>
      <c r="CD44" s="114" t="s">
        <v>1089</v>
      </c>
      <c r="CE44" s="114" t="s">
        <v>1090</v>
      </c>
      <c r="CF44" s="114" t="s">
        <v>1091</v>
      </c>
      <c r="CG44" s="252" t="s">
        <v>1859</v>
      </c>
      <c r="CH44"/>
    </row>
    <row r="45" spans="1:86" ht="14.5">
      <c r="A45" s="157"/>
      <c r="B45" s="983">
        <v>3.4119999999999999</v>
      </c>
      <c r="C45" s="157"/>
      <c r="D45" s="768"/>
      <c r="E45" s="768"/>
      <c r="F45" s="732" t="s">
        <v>2446</v>
      </c>
      <c r="G45" s="709"/>
      <c r="H45" s="709"/>
      <c r="I45" s="709"/>
      <c r="AF45" s="768" t="s">
        <v>2447</v>
      </c>
      <c r="AG45" s="736" t="s">
        <v>2448</v>
      </c>
      <c r="AH45" s="736" t="s">
        <v>43</v>
      </c>
      <c r="AI45" s="736" t="s">
        <v>1310</v>
      </c>
      <c r="AJ45" s="736" t="s">
        <v>3419</v>
      </c>
      <c r="AK45" s="732"/>
      <c r="AL45" s="732"/>
      <c r="AM45" s="740" t="s">
        <v>2449</v>
      </c>
      <c r="AN45" s="744"/>
      <c r="AO45" s="769">
        <v>17</v>
      </c>
      <c r="AP45" s="769"/>
      <c r="AQ45" s="769">
        <v>3.5</v>
      </c>
      <c r="AR45" s="982">
        <v>2000</v>
      </c>
      <c r="AS45" s="744" t="s">
        <v>288</v>
      </c>
      <c r="AT45" s="769">
        <v>9.5</v>
      </c>
      <c r="AU45" s="769" t="s">
        <v>288</v>
      </c>
      <c r="AV45" s="767" t="s">
        <v>288</v>
      </c>
      <c r="AX45" s="770" t="s">
        <v>2445</v>
      </c>
      <c r="AY45" s="762"/>
      <c r="AZ45" s="774"/>
      <c r="BA45" s="774"/>
      <c r="BB45" s="773"/>
      <c r="BC45" s="780"/>
      <c r="BD45" s="774"/>
      <c r="BE45" s="774"/>
      <c r="BF45" s="774"/>
      <c r="BG45" s="774"/>
      <c r="BH45" s="781">
        <v>500</v>
      </c>
      <c r="BI45" s="763"/>
      <c r="BJ45" s="766"/>
      <c r="BK45" s="773"/>
      <c r="BL45" s="773"/>
      <c r="BM45" s="773"/>
      <c r="BN45" s="766"/>
      <c r="BS45" s="420" t="s">
        <v>1106</v>
      </c>
      <c r="BT45" s="2"/>
      <c r="BU45"/>
      <c r="BV45" t="s">
        <v>1137</v>
      </c>
      <c r="BW45" t="s">
        <v>1137</v>
      </c>
      <c r="BX45" t="s">
        <v>1138</v>
      </c>
      <c r="BY45" t="s">
        <v>1139</v>
      </c>
      <c r="BZ45" t="s">
        <v>1140</v>
      </c>
      <c r="CA45" t="s">
        <v>1141</v>
      </c>
      <c r="CB45" t="s">
        <v>1142</v>
      </c>
      <c r="CC45" t="s">
        <v>1143</v>
      </c>
      <c r="CD45" t="s">
        <v>1144</v>
      </c>
      <c r="CE45" t="s">
        <v>1145</v>
      </c>
      <c r="CF45" t="s">
        <v>1146</v>
      </c>
      <c r="CG45" s="592" t="s">
        <v>1860</v>
      </c>
      <c r="CH45"/>
    </row>
    <row r="46" spans="1:86" ht="14.5">
      <c r="A46" s="157"/>
      <c r="B46" s="157"/>
      <c r="C46" s="157"/>
      <c r="D46" s="768"/>
      <c r="E46" s="768"/>
      <c r="F46" s="732" t="s">
        <v>2450</v>
      </c>
      <c r="G46" s="709"/>
      <c r="H46" s="709"/>
      <c r="I46" s="709"/>
      <c r="AF46" s="768" t="s">
        <v>2451</v>
      </c>
      <c r="AG46" s="736" t="s">
        <v>2452</v>
      </c>
      <c r="AH46" s="736" t="s">
        <v>43</v>
      </c>
      <c r="AI46" s="736" t="s">
        <v>1310</v>
      </c>
      <c r="AJ46" s="736" t="s">
        <v>3420</v>
      </c>
      <c r="AK46" s="732"/>
      <c r="AL46" s="732"/>
      <c r="AM46" s="740" t="s">
        <v>2453</v>
      </c>
      <c r="AO46" s="769">
        <v>17</v>
      </c>
      <c r="AP46" s="769"/>
      <c r="AQ46" s="769">
        <v>3.5</v>
      </c>
      <c r="AR46" s="982">
        <v>2000</v>
      </c>
      <c r="AS46" s="744" t="s">
        <v>288</v>
      </c>
      <c r="AT46" s="769">
        <v>9.5</v>
      </c>
      <c r="AU46" s="769" t="s">
        <v>288</v>
      </c>
      <c r="AV46" s="767" t="s">
        <v>288</v>
      </c>
      <c r="BS46" s="420" t="s">
        <v>1115</v>
      </c>
      <c r="BT46" s="2"/>
      <c r="BU46"/>
      <c r="BV46"/>
      <c r="BW46"/>
      <c r="BX46"/>
      <c r="BY46"/>
      <c r="BZ46" t="s">
        <v>1147</v>
      </c>
      <c r="CA46"/>
      <c r="CB46"/>
      <c r="CC46" t="s">
        <v>1148</v>
      </c>
      <c r="CD46" t="s">
        <v>1149</v>
      </c>
      <c r="CE46"/>
      <c r="CF46" t="s">
        <v>1150</v>
      </c>
      <c r="CG46" s="592"/>
      <c r="CH46"/>
    </row>
    <row r="47" spans="1:86" ht="14.5">
      <c r="A47" s="157"/>
      <c r="B47" s="157"/>
      <c r="C47" s="157"/>
      <c r="D47" s="768"/>
      <c r="E47" s="768"/>
      <c r="F47" s="732" t="s">
        <v>2454</v>
      </c>
      <c r="G47" s="709"/>
      <c r="H47" s="709"/>
      <c r="I47" s="709"/>
      <c r="S47" s="730" t="s">
        <v>2455</v>
      </c>
      <c r="T47" s="729"/>
      <c r="AF47" s="768" t="s">
        <v>2456</v>
      </c>
      <c r="AG47" s="736" t="s">
        <v>2457</v>
      </c>
      <c r="AH47" s="736" t="s">
        <v>43</v>
      </c>
      <c r="AI47" s="736" t="s">
        <v>1310</v>
      </c>
      <c r="AJ47" s="736" t="s">
        <v>3421</v>
      </c>
      <c r="AK47" s="732"/>
      <c r="AL47" s="732"/>
      <c r="AM47" s="740" t="s">
        <v>2458</v>
      </c>
      <c r="AO47" s="769">
        <v>20</v>
      </c>
      <c r="AP47" s="769"/>
      <c r="AQ47" s="769">
        <v>4.2</v>
      </c>
      <c r="AR47" s="982">
        <v>2000</v>
      </c>
      <c r="AS47" s="744" t="s">
        <v>288</v>
      </c>
      <c r="AT47" s="769">
        <v>9.5</v>
      </c>
      <c r="AU47" s="769" t="s">
        <v>288</v>
      </c>
      <c r="AV47" s="767" t="s">
        <v>288</v>
      </c>
      <c r="BS47" s="420" t="s">
        <v>1097</v>
      </c>
      <c r="BT47" s="2"/>
      <c r="BU47"/>
      <c r="BV47"/>
      <c r="BW47"/>
      <c r="BX47"/>
      <c r="BY47"/>
      <c r="BZ47" t="s">
        <v>1151</v>
      </c>
      <c r="CA47"/>
      <c r="CB47"/>
      <c r="CC47" t="s">
        <v>1152</v>
      </c>
      <c r="CD47"/>
      <c r="CE47"/>
      <c r="CF47" t="s">
        <v>1153</v>
      </c>
      <c r="CG47" s="592"/>
      <c r="CH47"/>
    </row>
    <row r="48" spans="1:86" ht="14.5">
      <c r="A48" s="157"/>
      <c r="B48" s="157"/>
      <c r="C48" s="157"/>
      <c r="D48" s="768"/>
      <c r="E48" s="768"/>
      <c r="F48" s="732" t="s">
        <v>2459</v>
      </c>
      <c r="G48" s="709"/>
      <c r="H48" s="709"/>
      <c r="I48" s="709"/>
      <c r="S48" s="771">
        <v>1</v>
      </c>
      <c r="T48" s="767" t="s">
        <v>2460</v>
      </c>
      <c r="AF48" s="768" t="s">
        <v>2461</v>
      </c>
      <c r="AG48" s="736" t="s">
        <v>2462</v>
      </c>
      <c r="AH48" s="736" t="s">
        <v>43</v>
      </c>
      <c r="AI48" s="736" t="s">
        <v>1310</v>
      </c>
      <c r="AJ48" s="736" t="s">
        <v>3422</v>
      </c>
      <c r="AK48" s="732"/>
      <c r="AL48" s="732"/>
      <c r="AM48" s="740" t="s">
        <v>2463</v>
      </c>
      <c r="AO48" s="769">
        <v>20</v>
      </c>
      <c r="AP48" s="769"/>
      <c r="AQ48" s="769">
        <v>4.2</v>
      </c>
      <c r="AR48" s="982">
        <v>2000</v>
      </c>
      <c r="AS48" s="744" t="s">
        <v>288</v>
      </c>
      <c r="AT48" s="769">
        <v>9.5</v>
      </c>
      <c r="AU48" s="769" t="s">
        <v>288</v>
      </c>
      <c r="AV48" s="767" t="s">
        <v>288</v>
      </c>
      <c r="BS48" s="420" t="s">
        <v>1098</v>
      </c>
      <c r="BT48" s="2"/>
      <c r="BU48"/>
      <c r="BV48"/>
      <c r="BW48"/>
      <c r="BX48"/>
      <c r="BY48"/>
      <c r="BZ48"/>
      <c r="CA48"/>
      <c r="CB48"/>
      <c r="CC48" t="s">
        <v>1154</v>
      </c>
      <c r="CD48"/>
      <c r="CE48"/>
      <c r="CF48"/>
      <c r="CG48" s="592"/>
      <c r="CH48"/>
    </row>
    <row r="49" spans="1:86" ht="14.5">
      <c r="A49" s="157"/>
      <c r="B49" s="157"/>
      <c r="C49" s="157"/>
      <c r="D49" s="768"/>
      <c r="E49" s="768"/>
      <c r="F49" s="732" t="s">
        <v>2464</v>
      </c>
      <c r="G49" s="709"/>
      <c r="H49" s="709"/>
      <c r="I49" s="709"/>
      <c r="S49" s="771">
        <v>2</v>
      </c>
      <c r="T49" s="767" t="s">
        <v>2465</v>
      </c>
      <c r="AF49" s="768" t="s">
        <v>2466</v>
      </c>
      <c r="AG49" s="736" t="s">
        <v>2467</v>
      </c>
      <c r="AH49" s="736" t="s">
        <v>43</v>
      </c>
      <c r="AI49" s="736" t="s">
        <v>1310</v>
      </c>
      <c r="AJ49" s="736" t="s">
        <v>3423</v>
      </c>
      <c r="AK49" s="732"/>
      <c r="AL49" s="732"/>
      <c r="AM49" s="740" t="s">
        <v>2468</v>
      </c>
      <c r="AN49" s="744"/>
      <c r="AO49" s="769">
        <v>20</v>
      </c>
      <c r="AP49" s="769"/>
      <c r="AQ49" s="769">
        <v>4.2</v>
      </c>
      <c r="AR49" s="982">
        <v>2000</v>
      </c>
      <c r="AS49" s="744" t="s">
        <v>288</v>
      </c>
      <c r="AT49" s="769">
        <v>9.5</v>
      </c>
      <c r="AU49" s="769" t="s">
        <v>288</v>
      </c>
      <c r="AV49" s="767" t="s">
        <v>288</v>
      </c>
      <c r="BS49" s="420" t="s">
        <v>1106</v>
      </c>
      <c r="BT49" s="2"/>
      <c r="BU49"/>
      <c r="BV49"/>
      <c r="BW49"/>
      <c r="BX49"/>
      <c r="BY49"/>
      <c r="BZ49"/>
      <c r="CA49"/>
      <c r="CB49"/>
      <c r="CC49" t="s">
        <v>1155</v>
      </c>
      <c r="CD49"/>
      <c r="CE49"/>
      <c r="CF49"/>
      <c r="CG49" s="592"/>
      <c r="CH49"/>
    </row>
    <row r="50" spans="1:86" ht="14.5">
      <c r="A50" s="157"/>
      <c r="B50" s="157"/>
      <c r="C50" s="157"/>
      <c r="D50" s="768"/>
      <c r="E50" s="768"/>
      <c r="F50" s="732" t="s">
        <v>2469</v>
      </c>
      <c r="G50" s="709"/>
      <c r="H50" s="709"/>
      <c r="I50" s="709"/>
      <c r="S50" s="771">
        <v>3</v>
      </c>
      <c r="T50" s="767" t="s">
        <v>2470</v>
      </c>
      <c r="AF50" s="768" t="s">
        <v>2471</v>
      </c>
      <c r="AG50" s="736" t="s">
        <v>2472</v>
      </c>
      <c r="AH50" s="736" t="s">
        <v>43</v>
      </c>
      <c r="AI50" s="736" t="s">
        <v>1310</v>
      </c>
      <c r="AJ50" s="736" t="s">
        <v>3424</v>
      </c>
      <c r="AK50" s="732"/>
      <c r="AL50" s="732"/>
      <c r="AM50" s="740" t="s">
        <v>2473</v>
      </c>
      <c r="AO50" s="769">
        <v>20</v>
      </c>
      <c r="AP50" s="769"/>
      <c r="AQ50" s="769">
        <v>4.2</v>
      </c>
      <c r="AR50" s="982">
        <v>2000</v>
      </c>
      <c r="AS50" s="744" t="s">
        <v>288</v>
      </c>
      <c r="AT50" s="769">
        <v>9.5</v>
      </c>
      <c r="AU50" s="769" t="s">
        <v>288</v>
      </c>
      <c r="AV50" s="767" t="s">
        <v>288</v>
      </c>
      <c r="BS50" s="420" t="s">
        <v>1115</v>
      </c>
      <c r="BT50" s="2"/>
      <c r="BU50"/>
      <c r="BV50"/>
      <c r="BW50"/>
      <c r="BX50"/>
      <c r="BY50"/>
      <c r="BZ50"/>
      <c r="CA50"/>
      <c r="CB50"/>
      <c r="CC50"/>
      <c r="CD50"/>
      <c r="CE50"/>
      <c r="CF50"/>
      <c r="CG50" s="592"/>
      <c r="CH50"/>
    </row>
    <row r="51" spans="1:86" ht="14.5">
      <c r="A51" s="157"/>
      <c r="B51" s="157"/>
      <c r="C51" s="157"/>
      <c r="D51" s="768"/>
      <c r="E51" s="768"/>
      <c r="F51" s="732" t="s">
        <v>2474</v>
      </c>
      <c r="G51" s="709"/>
      <c r="H51" s="709"/>
      <c r="I51" s="709"/>
      <c r="S51" s="771">
        <v>4</v>
      </c>
      <c r="T51" s="767" t="s">
        <v>2475</v>
      </c>
      <c r="AF51" s="768" t="s">
        <v>2476</v>
      </c>
      <c r="AG51" s="736" t="s">
        <v>2477</v>
      </c>
      <c r="AH51" s="736" t="s">
        <v>43</v>
      </c>
      <c r="AI51" s="736" t="s">
        <v>1310</v>
      </c>
      <c r="AJ51" s="736" t="s">
        <v>3425</v>
      </c>
      <c r="AK51" s="732"/>
      <c r="AL51" s="732"/>
      <c r="AM51" s="740" t="s">
        <v>2478</v>
      </c>
      <c r="AN51" s="744"/>
      <c r="AO51" s="769">
        <v>17</v>
      </c>
      <c r="AP51" s="769"/>
      <c r="AQ51" s="769">
        <v>3.5</v>
      </c>
      <c r="AR51" s="982">
        <v>2000</v>
      </c>
      <c r="AS51" s="744" t="s">
        <v>288</v>
      </c>
      <c r="AT51" s="769">
        <v>9.5</v>
      </c>
      <c r="AU51" s="769" t="s">
        <v>288</v>
      </c>
      <c r="AV51" s="767" t="s">
        <v>288</v>
      </c>
      <c r="BS51" s="420" t="s">
        <v>1121</v>
      </c>
      <c r="BT51" s="2"/>
      <c r="BU51"/>
      <c r="BV51" t="s">
        <v>1156</v>
      </c>
      <c r="BW51"/>
      <c r="BX51"/>
      <c r="BY51"/>
      <c r="BZ51"/>
      <c r="CA51"/>
      <c r="CB51"/>
      <c r="CC51"/>
      <c r="CD51"/>
      <c r="CE51"/>
      <c r="CF51"/>
      <c r="CG51" s="592"/>
      <c r="CH51"/>
    </row>
    <row r="52" spans="1:86" ht="14.5">
      <c r="A52" s="157"/>
      <c r="B52" s="157"/>
      <c r="C52" s="157"/>
      <c r="D52" s="768"/>
      <c r="E52" s="768"/>
      <c r="F52" s="732" t="s">
        <v>2479</v>
      </c>
      <c r="G52" s="709"/>
      <c r="H52" s="709"/>
      <c r="I52" s="709"/>
      <c r="S52" s="771">
        <v>5</v>
      </c>
      <c r="T52" s="767" t="s">
        <v>2480</v>
      </c>
      <c r="AF52" s="768" t="s">
        <v>2481</v>
      </c>
      <c r="AG52" s="736" t="s">
        <v>2482</v>
      </c>
      <c r="AH52" s="736" t="s">
        <v>43</v>
      </c>
      <c r="AI52" s="736" t="s">
        <v>1310</v>
      </c>
      <c r="AJ52" s="736" t="s">
        <v>3426</v>
      </c>
      <c r="AK52" s="732"/>
      <c r="AL52" s="732"/>
      <c r="AM52" s="740" t="s">
        <v>2483</v>
      </c>
      <c r="AO52" s="769">
        <v>17</v>
      </c>
      <c r="AP52" s="769"/>
      <c r="AQ52" s="769">
        <v>3.5</v>
      </c>
      <c r="AR52" s="982">
        <v>2000</v>
      </c>
      <c r="AS52" s="744" t="s">
        <v>288</v>
      </c>
      <c r="AT52" s="769">
        <v>9.5</v>
      </c>
      <c r="AU52" s="769" t="s">
        <v>288</v>
      </c>
      <c r="AV52" s="767" t="s">
        <v>288</v>
      </c>
      <c r="BS52" s="420" t="s">
        <v>1099</v>
      </c>
      <c r="BT52" s="2" t="s">
        <v>901</v>
      </c>
      <c r="BU52"/>
      <c r="BV52" s="114" t="s">
        <v>1047</v>
      </c>
      <c r="BW52" s="114" t="s">
        <v>1078</v>
      </c>
      <c r="BX52" s="114" t="s">
        <v>1079</v>
      </c>
      <c r="BY52" s="114" t="s">
        <v>1081</v>
      </c>
      <c r="BZ52" s="114" t="s">
        <v>1082</v>
      </c>
      <c r="CA52" s="114" t="s">
        <v>1084</v>
      </c>
      <c r="CB52" s="114" t="s">
        <v>1086</v>
      </c>
      <c r="CC52" s="114" t="s">
        <v>1050</v>
      </c>
      <c r="CD52" s="114" t="s">
        <v>1089</v>
      </c>
      <c r="CE52" s="114" t="s">
        <v>1090</v>
      </c>
      <c r="CF52" s="114" t="s">
        <v>1091</v>
      </c>
      <c r="CG52" s="252" t="s">
        <v>1859</v>
      </c>
      <c r="CH52"/>
    </row>
    <row r="53" spans="1:86" ht="14.5">
      <c r="A53" s="157"/>
      <c r="B53" s="157"/>
      <c r="C53" s="157"/>
      <c r="D53" s="768"/>
      <c r="E53" s="768"/>
      <c r="F53" s="732" t="s">
        <v>2484</v>
      </c>
      <c r="G53" s="709"/>
      <c r="H53" s="709"/>
      <c r="I53" s="709"/>
      <c r="S53" s="770">
        <v>6</v>
      </c>
      <c r="T53" s="766" t="s">
        <v>2485</v>
      </c>
      <c r="AF53" s="768" t="s">
        <v>2486</v>
      </c>
      <c r="AG53" s="736" t="s">
        <v>2487</v>
      </c>
      <c r="AH53" s="736" t="s">
        <v>43</v>
      </c>
      <c r="AI53" s="736" t="s">
        <v>1310</v>
      </c>
      <c r="AJ53" s="736" t="s">
        <v>3427</v>
      </c>
      <c r="AK53" s="732"/>
      <c r="AL53" s="732"/>
      <c r="AM53" s="740" t="s">
        <v>2488</v>
      </c>
      <c r="AN53" s="744"/>
      <c r="AO53" s="769">
        <v>17</v>
      </c>
      <c r="AP53" s="769"/>
      <c r="AQ53" s="769">
        <v>3.5</v>
      </c>
      <c r="AR53" s="982">
        <v>2000</v>
      </c>
      <c r="AS53" s="744" t="s">
        <v>288</v>
      </c>
      <c r="AT53" s="769">
        <v>9.5</v>
      </c>
      <c r="AU53" s="769" t="s">
        <v>288</v>
      </c>
      <c r="AV53" s="767" t="s">
        <v>288</v>
      </c>
      <c r="BS53" s="420" t="s">
        <v>1107</v>
      </c>
      <c r="BT53" s="2" t="s">
        <v>901</v>
      </c>
      <c r="BU53"/>
      <c r="BV53" t="s">
        <v>1157</v>
      </c>
      <c r="BW53" t="s">
        <v>1158</v>
      </c>
      <c r="BX53" t="s">
        <v>1159</v>
      </c>
      <c r="BY53" t="s">
        <v>1160</v>
      </c>
      <c r="BZ53" t="s">
        <v>1161</v>
      </c>
      <c r="CA53" t="s">
        <v>1162</v>
      </c>
      <c r="CB53" t="s">
        <v>1163</v>
      </c>
      <c r="CC53" t="s">
        <v>1164</v>
      </c>
      <c r="CD53" t="s">
        <v>1165</v>
      </c>
      <c r="CE53" t="s">
        <v>1166</v>
      </c>
      <c r="CF53" t="s">
        <v>1167</v>
      </c>
      <c r="CG53" s="592" t="s">
        <v>1861</v>
      </c>
      <c r="CH53"/>
    </row>
    <row r="54" spans="1:86" ht="14.5">
      <c r="A54" s="157"/>
      <c r="B54" s="157"/>
      <c r="C54" s="157"/>
      <c r="D54" s="768"/>
      <c r="E54" s="768"/>
      <c r="F54" s="732" t="s">
        <v>2489</v>
      </c>
      <c r="G54" s="709"/>
      <c r="H54" s="709"/>
      <c r="I54" s="709"/>
      <c r="AF54" s="768" t="s">
        <v>2490</v>
      </c>
      <c r="AG54" s="736" t="s">
        <v>2491</v>
      </c>
      <c r="AH54" s="736" t="s">
        <v>43</v>
      </c>
      <c r="AI54" s="736" t="s">
        <v>1310</v>
      </c>
      <c r="AJ54" s="736" t="s">
        <v>3428</v>
      </c>
      <c r="AK54" s="732"/>
      <c r="AL54" s="732"/>
      <c r="AM54" s="740" t="s">
        <v>2492</v>
      </c>
      <c r="AO54" s="769">
        <v>17</v>
      </c>
      <c r="AP54" s="769"/>
      <c r="AQ54" s="769">
        <v>3.5</v>
      </c>
      <c r="AR54" s="982">
        <v>2000</v>
      </c>
      <c r="AS54" s="744" t="s">
        <v>288</v>
      </c>
      <c r="AT54" s="769">
        <v>9.5</v>
      </c>
      <c r="AU54" s="769" t="s">
        <v>288</v>
      </c>
      <c r="AV54" s="767" t="s">
        <v>288</v>
      </c>
      <c r="BS54" s="420" t="s">
        <v>1116</v>
      </c>
      <c r="BT54" s="2" t="s">
        <v>901</v>
      </c>
      <c r="BU54"/>
      <c r="BV54"/>
      <c r="BW54"/>
      <c r="BX54"/>
      <c r="BY54" t="s">
        <v>1168</v>
      </c>
      <c r="BZ54">
        <v>8202011300</v>
      </c>
      <c r="CA54"/>
      <c r="CB54"/>
      <c r="CC54" t="s">
        <v>1169</v>
      </c>
      <c r="CD54" t="s">
        <v>1170</v>
      </c>
      <c r="CE54"/>
      <c r="CF54" t="s">
        <v>1171</v>
      </c>
      <c r="CG54"/>
      <c r="CH54"/>
    </row>
    <row r="55" spans="1:86" ht="14.5">
      <c r="A55" s="157"/>
      <c r="B55" s="157"/>
      <c r="C55" s="157"/>
      <c r="D55" s="768"/>
      <c r="E55" s="768"/>
      <c r="F55" s="732" t="s">
        <v>2493</v>
      </c>
      <c r="G55" s="709"/>
      <c r="H55" s="709"/>
      <c r="I55" s="709"/>
      <c r="AF55" s="768" t="s">
        <v>2494</v>
      </c>
      <c r="AG55" s="736" t="s">
        <v>2495</v>
      </c>
      <c r="AH55" s="736" t="s">
        <v>43</v>
      </c>
      <c r="AI55" s="736" t="s">
        <v>1310</v>
      </c>
      <c r="AJ55" s="736" t="s">
        <v>3429</v>
      </c>
      <c r="AK55" s="732"/>
      <c r="AL55" s="732"/>
      <c r="AM55" s="751"/>
      <c r="AN55" s="750"/>
      <c r="AO55" s="749"/>
      <c r="AP55" s="749"/>
      <c r="AQ55" s="749"/>
      <c r="AR55" s="752"/>
      <c r="AS55" s="750"/>
      <c r="AT55" s="749"/>
      <c r="AU55" s="749"/>
      <c r="AV55" s="748"/>
      <c r="BS55" s="420" t="s">
        <v>1100</v>
      </c>
      <c r="BT55" s="2" t="s">
        <v>900</v>
      </c>
      <c r="BU55"/>
      <c r="BV55"/>
      <c r="BW55"/>
      <c r="BX55"/>
      <c r="BY55" t="s">
        <v>1172</v>
      </c>
      <c r="BZ55" t="s">
        <v>1173</v>
      </c>
      <c r="CA55"/>
      <c r="CB55"/>
      <c r="CC55" t="s">
        <v>1174</v>
      </c>
      <c r="CD55" t="s">
        <v>1175</v>
      </c>
      <c r="CE55"/>
      <c r="CF55" t="s">
        <v>1176</v>
      </c>
      <c r="CG55"/>
      <c r="CH55"/>
    </row>
    <row r="56" spans="1:86" ht="14.5">
      <c r="A56" s="157"/>
      <c r="B56" s="157"/>
      <c r="C56" s="157"/>
      <c r="D56" s="768"/>
      <c r="E56" s="768"/>
      <c r="F56" s="732" t="s">
        <v>2496</v>
      </c>
      <c r="G56" s="709"/>
      <c r="H56" s="709"/>
      <c r="I56" s="709"/>
      <c r="AF56" s="768" t="s">
        <v>2497</v>
      </c>
      <c r="AG56" s="736" t="s">
        <v>2498</v>
      </c>
      <c r="AH56" s="736" t="s">
        <v>43</v>
      </c>
      <c r="AI56" s="736" t="s">
        <v>1310</v>
      </c>
      <c r="AJ56" s="736" t="s">
        <v>3430</v>
      </c>
      <c r="AK56" s="732"/>
      <c r="AL56" s="732"/>
      <c r="AM56" s="751"/>
      <c r="AN56" s="750"/>
      <c r="AO56" s="749"/>
      <c r="AP56" s="749"/>
      <c r="AQ56" s="749"/>
      <c r="AR56" s="748"/>
      <c r="AS56" s="750"/>
      <c r="AT56" s="749"/>
      <c r="AU56" s="749"/>
      <c r="AV56" s="748"/>
      <c r="BS56" s="420" t="s">
        <v>1108</v>
      </c>
      <c r="BT56" s="2" t="s">
        <v>900</v>
      </c>
      <c r="BU56"/>
      <c r="BV56"/>
      <c r="BW56"/>
      <c r="BX56"/>
      <c r="BY56" t="s">
        <v>1177</v>
      </c>
      <c r="BZ56"/>
      <c r="CA56"/>
      <c r="CB56"/>
      <c r="CC56" t="s">
        <v>1178</v>
      </c>
      <c r="CD56" t="s">
        <v>1179</v>
      </c>
      <c r="CE56"/>
      <c r="CF56"/>
      <c r="CG56"/>
      <c r="CH56"/>
    </row>
    <row r="57" spans="1:86" ht="14.5">
      <c r="A57" s="157"/>
      <c r="B57" s="157"/>
      <c r="C57" s="157"/>
      <c r="D57" s="768"/>
      <c r="E57" s="768"/>
      <c r="F57" s="732" t="s">
        <v>2499</v>
      </c>
      <c r="G57" s="709"/>
      <c r="H57" s="709"/>
      <c r="I57" s="709"/>
      <c r="AF57" s="768" t="s">
        <v>2500</v>
      </c>
      <c r="AG57" s="736" t="s">
        <v>2501</v>
      </c>
      <c r="AH57" s="736" t="s">
        <v>43</v>
      </c>
      <c r="AI57" s="736" t="s">
        <v>1310</v>
      </c>
      <c r="AJ57" s="736" t="s">
        <v>3431</v>
      </c>
      <c r="AK57" s="732"/>
      <c r="AL57" s="732"/>
      <c r="AM57" s="751"/>
      <c r="AN57" s="750"/>
      <c r="AO57" s="749"/>
      <c r="AP57" s="749"/>
      <c r="AQ57" s="749"/>
      <c r="AR57" s="748"/>
      <c r="AS57" s="750"/>
      <c r="AT57" s="749"/>
      <c r="AU57" s="749"/>
      <c r="AV57" s="748"/>
      <c r="BS57" s="420" t="s">
        <v>1117</v>
      </c>
      <c r="BT57" s="2" t="s">
        <v>901</v>
      </c>
      <c r="BU57"/>
      <c r="BV57"/>
      <c r="BW57"/>
      <c r="BX57"/>
      <c r="BY57" t="s">
        <v>1180</v>
      </c>
      <c r="BZ57"/>
      <c r="CA57"/>
      <c r="CB57"/>
      <c r="CC57"/>
      <c r="CD57" t="s">
        <v>1181</v>
      </c>
      <c r="CE57"/>
      <c r="CF57"/>
      <c r="CG57"/>
      <c r="CH57"/>
    </row>
    <row r="58" spans="1:86" ht="14.5">
      <c r="A58" s="157"/>
      <c r="B58" s="157"/>
      <c r="C58" s="157"/>
      <c r="D58" s="768"/>
      <c r="E58" s="768"/>
      <c r="F58" s="732" t="s">
        <v>2502</v>
      </c>
      <c r="G58" s="709"/>
      <c r="H58" s="709"/>
      <c r="I58" s="709"/>
      <c r="AF58" s="768" t="s">
        <v>2503</v>
      </c>
      <c r="AG58" s="736" t="s">
        <v>2504</v>
      </c>
      <c r="AH58" s="736" t="s">
        <v>43</v>
      </c>
      <c r="AI58" s="736" t="s">
        <v>1310</v>
      </c>
      <c r="AJ58" s="736" t="s">
        <v>3432</v>
      </c>
      <c r="AK58" s="732"/>
      <c r="AL58" s="732"/>
      <c r="AM58" s="751"/>
      <c r="AN58" s="750"/>
      <c r="AO58" s="749"/>
      <c r="AP58" s="749"/>
      <c r="AQ58" s="749"/>
      <c r="AR58" s="748"/>
      <c r="AS58" s="750"/>
      <c r="AT58" s="749"/>
      <c r="AU58" s="749"/>
      <c r="AV58" s="748"/>
      <c r="BS58" s="420" t="s">
        <v>1122</v>
      </c>
      <c r="BT58" s="2" t="s">
        <v>901</v>
      </c>
      <c r="BU58"/>
      <c r="BV58"/>
      <c r="BW58"/>
      <c r="BX58"/>
      <c r="BY58"/>
      <c r="BZ58"/>
      <c r="CA58"/>
      <c r="CB58"/>
      <c r="CC58"/>
      <c r="CD58"/>
      <c r="CE58"/>
      <c r="CF58"/>
      <c r="CG58"/>
      <c r="CH58"/>
    </row>
    <row r="59" spans="1:86" ht="14.5">
      <c r="A59" s="157"/>
      <c r="B59" s="157"/>
      <c r="C59" s="157"/>
      <c r="D59" s="768"/>
      <c r="E59" s="768"/>
      <c r="F59" s="732" t="s">
        <v>2505</v>
      </c>
      <c r="G59" s="709"/>
      <c r="H59" s="709"/>
      <c r="I59" s="709"/>
      <c r="AF59" s="768" t="s">
        <v>2506</v>
      </c>
      <c r="AG59" s="736" t="s">
        <v>2507</v>
      </c>
      <c r="AH59" s="736" t="s">
        <v>43</v>
      </c>
      <c r="AI59" s="736" t="s">
        <v>1310</v>
      </c>
      <c r="AJ59" s="736" t="s">
        <v>3433</v>
      </c>
      <c r="AK59" s="732"/>
      <c r="AL59" s="732"/>
      <c r="AM59" s="751"/>
      <c r="AN59" s="750"/>
      <c r="AO59" s="749"/>
      <c r="AP59" s="749"/>
      <c r="AQ59" s="749"/>
      <c r="AR59" s="748"/>
      <c r="AS59" s="750"/>
      <c r="AT59" s="749"/>
      <c r="AU59" s="749"/>
      <c r="AV59" s="748"/>
      <c r="BS59" s="420" t="s">
        <v>1126</v>
      </c>
      <c r="BT59" s="2" t="s">
        <v>901</v>
      </c>
      <c r="BU59"/>
      <c r="BV59"/>
      <c r="BW59"/>
      <c r="BX59"/>
      <c r="BY59"/>
      <c r="BZ59"/>
      <c r="CA59"/>
      <c r="CB59"/>
      <c r="CC59"/>
      <c r="CD59"/>
      <c r="CE59"/>
      <c r="CF59"/>
      <c r="CG59"/>
      <c r="CH59"/>
    </row>
    <row r="60" spans="1:86" ht="14.5">
      <c r="A60" s="157"/>
      <c r="B60" s="157"/>
      <c r="C60" s="157"/>
      <c r="D60" s="768"/>
      <c r="E60" s="768"/>
      <c r="F60" s="732" t="s">
        <v>2508</v>
      </c>
      <c r="G60" s="709"/>
      <c r="H60" s="709"/>
      <c r="I60" s="709"/>
      <c r="AF60" s="768" t="s">
        <v>2509</v>
      </c>
      <c r="AG60" s="736" t="s">
        <v>2510</v>
      </c>
      <c r="AH60" s="736" t="s">
        <v>43</v>
      </c>
      <c r="AI60" s="736" t="s">
        <v>1310</v>
      </c>
      <c r="AJ60" s="736" t="s">
        <v>3434</v>
      </c>
      <c r="AK60" s="732"/>
      <c r="AL60" s="732"/>
      <c r="AM60" s="741"/>
      <c r="AN60" s="742"/>
      <c r="AO60" s="746"/>
      <c r="AP60" s="746"/>
      <c r="AQ60" s="746"/>
      <c r="AR60" s="747"/>
      <c r="AS60" s="742"/>
      <c r="AT60" s="746"/>
      <c r="AU60" s="746"/>
      <c r="AV60" s="747"/>
      <c r="BS60" s="420" t="s">
        <v>1128</v>
      </c>
      <c r="BT60" s="2"/>
      <c r="BU60"/>
      <c r="BV60"/>
      <c r="BW60"/>
      <c r="BX60"/>
      <c r="BY60"/>
      <c r="BZ60"/>
      <c r="CA60"/>
      <c r="CB60"/>
      <c r="CC60"/>
      <c r="CD60"/>
      <c r="CE60"/>
      <c r="CF60"/>
      <c r="CG60"/>
      <c r="CH60"/>
    </row>
    <row r="61" spans="1:86" ht="14.5">
      <c r="A61" s="157"/>
      <c r="B61" s="157"/>
      <c r="C61" s="157"/>
      <c r="D61" s="768"/>
      <c r="E61" s="768"/>
      <c r="F61" s="732" t="s">
        <v>2511</v>
      </c>
      <c r="G61" s="709"/>
      <c r="H61" s="709"/>
      <c r="I61" s="709"/>
      <c r="AF61" s="768" t="s">
        <v>2512</v>
      </c>
      <c r="AG61" s="736" t="s">
        <v>2513</v>
      </c>
      <c r="AH61" s="736" t="s">
        <v>43</v>
      </c>
      <c r="AI61" s="736" t="s">
        <v>1310</v>
      </c>
      <c r="AJ61" s="736" t="s">
        <v>3435</v>
      </c>
      <c r="AK61" s="732"/>
      <c r="AL61" s="732"/>
      <c r="AM61" s="732"/>
      <c r="AN61" s="732"/>
      <c r="AO61" s="732"/>
      <c r="AP61" s="732"/>
      <c r="AQ61" s="732"/>
      <c r="AR61" s="764" t="s">
        <v>2514</v>
      </c>
      <c r="AS61" s="732"/>
      <c r="AT61" s="732"/>
      <c r="AU61" s="732"/>
      <c r="AV61" s="732"/>
      <c r="BS61" s="420" t="s">
        <v>1130</v>
      </c>
      <c r="BT61" s="2"/>
      <c r="BU61"/>
      <c r="BV61"/>
      <c r="BW61"/>
      <c r="BX61"/>
      <c r="BY61"/>
      <c r="BZ61"/>
      <c r="CA61"/>
      <c r="CB61"/>
      <c r="CC61"/>
      <c r="CD61"/>
      <c r="CE61"/>
      <c r="CF61"/>
      <c r="CG61"/>
      <c r="CH61"/>
    </row>
    <row r="62" spans="1:86" ht="14.5">
      <c r="A62" s="157"/>
      <c r="B62" s="157"/>
      <c r="C62" s="157"/>
      <c r="D62" s="768"/>
      <c r="E62" s="768"/>
      <c r="F62" s="732" t="s">
        <v>2515</v>
      </c>
      <c r="G62" s="709"/>
      <c r="H62" s="709"/>
      <c r="I62" s="709"/>
      <c r="AF62" s="768" t="s">
        <v>2516</v>
      </c>
      <c r="AG62" s="736" t="s">
        <v>2517</v>
      </c>
      <c r="AH62" s="736" t="s">
        <v>43</v>
      </c>
      <c r="AI62" s="736" t="s">
        <v>1310</v>
      </c>
      <c r="AJ62" s="736" t="s">
        <v>3436</v>
      </c>
      <c r="AK62" s="732"/>
      <c r="AL62" s="732"/>
      <c r="AM62" s="732"/>
      <c r="AN62" s="732"/>
      <c r="AO62" s="732"/>
      <c r="AP62" s="732"/>
      <c r="AQ62" s="732"/>
      <c r="AR62" s="732"/>
      <c r="AS62" s="732"/>
      <c r="AT62" s="732"/>
      <c r="AU62" s="732"/>
      <c r="AV62" s="732"/>
      <c r="BS62" s="420" t="s">
        <v>1132</v>
      </c>
      <c r="BT62" s="2" t="s">
        <v>900</v>
      </c>
      <c r="BU62"/>
      <c r="BV62"/>
      <c r="BW62"/>
      <c r="BX62"/>
      <c r="BY62"/>
      <c r="BZ62"/>
      <c r="CA62"/>
      <c r="CB62"/>
      <c r="CC62"/>
      <c r="CD62"/>
      <c r="CE62"/>
      <c r="CF62"/>
      <c r="CG62"/>
      <c r="CH62"/>
    </row>
    <row r="63" spans="1:86" ht="14.5">
      <c r="A63" s="157"/>
      <c r="B63" s="157"/>
      <c r="C63" s="157"/>
      <c r="D63" s="768"/>
      <c r="E63" s="768"/>
      <c r="F63" s="732" t="s">
        <v>2518</v>
      </c>
      <c r="G63" s="709"/>
      <c r="H63" s="709"/>
      <c r="I63" s="709"/>
      <c r="AF63" s="768" t="s">
        <v>2519</v>
      </c>
      <c r="AG63" s="736" t="s">
        <v>2520</v>
      </c>
      <c r="AH63" s="736" t="s">
        <v>43</v>
      </c>
      <c r="AI63" s="736" t="s">
        <v>1310</v>
      </c>
      <c r="AJ63" s="736" t="s">
        <v>3437</v>
      </c>
      <c r="AK63" s="732"/>
      <c r="AL63" s="732"/>
      <c r="AM63" s="732"/>
      <c r="AN63" s="732"/>
      <c r="AO63" s="732"/>
      <c r="AP63" s="732"/>
      <c r="AQ63" s="732"/>
      <c r="AR63" s="732"/>
      <c r="AS63" s="732"/>
      <c r="AT63" s="732"/>
      <c r="AU63" s="732"/>
      <c r="AV63" s="732"/>
      <c r="BS63" s="420" t="s">
        <v>1101</v>
      </c>
      <c r="BT63" s="2"/>
      <c r="BU63"/>
      <c r="BV63"/>
      <c r="BW63"/>
      <c r="BX63"/>
      <c r="BY63"/>
      <c r="BZ63"/>
      <c r="CA63"/>
      <c r="CB63"/>
      <c r="CC63"/>
      <c r="CD63"/>
      <c r="CE63"/>
      <c r="CF63"/>
      <c r="CG63"/>
      <c r="CH63"/>
    </row>
    <row r="64" spans="1:86" ht="14.5">
      <c r="A64" s="157"/>
      <c r="B64" s="157"/>
      <c r="C64" s="157"/>
      <c r="D64" s="768"/>
      <c r="E64" s="768"/>
      <c r="F64" s="732" t="s">
        <v>2521</v>
      </c>
      <c r="G64" s="709"/>
      <c r="H64" s="709"/>
      <c r="I64" s="709"/>
      <c r="AF64" s="768" t="s">
        <v>2522</v>
      </c>
      <c r="AG64" s="736" t="s">
        <v>2523</v>
      </c>
      <c r="AH64" s="736" t="s">
        <v>43</v>
      </c>
      <c r="AI64" s="736" t="s">
        <v>1310</v>
      </c>
      <c r="AJ64" s="736" t="s">
        <v>3438</v>
      </c>
      <c r="AK64" s="732"/>
      <c r="AL64" s="732"/>
      <c r="AM64" s="732"/>
      <c r="AN64" s="732"/>
      <c r="AO64" s="732"/>
      <c r="AP64" s="732"/>
      <c r="AQ64" s="732"/>
      <c r="AR64" s="732"/>
      <c r="AS64" s="732"/>
      <c r="AT64" s="732"/>
      <c r="AU64" s="732"/>
      <c r="AV64" s="732"/>
      <c r="BS64" s="420" t="s">
        <v>1109</v>
      </c>
      <c r="BT64" s="2"/>
      <c r="BU64"/>
      <c r="BV64"/>
      <c r="BW64"/>
      <c r="BX64"/>
      <c r="BY64"/>
      <c r="BZ64"/>
      <c r="CA64"/>
      <c r="CB64"/>
      <c r="CC64"/>
      <c r="CD64"/>
      <c r="CE64"/>
      <c r="CF64"/>
      <c r="CG64"/>
      <c r="CH64"/>
    </row>
    <row r="65" spans="4:86" ht="14.5">
      <c r="D65" s="768"/>
      <c r="E65" s="768"/>
      <c r="F65" s="732" t="s">
        <v>2524</v>
      </c>
      <c r="G65" s="709"/>
      <c r="H65" s="709"/>
      <c r="I65" s="709"/>
      <c r="AF65" s="768" t="s">
        <v>2525</v>
      </c>
      <c r="AG65" s="736" t="s">
        <v>2526</v>
      </c>
      <c r="AH65" s="736" t="s">
        <v>43</v>
      </c>
      <c r="AI65" s="736" t="s">
        <v>1310</v>
      </c>
      <c r="AJ65" s="736" t="s">
        <v>3439</v>
      </c>
      <c r="BS65" s="420" t="s">
        <v>1118</v>
      </c>
      <c r="BT65" s="2"/>
      <c r="BU65"/>
      <c r="BV65"/>
      <c r="BW65"/>
      <c r="BX65"/>
      <c r="BY65"/>
      <c r="BZ65"/>
      <c r="CA65"/>
      <c r="CB65"/>
      <c r="CC65"/>
      <c r="CD65"/>
      <c r="CE65"/>
      <c r="CF65"/>
      <c r="CG65"/>
      <c r="CH65"/>
    </row>
    <row r="66" spans="4:86" ht="14.5">
      <c r="D66" s="768"/>
      <c r="E66" s="768"/>
      <c r="F66" s="732" t="s">
        <v>2527</v>
      </c>
      <c r="G66" s="709"/>
      <c r="H66" s="709"/>
      <c r="I66" s="709"/>
      <c r="AF66" s="768" t="s">
        <v>2528</v>
      </c>
      <c r="AG66" s="736" t="s">
        <v>2529</v>
      </c>
      <c r="AH66" s="736" t="s">
        <v>43</v>
      </c>
      <c r="AI66" s="736" t="s">
        <v>1310</v>
      </c>
      <c r="AJ66" s="736" t="s">
        <v>3440</v>
      </c>
      <c r="BS66" s="420" t="s">
        <v>1123</v>
      </c>
      <c r="BT66" s="2"/>
      <c r="BU66"/>
      <c r="BV66"/>
      <c r="BW66"/>
      <c r="BX66"/>
      <c r="BY66"/>
      <c r="BZ66"/>
      <c r="CA66"/>
      <c r="CB66"/>
      <c r="CC66"/>
      <c r="CD66"/>
      <c r="CE66"/>
      <c r="CF66"/>
      <c r="CG66"/>
      <c r="CH66"/>
    </row>
    <row r="67" spans="4:86" ht="14.5">
      <c r="D67" s="768"/>
      <c r="E67" s="768"/>
      <c r="F67" s="732" t="s">
        <v>2530</v>
      </c>
      <c r="G67" s="709"/>
      <c r="H67" s="709"/>
      <c r="I67" s="709"/>
      <c r="AF67" s="768" t="s">
        <v>2531</v>
      </c>
      <c r="AG67" s="736" t="s">
        <v>2532</v>
      </c>
      <c r="AH67" s="736" t="s">
        <v>43</v>
      </c>
      <c r="AI67" s="736" t="s">
        <v>1310</v>
      </c>
      <c r="AJ67" s="736" t="s">
        <v>3441</v>
      </c>
      <c r="BS67" s="420" t="s">
        <v>1102</v>
      </c>
      <c r="BT67" s="2"/>
      <c r="BU67"/>
      <c r="BV67"/>
      <c r="BW67"/>
      <c r="BX67"/>
      <c r="BY67"/>
      <c r="BZ67"/>
      <c r="CA67"/>
      <c r="CB67"/>
      <c r="CC67"/>
      <c r="CD67"/>
      <c r="CE67"/>
      <c r="CF67"/>
      <c r="CG67"/>
      <c r="CH67"/>
    </row>
    <row r="68" spans="4:86" ht="14.5">
      <c r="D68" s="768"/>
      <c r="E68" s="768"/>
      <c r="F68" s="732" t="s">
        <v>2533</v>
      </c>
      <c r="G68" s="709"/>
      <c r="H68" s="709"/>
      <c r="I68" s="709"/>
      <c r="AF68" s="768" t="s">
        <v>2534</v>
      </c>
      <c r="AG68" s="736" t="s">
        <v>2535</v>
      </c>
      <c r="AH68" s="736" t="s">
        <v>43</v>
      </c>
      <c r="AI68" s="736" t="s">
        <v>1310</v>
      </c>
      <c r="AJ68" s="736" t="s">
        <v>3442</v>
      </c>
      <c r="BS68" s="420" t="s">
        <v>1110</v>
      </c>
      <c r="BT68" s="2"/>
      <c r="BU68"/>
      <c r="BV68"/>
      <c r="BW68"/>
      <c r="BX68"/>
      <c r="BY68"/>
      <c r="BZ68"/>
      <c r="CA68"/>
      <c r="CB68"/>
      <c r="CC68"/>
      <c r="CD68"/>
      <c r="CE68"/>
      <c r="CF68"/>
      <c r="CG68"/>
      <c r="CH68"/>
    </row>
    <row r="69" spans="4:86" ht="14.5">
      <c r="D69" s="768"/>
      <c r="E69" s="768"/>
      <c r="F69" s="732" t="s">
        <v>2536</v>
      </c>
      <c r="G69" s="709"/>
      <c r="H69" s="709"/>
      <c r="I69" s="709"/>
      <c r="AF69" s="768" t="s">
        <v>2537</v>
      </c>
      <c r="AG69" s="735" t="s">
        <v>2538</v>
      </c>
      <c r="AH69" s="736" t="s">
        <v>43</v>
      </c>
      <c r="AI69" s="736" t="s">
        <v>1310</v>
      </c>
      <c r="AJ69" s="736" t="s">
        <v>3443</v>
      </c>
      <c r="BS69" s="420" t="s">
        <v>1103</v>
      </c>
      <c r="BT69" s="2" t="s">
        <v>901</v>
      </c>
      <c r="BU69"/>
      <c r="BV69"/>
      <c r="BW69"/>
      <c r="BX69"/>
      <c r="BY69"/>
      <c r="BZ69"/>
      <c r="CA69"/>
      <c r="CB69"/>
      <c r="CC69"/>
      <c r="CD69"/>
      <c r="CE69"/>
      <c r="CF69"/>
      <c r="CG69"/>
      <c r="CH69"/>
    </row>
    <row r="70" spans="4:86" ht="14.5">
      <c r="D70" s="768"/>
      <c r="E70" s="768"/>
      <c r="F70" s="732" t="s">
        <v>2539</v>
      </c>
      <c r="G70" s="709"/>
      <c r="H70" s="709"/>
      <c r="I70" s="709"/>
      <c r="J70" s="732"/>
      <c r="K70" s="732"/>
      <c r="L70" s="732"/>
      <c r="M70" s="732"/>
      <c r="N70" s="732"/>
      <c r="O70" s="732"/>
      <c r="P70" s="732"/>
      <c r="Q70" s="732"/>
      <c r="R70" s="732"/>
      <c r="AD70" s="732"/>
      <c r="AE70" s="732"/>
      <c r="AF70" s="768" t="s">
        <v>2540</v>
      </c>
      <c r="AG70" s="735" t="s">
        <v>2541</v>
      </c>
      <c r="AH70" s="736" t="s">
        <v>43</v>
      </c>
      <c r="AI70" s="736" t="s">
        <v>1310</v>
      </c>
      <c r="AJ70" s="736" t="s">
        <v>3444</v>
      </c>
      <c r="AW70" s="732"/>
      <c r="AX70" s="732"/>
      <c r="AY70" s="732"/>
      <c r="AZ70" s="732"/>
      <c r="BA70" s="732"/>
      <c r="BB70" s="732"/>
      <c r="BC70" s="732"/>
      <c r="BD70" s="732"/>
      <c r="BE70" s="732"/>
      <c r="BF70" s="732"/>
      <c r="BG70" s="732"/>
      <c r="BS70" s="420" t="s">
        <v>1111</v>
      </c>
      <c r="BT70" s="2" t="s">
        <v>901</v>
      </c>
      <c r="BU70"/>
      <c r="BV70"/>
      <c r="BW70"/>
      <c r="BX70"/>
      <c r="BY70"/>
      <c r="BZ70"/>
      <c r="CA70"/>
      <c r="CB70"/>
      <c r="CC70"/>
      <c r="CD70"/>
      <c r="CE70"/>
      <c r="CF70"/>
      <c r="CG70"/>
      <c r="CH70"/>
    </row>
    <row r="71" spans="4:86" ht="14.5">
      <c r="D71" s="768"/>
      <c r="E71" s="768"/>
      <c r="F71" s="732" t="s">
        <v>2542</v>
      </c>
      <c r="G71" s="709"/>
      <c r="H71" s="709"/>
      <c r="I71" s="709"/>
      <c r="AF71" s="768" t="s">
        <v>2543</v>
      </c>
      <c r="AG71" s="735" t="s">
        <v>2544</v>
      </c>
      <c r="AH71" s="736" t="s">
        <v>43</v>
      </c>
      <c r="AI71" s="736" t="s">
        <v>1310</v>
      </c>
      <c r="AJ71" s="736" t="s">
        <v>3445</v>
      </c>
      <c r="BS71" s="420" t="s">
        <v>1119</v>
      </c>
      <c r="BT71" s="2" t="s">
        <v>901</v>
      </c>
      <c r="BU71"/>
      <c r="BV71"/>
      <c r="BW71"/>
      <c r="BX71"/>
      <c r="BY71"/>
      <c r="BZ71"/>
      <c r="CA71"/>
      <c r="CB71"/>
      <c r="CC71"/>
      <c r="CD71"/>
      <c r="CE71"/>
      <c r="CF71"/>
      <c r="CG71"/>
      <c r="CH71"/>
    </row>
    <row r="72" spans="4:86" ht="14.5">
      <c r="D72" s="768"/>
      <c r="E72" s="768"/>
      <c r="F72" s="732" t="s">
        <v>2545</v>
      </c>
      <c r="G72" s="709"/>
      <c r="H72" s="709"/>
      <c r="I72" s="709"/>
      <c r="AF72" s="768" t="s">
        <v>2546</v>
      </c>
      <c r="AG72" s="735" t="s">
        <v>2547</v>
      </c>
      <c r="AH72" s="736" t="s">
        <v>43</v>
      </c>
      <c r="AI72" s="736" t="s">
        <v>1310</v>
      </c>
      <c r="AJ72" s="736" t="s">
        <v>3446</v>
      </c>
      <c r="BS72" s="420" t="s">
        <v>1124</v>
      </c>
      <c r="BT72" s="2" t="s">
        <v>901</v>
      </c>
      <c r="BU72"/>
      <c r="BV72"/>
      <c r="BW72"/>
      <c r="BX72"/>
      <c r="BY72"/>
      <c r="BZ72"/>
      <c r="CA72"/>
      <c r="CB72"/>
      <c r="CC72"/>
      <c r="CD72"/>
      <c r="CE72"/>
      <c r="CF72"/>
      <c r="CG72"/>
      <c r="CH72"/>
    </row>
    <row r="73" spans="4:86" ht="14.5">
      <c r="D73" s="768"/>
      <c r="E73" s="768"/>
      <c r="F73" s="732" t="s">
        <v>2548</v>
      </c>
      <c r="G73" s="709"/>
      <c r="H73" s="709"/>
      <c r="I73" s="709"/>
      <c r="AF73" s="768" t="s">
        <v>2549</v>
      </c>
      <c r="AG73" s="735" t="s">
        <v>2550</v>
      </c>
      <c r="AH73" s="736" t="s">
        <v>43</v>
      </c>
      <c r="AI73" s="736" t="s">
        <v>1310</v>
      </c>
      <c r="AJ73" s="736" t="s">
        <v>3447</v>
      </c>
      <c r="BS73" s="420" t="s">
        <v>1104</v>
      </c>
      <c r="BT73" s="2"/>
      <c r="BU73"/>
      <c r="BV73"/>
      <c r="BW73"/>
      <c r="BX73"/>
      <c r="BY73"/>
      <c r="BZ73"/>
      <c r="CA73"/>
      <c r="CB73"/>
      <c r="CC73"/>
      <c r="CD73"/>
      <c r="CE73"/>
      <c r="CF73"/>
      <c r="CG73"/>
      <c r="CH73"/>
    </row>
    <row r="74" spans="4:86" ht="14.5">
      <c r="D74" s="768"/>
      <c r="E74" s="768"/>
      <c r="F74" s="732" t="s">
        <v>2551</v>
      </c>
      <c r="G74" s="709"/>
      <c r="H74" s="709"/>
      <c r="I74" s="709"/>
      <c r="AF74" s="768" t="s">
        <v>2552</v>
      </c>
      <c r="AG74" s="735" t="s">
        <v>2553</v>
      </c>
      <c r="AH74" s="736" t="s">
        <v>43</v>
      </c>
      <c r="AI74" s="736" t="s">
        <v>1310</v>
      </c>
      <c r="AJ74" s="736" t="s">
        <v>3448</v>
      </c>
      <c r="BS74"/>
      <c r="BT74"/>
      <c r="BU74"/>
      <c r="BV74"/>
      <c r="BW74"/>
      <c r="BX74"/>
      <c r="BY74"/>
      <c r="BZ74"/>
      <c r="CA74"/>
      <c r="CB74"/>
      <c r="CC74"/>
      <c r="CD74"/>
      <c r="CE74"/>
      <c r="CF74"/>
      <c r="CG74"/>
      <c r="CH74"/>
    </row>
    <row r="75" spans="4:86" ht="14.5">
      <c r="D75" s="768"/>
      <c r="E75" s="768"/>
      <c r="F75" s="732" t="s">
        <v>2554</v>
      </c>
      <c r="G75" s="709"/>
      <c r="H75" s="709"/>
      <c r="I75" s="709"/>
      <c r="AF75" s="768" t="s">
        <v>2555</v>
      </c>
      <c r="AG75" s="736" t="s">
        <v>2556</v>
      </c>
      <c r="AH75" s="736" t="s">
        <v>43</v>
      </c>
      <c r="AI75" s="736" t="s">
        <v>1310</v>
      </c>
      <c r="AJ75" s="736" t="s">
        <v>3449</v>
      </c>
      <c r="BS75"/>
      <c r="BT75"/>
      <c r="BU75"/>
      <c r="BV75"/>
      <c r="BW75"/>
      <c r="BX75"/>
      <c r="BY75"/>
      <c r="BZ75"/>
      <c r="CA75"/>
      <c r="CB75"/>
      <c r="CC75"/>
      <c r="CD75"/>
      <c r="CE75"/>
      <c r="CF75"/>
      <c r="CG75"/>
      <c r="CH75"/>
    </row>
    <row r="76" spans="4:86" ht="14.5">
      <c r="D76" s="768"/>
      <c r="E76" s="768"/>
      <c r="F76" s="732" t="s">
        <v>2557</v>
      </c>
      <c r="G76" s="709"/>
      <c r="H76" s="709"/>
      <c r="I76" s="709"/>
      <c r="AF76" s="768" t="s">
        <v>2558</v>
      </c>
      <c r="AG76" s="736" t="s">
        <v>2559</v>
      </c>
      <c r="AH76" s="736" t="s">
        <v>43</v>
      </c>
      <c r="AI76" s="736" t="s">
        <v>1310</v>
      </c>
      <c r="AJ76" s="736" t="s">
        <v>3450</v>
      </c>
      <c r="BS76"/>
      <c r="BT76"/>
      <c r="BU76"/>
      <c r="BV76"/>
      <c r="BW76"/>
      <c r="BX76"/>
      <c r="BY76"/>
      <c r="BZ76"/>
      <c r="CA76"/>
      <c r="CB76"/>
      <c r="CC76"/>
      <c r="CD76"/>
      <c r="CE76"/>
      <c r="CF76"/>
      <c r="CG76"/>
      <c r="CH76"/>
    </row>
    <row r="77" spans="4:86" ht="14.5">
      <c r="D77" s="768"/>
      <c r="E77" s="768"/>
      <c r="F77" s="732" t="s">
        <v>2560</v>
      </c>
      <c r="G77" s="709"/>
      <c r="H77" s="709"/>
      <c r="I77" s="709"/>
      <c r="AF77" s="768" t="s">
        <v>2561</v>
      </c>
      <c r="AG77" s="736" t="s">
        <v>2562</v>
      </c>
      <c r="AH77" s="736" t="s">
        <v>43</v>
      </c>
      <c r="AI77" s="736" t="s">
        <v>1310</v>
      </c>
      <c r="AJ77" s="736" t="s">
        <v>3451</v>
      </c>
      <c r="BS77"/>
      <c r="BT77"/>
      <c r="BU77"/>
      <c r="BV77"/>
      <c r="BW77"/>
      <c r="BX77"/>
      <c r="BY77"/>
      <c r="BZ77"/>
      <c r="CA77"/>
      <c r="CB77"/>
      <c r="CC77"/>
      <c r="CD77"/>
      <c r="CE77"/>
      <c r="CF77"/>
      <c r="CG77"/>
      <c r="CH77"/>
    </row>
    <row r="78" spans="4:86" ht="14.5">
      <c r="D78" s="768"/>
      <c r="E78" s="768"/>
      <c r="F78" s="732" t="s">
        <v>2563</v>
      </c>
      <c r="G78" s="709"/>
      <c r="H78" s="709"/>
      <c r="I78" s="709"/>
      <c r="AF78" s="768" t="s">
        <v>2564</v>
      </c>
      <c r="AG78" s="736" t="s">
        <v>2565</v>
      </c>
      <c r="AH78" s="736" t="s">
        <v>43</v>
      </c>
      <c r="AI78" s="736" t="s">
        <v>1310</v>
      </c>
      <c r="AJ78" s="736" t="s">
        <v>3452</v>
      </c>
      <c r="BS78"/>
      <c r="BT78"/>
      <c r="BU78"/>
      <c r="BV78"/>
      <c r="BW78"/>
      <c r="BX78"/>
      <c r="BY78"/>
      <c r="BZ78"/>
      <c r="CA78"/>
      <c r="CB78"/>
      <c r="CC78"/>
      <c r="CD78"/>
      <c r="CE78"/>
      <c r="CF78"/>
      <c r="CG78"/>
      <c r="CH78"/>
    </row>
    <row r="79" spans="4:86" ht="14.5">
      <c r="D79" s="768"/>
      <c r="E79" s="768"/>
      <c r="F79" s="732" t="s">
        <v>2566</v>
      </c>
      <c r="G79" s="709"/>
      <c r="H79" s="709"/>
      <c r="I79" s="709"/>
      <c r="AF79" s="768" t="s">
        <v>2567</v>
      </c>
      <c r="AG79" s="736" t="s">
        <v>2568</v>
      </c>
      <c r="AH79" s="736" t="s">
        <v>43</v>
      </c>
      <c r="AI79" s="736" t="s">
        <v>1310</v>
      </c>
      <c r="AJ79" s="736" t="s">
        <v>3453</v>
      </c>
      <c r="BS79"/>
      <c r="BT79"/>
      <c r="BU79"/>
      <c r="BV79"/>
      <c r="BW79"/>
      <c r="BX79"/>
      <c r="BY79"/>
      <c r="BZ79"/>
      <c r="CA79"/>
      <c r="CB79"/>
      <c r="CC79"/>
      <c r="CD79"/>
      <c r="CE79"/>
      <c r="CF79"/>
      <c r="CG79"/>
      <c r="CH79"/>
    </row>
    <row r="80" spans="4:86" ht="14.5">
      <c r="D80" s="768"/>
      <c r="E80" s="768"/>
      <c r="F80" s="732" t="s">
        <v>2569</v>
      </c>
      <c r="G80" s="709"/>
      <c r="H80" s="709"/>
      <c r="I80" s="709"/>
      <c r="AF80" s="768" t="s">
        <v>2570</v>
      </c>
      <c r="AG80" s="736" t="s">
        <v>2571</v>
      </c>
      <c r="AH80" s="736" t="s">
        <v>43</v>
      </c>
      <c r="AI80" s="736" t="s">
        <v>1310</v>
      </c>
      <c r="AJ80" s="736" t="s">
        <v>3454</v>
      </c>
      <c r="BS80"/>
      <c r="BT80"/>
      <c r="BU80"/>
      <c r="BV80"/>
      <c r="BW80"/>
      <c r="BX80"/>
      <c r="BY80"/>
      <c r="BZ80"/>
      <c r="CA80"/>
      <c r="CB80"/>
      <c r="CC80"/>
      <c r="CD80"/>
      <c r="CE80"/>
      <c r="CF80"/>
      <c r="CG80"/>
      <c r="CH80"/>
    </row>
    <row r="81" spans="4:36">
      <c r="D81" s="768"/>
      <c r="E81" s="768"/>
      <c r="F81" s="732" t="s">
        <v>2572</v>
      </c>
      <c r="G81" s="709"/>
      <c r="H81" s="709"/>
      <c r="I81" s="709"/>
      <c r="AF81" s="768" t="s">
        <v>2573</v>
      </c>
      <c r="AG81" s="736" t="s">
        <v>2574</v>
      </c>
      <c r="AH81" s="736" t="s">
        <v>43</v>
      </c>
      <c r="AI81" s="736" t="s">
        <v>1310</v>
      </c>
      <c r="AJ81" s="736" t="s">
        <v>3455</v>
      </c>
    </row>
    <row r="82" spans="4:36">
      <c r="D82" s="768"/>
      <c r="E82" s="768"/>
      <c r="F82" s="731" t="s">
        <v>2575</v>
      </c>
      <c r="G82" s="768"/>
      <c r="H82" s="767"/>
      <c r="I82" s="767"/>
      <c r="AF82" s="768" t="s">
        <v>2576</v>
      </c>
      <c r="AG82" s="736" t="s">
        <v>2577</v>
      </c>
      <c r="AH82" s="736" t="s">
        <v>43</v>
      </c>
      <c r="AI82" s="736" t="s">
        <v>1310</v>
      </c>
      <c r="AJ82" s="736" t="s">
        <v>3456</v>
      </c>
    </row>
    <row r="83" spans="4:36">
      <c r="D83" s="768"/>
      <c r="E83" s="768"/>
      <c r="F83" s="731" t="s">
        <v>2578</v>
      </c>
      <c r="G83" s="768"/>
      <c r="H83" s="767"/>
      <c r="I83" s="767"/>
      <c r="AF83" s="763" t="s">
        <v>1037</v>
      </c>
      <c r="AG83" s="733" t="s">
        <v>2579</v>
      </c>
      <c r="AH83" s="733" t="s">
        <v>43</v>
      </c>
      <c r="AI83" s="733" t="s">
        <v>3457</v>
      </c>
      <c r="AJ83" s="733" t="s">
        <v>3458</v>
      </c>
    </row>
    <row r="84" spans="4:36">
      <c r="D84" s="768"/>
      <c r="E84" s="768"/>
      <c r="F84" s="731" t="s">
        <v>2580</v>
      </c>
      <c r="G84" s="768"/>
      <c r="H84" s="767"/>
      <c r="I84" s="767"/>
    </row>
    <row r="85" spans="4:36">
      <c r="D85" s="768"/>
      <c r="E85" s="768"/>
      <c r="F85" s="731" t="s">
        <v>2581</v>
      </c>
      <c r="G85" s="768"/>
      <c r="H85" s="767"/>
      <c r="I85" s="767"/>
    </row>
    <row r="86" spans="4:36">
      <c r="D86" s="768"/>
      <c r="E86" s="768"/>
      <c r="F86" s="731" t="s">
        <v>2582</v>
      </c>
      <c r="G86" s="768"/>
      <c r="H86" s="767"/>
      <c r="I86" s="767"/>
    </row>
    <row r="87" spans="4:36">
      <c r="D87" s="740"/>
      <c r="E87" s="740"/>
      <c r="F87" s="731" t="s">
        <v>2583</v>
      </c>
      <c r="G87" s="740"/>
      <c r="H87" s="734"/>
      <c r="I87" s="734"/>
    </row>
    <row r="88" spans="4:36">
      <c r="D88" s="768"/>
      <c r="E88" s="768"/>
      <c r="F88" s="731" t="s">
        <v>2584</v>
      </c>
      <c r="G88" s="768"/>
      <c r="H88" s="767"/>
      <c r="I88" s="767"/>
    </row>
    <row r="89" spans="4:36">
      <c r="D89" s="768"/>
      <c r="E89" s="768"/>
      <c r="F89" s="731" t="s">
        <v>2585</v>
      </c>
      <c r="G89" s="768"/>
      <c r="H89" s="767"/>
      <c r="I89" s="767"/>
    </row>
    <row r="90" spans="4:36">
      <c r="D90" s="768"/>
      <c r="E90" s="768"/>
      <c r="F90" s="731" t="s">
        <v>2586</v>
      </c>
      <c r="G90" s="768"/>
      <c r="H90" s="767"/>
      <c r="I90" s="767"/>
    </row>
    <row r="91" spans="4:36">
      <c r="D91" s="768"/>
      <c r="E91" s="768"/>
      <c r="F91" s="731" t="s">
        <v>2587</v>
      </c>
      <c r="G91" s="768"/>
      <c r="H91" s="767"/>
      <c r="I91" s="767"/>
    </row>
    <row r="92" spans="4:36">
      <c r="D92" s="768"/>
      <c r="E92" s="768"/>
      <c r="F92" s="731" t="s">
        <v>2588</v>
      </c>
      <c r="G92" s="768"/>
      <c r="H92" s="767"/>
      <c r="I92" s="767"/>
    </row>
    <row r="93" spans="4:36">
      <c r="D93" s="768"/>
      <c r="E93" s="768"/>
      <c r="F93" s="731" t="s">
        <v>2589</v>
      </c>
      <c r="G93" s="768"/>
      <c r="H93" s="767"/>
      <c r="I93" s="767"/>
    </row>
    <row r="94" spans="4:36">
      <c r="D94" s="768"/>
      <c r="E94" s="768"/>
      <c r="F94" s="731" t="s">
        <v>2590</v>
      </c>
      <c r="G94" s="768"/>
      <c r="H94" s="767"/>
      <c r="I94" s="767"/>
    </row>
    <row r="95" spans="4:36">
      <c r="D95" s="768"/>
      <c r="E95" s="768"/>
      <c r="F95" s="731" t="s">
        <v>2591</v>
      </c>
      <c r="G95" s="768"/>
      <c r="H95" s="767"/>
      <c r="I95" s="767"/>
    </row>
    <row r="96" spans="4:36">
      <c r="D96" s="768"/>
      <c r="E96" s="768"/>
      <c r="F96" s="731" t="s">
        <v>2592</v>
      </c>
      <c r="G96" s="768"/>
      <c r="H96" s="767"/>
      <c r="I96" s="767"/>
    </row>
    <row r="97" spans="4:9">
      <c r="D97" s="768"/>
      <c r="E97" s="768"/>
      <c r="F97" s="731" t="s">
        <v>2593</v>
      </c>
      <c r="G97" s="768"/>
      <c r="H97" s="767"/>
      <c r="I97" s="767"/>
    </row>
    <row r="98" spans="4:9">
      <c r="D98" s="768"/>
      <c r="E98" s="768"/>
      <c r="F98" s="731" t="s">
        <v>2594</v>
      </c>
      <c r="G98" s="768"/>
      <c r="H98" s="767"/>
      <c r="I98" s="767"/>
    </row>
    <row r="99" spans="4:9">
      <c r="D99" s="768"/>
      <c r="E99" s="768"/>
      <c r="F99" s="731" t="s">
        <v>2595</v>
      </c>
      <c r="G99" s="768"/>
      <c r="H99" s="767"/>
      <c r="I99" s="767"/>
    </row>
    <row r="100" spans="4:9">
      <c r="D100" s="768"/>
      <c r="E100" s="768"/>
      <c r="F100" s="731" t="s">
        <v>2596</v>
      </c>
      <c r="G100" s="768"/>
      <c r="H100" s="767"/>
      <c r="I100" s="767"/>
    </row>
    <row r="101" spans="4:9">
      <c r="D101" s="768"/>
      <c r="E101" s="768"/>
      <c r="F101" s="731" t="s">
        <v>2597</v>
      </c>
      <c r="G101" s="768"/>
      <c r="H101" s="767"/>
      <c r="I101" s="767"/>
    </row>
    <row r="102" spans="4:9">
      <c r="D102" s="768"/>
      <c r="E102" s="768"/>
      <c r="F102" s="731" t="s">
        <v>2598</v>
      </c>
      <c r="G102" s="768"/>
      <c r="H102" s="767"/>
      <c r="I102" s="767"/>
    </row>
    <row r="103" spans="4:9">
      <c r="D103" s="768"/>
      <c r="E103" s="768"/>
      <c r="F103" s="731" t="s">
        <v>2599</v>
      </c>
      <c r="G103" s="768"/>
      <c r="H103" s="767"/>
      <c r="I103" s="767"/>
    </row>
    <row r="104" spans="4:9">
      <c r="D104" s="768"/>
      <c r="E104" s="768"/>
      <c r="F104" s="731" t="s">
        <v>2600</v>
      </c>
      <c r="G104" s="768"/>
      <c r="H104" s="767"/>
      <c r="I104" s="767"/>
    </row>
    <row r="105" spans="4:9">
      <c r="D105" s="768"/>
      <c r="E105" s="768"/>
      <c r="F105" s="731" t="s">
        <v>2601</v>
      </c>
      <c r="G105" s="768"/>
      <c r="H105" s="767"/>
      <c r="I105" s="767"/>
    </row>
    <row r="106" spans="4:9">
      <c r="D106" s="768"/>
      <c r="E106" s="768"/>
      <c r="F106" s="731" t="s">
        <v>2602</v>
      </c>
      <c r="G106" s="768"/>
      <c r="H106" s="767"/>
      <c r="I106" s="767"/>
    </row>
    <row r="107" spans="4:9">
      <c r="D107" s="768"/>
      <c r="E107" s="768"/>
      <c r="F107" s="731" t="s">
        <v>2603</v>
      </c>
      <c r="G107" s="768"/>
      <c r="H107" s="767"/>
      <c r="I107" s="767"/>
    </row>
    <row r="108" spans="4:9">
      <c r="D108" s="768"/>
      <c r="E108" s="768"/>
      <c r="F108" s="731" t="s">
        <v>2604</v>
      </c>
      <c r="G108" s="768"/>
      <c r="H108" s="767"/>
      <c r="I108" s="767"/>
    </row>
    <row r="109" spans="4:9">
      <c r="D109" s="768"/>
      <c r="E109" s="768"/>
      <c r="F109" s="731" t="s">
        <v>2605</v>
      </c>
      <c r="G109" s="768"/>
      <c r="H109" s="767"/>
      <c r="I109" s="767"/>
    </row>
    <row r="110" spans="4:9">
      <c r="D110" s="768"/>
      <c r="E110" s="768"/>
      <c r="F110" s="731" t="s">
        <v>2606</v>
      </c>
      <c r="G110" s="768"/>
      <c r="H110" s="767"/>
      <c r="I110" s="767"/>
    </row>
    <row r="111" spans="4:9">
      <c r="D111" s="763"/>
      <c r="E111" s="763"/>
      <c r="F111" s="742" t="s">
        <v>2607</v>
      </c>
      <c r="G111" s="763"/>
      <c r="H111" s="766"/>
      <c r="I111" s="766"/>
    </row>
    <row r="113" spans="4:10">
      <c r="D113" s="761" t="s">
        <v>3331</v>
      </c>
    </row>
    <row r="114" spans="4:10">
      <c r="D114" s="712" t="s">
        <v>2292</v>
      </c>
      <c r="E114" s="712" t="s">
        <v>194</v>
      </c>
      <c r="F114" s="712" t="s">
        <v>195</v>
      </c>
      <c r="G114" s="712" t="s">
        <v>3330</v>
      </c>
      <c r="H114" s="712" t="s">
        <v>201</v>
      </c>
      <c r="I114" s="712" t="s">
        <v>2608</v>
      </c>
      <c r="J114" s="712" t="s">
        <v>2609</v>
      </c>
    </row>
    <row r="115" spans="4:10">
      <c r="D115" s="761" t="s">
        <v>2156</v>
      </c>
      <c r="E115" s="765">
        <v>0.45</v>
      </c>
      <c r="F115" s="981">
        <v>0.3</v>
      </c>
      <c r="G115" s="980">
        <v>1.55E-2</v>
      </c>
      <c r="H115" s="765">
        <v>8.5000000000000006E-2</v>
      </c>
      <c r="I115" s="765">
        <v>0.06</v>
      </c>
      <c r="J115" s="711">
        <v>1</v>
      </c>
    </row>
    <row r="116" spans="4:10">
      <c r="D116" s="761" t="s">
        <v>2189</v>
      </c>
      <c r="E116" s="765">
        <v>0.56999999999999995</v>
      </c>
      <c r="F116" s="981">
        <v>0.3</v>
      </c>
      <c r="G116" s="980">
        <v>1.55E-2</v>
      </c>
      <c r="H116" s="765">
        <v>8.5000000000000006E-2</v>
      </c>
      <c r="I116" s="765">
        <v>0.06</v>
      </c>
      <c r="J116" s="711">
        <v>1</v>
      </c>
    </row>
    <row r="117" spans="4:10">
      <c r="D117" s="761" t="s">
        <v>2190</v>
      </c>
      <c r="E117" s="765">
        <v>0.56999999999999995</v>
      </c>
      <c r="F117" s="981">
        <v>0.3</v>
      </c>
      <c r="G117" s="980">
        <v>1.55E-2</v>
      </c>
      <c r="H117" s="765">
        <v>8.5000000000000006E-2</v>
      </c>
      <c r="I117" s="765">
        <v>0.06</v>
      </c>
      <c r="J117" s="711">
        <v>1</v>
      </c>
    </row>
    <row r="118" spans="4:10">
      <c r="D118" s="761" t="s">
        <v>2197</v>
      </c>
      <c r="E118" s="765">
        <v>0.45</v>
      </c>
      <c r="F118" s="981">
        <v>0.3</v>
      </c>
      <c r="G118" s="980">
        <v>1.55E-2</v>
      </c>
      <c r="H118" s="765">
        <v>8.5000000000000006E-2</v>
      </c>
      <c r="I118" s="765">
        <v>0.06</v>
      </c>
      <c r="J118" s="711">
        <v>1</v>
      </c>
    </row>
    <row r="119" spans="4:10">
      <c r="D119" s="761" t="s">
        <v>2192</v>
      </c>
      <c r="E119" s="765">
        <v>0.45</v>
      </c>
      <c r="F119" s="981">
        <v>0.3</v>
      </c>
      <c r="G119" s="980">
        <v>1.55E-2</v>
      </c>
      <c r="H119" s="765">
        <v>8.5000000000000006E-2</v>
      </c>
      <c r="I119" s="765">
        <v>0.06</v>
      </c>
      <c r="J119" s="711">
        <v>1</v>
      </c>
    </row>
    <row r="120" spans="4:10">
      <c r="D120" s="761" t="s">
        <v>2193</v>
      </c>
      <c r="E120" s="765">
        <v>0.56999999999999995</v>
      </c>
      <c r="F120" s="981">
        <v>0.3</v>
      </c>
      <c r="G120" s="980">
        <v>1.55E-2</v>
      </c>
      <c r="H120" s="765">
        <v>8.5000000000000006E-2</v>
      </c>
      <c r="I120" s="765">
        <v>0.06</v>
      </c>
      <c r="J120" s="711">
        <v>1</v>
      </c>
    </row>
    <row r="121" spans="4:10">
      <c r="D121" s="761" t="s">
        <v>2194</v>
      </c>
      <c r="E121" s="765">
        <v>0.45</v>
      </c>
      <c r="F121" s="981">
        <v>0.3</v>
      </c>
      <c r="G121" s="980">
        <v>1.55E-2</v>
      </c>
      <c r="H121" s="765">
        <v>8.5000000000000006E-2</v>
      </c>
      <c r="I121" s="765">
        <v>0.06</v>
      </c>
      <c r="J121" s="711">
        <v>1</v>
      </c>
    </row>
    <row r="122" spans="4:10">
      <c r="D122" s="761" t="s">
        <v>2191</v>
      </c>
      <c r="E122" s="765">
        <v>0.56999999999999995</v>
      </c>
      <c r="F122" s="981">
        <v>0.3</v>
      </c>
      <c r="G122" s="980">
        <v>1.55E-2</v>
      </c>
      <c r="H122" s="765">
        <v>8.5000000000000006E-2</v>
      </c>
      <c r="I122" s="765">
        <v>0.06</v>
      </c>
      <c r="J122" s="711">
        <v>1</v>
      </c>
    </row>
    <row r="123" spans="4:10">
      <c r="D123" s="761" t="s">
        <v>1342</v>
      </c>
      <c r="E123" s="765">
        <v>0.45</v>
      </c>
      <c r="F123" s="981">
        <v>0.3</v>
      </c>
      <c r="G123" s="980">
        <v>1.55E-2</v>
      </c>
      <c r="H123" s="765">
        <v>8.5000000000000006E-2</v>
      </c>
      <c r="I123" s="765">
        <v>0.06</v>
      </c>
      <c r="J123" s="711">
        <v>1</v>
      </c>
    </row>
    <row r="124" spans="4:10">
      <c r="D124" s="761" t="s">
        <v>2195</v>
      </c>
      <c r="E124" s="765">
        <v>0.56999999999999995</v>
      </c>
      <c r="F124" s="981">
        <v>0.3</v>
      </c>
      <c r="G124" s="980">
        <v>1.55E-2</v>
      </c>
      <c r="H124" s="765">
        <v>8.5000000000000006E-2</v>
      </c>
      <c r="I124" s="765">
        <v>0.06</v>
      </c>
      <c r="J124" s="711">
        <v>1</v>
      </c>
    </row>
    <row r="125" spans="4:10">
      <c r="D125" s="761" t="s">
        <v>2196</v>
      </c>
      <c r="E125" s="765">
        <v>0.45</v>
      </c>
      <c r="F125" s="981">
        <v>0.3</v>
      </c>
      <c r="G125" s="980">
        <v>1.55E-2</v>
      </c>
      <c r="H125" s="765">
        <v>8.5000000000000006E-2</v>
      </c>
      <c r="I125" s="765">
        <v>0.06</v>
      </c>
      <c r="J125" s="711">
        <v>1</v>
      </c>
    </row>
    <row r="126" spans="4:10">
      <c r="D126" s="761" t="s">
        <v>2198</v>
      </c>
      <c r="E126" s="765">
        <v>0.45</v>
      </c>
      <c r="F126" s="765">
        <v>0.3</v>
      </c>
      <c r="G126" s="765">
        <v>1.55E-2</v>
      </c>
      <c r="H126" s="765">
        <v>8.5000000000000006E-2</v>
      </c>
      <c r="I126" s="765">
        <v>0.06</v>
      </c>
      <c r="J126" s="711">
        <v>1</v>
      </c>
    </row>
    <row r="127" spans="4:10">
      <c r="D127" s="761" t="s">
        <v>2199</v>
      </c>
      <c r="E127" s="765">
        <v>0.45</v>
      </c>
      <c r="F127" s="765">
        <v>0.3</v>
      </c>
      <c r="G127" s="765">
        <v>1.55E-2</v>
      </c>
      <c r="H127" s="765">
        <v>8.5000000000000006E-2</v>
      </c>
      <c r="I127" s="765">
        <v>0.06</v>
      </c>
      <c r="J127" s="711">
        <v>1</v>
      </c>
    </row>
    <row r="128" spans="4:10">
      <c r="D128" s="761" t="s">
        <v>5272</v>
      </c>
      <c r="E128" s="765">
        <v>0.45</v>
      </c>
      <c r="F128" s="765">
        <v>0.3</v>
      </c>
      <c r="G128" s="765">
        <v>1.55E-2</v>
      </c>
      <c r="H128" s="765">
        <v>7.1900000000000006E-2</v>
      </c>
      <c r="I128" s="765">
        <v>5.67E-2</v>
      </c>
      <c r="J128" s="711">
        <v>1</v>
      </c>
    </row>
    <row r="129" spans="4:10">
      <c r="D129" s="761" t="s">
        <v>1054</v>
      </c>
      <c r="E129" s="765">
        <v>0</v>
      </c>
      <c r="F129" s="979">
        <v>0</v>
      </c>
      <c r="G129" s="765">
        <v>0</v>
      </c>
      <c r="H129" s="765">
        <v>0</v>
      </c>
      <c r="I129" s="765">
        <v>0</v>
      </c>
      <c r="J129" s="711">
        <v>0</v>
      </c>
    </row>
    <row r="133" spans="4:10">
      <c r="D133" s="714" t="s">
        <v>2610</v>
      </c>
      <c r="E133" s="715" t="s">
        <v>718</v>
      </c>
      <c r="F133" s="715" t="s">
        <v>3329</v>
      </c>
    </row>
    <row r="134" spans="4:10">
      <c r="D134" s="713" t="s">
        <v>2611</v>
      </c>
      <c r="E134" s="716">
        <v>0.8</v>
      </c>
      <c r="F134" s="719">
        <v>117.13039799999999</v>
      </c>
    </row>
    <row r="135" spans="4:10">
      <c r="D135" s="717" t="s">
        <v>2612</v>
      </c>
      <c r="E135" s="716">
        <v>0.82</v>
      </c>
      <c r="F135" s="719">
        <v>163.05221599999999</v>
      </c>
    </row>
    <row r="136" spans="4:10">
      <c r="D136" s="717" t="s">
        <v>2613</v>
      </c>
      <c r="E136" s="716">
        <v>0.8</v>
      </c>
      <c r="F136" s="719">
        <v>135.78131399999998</v>
      </c>
    </row>
    <row r="137" spans="4:10">
      <c r="D137" s="1633" t="s">
        <v>5273</v>
      </c>
      <c r="E137" s="716">
        <v>0.8</v>
      </c>
      <c r="F137" s="719">
        <v>117.13039799999999</v>
      </c>
      <c r="G137" s="761" t="s">
        <v>77</v>
      </c>
    </row>
    <row r="138" spans="4:10">
      <c r="D138" s="717" t="s">
        <v>2614</v>
      </c>
      <c r="E138" s="718"/>
      <c r="F138" s="718">
        <v>1.1962000000000002</v>
      </c>
      <c r="G138" s="761" t="s">
        <v>77</v>
      </c>
    </row>
    <row r="139" spans="4:10">
      <c r="D139" s="717" t="s">
        <v>4006</v>
      </c>
      <c r="E139" s="718"/>
      <c r="F139" s="718">
        <v>1.1962000000000002</v>
      </c>
      <c r="G139" s="761" t="s">
        <v>77</v>
      </c>
    </row>
    <row r="140" spans="4:10">
      <c r="D140" s="1634" t="s">
        <v>5274</v>
      </c>
      <c r="E140" s="718" t="s">
        <v>2615</v>
      </c>
      <c r="F140" s="718">
        <v>1.1962000000000002</v>
      </c>
    </row>
    <row r="141" spans="4:10">
      <c r="D141" s="713"/>
      <c r="E141" s="718"/>
      <c r="F141" s="718"/>
    </row>
  </sheetData>
  <mergeCells count="6">
    <mergeCell ref="X3:AD3"/>
    <mergeCell ref="BD2:BH2"/>
    <mergeCell ref="AY2:BC2"/>
    <mergeCell ref="BK2:BN2"/>
    <mergeCell ref="AN2:AR2"/>
    <mergeCell ref="AS2:AV2"/>
  </mergeCells>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46A80F-9B87-497F-ACC7-7FDD19408679}">
  <sheetPr codeName="Sheet58">
    <tabColor rgb="FFFF0000"/>
  </sheetPr>
  <dimension ref="B3:AZ22"/>
  <sheetViews>
    <sheetView topLeftCell="U1" workbookViewId="0">
      <selection activeCell="AY5" sqref="AY5"/>
    </sheetView>
  </sheetViews>
  <sheetFormatPr defaultRowHeight="14.5"/>
  <cols>
    <col min="2" max="2" width="37.453125" bestFit="1" customWidth="1"/>
    <col min="3" max="3" width="23.1796875" customWidth="1"/>
    <col min="4" max="4" width="14.453125" bestFit="1" customWidth="1"/>
    <col min="5" max="5" width="12.26953125" bestFit="1" customWidth="1"/>
    <col min="6" max="6" width="8" bestFit="1" customWidth="1"/>
    <col min="7" max="7" width="11.453125" bestFit="1" customWidth="1"/>
    <col min="8" max="9" width="8" bestFit="1" customWidth="1"/>
    <col min="10" max="10" width="27.54296875" bestFit="1" customWidth="1"/>
    <col min="11" max="11" width="7.453125" bestFit="1" customWidth="1"/>
    <col min="12" max="12" width="8.26953125" bestFit="1" customWidth="1"/>
    <col min="13" max="13" width="34.7265625" bestFit="1" customWidth="1"/>
    <col min="14" max="14" width="8" bestFit="1" customWidth="1"/>
    <col min="15" max="15" width="8.26953125" bestFit="1" customWidth="1"/>
    <col min="16" max="16" width="7.54296875" bestFit="1" customWidth="1"/>
    <col min="17" max="17" width="8.26953125" bestFit="1" customWidth="1"/>
    <col min="18" max="18" width="5.54296875" bestFit="1" customWidth="1"/>
    <col min="21" max="21" width="7.81640625" bestFit="1" customWidth="1"/>
    <col min="22" max="22" width="7.453125" bestFit="1" customWidth="1"/>
    <col min="23" max="23" width="8.1796875" bestFit="1" customWidth="1"/>
    <col min="24" max="24" width="7.453125" bestFit="1" customWidth="1"/>
    <col min="25" max="25" width="8.453125" bestFit="1" customWidth="1"/>
    <col min="26" max="26" width="10.1796875" bestFit="1" customWidth="1"/>
    <col min="27" max="27" width="7.453125" bestFit="1" customWidth="1"/>
    <col min="28" max="28" width="7.81640625" bestFit="1" customWidth="1"/>
    <col min="29" max="29" width="8.26953125" bestFit="1" customWidth="1"/>
    <col min="30" max="30" width="7.453125" bestFit="1" customWidth="1"/>
    <col min="32" max="32" width="8.453125" bestFit="1" customWidth="1"/>
    <col min="33" max="33" width="8.26953125" bestFit="1" customWidth="1"/>
    <col min="35" max="36" width="7.453125" bestFit="1" customWidth="1"/>
    <col min="37" max="37" width="8.1796875" bestFit="1" customWidth="1"/>
    <col min="38" max="38" width="9.81640625" bestFit="1" customWidth="1"/>
    <col min="39" max="40" width="7.7265625" bestFit="1" customWidth="1"/>
    <col min="41" max="41" width="9.81640625" bestFit="1" customWidth="1"/>
    <col min="42" max="42" width="6.54296875" bestFit="1" customWidth="1"/>
    <col min="44" max="45" width="6.453125" bestFit="1" customWidth="1"/>
    <col min="46" max="46" width="9.81640625" bestFit="1" customWidth="1"/>
    <col min="47" max="47" width="6.453125" bestFit="1" customWidth="1"/>
    <col min="48" max="48" width="9.81640625" bestFit="1" customWidth="1"/>
    <col min="50" max="50" width="7.453125" bestFit="1" customWidth="1"/>
    <col min="51" max="51" width="9.81640625" bestFit="1" customWidth="1"/>
  </cols>
  <sheetData>
    <row r="3" spans="2:52">
      <c r="B3" s="1503" t="s">
        <v>4891</v>
      </c>
      <c r="C3" s="1504"/>
    </row>
    <row r="4" spans="2:52" ht="65">
      <c r="B4" s="1505"/>
      <c r="C4" s="1506" t="s">
        <v>4801</v>
      </c>
      <c r="D4" s="1506" t="s">
        <v>2294</v>
      </c>
      <c r="E4" s="1506" t="s">
        <v>4802</v>
      </c>
      <c r="F4" s="1506" t="s">
        <v>4892</v>
      </c>
      <c r="G4" s="1506" t="s">
        <v>4803</v>
      </c>
      <c r="H4" s="1506" t="s">
        <v>4893</v>
      </c>
      <c r="I4" s="1506" t="s">
        <v>4804</v>
      </c>
      <c r="J4" s="1506" t="s">
        <v>4805</v>
      </c>
      <c r="K4" s="1506" t="s">
        <v>4894</v>
      </c>
      <c r="L4" s="1506" t="s">
        <v>4806</v>
      </c>
      <c r="M4" s="1506" t="s">
        <v>4807</v>
      </c>
      <c r="N4" s="1506" t="s">
        <v>4854</v>
      </c>
      <c r="O4" s="1506" t="s">
        <v>4808</v>
      </c>
      <c r="P4" s="1506" t="s">
        <v>4809</v>
      </c>
      <c r="Q4" s="1506" t="s">
        <v>4810</v>
      </c>
      <c r="R4" s="1506" t="s">
        <v>4855</v>
      </c>
      <c r="S4" s="1506" t="s">
        <v>4895</v>
      </c>
      <c r="T4" s="1506" t="s">
        <v>4896</v>
      </c>
      <c r="U4" s="1506" t="s">
        <v>4888</v>
      </c>
      <c r="V4" s="1506" t="s">
        <v>4897</v>
      </c>
      <c r="W4" s="1506" t="s">
        <v>4898</v>
      </c>
      <c r="X4" s="1506" t="s">
        <v>4899</v>
      </c>
      <c r="Y4" s="1506" t="s">
        <v>4900</v>
      </c>
      <c r="Z4" s="1506" t="s">
        <v>4774</v>
      </c>
      <c r="AA4" s="1506" t="s">
        <v>4901</v>
      </c>
      <c r="AB4" s="1506" t="s">
        <v>4847</v>
      </c>
      <c r="AC4" s="1506" t="s">
        <v>4902</v>
      </c>
      <c r="AD4" s="1506" t="s">
        <v>4903</v>
      </c>
      <c r="AE4" s="1506" t="s">
        <v>4813</v>
      </c>
      <c r="AF4" s="1506" t="s">
        <v>4904</v>
      </c>
      <c r="AG4" s="1506" t="s">
        <v>4905</v>
      </c>
      <c r="AH4" s="1504"/>
      <c r="AI4" s="1506" t="s">
        <v>4906</v>
      </c>
      <c r="AJ4" s="1506" t="s">
        <v>4907</v>
      </c>
      <c r="AK4" s="1506" t="s">
        <v>4297</v>
      </c>
      <c r="AL4" s="1506" t="s">
        <v>4908</v>
      </c>
      <c r="AM4" s="1506" t="s">
        <v>4909</v>
      </c>
      <c r="AN4" s="1506" t="s">
        <v>4910</v>
      </c>
      <c r="AO4" s="1506" t="s">
        <v>3256</v>
      </c>
      <c r="AP4" s="1506" t="s">
        <v>4911</v>
      </c>
      <c r="AQ4" s="1506" t="s">
        <v>4912</v>
      </c>
      <c r="AR4" s="1506" t="s">
        <v>4913</v>
      </c>
      <c r="AS4" s="1506" t="s">
        <v>4914</v>
      </c>
      <c r="AT4" s="1506" t="s">
        <v>3492</v>
      </c>
      <c r="AU4" s="1506" t="s">
        <v>3493</v>
      </c>
      <c r="AV4" s="1506" t="s">
        <v>4915</v>
      </c>
      <c r="AW4" s="1504"/>
      <c r="AX4" s="1506" t="s">
        <v>193</v>
      </c>
      <c r="AY4" s="1506" t="s">
        <v>216</v>
      </c>
    </row>
    <row r="5" spans="2:52">
      <c r="B5" s="1505">
        <v>1</v>
      </c>
      <c r="C5" s="1507" t="str">
        <f>IF('Elevator Modernization'!B22="","",'Elevator Modernization'!B22)</f>
        <v/>
      </c>
      <c r="D5" s="1507" t="str">
        <f>IF('Customer Information'!$K$13="","",'Customer Information'!$K$13)</f>
        <v/>
      </c>
      <c r="E5" s="1507" t="str">
        <f>IF('Elevator Modernization'!D22="","",'Elevator Modernization'!D22)</f>
        <v/>
      </c>
      <c r="F5" s="1508" t="str">
        <f>IF(E5="","",INDEX(References!$GA$12:$GA$13,MATCH('Elevator Mod Calculations'!E5,References!$FZ$12:$FZ$13)))</f>
        <v/>
      </c>
      <c r="G5" s="1507" t="str">
        <f>IF('Elevator Modernization'!E22="","",'Elevator Modernization'!E22)</f>
        <v/>
      </c>
      <c r="H5" s="1508" t="str">
        <f>IF(G5="","",INDEX(References!$GA$3:$GA$4,MATCH('Elevator Mod Calculations'!G5,Elevator_Gear_System)))</f>
        <v/>
      </c>
      <c r="I5" s="1507" t="str">
        <f>IF('Elevator Modernization'!F22="","",'Elevator Modernization'!F22)</f>
        <v/>
      </c>
      <c r="J5" s="1507" t="str">
        <f>IF('Elevator Modernization'!G22="","",'Elevator Modernization'!G22)</f>
        <v/>
      </c>
      <c r="K5" s="1508"/>
      <c r="L5" s="1507" t="str">
        <f>IF('Elevator Modernization'!H22="","",'Elevator Modernization'!H22)</f>
        <v/>
      </c>
      <c r="M5" s="1508" t="str">
        <f>IF('Elevator Modernization'!I22="","",'Elevator Modernization'!I22)</f>
        <v/>
      </c>
      <c r="N5" s="1508" t="str">
        <f>IF(M5="","",INDEX(References!$GA$16:$GA$19,MATCH('Elevator Mod Calculations'!M5,Installed_Drive_Eff,0)))</f>
        <v/>
      </c>
      <c r="O5" s="1507" t="str">
        <f>IF('Elevator Modernization'!J22="","",'Elevator Modernization'!J22)</f>
        <v/>
      </c>
      <c r="P5" s="1507" t="str">
        <f>IF('Elevator Modernization'!K22="","",'Elevator Modernization'!K22)</f>
        <v/>
      </c>
      <c r="Q5" s="1507" t="str">
        <f>IF('Elevator Modernization'!L22="","",'Elevator Modernization'!L22)</f>
        <v/>
      </c>
      <c r="R5" s="1508" t="str">
        <f>IF(Q5="","",INDEX(References!$GE$16:$GE$18,MATCH('Elevator Mod Calculations'!Q5,Idling_Factor,0)))</f>
        <v/>
      </c>
      <c r="S5" s="1507" t="str">
        <f>IF('Elevator Modernization'!M22="","",'Elevator Modernization'!M22)</f>
        <v/>
      </c>
      <c r="T5" s="1507" t="str">
        <f>IF('Elevator Modernization'!N22="","",'Elevator Modernization'!N22)</f>
        <v/>
      </c>
      <c r="U5" s="1509" t="str">
        <f>IF(C5="","",References!$GA$32)</f>
        <v/>
      </c>
      <c r="V5" s="1509" t="str">
        <f>IF(C5="","",References!$GA$22)</f>
        <v/>
      </c>
      <c r="W5" s="1509" t="str">
        <f>IF(C5="","",References!$GE$22)</f>
        <v/>
      </c>
      <c r="X5" s="1509" t="str">
        <f>IF(C5="","",References!$GA$25)</f>
        <v/>
      </c>
      <c r="Y5" s="1509" t="str">
        <f>IF(C5="","",References!$GE$3)</f>
        <v/>
      </c>
      <c r="Z5" s="1509" t="str">
        <f>IF(C5="","",References!$GE$8)</f>
        <v/>
      </c>
      <c r="AA5" s="1509" t="str">
        <f>IF(C5="","",References!$GE$25)</f>
        <v/>
      </c>
      <c r="AB5" s="1509" t="str">
        <f>IF(C5="","",References!$GE$12)</f>
        <v/>
      </c>
      <c r="AC5" s="1509" t="str">
        <f>IF(C5="","",References!$GE$28)</f>
        <v/>
      </c>
      <c r="AD5" s="1509" t="str">
        <f>IF(C5="","",References!$GE$32)</f>
        <v/>
      </c>
      <c r="AE5" s="1507" t="str">
        <f>IF('Elevator Modernization'!O22="","",'Elevator Modernization'!O22)</f>
        <v/>
      </c>
      <c r="AF5" s="1508" t="str">
        <f>IF(AE5="","",INDEX(References!$GH$12:$GH$13,MATCH('Elevator Mod Calculations'!AE5,Regen_Breaking,0)))</f>
        <v/>
      </c>
      <c r="AG5" s="1507" t="str">
        <f>IF(C5="","",References!$GH$7)</f>
        <v/>
      </c>
      <c r="AH5" s="1504"/>
      <c r="AI5" s="1509" t="str">
        <f>IF(C5="","",(I5*H5))</f>
        <v/>
      </c>
      <c r="AJ5" s="1509" t="str">
        <f>IF(C5="","",(L5*F5*N5))</f>
        <v/>
      </c>
      <c r="AK5" s="1509" t="str">
        <f>IF(C5="","",((C5*AG5*U5/AI5)-(O5*(1-V5)*(S5)*AG5*X5)/(33000*Y5*AJ5)))</f>
        <v/>
      </c>
      <c r="AL5" s="1510" t="str">
        <f>IF(C5="","",(((P5*(1-W5)*(T5)/AI5)/(33000*Y5))*AG5*AA5*Z5+(C5*AG5*(AB5/AI5)*(8760-Z5)*R5)))</f>
        <v/>
      </c>
      <c r="AM5" s="1510" t="str">
        <f>IF(C5="","",(((O5*(1-V5)*(S5)/AJ5)/(33000*Y5))*AG5*AA5*Z5))</f>
        <v/>
      </c>
      <c r="AN5" s="1510" t="str">
        <f>IF(C5="","",((O5*(1-V5)*(S5)*AJ5/33000)*AG5*AC5*AD5*Z5))</f>
        <v/>
      </c>
      <c r="AO5" s="1510" t="str">
        <f>IF(C5="","",(AL5-AM5+(AF5*AN5)))</f>
        <v/>
      </c>
      <c r="AP5" s="1510">
        <v>0</v>
      </c>
      <c r="AQ5" s="1511" t="str">
        <f>IF(AO5="","",AO5*References!$D$12)</f>
        <v/>
      </c>
      <c r="AR5" s="1507">
        <v>0</v>
      </c>
      <c r="AS5" s="1510" t="str">
        <f>IF(C5="","",(AQ5+AR5))</f>
        <v/>
      </c>
      <c r="AT5" s="1507" t="str">
        <f>IF(AO5="","",AO5*1.1962)</f>
        <v/>
      </c>
      <c r="AU5" s="1507">
        <v>0</v>
      </c>
      <c r="AV5" s="1507" t="str">
        <f>IF(C5="","",(AT5+AU5))</f>
        <v/>
      </c>
      <c r="AW5" s="1504"/>
      <c r="AX5" s="1507">
        <v>0</v>
      </c>
      <c r="AY5" s="1507" t="str">
        <f>IF(AO5="","",AO5*References!$GH$3)</f>
        <v/>
      </c>
    </row>
    <row r="6" spans="2:52">
      <c r="B6" s="1505">
        <v>2</v>
      </c>
      <c r="C6" s="1507" t="str">
        <f>IF('Elevator Modernization'!B23="","",'Elevator Modernization'!B23)</f>
        <v/>
      </c>
      <c r="D6" s="1507" t="str">
        <f>IF('Customer Information'!$K$13="","",'Customer Information'!$K$13)</f>
        <v/>
      </c>
      <c r="E6" s="1507" t="str">
        <f>IF('Elevator Modernization'!D23="","",'Elevator Modernization'!D23)</f>
        <v/>
      </c>
      <c r="F6" s="1508" t="str">
        <f>IF(E6="","",INDEX(References!$GA$12:$GA$13,MATCH('Elevator Mod Calculations'!E6,References!$FZ$12:$FZ$13)))</f>
        <v/>
      </c>
      <c r="G6" s="1507" t="str">
        <f>IF('Elevator Modernization'!E23="","",'Elevator Modernization'!E23)</f>
        <v/>
      </c>
      <c r="H6" s="1508" t="str">
        <f>IF(G6="","",INDEX(References!$GA$3:$GA$4,MATCH('Elevator Mod Calculations'!G6,Elevator_Gear_System)))</f>
        <v/>
      </c>
      <c r="I6" s="1507" t="str">
        <f>IF('Elevator Modernization'!F23="","",'Elevator Modernization'!F23)</f>
        <v/>
      </c>
      <c r="J6" s="1507" t="str">
        <f>IF('Elevator Modernization'!G23="","",'Elevator Modernization'!G23)</f>
        <v/>
      </c>
      <c r="K6" s="1508"/>
      <c r="L6" s="1507" t="str">
        <f>IF('Elevator Modernization'!H23="","",'Elevator Modernization'!H23)</f>
        <v/>
      </c>
      <c r="M6" s="1508" t="str">
        <f>IF('Elevator Modernization'!I23="","",'Elevator Modernization'!I23)</f>
        <v/>
      </c>
      <c r="N6" s="1508" t="str">
        <f>IF(M6="","",INDEX(References!$GA$16:$GA$19,MATCH('Elevator Mod Calculations'!M6,Installed_Drive_Eff,0)))</f>
        <v/>
      </c>
      <c r="O6" s="1507" t="str">
        <f>IF('Elevator Modernization'!J23="","",'Elevator Modernization'!J23)</f>
        <v/>
      </c>
      <c r="P6" s="1507" t="str">
        <f>IF('Elevator Modernization'!K23="","",'Elevator Modernization'!K23)</f>
        <v/>
      </c>
      <c r="Q6" s="1507" t="str">
        <f>IF('Elevator Modernization'!L23="","",'Elevator Modernization'!L23)</f>
        <v/>
      </c>
      <c r="R6" s="1508" t="str">
        <f>IF(Q6="","",INDEX(References!$GE$16:$GE$18,MATCH('Elevator Mod Calculations'!Q6,Idling_Factor,0)))</f>
        <v/>
      </c>
      <c r="S6" s="1507" t="str">
        <f>IF('Elevator Modernization'!M23="","",'Elevator Modernization'!M23)</f>
        <v/>
      </c>
      <c r="T6" s="1507" t="str">
        <f>IF('Elevator Modernization'!N23="","",'Elevator Modernization'!N23)</f>
        <v/>
      </c>
      <c r="U6" s="1509" t="str">
        <f>IF(C6="","",References!$GA$32)</f>
        <v/>
      </c>
      <c r="V6" s="1509" t="str">
        <f>IF(C6="","",References!$GA$22)</f>
        <v/>
      </c>
      <c r="W6" s="1509" t="str">
        <f>IF(C6="","",References!$GE$22)</f>
        <v/>
      </c>
      <c r="X6" s="1509" t="str">
        <f>IF(C6="","",References!$GA$25)</f>
        <v/>
      </c>
      <c r="Y6" s="1509" t="str">
        <f>IF(C6="","",References!$GE$3)</f>
        <v/>
      </c>
      <c r="Z6" s="1509" t="str">
        <f>IF(C6="","",References!$GE$8)</f>
        <v/>
      </c>
      <c r="AA6" s="1509" t="str">
        <f>IF(C6="","",References!$GE$25)</f>
        <v/>
      </c>
      <c r="AB6" s="1509" t="str">
        <f>IF(C6="","",References!$GE$12)</f>
        <v/>
      </c>
      <c r="AC6" s="1509" t="str">
        <f>IF(C6="","",References!$GE$28)</f>
        <v/>
      </c>
      <c r="AD6" s="1509" t="str">
        <f>IF(C6="","",References!$GE$32)</f>
        <v/>
      </c>
      <c r="AE6" s="1507" t="str">
        <f>IF('Elevator Modernization'!O23="","",'Elevator Modernization'!O23)</f>
        <v/>
      </c>
      <c r="AF6" s="1508" t="str">
        <f>IF(AE6="","",INDEX(References!$GH$12:$GH$13,MATCH('Elevator Mod Calculations'!AE6,Regen_Breaking,0)))</f>
        <v/>
      </c>
      <c r="AG6" s="1507" t="str">
        <f>IF(C6="","",References!$GH$7)</f>
        <v/>
      </c>
      <c r="AH6" s="1504"/>
      <c r="AI6" s="1509" t="str">
        <f t="shared" ref="AI6:AI10" si="0">IF(C6="","",(I6*H6))</f>
        <v/>
      </c>
      <c r="AJ6" s="1509" t="str">
        <f t="shared" ref="AJ6:AJ10" si="1">IF(C6="","",(L6*F6*N6))</f>
        <v/>
      </c>
      <c r="AK6" s="1509" t="str">
        <f t="shared" ref="AK6:AK10" si="2">IF(C6="","",((C6*AG6*U6/AI6)-(O6*(1-V6)*(S6)*AG6*X6)/(33000*Y6*AJ6)))</f>
        <v/>
      </c>
      <c r="AL6" s="1510" t="str">
        <f t="shared" ref="AL6:AL10" si="3">IF(C6="","",(((P6*(1-W6)*(T6)/AI6)/(33000*Y6))*AG6*AA6*Z6+(C6*AG6*(AB6/AI6)*(8760-Z6)*R6)))</f>
        <v/>
      </c>
      <c r="AM6" s="1510" t="str">
        <f t="shared" ref="AM6:AM10" si="4">IF(C6="","",(((O6*(1-V6)*(S6)/AJ6)/(33000*Y6))*AG6*AA6*Z6))</f>
        <v/>
      </c>
      <c r="AN6" s="1510" t="str">
        <f t="shared" ref="AN6:AN10" si="5">IF(C6="","",((O6*(1-V6)*(S6)*AJ6/33000)*AG6*AC6*AD6*Z6))</f>
        <v/>
      </c>
      <c r="AO6" s="1510" t="str">
        <f t="shared" ref="AO6:AO10" si="6">IF(C6="","",(AL6-AM6+(AF6*AN6)))</f>
        <v/>
      </c>
      <c r="AP6" s="1510">
        <v>0</v>
      </c>
      <c r="AQ6" s="1511" t="str">
        <f>IF(AO6="","",AO6*References!$D$12)</f>
        <v/>
      </c>
      <c r="AR6" s="1507">
        <v>0</v>
      </c>
      <c r="AS6" s="1510" t="str">
        <f t="shared" ref="AS6:AS10" si="7">IF(C6="","",(AQ6+AR6))</f>
        <v/>
      </c>
      <c r="AT6" s="1507" t="str">
        <f t="shared" ref="AT6:AT10" si="8">IF(AO6="","",AO6*1.1962)</f>
        <v/>
      </c>
      <c r="AU6" s="1507">
        <v>0</v>
      </c>
      <c r="AV6" s="1507" t="str">
        <f t="shared" ref="AV6:AV10" si="9">IF(C6="","",(AT6+AU6))</f>
        <v/>
      </c>
      <c r="AW6" s="1504"/>
      <c r="AX6" s="1507" t="s">
        <v>651</v>
      </c>
      <c r="AY6" s="1507" t="str">
        <f>IF(AO6="","",AO6*References!$GH$3)</f>
        <v/>
      </c>
    </row>
    <row r="7" spans="2:52">
      <c r="B7" s="1505">
        <v>3</v>
      </c>
      <c r="C7" s="1507" t="str">
        <f>IF('Elevator Modernization'!B24="","",'Elevator Modernization'!B24)</f>
        <v/>
      </c>
      <c r="D7" s="1507" t="str">
        <f>IF('Customer Information'!$K$13="","",'Customer Information'!$K$13)</f>
        <v/>
      </c>
      <c r="E7" s="1507" t="str">
        <f>IF('Elevator Modernization'!D24="","",'Elevator Modernization'!D24)</f>
        <v/>
      </c>
      <c r="F7" s="1508" t="str">
        <f>IF(E7="","",INDEX(References!$GA$12:$GA$13,MATCH('Elevator Mod Calculations'!E7,References!$FZ$12:$FZ$13)))</f>
        <v/>
      </c>
      <c r="G7" s="1507" t="str">
        <f>IF('Elevator Modernization'!E24="","",'Elevator Modernization'!E24)</f>
        <v/>
      </c>
      <c r="H7" s="1508" t="str">
        <f>IF(G7="","",INDEX(References!$GA$3:$GA$4,MATCH('Elevator Mod Calculations'!G7,Elevator_Gear_System)))</f>
        <v/>
      </c>
      <c r="I7" s="1507" t="str">
        <f>IF('Elevator Modernization'!F24="","",'Elevator Modernization'!F24)</f>
        <v/>
      </c>
      <c r="J7" s="1507" t="str">
        <f>IF('Elevator Modernization'!G24="","",'Elevator Modernization'!G24)</f>
        <v/>
      </c>
      <c r="K7" s="1508"/>
      <c r="L7" s="1507" t="str">
        <f>IF('Elevator Modernization'!H24="","",'Elevator Modernization'!H24)</f>
        <v/>
      </c>
      <c r="M7" s="1508" t="str">
        <f>IF('Elevator Modernization'!I24="","",'Elevator Modernization'!I24)</f>
        <v/>
      </c>
      <c r="N7" s="1508" t="str">
        <f>IF(M7="","",INDEX(References!$GA$16:$GA$19,MATCH('Elevator Mod Calculations'!M7,Installed_Drive_Eff,0)))</f>
        <v/>
      </c>
      <c r="O7" s="1507" t="str">
        <f>IF('Elevator Modernization'!J24="","",'Elevator Modernization'!J24)</f>
        <v/>
      </c>
      <c r="P7" s="1507" t="str">
        <f>IF('Elevator Modernization'!K24="","",'Elevator Modernization'!K24)</f>
        <v/>
      </c>
      <c r="Q7" s="1507" t="str">
        <f>IF('Elevator Modernization'!L24="","",'Elevator Modernization'!L24)</f>
        <v/>
      </c>
      <c r="R7" s="1508" t="str">
        <f>IF(Q7="","",INDEX(References!$GE$16:$GE$18,MATCH('Elevator Mod Calculations'!Q7,Idling_Factor,0)))</f>
        <v/>
      </c>
      <c r="S7" s="1507" t="str">
        <f>IF('Elevator Modernization'!M24="","",'Elevator Modernization'!M24)</f>
        <v/>
      </c>
      <c r="T7" s="1507" t="str">
        <f>IF('Elevator Modernization'!N24="","",'Elevator Modernization'!N24)</f>
        <v/>
      </c>
      <c r="U7" s="1509" t="str">
        <f>IF(C7="","",References!$GA$32)</f>
        <v/>
      </c>
      <c r="V7" s="1509" t="str">
        <f>IF(C7="","",References!$GA$22)</f>
        <v/>
      </c>
      <c r="W7" s="1509" t="str">
        <f>IF(C7="","",References!$GE$22)</f>
        <v/>
      </c>
      <c r="X7" s="1509" t="str">
        <f>IF(C7="","",References!$GA$25)</f>
        <v/>
      </c>
      <c r="Y7" s="1509" t="str">
        <f>IF(C7="","",References!$GE$3)</f>
        <v/>
      </c>
      <c r="Z7" s="1509" t="str">
        <f>IF(C7="","",References!$GE$8)</f>
        <v/>
      </c>
      <c r="AA7" s="1509" t="str">
        <f>IF(C7="","",References!$GE$25)</f>
        <v/>
      </c>
      <c r="AB7" s="1509" t="str">
        <f>IF(C7="","",References!$GE$12)</f>
        <v/>
      </c>
      <c r="AC7" s="1509" t="str">
        <f>IF(C7="","",References!$GE$28)</f>
        <v/>
      </c>
      <c r="AD7" s="1509" t="str">
        <f>IF(C7="","",References!$GE$32)</f>
        <v/>
      </c>
      <c r="AE7" s="1507" t="str">
        <f>IF('Elevator Modernization'!O24="","",'Elevator Modernization'!O24)</f>
        <v/>
      </c>
      <c r="AF7" s="1508" t="str">
        <f>IF(AE7="","",INDEX(References!$GH$12:$GH$13,MATCH('Elevator Mod Calculations'!AE7,Regen_Breaking,0)))</f>
        <v/>
      </c>
      <c r="AG7" s="1507" t="str">
        <f>IF(C7="","",References!$GH$7)</f>
        <v/>
      </c>
      <c r="AH7" s="1504"/>
      <c r="AI7" s="1509" t="str">
        <f t="shared" si="0"/>
        <v/>
      </c>
      <c r="AJ7" s="1509" t="str">
        <f t="shared" si="1"/>
        <v/>
      </c>
      <c r="AK7" s="1509" t="str">
        <f t="shared" si="2"/>
        <v/>
      </c>
      <c r="AL7" s="1510" t="str">
        <f t="shared" si="3"/>
        <v/>
      </c>
      <c r="AM7" s="1510" t="str">
        <f t="shared" si="4"/>
        <v/>
      </c>
      <c r="AN7" s="1510" t="str">
        <f t="shared" si="5"/>
        <v/>
      </c>
      <c r="AO7" s="1510" t="str">
        <f t="shared" si="6"/>
        <v/>
      </c>
      <c r="AP7" s="1510">
        <v>0</v>
      </c>
      <c r="AQ7" s="1511" t="str">
        <f>IF(AO7="","",AO7*References!$D$12)</f>
        <v/>
      </c>
      <c r="AR7" s="1507">
        <v>0</v>
      </c>
      <c r="AS7" s="1510" t="str">
        <f t="shared" si="7"/>
        <v/>
      </c>
      <c r="AT7" s="1507" t="str">
        <f t="shared" si="8"/>
        <v/>
      </c>
      <c r="AU7" s="1507">
        <v>0</v>
      </c>
      <c r="AV7" s="1507" t="str">
        <f t="shared" si="9"/>
        <v/>
      </c>
      <c r="AW7" s="1504"/>
      <c r="AX7" s="1507" t="s">
        <v>651</v>
      </c>
      <c r="AY7" s="1507" t="str">
        <f>IF(AO7="","",AO7*References!$GH$3)</f>
        <v/>
      </c>
    </row>
    <row r="8" spans="2:52">
      <c r="B8" s="1505">
        <v>4</v>
      </c>
      <c r="C8" s="1507" t="str">
        <f>IF('Elevator Modernization'!B25="","",'Elevator Modernization'!B25)</f>
        <v/>
      </c>
      <c r="D8" s="1507" t="str">
        <f>IF('Customer Information'!$K$13="","",'Customer Information'!$K$13)</f>
        <v/>
      </c>
      <c r="E8" s="1507" t="str">
        <f>IF('Elevator Modernization'!D25="","",'Elevator Modernization'!D25)</f>
        <v/>
      </c>
      <c r="F8" s="1508" t="str">
        <f>IF(E8="","",INDEX(References!$GA$12:$GA$13,MATCH('Elevator Mod Calculations'!E8,References!$FZ$12:$FZ$13)))</f>
        <v/>
      </c>
      <c r="G8" s="1507" t="str">
        <f>IF('Elevator Modernization'!E25="","",'Elevator Modernization'!E25)</f>
        <v/>
      </c>
      <c r="H8" s="1508" t="str">
        <f>IF(G8="","",INDEX(References!$GA$3:$GA$4,MATCH('Elevator Mod Calculations'!G8,Elevator_Gear_System)))</f>
        <v/>
      </c>
      <c r="I8" s="1507" t="str">
        <f>IF('Elevator Modernization'!F25="","",'Elevator Modernization'!F25)</f>
        <v/>
      </c>
      <c r="J8" s="1507" t="str">
        <f>IF('Elevator Modernization'!G25="","",'Elevator Modernization'!G25)</f>
        <v/>
      </c>
      <c r="K8" s="1508"/>
      <c r="L8" s="1507" t="str">
        <f>IF('Elevator Modernization'!H25="","",'Elevator Modernization'!H25)</f>
        <v/>
      </c>
      <c r="M8" s="1508" t="str">
        <f>IF('Elevator Modernization'!I25="","",'Elevator Modernization'!I25)</f>
        <v/>
      </c>
      <c r="N8" s="1508" t="str">
        <f>IF(M8="","",INDEX(References!$GA$16:$GA$19,MATCH('Elevator Mod Calculations'!M8,Installed_Drive_Eff,0)))</f>
        <v/>
      </c>
      <c r="O8" s="1507" t="str">
        <f>IF('Elevator Modernization'!J25="","",'Elevator Modernization'!J25)</f>
        <v/>
      </c>
      <c r="P8" s="1507" t="str">
        <f>IF('Elevator Modernization'!K25="","",'Elevator Modernization'!K25)</f>
        <v/>
      </c>
      <c r="Q8" s="1507" t="str">
        <f>IF('Elevator Modernization'!L25="","",'Elevator Modernization'!L25)</f>
        <v/>
      </c>
      <c r="R8" s="1508" t="str">
        <f>IF(Q8="","",INDEX(References!$GE$16:$GE$18,MATCH('Elevator Mod Calculations'!Q8,Idling_Factor,0)))</f>
        <v/>
      </c>
      <c r="S8" s="1507" t="str">
        <f>IF('Elevator Modernization'!M25="","",'Elevator Modernization'!M25)</f>
        <v/>
      </c>
      <c r="T8" s="1507" t="str">
        <f>IF('Elevator Modernization'!N25="","",'Elevator Modernization'!N25)</f>
        <v/>
      </c>
      <c r="U8" s="1509" t="str">
        <f>IF(C8="","",References!$GA$32)</f>
        <v/>
      </c>
      <c r="V8" s="1509" t="str">
        <f>IF(C8="","",References!$GA$22)</f>
        <v/>
      </c>
      <c r="W8" s="1509" t="str">
        <f>IF(C8="","",References!$GE$22)</f>
        <v/>
      </c>
      <c r="X8" s="1509" t="str">
        <f>IF(C8="","",References!$GA$25)</f>
        <v/>
      </c>
      <c r="Y8" s="1509" t="str">
        <f>IF(C8="","",References!$GE$3)</f>
        <v/>
      </c>
      <c r="Z8" s="1509" t="str">
        <f>IF(C8="","",References!$GE$8)</f>
        <v/>
      </c>
      <c r="AA8" s="1509" t="str">
        <f>IF(C8="","",References!$GE$25)</f>
        <v/>
      </c>
      <c r="AB8" s="1509" t="str">
        <f>IF(C8="","",References!$GE$12)</f>
        <v/>
      </c>
      <c r="AC8" s="1509" t="str">
        <f>IF(C8="","",References!$GE$28)</f>
        <v/>
      </c>
      <c r="AD8" s="1509" t="str">
        <f>IF(C8="","",References!$GE$32)</f>
        <v/>
      </c>
      <c r="AE8" s="1507" t="str">
        <f>IF('Elevator Modernization'!O25="","",'Elevator Modernization'!O25)</f>
        <v/>
      </c>
      <c r="AF8" s="1508" t="str">
        <f>IF(AE8="","",INDEX(References!$GH$12:$GH$13,MATCH('Elevator Mod Calculations'!AE8,Regen_Breaking,0)))</f>
        <v/>
      </c>
      <c r="AG8" s="1507" t="str">
        <f>IF(C8="","",References!$GH$7)</f>
        <v/>
      </c>
      <c r="AH8" s="1504"/>
      <c r="AI8" s="1509" t="str">
        <f t="shared" si="0"/>
        <v/>
      </c>
      <c r="AJ8" s="1509" t="str">
        <f t="shared" si="1"/>
        <v/>
      </c>
      <c r="AK8" s="1509" t="str">
        <f t="shared" si="2"/>
        <v/>
      </c>
      <c r="AL8" s="1510" t="str">
        <f t="shared" si="3"/>
        <v/>
      </c>
      <c r="AM8" s="1510" t="str">
        <f t="shared" si="4"/>
        <v/>
      </c>
      <c r="AN8" s="1510" t="str">
        <f t="shared" si="5"/>
        <v/>
      </c>
      <c r="AO8" s="1510" t="str">
        <f t="shared" si="6"/>
        <v/>
      </c>
      <c r="AP8" s="1510">
        <v>0</v>
      </c>
      <c r="AQ8" s="1511" t="str">
        <f>IF(AO8="","",AO8*References!$D$12)</f>
        <v/>
      </c>
      <c r="AR8" s="1507">
        <v>0</v>
      </c>
      <c r="AS8" s="1510" t="str">
        <f t="shared" si="7"/>
        <v/>
      </c>
      <c r="AT8" s="1507" t="str">
        <f t="shared" si="8"/>
        <v/>
      </c>
      <c r="AU8" s="1507">
        <v>0</v>
      </c>
      <c r="AV8" s="1507" t="str">
        <f t="shared" si="9"/>
        <v/>
      </c>
      <c r="AW8" s="1504"/>
      <c r="AX8" s="1507" t="s">
        <v>651</v>
      </c>
      <c r="AY8" s="1507" t="str">
        <f>IF(AO8="","",AO8*References!$GH$3)</f>
        <v/>
      </c>
    </row>
    <row r="9" spans="2:52">
      <c r="B9" s="1505">
        <v>5</v>
      </c>
      <c r="C9" s="1507" t="str">
        <f>IF('Elevator Modernization'!B26="","",'Elevator Modernization'!B26)</f>
        <v/>
      </c>
      <c r="D9" s="1507" t="str">
        <f>IF('Customer Information'!$K$13="","",'Customer Information'!$K$13)</f>
        <v/>
      </c>
      <c r="E9" s="1507" t="str">
        <f>IF('Elevator Modernization'!D26="","",'Elevator Modernization'!D26)</f>
        <v/>
      </c>
      <c r="F9" s="1508" t="str">
        <f>IF(E9="","",INDEX(References!$GA$12:$GA$13,MATCH('Elevator Mod Calculations'!E9,References!$FZ$12:$FZ$13)))</f>
        <v/>
      </c>
      <c r="G9" s="1507" t="str">
        <f>IF('Elevator Modernization'!E26="","",'Elevator Modernization'!E26)</f>
        <v/>
      </c>
      <c r="H9" s="1508" t="str">
        <f>IF(G9="","",INDEX(References!$GA$3:$GA$4,MATCH('Elevator Mod Calculations'!G9,Elevator_Gear_System)))</f>
        <v/>
      </c>
      <c r="I9" s="1507" t="str">
        <f>IF('Elevator Modernization'!F26="","",'Elevator Modernization'!F26)</f>
        <v/>
      </c>
      <c r="J9" s="1507" t="str">
        <f>IF('Elevator Modernization'!G26="","",'Elevator Modernization'!G26)</f>
        <v/>
      </c>
      <c r="K9" s="1508"/>
      <c r="L9" s="1507" t="str">
        <f>IF('Elevator Modernization'!H26="","",'Elevator Modernization'!H26)</f>
        <v/>
      </c>
      <c r="M9" s="1508" t="str">
        <f>IF('Elevator Modernization'!I26="","",'Elevator Modernization'!I26)</f>
        <v/>
      </c>
      <c r="N9" s="1508" t="str">
        <f>IF(M9="","",INDEX(References!$GA$16:$GA$19,MATCH('Elevator Mod Calculations'!M9,Installed_Drive_Eff,0)))</f>
        <v/>
      </c>
      <c r="O9" s="1507" t="str">
        <f>IF('Elevator Modernization'!J26="","",'Elevator Modernization'!J26)</f>
        <v/>
      </c>
      <c r="P9" s="1507" t="str">
        <f>IF('Elevator Modernization'!K26="","",'Elevator Modernization'!K26)</f>
        <v/>
      </c>
      <c r="Q9" s="1507" t="str">
        <f>IF('Elevator Modernization'!L26="","",'Elevator Modernization'!L26)</f>
        <v/>
      </c>
      <c r="R9" s="1508" t="str">
        <f>IF(Q9="","",INDEX(References!$GE$16:$GE$18,MATCH('Elevator Mod Calculations'!Q9,Idling_Factor,0)))</f>
        <v/>
      </c>
      <c r="S9" s="1507" t="str">
        <f>IF('Elevator Modernization'!M26="","",'Elevator Modernization'!M26)</f>
        <v/>
      </c>
      <c r="T9" s="1507" t="str">
        <f>IF('Elevator Modernization'!N26="","",'Elevator Modernization'!N26)</f>
        <v/>
      </c>
      <c r="U9" s="1509" t="str">
        <f>IF(C9="","",References!$GA$32)</f>
        <v/>
      </c>
      <c r="V9" s="1509" t="str">
        <f>IF(C9="","",References!$GA$22)</f>
        <v/>
      </c>
      <c r="W9" s="1509" t="str">
        <f>IF(C9="","",References!$GE$22)</f>
        <v/>
      </c>
      <c r="X9" s="1509" t="str">
        <f>IF(C9="","",References!$GA$25)</f>
        <v/>
      </c>
      <c r="Y9" s="1509" t="str">
        <f>IF(C9="","",References!$GE$3)</f>
        <v/>
      </c>
      <c r="Z9" s="1509" t="str">
        <f>IF(C9="","",References!$GE$8)</f>
        <v/>
      </c>
      <c r="AA9" s="1509" t="str">
        <f>IF(C9="","",References!$GE$25)</f>
        <v/>
      </c>
      <c r="AB9" s="1509" t="str">
        <f>IF(C9="","",References!$GE$12)</f>
        <v/>
      </c>
      <c r="AC9" s="1509" t="str">
        <f>IF(C9="","",References!$GE$28)</f>
        <v/>
      </c>
      <c r="AD9" s="1509" t="str">
        <f>IF(C9="","",References!$GE$32)</f>
        <v/>
      </c>
      <c r="AE9" s="1507" t="str">
        <f>IF('Elevator Modernization'!O26="","",'Elevator Modernization'!O26)</f>
        <v/>
      </c>
      <c r="AF9" s="1508" t="str">
        <f>IF(AE9="","",INDEX(References!$GH$12:$GH$13,MATCH('Elevator Mod Calculations'!AE9,Regen_Breaking,0)))</f>
        <v/>
      </c>
      <c r="AG9" s="1507" t="str">
        <f>IF(C9="","",References!$GH$7)</f>
        <v/>
      </c>
      <c r="AH9" s="1504"/>
      <c r="AI9" s="1509" t="str">
        <f t="shared" si="0"/>
        <v/>
      </c>
      <c r="AJ9" s="1509" t="str">
        <f t="shared" si="1"/>
        <v/>
      </c>
      <c r="AK9" s="1509" t="str">
        <f t="shared" si="2"/>
        <v/>
      </c>
      <c r="AL9" s="1510" t="str">
        <f t="shared" si="3"/>
        <v/>
      </c>
      <c r="AM9" s="1510" t="str">
        <f t="shared" si="4"/>
        <v/>
      </c>
      <c r="AN9" s="1510" t="str">
        <f t="shared" si="5"/>
        <v/>
      </c>
      <c r="AO9" s="1510" t="str">
        <f t="shared" si="6"/>
        <v/>
      </c>
      <c r="AP9" s="1510">
        <v>0</v>
      </c>
      <c r="AQ9" s="1511" t="str">
        <f>IF(AO9="","",AO9*References!$D$12)</f>
        <v/>
      </c>
      <c r="AR9" s="1507">
        <v>0</v>
      </c>
      <c r="AS9" s="1510" t="str">
        <f t="shared" si="7"/>
        <v/>
      </c>
      <c r="AT9" s="1507" t="str">
        <f t="shared" si="8"/>
        <v/>
      </c>
      <c r="AU9" s="1507">
        <v>0</v>
      </c>
      <c r="AV9" s="1507" t="str">
        <f t="shared" si="9"/>
        <v/>
      </c>
      <c r="AW9" s="1504"/>
      <c r="AX9" s="1507" t="s">
        <v>651</v>
      </c>
      <c r="AY9" s="1507" t="str">
        <f>IF(AO9="","",AO9*References!$GH$3)</f>
        <v/>
      </c>
    </row>
    <row r="10" spans="2:52">
      <c r="B10" s="1505">
        <v>6</v>
      </c>
      <c r="C10" s="1507" t="str">
        <f>IF('Elevator Modernization'!B27="","",'Elevator Modernization'!B27)</f>
        <v/>
      </c>
      <c r="D10" s="1507" t="str">
        <f>IF('Customer Information'!$K$13="","",'Customer Information'!$K$13)</f>
        <v/>
      </c>
      <c r="E10" s="1507" t="str">
        <f>IF('Elevator Modernization'!D27="","",'Elevator Modernization'!D27)</f>
        <v/>
      </c>
      <c r="F10" s="1508" t="str">
        <f>IF(E10="","",INDEX(References!$GA$12:$GA$13,MATCH('Elevator Mod Calculations'!E10,References!$FZ$12:$FZ$13)))</f>
        <v/>
      </c>
      <c r="G10" s="1507" t="str">
        <f>IF('Elevator Modernization'!E27="","",'Elevator Modernization'!E27)</f>
        <v/>
      </c>
      <c r="H10" s="1508" t="str">
        <f>IF(G10="","",INDEX(References!$GA$3:$GA$4,MATCH('Elevator Mod Calculations'!G10,Elevator_Gear_System)))</f>
        <v/>
      </c>
      <c r="I10" s="1507" t="str">
        <f>IF('Elevator Modernization'!F27="","",'Elevator Modernization'!F27)</f>
        <v/>
      </c>
      <c r="J10" s="1507" t="str">
        <f>IF('Elevator Modernization'!G27="","",'Elevator Modernization'!G27)</f>
        <v/>
      </c>
      <c r="K10" s="1508"/>
      <c r="L10" s="1507" t="str">
        <f>IF('Elevator Modernization'!H27="","",'Elevator Modernization'!H27)</f>
        <v/>
      </c>
      <c r="M10" s="1508" t="str">
        <f>IF('Elevator Modernization'!I27="","",'Elevator Modernization'!I27)</f>
        <v/>
      </c>
      <c r="N10" s="1508" t="str">
        <f>IF(M10="","",INDEX(References!$GA$16:$GA$19,MATCH('Elevator Mod Calculations'!M10,Installed_Drive_Eff,0)))</f>
        <v/>
      </c>
      <c r="O10" s="1507" t="str">
        <f>IF('Elevator Modernization'!J27="","",'Elevator Modernization'!J27)</f>
        <v/>
      </c>
      <c r="P10" s="1507" t="str">
        <f>IF('Elevator Modernization'!K27="","",'Elevator Modernization'!K27)</f>
        <v/>
      </c>
      <c r="Q10" s="1507" t="str">
        <f>IF('Elevator Modernization'!L27="","",'Elevator Modernization'!L27)</f>
        <v/>
      </c>
      <c r="R10" s="1508" t="str">
        <f>IF(Q10="","",INDEX(References!$GE$16:$GE$18,MATCH('Elevator Mod Calculations'!Q10,Idling_Factor,0)))</f>
        <v/>
      </c>
      <c r="S10" s="1507" t="str">
        <f>IF('Elevator Modernization'!M27="","",'Elevator Modernization'!M27)</f>
        <v/>
      </c>
      <c r="T10" s="1507" t="str">
        <f>IF('Elevator Modernization'!N27="","",'Elevator Modernization'!N27)</f>
        <v/>
      </c>
      <c r="U10" s="1509" t="str">
        <f>IF(C10="","",References!$GA$32)</f>
        <v/>
      </c>
      <c r="V10" s="1509" t="str">
        <f>IF(C10="","",References!$GA$22)</f>
        <v/>
      </c>
      <c r="W10" s="1509" t="str">
        <f>IF(C10="","",References!$GE$22)</f>
        <v/>
      </c>
      <c r="X10" s="1509" t="str">
        <f>IF(C10="","",References!$GA$25)</f>
        <v/>
      </c>
      <c r="Y10" s="1509" t="str">
        <f>IF(C10="","",References!$GE$3)</f>
        <v/>
      </c>
      <c r="Z10" s="1509" t="str">
        <f>IF(C10="","",References!$GE$8)</f>
        <v/>
      </c>
      <c r="AA10" s="1509" t="str">
        <f>IF(C10="","",References!$GE$25)</f>
        <v/>
      </c>
      <c r="AB10" s="1509" t="str">
        <f>IF(C10="","",References!$GE$12)</f>
        <v/>
      </c>
      <c r="AC10" s="1509" t="str">
        <f>IF(C10="","",References!$GE$28)</f>
        <v/>
      </c>
      <c r="AD10" s="1509" t="str">
        <f>IF(C10="","",References!$GE$32)</f>
        <v/>
      </c>
      <c r="AE10" s="1507" t="str">
        <f>IF('Elevator Modernization'!O27="","",'Elevator Modernization'!O27)</f>
        <v/>
      </c>
      <c r="AF10" s="1508" t="str">
        <f>IF(AE10="","",INDEX(References!$GH$12:$GH$13,MATCH('Elevator Mod Calculations'!AE10,Regen_Breaking,0)))</f>
        <v/>
      </c>
      <c r="AG10" s="1507" t="str">
        <f>IF(C10="","",References!$GH$7)</f>
        <v/>
      </c>
      <c r="AH10" s="1504"/>
      <c r="AI10" s="1509" t="str">
        <f t="shared" si="0"/>
        <v/>
      </c>
      <c r="AJ10" s="1509" t="str">
        <f t="shared" si="1"/>
        <v/>
      </c>
      <c r="AK10" s="1509" t="str">
        <f t="shared" si="2"/>
        <v/>
      </c>
      <c r="AL10" s="1510" t="str">
        <f t="shared" si="3"/>
        <v/>
      </c>
      <c r="AM10" s="1510" t="str">
        <f t="shared" si="4"/>
        <v/>
      </c>
      <c r="AN10" s="1510" t="str">
        <f t="shared" si="5"/>
        <v/>
      </c>
      <c r="AO10" s="1510" t="str">
        <f t="shared" si="6"/>
        <v/>
      </c>
      <c r="AP10" s="1510">
        <v>0</v>
      </c>
      <c r="AQ10" s="1511" t="str">
        <f>IF(AO10="","",AO10*References!$D$12)</f>
        <v/>
      </c>
      <c r="AR10" s="1507">
        <v>0</v>
      </c>
      <c r="AS10" s="1510" t="str">
        <f t="shared" si="7"/>
        <v/>
      </c>
      <c r="AT10" s="1507" t="str">
        <f t="shared" si="8"/>
        <v/>
      </c>
      <c r="AU10" s="1507">
        <v>0</v>
      </c>
      <c r="AV10" s="1507" t="str">
        <f t="shared" si="9"/>
        <v/>
      </c>
      <c r="AW10" s="1504"/>
      <c r="AX10" s="1507" t="s">
        <v>651</v>
      </c>
      <c r="AY10" s="1507" t="str">
        <f>IF(AO10="","",AO10*References!$GH$3)</f>
        <v/>
      </c>
    </row>
    <row r="15" spans="2:52">
      <c r="B15" s="1503" t="s">
        <v>4916</v>
      </c>
      <c r="C15" s="1504"/>
    </row>
    <row r="16" spans="2:52" ht="65">
      <c r="B16" s="1505"/>
      <c r="C16" s="1506" t="s">
        <v>4801</v>
      </c>
      <c r="D16" s="1506" t="s">
        <v>2294</v>
      </c>
      <c r="E16" s="1506" t="s">
        <v>4802</v>
      </c>
      <c r="F16" s="1506" t="s">
        <v>4892</v>
      </c>
      <c r="G16" s="1506" t="s">
        <v>4803</v>
      </c>
      <c r="H16" s="1506" t="s">
        <v>4893</v>
      </c>
      <c r="I16" s="1506" t="s">
        <v>4804</v>
      </c>
      <c r="J16" s="1506" t="s">
        <v>4805</v>
      </c>
      <c r="K16" s="1506" t="s">
        <v>4894</v>
      </c>
      <c r="L16" s="1506" t="s">
        <v>4806</v>
      </c>
      <c r="M16" s="1506" t="s">
        <v>4807</v>
      </c>
      <c r="N16" s="1506" t="s">
        <v>4854</v>
      </c>
      <c r="O16" s="1506" t="s">
        <v>4808</v>
      </c>
      <c r="P16" s="1506" t="s">
        <v>4809</v>
      </c>
      <c r="Q16" s="1506" t="s">
        <v>4810</v>
      </c>
      <c r="R16" s="1506" t="s">
        <v>4855</v>
      </c>
      <c r="S16" s="1506" t="s">
        <v>4895</v>
      </c>
      <c r="T16" s="1506" t="s">
        <v>4896</v>
      </c>
      <c r="U16" s="1506" t="s">
        <v>4888</v>
      </c>
      <c r="V16" s="1506" t="s">
        <v>4897</v>
      </c>
      <c r="W16" s="1506" t="s">
        <v>4898</v>
      </c>
      <c r="X16" s="1506" t="s">
        <v>4899</v>
      </c>
      <c r="Y16" s="1506" t="s">
        <v>4900</v>
      </c>
      <c r="Z16" s="1506" t="s">
        <v>4774</v>
      </c>
      <c r="AA16" s="1506" t="s">
        <v>4901</v>
      </c>
      <c r="AB16" s="1506" t="s">
        <v>4847</v>
      </c>
      <c r="AC16" s="1506" t="s">
        <v>4902</v>
      </c>
      <c r="AD16" s="1506" t="s">
        <v>4917</v>
      </c>
      <c r="AE16" s="1506" t="s">
        <v>4813</v>
      </c>
      <c r="AF16" s="1506" t="s">
        <v>4904</v>
      </c>
      <c r="AG16" s="1506" t="s">
        <v>4905</v>
      </c>
      <c r="AH16" s="1504"/>
      <c r="AI16" s="1506" t="s">
        <v>4906</v>
      </c>
      <c r="AJ16" s="1506" t="s">
        <v>4907</v>
      </c>
      <c r="AK16" s="1506" t="s">
        <v>4297</v>
      </c>
      <c r="AL16" s="1506" t="s">
        <v>4908</v>
      </c>
      <c r="AM16" s="1506" t="s">
        <v>4909</v>
      </c>
      <c r="AN16" s="1506" t="s">
        <v>4910</v>
      </c>
      <c r="AO16" s="1506" t="s">
        <v>3256</v>
      </c>
      <c r="AP16" s="1506" t="s">
        <v>4911</v>
      </c>
      <c r="AQ16" s="1506" t="s">
        <v>4912</v>
      </c>
      <c r="AR16" s="1506" t="s">
        <v>4913</v>
      </c>
      <c r="AS16" s="1506" t="s">
        <v>4914</v>
      </c>
      <c r="AT16" s="1506" t="s">
        <v>3492</v>
      </c>
      <c r="AU16" s="1506" t="s">
        <v>3493</v>
      </c>
      <c r="AV16" s="1506" t="s">
        <v>4915</v>
      </c>
      <c r="AW16" s="1504"/>
      <c r="AX16" s="1506" t="s">
        <v>193</v>
      </c>
      <c r="AY16" s="1506" t="s">
        <v>216</v>
      </c>
      <c r="AZ16" s="1504"/>
    </row>
    <row r="17" spans="2:52">
      <c r="B17" s="1505">
        <v>1</v>
      </c>
      <c r="C17" s="1507" t="str">
        <f>IF('Elevator Modernization'!B36="","",'Elevator Modernization'!B36)</f>
        <v/>
      </c>
      <c r="D17" s="1507" t="str">
        <f>IF('Customer Information'!$K$13="","",'Customer Information'!$K$13)</f>
        <v/>
      </c>
      <c r="E17" s="1507" t="str">
        <f>IF('Elevator Modernization'!D36="","",'Elevator Modernization'!D36)</f>
        <v/>
      </c>
      <c r="F17" s="1508" t="str">
        <f>IF(E17="","",INDEX(References!$GA$12:$GA$13,MATCH('Elevator Mod Calculations'!E17,References!$FZ$12:$FZ$13)))</f>
        <v/>
      </c>
      <c r="G17" s="1507" t="str">
        <f>IF('Elevator Modernization'!E36="","",'Elevator Modernization'!E36)</f>
        <v/>
      </c>
      <c r="H17" s="1508" t="str">
        <f>IF(G17="","",INDEX(References!$GA$3:$GA$4,MATCH('Elevator Mod Calculations'!G17,Elevator_Gear_System)))</f>
        <v/>
      </c>
      <c r="I17" s="1507" t="str">
        <f>IF('Elevator Modernization'!F36="","",'Elevator Modernization'!F36)</f>
        <v/>
      </c>
      <c r="J17" s="1507" t="str">
        <f>IF('Elevator Modernization'!G36="","",'Elevator Modernization'!G36)</f>
        <v/>
      </c>
      <c r="K17" s="1508" t="str">
        <f>IF(J17="","",INDEX(References!$GA$7:$GA$9,MATCH('Elevator Mod Calculations'!J17,Baseline_Drive_Eff,0)))</f>
        <v/>
      </c>
      <c r="L17" s="1507" t="str">
        <f>IF('Elevator Modernization'!H36="","",'Elevator Modernization'!H36)</f>
        <v/>
      </c>
      <c r="M17" s="1507" t="str">
        <f>IF('Elevator Modernization'!I36="","",'Elevator Modernization'!I36)</f>
        <v/>
      </c>
      <c r="N17" s="1508" t="str">
        <f>IF(M17="","",INDEX(References!$GA$16:$GA$19,MATCH('Elevator Mod Calculations'!M17,Installed_Drive_Eff,0)))</f>
        <v/>
      </c>
      <c r="O17" s="1507" t="str">
        <f>IF('Elevator Modernization'!J36="","",'Elevator Modernization'!J36)</f>
        <v/>
      </c>
      <c r="P17" s="1507" t="str">
        <f>IF('Elevator Modernization'!K36="","",'Elevator Modernization'!K36)</f>
        <v/>
      </c>
      <c r="Q17" s="1507" t="str">
        <f>IF('Elevator Modernization'!L36="","",'Elevator Modernization'!L36)</f>
        <v/>
      </c>
      <c r="R17" s="1508" t="str">
        <f>IF(Q17="","",INDEX(References!$GE$16:$GE$18,MATCH('Elevator Mod Calculations'!Q17,Idling_Factor,0)))</f>
        <v/>
      </c>
      <c r="S17" s="1507" t="str">
        <f>IF('Elevator Modernization'!M36="","",'Elevator Modernization'!M36)</f>
        <v/>
      </c>
      <c r="T17" s="1507" t="str">
        <f>IF('Elevator Modernization'!N36="","",'Elevator Modernization'!N36)</f>
        <v/>
      </c>
      <c r="U17" s="1509" t="str">
        <f>IF(C17="","",References!$GA$32)</f>
        <v/>
      </c>
      <c r="V17" s="1509" t="str">
        <f>IF(C17="","",References!$GA$22)</f>
        <v/>
      </c>
      <c r="W17" s="1509" t="str">
        <f>IF(C17="","",References!$GE$22)</f>
        <v/>
      </c>
      <c r="X17" s="1509" t="str">
        <f>IF(C17="","",References!$GA$25)</f>
        <v/>
      </c>
      <c r="Y17" s="1509" t="str">
        <f>IF(C17="","",References!$GE$3)</f>
        <v/>
      </c>
      <c r="Z17" s="1509" t="str">
        <f>IF(C17="","",References!$GE$8)</f>
        <v/>
      </c>
      <c r="AA17" s="1509" t="str">
        <f>IF(C17="","",References!$GE$25)</f>
        <v/>
      </c>
      <c r="AB17" s="1509" t="str">
        <f>IF(C17="","",References!$GE$12)</f>
        <v/>
      </c>
      <c r="AC17" s="1509" t="str">
        <f>IF(C17="","",References!$GE$28)</f>
        <v/>
      </c>
      <c r="AD17" s="1509" t="str">
        <f>IF(C17="","",References!$GE$32)</f>
        <v/>
      </c>
      <c r="AE17" s="1507" t="str">
        <f>IF('Elevator Modernization'!O36="","",'Elevator Modernization'!O36)</f>
        <v/>
      </c>
      <c r="AF17" s="1508" t="str">
        <f>IF(AE17="","",INDEX(References!$GH$12:$GH$13,MATCH('Elevator Mod Calculations'!AE17,Regen_Breaking,0)))</f>
        <v/>
      </c>
      <c r="AG17" s="1507" t="str">
        <f>IF(C17="","",References!$GH$7)</f>
        <v/>
      </c>
      <c r="AH17" s="1504"/>
      <c r="AI17" s="1509" t="str">
        <f t="shared" ref="AI17:AI22" si="10">IF(C17="","",(I17*H17*K17))</f>
        <v/>
      </c>
      <c r="AJ17" s="1509" t="str">
        <f t="shared" ref="AJ17:AJ22" si="11">IF(C17="","",(L17*F17*N17))</f>
        <v/>
      </c>
      <c r="AK17" s="1509" t="str">
        <f>IF(C17="","",((P17*(1-W17)*(T17)/AI17)-(O17*(1-V17)*(S17)/AJ17))*AG17*X17/(33000*Y17))</f>
        <v/>
      </c>
      <c r="AL17" s="1507" t="str">
        <f>IF(C17="","",(((P17*(1-W17)*T17/AI17)/(33000*Y17))*AG17*AA17*Z17))</f>
        <v/>
      </c>
      <c r="AM17" s="1510" t="str">
        <f>IF(C17="","",(((O17*(1-V17)*S17/AJ17)/(33000*Y17))*AG17*AA17*Z17))</f>
        <v/>
      </c>
      <c r="AN17" s="1510" t="str">
        <f>IF(C17="","",((O17*(1-V17)*S17*AJ17/33000)*AG17*AC17*AD17*Z17))</f>
        <v/>
      </c>
      <c r="AO17" s="1507" t="str">
        <f>IF(C17="","",(AL17-AM17+(AF17*AN17)))</f>
        <v/>
      </c>
      <c r="AP17" s="1510">
        <v>0</v>
      </c>
      <c r="AQ17" s="1511" t="str">
        <f>IF(AO17="","",AO17*References!$D$12)</f>
        <v/>
      </c>
      <c r="AR17" s="1507">
        <v>0</v>
      </c>
      <c r="AS17" s="1510" t="str">
        <f t="shared" ref="AS17:AS22" si="12">IF(C17="","",(AQ17+AR17))</f>
        <v/>
      </c>
      <c r="AT17" s="1507" t="str">
        <f t="shared" ref="AT17:AT22" si="13">IF(AO17="","",AO17*1.1962)</f>
        <v/>
      </c>
      <c r="AU17" s="1507">
        <v>0</v>
      </c>
      <c r="AV17" s="1507" t="str">
        <f t="shared" ref="AV17:AV22" si="14">IF(C17="","",(AT17+AU17))</f>
        <v/>
      </c>
      <c r="AW17" s="1504"/>
      <c r="AX17" s="1507">
        <v>0</v>
      </c>
      <c r="AY17" s="1507" t="str">
        <f>IF(AO17="","",AO17*References!$GH$3)</f>
        <v/>
      </c>
      <c r="AZ17" s="1504"/>
    </row>
    <row r="18" spans="2:52">
      <c r="B18" s="1505">
        <v>2</v>
      </c>
      <c r="C18" s="1507" t="str">
        <f>IF('Elevator Modernization'!B37="","",'Elevator Modernization'!B37)</f>
        <v/>
      </c>
      <c r="D18" s="1507" t="str">
        <f>IF('Customer Information'!$K$13="","",'Customer Information'!$K$13)</f>
        <v/>
      </c>
      <c r="E18" s="1507" t="str">
        <f>IF('Elevator Modernization'!D37="","",'Elevator Modernization'!D37)</f>
        <v/>
      </c>
      <c r="F18" s="1508" t="str">
        <f>IF(E18="","",INDEX(References!$GA$12:$GA$13,MATCH('Elevator Mod Calculations'!E18,References!$FZ$12:$FZ$13)))</f>
        <v/>
      </c>
      <c r="G18" s="1507" t="str">
        <f>IF('Elevator Modernization'!E37="","",'Elevator Modernization'!E37)</f>
        <v/>
      </c>
      <c r="H18" s="1508" t="str">
        <f>IF(G18="","",INDEX(References!$GA$3:$GA$4,MATCH('Elevator Mod Calculations'!G18,Elevator_Gear_System)))</f>
        <v/>
      </c>
      <c r="I18" s="1507" t="str">
        <f>IF('Elevator Modernization'!F37="","",'Elevator Modernization'!F37)</f>
        <v/>
      </c>
      <c r="J18" s="1507" t="str">
        <f>IF('Elevator Modernization'!G37="","",'Elevator Modernization'!G37)</f>
        <v/>
      </c>
      <c r="K18" s="1508" t="str">
        <f>IF(J18="","",INDEX(References!$GA$7:$GA$9,MATCH('Elevator Mod Calculations'!J18,Baseline_Drive_Eff,0)))</f>
        <v/>
      </c>
      <c r="L18" s="1507" t="str">
        <f>IF('Elevator Modernization'!H37="","",'Elevator Modernization'!H37)</f>
        <v/>
      </c>
      <c r="M18" s="1507" t="str">
        <f>IF('Elevator Modernization'!I37="","",'Elevator Modernization'!I37)</f>
        <v/>
      </c>
      <c r="N18" s="1508" t="str">
        <f>IF(M18="","",INDEX(References!$GA$16:$GA$19,MATCH('Elevator Mod Calculations'!M18,Installed_Drive_Eff,0)))</f>
        <v/>
      </c>
      <c r="O18" s="1507" t="str">
        <f>IF('Elevator Modernization'!J37="","",'Elevator Modernization'!J37)</f>
        <v/>
      </c>
      <c r="P18" s="1507" t="str">
        <f>IF('Elevator Modernization'!K37="","",'Elevator Modernization'!K37)</f>
        <v/>
      </c>
      <c r="Q18" s="1507" t="str">
        <f>IF('Elevator Modernization'!L37="","",'Elevator Modernization'!L37)</f>
        <v/>
      </c>
      <c r="R18" s="1508" t="str">
        <f>IF(Q18="","",INDEX(References!$GE$16:$GE$18,MATCH('Elevator Mod Calculations'!Q18,Idling_Factor,0)))</f>
        <v/>
      </c>
      <c r="S18" s="1507" t="str">
        <f>IF('Elevator Modernization'!M37="","",'Elevator Modernization'!M37)</f>
        <v/>
      </c>
      <c r="T18" s="1507" t="str">
        <f>IF('Elevator Modernization'!N37="","",'Elevator Modernization'!N37)</f>
        <v/>
      </c>
      <c r="U18" s="1509" t="str">
        <f>IF(C18="","",References!$GA$32)</f>
        <v/>
      </c>
      <c r="V18" s="1509" t="str">
        <f>IF(C18="","",References!$GA$22)</f>
        <v/>
      </c>
      <c r="W18" s="1509" t="str">
        <f>IF(C18="","",References!$GE$22)</f>
        <v/>
      </c>
      <c r="X18" s="1509" t="str">
        <f>IF(C18="","",References!$GA$25)</f>
        <v/>
      </c>
      <c r="Y18" s="1509" t="str">
        <f>IF(C18="","",References!$GE$3)</f>
        <v/>
      </c>
      <c r="Z18" s="1509" t="str">
        <f>IF(C18="","",References!$GE$8)</f>
        <v/>
      </c>
      <c r="AA18" s="1509" t="str">
        <f>IF(C18="","",References!$GE$25)</f>
        <v/>
      </c>
      <c r="AB18" s="1509" t="str">
        <f>IF(C18="","",References!$GE$12)</f>
        <v/>
      </c>
      <c r="AC18" s="1509" t="str">
        <f>IF(C18="","",References!$GE$28)</f>
        <v/>
      </c>
      <c r="AD18" s="1509" t="str">
        <f>IF(C18="","",References!$GE$32)</f>
        <v/>
      </c>
      <c r="AE18" s="1507" t="str">
        <f>IF('Elevator Modernization'!O37="","",'Elevator Modernization'!O37)</f>
        <v/>
      </c>
      <c r="AF18" s="1508" t="str">
        <f>IF(AE18="","",INDEX(References!$GH$12:$GH$13,MATCH('Elevator Mod Calculations'!AE18,Regen_Breaking,0)))</f>
        <v/>
      </c>
      <c r="AG18" s="1507" t="str">
        <f>IF(C18="","",References!$GH$7)</f>
        <v/>
      </c>
      <c r="AH18" s="1504"/>
      <c r="AI18" s="1509" t="str">
        <f t="shared" si="10"/>
        <v/>
      </c>
      <c r="AJ18" s="1509" t="str">
        <f t="shared" si="11"/>
        <v/>
      </c>
      <c r="AK18" s="1509" t="str">
        <f t="shared" ref="AK18:AK22" si="15">IF(C18="","",((P18*(1-W18)*(T18)/AI18)-(O18*(1-V18)*(S18)/AJ18))*AG18*X18/(33000*Y18))</f>
        <v/>
      </c>
      <c r="AL18" s="1507" t="str">
        <f t="shared" ref="AL18:AL22" si="16">IF(C18="","",(((P18*(1-W18)*T18/AI18)/(33000*Y18))*AG18*AA18*Z18))</f>
        <v/>
      </c>
      <c r="AM18" s="1510" t="str">
        <f t="shared" ref="AM18:AM22" si="17">IF(C18="","",(((O18*(1-V18)*S18/AJ18)/(33000*Y18))*AG18*AA18*Z18))</f>
        <v/>
      </c>
      <c r="AN18" s="1510" t="str">
        <f t="shared" ref="AN18:AN22" si="18">IF(C18="","",((O18*(1-V18)*S18*AJ18/33000)*AG18*AC18*AD18*Z18))</f>
        <v/>
      </c>
      <c r="AO18" s="1507" t="str">
        <f t="shared" ref="AO18:AO22" si="19">IF(C18="","",(AL18-AM18+(AF18*AN18)))</f>
        <v/>
      </c>
      <c r="AP18" s="1510">
        <v>0</v>
      </c>
      <c r="AQ18" s="1511" t="str">
        <f>IF(AO18="","",AO18*References!$D$12)</f>
        <v/>
      </c>
      <c r="AR18" s="1507">
        <v>0</v>
      </c>
      <c r="AS18" s="1510" t="str">
        <f t="shared" si="12"/>
        <v/>
      </c>
      <c r="AT18" s="1507" t="str">
        <f t="shared" si="13"/>
        <v/>
      </c>
      <c r="AU18" s="1507">
        <v>0</v>
      </c>
      <c r="AV18" s="1507" t="str">
        <f t="shared" si="14"/>
        <v/>
      </c>
      <c r="AW18" s="1504"/>
      <c r="AX18" s="1507" t="s">
        <v>651</v>
      </c>
      <c r="AY18" s="1507" t="str">
        <f>IF(AO18="","",AO18*References!$GH$3)</f>
        <v/>
      </c>
      <c r="AZ18" s="1504"/>
    </row>
    <row r="19" spans="2:52">
      <c r="B19" s="1505">
        <v>3</v>
      </c>
      <c r="C19" s="1507" t="str">
        <f>IF('Elevator Modernization'!B38="","",'Elevator Modernization'!B38)</f>
        <v/>
      </c>
      <c r="D19" s="1507" t="str">
        <f>IF('Customer Information'!$K$13="","",'Customer Information'!$K$13)</f>
        <v/>
      </c>
      <c r="E19" s="1507" t="str">
        <f>IF('Elevator Modernization'!D38="","",'Elevator Modernization'!D38)</f>
        <v/>
      </c>
      <c r="F19" s="1508" t="str">
        <f>IF(E19="","",INDEX(References!$GA$12:$GA$13,MATCH('Elevator Mod Calculations'!E19,References!$FZ$12:$FZ$13)))</f>
        <v/>
      </c>
      <c r="G19" s="1507" t="str">
        <f>IF('Elevator Modernization'!E38="","",'Elevator Modernization'!E38)</f>
        <v/>
      </c>
      <c r="H19" s="1508" t="str">
        <f>IF(G19="","",INDEX(References!$GA$3:$GA$4,MATCH('Elevator Mod Calculations'!G19,Elevator_Gear_System)))</f>
        <v/>
      </c>
      <c r="I19" s="1507" t="str">
        <f>IF('Elevator Modernization'!F38="","",'Elevator Modernization'!F38)</f>
        <v/>
      </c>
      <c r="J19" s="1507" t="str">
        <f>IF('Elevator Modernization'!G38="","",'Elevator Modernization'!G38)</f>
        <v/>
      </c>
      <c r="K19" s="1508" t="str">
        <f>IF(J19="","",INDEX(References!$GA$7:$GA$9,MATCH('Elevator Mod Calculations'!J19,Baseline_Drive_Eff,0)))</f>
        <v/>
      </c>
      <c r="L19" s="1507" t="str">
        <f>IF('Elevator Modernization'!H38="","",'Elevator Modernization'!H38)</f>
        <v/>
      </c>
      <c r="M19" s="1507" t="str">
        <f>IF('Elevator Modernization'!I38="","",'Elevator Modernization'!I38)</f>
        <v/>
      </c>
      <c r="N19" s="1508" t="str">
        <f>IF(M19="","",INDEX(References!$GA$16:$GA$19,MATCH('Elevator Mod Calculations'!M19,Installed_Drive_Eff,0)))</f>
        <v/>
      </c>
      <c r="O19" s="1507" t="str">
        <f>IF('Elevator Modernization'!J38="","",'Elevator Modernization'!J38)</f>
        <v/>
      </c>
      <c r="P19" s="1507" t="str">
        <f>IF('Elevator Modernization'!K38="","",'Elevator Modernization'!K38)</f>
        <v/>
      </c>
      <c r="Q19" s="1507" t="str">
        <f>IF('Elevator Modernization'!L38="","",'Elevator Modernization'!L38)</f>
        <v/>
      </c>
      <c r="R19" s="1508" t="str">
        <f>IF(Q19="","",INDEX(References!$GE$16:$GE$18,MATCH('Elevator Mod Calculations'!Q19,Idling_Factor,0)))</f>
        <v/>
      </c>
      <c r="S19" s="1507" t="str">
        <f>IF('Elevator Modernization'!M38="","",'Elevator Modernization'!M38)</f>
        <v/>
      </c>
      <c r="T19" s="1507" t="str">
        <f>IF('Elevator Modernization'!N38="","",'Elevator Modernization'!N38)</f>
        <v/>
      </c>
      <c r="U19" s="1509" t="str">
        <f>IF(C19="","",References!$GA$32)</f>
        <v/>
      </c>
      <c r="V19" s="1509" t="str">
        <f>IF(C19="","",References!$GA$22)</f>
        <v/>
      </c>
      <c r="W19" s="1509" t="str">
        <f>IF(C19="","",References!$GE$22)</f>
        <v/>
      </c>
      <c r="X19" s="1509" t="str">
        <f>IF(C19="","",References!$GA$25)</f>
        <v/>
      </c>
      <c r="Y19" s="1509" t="str">
        <f>IF(C19="","",References!$GE$3)</f>
        <v/>
      </c>
      <c r="Z19" s="1509" t="str">
        <f>IF(C19="","",References!$GE$8)</f>
        <v/>
      </c>
      <c r="AA19" s="1509" t="str">
        <f>IF(C19="","",References!$GE$25)</f>
        <v/>
      </c>
      <c r="AB19" s="1509" t="str">
        <f>IF(C19="","",References!$GE$12)</f>
        <v/>
      </c>
      <c r="AC19" s="1509" t="str">
        <f>IF(C19="","",References!$GE$28)</f>
        <v/>
      </c>
      <c r="AD19" s="1509" t="str">
        <f>IF(C19="","",References!$GE$32)</f>
        <v/>
      </c>
      <c r="AE19" s="1507" t="str">
        <f>IF('Elevator Modernization'!O38="","",'Elevator Modernization'!O38)</f>
        <v/>
      </c>
      <c r="AF19" s="1508" t="str">
        <f>IF(AE19="","",INDEX(References!$GH$12:$GH$13,MATCH('Elevator Mod Calculations'!AE19,Regen_Breaking,0)))</f>
        <v/>
      </c>
      <c r="AG19" s="1507" t="str">
        <f>IF(C19="","",References!$GH$7)</f>
        <v/>
      </c>
      <c r="AH19" s="1504"/>
      <c r="AI19" s="1509" t="str">
        <f t="shared" si="10"/>
        <v/>
      </c>
      <c r="AJ19" s="1509" t="str">
        <f t="shared" si="11"/>
        <v/>
      </c>
      <c r="AK19" s="1509" t="str">
        <f t="shared" si="15"/>
        <v/>
      </c>
      <c r="AL19" s="1507" t="str">
        <f t="shared" si="16"/>
        <v/>
      </c>
      <c r="AM19" s="1510" t="str">
        <f t="shared" si="17"/>
        <v/>
      </c>
      <c r="AN19" s="1510" t="str">
        <f t="shared" si="18"/>
        <v/>
      </c>
      <c r="AO19" s="1507" t="str">
        <f t="shared" si="19"/>
        <v/>
      </c>
      <c r="AP19" s="1510">
        <v>0</v>
      </c>
      <c r="AQ19" s="1511" t="str">
        <f>IF(AO19="","",AO19*References!$D$12)</f>
        <v/>
      </c>
      <c r="AR19" s="1507">
        <v>0</v>
      </c>
      <c r="AS19" s="1510" t="str">
        <f t="shared" si="12"/>
        <v/>
      </c>
      <c r="AT19" s="1507" t="str">
        <f t="shared" si="13"/>
        <v/>
      </c>
      <c r="AU19" s="1507">
        <v>0</v>
      </c>
      <c r="AV19" s="1507" t="str">
        <f t="shared" si="14"/>
        <v/>
      </c>
      <c r="AW19" s="1504"/>
      <c r="AX19" s="1507" t="s">
        <v>651</v>
      </c>
      <c r="AY19" s="1507" t="str">
        <f>IF(AO19="","",AO19*References!$GH$3)</f>
        <v/>
      </c>
      <c r="AZ19" s="1504"/>
    </row>
    <row r="20" spans="2:52">
      <c r="B20" s="1505">
        <v>4</v>
      </c>
      <c r="C20" s="1507" t="str">
        <f>IF('Elevator Modernization'!B39="","",'Elevator Modernization'!B39)</f>
        <v/>
      </c>
      <c r="D20" s="1507" t="str">
        <f>IF('Customer Information'!$K$13="","",'Customer Information'!$K$13)</f>
        <v/>
      </c>
      <c r="E20" s="1507" t="str">
        <f>IF('Elevator Modernization'!D39="","",'Elevator Modernization'!D39)</f>
        <v/>
      </c>
      <c r="F20" s="1508" t="str">
        <f>IF(E20="","",INDEX(References!$GA$12:$GA$13,MATCH('Elevator Mod Calculations'!E20,References!$FZ$12:$FZ$13)))</f>
        <v/>
      </c>
      <c r="G20" s="1507" t="str">
        <f>IF('Elevator Modernization'!E39="","",'Elevator Modernization'!E39)</f>
        <v/>
      </c>
      <c r="H20" s="1508" t="str">
        <f>IF(G20="","",INDEX(References!$GA$3:$GA$4,MATCH('Elevator Mod Calculations'!G20,Elevator_Gear_System)))</f>
        <v/>
      </c>
      <c r="I20" s="1507" t="str">
        <f>IF('Elevator Modernization'!F39="","",'Elevator Modernization'!F39)</f>
        <v/>
      </c>
      <c r="J20" s="1507" t="str">
        <f>IF('Elevator Modernization'!G39="","",'Elevator Modernization'!G39)</f>
        <v/>
      </c>
      <c r="K20" s="1508" t="str">
        <f>IF(J20="","",INDEX(References!$GA$7:$GA$9,MATCH('Elevator Mod Calculations'!J20,Baseline_Drive_Eff,0)))</f>
        <v/>
      </c>
      <c r="L20" s="1507" t="str">
        <f>IF('Elevator Modernization'!H39="","",'Elevator Modernization'!H39)</f>
        <v/>
      </c>
      <c r="M20" s="1507" t="str">
        <f>IF('Elevator Modernization'!I39="","",'Elevator Modernization'!I39)</f>
        <v/>
      </c>
      <c r="N20" s="1508" t="str">
        <f>IF(M20="","",INDEX(References!$GA$16:$GA$19,MATCH('Elevator Mod Calculations'!M20,Installed_Drive_Eff,0)))</f>
        <v/>
      </c>
      <c r="O20" s="1507" t="str">
        <f>IF('Elevator Modernization'!J39="","",'Elevator Modernization'!J39)</f>
        <v/>
      </c>
      <c r="P20" s="1507" t="str">
        <f>IF('Elevator Modernization'!K39="","",'Elevator Modernization'!K39)</f>
        <v/>
      </c>
      <c r="Q20" s="1507" t="str">
        <f>IF('Elevator Modernization'!L39="","",'Elevator Modernization'!L39)</f>
        <v/>
      </c>
      <c r="R20" s="1508" t="str">
        <f>IF(Q20="","",INDEX(References!$GE$16:$GE$18,MATCH('Elevator Mod Calculations'!Q20,Idling_Factor,0)))</f>
        <v/>
      </c>
      <c r="S20" s="1507" t="str">
        <f>IF('Elevator Modernization'!M39="","",'Elevator Modernization'!M39)</f>
        <v/>
      </c>
      <c r="T20" s="1507" t="str">
        <f>IF('Elevator Modernization'!N39="","",'Elevator Modernization'!N39)</f>
        <v/>
      </c>
      <c r="U20" s="1509" t="str">
        <f>IF(C20="","",References!$GA$32)</f>
        <v/>
      </c>
      <c r="V20" s="1509" t="str">
        <f>IF(C20="","",References!$GA$22)</f>
        <v/>
      </c>
      <c r="W20" s="1509" t="str">
        <f>IF(C20="","",References!$GE$22)</f>
        <v/>
      </c>
      <c r="X20" s="1509" t="str">
        <f>IF(C20="","",References!$GA$25)</f>
        <v/>
      </c>
      <c r="Y20" s="1509" t="str">
        <f>IF(C20="","",References!$GE$3)</f>
        <v/>
      </c>
      <c r="Z20" s="1509" t="str">
        <f>IF(C20="","",References!$GE$8)</f>
        <v/>
      </c>
      <c r="AA20" s="1509" t="str">
        <f>IF(C20="","",References!$GE$25)</f>
        <v/>
      </c>
      <c r="AB20" s="1509" t="str">
        <f>IF(C20="","",References!$GE$12)</f>
        <v/>
      </c>
      <c r="AC20" s="1509" t="str">
        <f>IF(C20="","",References!$GE$28)</f>
        <v/>
      </c>
      <c r="AD20" s="1509" t="str">
        <f>IF(C20="","",References!$GE$32)</f>
        <v/>
      </c>
      <c r="AE20" s="1507" t="str">
        <f>IF('Elevator Modernization'!O39="","",'Elevator Modernization'!O39)</f>
        <v/>
      </c>
      <c r="AF20" s="1508" t="str">
        <f>IF(AE20="","",INDEX(References!$GH$12:$GH$13,MATCH('Elevator Mod Calculations'!AE20,Regen_Breaking,0)))</f>
        <v/>
      </c>
      <c r="AG20" s="1507" t="str">
        <f>IF(C20="","",References!$GH$7)</f>
        <v/>
      </c>
      <c r="AH20" s="1504"/>
      <c r="AI20" s="1509" t="str">
        <f t="shared" si="10"/>
        <v/>
      </c>
      <c r="AJ20" s="1509" t="str">
        <f t="shared" si="11"/>
        <v/>
      </c>
      <c r="AK20" s="1509" t="str">
        <f t="shared" si="15"/>
        <v/>
      </c>
      <c r="AL20" s="1507" t="str">
        <f t="shared" si="16"/>
        <v/>
      </c>
      <c r="AM20" s="1510" t="str">
        <f t="shared" si="17"/>
        <v/>
      </c>
      <c r="AN20" s="1510" t="str">
        <f t="shared" si="18"/>
        <v/>
      </c>
      <c r="AO20" s="1507" t="str">
        <f t="shared" si="19"/>
        <v/>
      </c>
      <c r="AP20" s="1510">
        <v>0</v>
      </c>
      <c r="AQ20" s="1511" t="str">
        <f>IF(AO20="","",AO20*References!$D$12)</f>
        <v/>
      </c>
      <c r="AR20" s="1507">
        <v>0</v>
      </c>
      <c r="AS20" s="1510" t="str">
        <f t="shared" si="12"/>
        <v/>
      </c>
      <c r="AT20" s="1507" t="str">
        <f t="shared" si="13"/>
        <v/>
      </c>
      <c r="AU20" s="1507">
        <v>0</v>
      </c>
      <c r="AV20" s="1507" t="str">
        <f t="shared" si="14"/>
        <v/>
      </c>
      <c r="AW20" s="1504"/>
      <c r="AX20" s="1507" t="s">
        <v>651</v>
      </c>
      <c r="AY20" s="1507" t="str">
        <f>IF(AO20="","",AO20*References!$GH$3)</f>
        <v/>
      </c>
      <c r="AZ20" s="1504"/>
    </row>
    <row r="21" spans="2:52">
      <c r="B21" s="1505">
        <v>5</v>
      </c>
      <c r="C21" s="1507" t="str">
        <f>IF('Elevator Modernization'!B40="","",'Elevator Modernization'!B40)</f>
        <v/>
      </c>
      <c r="D21" s="1507" t="str">
        <f>IF('Customer Information'!$K$13="","",'Customer Information'!$K$13)</f>
        <v/>
      </c>
      <c r="E21" s="1507" t="str">
        <f>IF('Elevator Modernization'!D40="","",'Elevator Modernization'!D40)</f>
        <v/>
      </c>
      <c r="F21" s="1508" t="str">
        <f>IF(E21="","",INDEX(References!$GA$12:$GA$13,MATCH('Elevator Mod Calculations'!E21,References!$FZ$12:$FZ$13)))</f>
        <v/>
      </c>
      <c r="G21" s="1507" t="str">
        <f>IF('Elevator Modernization'!E40="","",'Elevator Modernization'!E40)</f>
        <v/>
      </c>
      <c r="H21" s="1508" t="str">
        <f>IF(G21="","",INDEX(References!$GA$3:$GA$4,MATCH('Elevator Mod Calculations'!G21,Elevator_Gear_System)))</f>
        <v/>
      </c>
      <c r="I21" s="1507" t="str">
        <f>IF('Elevator Modernization'!F40="","",'Elevator Modernization'!F40)</f>
        <v/>
      </c>
      <c r="J21" s="1507" t="str">
        <f>IF('Elevator Modernization'!G40="","",'Elevator Modernization'!G40)</f>
        <v/>
      </c>
      <c r="K21" s="1508" t="str">
        <f>IF(J21="","",INDEX(References!$GA$7:$GA$9,MATCH('Elevator Mod Calculations'!J21,Baseline_Drive_Eff,0)))</f>
        <v/>
      </c>
      <c r="L21" s="1507" t="str">
        <f>IF('Elevator Modernization'!H40="","",'Elevator Modernization'!H40)</f>
        <v/>
      </c>
      <c r="M21" s="1507" t="str">
        <f>IF('Elevator Modernization'!I40="","",'Elevator Modernization'!I40)</f>
        <v/>
      </c>
      <c r="N21" s="1508" t="str">
        <f>IF(M21="","",INDEX(References!$GA$16:$GA$19,MATCH('Elevator Mod Calculations'!M21,Installed_Drive_Eff,0)))</f>
        <v/>
      </c>
      <c r="O21" s="1507" t="str">
        <f>IF('Elevator Modernization'!J40="","",'Elevator Modernization'!J40)</f>
        <v/>
      </c>
      <c r="P21" s="1507" t="str">
        <f>IF('Elevator Modernization'!K40="","",'Elevator Modernization'!K40)</f>
        <v/>
      </c>
      <c r="Q21" s="1507" t="str">
        <f>IF('Elevator Modernization'!L40="","",'Elevator Modernization'!L40)</f>
        <v/>
      </c>
      <c r="R21" s="1508" t="str">
        <f>IF(Q21="","",INDEX(References!$GE$16:$GE$18,MATCH('Elevator Mod Calculations'!Q21,Idling_Factor,0)))</f>
        <v/>
      </c>
      <c r="S21" s="1507" t="str">
        <f>IF('Elevator Modernization'!M40="","",'Elevator Modernization'!M40)</f>
        <v/>
      </c>
      <c r="T21" s="1507" t="str">
        <f>IF('Elevator Modernization'!N40="","",'Elevator Modernization'!N40)</f>
        <v/>
      </c>
      <c r="U21" s="1509" t="str">
        <f>IF(C21="","",References!$GA$32)</f>
        <v/>
      </c>
      <c r="V21" s="1509" t="str">
        <f>IF(C21="","",References!$GA$22)</f>
        <v/>
      </c>
      <c r="W21" s="1509" t="str">
        <f>IF(C21="","",References!$GE$22)</f>
        <v/>
      </c>
      <c r="X21" s="1509" t="str">
        <f>IF(C21="","",References!$GA$25)</f>
        <v/>
      </c>
      <c r="Y21" s="1509" t="str">
        <f>IF(C21="","",References!$GE$3)</f>
        <v/>
      </c>
      <c r="Z21" s="1509" t="str">
        <f>IF(C21="","",References!$GE$8)</f>
        <v/>
      </c>
      <c r="AA21" s="1509" t="str">
        <f>IF(C21="","",References!$GE$25)</f>
        <v/>
      </c>
      <c r="AB21" s="1509" t="str">
        <f>IF(C21="","",References!$GE$12)</f>
        <v/>
      </c>
      <c r="AC21" s="1509" t="str">
        <f>IF(C21="","",References!$GE$28)</f>
        <v/>
      </c>
      <c r="AD21" s="1509" t="str">
        <f>IF(C21="","",References!$GE$32)</f>
        <v/>
      </c>
      <c r="AE21" s="1507" t="str">
        <f>IF('Elevator Modernization'!O40="","",'Elevator Modernization'!O40)</f>
        <v/>
      </c>
      <c r="AF21" s="1508" t="str">
        <f>IF(AE21="","",INDEX(References!$GH$12:$GH$13,MATCH('Elevator Mod Calculations'!AE21,Regen_Breaking,0)))</f>
        <v/>
      </c>
      <c r="AG21" s="1507" t="str">
        <f>IF(C21="","",References!$GH$7)</f>
        <v/>
      </c>
      <c r="AH21" s="1504"/>
      <c r="AI21" s="1509" t="str">
        <f t="shared" si="10"/>
        <v/>
      </c>
      <c r="AJ21" s="1509" t="str">
        <f t="shared" si="11"/>
        <v/>
      </c>
      <c r="AK21" s="1509" t="str">
        <f t="shared" si="15"/>
        <v/>
      </c>
      <c r="AL21" s="1507" t="str">
        <f t="shared" si="16"/>
        <v/>
      </c>
      <c r="AM21" s="1510" t="str">
        <f t="shared" si="17"/>
        <v/>
      </c>
      <c r="AN21" s="1510" t="str">
        <f t="shared" si="18"/>
        <v/>
      </c>
      <c r="AO21" s="1507" t="str">
        <f t="shared" si="19"/>
        <v/>
      </c>
      <c r="AP21" s="1510">
        <v>0</v>
      </c>
      <c r="AQ21" s="1511" t="str">
        <f>IF(AO21="","",AO21*References!$D$12)</f>
        <v/>
      </c>
      <c r="AR21" s="1507">
        <v>0</v>
      </c>
      <c r="AS21" s="1510" t="str">
        <f t="shared" si="12"/>
        <v/>
      </c>
      <c r="AT21" s="1507" t="str">
        <f t="shared" si="13"/>
        <v/>
      </c>
      <c r="AU21" s="1507">
        <v>0</v>
      </c>
      <c r="AV21" s="1507" t="str">
        <f t="shared" si="14"/>
        <v/>
      </c>
      <c r="AW21" s="1504"/>
      <c r="AX21" s="1507" t="s">
        <v>651</v>
      </c>
      <c r="AY21" s="1507" t="str">
        <f>IF(AO21="","",AO21*References!$GH$3)</f>
        <v/>
      </c>
      <c r="AZ21" s="1504"/>
    </row>
    <row r="22" spans="2:52">
      <c r="B22" s="1505">
        <v>6</v>
      </c>
      <c r="C22" s="1507" t="str">
        <f>IF('Elevator Modernization'!B41="","",'Elevator Modernization'!B41)</f>
        <v/>
      </c>
      <c r="D22" s="1507" t="str">
        <f>IF('Customer Information'!$K$13="","",'Customer Information'!$K$13)</f>
        <v/>
      </c>
      <c r="E22" s="1507" t="str">
        <f>IF('Elevator Modernization'!D41="","",'Elevator Modernization'!D41)</f>
        <v/>
      </c>
      <c r="F22" s="1508" t="str">
        <f>IF(E22="","",INDEX(References!$GA$12:$GA$13,MATCH('Elevator Mod Calculations'!E22,References!$FZ$12:$FZ$13)))</f>
        <v/>
      </c>
      <c r="G22" s="1507" t="str">
        <f>IF('Elevator Modernization'!E41="","",'Elevator Modernization'!E41)</f>
        <v/>
      </c>
      <c r="H22" s="1508" t="str">
        <f>IF(G22="","",INDEX(References!$GA$3:$GA$4,MATCH('Elevator Mod Calculations'!G22,Elevator_Gear_System)))</f>
        <v/>
      </c>
      <c r="I22" s="1507" t="str">
        <f>IF('Elevator Modernization'!F41="","",'Elevator Modernization'!F41)</f>
        <v/>
      </c>
      <c r="J22" s="1507" t="str">
        <f>IF('Elevator Modernization'!G41="","",'Elevator Modernization'!G41)</f>
        <v/>
      </c>
      <c r="K22" s="1508" t="str">
        <f>IF(J22="","",INDEX(References!$GA$7:$GA$9,MATCH('Elevator Mod Calculations'!J22,Baseline_Drive_Eff,0)))</f>
        <v/>
      </c>
      <c r="L22" s="1507" t="str">
        <f>IF('Elevator Modernization'!H41="","",'Elevator Modernization'!H41)</f>
        <v/>
      </c>
      <c r="M22" s="1507" t="str">
        <f>IF('Elevator Modernization'!I41="","",'Elevator Modernization'!I41)</f>
        <v/>
      </c>
      <c r="N22" s="1508" t="str">
        <f>IF(M22="","",INDEX(References!$GA$16:$GA$19,MATCH('Elevator Mod Calculations'!M22,Installed_Drive_Eff,0)))</f>
        <v/>
      </c>
      <c r="O22" s="1507" t="str">
        <f>IF('Elevator Modernization'!J41="","",'Elevator Modernization'!J41)</f>
        <v/>
      </c>
      <c r="P22" s="1507" t="str">
        <f>IF('Elevator Modernization'!K41="","",'Elevator Modernization'!K41)</f>
        <v/>
      </c>
      <c r="Q22" s="1507" t="str">
        <f>IF('Elevator Modernization'!L41="","",'Elevator Modernization'!L41)</f>
        <v/>
      </c>
      <c r="R22" s="1508" t="str">
        <f>IF(Q22="","",INDEX(References!$GE$16:$GE$18,MATCH('Elevator Mod Calculations'!Q22,Idling_Factor,0)))</f>
        <v/>
      </c>
      <c r="S22" s="1507" t="str">
        <f>IF('Elevator Modernization'!M41="","",'Elevator Modernization'!M41)</f>
        <v/>
      </c>
      <c r="T22" s="1507" t="str">
        <f>IF('Elevator Modernization'!N41="","",'Elevator Modernization'!N41)</f>
        <v/>
      </c>
      <c r="U22" s="1509" t="str">
        <f>IF(C22="","",References!$GA$32)</f>
        <v/>
      </c>
      <c r="V22" s="1509" t="str">
        <f>IF(C22="","",References!$GA$22)</f>
        <v/>
      </c>
      <c r="W22" s="1509" t="str">
        <f>IF(C22="","",References!$GE$22)</f>
        <v/>
      </c>
      <c r="X22" s="1509" t="str">
        <f>IF(C22="","",References!$GA$25)</f>
        <v/>
      </c>
      <c r="Y22" s="1509" t="str">
        <f>IF(C22="","",References!$GE$3)</f>
        <v/>
      </c>
      <c r="Z22" s="1509" t="str">
        <f>IF(C22="","",References!$GE$8)</f>
        <v/>
      </c>
      <c r="AA22" s="1509" t="str">
        <f>IF(C22="","",References!$GE$25)</f>
        <v/>
      </c>
      <c r="AB22" s="1509" t="str">
        <f>IF(C22="","",References!$GE$12)</f>
        <v/>
      </c>
      <c r="AC22" s="1509" t="str">
        <f>IF(C22="","",References!$GE$28)</f>
        <v/>
      </c>
      <c r="AD22" s="1509" t="str">
        <f>IF(C22="","",References!$GE$32)</f>
        <v/>
      </c>
      <c r="AE22" s="1507" t="str">
        <f>IF('Elevator Modernization'!O41="","",'Elevator Modernization'!O41)</f>
        <v/>
      </c>
      <c r="AF22" s="1508" t="str">
        <f>IF(AE22="","",INDEX(References!$GH$12:$GH$13,MATCH('Elevator Mod Calculations'!AE22,Regen_Breaking,0)))</f>
        <v/>
      </c>
      <c r="AG22" s="1507" t="str">
        <f>IF(C22="","",References!$GH$7)</f>
        <v/>
      </c>
      <c r="AH22" s="1504"/>
      <c r="AI22" s="1509" t="str">
        <f t="shared" si="10"/>
        <v/>
      </c>
      <c r="AJ22" s="1509" t="str">
        <f t="shared" si="11"/>
        <v/>
      </c>
      <c r="AK22" s="1509" t="str">
        <f t="shared" si="15"/>
        <v/>
      </c>
      <c r="AL22" s="1507" t="str">
        <f t="shared" si="16"/>
        <v/>
      </c>
      <c r="AM22" s="1510" t="str">
        <f t="shared" si="17"/>
        <v/>
      </c>
      <c r="AN22" s="1510" t="str">
        <f t="shared" si="18"/>
        <v/>
      </c>
      <c r="AO22" s="1507" t="str">
        <f t="shared" si="19"/>
        <v/>
      </c>
      <c r="AP22" s="1510">
        <v>0</v>
      </c>
      <c r="AQ22" s="1511" t="str">
        <f>IF(AO22="","",AO22*References!$D$12)</f>
        <v/>
      </c>
      <c r="AR22" s="1507">
        <v>0</v>
      </c>
      <c r="AS22" s="1510" t="str">
        <f t="shared" si="12"/>
        <v/>
      </c>
      <c r="AT22" s="1507" t="str">
        <f t="shared" si="13"/>
        <v/>
      </c>
      <c r="AU22" s="1507">
        <v>0</v>
      </c>
      <c r="AV22" s="1507" t="str">
        <f t="shared" si="14"/>
        <v/>
      </c>
      <c r="AW22" s="1504"/>
      <c r="AX22" s="1507" t="s">
        <v>651</v>
      </c>
      <c r="AY22" s="1507" t="str">
        <f>IF(AO22="","",AO22*References!$GH$3)</f>
        <v/>
      </c>
      <c r="AZ22" s="1504"/>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
    <tabColor rgb="FFFF0000"/>
  </sheetPr>
  <dimension ref="A1:GL493"/>
  <sheetViews>
    <sheetView topLeftCell="E105" zoomScale="110" zoomScaleNormal="110" workbookViewId="0">
      <selection activeCell="I121" sqref="I121"/>
    </sheetView>
  </sheetViews>
  <sheetFormatPr defaultRowHeight="14.5"/>
  <cols>
    <col min="1" max="1" width="53.7265625" bestFit="1" customWidth="1"/>
    <col min="2" max="2" width="29.54296875" bestFit="1" customWidth="1"/>
    <col min="3" max="4" width="45.1796875" bestFit="1" customWidth="1"/>
    <col min="5" max="5" width="45.453125" customWidth="1"/>
    <col min="6" max="6" width="38.81640625" customWidth="1"/>
    <col min="7" max="7" width="22.453125" bestFit="1" customWidth="1"/>
    <col min="8" max="8" width="60.1796875" bestFit="1" customWidth="1"/>
    <col min="9" max="9" width="48.453125" customWidth="1"/>
    <col min="10" max="10" width="31.453125" bestFit="1" customWidth="1"/>
    <col min="11" max="11" width="38.81640625" bestFit="1" customWidth="1"/>
    <col min="12" max="12" width="51.453125" bestFit="1" customWidth="1"/>
    <col min="13" max="13" width="18.54296875" bestFit="1" customWidth="1"/>
    <col min="14" max="14" width="33.54296875" bestFit="1" customWidth="1"/>
    <col min="15" max="15" width="32" bestFit="1" customWidth="1"/>
    <col min="16" max="16" width="10.453125" bestFit="1" customWidth="1"/>
    <col min="17" max="17" width="10.7265625" customWidth="1"/>
    <col min="18" max="18" width="27.1796875" bestFit="1" customWidth="1"/>
    <col min="19" max="19" width="36.1796875" bestFit="1" customWidth="1"/>
    <col min="20" max="20" width="9.26953125" bestFit="1" customWidth="1"/>
    <col min="21" max="21" width="6" bestFit="1" customWidth="1"/>
    <col min="22" max="22" width="6.453125" bestFit="1" customWidth="1"/>
    <col min="23" max="23" width="9.81640625" bestFit="1" customWidth="1"/>
    <col min="24" max="24" width="5.81640625" bestFit="1" customWidth="1"/>
    <col min="25" max="25" width="5.1796875" bestFit="1" customWidth="1"/>
    <col min="26" max="26" width="5.81640625" bestFit="1" customWidth="1"/>
    <col min="27" max="27" width="10.81640625" bestFit="1" customWidth="1"/>
    <col min="28" max="28" width="12.81640625" bestFit="1" customWidth="1"/>
    <col min="29" max="29" width="29.7265625" bestFit="1" customWidth="1"/>
    <col min="30" max="30" width="17" customWidth="1"/>
    <col min="31" max="31" width="47" bestFit="1" customWidth="1"/>
    <col min="32" max="32" width="53.26953125" customWidth="1"/>
    <col min="33" max="33" width="21.81640625" bestFit="1" customWidth="1"/>
    <col min="34" max="34" width="23.1796875" bestFit="1" customWidth="1"/>
    <col min="35" max="35" width="68.26953125" bestFit="1" customWidth="1"/>
    <col min="36" max="36" width="35" bestFit="1" customWidth="1"/>
    <col min="37" max="37" width="29.7265625" bestFit="1" customWidth="1"/>
    <col min="38" max="38" width="25" bestFit="1" customWidth="1"/>
    <col min="39" max="39" width="14.54296875" bestFit="1" customWidth="1"/>
    <col min="40" max="40" width="14.1796875" bestFit="1" customWidth="1"/>
    <col min="41" max="41" width="15" bestFit="1" customWidth="1"/>
    <col min="42" max="42" width="11.453125" bestFit="1" customWidth="1"/>
    <col min="43" max="43" width="11.1796875" bestFit="1" customWidth="1"/>
    <col min="44" max="44" width="7.1796875" bestFit="1" customWidth="1"/>
    <col min="45" max="45" width="16.81640625" bestFit="1" customWidth="1"/>
    <col min="46" max="46" width="13.26953125" bestFit="1" customWidth="1"/>
    <col min="47" max="47" width="20.7265625" customWidth="1"/>
    <col min="48" max="48" width="16.26953125" bestFit="1" customWidth="1"/>
    <col min="49" max="49" width="35.26953125" bestFit="1" customWidth="1"/>
    <col min="50" max="50" width="44.453125" bestFit="1" customWidth="1"/>
    <col min="51" max="51" width="21.1796875" bestFit="1" customWidth="1"/>
    <col min="52" max="52" width="16.81640625" bestFit="1" customWidth="1"/>
    <col min="53" max="54" width="36.453125" bestFit="1" customWidth="1"/>
    <col min="55" max="55" width="31.26953125" bestFit="1" customWidth="1"/>
    <col min="56" max="56" width="31.453125" bestFit="1" customWidth="1"/>
    <col min="57" max="57" width="50.81640625" customWidth="1"/>
    <col min="58" max="58" width="22.453125" bestFit="1" customWidth="1"/>
    <col min="59" max="60" width="24.1796875" bestFit="1" customWidth="1"/>
    <col min="61" max="61" width="14.54296875" bestFit="1" customWidth="1"/>
    <col min="62" max="62" width="14.1796875" bestFit="1" customWidth="1"/>
    <col min="63" max="63" width="20.1796875" bestFit="1" customWidth="1"/>
    <col min="64" max="64" width="17.453125" bestFit="1" customWidth="1"/>
    <col min="65" max="65" width="12.26953125" bestFit="1" customWidth="1"/>
    <col min="66" max="66" width="13.54296875" bestFit="1" customWidth="1"/>
    <col min="67" max="67" width="34.54296875" bestFit="1" customWidth="1"/>
    <col min="68" max="68" width="17.54296875" customWidth="1"/>
    <col min="69" max="69" width="16.26953125" customWidth="1"/>
    <col min="70" max="70" width="18.1796875" customWidth="1"/>
    <col min="71" max="71" width="13.54296875" customWidth="1"/>
    <col min="72" max="72" width="19.453125" bestFit="1" customWidth="1"/>
    <col min="73" max="74" width="13.54296875" customWidth="1"/>
    <col min="75" max="75" width="33.54296875" customWidth="1"/>
    <col min="76" max="76" width="16.81640625" customWidth="1"/>
    <col min="77" max="77" width="19.7265625" bestFit="1" customWidth="1"/>
    <col min="78" max="78" width="13.54296875" customWidth="1"/>
    <col min="79" max="79" width="27.81640625" bestFit="1" customWidth="1"/>
    <col min="80" max="80" width="66" bestFit="1" customWidth="1"/>
    <col min="81" max="84" width="13.54296875" customWidth="1"/>
    <col min="85" max="85" width="34" customWidth="1"/>
    <col min="86" max="86" width="20.7265625" bestFit="1" customWidth="1"/>
    <col min="87" max="87" width="22.81640625" bestFit="1" customWidth="1"/>
    <col min="88" max="88" width="18" bestFit="1" customWidth="1"/>
    <col min="89" max="90" width="13.54296875" customWidth="1"/>
    <col min="91" max="91" width="65.54296875" customWidth="1"/>
    <col min="92" max="113" width="13.54296875" customWidth="1"/>
    <col min="114" max="114" width="29.1796875" customWidth="1"/>
    <col min="115" max="115" width="37.453125" bestFit="1" customWidth="1"/>
    <col min="116" max="116" width="32.453125" customWidth="1"/>
    <col min="117" max="117" width="16.81640625" bestFit="1" customWidth="1"/>
    <col min="118" max="120" width="5.1796875" bestFit="1" customWidth="1"/>
    <col min="121" max="121" width="9" bestFit="1" customWidth="1"/>
    <col min="122" max="122" width="43.26953125" bestFit="1" customWidth="1"/>
    <col min="123" max="123" width="6.453125" bestFit="1" customWidth="1"/>
    <col min="124" max="124" width="34.81640625" bestFit="1" customWidth="1"/>
    <col min="125" max="125" width="12.26953125" bestFit="1" customWidth="1"/>
    <col min="126" max="126" width="18.54296875" bestFit="1" customWidth="1"/>
    <col min="127" max="127" width="6.81640625" bestFit="1" customWidth="1"/>
    <col min="128" max="128" width="6.1796875" bestFit="1" customWidth="1"/>
    <col min="129" max="129" width="13.7265625" bestFit="1" customWidth="1"/>
    <col min="130" max="130" width="19.7265625" bestFit="1" customWidth="1"/>
    <col min="131" max="131" width="9" bestFit="1" customWidth="1"/>
    <col min="132" max="132" width="13.7265625" bestFit="1" customWidth="1"/>
    <col min="133" max="133" width="8.54296875" bestFit="1" customWidth="1"/>
    <col min="134" max="134" width="13.1796875" bestFit="1" customWidth="1"/>
    <col min="135" max="135" width="19.7265625" bestFit="1" customWidth="1"/>
    <col min="136" max="136" width="9" bestFit="1" customWidth="1"/>
    <col min="137" max="137" width="13.7265625" bestFit="1" customWidth="1"/>
    <col min="138" max="138" width="8.54296875" bestFit="1" customWidth="1"/>
    <col min="140" max="140" width="39.1796875" bestFit="1" customWidth="1"/>
    <col min="141" max="141" width="8.54296875" bestFit="1" customWidth="1"/>
    <col min="142" max="142" width="13.54296875" bestFit="1" customWidth="1"/>
    <col min="145" max="145" width="39.1796875" bestFit="1" customWidth="1"/>
    <col min="146" max="146" width="8.54296875" bestFit="1" customWidth="1"/>
    <col min="147" max="147" width="13.54296875" bestFit="1" customWidth="1"/>
    <col min="150" max="150" width="39.1796875" bestFit="1" customWidth="1"/>
    <col min="151" max="151" width="8.54296875" bestFit="1" customWidth="1"/>
    <col min="152" max="152" width="13.54296875" bestFit="1" customWidth="1"/>
    <col min="153" max="153" width="21.453125" bestFit="1" customWidth="1"/>
    <col min="154" max="154" width="18.453125" customWidth="1"/>
    <col min="155" max="155" width="12.26953125" bestFit="1" customWidth="1"/>
    <col min="156" max="156" width="14.54296875" bestFit="1" customWidth="1"/>
    <col min="157" max="157" width="29.54296875" bestFit="1" customWidth="1"/>
    <col min="158" max="158" width="26.1796875" bestFit="1" customWidth="1"/>
    <col min="159" max="159" width="26.81640625" bestFit="1" customWidth="1"/>
    <col min="160" max="160" width="17.81640625" bestFit="1" customWidth="1"/>
    <col min="161" max="161" width="19.1796875" bestFit="1" customWidth="1"/>
    <col min="162" max="162" width="20.453125" bestFit="1" customWidth="1"/>
    <col min="163" max="163" width="39.1796875" bestFit="1" customWidth="1"/>
    <col min="164" max="164" width="40.81640625" bestFit="1" customWidth="1"/>
    <col min="175" max="175" width="26.81640625" customWidth="1"/>
    <col min="176" max="176" width="33.81640625" bestFit="1" customWidth="1"/>
    <col min="177" max="178" width="12.81640625" bestFit="1" customWidth="1"/>
    <col min="182" max="182" width="20.54296875" customWidth="1"/>
    <col min="183" max="183" width="27" customWidth="1"/>
    <col min="186" max="186" width="20.54296875" customWidth="1"/>
    <col min="187" max="187" width="24.7265625" customWidth="1"/>
    <col min="193" max="193" width="26.7265625" customWidth="1"/>
  </cols>
  <sheetData>
    <row r="1" spans="1:194" ht="15" thickBot="1">
      <c r="A1" s="247" t="s">
        <v>614</v>
      </c>
      <c r="G1" s="247" t="s">
        <v>617</v>
      </c>
      <c r="R1" s="247" t="s">
        <v>635</v>
      </c>
      <c r="AE1" s="253" t="s">
        <v>131</v>
      </c>
      <c r="AX1" s="247" t="s">
        <v>262</v>
      </c>
      <c r="BO1" s="247" t="s">
        <v>1309</v>
      </c>
      <c r="DJ1" s="134" t="s">
        <v>3069</v>
      </c>
      <c r="DK1" s="134" t="s">
        <v>3070</v>
      </c>
      <c r="EW1" s="134" t="s">
        <v>3144</v>
      </c>
      <c r="EX1" s="134" t="s">
        <v>3145</v>
      </c>
      <c r="FS1" s="863" t="s">
        <v>4822</v>
      </c>
      <c r="FT1" s="273"/>
      <c r="FU1" s="273"/>
      <c r="FV1" s="273"/>
      <c r="FW1" s="273"/>
      <c r="FX1" s="273"/>
      <c r="FY1" s="273"/>
      <c r="FZ1" s="273"/>
      <c r="GA1" s="273"/>
      <c r="GB1" s="273"/>
      <c r="GC1" s="273"/>
      <c r="GD1" s="273"/>
      <c r="GE1" s="273"/>
      <c r="GF1" s="273"/>
      <c r="GG1" s="273"/>
      <c r="GH1" s="273"/>
      <c r="GI1" s="273"/>
      <c r="GJ1" s="273"/>
    </row>
    <row r="2" spans="1:194" ht="15" thickBot="1">
      <c r="N2" s="2869" t="s">
        <v>1863</v>
      </c>
      <c r="O2" s="2869"/>
      <c r="AE2" s="140"/>
      <c r="AF2" s="61" t="s">
        <v>193</v>
      </c>
      <c r="AG2" s="61" t="s">
        <v>636</v>
      </c>
      <c r="AH2" s="61" t="s">
        <v>38</v>
      </c>
      <c r="AI2" s="61" t="s">
        <v>39</v>
      </c>
      <c r="AJ2" s="103" t="s">
        <v>1949</v>
      </c>
      <c r="AK2" s="103" t="s">
        <v>1950</v>
      </c>
      <c r="AL2" s="103" t="s">
        <v>1948</v>
      </c>
      <c r="AM2" s="61" t="s">
        <v>194</v>
      </c>
      <c r="AN2" s="61" t="s">
        <v>199</v>
      </c>
      <c r="AO2" s="61" t="s">
        <v>200</v>
      </c>
      <c r="AP2" s="61" t="s">
        <v>1869</v>
      </c>
      <c r="AQ2" s="61" t="s">
        <v>195</v>
      </c>
      <c r="AR2" s="61" t="s">
        <v>196</v>
      </c>
      <c r="AS2" s="61" t="s">
        <v>201</v>
      </c>
      <c r="AT2" s="61" t="s">
        <v>202</v>
      </c>
      <c r="BD2" s="497" t="s">
        <v>1750</v>
      </c>
      <c r="BM2" s="134"/>
      <c r="BQ2" s="253" t="s">
        <v>61</v>
      </c>
      <c r="BR2" s="253"/>
      <c r="BT2" s="30"/>
      <c r="CB2" s="2888" t="s">
        <v>131</v>
      </c>
      <c r="CC2" s="2888"/>
      <c r="CD2" s="2888"/>
      <c r="CG2" s="2648" t="s">
        <v>503</v>
      </c>
      <c r="CH2" s="2648"/>
      <c r="CI2" s="2648" t="s">
        <v>504</v>
      </c>
      <c r="CJ2" s="2648"/>
      <c r="CL2" s="61" t="s">
        <v>193</v>
      </c>
      <c r="CM2" s="61"/>
      <c r="CN2" s="61" t="s">
        <v>194</v>
      </c>
      <c r="CO2" s="61" t="s">
        <v>199</v>
      </c>
      <c r="CP2" s="61" t="s">
        <v>200</v>
      </c>
      <c r="CQ2" s="61" t="s">
        <v>195</v>
      </c>
      <c r="CR2" s="61" t="s">
        <v>196</v>
      </c>
      <c r="CS2" s="61" t="s">
        <v>201</v>
      </c>
      <c r="CT2" s="61" t="s">
        <v>202</v>
      </c>
      <c r="CW2" s="2888" t="s">
        <v>59</v>
      </c>
      <c r="CX2" s="2888"/>
      <c r="CY2" s="2888"/>
      <c r="CZ2" s="2888"/>
      <c r="DA2" s="2888"/>
      <c r="DB2" s="2888"/>
      <c r="DC2" s="2888"/>
      <c r="DD2" s="2888"/>
      <c r="DE2" s="2888"/>
      <c r="DK2" s="134"/>
      <c r="FS2" s="2870" t="s">
        <v>4823</v>
      </c>
      <c r="FT2" s="2871"/>
      <c r="FU2" s="2871"/>
      <c r="FV2" s="2872"/>
      <c r="FW2" s="273"/>
      <c r="FX2" s="273"/>
      <c r="FY2" s="273"/>
      <c r="FZ2" s="2867" t="s">
        <v>4824</v>
      </c>
      <c r="GA2" s="2868"/>
      <c r="GB2" s="273"/>
      <c r="GC2" s="273"/>
      <c r="GD2" s="2867" t="s">
        <v>4825</v>
      </c>
      <c r="GE2" s="2868"/>
      <c r="GF2" s="273"/>
      <c r="GG2" s="2869" t="s">
        <v>216</v>
      </c>
      <c r="GH2" s="2869"/>
      <c r="GI2" s="273"/>
      <c r="GJ2" s="273"/>
    </row>
    <row r="3" spans="1:194">
      <c r="A3" s="103" t="s">
        <v>287</v>
      </c>
      <c r="B3" s="103" t="s">
        <v>286</v>
      </c>
      <c r="D3" s="114" t="s">
        <v>611</v>
      </c>
      <c r="E3" s="114"/>
      <c r="G3" s="114" t="s">
        <v>171</v>
      </c>
      <c r="H3" s="114" t="s">
        <v>567</v>
      </c>
      <c r="I3" s="114" t="s">
        <v>644</v>
      </c>
      <c r="J3" s="114" t="s">
        <v>292</v>
      </c>
      <c r="K3" s="114" t="s">
        <v>734</v>
      </c>
      <c r="L3" s="114" t="s">
        <v>645</v>
      </c>
      <c r="N3" s="508" t="s">
        <v>1413</v>
      </c>
      <c r="O3" s="652">
        <v>0</v>
      </c>
      <c r="AE3" s="368" t="s">
        <v>1010</v>
      </c>
      <c r="AF3" s="387" t="s">
        <v>976</v>
      </c>
      <c r="AG3" s="369" t="s">
        <v>172</v>
      </c>
      <c r="AH3" s="369" t="s">
        <v>43</v>
      </c>
      <c r="AI3" s="369" t="s">
        <v>920</v>
      </c>
      <c r="AJ3" s="312">
        <v>1000</v>
      </c>
      <c r="AK3" s="312">
        <v>3000</v>
      </c>
      <c r="AL3" s="311">
        <v>500</v>
      </c>
      <c r="AM3" s="302">
        <v>0.69</v>
      </c>
      <c r="AN3" s="302">
        <v>1</v>
      </c>
      <c r="AO3" s="302">
        <v>1</v>
      </c>
      <c r="AP3" s="302">
        <v>1</v>
      </c>
      <c r="AQ3" s="302">
        <v>0.1</v>
      </c>
      <c r="AR3" s="302">
        <v>0</v>
      </c>
      <c r="AS3" s="302">
        <v>7.1900000000000006E-2</v>
      </c>
      <c r="AT3" s="302">
        <v>5.67E-2</v>
      </c>
      <c r="BD3" s="496" t="s">
        <v>1248</v>
      </c>
      <c r="BH3" t="s">
        <v>1821</v>
      </c>
      <c r="BO3" t="s">
        <v>19</v>
      </c>
      <c r="BQ3" t="s">
        <v>16</v>
      </c>
      <c r="BW3" t="s">
        <v>4140</v>
      </c>
      <c r="BY3" t="s">
        <v>41</v>
      </c>
      <c r="CB3" t="s">
        <v>4274</v>
      </c>
      <c r="CC3" s="1197">
        <v>1000</v>
      </c>
      <c r="CD3">
        <v>200</v>
      </c>
      <c r="CG3" s="253" t="s">
        <v>4140</v>
      </c>
      <c r="CH3" s="253" t="s">
        <v>4139</v>
      </c>
      <c r="CI3" s="253" t="s">
        <v>4140</v>
      </c>
      <c r="CJ3" s="253" t="s">
        <v>4139</v>
      </c>
      <c r="CL3" t="s">
        <v>4273</v>
      </c>
      <c r="CM3" s="2" t="s">
        <v>4274</v>
      </c>
      <c r="CN3" s="2">
        <v>0.69</v>
      </c>
      <c r="CO3" s="2">
        <v>1</v>
      </c>
      <c r="CP3" s="2">
        <v>1</v>
      </c>
      <c r="CQ3" s="2">
        <v>0</v>
      </c>
      <c r="CR3" s="2">
        <v>0</v>
      </c>
      <c r="CS3" s="2">
        <v>7.1900000000000006E-2</v>
      </c>
      <c r="CT3" s="293">
        <v>5.67E-2</v>
      </c>
      <c r="CX3" s="2885" t="s">
        <v>33</v>
      </c>
      <c r="CY3" s="2886"/>
      <c r="CZ3" s="2886"/>
      <c r="DA3" s="2887"/>
      <c r="DB3" s="2885" t="s">
        <v>34</v>
      </c>
      <c r="DC3" s="2886"/>
      <c r="DD3" s="2886"/>
      <c r="DE3" s="2887"/>
      <c r="DJ3" s="860" t="s">
        <v>2982</v>
      </c>
      <c r="DK3" s="860" t="s">
        <v>2984</v>
      </c>
      <c r="DL3" s="860" t="s">
        <v>2986</v>
      </c>
      <c r="DM3" s="860" t="s">
        <v>2988</v>
      </c>
      <c r="DN3" s="860" t="s">
        <v>2990</v>
      </c>
      <c r="DO3" s="860" t="s">
        <v>2992</v>
      </c>
      <c r="DP3" s="860" t="s">
        <v>2994</v>
      </c>
      <c r="DQ3" s="860" t="s">
        <v>2996</v>
      </c>
      <c r="DR3" s="860" t="s">
        <v>2998</v>
      </c>
      <c r="DS3" s="860" t="s">
        <v>3000</v>
      </c>
      <c r="EW3" s="876" t="s">
        <v>3146</v>
      </c>
      <c r="EX3" s="876" t="s">
        <v>718</v>
      </c>
      <c r="EZ3" s="876" t="s">
        <v>686</v>
      </c>
      <c r="FA3" s="876" t="s">
        <v>3147</v>
      </c>
      <c r="FB3" s="876" t="s">
        <v>3148</v>
      </c>
      <c r="FC3" s="876" t="s">
        <v>3149</v>
      </c>
      <c r="FD3" s="876" t="s">
        <v>3150</v>
      </c>
      <c r="FE3" s="876" t="s">
        <v>3151</v>
      </c>
      <c r="FF3" s="876" t="s">
        <v>3152</v>
      </c>
      <c r="FG3" s="876" t="s">
        <v>3153</v>
      </c>
      <c r="FH3" s="876" t="s">
        <v>3154</v>
      </c>
      <c r="FS3" s="2873" t="s">
        <v>4759</v>
      </c>
      <c r="FT3" s="2873" t="s">
        <v>287</v>
      </c>
      <c r="FU3" s="2873" t="s">
        <v>4760</v>
      </c>
      <c r="FV3" s="2873" t="s">
        <v>4761</v>
      </c>
      <c r="FW3" s="273"/>
      <c r="FX3" s="273"/>
      <c r="FY3" s="273"/>
      <c r="FZ3" s="1495" t="s">
        <v>4815</v>
      </c>
      <c r="GA3" s="1496">
        <v>0.85</v>
      </c>
      <c r="GB3" s="273"/>
      <c r="GC3" s="273"/>
      <c r="GD3" s="1495" t="s">
        <v>4826</v>
      </c>
      <c r="GE3" s="1496">
        <v>0.9</v>
      </c>
      <c r="GF3" s="273"/>
      <c r="GG3" s="174" t="s">
        <v>4827</v>
      </c>
      <c r="GH3" s="174">
        <v>0.25</v>
      </c>
      <c r="GI3" s="273"/>
      <c r="GJ3" s="273"/>
    </row>
    <row r="4" spans="1:194" ht="15" thickBot="1">
      <c r="A4" s="2" t="s">
        <v>265</v>
      </c>
      <c r="B4" s="2">
        <v>7</v>
      </c>
      <c r="D4" s="250">
        <v>2204.6</v>
      </c>
      <c r="E4" s="251" t="s">
        <v>612</v>
      </c>
      <c r="G4" s="174" t="b">
        <v>0</v>
      </c>
      <c r="H4" s="174" t="b">
        <v>0</v>
      </c>
      <c r="I4" s="174" t="b">
        <v>0</v>
      </c>
      <c r="J4" s="174" t="b">
        <v>0</v>
      </c>
      <c r="K4" s="174" t="b">
        <v>1</v>
      </c>
      <c r="L4" s="174" t="str">
        <f>IF($G$4=TRUE,"ASHP",IF($H$4=TRUE,"Electric Resistance",IF($I$4=TRUE,"Furnace",IF(K4=TRUE,"Boiler","Other"))))</f>
        <v>Boiler</v>
      </c>
      <c r="N4" s="302" t="s">
        <v>281</v>
      </c>
      <c r="O4" s="652">
        <v>1</v>
      </c>
      <c r="S4" s="253" t="s">
        <v>738</v>
      </c>
      <c r="AE4" s="368" t="s">
        <v>1011</v>
      </c>
      <c r="AF4" s="387" t="s">
        <v>978</v>
      </c>
      <c r="AG4" s="369" t="s">
        <v>46</v>
      </c>
      <c r="AH4" s="369" t="s">
        <v>43</v>
      </c>
      <c r="AI4" s="369" t="s">
        <v>921</v>
      </c>
      <c r="AJ4" s="312">
        <v>1000</v>
      </c>
      <c r="AK4" s="312">
        <v>3000</v>
      </c>
      <c r="AL4" s="311">
        <v>500</v>
      </c>
      <c r="AM4" s="302">
        <v>0.69</v>
      </c>
      <c r="AN4" s="302">
        <v>1</v>
      </c>
      <c r="AO4" s="302">
        <v>1</v>
      </c>
      <c r="AP4" s="302">
        <v>1</v>
      </c>
      <c r="AQ4" s="302">
        <v>0.1</v>
      </c>
      <c r="AR4" s="302">
        <v>0</v>
      </c>
      <c r="AS4" s="302">
        <v>7.1900000000000006E-2</v>
      </c>
      <c r="AT4" s="302">
        <v>5.67E-2</v>
      </c>
      <c r="AX4" s="497" t="s">
        <v>61</v>
      </c>
      <c r="AY4" s="497" t="s">
        <v>16</v>
      </c>
      <c r="AZ4" s="497" t="s">
        <v>17</v>
      </c>
      <c r="BD4" t="s">
        <v>1624</v>
      </c>
      <c r="BH4" s="503" t="s">
        <v>1553</v>
      </c>
      <c r="BI4" s="641" t="s">
        <v>1846</v>
      </c>
      <c r="BJ4" s="623" t="s">
        <v>1847</v>
      </c>
      <c r="BO4" t="s">
        <v>18</v>
      </c>
      <c r="BQ4" t="s">
        <v>17</v>
      </c>
      <c r="BW4" t="s">
        <v>4139</v>
      </c>
      <c r="BY4" t="s">
        <v>42</v>
      </c>
      <c r="CB4" t="s">
        <v>4272</v>
      </c>
      <c r="CC4" s="1197">
        <v>2000</v>
      </c>
      <c r="CD4">
        <v>200</v>
      </c>
      <c r="CG4" s="104"/>
      <c r="CH4" s="104"/>
      <c r="CI4" s="104"/>
      <c r="CJ4" s="104"/>
      <c r="CL4" t="s">
        <v>4271</v>
      </c>
      <c r="CM4" s="2" t="s">
        <v>4272</v>
      </c>
      <c r="CN4" s="2">
        <v>0.69</v>
      </c>
      <c r="CO4" s="2">
        <v>1</v>
      </c>
      <c r="CP4" s="2">
        <v>1</v>
      </c>
      <c r="CQ4" s="2">
        <v>0</v>
      </c>
      <c r="CR4" s="2">
        <v>0</v>
      </c>
      <c r="CS4" s="2">
        <v>7.1900000000000006E-2</v>
      </c>
      <c r="CT4" s="293">
        <v>5.67E-2</v>
      </c>
      <c r="CX4" s="1204" t="s">
        <v>12</v>
      </c>
      <c r="CY4" t="s">
        <v>13</v>
      </c>
      <c r="CZ4" t="s">
        <v>14</v>
      </c>
      <c r="DA4" s="1203" t="s">
        <v>2202</v>
      </c>
      <c r="DB4" s="1204" t="s">
        <v>12</v>
      </c>
      <c r="DC4" t="s">
        <v>13</v>
      </c>
      <c r="DD4" t="s">
        <v>14</v>
      </c>
      <c r="DE4" s="1203" t="s">
        <v>2202</v>
      </c>
      <c r="DJ4" s="2"/>
      <c r="DK4" s="2"/>
      <c r="DL4" s="2"/>
      <c r="DM4" s="2"/>
      <c r="DN4" s="2"/>
      <c r="DO4" s="2"/>
      <c r="DP4" s="2"/>
      <c r="DQ4" s="2"/>
      <c r="DR4" s="2"/>
      <c r="DS4" s="2"/>
      <c r="EW4" s="174" t="s">
        <v>283</v>
      </c>
      <c r="EX4" s="877">
        <v>1</v>
      </c>
      <c r="EZ4" s="2" t="s">
        <v>3155</v>
      </c>
      <c r="FA4" s="2">
        <v>55</v>
      </c>
      <c r="FB4" s="2">
        <v>74</v>
      </c>
      <c r="FC4" s="2">
        <v>76</v>
      </c>
      <c r="FD4" s="2">
        <v>78</v>
      </c>
      <c r="FE4" s="2">
        <v>8736</v>
      </c>
      <c r="FF4" s="2">
        <v>2184</v>
      </c>
      <c r="FG4" s="2">
        <v>0.9718</v>
      </c>
      <c r="FH4" s="2">
        <v>0.45300000000000001</v>
      </c>
      <c r="FS4" s="2874"/>
      <c r="FT4" s="2874"/>
      <c r="FU4" s="2874"/>
      <c r="FV4" s="2874"/>
      <c r="FW4" s="273"/>
      <c r="FX4" s="273"/>
      <c r="FY4" s="273"/>
      <c r="FZ4" s="1497" t="s">
        <v>4814</v>
      </c>
      <c r="GA4" s="1498">
        <v>1</v>
      </c>
      <c r="GB4" s="273"/>
      <c r="GC4" s="273"/>
      <c r="GD4" s="1497"/>
      <c r="GE4" s="1498"/>
      <c r="GF4" s="273"/>
      <c r="GG4" s="273"/>
      <c r="GH4" s="273"/>
      <c r="GI4" s="273"/>
      <c r="GJ4" s="273"/>
    </row>
    <row r="5" spans="1:194" ht="29.5" thickBot="1">
      <c r="A5" s="2" t="s">
        <v>77</v>
      </c>
      <c r="B5" s="2">
        <v>5</v>
      </c>
      <c r="D5" s="250">
        <v>1E-3</v>
      </c>
      <c r="E5" s="251" t="s">
        <v>613</v>
      </c>
      <c r="G5" s="273"/>
      <c r="H5" s="273"/>
      <c r="I5" s="273"/>
      <c r="K5" s="273"/>
      <c r="L5" s="273"/>
      <c r="N5" s="2" t="s">
        <v>3871</v>
      </c>
      <c r="O5" s="297">
        <v>0.96</v>
      </c>
      <c r="S5" s="261" t="s">
        <v>60</v>
      </c>
      <c r="T5" s="1065" t="s">
        <v>59</v>
      </c>
      <c r="U5" s="1066"/>
      <c r="V5" s="1067"/>
      <c r="W5" s="1065"/>
      <c r="X5" s="1067"/>
      <c r="Y5" s="1065"/>
      <c r="Z5" s="1067"/>
      <c r="AA5" s="2589" t="s">
        <v>498</v>
      </c>
      <c r="AB5" s="2591"/>
      <c r="AE5" s="1075" t="s">
        <v>3851</v>
      </c>
      <c r="AF5" s="1076" t="s">
        <v>978</v>
      </c>
      <c r="AG5" s="1076" t="s">
        <v>46</v>
      </c>
      <c r="AH5" s="1076" t="s">
        <v>43</v>
      </c>
      <c r="AI5" s="1076" t="s">
        <v>921</v>
      </c>
      <c r="AJ5" s="1077">
        <v>1000</v>
      </c>
      <c r="AK5" s="1077">
        <v>3000</v>
      </c>
      <c r="AL5" s="1078">
        <v>500</v>
      </c>
      <c r="AM5" s="1075">
        <v>0.69</v>
      </c>
      <c r="AN5" s="1075">
        <v>1</v>
      </c>
      <c r="AO5" s="1075">
        <v>1</v>
      </c>
      <c r="AP5" s="1075">
        <v>1</v>
      </c>
      <c r="AQ5" s="1075">
        <v>0.1</v>
      </c>
      <c r="AR5" s="1075">
        <v>0</v>
      </c>
      <c r="AS5" s="302">
        <v>7.1900000000000006E-2</v>
      </c>
      <c r="AT5" s="302">
        <v>5.67E-2</v>
      </c>
      <c r="AX5" t="s">
        <v>1345</v>
      </c>
      <c r="AY5" s="496" t="s">
        <v>1248</v>
      </c>
      <c r="AZ5" s="273"/>
      <c r="BB5" s="114" t="s">
        <v>1292</v>
      </c>
      <c r="BD5" t="s">
        <v>1625</v>
      </c>
      <c r="BF5" t="s">
        <v>1345</v>
      </c>
      <c r="BH5" s="116" t="s">
        <v>1239</v>
      </c>
      <c r="BI5" s="642">
        <v>250</v>
      </c>
      <c r="BJ5" s="624">
        <v>500</v>
      </c>
      <c r="BO5" t="s">
        <v>4189</v>
      </c>
      <c r="CB5" t="s">
        <v>4270</v>
      </c>
      <c r="CC5" s="1197">
        <v>1000</v>
      </c>
      <c r="CD5">
        <v>200</v>
      </c>
      <c r="CG5" s="105" t="s">
        <v>1404</v>
      </c>
      <c r="CH5" s="105" t="s">
        <v>1309</v>
      </c>
      <c r="CI5" s="105" t="s">
        <v>739</v>
      </c>
      <c r="CJ5" s="105" t="s">
        <v>1309</v>
      </c>
      <c r="CL5" t="s">
        <v>4269</v>
      </c>
      <c r="CM5" s="2" t="s">
        <v>4270</v>
      </c>
      <c r="CN5" s="2">
        <v>0.69</v>
      </c>
      <c r="CO5" s="2">
        <v>1</v>
      </c>
      <c r="CP5" s="2">
        <v>1</v>
      </c>
      <c r="CQ5" s="2">
        <v>0</v>
      </c>
      <c r="CR5" s="2">
        <v>0</v>
      </c>
      <c r="CS5" s="2">
        <v>7.1900000000000006E-2</v>
      </c>
      <c r="CT5" s="293">
        <v>5.67E-2</v>
      </c>
      <c r="CW5" t="s">
        <v>18</v>
      </c>
      <c r="CX5" s="1204">
        <v>15</v>
      </c>
      <c r="CZ5">
        <v>8.5</v>
      </c>
      <c r="DA5" s="1203"/>
      <c r="DB5" s="1204">
        <v>16</v>
      </c>
      <c r="DD5">
        <v>8.5</v>
      </c>
      <c r="DE5" s="1203"/>
      <c r="DJ5" s="2" t="s">
        <v>2129</v>
      </c>
      <c r="DK5" s="2" t="s">
        <v>2129</v>
      </c>
      <c r="DL5" s="2" t="s">
        <v>2129</v>
      </c>
      <c r="DM5" s="2" t="s">
        <v>2129</v>
      </c>
      <c r="DN5" s="2" t="s">
        <v>2129</v>
      </c>
      <c r="DO5" s="2" t="s">
        <v>2129</v>
      </c>
      <c r="DP5" s="2" t="s">
        <v>2129</v>
      </c>
      <c r="DQ5" s="2" t="s">
        <v>2129</v>
      </c>
      <c r="DR5" s="2" t="s">
        <v>2129</v>
      </c>
      <c r="DS5" s="2" t="s">
        <v>2129</v>
      </c>
      <c r="EW5" s="174" t="s">
        <v>1413</v>
      </c>
      <c r="EX5" s="877">
        <v>0.86</v>
      </c>
      <c r="EZ5" s="2" t="s">
        <v>3156</v>
      </c>
      <c r="FA5" s="2">
        <v>55</v>
      </c>
      <c r="FB5" s="2">
        <v>60</v>
      </c>
      <c r="FC5" s="2">
        <v>70</v>
      </c>
      <c r="FD5" s="2">
        <v>78</v>
      </c>
      <c r="FE5" s="2">
        <v>2856</v>
      </c>
      <c r="FF5" s="2">
        <v>1428</v>
      </c>
      <c r="FG5" s="2">
        <v>0.9718</v>
      </c>
      <c r="FH5" s="2">
        <v>0.37269999999999998</v>
      </c>
      <c r="FS5" s="1479" t="s">
        <v>4828</v>
      </c>
      <c r="FT5" s="1480" t="s">
        <v>4763</v>
      </c>
      <c r="FU5" s="1481" t="s">
        <v>3074</v>
      </c>
      <c r="FV5" s="1479" t="s">
        <v>4764</v>
      </c>
      <c r="FW5" s="273"/>
      <c r="FX5" s="273"/>
      <c r="FY5" s="273"/>
      <c r="FZ5" s="273"/>
      <c r="GA5" s="273"/>
      <c r="GB5" s="273"/>
      <c r="GC5" s="273"/>
      <c r="GD5" s="273"/>
      <c r="GE5" s="273"/>
      <c r="GF5" s="273"/>
      <c r="GG5" s="273"/>
      <c r="GH5" s="273"/>
      <c r="GI5" s="273"/>
      <c r="GJ5" s="273"/>
    </row>
    <row r="6" spans="1:194" ht="29">
      <c r="N6" s="2" t="s">
        <v>283</v>
      </c>
      <c r="O6" s="297">
        <v>0.04</v>
      </c>
      <c r="S6" s="261"/>
      <c r="T6" s="1065" t="s">
        <v>12</v>
      </c>
      <c r="U6" s="1066"/>
      <c r="V6" s="1067"/>
      <c r="W6" s="1065" t="s">
        <v>244</v>
      </c>
      <c r="X6" s="1067"/>
      <c r="Y6" s="1065" t="s">
        <v>13</v>
      </c>
      <c r="Z6" s="1067"/>
      <c r="AA6" s="149" t="s">
        <v>496</v>
      </c>
      <c r="AB6" s="149" t="s">
        <v>494</v>
      </c>
      <c r="AE6" s="368" t="s">
        <v>998</v>
      </c>
      <c r="AF6" s="369" t="s">
        <v>999</v>
      </c>
      <c r="AG6" s="369" t="s">
        <v>172</v>
      </c>
      <c r="AH6" s="369" t="s">
        <v>43</v>
      </c>
      <c r="AI6" s="369" t="s">
        <v>1000</v>
      </c>
      <c r="AJ6" s="370">
        <v>1000</v>
      </c>
      <c r="AK6" s="370">
        <v>3000</v>
      </c>
      <c r="AL6" s="390">
        <v>500</v>
      </c>
      <c r="AM6" s="302">
        <v>0.69</v>
      </c>
      <c r="AN6" s="302">
        <v>1</v>
      </c>
      <c r="AO6" s="302">
        <v>1</v>
      </c>
      <c r="AP6" s="302">
        <v>1</v>
      </c>
      <c r="AQ6" s="302">
        <v>0.1</v>
      </c>
      <c r="AR6" s="302">
        <v>0</v>
      </c>
      <c r="AS6" s="302">
        <v>7.1900000000000006E-2</v>
      </c>
      <c r="AT6" s="302">
        <v>5.67E-2</v>
      </c>
      <c r="AX6" s="273" t="s">
        <v>16</v>
      </c>
      <c r="AY6" t="s">
        <v>1624</v>
      </c>
      <c r="AZ6" s="273"/>
      <c r="BB6" s="104" t="s">
        <v>1291</v>
      </c>
      <c r="BD6" t="s">
        <v>1763</v>
      </c>
      <c r="BF6">
        <v>1</v>
      </c>
      <c r="BH6" s="99" t="s">
        <v>1237</v>
      </c>
      <c r="BI6" s="643">
        <v>250</v>
      </c>
      <c r="BJ6" s="625">
        <v>500</v>
      </c>
      <c r="BO6" t="s">
        <v>1309</v>
      </c>
      <c r="CB6" t="s">
        <v>4268</v>
      </c>
      <c r="CC6" s="1197">
        <v>2000</v>
      </c>
      <c r="CD6">
        <v>200</v>
      </c>
      <c r="CG6" s="105" t="s">
        <v>4189</v>
      </c>
      <c r="CH6" s="105"/>
      <c r="CI6" s="105" t="s">
        <v>677</v>
      </c>
      <c r="CJ6" s="105"/>
      <c r="CL6" t="s">
        <v>4267</v>
      </c>
      <c r="CM6" s="2" t="s">
        <v>4268</v>
      </c>
      <c r="CN6" s="2">
        <v>0.69</v>
      </c>
      <c r="CO6" s="2">
        <v>1</v>
      </c>
      <c r="CP6" s="2">
        <v>1</v>
      </c>
      <c r="CQ6" s="2">
        <v>0</v>
      </c>
      <c r="CR6" s="2">
        <v>0</v>
      </c>
      <c r="CS6" s="2">
        <v>7.1900000000000006E-2</v>
      </c>
      <c r="CT6" s="293">
        <v>5.67E-2</v>
      </c>
      <c r="CW6" t="s">
        <v>19</v>
      </c>
      <c r="CX6" s="1204">
        <v>16</v>
      </c>
      <c r="DA6" s="1203"/>
      <c r="DB6" s="1204">
        <v>17</v>
      </c>
      <c r="DE6" s="1203"/>
      <c r="DJ6" s="2" t="s">
        <v>3005</v>
      </c>
      <c r="DK6" s="2" t="s">
        <v>3005</v>
      </c>
      <c r="DL6" s="2" t="s">
        <v>3009</v>
      </c>
      <c r="DM6" s="2" t="s">
        <v>3005</v>
      </c>
      <c r="DN6" s="2" t="s">
        <v>3005</v>
      </c>
      <c r="DO6" s="2" t="s">
        <v>3009</v>
      </c>
      <c r="DP6" s="2" t="s">
        <v>3009</v>
      </c>
      <c r="DQ6" s="2" t="s">
        <v>3009</v>
      </c>
      <c r="DR6" s="2" t="s">
        <v>3005</v>
      </c>
      <c r="DS6" s="2" t="s">
        <v>3009</v>
      </c>
      <c r="EW6" s="174" t="s">
        <v>281</v>
      </c>
      <c r="EX6" s="877">
        <v>0.86</v>
      </c>
      <c r="FS6" s="1479" t="s">
        <v>4829</v>
      </c>
      <c r="FT6" s="1482">
        <v>0.746</v>
      </c>
      <c r="FU6" s="1481" t="s">
        <v>3139</v>
      </c>
      <c r="FV6" s="1479" t="s">
        <v>4764</v>
      </c>
      <c r="FW6" s="273"/>
      <c r="FX6" s="273"/>
      <c r="FY6" s="273"/>
      <c r="FZ6" s="2867" t="s">
        <v>4830</v>
      </c>
      <c r="GA6" s="2868"/>
      <c r="GB6" s="273"/>
      <c r="GC6" s="273"/>
      <c r="GD6" s="2867" t="s">
        <v>4774</v>
      </c>
      <c r="GE6" s="2868"/>
      <c r="GF6" s="273"/>
      <c r="GG6" s="2869" t="s">
        <v>4753</v>
      </c>
      <c r="GH6" s="2869"/>
      <c r="GI6" s="273"/>
      <c r="GJ6" s="273"/>
      <c r="GK6" s="1512" t="s">
        <v>4920</v>
      </c>
      <c r="GL6" s="1513"/>
    </row>
    <row r="7" spans="1:194" ht="31">
      <c r="A7" s="248" t="s">
        <v>61</v>
      </c>
      <c r="B7" s="1398"/>
      <c r="C7" s="515" t="s">
        <v>1425</v>
      </c>
      <c r="E7" s="114" t="s">
        <v>863</v>
      </c>
      <c r="O7" t="s">
        <v>3872</v>
      </c>
      <c r="S7" s="261"/>
      <c r="T7" s="114" t="s">
        <v>33</v>
      </c>
      <c r="U7" s="114" t="s">
        <v>34</v>
      </c>
      <c r="V7" s="114" t="s">
        <v>275</v>
      </c>
      <c r="W7" s="114" t="s">
        <v>33</v>
      </c>
      <c r="X7" s="114" t="s">
        <v>34</v>
      </c>
      <c r="Y7" s="114" t="s">
        <v>33</v>
      </c>
      <c r="Z7" s="114" t="s">
        <v>34</v>
      </c>
      <c r="AA7" s="898" t="s">
        <v>497</v>
      </c>
      <c r="AB7" s="898" t="s">
        <v>495</v>
      </c>
      <c r="AC7" s="1642" t="s">
        <v>5302</v>
      </c>
      <c r="AE7" s="368" t="s">
        <v>1001</v>
      </c>
      <c r="AF7" s="369" t="s">
        <v>1002</v>
      </c>
      <c r="AG7" s="369" t="s">
        <v>46</v>
      </c>
      <c r="AH7" s="369" t="s">
        <v>43</v>
      </c>
      <c r="AI7" s="369" t="s">
        <v>1003</v>
      </c>
      <c r="AJ7" s="370">
        <v>1000</v>
      </c>
      <c r="AK7" s="370">
        <v>3000</v>
      </c>
      <c r="AL7" s="390">
        <v>500</v>
      </c>
      <c r="AM7" s="302">
        <v>0.69</v>
      </c>
      <c r="AN7" s="302">
        <v>1</v>
      </c>
      <c r="AO7" s="302">
        <v>1</v>
      </c>
      <c r="AP7" s="302">
        <v>1</v>
      </c>
      <c r="AQ7" s="302">
        <v>0.1</v>
      </c>
      <c r="AR7" s="302">
        <v>0</v>
      </c>
      <c r="AS7" s="302">
        <v>7.1900000000000006E-2</v>
      </c>
      <c r="AT7" s="302">
        <v>5.67E-2</v>
      </c>
      <c r="AX7" s="273" t="s">
        <v>17</v>
      </c>
      <c r="AY7" t="s">
        <v>1625</v>
      </c>
      <c r="BB7" s="105" t="s">
        <v>1290</v>
      </c>
      <c r="BD7" t="s">
        <v>1751</v>
      </c>
      <c r="BF7">
        <f>BF6+1</f>
        <v>2</v>
      </c>
      <c r="BH7" s="101" t="s">
        <v>1231</v>
      </c>
      <c r="BI7" s="644">
        <v>500</v>
      </c>
      <c r="BJ7" s="626">
        <v>3000</v>
      </c>
      <c r="BW7" t="s">
        <v>2211</v>
      </c>
      <c r="CB7" t="s">
        <v>4266</v>
      </c>
      <c r="CC7" s="1197">
        <v>1000</v>
      </c>
      <c r="CD7">
        <v>200</v>
      </c>
      <c r="CG7" s="105" t="s">
        <v>72</v>
      </c>
      <c r="CH7" s="105"/>
      <c r="CI7" s="105" t="s">
        <v>678</v>
      </c>
      <c r="CJ7" s="105"/>
      <c r="CL7" t="s">
        <v>4265</v>
      </c>
      <c r="CM7" s="2" t="s">
        <v>4266</v>
      </c>
      <c r="CN7" s="2">
        <v>0.69</v>
      </c>
      <c r="CO7" s="2">
        <v>1</v>
      </c>
      <c r="CP7" s="2">
        <v>1</v>
      </c>
      <c r="CQ7" s="2">
        <v>0</v>
      </c>
      <c r="CR7" s="2">
        <v>0</v>
      </c>
      <c r="CS7" s="2">
        <v>7.1900000000000006E-2</v>
      </c>
      <c r="CT7" s="293">
        <v>5.67E-2</v>
      </c>
      <c r="CW7" t="s">
        <v>4189</v>
      </c>
      <c r="CX7" s="1204">
        <v>18</v>
      </c>
      <c r="DA7" s="1203"/>
      <c r="DB7" s="1204"/>
      <c r="DE7" s="1203"/>
      <c r="DJ7" s="2" t="s">
        <v>3007</v>
      </c>
      <c r="DK7" s="2" t="s">
        <v>3007</v>
      </c>
      <c r="DL7" s="2"/>
      <c r="DM7" s="2" t="s">
        <v>3007</v>
      </c>
      <c r="DN7" s="2" t="s">
        <v>3007</v>
      </c>
      <c r="DO7" s="2"/>
      <c r="DP7" s="2"/>
      <c r="DQ7" s="2"/>
      <c r="DR7" s="2" t="s">
        <v>3007</v>
      </c>
      <c r="DS7" s="2"/>
      <c r="EW7" s="174" t="s">
        <v>282</v>
      </c>
      <c r="EX7" s="877">
        <v>0.86</v>
      </c>
      <c r="FS7" s="1479" t="s">
        <v>4831</v>
      </c>
      <c r="FT7" s="1499">
        <v>0.9</v>
      </c>
      <c r="FU7" s="1481" t="s">
        <v>288</v>
      </c>
      <c r="FV7" s="1479" t="s">
        <v>4764</v>
      </c>
      <c r="FW7" s="273"/>
      <c r="FX7" s="273"/>
      <c r="FY7" s="273"/>
      <c r="FZ7" s="1495" t="s">
        <v>4816</v>
      </c>
      <c r="GA7" s="1496">
        <v>0.85</v>
      </c>
      <c r="GB7" s="273"/>
      <c r="GC7" s="273"/>
      <c r="GD7" s="1495" t="s">
        <v>4832</v>
      </c>
      <c r="GE7" s="1496">
        <v>8760</v>
      </c>
      <c r="GF7" s="273"/>
      <c r="GG7" s="174" t="s">
        <v>4833</v>
      </c>
      <c r="GH7" s="174">
        <v>0.746</v>
      </c>
      <c r="GI7" s="273"/>
      <c r="GJ7" s="273"/>
      <c r="GK7" t="s">
        <v>4921</v>
      </c>
    </row>
    <row r="8" spans="1:194" ht="31.5" thickBot="1">
      <c r="A8" s="249" t="s">
        <v>16</v>
      </c>
      <c r="C8" s="513" t="s">
        <v>1426</v>
      </c>
      <c r="E8" s="174" t="b">
        <v>1</v>
      </c>
      <c r="G8" s="2589" t="s">
        <v>284</v>
      </c>
      <c r="H8" s="2591"/>
      <c r="K8" s="313" t="s">
        <v>622</v>
      </c>
      <c r="L8" s="114" t="s">
        <v>621</v>
      </c>
      <c r="M8" s="114" t="s">
        <v>620</v>
      </c>
      <c r="S8" s="2" t="s">
        <v>449</v>
      </c>
      <c r="T8" s="585" t="s">
        <v>288</v>
      </c>
      <c r="U8" s="585">
        <v>15</v>
      </c>
      <c r="V8" s="585" t="s">
        <v>288</v>
      </c>
      <c r="W8" s="585" t="s">
        <v>288</v>
      </c>
      <c r="X8" s="585">
        <v>9</v>
      </c>
      <c r="Y8" s="2"/>
      <c r="Z8" s="2"/>
      <c r="AA8" s="2">
        <v>1</v>
      </c>
      <c r="AB8" s="2" t="s">
        <v>568</v>
      </c>
      <c r="AC8" t="s">
        <v>5303</v>
      </c>
      <c r="AE8" s="1075" t="s">
        <v>3852</v>
      </c>
      <c r="AF8" s="1076" t="s">
        <v>1002</v>
      </c>
      <c r="AG8" s="1076" t="s">
        <v>46</v>
      </c>
      <c r="AH8" s="1076" t="s">
        <v>43</v>
      </c>
      <c r="AI8" s="1076" t="s">
        <v>1003</v>
      </c>
      <c r="AJ8" s="1077">
        <v>1000</v>
      </c>
      <c r="AK8" s="1077">
        <v>3000</v>
      </c>
      <c r="AL8" s="1078">
        <v>500</v>
      </c>
      <c r="AM8" s="1075">
        <v>0.69</v>
      </c>
      <c r="AN8" s="1075">
        <v>1</v>
      </c>
      <c r="AO8" s="1075">
        <v>1</v>
      </c>
      <c r="AP8" s="1075">
        <v>1</v>
      </c>
      <c r="AQ8" s="1075">
        <v>0.1</v>
      </c>
      <c r="AR8" s="1075">
        <v>0</v>
      </c>
      <c r="AS8" s="1075">
        <v>7.1900000000000006E-2</v>
      </c>
      <c r="AT8" s="1075">
        <v>5.67E-2</v>
      </c>
      <c r="AX8" t="s">
        <v>1445</v>
      </c>
      <c r="BB8" s="105" t="s">
        <v>1629</v>
      </c>
      <c r="BD8" t="s">
        <v>1752</v>
      </c>
      <c r="BF8">
        <f t="shared" ref="BF8:BF20" si="0">BF7+1</f>
        <v>3</v>
      </c>
      <c r="BW8" t="s">
        <v>4201</v>
      </c>
      <c r="CB8" t="s">
        <v>4264</v>
      </c>
      <c r="CC8" s="1197">
        <v>2000</v>
      </c>
      <c r="CD8">
        <v>200</v>
      </c>
      <c r="CG8" s="105" t="s">
        <v>171</v>
      </c>
      <c r="CH8" s="105"/>
      <c r="CI8" s="105" t="s">
        <v>4197</v>
      </c>
      <c r="CJ8" s="105"/>
      <c r="CL8" t="s">
        <v>4263</v>
      </c>
      <c r="CM8" s="2" t="s">
        <v>4264</v>
      </c>
      <c r="CN8" s="2">
        <v>0.69</v>
      </c>
      <c r="CO8" s="2">
        <v>1</v>
      </c>
      <c r="CP8" s="2">
        <v>1</v>
      </c>
      <c r="CQ8" s="2">
        <v>0</v>
      </c>
      <c r="CR8" s="2">
        <v>0</v>
      </c>
      <c r="CS8" s="2">
        <v>7.1900000000000006E-2</v>
      </c>
      <c r="CT8" s="293">
        <v>5.67E-2</v>
      </c>
      <c r="CW8" t="s">
        <v>1309</v>
      </c>
      <c r="CX8" s="1202"/>
      <c r="CY8" s="1201">
        <v>19</v>
      </c>
      <c r="CZ8" s="1201"/>
      <c r="DA8" s="1200">
        <v>3.1</v>
      </c>
      <c r="DB8" s="1202"/>
      <c r="DC8" s="1201">
        <v>25</v>
      </c>
      <c r="DD8" s="1201"/>
      <c r="DE8" s="1200">
        <v>3.1</v>
      </c>
      <c r="EW8" s="174" t="s">
        <v>1404</v>
      </c>
      <c r="EX8" s="877">
        <v>0.86</v>
      </c>
      <c r="FS8" s="1479" t="s">
        <v>4834</v>
      </c>
      <c r="FT8" s="1482" t="s">
        <v>4763</v>
      </c>
      <c r="FU8" s="1481" t="s">
        <v>288</v>
      </c>
      <c r="FV8" s="1479" t="s">
        <v>4764</v>
      </c>
      <c r="FW8" s="273"/>
      <c r="FX8" s="273"/>
      <c r="FY8" s="273"/>
      <c r="FZ8" s="1495" t="s">
        <v>4835</v>
      </c>
      <c r="GA8" s="1496">
        <v>0.9</v>
      </c>
      <c r="GB8" s="273"/>
      <c r="GC8" s="273"/>
      <c r="GD8" s="1497" t="s">
        <v>4836</v>
      </c>
      <c r="GE8" s="1498">
        <v>2750</v>
      </c>
      <c r="GF8" s="273"/>
      <c r="GG8" s="273"/>
      <c r="GH8" s="273"/>
      <c r="GI8" s="273"/>
      <c r="GJ8" s="273"/>
    </row>
    <row r="9" spans="1:194" ht="31.5" thickBot="1">
      <c r="A9" s="249" t="s">
        <v>17</v>
      </c>
      <c r="C9" s="514" t="s">
        <v>1427</v>
      </c>
      <c r="G9" s="2">
        <v>1</v>
      </c>
      <c r="H9" s="2" t="s">
        <v>280</v>
      </c>
      <c r="K9" s="2" t="s">
        <v>1207</v>
      </c>
      <c r="L9" s="585">
        <v>12.3</v>
      </c>
      <c r="M9" s="585">
        <v>15</v>
      </c>
      <c r="S9" s="2" t="s">
        <v>555</v>
      </c>
      <c r="T9" s="585" t="s">
        <v>288</v>
      </c>
      <c r="U9" s="585">
        <v>15</v>
      </c>
      <c r="V9" s="585" t="s">
        <v>288</v>
      </c>
      <c r="W9" s="585" t="s">
        <v>288</v>
      </c>
      <c r="X9" s="585">
        <v>10</v>
      </c>
      <c r="Y9" s="585"/>
      <c r="Z9" s="585"/>
      <c r="AA9" s="2">
        <v>1</v>
      </c>
      <c r="AB9" s="2" t="s">
        <v>565</v>
      </c>
      <c r="AC9" t="s">
        <v>5303</v>
      </c>
      <c r="AE9" s="368" t="s">
        <v>1004</v>
      </c>
      <c r="AF9" s="369" t="s">
        <v>1005</v>
      </c>
      <c r="AG9" s="369" t="s">
        <v>172</v>
      </c>
      <c r="AH9" s="369" t="s">
        <v>43</v>
      </c>
      <c r="AI9" s="369" t="s">
        <v>1006</v>
      </c>
      <c r="AJ9" s="370">
        <v>1000</v>
      </c>
      <c r="AK9" s="370">
        <v>3000</v>
      </c>
      <c r="AL9" s="390">
        <v>500</v>
      </c>
      <c r="AM9" s="302">
        <v>0.69</v>
      </c>
      <c r="AN9" s="302">
        <v>1</v>
      </c>
      <c r="AO9" s="302">
        <v>1</v>
      </c>
      <c r="AP9" s="302">
        <v>1</v>
      </c>
      <c r="AQ9" s="302">
        <v>0.1</v>
      </c>
      <c r="AR9" s="302">
        <v>0</v>
      </c>
      <c r="AS9" s="302">
        <v>7.1900000000000006E-2</v>
      </c>
      <c r="AT9" s="302">
        <v>5.67E-2</v>
      </c>
      <c r="BB9" s="105" t="s">
        <v>1512</v>
      </c>
      <c r="BD9" t="s">
        <v>1753</v>
      </c>
      <c r="BF9">
        <f t="shared" si="0"/>
        <v>4</v>
      </c>
      <c r="CB9" t="s">
        <v>4262</v>
      </c>
      <c r="CC9" s="1197">
        <v>1000</v>
      </c>
      <c r="CD9">
        <v>200</v>
      </c>
      <c r="CG9" s="105" t="s">
        <v>4227</v>
      </c>
      <c r="CH9" s="105"/>
      <c r="CI9" s="105" t="s">
        <v>4196</v>
      </c>
      <c r="CJ9" s="105"/>
      <c r="CL9" t="s">
        <v>4261</v>
      </c>
      <c r="CM9" s="2" t="s">
        <v>4262</v>
      </c>
      <c r="CN9" s="2">
        <v>0.69</v>
      </c>
      <c r="CO9" s="2">
        <v>1</v>
      </c>
      <c r="CP9" s="2">
        <v>1</v>
      </c>
      <c r="CQ9" s="2">
        <v>0</v>
      </c>
      <c r="CR9" s="2">
        <v>0</v>
      </c>
      <c r="CS9" s="2">
        <v>7.1900000000000006E-2</v>
      </c>
      <c r="CT9" s="293">
        <v>5.67E-2</v>
      </c>
      <c r="DK9" s="861" t="s">
        <v>3071</v>
      </c>
      <c r="DM9" s="861" t="s">
        <v>3072</v>
      </c>
      <c r="FS9" s="1479" t="s">
        <v>4837</v>
      </c>
      <c r="FT9" s="1482" t="s">
        <v>4838</v>
      </c>
      <c r="FU9" s="1481" t="s">
        <v>288</v>
      </c>
      <c r="FV9" s="1479" t="s">
        <v>4764</v>
      </c>
      <c r="FW9" s="273"/>
      <c r="FX9" s="273"/>
      <c r="FY9" s="273"/>
      <c r="FZ9" s="1497" t="s">
        <v>4839</v>
      </c>
      <c r="GA9" s="1498">
        <v>0.94</v>
      </c>
      <c r="GB9" s="273"/>
      <c r="GC9" s="273"/>
      <c r="GD9" s="273"/>
      <c r="GE9" s="273"/>
      <c r="GF9" s="273"/>
      <c r="GG9" s="273"/>
      <c r="GH9" s="273"/>
      <c r="GI9" s="273"/>
      <c r="GJ9" s="273"/>
    </row>
    <row r="10" spans="1:194" ht="73" thickBot="1">
      <c r="G10" s="2">
        <v>2</v>
      </c>
      <c r="H10" s="2" t="s">
        <v>281</v>
      </c>
      <c r="K10" s="2" t="s">
        <v>619</v>
      </c>
      <c r="L10" s="585">
        <v>11.8</v>
      </c>
      <c r="M10" s="585">
        <v>14</v>
      </c>
      <c r="S10" s="2" t="s">
        <v>3860</v>
      </c>
      <c r="T10" s="585" t="s">
        <v>288</v>
      </c>
      <c r="U10" s="585">
        <v>15</v>
      </c>
      <c r="V10" s="585" t="s">
        <v>288</v>
      </c>
      <c r="W10" s="585" t="s">
        <v>288</v>
      </c>
      <c r="X10" s="585">
        <v>10</v>
      </c>
      <c r="Y10" s="585"/>
      <c r="Z10" s="585"/>
      <c r="AA10" s="2">
        <v>1</v>
      </c>
      <c r="AB10" s="2" t="s">
        <v>565</v>
      </c>
      <c r="AC10" t="s">
        <v>5303</v>
      </c>
      <c r="AE10" s="368" t="s">
        <v>1007</v>
      </c>
      <c r="AF10" s="369" t="s">
        <v>1008</v>
      </c>
      <c r="AG10" s="369" t="s">
        <v>46</v>
      </c>
      <c r="AH10" s="369" t="s">
        <v>43</v>
      </c>
      <c r="AI10" s="369" t="s">
        <v>1009</v>
      </c>
      <c r="AJ10" s="370">
        <v>1000</v>
      </c>
      <c r="AK10" s="370">
        <v>3000</v>
      </c>
      <c r="AL10" s="390">
        <v>500</v>
      </c>
      <c r="AM10" s="302">
        <v>0.69</v>
      </c>
      <c r="AN10" s="302">
        <v>1</v>
      </c>
      <c r="AO10" s="302">
        <v>1</v>
      </c>
      <c r="AP10" s="302">
        <v>1</v>
      </c>
      <c r="AQ10" s="302">
        <v>0.1</v>
      </c>
      <c r="AR10" s="302">
        <v>0</v>
      </c>
      <c r="AS10" s="302">
        <v>7.1900000000000006E-2</v>
      </c>
      <c r="AT10" s="302">
        <v>5.67E-2</v>
      </c>
      <c r="AX10" s="114" t="s">
        <v>686</v>
      </c>
      <c r="BB10" s="106"/>
      <c r="BD10" t="s">
        <v>1754</v>
      </c>
      <c r="BF10">
        <f t="shared" si="0"/>
        <v>5</v>
      </c>
      <c r="BO10" s="2900" t="s">
        <v>60</v>
      </c>
      <c r="BP10" s="2580" t="s">
        <v>59</v>
      </c>
      <c r="BQ10" s="2580"/>
      <c r="BR10" s="2580"/>
      <c r="BS10" s="2580"/>
      <c r="BT10" s="2580"/>
      <c r="BU10" s="2580"/>
      <c r="CB10" t="s">
        <v>4260</v>
      </c>
      <c r="CC10" s="1197">
        <v>2000</v>
      </c>
      <c r="CD10">
        <v>200</v>
      </c>
      <c r="CG10" s="105" t="s">
        <v>1309</v>
      </c>
      <c r="CH10" s="105"/>
      <c r="CI10" s="105" t="s">
        <v>679</v>
      </c>
      <c r="CJ10" s="105"/>
      <c r="CL10" t="s">
        <v>4259</v>
      </c>
      <c r="CM10" s="2" t="s">
        <v>4260</v>
      </c>
      <c r="CN10" s="2">
        <v>0.69</v>
      </c>
      <c r="CO10" s="2">
        <v>1</v>
      </c>
      <c r="CP10" s="2">
        <v>1</v>
      </c>
      <c r="CQ10" s="2">
        <v>0</v>
      </c>
      <c r="CR10" s="2">
        <v>0</v>
      </c>
      <c r="CS10" s="2">
        <v>7.1900000000000006E-2</v>
      </c>
      <c r="CT10" s="293">
        <v>5.67E-2</v>
      </c>
      <c r="DK10" s="862">
        <v>0.75</v>
      </c>
      <c r="DL10" t="s">
        <v>35</v>
      </c>
      <c r="DM10" s="862">
        <v>0.746</v>
      </c>
      <c r="EW10" s="876" t="s">
        <v>3157</v>
      </c>
      <c r="EX10" s="876" t="s">
        <v>3158</v>
      </c>
      <c r="EY10" s="876" t="s">
        <v>2326</v>
      </c>
      <c r="EZ10" s="876" t="s">
        <v>3159</v>
      </c>
      <c r="FA10" s="876" t="s">
        <v>3160</v>
      </c>
      <c r="FB10" s="876" t="s">
        <v>3161</v>
      </c>
      <c r="FS10" s="1479" t="s">
        <v>4840</v>
      </c>
      <c r="FT10" s="1482" t="s">
        <v>4841</v>
      </c>
      <c r="FU10" s="1481" t="s">
        <v>288</v>
      </c>
      <c r="FV10" s="1479" t="s">
        <v>4764</v>
      </c>
      <c r="FW10" s="273"/>
      <c r="FX10" s="273"/>
      <c r="FY10" s="273"/>
      <c r="FZ10" s="273"/>
      <c r="GA10" s="273"/>
      <c r="GB10" s="273"/>
      <c r="GC10" s="273"/>
      <c r="GD10" s="273"/>
      <c r="GE10" s="273"/>
      <c r="GF10" s="273"/>
      <c r="GG10" s="273"/>
      <c r="GH10" s="273"/>
      <c r="GI10" s="273"/>
      <c r="GJ10" s="273"/>
    </row>
    <row r="11" spans="1:194" ht="31">
      <c r="A11" s="103" t="s">
        <v>746</v>
      </c>
      <c r="C11" s="672" t="s">
        <v>1287</v>
      </c>
      <c r="D11" s="114" t="s">
        <v>1784</v>
      </c>
      <c r="E11" s="114" t="s">
        <v>740</v>
      </c>
      <c r="G11" s="2">
        <v>3</v>
      </c>
      <c r="H11" s="2" t="s">
        <v>282</v>
      </c>
      <c r="K11" s="2" t="s">
        <v>3867</v>
      </c>
      <c r="L11" s="585">
        <v>11.8</v>
      </c>
      <c r="M11" s="585">
        <v>14</v>
      </c>
      <c r="S11" s="2" t="s">
        <v>18</v>
      </c>
      <c r="T11" s="585">
        <v>15</v>
      </c>
      <c r="U11" s="585">
        <v>16</v>
      </c>
      <c r="V11" s="585" t="s">
        <v>288</v>
      </c>
      <c r="W11" s="585">
        <v>8.5</v>
      </c>
      <c r="X11" s="585">
        <v>8.5</v>
      </c>
      <c r="Y11" s="585"/>
      <c r="Z11" s="585"/>
      <c r="AA11" s="2">
        <v>1</v>
      </c>
      <c r="AB11" s="2" t="s">
        <v>171</v>
      </c>
      <c r="AC11" t="s">
        <v>5304</v>
      </c>
      <c r="AE11" s="1075" t="s">
        <v>3853</v>
      </c>
      <c r="AF11" s="1076" t="s">
        <v>1008</v>
      </c>
      <c r="AG11" s="1076" t="s">
        <v>46</v>
      </c>
      <c r="AH11" s="1076" t="s">
        <v>43</v>
      </c>
      <c r="AI11" s="1076" t="s">
        <v>1009</v>
      </c>
      <c r="AJ11" s="1077">
        <v>1000</v>
      </c>
      <c r="AK11" s="1077">
        <v>3000</v>
      </c>
      <c r="AL11" s="1078">
        <v>500</v>
      </c>
      <c r="AM11" s="1075">
        <v>0.69</v>
      </c>
      <c r="AN11" s="1075">
        <v>1</v>
      </c>
      <c r="AO11" s="1075">
        <v>1</v>
      </c>
      <c r="AP11" s="1075">
        <v>1</v>
      </c>
      <c r="AQ11" s="1075">
        <v>0.1</v>
      </c>
      <c r="AR11" s="1075">
        <v>0</v>
      </c>
      <c r="AS11" s="1075">
        <v>7.1900000000000006E-2</v>
      </c>
      <c r="AT11" s="1075">
        <v>5.67E-2</v>
      </c>
      <c r="AX11" s="104" t="s">
        <v>1299</v>
      </c>
      <c r="BD11" t="s">
        <v>1780</v>
      </c>
      <c r="BF11">
        <f t="shared" si="0"/>
        <v>6</v>
      </c>
      <c r="BO11" s="2900"/>
      <c r="BP11" s="2580" t="s">
        <v>12</v>
      </c>
      <c r="BQ11" s="2580"/>
      <c r="BR11" s="2580" t="s">
        <v>13</v>
      </c>
      <c r="BS11" s="2580"/>
      <c r="BT11" s="2580" t="s">
        <v>244</v>
      </c>
      <c r="BU11" s="2580"/>
      <c r="BW11" t="s">
        <v>4258</v>
      </c>
      <c r="CB11" t="s">
        <v>4257</v>
      </c>
      <c r="CC11" s="1197">
        <v>1000</v>
      </c>
      <c r="CD11">
        <v>200</v>
      </c>
      <c r="CG11" s="105"/>
      <c r="CH11" s="105"/>
      <c r="CI11" s="105" t="s">
        <v>567</v>
      </c>
      <c r="CJ11" s="105"/>
      <c r="CL11" t="s">
        <v>4256</v>
      </c>
      <c r="CM11" s="2" t="s">
        <v>4257</v>
      </c>
      <c r="CN11" s="2">
        <v>0.69</v>
      </c>
      <c r="CO11" s="2">
        <v>1</v>
      </c>
      <c r="CP11" s="2">
        <v>1</v>
      </c>
      <c r="CQ11" s="2">
        <v>0</v>
      </c>
      <c r="CR11" s="2">
        <v>0</v>
      </c>
      <c r="CS11" s="2">
        <v>7.1900000000000006E-2</v>
      </c>
      <c r="CT11" s="293">
        <v>5.67E-2</v>
      </c>
      <c r="EW11" s="2">
        <v>5</v>
      </c>
      <c r="EX11" s="2">
        <v>8.34</v>
      </c>
      <c r="EY11" s="2">
        <v>0.8</v>
      </c>
      <c r="EZ11" s="2">
        <v>0.8</v>
      </c>
      <c r="FA11" s="2">
        <v>5</v>
      </c>
      <c r="FB11" s="2">
        <v>0.65</v>
      </c>
      <c r="FH11" t="s">
        <v>3162</v>
      </c>
      <c r="FS11" s="1479" t="s">
        <v>4842</v>
      </c>
      <c r="FT11" s="1482" t="s">
        <v>4763</v>
      </c>
      <c r="FU11" s="1481" t="s">
        <v>288</v>
      </c>
      <c r="FV11" s="1479" t="s">
        <v>4764</v>
      </c>
      <c r="FW11" s="273"/>
      <c r="FX11" s="273"/>
      <c r="FY11" s="273"/>
      <c r="FZ11" s="2867" t="s">
        <v>4843</v>
      </c>
      <c r="GA11" s="2868"/>
      <c r="GB11" s="273"/>
      <c r="GC11" s="273"/>
      <c r="GD11" s="2867" t="s">
        <v>4844</v>
      </c>
      <c r="GE11" s="2868"/>
      <c r="GF11" s="273"/>
      <c r="GG11" s="2869" t="s">
        <v>4845</v>
      </c>
      <c r="GH11" s="2869"/>
      <c r="GI11" s="273"/>
      <c r="GJ11" s="273"/>
    </row>
    <row r="12" spans="1:194" ht="31.5" thickBot="1">
      <c r="A12" s="2">
        <v>1.1782999999999999</v>
      </c>
      <c r="C12" s="673" t="s">
        <v>262</v>
      </c>
      <c r="D12" s="174">
        <v>3.4120000000000001E-3</v>
      </c>
      <c r="E12" s="174">
        <v>3.4119999999999999</v>
      </c>
      <c r="G12" s="104">
        <v>4</v>
      </c>
      <c r="H12" s="104" t="s">
        <v>283</v>
      </c>
      <c r="K12" s="2" t="s">
        <v>3868</v>
      </c>
      <c r="L12" s="585">
        <v>12.3</v>
      </c>
      <c r="M12" s="585">
        <v>15</v>
      </c>
      <c r="S12" s="2" t="s">
        <v>554</v>
      </c>
      <c r="T12" s="585">
        <v>18</v>
      </c>
      <c r="U12" s="585" t="s">
        <v>288</v>
      </c>
      <c r="V12" s="585" t="s">
        <v>288</v>
      </c>
      <c r="W12" s="585">
        <v>8.5</v>
      </c>
      <c r="X12" s="585" t="s">
        <v>288</v>
      </c>
      <c r="Y12" s="585"/>
      <c r="Z12" s="585"/>
      <c r="AA12" s="2">
        <v>1</v>
      </c>
      <c r="AB12" s="2" t="s">
        <v>564</v>
      </c>
      <c r="AC12" t="s">
        <v>5304</v>
      </c>
      <c r="AE12" s="302" t="s">
        <v>578</v>
      </c>
      <c r="AF12" s="309" t="s">
        <v>582</v>
      </c>
      <c r="AG12" s="309" t="s">
        <v>172</v>
      </c>
      <c r="AH12" s="309" t="s">
        <v>43</v>
      </c>
      <c r="AI12" s="309" t="s">
        <v>581</v>
      </c>
      <c r="AJ12" s="310">
        <v>800</v>
      </c>
      <c r="AK12" s="310">
        <v>1200</v>
      </c>
      <c r="AL12" s="388">
        <v>500</v>
      </c>
      <c r="AM12" s="302">
        <v>0.69</v>
      </c>
      <c r="AN12" s="302">
        <v>1</v>
      </c>
      <c r="AO12" s="302">
        <v>1</v>
      </c>
      <c r="AP12" s="302">
        <v>1</v>
      </c>
      <c r="AQ12" s="302">
        <v>0.1</v>
      </c>
      <c r="AR12" s="302">
        <v>0</v>
      </c>
      <c r="AS12" s="302">
        <v>7.1900000000000006E-2</v>
      </c>
      <c r="AT12" s="302">
        <v>5.67E-2</v>
      </c>
      <c r="AX12" s="105" t="s">
        <v>1298</v>
      </c>
      <c r="BD12" t="s">
        <v>1781</v>
      </c>
      <c r="BF12">
        <f t="shared" si="0"/>
        <v>7</v>
      </c>
      <c r="BO12" s="2900"/>
      <c r="BP12" s="103" t="s">
        <v>33</v>
      </c>
      <c r="BQ12" s="103" t="s">
        <v>34</v>
      </c>
      <c r="BR12" s="103" t="s">
        <v>33</v>
      </c>
      <c r="BS12" s="103" t="s">
        <v>34</v>
      </c>
      <c r="BT12" s="103" t="s">
        <v>33</v>
      </c>
      <c r="BU12" s="103" t="s">
        <v>34</v>
      </c>
      <c r="BW12" t="s">
        <v>4255</v>
      </c>
      <c r="CB12" t="s">
        <v>4254</v>
      </c>
      <c r="CC12" s="1197">
        <v>2000</v>
      </c>
      <c r="CD12">
        <v>200</v>
      </c>
      <c r="CG12" s="105"/>
      <c r="CH12" s="105"/>
      <c r="CI12" s="105" t="s">
        <v>1309</v>
      </c>
      <c r="CJ12" s="105"/>
      <c r="CL12" t="s">
        <v>4253</v>
      </c>
      <c r="CM12" s="2" t="s">
        <v>4254</v>
      </c>
      <c r="CN12" s="2">
        <v>0.69</v>
      </c>
      <c r="CO12" s="2">
        <v>1</v>
      </c>
      <c r="CP12" s="2">
        <v>1</v>
      </c>
      <c r="CQ12" s="2">
        <v>0</v>
      </c>
      <c r="CR12" s="2">
        <v>0</v>
      </c>
      <c r="CS12" s="2">
        <v>7.1900000000000006E-2</v>
      </c>
      <c r="CT12" s="293">
        <v>5.67E-2</v>
      </c>
      <c r="FH12" t="s">
        <v>3163</v>
      </c>
      <c r="FS12" s="1479" t="s">
        <v>4846</v>
      </c>
      <c r="FT12" s="1482" t="s">
        <v>4838</v>
      </c>
      <c r="FU12" s="1481" t="s">
        <v>288</v>
      </c>
      <c r="FV12" s="1479" t="s">
        <v>4764</v>
      </c>
      <c r="FW12" s="273"/>
      <c r="FX12" s="273"/>
      <c r="FY12" s="273"/>
      <c r="FZ12" s="1495" t="s">
        <v>4815</v>
      </c>
      <c r="GA12" s="1496">
        <v>0.85</v>
      </c>
      <c r="GB12" s="273"/>
      <c r="GC12" s="273"/>
      <c r="GD12" s="1497" t="s">
        <v>4847</v>
      </c>
      <c r="GE12" s="1498">
        <v>0.11</v>
      </c>
      <c r="GF12" s="273"/>
      <c r="GG12" s="174" t="s">
        <v>1403</v>
      </c>
      <c r="GH12" s="174">
        <v>1</v>
      </c>
      <c r="GI12" s="273"/>
      <c r="GJ12" s="273"/>
    </row>
    <row r="13" spans="1:194" ht="87.5" thickBot="1">
      <c r="C13" s="673" t="s">
        <v>1288</v>
      </c>
      <c r="F13" s="148"/>
      <c r="G13" s="244"/>
      <c r="H13" s="244" t="s">
        <v>605</v>
      </c>
      <c r="K13" s="2" t="s">
        <v>459</v>
      </c>
      <c r="L13" s="585">
        <v>10.4</v>
      </c>
      <c r="M13" s="585">
        <v>10.4</v>
      </c>
      <c r="S13" s="302" t="s">
        <v>458</v>
      </c>
      <c r="T13" s="1082" t="s">
        <v>288</v>
      </c>
      <c r="U13" s="1082" t="s">
        <v>288</v>
      </c>
      <c r="V13" s="1082" t="s">
        <v>288</v>
      </c>
      <c r="W13" s="1082">
        <v>3.3</v>
      </c>
      <c r="X13" s="1082" t="s">
        <v>288</v>
      </c>
      <c r="Y13" s="1082">
        <v>11.4</v>
      </c>
      <c r="Z13" s="1082" t="s">
        <v>288</v>
      </c>
      <c r="AA13" s="302">
        <v>1</v>
      </c>
      <c r="AB13" s="508" t="s">
        <v>459</v>
      </c>
      <c r="AC13" s="1643" t="s">
        <v>5304</v>
      </c>
      <c r="AE13" s="302" t="s">
        <v>577</v>
      </c>
      <c r="AF13" s="309" t="s">
        <v>571</v>
      </c>
      <c r="AG13" s="309" t="s">
        <v>172</v>
      </c>
      <c r="AH13" s="309" t="s">
        <v>43</v>
      </c>
      <c r="AI13" s="309" t="s">
        <v>580</v>
      </c>
      <c r="AJ13" s="310">
        <v>1000</v>
      </c>
      <c r="AK13" s="310">
        <v>1500</v>
      </c>
      <c r="AL13" s="388">
        <v>500</v>
      </c>
      <c r="AM13" s="302">
        <v>0.69</v>
      </c>
      <c r="AN13" s="302">
        <v>1</v>
      </c>
      <c r="AO13" s="302">
        <v>1</v>
      </c>
      <c r="AP13" s="302">
        <v>1</v>
      </c>
      <c r="AQ13" s="302">
        <v>0.1</v>
      </c>
      <c r="AR13" s="302">
        <v>0</v>
      </c>
      <c r="AS13" s="302">
        <v>7.1900000000000006E-2</v>
      </c>
      <c r="AT13" s="302">
        <v>5.67E-2</v>
      </c>
      <c r="AX13" s="105" t="s">
        <v>1297</v>
      </c>
      <c r="BF13">
        <f t="shared" si="0"/>
        <v>8</v>
      </c>
      <c r="BO13" s="104" t="s">
        <v>18</v>
      </c>
      <c r="BP13" s="116">
        <v>15</v>
      </c>
      <c r="BQ13" s="111">
        <v>16</v>
      </c>
      <c r="BR13" s="116"/>
      <c r="BS13" s="111"/>
      <c r="BT13" s="116">
        <v>8.5</v>
      </c>
      <c r="BU13" s="111"/>
      <c r="CB13" t="s">
        <v>4252</v>
      </c>
      <c r="CC13" s="1197">
        <v>500</v>
      </c>
      <c r="CD13">
        <v>200</v>
      </c>
      <c r="CG13" s="105"/>
      <c r="CH13" s="105"/>
      <c r="CI13" s="105" t="s">
        <v>4189</v>
      </c>
      <c r="CJ13" s="105"/>
      <c r="CL13" t="s">
        <v>4251</v>
      </c>
      <c r="CM13" s="2" t="s">
        <v>4252</v>
      </c>
      <c r="CN13" s="2">
        <v>0.69</v>
      </c>
      <c r="CO13" s="2">
        <v>1</v>
      </c>
      <c r="CP13" s="2">
        <v>1</v>
      </c>
      <c r="CQ13" s="2">
        <v>0</v>
      </c>
      <c r="CR13" s="2">
        <v>0</v>
      </c>
      <c r="CS13" s="2">
        <v>7.1900000000000006E-2</v>
      </c>
      <c r="CT13" s="293">
        <v>5.67E-2</v>
      </c>
      <c r="EW13" s="876" t="s">
        <v>3167</v>
      </c>
      <c r="FH13" t="s">
        <v>3164</v>
      </c>
      <c r="FS13" s="1479" t="s">
        <v>4848</v>
      </c>
      <c r="FT13" s="1482" t="s">
        <v>4849</v>
      </c>
      <c r="FU13" s="1481" t="s">
        <v>288</v>
      </c>
      <c r="FV13" s="1479" t="s">
        <v>4764</v>
      </c>
      <c r="FW13" s="273"/>
      <c r="FX13" s="273"/>
      <c r="FY13" s="273"/>
      <c r="FZ13" s="1497" t="s">
        <v>4814</v>
      </c>
      <c r="GA13" s="1498">
        <v>1</v>
      </c>
      <c r="GB13" s="273"/>
      <c r="GC13" s="273"/>
      <c r="GD13" s="273"/>
      <c r="GE13" s="273"/>
      <c r="GF13" s="273"/>
      <c r="GG13" s="174" t="s">
        <v>2643</v>
      </c>
      <c r="GH13" s="174">
        <v>0</v>
      </c>
      <c r="GI13" s="273"/>
      <c r="GJ13" s="273"/>
    </row>
    <row r="14" spans="1:194" ht="17" thickBot="1">
      <c r="A14" s="114" t="s">
        <v>263</v>
      </c>
      <c r="B14" s="30"/>
      <c r="E14" s="103" t="s">
        <v>615</v>
      </c>
      <c r="G14" s="245">
        <v>2</v>
      </c>
      <c r="H14" s="245" t="str">
        <f>IF(OR($C$27=2,$C$27=1),$H$13,IF(OR(G4=TRUE,H4=TRUE),$H$12,IF($G$14=0,"",INDEX(H$9:H$12,MATCH($G$14,$G$9:$G$12,0)))))</f>
        <v>Oil</v>
      </c>
      <c r="K14" s="2" t="s">
        <v>292</v>
      </c>
      <c r="L14" s="585">
        <v>12.3</v>
      </c>
      <c r="M14" s="585">
        <v>15</v>
      </c>
      <c r="S14" s="2" t="s">
        <v>569</v>
      </c>
      <c r="T14" s="585">
        <v>15</v>
      </c>
      <c r="U14" s="585" t="s">
        <v>288</v>
      </c>
      <c r="V14" s="585" t="s">
        <v>288</v>
      </c>
      <c r="W14" s="585">
        <v>8.5</v>
      </c>
      <c r="X14" s="585">
        <v>8.5</v>
      </c>
      <c r="Y14" s="585"/>
      <c r="Z14" s="585"/>
      <c r="AA14" s="585"/>
      <c r="AB14" s="2" t="s">
        <v>171</v>
      </c>
      <c r="AC14" t="s">
        <v>5304</v>
      </c>
      <c r="AE14" s="368" t="s">
        <v>838</v>
      </c>
      <c r="AF14" s="387" t="s">
        <v>977</v>
      </c>
      <c r="AG14" s="369" t="s">
        <v>172</v>
      </c>
      <c r="AH14" s="369" t="s">
        <v>43</v>
      </c>
      <c r="AI14" s="369" t="s">
        <v>1789</v>
      </c>
      <c r="AJ14" s="370">
        <v>1000</v>
      </c>
      <c r="AK14" s="370">
        <v>3000</v>
      </c>
      <c r="AL14" s="388">
        <v>500</v>
      </c>
      <c r="AM14" s="368">
        <v>0.69</v>
      </c>
      <c r="AN14" s="368">
        <v>1</v>
      </c>
      <c r="AO14" s="368">
        <v>1</v>
      </c>
      <c r="AP14" s="368">
        <v>1</v>
      </c>
      <c r="AQ14" s="368">
        <v>0.1</v>
      </c>
      <c r="AR14" s="368">
        <v>0</v>
      </c>
      <c r="AS14" s="302">
        <v>7.1900000000000006E-2</v>
      </c>
      <c r="AT14" s="302">
        <v>5.67E-2</v>
      </c>
      <c r="AX14" s="105" t="s">
        <v>1301</v>
      </c>
      <c r="AZ14" s="114" t="s">
        <v>1299</v>
      </c>
      <c r="BA14" s="114" t="s">
        <v>1298</v>
      </c>
      <c r="BB14" s="114" t="s">
        <v>1297</v>
      </c>
      <c r="BC14" s="114" t="s">
        <v>1296</v>
      </c>
      <c r="BD14" s="114" t="s">
        <v>1760</v>
      </c>
      <c r="BF14">
        <f t="shared" si="0"/>
        <v>9</v>
      </c>
      <c r="BH14" s="497" t="s">
        <v>1808</v>
      </c>
      <c r="BI14" s="497" t="s">
        <v>193</v>
      </c>
      <c r="BJ14" s="497" t="s">
        <v>636</v>
      </c>
      <c r="BK14" s="497" t="s">
        <v>38</v>
      </c>
      <c r="BL14" s="497" t="s">
        <v>39</v>
      </c>
      <c r="BM14" s="497"/>
      <c r="BO14" s="105" t="s">
        <v>19</v>
      </c>
      <c r="BP14" s="99">
        <v>16</v>
      </c>
      <c r="BQ14" s="100">
        <v>17</v>
      </c>
      <c r="BR14" s="99"/>
      <c r="BS14" s="100"/>
      <c r="BT14" s="99"/>
      <c r="BU14" s="100"/>
      <c r="CB14" t="s">
        <v>4250</v>
      </c>
      <c r="CC14" s="1197">
        <v>700</v>
      </c>
      <c r="CD14">
        <v>200</v>
      </c>
      <c r="CG14" s="105"/>
      <c r="CH14" s="105"/>
      <c r="CI14" s="105" t="s">
        <v>171</v>
      </c>
      <c r="CJ14" s="105"/>
      <c r="CL14" t="s">
        <v>4249</v>
      </c>
      <c r="CM14" s="2" t="s">
        <v>4250</v>
      </c>
      <c r="CN14" s="2">
        <v>0.69</v>
      </c>
      <c r="CO14" s="2">
        <v>1</v>
      </c>
      <c r="CP14" s="2">
        <v>1</v>
      </c>
      <c r="CQ14" s="2">
        <v>0</v>
      </c>
      <c r="CR14" s="2">
        <v>0</v>
      </c>
      <c r="CS14" s="2">
        <v>7.1900000000000006E-2</v>
      </c>
      <c r="CT14" s="293">
        <v>5.67E-2</v>
      </c>
      <c r="EW14" s="2" t="s">
        <v>283</v>
      </c>
      <c r="FS14" s="1479" t="s">
        <v>4850</v>
      </c>
      <c r="FT14" s="1500" t="s">
        <v>4763</v>
      </c>
      <c r="FU14" s="1481" t="s">
        <v>4851</v>
      </c>
      <c r="FV14" s="1479" t="s">
        <v>4764</v>
      </c>
      <c r="FW14" s="273"/>
      <c r="FX14" s="273"/>
      <c r="FY14" s="273"/>
      <c r="FZ14" s="273"/>
      <c r="GA14" s="273"/>
      <c r="GB14" s="273"/>
      <c r="GC14" s="273"/>
      <c r="GD14" s="273"/>
      <c r="GE14" s="273"/>
      <c r="GF14" s="273"/>
      <c r="GG14" s="273"/>
      <c r="GH14" s="273"/>
      <c r="GI14" s="273"/>
      <c r="GJ14" s="273"/>
    </row>
    <row r="15" spans="1:194" ht="46" thickBot="1">
      <c r="A15" s="174" t="b">
        <f>IF('In Unit HVAC Worksheet'!D49="Yes",TRUE,FALSE)</f>
        <v>0</v>
      </c>
      <c r="E15" s="104" t="s">
        <v>187</v>
      </c>
      <c r="K15" s="2" t="s">
        <v>1404</v>
      </c>
      <c r="L15" s="585">
        <v>12.3</v>
      </c>
      <c r="M15" s="585">
        <v>15</v>
      </c>
      <c r="S15" s="2" t="s">
        <v>824</v>
      </c>
      <c r="T15" s="585" t="s">
        <v>288</v>
      </c>
      <c r="U15" s="585">
        <v>15</v>
      </c>
      <c r="V15" s="585" t="s">
        <v>288</v>
      </c>
      <c r="W15" s="585">
        <v>8.5</v>
      </c>
      <c r="X15" s="585">
        <v>9</v>
      </c>
      <c r="Y15" s="585"/>
      <c r="Z15" s="585"/>
      <c r="AA15" s="585"/>
      <c r="AB15" s="2" t="s">
        <v>568</v>
      </c>
      <c r="AC15" t="s">
        <v>5303</v>
      </c>
      <c r="AE15" s="302" t="s">
        <v>579</v>
      </c>
      <c r="AF15" s="369" t="s">
        <v>843</v>
      </c>
      <c r="AG15" s="309" t="s">
        <v>46</v>
      </c>
      <c r="AH15" s="309" t="s">
        <v>43</v>
      </c>
      <c r="AI15" s="369" t="s">
        <v>841</v>
      </c>
      <c r="AJ15" s="310">
        <v>800</v>
      </c>
      <c r="AK15" s="310">
        <v>1200</v>
      </c>
      <c r="AL15" s="388">
        <v>500</v>
      </c>
      <c r="AM15" s="302">
        <v>0.69</v>
      </c>
      <c r="AN15" s="302">
        <v>1</v>
      </c>
      <c r="AO15" s="302">
        <v>1</v>
      </c>
      <c r="AP15" s="302">
        <v>1</v>
      </c>
      <c r="AQ15" s="302">
        <v>0.1</v>
      </c>
      <c r="AR15" s="302">
        <v>0</v>
      </c>
      <c r="AS15" s="302">
        <v>7.1900000000000006E-2</v>
      </c>
      <c r="AT15" s="302">
        <v>5.67E-2</v>
      </c>
      <c r="AX15" s="105" t="s">
        <v>1760</v>
      </c>
      <c r="AY15" s="108"/>
      <c r="AZ15" s="116"/>
      <c r="BA15" s="8"/>
      <c r="BB15" s="8"/>
      <c r="BC15" s="8"/>
      <c r="BD15" s="111" t="s">
        <v>1295</v>
      </c>
      <c r="BF15">
        <f t="shared" si="0"/>
        <v>10</v>
      </c>
      <c r="BH15" t="s">
        <v>1806</v>
      </c>
      <c r="BI15" t="s">
        <v>1794</v>
      </c>
      <c r="BJ15" t="s">
        <v>1804</v>
      </c>
      <c r="BK15" t="s">
        <v>1804</v>
      </c>
      <c r="BL15" t="s">
        <v>1805</v>
      </c>
      <c r="BO15" s="105" t="s">
        <v>245</v>
      </c>
      <c r="BP15" s="99">
        <v>18</v>
      </c>
      <c r="BQ15" s="100"/>
      <c r="BR15" s="99"/>
      <c r="BS15" s="100"/>
      <c r="BT15" s="99"/>
      <c r="BU15" s="100"/>
      <c r="BW15" t="s">
        <v>4248</v>
      </c>
      <c r="CB15" t="s">
        <v>4247</v>
      </c>
      <c r="CC15" s="1197">
        <v>500</v>
      </c>
      <c r="CD15">
        <v>200</v>
      </c>
      <c r="CG15" s="106"/>
      <c r="CH15" s="106"/>
      <c r="CI15" s="106" t="s">
        <v>1404</v>
      </c>
      <c r="CJ15" s="106"/>
      <c r="CL15" t="s">
        <v>4246</v>
      </c>
      <c r="CM15" s="2" t="s">
        <v>4247</v>
      </c>
      <c r="CN15" s="2">
        <v>0.69</v>
      </c>
      <c r="CO15" s="2">
        <v>1</v>
      </c>
      <c r="CP15" s="2">
        <v>1</v>
      </c>
      <c r="CQ15" s="2">
        <v>0</v>
      </c>
      <c r="CR15" s="2">
        <v>0</v>
      </c>
      <c r="CS15" s="2">
        <v>7.1900000000000006E-2</v>
      </c>
      <c r="CT15" s="293">
        <v>5.67E-2</v>
      </c>
      <c r="EW15" s="2" t="s">
        <v>1413</v>
      </c>
      <c r="FS15" s="1501" t="s">
        <v>4852</v>
      </c>
      <c r="FT15" s="1500" t="s">
        <v>4853</v>
      </c>
      <c r="FU15" s="1488" t="s">
        <v>288</v>
      </c>
      <c r="FV15" s="1479" t="s">
        <v>4764</v>
      </c>
      <c r="FW15" s="273"/>
      <c r="FX15" s="273"/>
      <c r="FY15" s="273"/>
      <c r="FZ15" s="2867" t="s">
        <v>4854</v>
      </c>
      <c r="GA15" s="2868"/>
      <c r="GB15" s="273"/>
      <c r="GC15" s="273"/>
      <c r="GD15" s="2867" t="s">
        <v>4855</v>
      </c>
      <c r="GE15" s="2868"/>
      <c r="GF15" s="273"/>
      <c r="GG15" s="273"/>
      <c r="GH15" s="273"/>
      <c r="GI15" s="273"/>
      <c r="GJ15" s="273"/>
    </row>
    <row r="16" spans="1:194" ht="31.5" thickBot="1">
      <c r="C16" s="114" t="s">
        <v>1326</v>
      </c>
      <c r="E16" s="106" t="s">
        <v>36</v>
      </c>
      <c r="K16" s="2" t="s">
        <v>605</v>
      </c>
      <c r="L16" s="585">
        <v>12.3</v>
      </c>
      <c r="M16" s="585">
        <v>15</v>
      </c>
      <c r="S16" s="2" t="s">
        <v>570</v>
      </c>
      <c r="T16" s="585">
        <v>18</v>
      </c>
      <c r="U16" s="585">
        <v>18</v>
      </c>
      <c r="V16" s="585" t="s">
        <v>288</v>
      </c>
      <c r="W16" s="585">
        <v>8.5</v>
      </c>
      <c r="X16" s="585">
        <v>10</v>
      </c>
      <c r="Y16" s="585"/>
      <c r="Z16" s="585"/>
      <c r="AA16" s="1083"/>
      <c r="AB16" s="2" t="s">
        <v>564</v>
      </c>
      <c r="AC16" s="1643" t="s">
        <v>5304</v>
      </c>
      <c r="AE16" s="368" t="s">
        <v>839</v>
      </c>
      <c r="AF16" s="369" t="s">
        <v>844</v>
      </c>
      <c r="AG16" s="369" t="s">
        <v>46</v>
      </c>
      <c r="AH16" s="369" t="s">
        <v>43</v>
      </c>
      <c r="AI16" s="369" t="s">
        <v>842</v>
      </c>
      <c r="AJ16" s="370">
        <v>1000</v>
      </c>
      <c r="AK16" s="370">
        <v>1500</v>
      </c>
      <c r="AL16" s="388">
        <v>500</v>
      </c>
      <c r="AM16" s="368">
        <v>0.69</v>
      </c>
      <c r="AN16" s="368">
        <v>1</v>
      </c>
      <c r="AO16" s="368">
        <v>1</v>
      </c>
      <c r="AP16" s="368">
        <v>1</v>
      </c>
      <c r="AQ16" s="368">
        <v>0.1</v>
      </c>
      <c r="AR16" s="368">
        <v>0</v>
      </c>
      <c r="AS16" s="302">
        <v>7.1900000000000006E-2</v>
      </c>
      <c r="AT16" s="302">
        <v>5.67E-2</v>
      </c>
      <c r="AX16" s="106" t="s">
        <v>1761</v>
      </c>
      <c r="AY16" s="265"/>
      <c r="AZ16" s="99"/>
      <c r="BD16" s="100" t="s">
        <v>1294</v>
      </c>
      <c r="BF16">
        <f>BF15+1</f>
        <v>11</v>
      </c>
      <c r="BH16" t="s">
        <v>1634</v>
      </c>
      <c r="BI16" t="s">
        <v>1795</v>
      </c>
      <c r="BJ16" t="s">
        <v>1804</v>
      </c>
      <c r="BK16" t="s">
        <v>1804</v>
      </c>
      <c r="BL16" t="s">
        <v>1805</v>
      </c>
      <c r="BO16" s="105" t="s">
        <v>3868</v>
      </c>
      <c r="BP16" s="99">
        <v>18</v>
      </c>
      <c r="BQ16" s="100"/>
      <c r="BR16" s="99"/>
      <c r="BS16" s="100"/>
      <c r="BT16" s="99">
        <v>8.1999999999999993</v>
      </c>
      <c r="BU16" s="100"/>
      <c r="BW16" t="s">
        <v>1309</v>
      </c>
      <c r="CB16" t="s">
        <v>4245</v>
      </c>
      <c r="CC16" s="1197">
        <v>700</v>
      </c>
      <c r="CD16">
        <v>200</v>
      </c>
      <c r="CL16" t="s">
        <v>4244</v>
      </c>
      <c r="CM16" s="2" t="s">
        <v>4245</v>
      </c>
      <c r="CN16" s="2">
        <v>0.69</v>
      </c>
      <c r="CO16" s="2">
        <v>1</v>
      </c>
      <c r="CP16" s="2">
        <v>1</v>
      </c>
      <c r="CQ16" s="2">
        <v>0</v>
      </c>
      <c r="CR16" s="2">
        <v>0</v>
      </c>
      <c r="CS16" s="2">
        <v>7.1900000000000006E-2</v>
      </c>
      <c r="CT16" s="293">
        <v>5.67E-2</v>
      </c>
      <c r="DJ16" s="860" t="s">
        <v>3073</v>
      </c>
      <c r="DK16" s="1031"/>
      <c r="EW16" s="2" t="s">
        <v>281</v>
      </c>
      <c r="FS16" s="1501" t="s">
        <v>4856</v>
      </c>
      <c r="FT16" s="1500" t="s">
        <v>4763</v>
      </c>
      <c r="FU16" s="1488" t="s">
        <v>4857</v>
      </c>
      <c r="FV16" s="1479" t="s">
        <v>4764</v>
      </c>
      <c r="FW16" s="273"/>
      <c r="FX16" s="273"/>
      <c r="FY16" s="273"/>
      <c r="FZ16" s="1495" t="s">
        <v>4816</v>
      </c>
      <c r="GA16" s="1496">
        <v>0.85</v>
      </c>
      <c r="GB16" s="273"/>
      <c r="GC16" s="273"/>
      <c r="GD16" s="1495" t="s">
        <v>4858</v>
      </c>
      <c r="GE16" s="1496">
        <v>0.7</v>
      </c>
      <c r="GF16" s="273"/>
      <c r="GG16" s="273"/>
      <c r="GH16" s="273"/>
      <c r="GI16" s="273"/>
      <c r="GJ16" s="273"/>
    </row>
    <row r="17" spans="1:192" ht="16.5">
      <c r="A17" s="114" t="s">
        <v>271</v>
      </c>
      <c r="C17" s="174" t="b">
        <v>0</v>
      </c>
      <c r="S17" s="2" t="s">
        <v>3861</v>
      </c>
      <c r="T17" s="585" t="s">
        <v>288</v>
      </c>
      <c r="U17" s="585">
        <v>15</v>
      </c>
      <c r="V17" s="585" t="s">
        <v>288</v>
      </c>
      <c r="W17" s="585" t="s">
        <v>288</v>
      </c>
      <c r="X17" s="585">
        <v>10</v>
      </c>
      <c r="Y17" s="585"/>
      <c r="Z17" s="585"/>
      <c r="AA17" s="585"/>
      <c r="AB17" s="2" t="s">
        <v>565</v>
      </c>
      <c r="AC17" t="s">
        <v>5303</v>
      </c>
      <c r="AE17" s="368" t="s">
        <v>840</v>
      </c>
      <c r="AF17" s="387" t="s">
        <v>975</v>
      </c>
      <c r="AG17" s="369" t="s">
        <v>46</v>
      </c>
      <c r="AH17" s="369" t="s">
        <v>43</v>
      </c>
      <c r="AI17" s="369" t="s">
        <v>842</v>
      </c>
      <c r="AJ17" s="370">
        <v>1000</v>
      </c>
      <c r="AK17" s="370">
        <v>3000</v>
      </c>
      <c r="AL17" s="388">
        <v>500</v>
      </c>
      <c r="AM17" s="368">
        <v>0.69</v>
      </c>
      <c r="AN17" s="368">
        <v>1</v>
      </c>
      <c r="AO17" s="368">
        <v>1</v>
      </c>
      <c r="AP17" s="368">
        <v>1</v>
      </c>
      <c r="AQ17" s="368">
        <v>0.1</v>
      </c>
      <c r="AR17" s="368">
        <v>0</v>
      </c>
      <c r="AS17" s="302">
        <v>7.1900000000000006E-2</v>
      </c>
      <c r="AT17" s="302">
        <v>5.67E-2</v>
      </c>
      <c r="AX17" s="265"/>
      <c r="AY17" s="265"/>
      <c r="AZ17" s="101"/>
      <c r="BA17" s="90"/>
      <c r="BB17" s="90"/>
      <c r="BC17" s="90"/>
      <c r="BD17" s="102" t="s">
        <v>1293</v>
      </c>
      <c r="BF17">
        <f t="shared" si="0"/>
        <v>12</v>
      </c>
      <c r="BH17" t="s">
        <v>1807</v>
      </c>
      <c r="BI17" t="s">
        <v>1796</v>
      </c>
      <c r="BJ17" t="s">
        <v>1804</v>
      </c>
      <c r="BK17" t="s">
        <v>1804</v>
      </c>
      <c r="BL17" t="s">
        <v>1805</v>
      </c>
      <c r="BO17" s="105" t="s">
        <v>4209</v>
      </c>
      <c r="BP17" s="99"/>
      <c r="BQ17" s="100"/>
      <c r="BR17" s="99">
        <v>17.100000000000001</v>
      </c>
      <c r="BS17" s="100">
        <v>20</v>
      </c>
      <c r="BT17" s="99">
        <v>3.6</v>
      </c>
      <c r="BU17" s="100">
        <v>3.8</v>
      </c>
      <c r="CB17" t="s">
        <v>4243</v>
      </c>
      <c r="CC17" s="1197">
        <v>500</v>
      </c>
      <c r="CD17">
        <v>200</v>
      </c>
      <c r="CG17" s="2889" t="s">
        <v>5257</v>
      </c>
      <c r="CH17" s="2890"/>
      <c r="CI17" s="2891"/>
      <c r="CL17" t="s">
        <v>4242</v>
      </c>
      <c r="CM17" s="2" t="s">
        <v>4243</v>
      </c>
      <c r="CN17" s="2">
        <v>0.69</v>
      </c>
      <c r="CO17" s="2">
        <v>1</v>
      </c>
      <c r="CP17" s="2">
        <v>1</v>
      </c>
      <c r="CQ17" s="2">
        <v>0</v>
      </c>
      <c r="CR17" s="2">
        <v>0</v>
      </c>
      <c r="CS17" s="2">
        <v>7.1900000000000006E-2</v>
      </c>
      <c r="CT17" s="293">
        <v>5.67E-2</v>
      </c>
      <c r="DJ17" s="860" t="s">
        <v>3074</v>
      </c>
      <c r="DK17" s="1031" t="s">
        <v>3075</v>
      </c>
      <c r="EW17" s="2" t="s">
        <v>282</v>
      </c>
      <c r="FS17" s="1501" t="s">
        <v>4859</v>
      </c>
      <c r="FT17" s="1488">
        <v>0.75</v>
      </c>
      <c r="FU17" s="1488" t="s">
        <v>288</v>
      </c>
      <c r="FV17" s="1479" t="s">
        <v>4764</v>
      </c>
      <c r="FW17" s="273"/>
      <c r="FX17" s="273"/>
      <c r="FY17" s="273"/>
      <c r="FZ17" s="1495" t="s">
        <v>4835</v>
      </c>
      <c r="GA17" s="1496">
        <v>0.9</v>
      </c>
      <c r="GB17" s="273"/>
      <c r="GC17" s="273"/>
      <c r="GD17" s="1495" t="s">
        <v>4860</v>
      </c>
      <c r="GE17" s="1496">
        <v>1</v>
      </c>
      <c r="GF17" s="273"/>
      <c r="GG17" s="273"/>
      <c r="GH17" s="273"/>
      <c r="GI17" s="273"/>
      <c r="GJ17" s="273"/>
    </row>
    <row r="18" spans="1:192" ht="29.5" thickBot="1">
      <c r="A18" s="174">
        <f>IF('In Unit HVAC Worksheet'!D51="Yes",1,0)</f>
        <v>0</v>
      </c>
      <c r="C18" s="2" t="str">
        <f>IF(C17=TRUE,"Income Eligible ","")</f>
        <v/>
      </c>
      <c r="E18" s="103" t="s">
        <v>616</v>
      </c>
      <c r="J18" s="2589" t="s">
        <v>604</v>
      </c>
      <c r="K18" s="2591"/>
      <c r="S18" s="2" t="s">
        <v>1202</v>
      </c>
      <c r="T18" s="585" t="s">
        <v>288</v>
      </c>
      <c r="U18" s="585">
        <v>15</v>
      </c>
      <c r="V18" s="585" t="s">
        <v>288</v>
      </c>
      <c r="W18" s="585" t="s">
        <v>288</v>
      </c>
      <c r="X18" s="585">
        <v>10</v>
      </c>
      <c r="Y18" s="585"/>
      <c r="Z18" s="585"/>
      <c r="AA18" s="585"/>
      <c r="AB18" s="2" t="s">
        <v>565</v>
      </c>
      <c r="AC18" t="s">
        <v>5303</v>
      </c>
      <c r="AE18" s="1075" t="s">
        <v>3854</v>
      </c>
      <c r="AF18" s="1076" t="s">
        <v>975</v>
      </c>
      <c r="AG18" s="1076" t="s">
        <v>46</v>
      </c>
      <c r="AH18" s="1076" t="s">
        <v>43</v>
      </c>
      <c r="AI18" s="1076" t="s">
        <v>842</v>
      </c>
      <c r="AJ18" s="1077">
        <v>1000</v>
      </c>
      <c r="AK18" s="1077">
        <v>3000</v>
      </c>
      <c r="AL18" s="1078">
        <v>500</v>
      </c>
      <c r="AM18" s="1075">
        <v>0.69</v>
      </c>
      <c r="AN18" s="1075">
        <v>1</v>
      </c>
      <c r="AO18" s="1075">
        <v>1</v>
      </c>
      <c r="AP18" s="1075">
        <v>1</v>
      </c>
      <c r="AQ18" s="1075">
        <v>0.1</v>
      </c>
      <c r="AR18" s="1075">
        <v>0</v>
      </c>
      <c r="AS18" s="1075">
        <v>7.1900000000000006E-2</v>
      </c>
      <c r="AT18" s="1075">
        <v>5.67E-2</v>
      </c>
      <c r="AX18" t="s">
        <v>1300</v>
      </c>
      <c r="AY18" s="266"/>
      <c r="BF18">
        <f t="shared" si="0"/>
        <v>13</v>
      </c>
      <c r="BH18" t="s">
        <v>1635</v>
      </c>
      <c r="BI18" t="s">
        <v>1797</v>
      </c>
      <c r="BJ18" t="s">
        <v>1804</v>
      </c>
      <c r="BK18" t="s">
        <v>1804</v>
      </c>
      <c r="BL18" t="s">
        <v>1805</v>
      </c>
      <c r="BO18" s="105" t="s">
        <v>4206</v>
      </c>
      <c r="BP18" s="99"/>
      <c r="BQ18" s="100"/>
      <c r="BR18" s="99">
        <v>21.1</v>
      </c>
      <c r="BS18" s="100">
        <v>25</v>
      </c>
      <c r="BT18" s="99">
        <v>4.0999999999999996</v>
      </c>
      <c r="BU18" s="100">
        <v>4.5</v>
      </c>
      <c r="CB18" t="s">
        <v>4241</v>
      </c>
      <c r="CC18" s="1197">
        <v>700</v>
      </c>
      <c r="CD18">
        <v>200</v>
      </c>
      <c r="CG18" s="1152" t="s">
        <v>1182</v>
      </c>
      <c r="CH18" s="1152" t="s">
        <v>4240</v>
      </c>
      <c r="CI18" s="1152" t="s">
        <v>4239</v>
      </c>
      <c r="CL18" t="s">
        <v>4238</v>
      </c>
      <c r="CM18" s="2" t="s">
        <v>4241</v>
      </c>
      <c r="CN18" s="2">
        <v>0.69</v>
      </c>
      <c r="CO18" s="2">
        <v>1</v>
      </c>
      <c r="CP18" s="2">
        <v>1</v>
      </c>
      <c r="CQ18" s="2">
        <v>0</v>
      </c>
      <c r="CR18" s="2">
        <v>0</v>
      </c>
      <c r="CS18" s="2">
        <v>7.1900000000000006E-2</v>
      </c>
      <c r="CT18" s="293">
        <v>5.67E-2</v>
      </c>
      <c r="DJ18" s="647">
        <v>5</v>
      </c>
      <c r="DK18" s="648">
        <v>0.875</v>
      </c>
      <c r="DL18" t="s">
        <v>35</v>
      </c>
      <c r="EW18" s="2" t="s">
        <v>1404</v>
      </c>
      <c r="FS18" s="1501" t="s">
        <v>4861</v>
      </c>
      <c r="FT18" s="1489">
        <v>33000</v>
      </c>
      <c r="FU18" s="1488" t="s">
        <v>4862</v>
      </c>
      <c r="FV18" s="1479" t="s">
        <v>4764</v>
      </c>
      <c r="FW18" s="273"/>
      <c r="FX18" s="273"/>
      <c r="FY18" s="273"/>
      <c r="FZ18" s="1497" t="s">
        <v>4839</v>
      </c>
      <c r="GA18" s="1496">
        <v>0.94</v>
      </c>
      <c r="GB18" s="273"/>
      <c r="GC18" s="273"/>
      <c r="GD18" s="1495" t="s">
        <v>4818</v>
      </c>
      <c r="GE18" s="1496">
        <v>0.7</v>
      </c>
      <c r="GF18" s="273"/>
      <c r="GG18" s="273"/>
      <c r="GH18" s="273"/>
      <c r="GI18" s="273"/>
      <c r="GJ18" s="273"/>
    </row>
    <row r="19" spans="1:192" ht="31.5" thickBot="1">
      <c r="E19" s="104" t="s">
        <v>41</v>
      </c>
      <c r="H19" s="114" t="s">
        <v>673</v>
      </c>
      <c r="I19" s="1067" t="s">
        <v>723</v>
      </c>
      <c r="J19" s="114" t="s">
        <v>732</v>
      </c>
      <c r="K19" s="114" t="s">
        <v>670</v>
      </c>
      <c r="L19" s="252" t="s">
        <v>3869</v>
      </c>
      <c r="M19" s="252" t="s">
        <v>3870</v>
      </c>
      <c r="N19" s="114" t="s">
        <v>618</v>
      </c>
      <c r="O19" s="114" t="s">
        <v>606</v>
      </c>
      <c r="S19" s="255" t="s">
        <v>19</v>
      </c>
      <c r="T19" s="256">
        <v>16</v>
      </c>
      <c r="U19" s="257">
        <v>17</v>
      </c>
      <c r="V19" s="258">
        <v>18</v>
      </c>
      <c r="W19" s="256"/>
      <c r="X19" s="258"/>
      <c r="Y19" s="257"/>
      <c r="Z19" s="257"/>
      <c r="AA19" s="259">
        <v>2</v>
      </c>
      <c r="AB19" s="260" t="s">
        <v>72</v>
      </c>
      <c r="AE19" s="302" t="s">
        <v>50</v>
      </c>
      <c r="AF19" s="302" t="s">
        <v>206</v>
      </c>
      <c r="AG19" s="302" t="s">
        <v>172</v>
      </c>
      <c r="AH19" s="302" t="s">
        <v>43</v>
      </c>
      <c r="AI19" s="302" t="s">
        <v>556</v>
      </c>
      <c r="AJ19" s="302">
        <v>300</v>
      </c>
      <c r="AK19" s="302">
        <v>300</v>
      </c>
      <c r="AL19" s="311">
        <v>200</v>
      </c>
      <c r="AM19" s="302">
        <v>0.69</v>
      </c>
      <c r="AN19" s="302">
        <v>1</v>
      </c>
      <c r="AO19" s="302">
        <v>1</v>
      </c>
      <c r="AP19" s="302">
        <v>1</v>
      </c>
      <c r="AQ19" s="302">
        <v>0.1</v>
      </c>
      <c r="AR19" s="302">
        <v>0</v>
      </c>
      <c r="AS19" s="302">
        <v>7.1900000000000006E-2</v>
      </c>
      <c r="AT19" s="302">
        <v>5.67E-2</v>
      </c>
      <c r="BF19">
        <f t="shared" si="0"/>
        <v>14</v>
      </c>
      <c r="BH19" t="s">
        <v>1629</v>
      </c>
      <c r="BI19" t="s">
        <v>1798</v>
      </c>
      <c r="BJ19" t="s">
        <v>1804</v>
      </c>
      <c r="BK19" t="s">
        <v>1804</v>
      </c>
      <c r="BL19" t="s">
        <v>1805</v>
      </c>
      <c r="BO19" s="105" t="s">
        <v>4134</v>
      </c>
      <c r="BP19" s="99"/>
      <c r="BQ19" s="100"/>
      <c r="BR19" s="99">
        <v>16.100000000000001</v>
      </c>
      <c r="BS19" s="100">
        <v>17.5</v>
      </c>
      <c r="BT19" s="99">
        <v>3.1</v>
      </c>
      <c r="BU19" s="100">
        <v>3.1</v>
      </c>
      <c r="BW19" s="253" t="s">
        <v>4237</v>
      </c>
      <c r="BX19" s="253"/>
      <c r="CB19" t="s">
        <v>4236</v>
      </c>
      <c r="CC19" s="1197">
        <v>500</v>
      </c>
      <c r="CD19">
        <v>200</v>
      </c>
      <c r="CG19" s="2" t="s">
        <v>1404</v>
      </c>
      <c r="CH19" s="1057">
        <v>15</v>
      </c>
      <c r="CI19" s="1057">
        <v>12.3</v>
      </c>
      <c r="CL19" t="s">
        <v>4235</v>
      </c>
      <c r="CM19" s="2" t="s">
        <v>4236</v>
      </c>
      <c r="CN19" s="2">
        <v>0.69</v>
      </c>
      <c r="CO19" s="2">
        <v>1</v>
      </c>
      <c r="CP19" s="2">
        <v>1</v>
      </c>
      <c r="CQ19" s="2">
        <v>0</v>
      </c>
      <c r="CR19" s="2">
        <v>0</v>
      </c>
      <c r="CS19" s="2">
        <v>7.1900000000000006E-2</v>
      </c>
      <c r="CT19" s="293">
        <v>5.67E-2</v>
      </c>
      <c r="DJ19" s="647">
        <v>7.5</v>
      </c>
      <c r="DK19" s="648">
        <v>0.89500000000000002</v>
      </c>
      <c r="DL19" t="s">
        <v>35</v>
      </c>
      <c r="DQ19" s="2" t="s">
        <v>3076</v>
      </c>
      <c r="DR19" s="2" t="s">
        <v>3077</v>
      </c>
      <c r="DS19" s="2" t="s">
        <v>3078</v>
      </c>
      <c r="DT19" s="2" t="s">
        <v>3079</v>
      </c>
      <c r="DV19" s="871"/>
      <c r="DW19" s="872" t="s">
        <v>3141</v>
      </c>
      <c r="DX19" s="873"/>
      <c r="DY19" s="874" t="s">
        <v>3142</v>
      </c>
      <c r="DZ19" s="875" t="s">
        <v>35</v>
      </c>
      <c r="EA19" s="875"/>
      <c r="EB19" s="875"/>
      <c r="EC19" s="873"/>
      <c r="ED19" s="874" t="s">
        <v>3143</v>
      </c>
      <c r="EE19" s="875" t="s">
        <v>35</v>
      </c>
      <c r="EF19" s="875"/>
      <c r="EG19" s="875"/>
      <c r="EH19" s="873"/>
      <c r="FS19" s="1501" t="s">
        <v>4863</v>
      </c>
      <c r="FT19" s="1488">
        <v>0.9</v>
      </c>
      <c r="FU19" s="1488" t="s">
        <v>288</v>
      </c>
      <c r="FV19" s="1479" t="s">
        <v>4764</v>
      </c>
      <c r="FW19" s="273"/>
      <c r="FX19" s="273"/>
      <c r="FY19" s="273"/>
      <c r="FZ19" s="1497" t="s">
        <v>4817</v>
      </c>
      <c r="GA19" s="1498">
        <v>0.95</v>
      </c>
      <c r="GB19" s="273"/>
      <c r="GC19" s="273"/>
      <c r="GD19" s="1497"/>
      <c r="GE19" s="1498"/>
      <c r="GF19" s="273"/>
      <c r="GG19" s="273"/>
      <c r="GH19" s="273"/>
      <c r="GI19" s="273"/>
      <c r="GJ19" s="273"/>
    </row>
    <row r="20" spans="1:192" ht="16" customHeight="1" thickBot="1">
      <c r="A20" s="248" t="s">
        <v>4445</v>
      </c>
      <c r="C20" s="114" t="s">
        <v>989</v>
      </c>
      <c r="E20" s="106" t="s">
        <v>42</v>
      </c>
      <c r="H20" s="2" t="s">
        <v>674</v>
      </c>
      <c r="I20" s="1104">
        <v>0</v>
      </c>
      <c r="J20" s="246">
        <v>1</v>
      </c>
      <c r="K20" s="2">
        <v>15</v>
      </c>
      <c r="L20" s="246">
        <v>0</v>
      </c>
      <c r="M20" s="297">
        <v>0.81</v>
      </c>
      <c r="N20" s="246">
        <v>0.8</v>
      </c>
      <c r="O20" s="2">
        <v>5.3060000000000003E-2</v>
      </c>
      <c r="P20" t="s">
        <v>607</v>
      </c>
      <c r="S20" s="255" t="s">
        <v>245</v>
      </c>
      <c r="T20" s="256">
        <v>18</v>
      </c>
      <c r="U20" s="257" t="s">
        <v>288</v>
      </c>
      <c r="V20" s="258" t="s">
        <v>288</v>
      </c>
      <c r="W20" s="256"/>
      <c r="X20" s="258"/>
      <c r="Y20" s="257"/>
      <c r="Z20" s="257"/>
      <c r="AA20" s="259">
        <v>2</v>
      </c>
      <c r="AB20" s="260" t="s">
        <v>448</v>
      </c>
      <c r="AE20" s="302" t="s">
        <v>51</v>
      </c>
      <c r="AF20" s="302" t="s">
        <v>208</v>
      </c>
      <c r="AG20" s="302" t="s">
        <v>172</v>
      </c>
      <c r="AH20" s="302" t="s">
        <v>43</v>
      </c>
      <c r="AI20" s="302" t="s">
        <v>557</v>
      </c>
      <c r="AJ20" s="302">
        <v>325</v>
      </c>
      <c r="AK20" s="302">
        <v>325</v>
      </c>
      <c r="AL20" s="311">
        <v>200</v>
      </c>
      <c r="AM20" s="302">
        <v>0.69</v>
      </c>
      <c r="AN20" s="302">
        <v>1</v>
      </c>
      <c r="AO20" s="302">
        <v>1</v>
      </c>
      <c r="AP20" s="302">
        <v>1</v>
      </c>
      <c r="AQ20" s="302">
        <v>0.1</v>
      </c>
      <c r="AR20" s="302">
        <v>0</v>
      </c>
      <c r="AS20" s="302">
        <v>7.1900000000000006E-2</v>
      </c>
      <c r="AT20" s="302">
        <v>5.67E-2</v>
      </c>
      <c r="AX20" s="498" t="s">
        <v>1311</v>
      </c>
      <c r="AY20" s="268"/>
      <c r="AZ20" s="499" t="s">
        <v>1317</v>
      </c>
      <c r="BB20" s="498" t="s">
        <v>1312</v>
      </c>
      <c r="BD20" s="499" t="s">
        <v>1321</v>
      </c>
      <c r="BF20">
        <f t="shared" si="0"/>
        <v>15</v>
      </c>
      <c r="BI20" t="s">
        <v>1799</v>
      </c>
      <c r="BJ20" t="s">
        <v>1804</v>
      </c>
      <c r="BK20" t="s">
        <v>1804</v>
      </c>
      <c r="BL20" t="s">
        <v>1810</v>
      </c>
      <c r="BO20" s="105" t="s">
        <v>4131</v>
      </c>
      <c r="BP20" s="99"/>
      <c r="BQ20" s="100"/>
      <c r="BR20" s="99">
        <v>20.100000000000001</v>
      </c>
      <c r="BS20" s="100">
        <v>23</v>
      </c>
      <c r="BT20" s="99">
        <v>3.5</v>
      </c>
      <c r="BU20" s="100">
        <v>3.7</v>
      </c>
      <c r="BW20" s="1199" t="s">
        <v>55</v>
      </c>
      <c r="BX20" s="1198">
        <v>630</v>
      </c>
      <c r="CB20" t="s">
        <v>4234</v>
      </c>
      <c r="CC20" s="1197">
        <v>700</v>
      </c>
      <c r="CD20">
        <v>200</v>
      </c>
      <c r="CG20" s="2" t="s">
        <v>4233</v>
      </c>
      <c r="CH20" s="1057">
        <v>15</v>
      </c>
      <c r="CI20" s="1057">
        <v>12.3</v>
      </c>
      <c r="CL20" t="s">
        <v>4232</v>
      </c>
      <c r="CM20" s="2" t="s">
        <v>4234</v>
      </c>
      <c r="CN20" s="2">
        <v>0.69</v>
      </c>
      <c r="CO20" s="2">
        <v>1</v>
      </c>
      <c r="CP20" s="2">
        <v>1</v>
      </c>
      <c r="CQ20" s="2">
        <v>0</v>
      </c>
      <c r="CR20" s="2">
        <v>0</v>
      </c>
      <c r="CS20" s="2">
        <v>7.1900000000000006E-2</v>
      </c>
      <c r="CT20" s="293">
        <v>5.67E-2</v>
      </c>
      <c r="DJ20" s="647">
        <v>10</v>
      </c>
      <c r="DK20" s="648">
        <v>0.89500000000000002</v>
      </c>
      <c r="DL20" t="s">
        <v>35</v>
      </c>
      <c r="DQ20" s="2" t="s">
        <v>3080</v>
      </c>
      <c r="DR20" s="2" t="s">
        <v>3081</v>
      </c>
      <c r="DS20" s="2" t="s">
        <v>3078</v>
      </c>
      <c r="DT20" s="2" t="s">
        <v>3082</v>
      </c>
      <c r="DV20" s="865" t="s">
        <v>2294</v>
      </c>
      <c r="DW20" s="866" t="s">
        <v>3094</v>
      </c>
      <c r="DX20" s="867" t="s">
        <v>3078</v>
      </c>
      <c r="DY20" s="866" t="s">
        <v>3079</v>
      </c>
      <c r="DZ20" s="868" t="s">
        <v>3082</v>
      </c>
      <c r="EA20" s="869" t="s">
        <v>3085</v>
      </c>
      <c r="EB20" s="869" t="s">
        <v>3095</v>
      </c>
      <c r="EC20" s="867" t="s">
        <v>3098</v>
      </c>
      <c r="ED20" s="866" t="s">
        <v>3079</v>
      </c>
      <c r="EE20" s="869" t="s">
        <v>3082</v>
      </c>
      <c r="EF20" s="869" t="s">
        <v>3085</v>
      </c>
      <c r="EG20" s="869" t="s">
        <v>3095</v>
      </c>
      <c r="EH20" s="870" t="s">
        <v>3098</v>
      </c>
      <c r="FS20" s="1501" t="s">
        <v>4864</v>
      </c>
      <c r="FT20" s="1500" t="s">
        <v>4865</v>
      </c>
      <c r="FU20" s="1481" t="s">
        <v>4851</v>
      </c>
      <c r="FV20" s="1479" t="s">
        <v>4764</v>
      </c>
      <c r="FW20" s="273"/>
      <c r="FX20" s="273"/>
      <c r="FY20" s="273"/>
      <c r="FZ20" s="273"/>
      <c r="GA20" s="273"/>
      <c r="GB20" s="273"/>
      <c r="GC20" s="273"/>
      <c r="GD20" s="273"/>
      <c r="GE20" s="273"/>
      <c r="GF20" s="273"/>
      <c r="GG20" s="273"/>
      <c r="GH20" s="273"/>
      <c r="GI20" s="273"/>
      <c r="GJ20" s="273"/>
    </row>
    <row r="21" spans="1:192" ht="15" customHeight="1">
      <c r="A21" s="174">
        <f>IF('Customer Information'!C13="New Construction",2,1)</f>
        <v>1</v>
      </c>
      <c r="C21" s="1889" t="b">
        <v>1</v>
      </c>
      <c r="H21" s="2" t="s">
        <v>675</v>
      </c>
      <c r="I21" s="1104">
        <v>0</v>
      </c>
      <c r="J21" s="246">
        <v>1</v>
      </c>
      <c r="K21" s="2">
        <v>15</v>
      </c>
      <c r="L21" s="246">
        <v>0</v>
      </c>
      <c r="M21" s="297">
        <v>0.83</v>
      </c>
      <c r="N21" s="246">
        <v>0.8</v>
      </c>
      <c r="O21" s="2">
        <v>7.3959999999999998E-2</v>
      </c>
      <c r="P21" t="s">
        <v>607</v>
      </c>
      <c r="AE21" s="302" t="s">
        <v>584</v>
      </c>
      <c r="AF21" s="302" t="s">
        <v>251</v>
      </c>
      <c r="AG21" s="302" t="s">
        <v>46</v>
      </c>
      <c r="AH21" s="302" t="s">
        <v>43</v>
      </c>
      <c r="AI21" s="302" t="s">
        <v>561</v>
      </c>
      <c r="AJ21" s="302">
        <v>275</v>
      </c>
      <c r="AK21" s="302">
        <v>275</v>
      </c>
      <c r="AL21" s="311">
        <v>200</v>
      </c>
      <c r="AM21" s="302">
        <v>0.69</v>
      </c>
      <c r="AN21" s="302">
        <v>1</v>
      </c>
      <c r="AO21" s="302">
        <v>1</v>
      </c>
      <c r="AP21" s="302">
        <v>1</v>
      </c>
      <c r="AQ21" s="302">
        <v>0.1</v>
      </c>
      <c r="AR21" s="302">
        <v>0</v>
      </c>
      <c r="AS21" s="302">
        <v>7.1900000000000006E-2</v>
      </c>
      <c r="AT21" s="302">
        <v>5.67E-2</v>
      </c>
      <c r="AX21" s="104" t="s">
        <v>644</v>
      </c>
      <c r="AY21" s="268"/>
      <c r="AZ21" s="104" t="s">
        <v>1316</v>
      </c>
      <c r="BB21" s="104" t="s">
        <v>281</v>
      </c>
      <c r="BD21" s="105" t="s">
        <v>1320</v>
      </c>
      <c r="BH21" t="s">
        <v>1299</v>
      </c>
      <c r="BI21" t="s">
        <v>1800</v>
      </c>
      <c r="BJ21" t="s">
        <v>1804</v>
      </c>
      <c r="BK21" t="s">
        <v>1804</v>
      </c>
      <c r="BL21" t="s">
        <v>1811</v>
      </c>
      <c r="BM21" s="134"/>
      <c r="BO21" s="105" t="s">
        <v>4199</v>
      </c>
      <c r="BP21" s="99"/>
      <c r="BQ21" s="100"/>
      <c r="BR21" s="99">
        <v>16</v>
      </c>
      <c r="BS21" s="100">
        <v>21</v>
      </c>
      <c r="BT21" s="99">
        <v>3.6</v>
      </c>
      <c r="BU21" s="1448">
        <v>4</v>
      </c>
      <c r="BW21" s="1198" t="s">
        <v>57</v>
      </c>
      <c r="BX21" s="1198">
        <v>934</v>
      </c>
      <c r="CB21" t="s">
        <v>4231</v>
      </c>
      <c r="CC21" s="1197">
        <v>500</v>
      </c>
      <c r="CD21">
        <v>200</v>
      </c>
      <c r="CG21" s="2" t="s">
        <v>72</v>
      </c>
      <c r="CH21" s="1057">
        <v>14</v>
      </c>
      <c r="CI21" s="1057">
        <v>11.2</v>
      </c>
      <c r="CL21" t="s">
        <v>4230</v>
      </c>
      <c r="CM21" s="2" t="s">
        <v>4231</v>
      </c>
      <c r="CN21" s="2">
        <v>0.69</v>
      </c>
      <c r="CO21" s="2">
        <v>1</v>
      </c>
      <c r="CP21" s="2">
        <v>1</v>
      </c>
      <c r="CQ21" s="2">
        <v>0</v>
      </c>
      <c r="CR21" s="2">
        <v>0</v>
      </c>
      <c r="CS21" s="2">
        <v>7.1900000000000006E-2</v>
      </c>
      <c r="CT21" s="293">
        <v>5.67E-2</v>
      </c>
      <c r="DJ21" s="647">
        <v>15</v>
      </c>
      <c r="DK21" s="648">
        <v>0.91</v>
      </c>
      <c r="DL21" t="s">
        <v>35</v>
      </c>
      <c r="DQ21" s="2" t="s">
        <v>3083</v>
      </c>
      <c r="DR21" s="2" t="s">
        <v>3084</v>
      </c>
      <c r="DS21" s="2" t="s">
        <v>3078</v>
      </c>
      <c r="DT21" s="2" t="s">
        <v>3085</v>
      </c>
      <c r="DV21" t="s">
        <v>2930</v>
      </c>
      <c r="DW21" s="1463">
        <v>1343</v>
      </c>
      <c r="DX21" s="1464">
        <v>6192</v>
      </c>
      <c r="DY21" s="1465">
        <v>0.111</v>
      </c>
      <c r="DZ21" s="1466">
        <v>0.04</v>
      </c>
      <c r="EA21" s="1466">
        <v>9.9000000000000005E-2</v>
      </c>
      <c r="EB21" s="1466">
        <v>9.2999999999999999E-2</v>
      </c>
      <c r="EC21" s="1467">
        <v>4.9000000000000002E-2</v>
      </c>
      <c r="ED21" s="1463">
        <v>0.55000000000000004</v>
      </c>
      <c r="EE21" s="273">
        <v>0.34</v>
      </c>
      <c r="EF21" s="273">
        <v>0.46500000000000002</v>
      </c>
      <c r="EG21" s="1466">
        <v>0.45200000000000001</v>
      </c>
      <c r="EH21" s="1468">
        <v>0.372</v>
      </c>
      <c r="FS21" s="1501" t="s">
        <v>4866</v>
      </c>
      <c r="FT21" s="1500" t="s">
        <v>4853</v>
      </c>
      <c r="FU21" s="1488" t="s">
        <v>288</v>
      </c>
      <c r="FV21" s="1479" t="s">
        <v>4764</v>
      </c>
      <c r="FW21" s="273"/>
      <c r="FX21" s="273"/>
      <c r="FY21" s="273"/>
      <c r="FZ21" s="2867" t="s">
        <v>4867</v>
      </c>
      <c r="GA21" s="2868"/>
      <c r="GB21" s="273"/>
      <c r="GC21" s="273"/>
      <c r="GD21" s="2867" t="s">
        <v>4867</v>
      </c>
      <c r="GE21" s="2868"/>
      <c r="GF21" s="273"/>
      <c r="GG21" s="273"/>
      <c r="GH21" s="273"/>
      <c r="GI21" s="273"/>
      <c r="GJ21" s="273"/>
    </row>
    <row r="22" spans="1:192" ht="31.5" thickBot="1">
      <c r="C22" s="2" t="str">
        <f>IF(C21=TRUE,"Whole Unit ","")</f>
        <v xml:space="preserve">Whole Unit </v>
      </c>
      <c r="H22" s="2" t="s">
        <v>676</v>
      </c>
      <c r="I22" s="1104">
        <v>1</v>
      </c>
      <c r="J22" s="246">
        <v>0</v>
      </c>
      <c r="K22" s="2">
        <v>0</v>
      </c>
      <c r="L22" s="153">
        <v>0.78</v>
      </c>
      <c r="M22" s="297">
        <v>0</v>
      </c>
      <c r="N22" s="246">
        <v>0.8</v>
      </c>
      <c r="O22" s="274">
        <v>6.0825682663521725E-4</v>
      </c>
      <c r="P22" t="s">
        <v>610</v>
      </c>
      <c r="AE22" s="2" t="s">
        <v>1769</v>
      </c>
      <c r="AF22" s="2" t="s">
        <v>1788</v>
      </c>
      <c r="AG22" s="2" t="s">
        <v>172</v>
      </c>
      <c r="AH22" s="2" t="s">
        <v>43</v>
      </c>
      <c r="AI22" s="2" t="s">
        <v>1790</v>
      </c>
      <c r="AJ22" s="243">
        <v>375</v>
      </c>
      <c r="AK22" s="243">
        <v>375</v>
      </c>
      <c r="AL22" s="254">
        <v>250</v>
      </c>
      <c r="AM22" s="302">
        <v>0.69</v>
      </c>
      <c r="AN22" s="2">
        <v>1</v>
      </c>
      <c r="AO22" s="2">
        <v>1</v>
      </c>
      <c r="AP22" s="302">
        <v>1</v>
      </c>
      <c r="AQ22" s="2">
        <v>0.1</v>
      </c>
      <c r="AR22" s="2">
        <v>0</v>
      </c>
      <c r="AS22" s="302">
        <v>7.1900000000000006E-2</v>
      </c>
      <c r="AT22" s="302">
        <v>5.67E-2</v>
      </c>
      <c r="AX22" s="105" t="s">
        <v>734</v>
      </c>
      <c r="AY22" s="268"/>
      <c r="AZ22" s="105" t="s">
        <v>1315</v>
      </c>
      <c r="BB22" s="105" t="s">
        <v>280</v>
      </c>
      <c r="BD22" s="105" t="s">
        <v>1319</v>
      </c>
      <c r="BH22" t="s">
        <v>1297</v>
      </c>
      <c r="BI22" t="s">
        <v>1801</v>
      </c>
      <c r="BJ22" t="s">
        <v>1804</v>
      </c>
      <c r="BK22" t="s">
        <v>1804</v>
      </c>
      <c r="BL22" t="s">
        <v>1811</v>
      </c>
      <c r="BO22" s="1453" t="s">
        <v>4713</v>
      </c>
      <c r="BP22" s="1449"/>
      <c r="BQ22" s="1450"/>
      <c r="BR22" s="1449">
        <v>14.2</v>
      </c>
      <c r="BS22" s="1450">
        <v>100</v>
      </c>
      <c r="BT22" s="1449">
        <v>3</v>
      </c>
      <c r="BU22" s="1450">
        <v>100</v>
      </c>
      <c r="CB22" t="s">
        <v>4229</v>
      </c>
      <c r="CC22" s="1197">
        <v>700</v>
      </c>
      <c r="CD22">
        <v>200</v>
      </c>
      <c r="CG22" s="2" t="s">
        <v>171</v>
      </c>
      <c r="CH22" s="1057">
        <v>15</v>
      </c>
      <c r="CI22" s="1057">
        <v>12.3</v>
      </c>
      <c r="CL22" t="s">
        <v>4228</v>
      </c>
      <c r="CM22" s="2" t="s">
        <v>4229</v>
      </c>
      <c r="CN22" s="2">
        <v>0.69</v>
      </c>
      <c r="CO22" s="2">
        <v>1</v>
      </c>
      <c r="CP22" s="2">
        <v>1</v>
      </c>
      <c r="CQ22" s="2">
        <v>0</v>
      </c>
      <c r="CR22" s="2">
        <v>0</v>
      </c>
      <c r="CS22" s="2">
        <v>7.1900000000000006E-2</v>
      </c>
      <c r="CT22" s="293">
        <v>5.67E-2</v>
      </c>
      <c r="DJ22" s="647">
        <v>20</v>
      </c>
      <c r="DK22" s="648">
        <v>0.91</v>
      </c>
      <c r="DL22" t="s">
        <v>35</v>
      </c>
      <c r="DQ22" s="2" t="s">
        <v>3086</v>
      </c>
      <c r="DR22" s="2" t="s">
        <v>3087</v>
      </c>
      <c r="DS22" s="2" t="s">
        <v>3078</v>
      </c>
      <c r="DT22" s="2" t="s">
        <v>3079</v>
      </c>
      <c r="DV22" t="s">
        <v>2903</v>
      </c>
      <c r="DW22" s="1463">
        <v>1591</v>
      </c>
      <c r="DX22" s="1464">
        <v>3261</v>
      </c>
      <c r="DY22" s="1465">
        <v>0.111</v>
      </c>
      <c r="DZ22" s="1466">
        <v>0.04</v>
      </c>
      <c r="EA22" s="1466">
        <v>9.9000000000000005E-2</v>
      </c>
      <c r="EB22" s="1466">
        <v>9.2999999999999999E-2</v>
      </c>
      <c r="EC22" s="1467">
        <v>4.9000000000000002E-2</v>
      </c>
      <c r="ED22" s="1463">
        <v>0.51300000000000001</v>
      </c>
      <c r="EE22" s="273">
        <v>0.314</v>
      </c>
      <c r="EF22" s="273">
        <v>0.432</v>
      </c>
      <c r="EG22" s="1466">
        <v>0.40600000000000003</v>
      </c>
      <c r="EH22" s="1468">
        <v>0.32900000000000001</v>
      </c>
      <c r="FS22" s="1501" t="s">
        <v>4868</v>
      </c>
      <c r="FT22" s="1500" t="s">
        <v>4763</v>
      </c>
      <c r="FU22" s="1488" t="s">
        <v>4857</v>
      </c>
      <c r="FV22" s="1479" t="s">
        <v>4764</v>
      </c>
      <c r="FW22" s="273"/>
      <c r="FX22" s="273"/>
      <c r="FY22" s="273"/>
      <c r="FZ22" s="1497" t="s">
        <v>4869</v>
      </c>
      <c r="GA22" s="1498">
        <v>0.5</v>
      </c>
      <c r="GB22" s="273"/>
      <c r="GC22" s="273"/>
      <c r="GD22" s="1497" t="s">
        <v>4870</v>
      </c>
      <c r="GE22" s="1498">
        <v>0.5</v>
      </c>
      <c r="GF22" s="273"/>
      <c r="GG22" s="273"/>
      <c r="GH22" s="273"/>
      <c r="GI22" s="273"/>
      <c r="GJ22" s="273"/>
    </row>
    <row r="23" spans="1:192" ht="17.149999999999999" customHeight="1" thickBot="1">
      <c r="E23" s="116" t="s">
        <v>4465</v>
      </c>
      <c r="F23" s="111" t="b">
        <f>IF(OR(A25,WholeHouse_TF),TRUE, FALSE)</f>
        <v>1</v>
      </c>
      <c r="H23" s="2" t="s">
        <v>733</v>
      </c>
      <c r="I23" s="1104">
        <v>0</v>
      </c>
      <c r="J23" s="246">
        <v>1</v>
      </c>
      <c r="K23" s="2">
        <v>15</v>
      </c>
      <c r="L23" s="246">
        <v>0</v>
      </c>
      <c r="M23" s="297">
        <v>0.81</v>
      </c>
      <c r="N23" s="246">
        <v>0.8</v>
      </c>
      <c r="O23" s="2">
        <v>6.1460000000000001E-2</v>
      </c>
      <c r="P23" t="s">
        <v>607</v>
      </c>
      <c r="AE23" s="2" t="s">
        <v>1771</v>
      </c>
      <c r="AF23" s="2" t="s">
        <v>1791</v>
      </c>
      <c r="AG23" s="2" t="s">
        <v>46</v>
      </c>
      <c r="AH23" s="2" t="s">
        <v>43</v>
      </c>
      <c r="AI23" s="2" t="s">
        <v>1770</v>
      </c>
      <c r="AJ23" s="243">
        <v>350</v>
      </c>
      <c r="AK23" s="243">
        <v>350</v>
      </c>
      <c r="AL23" s="254">
        <v>250</v>
      </c>
      <c r="AM23" s="302">
        <v>0.69</v>
      </c>
      <c r="AN23" s="2">
        <v>1</v>
      </c>
      <c r="AO23" s="2">
        <v>1</v>
      </c>
      <c r="AP23" s="302">
        <v>1</v>
      </c>
      <c r="AQ23" s="2">
        <v>0.1</v>
      </c>
      <c r="AR23" s="2">
        <v>0</v>
      </c>
      <c r="AS23" s="302">
        <v>7.1900000000000006E-2</v>
      </c>
      <c r="AT23" s="302">
        <v>5.67E-2</v>
      </c>
      <c r="AX23" s="105" t="s">
        <v>1310</v>
      </c>
      <c r="AY23" s="268"/>
      <c r="AZ23" s="105" t="s">
        <v>1314</v>
      </c>
      <c r="BB23" s="105" t="s">
        <v>283</v>
      </c>
      <c r="BD23" s="106" t="s">
        <v>1318</v>
      </c>
      <c r="BH23" t="s">
        <v>1301</v>
      </c>
      <c r="BI23" t="s">
        <v>1802</v>
      </c>
      <c r="BJ23" t="s">
        <v>1804</v>
      </c>
      <c r="BK23" t="s">
        <v>1804</v>
      </c>
      <c r="BL23" t="s">
        <v>1811</v>
      </c>
      <c r="BO23" s="1454" t="s">
        <v>4714</v>
      </c>
      <c r="BP23" s="1451"/>
      <c r="BQ23" s="1452"/>
      <c r="BR23" s="1451">
        <v>13</v>
      </c>
      <c r="BS23" s="1452">
        <v>100</v>
      </c>
      <c r="BT23" s="1451">
        <v>2.8</v>
      </c>
      <c r="BU23" s="1452">
        <v>100</v>
      </c>
      <c r="CB23" t="s">
        <v>4225</v>
      </c>
      <c r="CC23" s="1197">
        <v>1000</v>
      </c>
      <c r="CD23">
        <v>0</v>
      </c>
      <c r="CG23" s="2" t="s">
        <v>4227</v>
      </c>
      <c r="CH23" s="1057">
        <v>11.222222222222223</v>
      </c>
      <c r="CI23" s="1057">
        <v>10.050123456790125</v>
      </c>
      <c r="CM23" s="2" t="s">
        <v>4709</v>
      </c>
      <c r="CN23" s="2">
        <v>0.69</v>
      </c>
      <c r="CO23" s="2">
        <v>1</v>
      </c>
      <c r="CP23" s="2">
        <v>1</v>
      </c>
      <c r="CQ23" s="2">
        <v>0</v>
      </c>
      <c r="CR23" s="2">
        <v>0</v>
      </c>
      <c r="CS23" s="2">
        <v>7.1900000000000006E-2</v>
      </c>
      <c r="CT23" s="293">
        <v>5.67E-2</v>
      </c>
      <c r="DJ23" s="647">
        <v>25</v>
      </c>
      <c r="DK23" s="648">
        <v>0.92400000000000004</v>
      </c>
      <c r="DL23" t="s">
        <v>35</v>
      </c>
      <c r="DQ23" s="2" t="s">
        <v>3088</v>
      </c>
      <c r="DR23" s="2" t="s">
        <v>3089</v>
      </c>
      <c r="DS23" s="2" t="s">
        <v>3078</v>
      </c>
      <c r="DT23" s="2" t="s">
        <v>3082</v>
      </c>
      <c r="DV23" t="s">
        <v>2937</v>
      </c>
      <c r="DW23" s="1463">
        <v>1890</v>
      </c>
      <c r="DX23" s="1464">
        <v>5573</v>
      </c>
      <c r="DY23" s="1465">
        <v>0.111</v>
      </c>
      <c r="DZ23" s="1466">
        <v>0.04</v>
      </c>
      <c r="EA23" s="1466">
        <v>9.9000000000000005E-2</v>
      </c>
      <c r="EB23" s="1466">
        <v>9.2999999999999999E-2</v>
      </c>
      <c r="EC23" s="1467">
        <v>4.9000000000000002E-2</v>
      </c>
      <c r="ED23" s="1463">
        <v>0.41099999999999998</v>
      </c>
      <c r="EE23" s="273">
        <v>0.21199999999999999</v>
      </c>
      <c r="EF23" s="273">
        <v>0.32500000000000001</v>
      </c>
      <c r="EG23" s="1466">
        <v>0.47299999999999998</v>
      </c>
      <c r="EH23" s="1468">
        <v>0.39100000000000001</v>
      </c>
      <c r="EW23" s="1044" t="s">
        <v>193</v>
      </c>
      <c r="EX23" s="1044" t="s">
        <v>38</v>
      </c>
      <c r="EY23" s="1044" t="s">
        <v>636</v>
      </c>
      <c r="EZ23" s="1044" t="s">
        <v>39</v>
      </c>
      <c r="FA23" s="1045" t="s">
        <v>3548</v>
      </c>
      <c r="FB23" s="1045" t="s">
        <v>194</v>
      </c>
      <c r="FC23" s="1045" t="s">
        <v>3549</v>
      </c>
      <c r="FD23" s="1045" t="s">
        <v>2608</v>
      </c>
      <c r="FE23" s="1045" t="s">
        <v>195</v>
      </c>
      <c r="FF23" s="1045" t="s">
        <v>196</v>
      </c>
      <c r="FG23" s="1046" t="s">
        <v>3550</v>
      </c>
      <c r="FH23" s="1046" t="s">
        <v>566</v>
      </c>
      <c r="FS23" s="1501" t="s">
        <v>4871</v>
      </c>
      <c r="FT23" s="1488">
        <v>0.35</v>
      </c>
      <c r="FU23" s="1488" t="s">
        <v>288</v>
      </c>
      <c r="FV23" s="1479" t="s">
        <v>4764</v>
      </c>
      <c r="FW23" s="273"/>
      <c r="FX23" s="273"/>
      <c r="FY23" s="273"/>
      <c r="FZ23" s="273"/>
      <c r="GA23" s="273"/>
      <c r="GB23" s="273"/>
      <c r="GC23" s="273"/>
      <c r="GD23" s="273"/>
      <c r="GE23" s="273"/>
      <c r="GF23" s="273"/>
      <c r="GG23" s="273"/>
      <c r="GH23" s="273"/>
      <c r="GI23" s="273"/>
      <c r="GJ23" s="273"/>
    </row>
    <row r="24" spans="1:192" ht="29">
      <c r="A24" s="114" t="s">
        <v>4471</v>
      </c>
      <c r="C24" s="114" t="s">
        <v>4443</v>
      </c>
      <c r="E24" s="99" t="s">
        <v>4466</v>
      </c>
      <c r="F24" s="100" t="b">
        <f>IF(SUM('Multi-Family Heat Pumps'!$F$56:$F$59)&gt;0,TRUE,FALSE)</f>
        <v>0</v>
      </c>
      <c r="H24" s="2" t="s">
        <v>677</v>
      </c>
      <c r="I24" s="1104">
        <v>0</v>
      </c>
      <c r="J24" s="246">
        <v>1</v>
      </c>
      <c r="K24" s="2">
        <v>15</v>
      </c>
      <c r="L24" s="246">
        <v>0</v>
      </c>
      <c r="M24" s="297">
        <v>0.80500000000000005</v>
      </c>
      <c r="N24" s="246">
        <v>0.8</v>
      </c>
      <c r="O24" s="2">
        <v>5.3060000000000003E-2</v>
      </c>
      <c r="P24" t="s">
        <v>607</v>
      </c>
      <c r="AE24" s="1079" t="s">
        <v>3855</v>
      </c>
      <c r="AF24" s="1079" t="s">
        <v>1791</v>
      </c>
      <c r="AG24" s="1079" t="s">
        <v>46</v>
      </c>
      <c r="AH24" s="1079" t="s">
        <v>43</v>
      </c>
      <c r="AI24" s="1079" t="s">
        <v>1770</v>
      </c>
      <c r="AJ24" s="1080">
        <v>350</v>
      </c>
      <c r="AK24" s="1080">
        <v>350</v>
      </c>
      <c r="AL24" s="1081">
        <v>250</v>
      </c>
      <c r="AM24" s="1075">
        <v>0.69</v>
      </c>
      <c r="AN24" s="1079">
        <v>1</v>
      </c>
      <c r="AO24" s="1079">
        <v>1</v>
      </c>
      <c r="AP24" s="1075">
        <v>1</v>
      </c>
      <c r="AQ24" s="1079">
        <v>0.1</v>
      </c>
      <c r="AR24" s="1079">
        <v>0</v>
      </c>
      <c r="AS24" s="1075">
        <v>7.1900000000000006E-2</v>
      </c>
      <c r="AT24" s="1075">
        <v>5.67E-2</v>
      </c>
      <c r="AX24" s="105" t="s">
        <v>1309</v>
      </c>
      <c r="AY24" s="268"/>
      <c r="AZ24" s="106" t="s">
        <v>1313</v>
      </c>
      <c r="BB24" s="105" t="s">
        <v>282</v>
      </c>
      <c r="BH24" t="s">
        <v>1760</v>
      </c>
      <c r="BI24" t="s">
        <v>1803</v>
      </c>
      <c r="BJ24" t="s">
        <v>1804</v>
      </c>
      <c r="BK24" t="s">
        <v>1804</v>
      </c>
      <c r="BL24" t="s">
        <v>1811</v>
      </c>
      <c r="CB24" t="s">
        <v>4223</v>
      </c>
      <c r="CC24" s="1197">
        <v>1000</v>
      </c>
      <c r="CD24">
        <v>0</v>
      </c>
      <c r="CG24" s="2" t="s">
        <v>1309</v>
      </c>
      <c r="CH24" s="1057">
        <v>12.99</v>
      </c>
      <c r="CI24" s="1057">
        <v>14.1</v>
      </c>
      <c r="CM24" s="2" t="s">
        <v>4710</v>
      </c>
      <c r="CN24" s="2">
        <v>0.69</v>
      </c>
      <c r="CO24" s="2">
        <v>1</v>
      </c>
      <c r="CP24" s="2">
        <v>1</v>
      </c>
      <c r="CQ24" s="2">
        <v>0</v>
      </c>
      <c r="CR24" s="2">
        <v>0</v>
      </c>
      <c r="CS24" s="2">
        <v>7.1900000000000006E-2</v>
      </c>
      <c r="CT24" s="293">
        <v>5.67E-2</v>
      </c>
      <c r="DJ24" s="647">
        <v>30</v>
      </c>
      <c r="DK24" s="648">
        <v>0.92400000000000004</v>
      </c>
      <c r="DL24" t="s">
        <v>35</v>
      </c>
      <c r="DQ24" s="2" t="s">
        <v>3090</v>
      </c>
      <c r="DR24" s="2" t="s">
        <v>3091</v>
      </c>
      <c r="DS24" s="2" t="s">
        <v>3078</v>
      </c>
      <c r="DT24" s="2" t="s">
        <v>3085</v>
      </c>
      <c r="DV24" t="s">
        <v>2888</v>
      </c>
      <c r="DW24" s="1463">
        <v>3584</v>
      </c>
      <c r="DX24" s="1464">
        <v>8374</v>
      </c>
      <c r="DY24" s="1465">
        <v>0.111</v>
      </c>
      <c r="DZ24" s="1466">
        <v>0.04</v>
      </c>
      <c r="EA24" s="1466">
        <v>9.9000000000000005E-2</v>
      </c>
      <c r="EB24" s="1466">
        <v>0.34599999999999997</v>
      </c>
      <c r="EC24" s="1467">
        <v>0.25700000000000001</v>
      </c>
      <c r="ED24" s="1463">
        <v>0.20599999999999999</v>
      </c>
      <c r="EE24" s="273">
        <v>0.09</v>
      </c>
      <c r="EF24" s="273">
        <v>0.157</v>
      </c>
      <c r="EG24" s="1466">
        <v>0.26700000000000002</v>
      </c>
      <c r="EH24" s="1468">
        <v>0.19500000000000001</v>
      </c>
      <c r="EW24" s="876" t="s">
        <v>3551</v>
      </c>
      <c r="EX24" s="174" t="s">
        <v>3552</v>
      </c>
      <c r="EY24" s="174" t="s">
        <v>3553</v>
      </c>
      <c r="EZ24" s="174" t="s">
        <v>3554</v>
      </c>
      <c r="FA24" s="174"/>
      <c r="FB24" s="1047">
        <v>0</v>
      </c>
      <c r="FC24" s="1047">
        <v>8.5000000000000006E-2</v>
      </c>
      <c r="FD24" s="1047">
        <v>0.06</v>
      </c>
      <c r="FE24" s="1047">
        <v>7.0000000000000007E-2</v>
      </c>
      <c r="FF24" s="1048">
        <v>0</v>
      </c>
      <c r="FG24" s="1048">
        <v>0</v>
      </c>
      <c r="FH24" s="1048">
        <v>1</v>
      </c>
      <c r="FS24" s="1501" t="s">
        <v>4872</v>
      </c>
      <c r="FT24" s="1488">
        <v>8760</v>
      </c>
      <c r="FU24" s="1488" t="s">
        <v>4873</v>
      </c>
      <c r="FV24" s="1479" t="s">
        <v>4764</v>
      </c>
      <c r="FW24" s="273"/>
      <c r="FX24" s="273"/>
      <c r="FY24" s="273"/>
      <c r="FZ24" s="2867" t="s">
        <v>4874</v>
      </c>
      <c r="GA24" s="2868"/>
      <c r="GB24" s="273"/>
      <c r="GC24" s="273"/>
      <c r="GD24" s="2867" t="s">
        <v>4875</v>
      </c>
      <c r="GE24" s="2868"/>
      <c r="GF24" s="273"/>
      <c r="GG24" s="273"/>
      <c r="GH24" s="273"/>
      <c r="GI24" s="273"/>
      <c r="GJ24" s="273"/>
    </row>
    <row r="25" spans="1:192" ht="14.5" customHeight="1" thickBot="1">
      <c r="A25" s="174" t="s">
        <v>5516</v>
      </c>
      <c r="C25" s="513" t="s">
        <v>5630</v>
      </c>
      <c r="E25" s="99" t="s">
        <v>4469</v>
      </c>
      <c r="F25" s="100" t="b">
        <f>IF(SUM('Multi-Family Heat Pumps'!$F$78:$F$81)&gt;0,TRUE,FALSE)</f>
        <v>1</v>
      </c>
      <c r="H25" s="2" t="s">
        <v>678</v>
      </c>
      <c r="I25" s="1104">
        <v>0</v>
      </c>
      <c r="J25" s="246">
        <v>1</v>
      </c>
      <c r="K25" s="2">
        <v>15</v>
      </c>
      <c r="L25" s="246">
        <v>0</v>
      </c>
      <c r="M25" s="297">
        <v>0.80499999999999994</v>
      </c>
      <c r="N25" s="246">
        <v>0.8</v>
      </c>
      <c r="O25" s="274">
        <v>7.3959999999999998E-2</v>
      </c>
      <c r="P25" t="s">
        <v>607</v>
      </c>
      <c r="T25" s="28" t="s">
        <v>75</v>
      </c>
      <c r="U25" s="28"/>
      <c r="V25" s="28"/>
      <c r="AE25" s="302" t="s">
        <v>190</v>
      </c>
      <c r="AF25" s="302" t="s">
        <v>252</v>
      </c>
      <c r="AG25" s="302" t="s">
        <v>172</v>
      </c>
      <c r="AH25" s="302" t="s">
        <v>43</v>
      </c>
      <c r="AI25" s="302" t="s">
        <v>558</v>
      </c>
      <c r="AJ25" s="310">
        <v>300</v>
      </c>
      <c r="AK25" s="310">
        <v>300</v>
      </c>
      <c r="AL25" s="311">
        <v>200</v>
      </c>
      <c r="AM25" s="302">
        <v>0.69</v>
      </c>
      <c r="AN25" s="302">
        <v>1</v>
      </c>
      <c r="AO25" s="302">
        <v>1</v>
      </c>
      <c r="AP25" s="302">
        <v>1</v>
      </c>
      <c r="AQ25" s="302">
        <v>0.1</v>
      </c>
      <c r="AR25" s="302">
        <v>0</v>
      </c>
      <c r="AS25" s="302">
        <v>7.1900000000000006E-2</v>
      </c>
      <c r="AT25" s="302">
        <v>5.67E-2</v>
      </c>
      <c r="AX25" s="106" t="s">
        <v>1308</v>
      </c>
      <c r="AY25" s="268"/>
      <c r="BB25" s="106" t="s">
        <v>292</v>
      </c>
      <c r="BP25" s="2580" t="s">
        <v>4222</v>
      </c>
      <c r="BQ25" s="2580"/>
      <c r="BS25" s="134" t="s">
        <v>4221</v>
      </c>
      <c r="CB25" t="s">
        <v>4219</v>
      </c>
      <c r="CC25" s="1197">
        <v>500</v>
      </c>
      <c r="CD25">
        <v>0</v>
      </c>
      <c r="CJ25" t="b">
        <f>IF(BQ31="Propane",'Space Heating Worksheet'!N37*FLH_Heat/Qualifying_Index!H125/91000)</f>
        <v>0</v>
      </c>
      <c r="CK25" s="1150"/>
      <c r="CM25" s="2" t="s">
        <v>4711</v>
      </c>
      <c r="CN25" s="2">
        <v>0.69</v>
      </c>
      <c r="CO25" s="2">
        <v>1</v>
      </c>
      <c r="CP25" s="2">
        <v>1</v>
      </c>
      <c r="CQ25" s="2">
        <v>0</v>
      </c>
      <c r="CR25" s="2">
        <v>0</v>
      </c>
      <c r="CS25" s="2">
        <v>7.1900000000000006E-2</v>
      </c>
      <c r="CT25" s="293">
        <v>5.67E-2</v>
      </c>
      <c r="DJ25" s="647">
        <v>40</v>
      </c>
      <c r="DK25" s="648">
        <v>0.93</v>
      </c>
      <c r="DL25" t="s">
        <v>35</v>
      </c>
      <c r="DQ25" s="2" t="s">
        <v>3092</v>
      </c>
      <c r="DR25" s="2" t="s">
        <v>3093</v>
      </c>
      <c r="DS25" s="2" t="s">
        <v>3094</v>
      </c>
      <c r="DT25" s="2" t="s">
        <v>3095</v>
      </c>
      <c r="DV25" t="s">
        <v>2933</v>
      </c>
      <c r="DW25" s="1463">
        <v>1037</v>
      </c>
      <c r="DX25" s="1464">
        <v>3699</v>
      </c>
      <c r="DY25" s="1465">
        <v>0.111</v>
      </c>
      <c r="DZ25" s="1466">
        <v>0.04</v>
      </c>
      <c r="EA25" s="1466">
        <v>9.9000000000000005E-2</v>
      </c>
      <c r="EB25" s="1466">
        <v>0.34599999999999997</v>
      </c>
      <c r="EC25" s="1467">
        <v>0.25700000000000001</v>
      </c>
      <c r="ED25" s="1463">
        <v>0.73399999999999999</v>
      </c>
      <c r="EE25" s="273">
        <v>0.495</v>
      </c>
      <c r="EF25" s="273">
        <v>0.64300000000000002</v>
      </c>
      <c r="EG25" s="1466">
        <v>0.27800000000000002</v>
      </c>
      <c r="EH25" s="1468">
        <v>0.20799999999999999</v>
      </c>
      <c r="EW25" s="876" t="s">
        <v>3555</v>
      </c>
      <c r="EX25" s="174" t="s">
        <v>3552</v>
      </c>
      <c r="EY25" s="174" t="s">
        <v>3553</v>
      </c>
      <c r="EZ25" s="174" t="s">
        <v>3556</v>
      </c>
      <c r="FA25" s="174"/>
      <c r="FB25" s="1047">
        <v>0</v>
      </c>
      <c r="FC25" s="1047">
        <v>8.5000000000000006E-2</v>
      </c>
      <c r="FD25" s="1047">
        <v>0.06</v>
      </c>
      <c r="FE25" s="1047">
        <v>7.0000000000000007E-2</v>
      </c>
      <c r="FF25" s="1048">
        <v>0</v>
      </c>
      <c r="FG25" s="1048">
        <v>0</v>
      </c>
      <c r="FH25" s="1048">
        <v>1</v>
      </c>
      <c r="FS25" s="1501" t="s">
        <v>4876</v>
      </c>
      <c r="FT25" s="1488">
        <v>0.11</v>
      </c>
      <c r="FU25" s="1488" t="s">
        <v>288</v>
      </c>
      <c r="FV25" s="1479" t="s">
        <v>4764</v>
      </c>
      <c r="FW25" s="273"/>
      <c r="FX25" s="273"/>
      <c r="FY25" s="273"/>
      <c r="FZ25" s="1497" t="s">
        <v>4877</v>
      </c>
      <c r="GA25" s="1498">
        <v>0.75</v>
      </c>
      <c r="GB25" s="273"/>
      <c r="GC25" s="273"/>
      <c r="GD25" s="1497" t="s">
        <v>4878</v>
      </c>
      <c r="GE25" s="1498">
        <v>0.35</v>
      </c>
      <c r="GF25" s="273"/>
      <c r="GG25" s="273"/>
      <c r="GH25" s="273"/>
      <c r="GI25" s="273"/>
      <c r="GJ25" s="273"/>
    </row>
    <row r="26" spans="1:192" ht="60.5" thickBot="1">
      <c r="C26" s="514" t="s">
        <v>5631</v>
      </c>
      <c r="E26" s="99" t="s">
        <v>4470</v>
      </c>
      <c r="F26" s="100" t="b">
        <f>IF(SUM('Multi-Family Heat Pumps'!$F$89:$F$92,'Multi-Family Heat Pumps'!$F$113:$F$116)&gt;0,TRUE,FALSE)</f>
        <v>1</v>
      </c>
      <c r="H26" s="2" t="s">
        <v>679</v>
      </c>
      <c r="I26" s="1104">
        <v>1</v>
      </c>
      <c r="J26" s="246">
        <v>0</v>
      </c>
      <c r="K26" s="2">
        <v>0</v>
      </c>
      <c r="L26" s="153">
        <v>0.78</v>
      </c>
      <c r="M26" s="297">
        <v>0</v>
      </c>
      <c r="N26" s="246">
        <v>0.8</v>
      </c>
      <c r="O26" s="274">
        <v>5.4259276059149056E-4</v>
      </c>
      <c r="P26" t="s">
        <v>610</v>
      </c>
      <c r="T26" s="21" t="s">
        <v>76</v>
      </c>
      <c r="U26" s="21" t="s">
        <v>74</v>
      </c>
      <c r="V26" s="21" t="s">
        <v>77</v>
      </c>
      <c r="AE26" s="618" t="s">
        <v>191</v>
      </c>
      <c r="AF26" s="618" t="s">
        <v>444</v>
      </c>
      <c r="AG26" s="368" t="s">
        <v>172</v>
      </c>
      <c r="AH26" s="368" t="s">
        <v>43</v>
      </c>
      <c r="AI26" s="368" t="s">
        <v>559</v>
      </c>
      <c r="AJ26" s="669">
        <v>325</v>
      </c>
      <c r="AK26" s="669">
        <v>325</v>
      </c>
      <c r="AL26" s="311">
        <v>200</v>
      </c>
      <c r="AM26" s="302">
        <v>0.69</v>
      </c>
      <c r="AN26" s="2">
        <v>1</v>
      </c>
      <c r="AO26" s="2">
        <v>1</v>
      </c>
      <c r="AP26" s="302">
        <v>1</v>
      </c>
      <c r="AQ26" s="2">
        <v>0.1</v>
      </c>
      <c r="AR26" s="2">
        <v>0</v>
      </c>
      <c r="AS26" s="302">
        <v>7.1900000000000006E-2</v>
      </c>
      <c r="AT26" s="302">
        <v>5.67E-2</v>
      </c>
      <c r="AX26" s="268"/>
      <c r="AY26" s="268"/>
      <c r="BP26" s="1193" t="s">
        <v>4207</v>
      </c>
      <c r="BQ26" s="1032" t="s">
        <v>4190</v>
      </c>
      <c r="BS26" s="103" t="s">
        <v>4218</v>
      </c>
      <c r="BT26" s="103" t="s">
        <v>4217</v>
      </c>
      <c r="BU26" s="273"/>
      <c r="CB26" t="s">
        <v>4215</v>
      </c>
      <c r="CC26" s="1197">
        <v>500</v>
      </c>
      <c r="CD26">
        <v>0</v>
      </c>
      <c r="CG26" s="2895" t="s">
        <v>4703</v>
      </c>
      <c r="CH26" s="2896"/>
      <c r="CI26" s="2896"/>
      <c r="CJ26" s="2897"/>
      <c r="CK26" s="265"/>
      <c r="CM26" s="2" t="s">
        <v>4712</v>
      </c>
      <c r="CN26" s="2">
        <v>0.69</v>
      </c>
      <c r="CO26" s="2">
        <v>1</v>
      </c>
      <c r="CP26" s="2">
        <v>1</v>
      </c>
      <c r="CQ26" s="2">
        <v>0</v>
      </c>
      <c r="CR26" s="2">
        <v>0</v>
      </c>
      <c r="CS26" s="2">
        <v>7.1900000000000006E-2</v>
      </c>
      <c r="CT26" s="293">
        <v>5.67E-2</v>
      </c>
      <c r="DJ26" s="647">
        <v>50</v>
      </c>
      <c r="DK26" s="648">
        <v>0.93</v>
      </c>
      <c r="DL26" t="s">
        <v>35</v>
      </c>
      <c r="DQ26" s="2" t="s">
        <v>3096</v>
      </c>
      <c r="DR26" s="2" t="s">
        <v>3097</v>
      </c>
      <c r="DS26" s="2" t="s">
        <v>3094</v>
      </c>
      <c r="DT26" s="2" t="s">
        <v>3098</v>
      </c>
      <c r="DV26" t="s">
        <v>2931</v>
      </c>
      <c r="DW26" s="1463">
        <v>1974</v>
      </c>
      <c r="DX26" s="1464">
        <v>4155</v>
      </c>
      <c r="DY26" s="1465">
        <v>0.111</v>
      </c>
      <c r="DZ26" s="1466">
        <v>0.04</v>
      </c>
      <c r="EA26" s="1466">
        <v>9.9000000000000005E-2</v>
      </c>
      <c r="EB26" s="1466">
        <v>9.2999999999999999E-2</v>
      </c>
      <c r="EC26" s="1467">
        <v>4.9000000000000002E-2</v>
      </c>
      <c r="ED26" s="1463">
        <v>0.45500000000000002</v>
      </c>
      <c r="EE26" s="273">
        <v>0.27</v>
      </c>
      <c r="EF26" s="273">
        <v>0.379</v>
      </c>
      <c r="EG26" s="1466">
        <v>0.41499999999999998</v>
      </c>
      <c r="EH26" s="1468">
        <v>0.33300000000000002</v>
      </c>
      <c r="EW26" s="876" t="s">
        <v>3557</v>
      </c>
      <c r="EX26" s="174" t="s">
        <v>3552</v>
      </c>
      <c r="EY26" s="174" t="s">
        <v>3553</v>
      </c>
      <c r="EZ26" s="174" t="s">
        <v>3558</v>
      </c>
      <c r="FA26" s="174"/>
      <c r="FB26" s="1047">
        <v>0</v>
      </c>
      <c r="FC26" s="1047">
        <v>8.5000000000000006E-2</v>
      </c>
      <c r="FD26" s="1047">
        <v>0.06</v>
      </c>
      <c r="FE26" s="1047">
        <v>7.0000000000000007E-2</v>
      </c>
      <c r="FF26" s="1048">
        <v>0</v>
      </c>
      <c r="FG26" s="1048">
        <v>0</v>
      </c>
      <c r="FH26" s="1048">
        <v>1</v>
      </c>
      <c r="FS26" s="1501" t="s">
        <v>4879</v>
      </c>
      <c r="FT26" s="1502" t="s">
        <v>4880</v>
      </c>
      <c r="FU26" s="1488" t="s">
        <v>288</v>
      </c>
      <c r="FV26" s="1479" t="s">
        <v>4764</v>
      </c>
      <c r="FW26" s="273"/>
      <c r="FX26" s="273"/>
      <c r="FY26" s="273"/>
      <c r="FZ26" s="273"/>
      <c r="GA26" s="273"/>
      <c r="GB26" s="273"/>
      <c r="GC26" s="273"/>
      <c r="GD26" s="273"/>
      <c r="GE26" s="273"/>
      <c r="GF26" s="273"/>
      <c r="GG26" s="273"/>
      <c r="GH26" s="273"/>
      <c r="GI26" s="273"/>
      <c r="GJ26" s="273"/>
    </row>
    <row r="27" spans="1:192" ht="31">
      <c r="C27" s="1032">
        <f>IF('Customer Information'!K13="",0,IF('Customer Information'!K13=C25,1,2))</f>
        <v>0</v>
      </c>
      <c r="E27" s="99" t="s">
        <v>3496</v>
      </c>
      <c r="F27" s="100" t="b">
        <f>IF(SUM('Multi-Family Heat Pumps'!$F$101:$F$104)&gt;0,TRUE,FALSE)</f>
        <v>1</v>
      </c>
      <c r="H27" s="105" t="s">
        <v>739</v>
      </c>
      <c r="I27" s="1104">
        <v>0</v>
      </c>
      <c r="J27" s="246">
        <v>1</v>
      </c>
      <c r="K27" s="2">
        <v>15</v>
      </c>
      <c r="L27" s="297">
        <v>0</v>
      </c>
      <c r="M27" s="297">
        <v>0.81</v>
      </c>
      <c r="N27" s="297">
        <v>0.8</v>
      </c>
      <c r="O27" s="2">
        <v>6.1460000000000001E-2</v>
      </c>
      <c r="P27" t="s">
        <v>607</v>
      </c>
      <c r="T27" s="23">
        <v>1.5939999999999999E-3</v>
      </c>
      <c r="U27" s="23"/>
      <c r="V27" s="23">
        <v>0.05</v>
      </c>
      <c r="AE27" s="618" t="s">
        <v>638</v>
      </c>
      <c r="AF27" s="618" t="s">
        <v>204</v>
      </c>
      <c r="AG27" s="368" t="s">
        <v>46</v>
      </c>
      <c r="AH27" s="368" t="s">
        <v>43</v>
      </c>
      <c r="AI27" s="368" t="s">
        <v>562</v>
      </c>
      <c r="AJ27" s="669">
        <v>275</v>
      </c>
      <c r="AK27" s="669">
        <v>275</v>
      </c>
      <c r="AL27" s="311">
        <v>200</v>
      </c>
      <c r="AM27" s="302">
        <v>0.69</v>
      </c>
      <c r="AN27" s="302">
        <v>1</v>
      </c>
      <c r="AO27" s="302">
        <v>1</v>
      </c>
      <c r="AP27" s="302">
        <v>1</v>
      </c>
      <c r="AQ27" s="302">
        <v>0.1</v>
      </c>
      <c r="AR27" s="302">
        <v>0</v>
      </c>
      <c r="AS27" s="302">
        <v>7.1900000000000006E-2</v>
      </c>
      <c r="AT27" s="302">
        <v>5.67E-2</v>
      </c>
      <c r="AX27" s="500" t="s">
        <v>1274</v>
      </c>
      <c r="AY27" s="268"/>
      <c r="AZ27" s="498" t="s">
        <v>1385</v>
      </c>
      <c r="BB27" s="2606" t="s">
        <v>1299</v>
      </c>
      <c r="BC27" s="2878"/>
      <c r="BE27" s="503" t="s">
        <v>1372</v>
      </c>
      <c r="BF27" s="504"/>
      <c r="BP27" s="2901" t="s">
        <v>4204</v>
      </c>
      <c r="BQ27" s="1187" t="s">
        <v>4188</v>
      </c>
      <c r="BS27" s="1196">
        <v>1</v>
      </c>
      <c r="BT27" s="1196" t="s">
        <v>1403</v>
      </c>
      <c r="BU27" s="273"/>
      <c r="BX27">
        <f>1000*0.65</f>
        <v>650</v>
      </c>
      <c r="BY27">
        <f>1000*1.35</f>
        <v>1350</v>
      </c>
      <c r="CB27" t="s">
        <v>4709</v>
      </c>
      <c r="CC27" s="1197">
        <v>1000</v>
      </c>
      <c r="CD27">
        <v>200</v>
      </c>
      <c r="CG27" s="2"/>
      <c r="CH27" s="1152" t="s">
        <v>3259</v>
      </c>
      <c r="CI27" s="1152" t="s">
        <v>2202</v>
      </c>
      <c r="CJ27" s="1152" t="s">
        <v>14</v>
      </c>
      <c r="CK27" s="265"/>
      <c r="CL27" t="s">
        <v>4226</v>
      </c>
      <c r="CM27" s="2" t="s">
        <v>4225</v>
      </c>
      <c r="CN27" s="2">
        <v>0.69</v>
      </c>
      <c r="CO27" s="2">
        <v>1</v>
      </c>
      <c r="CP27" s="2">
        <v>1</v>
      </c>
      <c r="CQ27" s="2">
        <v>0</v>
      </c>
      <c r="CR27" s="2">
        <v>0</v>
      </c>
      <c r="CS27" s="2">
        <v>7.1900000000000006E-2</v>
      </c>
      <c r="CT27" s="293">
        <v>5.67E-2</v>
      </c>
      <c r="DJ27" s="647">
        <v>60</v>
      </c>
      <c r="DK27" s="648">
        <v>0.93600000000000005</v>
      </c>
      <c r="DL27" t="s">
        <v>35</v>
      </c>
      <c r="DQ27" s="2" t="s">
        <v>3099</v>
      </c>
      <c r="DR27" s="2" t="s">
        <v>3100</v>
      </c>
      <c r="DS27" s="2" t="s">
        <v>3078</v>
      </c>
      <c r="DT27" s="2" t="s">
        <v>3079</v>
      </c>
      <c r="DV27" t="s">
        <v>2428</v>
      </c>
      <c r="DW27" s="1463">
        <v>1819</v>
      </c>
      <c r="DX27" s="1464">
        <v>6389</v>
      </c>
      <c r="DY27" s="1465">
        <v>0.111</v>
      </c>
      <c r="DZ27" s="1466">
        <v>0.04</v>
      </c>
      <c r="EA27" s="1466">
        <v>9.9000000000000005E-2</v>
      </c>
      <c r="EB27" s="1466">
        <v>9.2999999999999999E-2</v>
      </c>
      <c r="EC27" s="1467">
        <v>4.9000000000000002E-2</v>
      </c>
      <c r="ED27" s="1463">
        <v>0.41099999999999998</v>
      </c>
      <c r="EE27" s="273">
        <v>0.21199999999999999</v>
      </c>
      <c r="EF27" s="273">
        <v>0.32500000000000001</v>
      </c>
      <c r="EG27" s="1466">
        <v>0.47299999999999998</v>
      </c>
      <c r="EH27" s="1468">
        <v>0.39100000000000001</v>
      </c>
      <c r="EW27" s="876" t="s">
        <v>3559</v>
      </c>
      <c r="EX27" s="174" t="s">
        <v>3552</v>
      </c>
      <c r="EY27" s="174" t="s">
        <v>3553</v>
      </c>
      <c r="EZ27" s="174" t="s">
        <v>3560</v>
      </c>
      <c r="FA27" s="174"/>
      <c r="FB27" s="1047">
        <v>0</v>
      </c>
      <c r="FC27" s="1047">
        <v>8.5000000000000006E-2</v>
      </c>
      <c r="FD27" s="1047">
        <v>0.06</v>
      </c>
      <c r="FE27" s="1047">
        <v>7.0000000000000007E-2</v>
      </c>
      <c r="FF27" s="1048">
        <v>0</v>
      </c>
      <c r="FG27" s="1048">
        <v>0</v>
      </c>
      <c r="FH27" s="1048">
        <v>1</v>
      </c>
      <c r="FS27" s="1501" t="s">
        <v>4881</v>
      </c>
      <c r="FT27" s="1488">
        <v>0.5</v>
      </c>
      <c r="FU27" s="1488" t="s">
        <v>288</v>
      </c>
      <c r="FV27" s="1479" t="s">
        <v>4764</v>
      </c>
      <c r="FW27" s="273"/>
      <c r="FX27" s="273"/>
      <c r="FY27" s="273"/>
      <c r="FZ27" s="2867" t="s">
        <v>4882</v>
      </c>
      <c r="GA27" s="2868"/>
      <c r="GB27" s="273"/>
      <c r="GC27" s="273"/>
      <c r="GD27" s="2867" t="s">
        <v>4883</v>
      </c>
      <c r="GE27" s="2868"/>
      <c r="GF27" s="273"/>
      <c r="GG27" s="273"/>
      <c r="GH27" s="273"/>
      <c r="GI27" s="273"/>
      <c r="GJ27" s="273"/>
    </row>
    <row r="28" spans="1:192" ht="75" thickBot="1">
      <c r="E28" s="99" t="s">
        <v>4467</v>
      </c>
      <c r="F28" s="100" t="b">
        <f>IF(SUM('Multi-Family Heat Pumps'!$F$129:$F$135,'Multi-Family Heat Pumps'!$F$149:$F$152)&gt;0,TRUE,FALSE)</f>
        <v>0</v>
      </c>
      <c r="H28" s="2" t="s">
        <v>567</v>
      </c>
      <c r="I28" s="1104">
        <v>1</v>
      </c>
      <c r="J28" s="246">
        <v>0</v>
      </c>
      <c r="K28" s="2">
        <v>0</v>
      </c>
      <c r="L28" s="293">
        <v>1</v>
      </c>
      <c r="M28" s="297">
        <v>0</v>
      </c>
      <c r="N28" s="246">
        <v>0.8</v>
      </c>
      <c r="O28" s="274">
        <v>5.4259276059149056E-4</v>
      </c>
      <c r="P28" t="s">
        <v>610</v>
      </c>
      <c r="AE28" s="302" t="s">
        <v>825</v>
      </c>
      <c r="AF28" s="302" t="s">
        <v>205</v>
      </c>
      <c r="AG28" s="302" t="s">
        <v>172</v>
      </c>
      <c r="AH28" s="302" t="s">
        <v>43</v>
      </c>
      <c r="AI28" s="302" t="s">
        <v>560</v>
      </c>
      <c r="AJ28" s="312">
        <v>350</v>
      </c>
      <c r="AK28" s="312">
        <v>350</v>
      </c>
      <c r="AL28" s="311">
        <v>250</v>
      </c>
      <c r="AM28" s="302">
        <v>0.69</v>
      </c>
      <c r="AN28" s="302">
        <v>1</v>
      </c>
      <c r="AO28" s="302">
        <v>1</v>
      </c>
      <c r="AP28" s="302">
        <v>1</v>
      </c>
      <c r="AQ28" s="302">
        <v>0.1</v>
      </c>
      <c r="AR28" s="302">
        <v>0</v>
      </c>
      <c r="AS28" s="302">
        <v>7.1900000000000006E-2</v>
      </c>
      <c r="AT28" s="302">
        <v>5.67E-2</v>
      </c>
      <c r="AX28" s="104" t="s">
        <v>283</v>
      </c>
      <c r="AY28" s="268"/>
      <c r="AZ28" s="104" t="s">
        <v>1345</v>
      </c>
      <c r="BB28" s="116" t="s">
        <v>1345</v>
      </c>
      <c r="BC28" s="111" t="s">
        <v>1346</v>
      </c>
      <c r="BE28" s="99" t="s">
        <v>1345</v>
      </c>
      <c r="BF28" s="100" t="s">
        <v>1346</v>
      </c>
      <c r="BP28" s="2902"/>
      <c r="BQ28" s="245" t="s">
        <v>4190</v>
      </c>
      <c r="BS28" s="1196">
        <v>3</v>
      </c>
      <c r="BT28" s="1196" t="s">
        <v>2643</v>
      </c>
      <c r="BU28" s="273"/>
      <c r="CB28" t="s">
        <v>4965</v>
      </c>
      <c r="CC28" s="1197">
        <v>1000</v>
      </c>
      <c r="CD28">
        <v>200</v>
      </c>
      <c r="CF28" s="2" t="s">
        <v>3163</v>
      </c>
      <c r="CG28" s="2" t="s">
        <v>4213</v>
      </c>
      <c r="CH28" s="1183">
        <v>0.8</v>
      </c>
      <c r="CI28" s="1082"/>
      <c r="CJ28" s="585"/>
      <c r="CK28" s="1151"/>
      <c r="CL28" t="s">
        <v>4224</v>
      </c>
      <c r="CM28" s="2" t="s">
        <v>4223</v>
      </c>
      <c r="CN28" s="2">
        <v>0.69</v>
      </c>
      <c r="CO28" s="2">
        <v>1</v>
      </c>
      <c r="CP28" s="2">
        <v>1</v>
      </c>
      <c r="CQ28" s="2">
        <v>0</v>
      </c>
      <c r="CR28" s="2">
        <v>0</v>
      </c>
      <c r="CS28" s="2">
        <v>7.1900000000000006E-2</v>
      </c>
      <c r="CT28" s="293">
        <v>5.67E-2</v>
      </c>
      <c r="DJ28" s="647">
        <v>75</v>
      </c>
      <c r="DK28" s="648">
        <v>0.94099999999999995</v>
      </c>
      <c r="DL28" t="s">
        <v>35</v>
      </c>
      <c r="DQ28" s="2" t="s">
        <v>3101</v>
      </c>
      <c r="DR28" s="2" t="s">
        <v>3102</v>
      </c>
      <c r="DS28" s="2" t="s">
        <v>3078</v>
      </c>
      <c r="DT28" s="2" t="s">
        <v>3082</v>
      </c>
      <c r="DV28" t="s">
        <v>2936</v>
      </c>
      <c r="DW28" s="1463">
        <v>3584</v>
      </c>
      <c r="DX28" s="1464">
        <v>3719</v>
      </c>
      <c r="DY28" s="1465">
        <v>0.111</v>
      </c>
      <c r="DZ28" s="1466">
        <v>0.04</v>
      </c>
      <c r="EA28" s="1466">
        <v>9.9000000000000005E-2</v>
      </c>
      <c r="EB28" s="1466">
        <v>0.34599999999999997</v>
      </c>
      <c r="EC28" s="1467">
        <v>0.25700000000000001</v>
      </c>
      <c r="ED28" s="1463">
        <v>0.38200000000000001</v>
      </c>
      <c r="EE28" s="273">
        <v>0.20899999999999999</v>
      </c>
      <c r="EF28" s="273">
        <v>0.309</v>
      </c>
      <c r="EG28" s="1466">
        <v>0.39100000000000001</v>
      </c>
      <c r="EH28" s="1468">
        <v>0.308</v>
      </c>
      <c r="EW28" s="876" t="s">
        <v>3561</v>
      </c>
      <c r="EX28" s="174" t="s">
        <v>3552</v>
      </c>
      <c r="EY28" s="174" t="s">
        <v>3553</v>
      </c>
      <c r="EZ28" s="174" t="s">
        <v>3562</v>
      </c>
      <c r="FA28" s="174"/>
      <c r="FB28" s="1048">
        <v>0</v>
      </c>
      <c r="FC28" s="1047">
        <v>8.5000000000000006E-2</v>
      </c>
      <c r="FD28" s="1047">
        <v>0.06</v>
      </c>
      <c r="FE28" s="1047">
        <v>7.0000000000000007E-2</v>
      </c>
      <c r="FF28" s="1048">
        <v>0</v>
      </c>
      <c r="FG28" s="1048">
        <v>0</v>
      </c>
      <c r="FH28" s="1048">
        <v>1</v>
      </c>
      <c r="FS28" s="1501" t="s">
        <v>4884</v>
      </c>
      <c r="FT28" s="1488">
        <v>0.5</v>
      </c>
      <c r="FU28" s="1488" t="s">
        <v>288</v>
      </c>
      <c r="FV28" s="1479" t="s">
        <v>4764</v>
      </c>
      <c r="FW28" s="273"/>
      <c r="FX28" s="273"/>
      <c r="FY28" s="273"/>
      <c r="FZ28" s="1497" t="s">
        <v>4882</v>
      </c>
      <c r="GA28" s="1498">
        <v>33000</v>
      </c>
      <c r="GB28" s="273"/>
      <c r="GC28" s="273"/>
      <c r="GD28" s="1497" t="s">
        <v>4885</v>
      </c>
      <c r="GE28" s="1498">
        <v>0.5</v>
      </c>
      <c r="GF28" s="273"/>
      <c r="GG28" s="273"/>
      <c r="GH28" s="273"/>
      <c r="GI28" s="273"/>
      <c r="GJ28" s="273"/>
    </row>
    <row r="29" spans="1:192">
      <c r="E29" s="101" t="s">
        <v>4468</v>
      </c>
      <c r="F29" s="102" t="b">
        <f>IF(SUM('Multi-Family Heat Pumps'!$F$161:$F$164,'Multi-Family Heat Pumps'!$F$172:$F$175,'Multi-Family Heat Pumps'!$F$183:$F$186,'Multi-Family Heat Pumps'!$F$195:$F$198,'Multi-Family Heat Pumps'!$F$207:$F$210)&gt;0,TRUE,FALSE)</f>
        <v>1</v>
      </c>
      <c r="H29" s="2" t="s">
        <v>680</v>
      </c>
      <c r="I29" s="1104">
        <v>1</v>
      </c>
      <c r="J29" s="246">
        <v>0</v>
      </c>
      <c r="K29" s="2">
        <v>0</v>
      </c>
      <c r="L29" s="2">
        <v>2.011723329425557</v>
      </c>
      <c r="M29" s="297">
        <v>0</v>
      </c>
      <c r="N29" s="246">
        <v>1</v>
      </c>
      <c r="O29" s="274">
        <v>5.4259276059149056E-4</v>
      </c>
      <c r="P29" t="s">
        <v>610</v>
      </c>
      <c r="AE29" s="302" t="s">
        <v>1979</v>
      </c>
      <c r="AF29" s="302" t="s">
        <v>1768</v>
      </c>
      <c r="AG29" s="302" t="s">
        <v>46</v>
      </c>
      <c r="AH29" s="302" t="s">
        <v>43</v>
      </c>
      <c r="AI29" s="302" t="s">
        <v>563</v>
      </c>
      <c r="AJ29" s="312">
        <v>350</v>
      </c>
      <c r="AK29" s="312">
        <v>350</v>
      </c>
      <c r="AL29" s="311">
        <v>250</v>
      </c>
      <c r="AM29" s="302">
        <v>0.69</v>
      </c>
      <c r="AN29" s="302">
        <v>1</v>
      </c>
      <c r="AO29" s="302">
        <v>1</v>
      </c>
      <c r="AP29" s="302">
        <v>1</v>
      </c>
      <c r="AQ29" s="302">
        <v>0.1</v>
      </c>
      <c r="AR29" s="302">
        <v>0</v>
      </c>
      <c r="AS29" s="302">
        <v>7.1900000000000006E-2</v>
      </c>
      <c r="AT29" s="302">
        <v>5.67E-2</v>
      </c>
      <c r="AX29" s="105" t="s">
        <v>1324</v>
      </c>
      <c r="AY29" s="268"/>
      <c r="AZ29" s="105" t="s">
        <v>1386</v>
      </c>
      <c r="BB29" s="99" t="s">
        <v>1347</v>
      </c>
      <c r="BC29" s="100" t="s">
        <v>1348</v>
      </c>
      <c r="BE29" s="99" t="s">
        <v>1373</v>
      </c>
      <c r="BF29" s="100" t="s">
        <v>1374</v>
      </c>
      <c r="BU29" s="273"/>
      <c r="BW29" s="2589" t="s">
        <v>4212</v>
      </c>
      <c r="BX29" s="2591"/>
      <c r="CB29" t="s">
        <v>4711</v>
      </c>
      <c r="CC29" s="1197">
        <v>500</v>
      </c>
      <c r="CD29">
        <v>200</v>
      </c>
      <c r="CF29" s="2" t="s">
        <v>4076</v>
      </c>
      <c r="CG29" s="2" t="s">
        <v>4211</v>
      </c>
      <c r="CH29" s="1183">
        <v>0.8</v>
      </c>
      <c r="CI29" s="1195"/>
      <c r="CJ29" s="1194"/>
      <c r="CK29" s="1151"/>
      <c r="CL29" t="s">
        <v>4220</v>
      </c>
      <c r="CM29" s="2" t="s">
        <v>4219</v>
      </c>
      <c r="CN29" s="2">
        <v>0.69</v>
      </c>
      <c r="CO29" s="2">
        <v>1</v>
      </c>
      <c r="CP29" s="2">
        <v>1</v>
      </c>
      <c r="CQ29" s="2">
        <v>0</v>
      </c>
      <c r="CR29" s="2">
        <v>0</v>
      </c>
      <c r="CS29" s="2">
        <v>7.1900000000000006E-2</v>
      </c>
      <c r="CT29" s="293">
        <v>5.67E-2</v>
      </c>
      <c r="DJ29" s="647">
        <v>100</v>
      </c>
      <c r="DK29" s="648">
        <v>0.94499999999999995</v>
      </c>
      <c r="DL29" t="s">
        <v>35</v>
      </c>
      <c r="DQ29" s="2" t="s">
        <v>3103</v>
      </c>
      <c r="DR29" s="2" t="s">
        <v>3104</v>
      </c>
      <c r="DS29" s="2" t="s">
        <v>3078</v>
      </c>
      <c r="DT29" s="2" t="s">
        <v>3085</v>
      </c>
      <c r="DV29" t="s">
        <v>2932</v>
      </c>
      <c r="DW29" s="1463">
        <v>2416</v>
      </c>
      <c r="DX29" s="1464">
        <v>6389</v>
      </c>
      <c r="DY29" s="1465">
        <v>0.111</v>
      </c>
      <c r="DZ29" s="1466">
        <v>0.04</v>
      </c>
      <c r="EA29" s="1466">
        <v>9.9000000000000005E-2</v>
      </c>
      <c r="EB29" s="1466">
        <v>0.34599999999999997</v>
      </c>
      <c r="EC29" s="1467">
        <v>0.25700000000000001</v>
      </c>
      <c r="ED29" s="1463">
        <v>0.53200000000000003</v>
      </c>
      <c r="EE29" s="273">
        <v>0.318</v>
      </c>
      <c r="EF29" s="273">
        <v>0.443</v>
      </c>
      <c r="EG29" s="1466">
        <v>0.48799999999999999</v>
      </c>
      <c r="EH29" s="1468">
        <v>0.39900000000000002</v>
      </c>
      <c r="EW29" s="876" t="s">
        <v>3563</v>
      </c>
      <c r="EX29" s="174" t="s">
        <v>3552</v>
      </c>
      <c r="EY29" s="174" t="s">
        <v>3553</v>
      </c>
      <c r="EZ29" s="174" t="s">
        <v>3564</v>
      </c>
      <c r="FA29" s="174"/>
      <c r="FB29" s="1048">
        <v>0</v>
      </c>
      <c r="FC29" s="1047">
        <v>8.5000000000000006E-2</v>
      </c>
      <c r="FD29" s="1047">
        <v>0.06</v>
      </c>
      <c r="FE29" s="1047">
        <v>7.0000000000000007E-2</v>
      </c>
      <c r="FF29" s="1048">
        <v>0</v>
      </c>
      <c r="FG29" s="1048">
        <v>0</v>
      </c>
      <c r="FH29" s="1048">
        <v>1</v>
      </c>
      <c r="FS29" s="273"/>
      <c r="FT29" s="273"/>
      <c r="FU29" s="273"/>
      <c r="FV29" s="273"/>
      <c r="FW29" s="273"/>
      <c r="FX29" s="273"/>
      <c r="FY29" s="273"/>
      <c r="FZ29" s="273"/>
      <c r="GA29" s="273"/>
      <c r="GB29" s="273"/>
      <c r="GC29" s="273"/>
      <c r="GD29" s="273"/>
      <c r="GE29" s="273"/>
      <c r="GF29" s="273"/>
      <c r="GG29" s="273"/>
      <c r="GH29" s="273"/>
      <c r="GI29" s="273"/>
      <c r="GJ29" s="273"/>
    </row>
    <row r="30" spans="1:192" ht="15" thickBot="1">
      <c r="H30" s="2" t="s">
        <v>735</v>
      </c>
      <c r="I30" s="1104">
        <v>0</v>
      </c>
      <c r="J30" s="246">
        <v>1</v>
      </c>
      <c r="K30" s="2">
        <v>15</v>
      </c>
      <c r="L30" s="246">
        <v>0</v>
      </c>
      <c r="M30" s="297">
        <v>0.81</v>
      </c>
      <c r="N30" s="298">
        <v>0.8</v>
      </c>
      <c r="O30" s="2">
        <v>5.3060000000000003E-2</v>
      </c>
      <c r="P30" t="s">
        <v>607</v>
      </c>
      <c r="AE30" s="1075" t="s">
        <v>3856</v>
      </c>
      <c r="AF30" s="1075" t="s">
        <v>1768</v>
      </c>
      <c r="AG30" s="1075" t="s">
        <v>46</v>
      </c>
      <c r="AH30" s="1075" t="s">
        <v>43</v>
      </c>
      <c r="AI30" s="1075" t="s">
        <v>563</v>
      </c>
      <c r="AJ30" s="1077">
        <v>350</v>
      </c>
      <c r="AK30" s="1077">
        <v>350</v>
      </c>
      <c r="AL30" s="1078">
        <v>250</v>
      </c>
      <c r="AM30" s="1075">
        <v>0.69</v>
      </c>
      <c r="AN30" s="1075">
        <v>1</v>
      </c>
      <c r="AO30" s="1075">
        <v>1</v>
      </c>
      <c r="AP30" s="1075">
        <v>1</v>
      </c>
      <c r="AQ30" s="1075">
        <v>0.1</v>
      </c>
      <c r="AR30" s="1075">
        <v>0</v>
      </c>
      <c r="AS30" s="1075">
        <v>7.1900000000000006E-2</v>
      </c>
      <c r="AT30" s="1075">
        <v>5.67E-2</v>
      </c>
      <c r="AX30" s="105" t="s">
        <v>1323</v>
      </c>
      <c r="AY30" s="268"/>
      <c r="AZ30" s="105" t="s">
        <v>1387</v>
      </c>
      <c r="BB30" s="99" t="s">
        <v>1349</v>
      </c>
      <c r="BC30" s="100" t="s">
        <v>1350</v>
      </c>
      <c r="BE30" s="99" t="s">
        <v>1375</v>
      </c>
      <c r="BF30" s="100" t="s">
        <v>1350</v>
      </c>
      <c r="BP30" s="2580" t="s">
        <v>4210</v>
      </c>
      <c r="BQ30" s="2580"/>
      <c r="BU30" s="273"/>
      <c r="BW30" s="104" t="s">
        <v>4209</v>
      </c>
      <c r="BX30" s="111" t="s">
        <v>2211</v>
      </c>
      <c r="CB30" t="s">
        <v>4712</v>
      </c>
      <c r="CC30" s="1197">
        <v>500</v>
      </c>
      <c r="CD30">
        <v>200</v>
      </c>
      <c r="CF30" s="2" t="s">
        <v>281</v>
      </c>
      <c r="CG30" s="2" t="s">
        <v>4208</v>
      </c>
      <c r="CH30" s="1183">
        <v>0.83</v>
      </c>
      <c r="CI30" s="1189"/>
      <c r="CJ30" s="1188"/>
      <c r="CK30" s="847"/>
      <c r="CL30" t="s">
        <v>4216</v>
      </c>
      <c r="CM30" s="2" t="s">
        <v>4215</v>
      </c>
      <c r="CN30" s="2">
        <v>0.69</v>
      </c>
      <c r="CO30" s="2">
        <v>1</v>
      </c>
      <c r="CP30" s="2">
        <v>1</v>
      </c>
      <c r="CQ30" s="2">
        <v>0</v>
      </c>
      <c r="CR30" s="2">
        <v>0</v>
      </c>
      <c r="CS30" s="2">
        <v>7.1900000000000006E-2</v>
      </c>
      <c r="CT30" s="293">
        <v>5.67E-2</v>
      </c>
      <c r="DJ30" s="649">
        <v>200</v>
      </c>
      <c r="DK30" s="650">
        <v>0.95</v>
      </c>
      <c r="DL30" t="s">
        <v>35</v>
      </c>
      <c r="DQ30" s="2" t="s">
        <v>3105</v>
      </c>
      <c r="DR30" s="2" t="s">
        <v>3106</v>
      </c>
      <c r="DS30" s="2" t="s">
        <v>3078</v>
      </c>
      <c r="DT30" s="2" t="s">
        <v>3079</v>
      </c>
      <c r="DV30" t="s">
        <v>2406</v>
      </c>
      <c r="DW30" s="1463">
        <v>1393</v>
      </c>
      <c r="DX30" s="1464">
        <v>3720</v>
      </c>
      <c r="DY30" s="1465">
        <v>0.111</v>
      </c>
      <c r="DZ30" s="1466">
        <v>0.04</v>
      </c>
      <c r="EA30" s="1466">
        <v>9.9000000000000005E-2</v>
      </c>
      <c r="EB30" s="1466">
        <v>0.34599999999999997</v>
      </c>
      <c r="EC30" s="1467">
        <v>0.25700000000000001</v>
      </c>
      <c r="ED30" s="1463">
        <v>0.53</v>
      </c>
      <c r="EE30" s="273">
        <v>0.315</v>
      </c>
      <c r="EF30" s="273">
        <v>0.44</v>
      </c>
      <c r="EG30" s="1466">
        <v>0.44600000000000001</v>
      </c>
      <c r="EH30" s="1468">
        <v>0.36099999999999999</v>
      </c>
      <c r="FS30" s="273"/>
      <c r="FT30" s="273"/>
      <c r="FU30" s="273"/>
      <c r="FV30" s="273"/>
      <c r="FW30" s="273"/>
      <c r="FX30" s="273"/>
      <c r="FY30" s="273"/>
      <c r="FZ30" s="273"/>
      <c r="GA30" s="273"/>
      <c r="GB30" s="273"/>
      <c r="GC30" s="273"/>
      <c r="GD30" s="273"/>
      <c r="GE30" s="273"/>
      <c r="GF30" s="273"/>
      <c r="GG30" s="273"/>
      <c r="GH30" s="273"/>
      <c r="GI30" s="273"/>
      <c r="GJ30" s="273"/>
    </row>
    <row r="31" spans="1:192">
      <c r="A31" s="306" t="s">
        <v>2952</v>
      </c>
      <c r="B31" s="307" t="s">
        <v>3236</v>
      </c>
      <c r="C31" s="307" t="s">
        <v>3237</v>
      </c>
      <c r="D31" s="307" t="s">
        <v>3238</v>
      </c>
      <c r="E31" t="str">
        <f>IF(F23,"Space Heating and Air Conditioning Units","")</f>
        <v>Space Heating and Air Conditioning Units</v>
      </c>
      <c r="F31" t="str">
        <f>IF(E31="","",IF(OR(F24,F25,F26,F27,F28,F29),", ",""))</f>
        <v xml:space="preserve">, </v>
      </c>
      <c r="G31" t="str">
        <f>IF(E31="","",IF(AND(E32="",E33="",E34="",E35="",E36="",E37="",E38="",E39=""),"",IF(OR(G32="and ",G33="and ",G34="and ",G35="and ",G36="and ",G37="and ",G38="and "),"","and ")))</f>
        <v/>
      </c>
      <c r="H31" s="2" t="s">
        <v>736</v>
      </c>
      <c r="I31" s="1104">
        <v>0</v>
      </c>
      <c r="J31" s="246">
        <v>1</v>
      </c>
      <c r="K31" s="2">
        <v>15</v>
      </c>
      <c r="L31" s="246">
        <v>0</v>
      </c>
      <c r="M31" s="297">
        <v>0.83</v>
      </c>
      <c r="N31" s="298">
        <v>0.8</v>
      </c>
      <c r="O31" s="2">
        <v>7.3959999999999998E-2</v>
      </c>
      <c r="P31" t="s">
        <v>607</v>
      </c>
      <c r="AE31" s="302" t="s">
        <v>460</v>
      </c>
      <c r="AF31" s="302" t="s">
        <v>464</v>
      </c>
      <c r="AG31" s="302" t="s">
        <v>172</v>
      </c>
      <c r="AH31" s="302" t="s">
        <v>43</v>
      </c>
      <c r="AI31" s="302" t="s">
        <v>462</v>
      </c>
      <c r="AJ31" s="312">
        <v>100</v>
      </c>
      <c r="AK31" s="312">
        <v>100</v>
      </c>
      <c r="AL31" s="311">
        <v>200</v>
      </c>
      <c r="AM31" s="302">
        <v>0.69</v>
      </c>
      <c r="AN31" s="302">
        <v>1</v>
      </c>
      <c r="AO31" s="302">
        <v>1</v>
      </c>
      <c r="AP31" s="302">
        <v>1</v>
      </c>
      <c r="AQ31" s="302">
        <v>0.1</v>
      </c>
      <c r="AR31" s="302">
        <v>0</v>
      </c>
      <c r="AS31" s="302">
        <v>7.1900000000000006E-2</v>
      </c>
      <c r="AT31" s="302">
        <v>5.67E-2</v>
      </c>
      <c r="AX31" s="106" t="s">
        <v>1322</v>
      </c>
      <c r="AY31" s="268"/>
      <c r="AZ31" s="106" t="s">
        <v>1388</v>
      </c>
      <c r="BB31" s="99" t="s">
        <v>1351</v>
      </c>
      <c r="BC31" s="100" t="s">
        <v>1352</v>
      </c>
      <c r="BE31" s="99" t="s">
        <v>1376</v>
      </c>
      <c r="BF31" s="100" t="s">
        <v>1377</v>
      </c>
      <c r="BP31" s="1193" t="s">
        <v>4207</v>
      </c>
      <c r="BQ31" s="1192" t="str">
        <f>IF($A$21=1,$BQ$32,$BQ$33)</f>
        <v>Existing Building</v>
      </c>
      <c r="BR31" s="109"/>
      <c r="BU31" s="273"/>
      <c r="BW31" s="105" t="s">
        <v>4206</v>
      </c>
      <c r="BX31" s="1191" t="s">
        <v>4201</v>
      </c>
      <c r="BY31" s="1190"/>
      <c r="CF31" s="2" t="s">
        <v>3163</v>
      </c>
      <c r="CG31" s="2" t="s">
        <v>4205</v>
      </c>
      <c r="CH31" s="1183">
        <v>0.8</v>
      </c>
      <c r="CI31" s="1189"/>
      <c r="CJ31" s="1188"/>
      <c r="CM31" t="s">
        <v>4214</v>
      </c>
      <c r="CN31">
        <v>0.72</v>
      </c>
      <c r="CO31">
        <v>1</v>
      </c>
      <c r="CP31">
        <v>1</v>
      </c>
      <c r="CQ31">
        <v>0.1</v>
      </c>
      <c r="CR31">
        <v>0</v>
      </c>
      <c r="CS31">
        <v>7.1900000000000006E-2</v>
      </c>
      <c r="CT31" s="155">
        <v>5.67E-2</v>
      </c>
      <c r="DQ31" s="2" t="s">
        <v>3107</v>
      </c>
      <c r="DR31" s="2" t="s">
        <v>3108</v>
      </c>
      <c r="DS31" s="2" t="s">
        <v>3078</v>
      </c>
      <c r="DT31" s="2" t="s">
        <v>3082</v>
      </c>
      <c r="DV31" t="s">
        <v>2935</v>
      </c>
      <c r="DW31" s="1463">
        <v>840</v>
      </c>
      <c r="DX31" s="1464">
        <v>1501</v>
      </c>
      <c r="DY31" s="1465">
        <v>0.111</v>
      </c>
      <c r="DZ31" s="1466">
        <v>0.04</v>
      </c>
      <c r="EA31" s="1466">
        <v>9.9000000000000005E-2</v>
      </c>
      <c r="EB31" s="1466">
        <v>0.34599999999999997</v>
      </c>
      <c r="EC31" s="1467">
        <v>0.25700000000000001</v>
      </c>
      <c r="ED31" s="1463">
        <v>0.20799999999999999</v>
      </c>
      <c r="EE31" s="273">
        <v>9.1999999999999998E-2</v>
      </c>
      <c r="EF31" s="273">
        <v>0.159</v>
      </c>
      <c r="EG31" s="1466">
        <v>0.25800000000000001</v>
      </c>
      <c r="EH31" s="1468">
        <v>0.187</v>
      </c>
      <c r="FS31" s="273"/>
      <c r="FT31" s="273"/>
      <c r="FU31" s="273"/>
      <c r="FV31" s="273"/>
      <c r="FW31" s="273"/>
      <c r="FX31" s="273"/>
      <c r="FY31" s="273"/>
      <c r="FZ31" s="2867" t="s">
        <v>4886</v>
      </c>
      <c r="GA31" s="2868"/>
      <c r="GB31" s="273"/>
      <c r="GC31" s="273"/>
      <c r="GD31" s="2867" t="s">
        <v>4887</v>
      </c>
      <c r="GE31" s="2868"/>
      <c r="GF31" s="273"/>
      <c r="GG31" s="273"/>
      <c r="GH31" s="273"/>
      <c r="GI31" s="273"/>
      <c r="GJ31" s="273"/>
    </row>
    <row r="32" spans="1:192" ht="14.5" customHeight="1" thickBot="1">
      <c r="A32" s="308" t="s">
        <v>2955</v>
      </c>
      <c r="B32" s="104">
        <v>703</v>
      </c>
      <c r="C32" s="104">
        <v>675</v>
      </c>
      <c r="D32" s="104">
        <v>701</v>
      </c>
      <c r="E32" t="str">
        <f>IF(F24,"LED Lighting","")</f>
        <v/>
      </c>
      <c r="F32" t="str">
        <f>IF(E32="","",IF(OR(F25,F26,F27,F28,F29),", ",""))</f>
        <v/>
      </c>
      <c r="G32" t="str">
        <f>IF(AND(E31="",E32=""),"",IF(AND(E33="",E34="",E35="",E36="",E37="",E38="",E39=""),"",IF(OR(G33="and ",G34="and ",G35="and ",G36="and ",G37="and ",G38="and "),"","and ")))</f>
        <v/>
      </c>
      <c r="H32" s="2" t="s">
        <v>737</v>
      </c>
      <c r="I32" s="1104">
        <v>1</v>
      </c>
      <c r="J32" s="246">
        <v>0</v>
      </c>
      <c r="K32" s="2">
        <v>0</v>
      </c>
      <c r="L32" s="2">
        <v>1</v>
      </c>
      <c r="M32" s="297">
        <v>0</v>
      </c>
      <c r="N32" s="2">
        <v>0.8</v>
      </c>
      <c r="O32" s="274">
        <v>6.0825682663521725E-4</v>
      </c>
      <c r="P32" t="s">
        <v>610</v>
      </c>
      <c r="AE32" s="302" t="s">
        <v>461</v>
      </c>
      <c r="AF32" s="302" t="s">
        <v>465</v>
      </c>
      <c r="AG32" s="302" t="s">
        <v>172</v>
      </c>
      <c r="AH32" s="302" t="s">
        <v>43</v>
      </c>
      <c r="AI32" s="302" t="s">
        <v>463</v>
      </c>
      <c r="AJ32" s="312">
        <v>100</v>
      </c>
      <c r="AK32" s="312">
        <v>100</v>
      </c>
      <c r="AL32" s="311">
        <v>200</v>
      </c>
      <c r="AM32" s="302">
        <v>0.69</v>
      </c>
      <c r="AN32" s="302">
        <v>1</v>
      </c>
      <c r="AO32" s="302">
        <v>1</v>
      </c>
      <c r="AP32" s="302">
        <v>1</v>
      </c>
      <c r="AQ32" s="302">
        <v>0.1</v>
      </c>
      <c r="AR32" s="302">
        <v>0</v>
      </c>
      <c r="AS32" s="302">
        <v>7.1900000000000006E-2</v>
      </c>
      <c r="AT32" s="302">
        <v>5.67E-2</v>
      </c>
      <c r="AX32" s="268"/>
      <c r="AY32" s="268"/>
      <c r="BB32" s="99" t="s">
        <v>1353</v>
      </c>
      <c r="BC32" s="100" t="s">
        <v>1354</v>
      </c>
      <c r="BE32" s="99" t="s">
        <v>1378</v>
      </c>
      <c r="BF32" s="100" t="s">
        <v>1379</v>
      </c>
      <c r="BP32" s="2901" t="s">
        <v>4204</v>
      </c>
      <c r="BQ32" s="1187" t="s">
        <v>4203</v>
      </c>
      <c r="BU32" s="273"/>
      <c r="BW32" s="105" t="s">
        <v>4134</v>
      </c>
      <c r="BX32" s="100" t="s">
        <v>2211</v>
      </c>
      <c r="CF32" s="2" t="s">
        <v>4076</v>
      </c>
      <c r="CG32" s="2" t="s">
        <v>4202</v>
      </c>
      <c r="CH32" s="1183">
        <v>0.8</v>
      </c>
      <c r="CI32" s="1083"/>
      <c r="CJ32" s="1083"/>
      <c r="CK32" s="1150"/>
      <c r="DQ32" s="2" t="s">
        <v>3109</v>
      </c>
      <c r="DR32" s="2" t="s">
        <v>3110</v>
      </c>
      <c r="DS32" s="2" t="s">
        <v>3078</v>
      </c>
      <c r="DT32" s="2" t="s">
        <v>3085</v>
      </c>
      <c r="DV32" t="s">
        <v>2934</v>
      </c>
      <c r="DW32" s="1463">
        <v>2088</v>
      </c>
      <c r="DX32" s="1464">
        <v>3631</v>
      </c>
      <c r="DY32" s="1465">
        <v>0.111</v>
      </c>
      <c r="DZ32" s="1466">
        <v>0.04</v>
      </c>
      <c r="EA32" s="1466">
        <v>9.9000000000000005E-2</v>
      </c>
      <c r="EB32" s="1466">
        <v>0.34599999999999997</v>
      </c>
      <c r="EC32" s="1467">
        <v>0.25700000000000001</v>
      </c>
      <c r="ED32" s="1463">
        <v>0.48099999999999998</v>
      </c>
      <c r="EE32" s="273">
        <v>0.27800000000000002</v>
      </c>
      <c r="EF32" s="273">
        <v>0.39500000000000002</v>
      </c>
      <c r="EG32" s="1466">
        <v>0.36299999999999999</v>
      </c>
      <c r="EH32" s="1468">
        <v>0.29299999999999998</v>
      </c>
      <c r="FS32" s="273"/>
      <c r="FT32" s="273"/>
      <c r="FU32" s="273"/>
      <c r="FV32" s="273"/>
      <c r="FW32" s="273"/>
      <c r="FX32" s="273"/>
      <c r="FY32" s="273"/>
      <c r="FZ32" s="1497" t="s">
        <v>4888</v>
      </c>
      <c r="GA32" s="1498">
        <v>0.9</v>
      </c>
      <c r="GB32" s="273"/>
      <c r="GC32" s="273"/>
      <c r="GD32" s="1497" t="s">
        <v>4889</v>
      </c>
      <c r="GE32" s="1498">
        <v>0.5</v>
      </c>
      <c r="GF32" s="273"/>
      <c r="GG32" s="273"/>
      <c r="GH32" s="273"/>
      <c r="GI32" s="273"/>
      <c r="GJ32" s="273"/>
    </row>
    <row r="33" spans="1:192" ht="15" thickBot="1">
      <c r="A33" s="106" t="s">
        <v>2953</v>
      </c>
      <c r="B33" s="106">
        <v>855</v>
      </c>
      <c r="C33" s="106">
        <v>1265</v>
      </c>
      <c r="D33" s="106">
        <v>642</v>
      </c>
      <c r="E33" t="str">
        <f>IF(F25,"Clothes Washers","")</f>
        <v>Clothes Washers</v>
      </c>
      <c r="F33" t="str">
        <f>IF(E33="","",IF(OR(F26,F27,F28,F29),", ",""))</f>
        <v xml:space="preserve">, </v>
      </c>
      <c r="G33" t="str">
        <f>IF(AND(E31="",E32="",E33=""),"",IF(AND(E34="",E35="",E36="",E37="",E38="",E39=""),"",IF(OR(G34="and ",G35="and ",G36="and ",G37="and ",G38="and "),"","and ")))</f>
        <v/>
      </c>
      <c r="H33" s="2" t="s">
        <v>681</v>
      </c>
      <c r="I33" s="1104">
        <v>0</v>
      </c>
      <c r="J33" s="246">
        <v>1</v>
      </c>
      <c r="K33" s="2">
        <v>15</v>
      </c>
      <c r="L33" s="246">
        <v>0</v>
      </c>
      <c r="M33" s="297">
        <v>0.81</v>
      </c>
      <c r="N33" s="246">
        <v>0.8</v>
      </c>
      <c r="O33" s="2">
        <v>6.1460000000000001E-2</v>
      </c>
      <c r="P33" t="s">
        <v>607</v>
      </c>
      <c r="AE33" s="302" t="s">
        <v>269</v>
      </c>
      <c r="AF33" s="302" t="s">
        <v>267</v>
      </c>
      <c r="AG33" s="302" t="s">
        <v>47</v>
      </c>
      <c r="AH33" s="302" t="s">
        <v>43</v>
      </c>
      <c r="AI33" s="302" t="s">
        <v>266</v>
      </c>
      <c r="AJ33" s="312">
        <v>35</v>
      </c>
      <c r="AK33" s="312">
        <v>35</v>
      </c>
      <c r="AL33" s="311">
        <v>0</v>
      </c>
      <c r="AM33" s="302">
        <v>0</v>
      </c>
      <c r="AN33" s="302">
        <v>1</v>
      </c>
      <c r="AO33" s="302">
        <v>1</v>
      </c>
      <c r="AP33" s="302">
        <v>1</v>
      </c>
      <c r="AQ33" s="302">
        <v>0.1</v>
      </c>
      <c r="AR33" s="302">
        <v>0</v>
      </c>
      <c r="AS33" s="302">
        <v>7.1900000000000006E-2</v>
      </c>
      <c r="AT33" s="302">
        <v>5.67E-2</v>
      </c>
      <c r="AX33" s="505" t="s">
        <v>794</v>
      </c>
      <c r="AZ33" s="500" t="s">
        <v>1389</v>
      </c>
      <c r="BB33" s="99" t="s">
        <v>1355</v>
      </c>
      <c r="BC33" s="100" t="s">
        <v>1356</v>
      </c>
      <c r="BE33" s="99" t="s">
        <v>1380</v>
      </c>
      <c r="BF33" s="100" t="s">
        <v>1381</v>
      </c>
      <c r="BP33" s="2902"/>
      <c r="BQ33" s="245" t="s">
        <v>605</v>
      </c>
      <c r="BU33" s="273"/>
      <c r="BW33" s="105" t="s">
        <v>4131</v>
      </c>
      <c r="BX33" s="100" t="s">
        <v>4201</v>
      </c>
      <c r="CF33" s="2" t="s">
        <v>281</v>
      </c>
      <c r="CG33" s="2" t="s">
        <v>4200</v>
      </c>
      <c r="CH33" s="1183">
        <v>0.8</v>
      </c>
      <c r="CI33" s="585"/>
      <c r="CJ33" s="585"/>
      <c r="CK33" s="265"/>
      <c r="CL33" s="821"/>
      <c r="DQ33" s="2" t="s">
        <v>3111</v>
      </c>
      <c r="DR33" s="2" t="s">
        <v>3112</v>
      </c>
      <c r="DS33" s="2" t="s">
        <v>3094</v>
      </c>
      <c r="DT33" s="2" t="s">
        <v>3095</v>
      </c>
      <c r="DV33" t="s">
        <v>2938</v>
      </c>
      <c r="DW33" s="1469">
        <v>1393</v>
      </c>
      <c r="DX33" s="1470">
        <v>3720</v>
      </c>
      <c r="DY33" s="1471">
        <v>0.111</v>
      </c>
      <c r="DZ33" s="1472">
        <v>0.04</v>
      </c>
      <c r="EA33" s="1472">
        <v>9.9000000000000005E-2</v>
      </c>
      <c r="EB33" s="1472">
        <v>0.34599999999999997</v>
      </c>
      <c r="EC33" s="1473">
        <v>0.25700000000000001</v>
      </c>
      <c r="ED33" s="1469">
        <v>0.53</v>
      </c>
      <c r="EE33" s="1474">
        <v>0.315</v>
      </c>
      <c r="EF33" s="1474">
        <v>0.44</v>
      </c>
      <c r="EG33" s="1472">
        <v>0.44600000000000001</v>
      </c>
      <c r="EH33" s="1475">
        <v>0.36099999999999999</v>
      </c>
      <c r="FS33" s="273"/>
      <c r="FT33" s="273"/>
      <c r="FU33" s="273"/>
      <c r="FV33" s="273"/>
      <c r="FW33" s="273"/>
      <c r="FX33" s="273"/>
      <c r="FY33" s="273"/>
      <c r="FZ33" s="273"/>
      <c r="GA33" s="273"/>
      <c r="GB33" s="273"/>
      <c r="GC33" s="273"/>
      <c r="GD33" s="273"/>
      <c r="GE33" s="273"/>
      <c r="GF33" s="273"/>
      <c r="GG33" s="273"/>
      <c r="GH33" s="273"/>
      <c r="GI33" s="273"/>
      <c r="GJ33" s="273"/>
    </row>
    <row r="34" spans="1:192" ht="16" customHeight="1">
      <c r="A34" s="308" t="s">
        <v>2954</v>
      </c>
      <c r="B34" s="116">
        <v>703</v>
      </c>
      <c r="C34" s="104">
        <v>675</v>
      </c>
      <c r="D34" s="111">
        <v>701</v>
      </c>
      <c r="E34" t="str">
        <f>IF(F26,"Clothes Dryers","")</f>
        <v>Clothes Dryers</v>
      </c>
      <c r="F34" t="str">
        <f>IF(E34="","",IF(OR(F27,F28,F29),",", ""))</f>
        <v>,</v>
      </c>
      <c r="G34" t="str">
        <f>IF(AND(E31="",E32="",E33="",E34=""),"",IF(AND(E35="",E36="",E37="",E38="",E39=""),"",IF(OR(G35="and ",G36="and ",G37="and ",G38="and "),"","and ")))</f>
        <v/>
      </c>
      <c r="H34" s="2" t="s">
        <v>459</v>
      </c>
      <c r="I34" s="1104">
        <v>1</v>
      </c>
      <c r="J34" s="246">
        <v>0</v>
      </c>
      <c r="K34" s="2">
        <v>0</v>
      </c>
      <c r="L34" s="153">
        <v>3.08</v>
      </c>
      <c r="M34" s="297">
        <v>0</v>
      </c>
      <c r="N34" s="246">
        <v>1</v>
      </c>
      <c r="O34" s="274">
        <v>6.0825682663521725E-4</v>
      </c>
      <c r="P34" t="s">
        <v>610</v>
      </c>
      <c r="AE34" s="302" t="s">
        <v>1933</v>
      </c>
      <c r="AF34" s="302" t="s">
        <v>1934</v>
      </c>
      <c r="AG34" s="302" t="s">
        <v>47</v>
      </c>
      <c r="AH34" s="302" t="s">
        <v>43</v>
      </c>
      <c r="AI34" s="302" t="s">
        <v>1935</v>
      </c>
      <c r="AJ34" s="674">
        <v>100</v>
      </c>
      <c r="AK34" s="674">
        <v>100</v>
      </c>
      <c r="AL34" s="311">
        <v>0</v>
      </c>
      <c r="AM34" s="302">
        <v>0</v>
      </c>
      <c r="AN34" s="302">
        <v>1</v>
      </c>
      <c r="AO34" s="302">
        <v>1</v>
      </c>
      <c r="AP34" s="302">
        <v>1</v>
      </c>
      <c r="AQ34" s="302">
        <v>0.1</v>
      </c>
      <c r="AR34" s="302">
        <v>0</v>
      </c>
      <c r="AS34" s="302">
        <v>7.1900000000000006E-2</v>
      </c>
      <c r="AT34" s="302">
        <v>5.67E-2</v>
      </c>
      <c r="AX34" s="116" t="s">
        <v>1345</v>
      </c>
      <c r="AZ34" s="104" t="s">
        <v>1390</v>
      </c>
      <c r="BB34" s="99" t="s">
        <v>1357</v>
      </c>
      <c r="BC34" s="100" t="s">
        <v>1358</v>
      </c>
      <c r="BE34" s="99" t="s">
        <v>1382</v>
      </c>
      <c r="BF34" s="100" t="s">
        <v>1383</v>
      </c>
      <c r="BP34" s="1185"/>
      <c r="BQ34" s="273"/>
      <c r="BW34" s="105" t="s">
        <v>4199</v>
      </c>
      <c r="BX34" s="100" t="s">
        <v>4198</v>
      </c>
      <c r="CB34" s="28" t="s">
        <v>75</v>
      </c>
      <c r="CC34" s="28"/>
      <c r="CD34" s="28"/>
      <c r="CF34" s="2" t="s">
        <v>4076</v>
      </c>
      <c r="CG34" s="2" t="s">
        <v>4197</v>
      </c>
      <c r="CH34" s="1183">
        <v>0.81</v>
      </c>
      <c r="CI34" s="585"/>
      <c r="CJ34" s="585"/>
      <c r="CK34" s="265"/>
      <c r="DQ34" s="2" t="s">
        <v>3113</v>
      </c>
      <c r="DR34" s="2" t="s">
        <v>3114</v>
      </c>
      <c r="DS34" s="2" t="s">
        <v>3094</v>
      </c>
      <c r="DT34" s="2" t="s">
        <v>3098</v>
      </c>
      <c r="FS34" s="273"/>
      <c r="FT34" s="273"/>
      <c r="FU34" s="273"/>
      <c r="FV34" s="273"/>
      <c r="FW34" s="273"/>
      <c r="FX34" s="273"/>
      <c r="FY34" s="273"/>
      <c r="FZ34" s="273"/>
      <c r="GA34" s="273"/>
      <c r="GB34" s="273"/>
      <c r="GC34" s="273"/>
      <c r="GD34" s="273"/>
      <c r="GE34" s="273"/>
      <c r="GF34" s="273"/>
      <c r="GG34" s="273"/>
      <c r="GH34" s="273"/>
      <c r="GI34" s="273"/>
      <c r="GJ34" s="273"/>
    </row>
    <row r="35" spans="1:192">
      <c r="A35" s="106" t="s">
        <v>2956</v>
      </c>
      <c r="B35" s="101">
        <v>855</v>
      </c>
      <c r="C35" s="90">
        <v>1265</v>
      </c>
      <c r="D35" s="102">
        <v>642</v>
      </c>
      <c r="E35" t="str">
        <f>IF(F27,"Dishwashers","")</f>
        <v>Dishwashers</v>
      </c>
      <c r="F35" t="str">
        <f>IF(E35="","",IF(OR(F28,F29),", ",""))</f>
        <v xml:space="preserve">, </v>
      </c>
      <c r="G35" t="str">
        <f>IF(AND(E31="",E32="",E33="",E34="",E35=""),"",IF(AND(E36="",E37="",E38="",E39=""),"",IF(OR(G36="and ",G37="and ",G38="and "),"","and ")))</f>
        <v/>
      </c>
      <c r="H35" s="104" t="s">
        <v>1404</v>
      </c>
      <c r="I35" s="1104">
        <v>0.03</v>
      </c>
      <c r="J35" s="246">
        <v>0.97</v>
      </c>
      <c r="K35" s="104">
        <v>15</v>
      </c>
      <c r="L35" s="2">
        <v>2.011723329425557</v>
      </c>
      <c r="M35" s="297">
        <v>0.81715000000000004</v>
      </c>
      <c r="N35" s="246">
        <v>1</v>
      </c>
      <c r="O35" s="274">
        <v>7.3959999999999998E-2</v>
      </c>
      <c r="P35" t="s">
        <v>607</v>
      </c>
      <c r="AE35" s="302" t="s">
        <v>1970</v>
      </c>
      <c r="AF35" s="302" t="s">
        <v>1936</v>
      </c>
      <c r="AG35" s="302" t="s">
        <v>47</v>
      </c>
      <c r="AH35" s="302" t="s">
        <v>43</v>
      </c>
      <c r="AI35" s="302" t="s">
        <v>1937</v>
      </c>
      <c r="AJ35" s="312">
        <v>100</v>
      </c>
      <c r="AK35" s="312">
        <v>100</v>
      </c>
      <c r="AL35" s="311">
        <v>0</v>
      </c>
      <c r="AM35" s="302">
        <v>0</v>
      </c>
      <c r="AN35" s="302">
        <v>1</v>
      </c>
      <c r="AO35" s="302">
        <v>1</v>
      </c>
      <c r="AP35" s="302">
        <v>1</v>
      </c>
      <c r="AQ35" s="302">
        <v>0.1</v>
      </c>
      <c r="AR35" s="302">
        <v>0</v>
      </c>
      <c r="AS35" s="302">
        <v>7.1900000000000006E-2</v>
      </c>
      <c r="AT35" s="302">
        <v>5.67E-2</v>
      </c>
      <c r="AX35" s="99" t="s">
        <v>794</v>
      </c>
      <c r="AZ35" s="105" t="s">
        <v>1386</v>
      </c>
      <c r="BB35" s="101" t="s">
        <v>1359</v>
      </c>
      <c r="BC35" s="102" t="s">
        <v>1360</v>
      </c>
      <c r="BE35" s="101" t="s">
        <v>1384</v>
      </c>
      <c r="BF35" s="102" t="s">
        <v>1352</v>
      </c>
      <c r="BP35" s="1185"/>
      <c r="BQ35" s="273"/>
      <c r="BW35" s="105" t="s">
        <v>4713</v>
      </c>
      <c r="BX35" s="100" t="s">
        <v>2211</v>
      </c>
      <c r="CB35" s="21" t="s">
        <v>76</v>
      </c>
      <c r="CC35" s="21" t="s">
        <v>74</v>
      </c>
      <c r="CD35" s="21" t="s">
        <v>77</v>
      </c>
      <c r="CF35" s="2" t="s">
        <v>281</v>
      </c>
      <c r="CG35" s="2" t="s">
        <v>4196</v>
      </c>
      <c r="CH35" s="1183">
        <v>0.83</v>
      </c>
      <c r="CI35" s="585"/>
      <c r="CJ35" s="585"/>
      <c r="CK35" s="1151"/>
      <c r="DQ35" s="2" t="s">
        <v>3115</v>
      </c>
      <c r="DR35" s="2" t="s">
        <v>3116</v>
      </c>
      <c r="DS35" s="2" t="s">
        <v>3094</v>
      </c>
      <c r="DT35" s="2" t="s">
        <v>3095</v>
      </c>
      <c r="FS35" s="273"/>
      <c r="FT35" s="273"/>
      <c r="FU35" s="273"/>
      <c r="FV35" s="273"/>
      <c r="FW35" s="273"/>
      <c r="FX35" s="273"/>
      <c r="FY35" s="273"/>
      <c r="FZ35" s="273"/>
      <c r="GA35" s="273"/>
      <c r="GB35" s="273"/>
      <c r="GC35" s="273"/>
      <c r="GD35" s="273"/>
      <c r="GE35" s="273"/>
      <c r="GF35" s="273"/>
      <c r="GG35" s="273"/>
      <c r="GH35" s="273"/>
      <c r="GI35" s="273"/>
      <c r="GJ35" s="273"/>
    </row>
    <row r="36" spans="1:192" ht="15" thickBot="1">
      <c r="A36" t="s">
        <v>3239</v>
      </c>
      <c r="B36" t="s">
        <v>3240</v>
      </c>
      <c r="D36" t="s">
        <v>2957</v>
      </c>
      <c r="E36" t="str">
        <f>IF(F28,"Water Heaters","")</f>
        <v/>
      </c>
      <c r="F36" t="str">
        <f>IF(E36="","",IF(OR(F29),", ",""))</f>
        <v/>
      </c>
      <c r="G36" t="str">
        <f>IF(AND(E31="",E32="",E33="",E34="",E35=""),"",IF(AND(E37="",E38="",E39=""),"",IF(OR(G37="and ",G38="and "),"","and ")))</f>
        <v xml:space="preserve">and </v>
      </c>
      <c r="H36" s="104" t="s">
        <v>605</v>
      </c>
      <c r="I36" s="1639">
        <v>0.03</v>
      </c>
      <c r="J36" s="1640">
        <v>0.97</v>
      </c>
      <c r="K36" s="244">
        <v>15</v>
      </c>
      <c r="L36" s="244">
        <v>2.011723329425557</v>
      </c>
      <c r="M36" s="1641">
        <v>0.81715000000000004</v>
      </c>
      <c r="N36" s="1640">
        <v>1</v>
      </c>
      <c r="O36" s="274">
        <v>7.3959999999999998E-2</v>
      </c>
      <c r="P36" t="s">
        <v>607</v>
      </c>
      <c r="AE36" s="302" t="s">
        <v>1938</v>
      </c>
      <c r="AF36" s="302" t="s">
        <v>1939</v>
      </c>
      <c r="AG36" s="302" t="s">
        <v>47</v>
      </c>
      <c r="AH36" s="302" t="s">
        <v>43</v>
      </c>
      <c r="AI36" s="302" t="s">
        <v>1940</v>
      </c>
      <c r="AJ36" s="312">
        <v>130</v>
      </c>
      <c r="AK36" s="312">
        <v>130</v>
      </c>
      <c r="AL36" s="311">
        <v>0</v>
      </c>
      <c r="AM36" s="302">
        <v>0.69</v>
      </c>
      <c r="AN36" s="302">
        <v>1</v>
      </c>
      <c r="AO36" s="302">
        <v>1</v>
      </c>
      <c r="AP36" s="302">
        <v>1</v>
      </c>
      <c r="AQ36" s="302">
        <v>0.1</v>
      </c>
      <c r="AR36" s="302">
        <v>0</v>
      </c>
      <c r="AS36" s="302">
        <v>7.1900000000000006E-2</v>
      </c>
      <c r="AT36" s="302">
        <v>5.67E-2</v>
      </c>
      <c r="AX36" s="101" t="s">
        <v>1406</v>
      </c>
      <c r="AZ36" s="105" t="s">
        <v>1391</v>
      </c>
      <c r="BP36" s="1185"/>
      <c r="BW36" s="106" t="s">
        <v>4714</v>
      </c>
      <c r="BX36" s="1182" t="s">
        <v>4201</v>
      </c>
      <c r="CB36" s="23">
        <v>0.05</v>
      </c>
      <c r="CC36" s="23">
        <v>4.5999999999999999E-2</v>
      </c>
      <c r="CD36" s="23">
        <v>0.05</v>
      </c>
      <c r="CF36" s="2" t="s">
        <v>1404</v>
      </c>
      <c r="CG36" s="2" t="s">
        <v>1404</v>
      </c>
      <c r="CH36" s="1184">
        <v>0.83</v>
      </c>
      <c r="CI36" s="1147">
        <v>2.0633059788980073</v>
      </c>
      <c r="CJ36" s="1147">
        <v>8.8000000000000007</v>
      </c>
      <c r="DQ36" s="2" t="s">
        <v>3117</v>
      </c>
      <c r="DR36" s="2" t="s">
        <v>3118</v>
      </c>
      <c r="DS36" s="2" t="s">
        <v>3094</v>
      </c>
      <c r="DT36" s="2" t="s">
        <v>3098</v>
      </c>
      <c r="FS36" s="273"/>
      <c r="FT36" s="273"/>
      <c r="FU36" s="273"/>
      <c r="FV36" s="273"/>
      <c r="FW36" s="273"/>
      <c r="FX36" s="273"/>
      <c r="FY36" s="273"/>
      <c r="FZ36" s="273"/>
      <c r="GA36" s="273"/>
      <c r="GB36" s="273"/>
      <c r="GC36" s="273"/>
      <c r="GD36" s="273"/>
      <c r="GE36" s="273"/>
      <c r="GF36" s="273"/>
      <c r="GG36" s="273"/>
      <c r="GH36" s="273"/>
      <c r="GI36" s="273"/>
      <c r="GJ36" s="273"/>
    </row>
    <row r="37" spans="1:192">
      <c r="E37" t="str">
        <f>IF(F29,"Other Appliances","")</f>
        <v>Other Appliances</v>
      </c>
      <c r="H37" s="336" t="str">
        <f>IF(OR($L$4="",H14=""),"",IF($H$14="New Construction","New Construction",$H$14&amp;" "&amp;$L$4))</f>
        <v>Oil Boiler</v>
      </c>
      <c r="I37" s="336"/>
      <c r="J37" s="336"/>
      <c r="K37" s="336"/>
      <c r="L37" s="336"/>
      <c r="M37" s="336"/>
      <c r="N37" s="336"/>
      <c r="O37" s="336"/>
      <c r="AE37" s="2" t="s">
        <v>1941</v>
      </c>
      <c r="AF37" s="2" t="s">
        <v>1942</v>
      </c>
      <c r="AG37" s="2" t="s">
        <v>47</v>
      </c>
      <c r="AH37" s="2" t="s">
        <v>43</v>
      </c>
      <c r="AI37" s="2" t="s">
        <v>1943</v>
      </c>
      <c r="AJ37" s="312">
        <v>130</v>
      </c>
      <c r="AK37" s="312">
        <v>130</v>
      </c>
      <c r="AL37" s="2">
        <v>0</v>
      </c>
      <c r="AM37" s="2">
        <v>0.69</v>
      </c>
      <c r="AN37" s="2">
        <v>1</v>
      </c>
      <c r="AO37" s="2">
        <v>1</v>
      </c>
      <c r="AP37" s="2">
        <v>1</v>
      </c>
      <c r="AQ37" s="2">
        <v>0.1</v>
      </c>
      <c r="AR37" s="2">
        <v>0</v>
      </c>
      <c r="AS37" s="302">
        <v>7.1900000000000006E-2</v>
      </c>
      <c r="AT37" s="302">
        <v>5.67E-2</v>
      </c>
      <c r="AZ37" s="106" t="s">
        <v>1392</v>
      </c>
      <c r="BB37" s="2881" t="s">
        <v>1361</v>
      </c>
      <c r="BC37" s="2881"/>
      <c r="BE37" s="2606" t="s">
        <v>1393</v>
      </c>
      <c r="BF37" s="2878"/>
      <c r="CF37" s="2" t="s">
        <v>283</v>
      </c>
      <c r="CG37" s="2" t="s">
        <v>679</v>
      </c>
      <c r="CH37" s="1183"/>
      <c r="CI37" s="1147">
        <v>0.78</v>
      </c>
      <c r="CJ37" s="1147">
        <v>2.6613600000000002</v>
      </c>
      <c r="CK37" t="s">
        <v>4069</v>
      </c>
      <c r="DQ37" s="2" t="s">
        <v>3119</v>
      </c>
      <c r="DR37" s="2" t="s">
        <v>3120</v>
      </c>
      <c r="DS37" s="2" t="s">
        <v>3094</v>
      </c>
      <c r="DT37" s="2" t="s">
        <v>3095</v>
      </c>
      <c r="FS37" s="273"/>
      <c r="FT37" s="273"/>
      <c r="FU37" s="273"/>
      <c r="FV37" s="273"/>
      <c r="FW37" s="273"/>
      <c r="FX37" s="273"/>
      <c r="FY37" s="273"/>
      <c r="FZ37" s="273"/>
      <c r="GA37" s="273"/>
      <c r="GB37" s="273"/>
      <c r="GC37" s="273"/>
      <c r="GD37" s="273"/>
      <c r="GE37" s="273"/>
      <c r="GF37" s="273"/>
      <c r="GG37" s="273"/>
      <c r="GH37" s="273"/>
      <c r="GI37" s="273"/>
      <c r="GJ37" s="273"/>
    </row>
    <row r="38" spans="1:192">
      <c r="H38" s="148" t="s">
        <v>609</v>
      </c>
      <c r="I38" s="272" t="s">
        <v>608</v>
      </c>
      <c r="AE38" s="2" t="s">
        <v>3972</v>
      </c>
      <c r="AF38" s="618" t="s">
        <v>1944</v>
      </c>
      <c r="AG38" s="2" t="s">
        <v>47</v>
      </c>
      <c r="AH38" s="2" t="s">
        <v>43</v>
      </c>
      <c r="AI38" s="2" t="s">
        <v>866</v>
      </c>
      <c r="AJ38" s="2">
        <v>500</v>
      </c>
      <c r="AK38" s="2">
        <v>750</v>
      </c>
      <c r="AL38" s="2">
        <v>0</v>
      </c>
      <c r="AM38" s="2">
        <v>0.69</v>
      </c>
      <c r="AN38" s="2">
        <v>1</v>
      </c>
      <c r="AO38" s="2">
        <v>1</v>
      </c>
      <c r="AP38" s="2">
        <v>1</v>
      </c>
      <c r="AQ38" s="2">
        <v>0.1</v>
      </c>
      <c r="AR38" s="2">
        <v>0</v>
      </c>
      <c r="AS38" s="302">
        <v>7.1900000000000006E-2</v>
      </c>
      <c r="AT38" s="302">
        <v>5.67E-2</v>
      </c>
      <c r="AX38" s="503" t="s">
        <v>1407</v>
      </c>
      <c r="AY38" s="506"/>
      <c r="AZ38" s="507"/>
      <c r="BB38" s="116" t="s">
        <v>1345</v>
      </c>
      <c r="BC38" s="111" t="s">
        <v>1346</v>
      </c>
      <c r="BE38" s="99" t="s">
        <v>1345</v>
      </c>
      <c r="BF38" s="100" t="s">
        <v>1346</v>
      </c>
      <c r="BP38" s="103"/>
      <c r="BQ38" s="2589" t="s">
        <v>4195</v>
      </c>
      <c r="BR38" s="2591"/>
      <c r="BS38" s="2589" t="s">
        <v>4194</v>
      </c>
      <c r="BT38" s="2591"/>
      <c r="BX38" s="1447"/>
      <c r="CF38" s="2" t="s">
        <v>283</v>
      </c>
      <c r="CG38" s="2" t="s">
        <v>567</v>
      </c>
      <c r="CH38" s="585"/>
      <c r="CI38" s="1147">
        <v>1</v>
      </c>
      <c r="CJ38" s="1147">
        <v>3.4119999999999999</v>
      </c>
      <c r="DQ38" s="2" t="s">
        <v>3121</v>
      </c>
      <c r="DR38" s="2" t="s">
        <v>3122</v>
      </c>
      <c r="DS38" s="2" t="s">
        <v>3094</v>
      </c>
      <c r="DT38" s="2" t="s">
        <v>3098</v>
      </c>
      <c r="FS38" s="273"/>
      <c r="FT38" s="273"/>
      <c r="FU38" s="273"/>
      <c r="FV38" s="273"/>
      <c r="FW38" s="273"/>
      <c r="FX38" s="273"/>
      <c r="FY38" s="273"/>
      <c r="FZ38" s="273"/>
      <c r="GA38" s="273"/>
      <c r="GB38" s="273"/>
      <c r="GC38" s="273"/>
      <c r="GD38" s="273"/>
      <c r="GE38" s="273"/>
      <c r="GF38" s="273"/>
      <c r="GG38" s="273"/>
      <c r="GH38" s="273"/>
      <c r="GI38" s="273"/>
      <c r="GJ38" s="273"/>
    </row>
    <row r="39" spans="1:192">
      <c r="A39" s="247" t="s">
        <v>296</v>
      </c>
      <c r="H39" s="148" t="s">
        <v>671</v>
      </c>
      <c r="I39" s="272" t="s">
        <v>672</v>
      </c>
      <c r="P39" t="s">
        <v>1962</v>
      </c>
      <c r="AE39" s="2" t="s">
        <v>3973</v>
      </c>
      <c r="AF39" s="618" t="s">
        <v>1944</v>
      </c>
      <c r="AG39" s="2" t="s">
        <v>47</v>
      </c>
      <c r="AH39" s="2" t="s">
        <v>43</v>
      </c>
      <c r="AI39" s="2" t="s">
        <v>866</v>
      </c>
      <c r="AJ39" s="2">
        <v>500</v>
      </c>
      <c r="AK39" s="2">
        <v>750</v>
      </c>
      <c r="AL39" s="2">
        <v>0</v>
      </c>
      <c r="AM39" s="2">
        <v>0.69</v>
      </c>
      <c r="AN39" s="2">
        <v>1</v>
      </c>
      <c r="AO39" s="2">
        <v>1</v>
      </c>
      <c r="AP39" s="2">
        <v>1</v>
      </c>
      <c r="AQ39" s="2">
        <v>0.1</v>
      </c>
      <c r="AR39" s="2">
        <v>0</v>
      </c>
      <c r="AS39" s="302">
        <v>7.1900000000000006E-2</v>
      </c>
      <c r="AT39" s="302">
        <v>5.67E-2</v>
      </c>
      <c r="AX39" s="99" t="s">
        <v>1345</v>
      </c>
      <c r="AY39" s="100"/>
      <c r="AZ39" s="498" t="s">
        <v>1402</v>
      </c>
      <c r="BB39" s="99" t="s">
        <v>1362</v>
      </c>
      <c r="BC39" s="100" t="s">
        <v>1363</v>
      </c>
      <c r="BE39" s="99" t="s">
        <v>1394</v>
      </c>
      <c r="BF39" s="100" t="s">
        <v>1395</v>
      </c>
      <c r="BP39" s="1180" t="s">
        <v>4193</v>
      </c>
      <c r="BQ39" s="1181" t="s">
        <v>3233</v>
      </c>
      <c r="BR39" s="1180" t="s">
        <v>3232</v>
      </c>
      <c r="BS39" s="1180" t="s">
        <v>3233</v>
      </c>
      <c r="BT39" s="1179" t="s">
        <v>3232</v>
      </c>
      <c r="CA39" s="1186" t="s">
        <v>153</v>
      </c>
      <c r="CB39" s="1091"/>
      <c r="CC39" s="1091"/>
      <c r="CD39" s="1091"/>
      <c r="CF39" s="2" t="s">
        <v>283</v>
      </c>
      <c r="CG39" s="2" t="s">
        <v>1309</v>
      </c>
      <c r="CH39" s="585"/>
      <c r="CI39" s="1178">
        <v>2.9</v>
      </c>
      <c r="CJ39" s="1147">
        <v>9.8948</v>
      </c>
      <c r="DQ39" s="2" t="s">
        <v>3123</v>
      </c>
      <c r="DR39" s="2" t="s">
        <v>3124</v>
      </c>
      <c r="DS39" s="2" t="s">
        <v>3078</v>
      </c>
      <c r="DT39" s="2" t="s">
        <v>3079</v>
      </c>
      <c r="FS39" s="273"/>
      <c r="FT39" s="273"/>
      <c r="FU39" s="273"/>
      <c r="FV39" s="273"/>
      <c r="FW39" s="273"/>
      <c r="FX39" s="273"/>
      <c r="FY39" s="273"/>
      <c r="FZ39" s="273"/>
      <c r="GA39" s="273"/>
      <c r="GB39" s="273"/>
      <c r="GC39" s="273"/>
      <c r="GD39" s="273"/>
      <c r="GE39" s="273"/>
      <c r="GF39" s="273"/>
      <c r="GG39" s="273"/>
      <c r="GH39" s="273"/>
      <c r="GI39" s="273"/>
      <c r="GJ39" s="273"/>
    </row>
    <row r="40" spans="1:192">
      <c r="H40" t="s">
        <v>1865</v>
      </c>
      <c r="AE40" s="2" t="s">
        <v>1042</v>
      </c>
      <c r="AF40" s="2" t="s">
        <v>1945</v>
      </c>
      <c r="AG40" s="2" t="s">
        <v>47</v>
      </c>
      <c r="AH40" s="2" t="s">
        <v>43</v>
      </c>
      <c r="AI40" s="2" t="s">
        <v>1946</v>
      </c>
      <c r="AJ40" s="2">
        <v>500</v>
      </c>
      <c r="AK40" s="2">
        <v>750</v>
      </c>
      <c r="AL40" s="2">
        <v>0</v>
      </c>
      <c r="AM40" s="2">
        <v>0.69</v>
      </c>
      <c r="AN40" s="2">
        <v>1</v>
      </c>
      <c r="AO40" s="2">
        <v>1</v>
      </c>
      <c r="AP40" s="2">
        <v>1</v>
      </c>
      <c r="AQ40" s="2">
        <v>0.1</v>
      </c>
      <c r="AR40" s="2">
        <v>0</v>
      </c>
      <c r="AS40" s="302">
        <v>7.1900000000000006E-2</v>
      </c>
      <c r="AT40" s="302">
        <v>5.67E-2</v>
      </c>
      <c r="AX40" s="99" t="s">
        <v>794</v>
      </c>
      <c r="AY40" s="100"/>
      <c r="AZ40" s="105" t="s">
        <v>1345</v>
      </c>
      <c r="BB40" s="99" t="s">
        <v>1364</v>
      </c>
      <c r="BC40" s="100" t="s">
        <v>1365</v>
      </c>
      <c r="BE40" s="99" t="s">
        <v>1396</v>
      </c>
      <c r="BF40" s="100" t="s">
        <v>1377</v>
      </c>
      <c r="BO40" t="s">
        <v>4191</v>
      </c>
      <c r="BP40" s="2" t="s">
        <v>4190</v>
      </c>
      <c r="BQ40" s="1160">
        <v>855</v>
      </c>
      <c r="BR40" s="1160">
        <v>703</v>
      </c>
      <c r="BS40" s="2">
        <v>1229</v>
      </c>
      <c r="BT40" s="2">
        <v>688</v>
      </c>
      <c r="BU40" t="s">
        <v>4441</v>
      </c>
      <c r="CB40" t="s">
        <v>76</v>
      </c>
      <c r="CC40" t="s">
        <v>74</v>
      </c>
      <c r="CD40" t="s">
        <v>77</v>
      </c>
      <c r="CE40" s="108"/>
      <c r="CF40" s="2" t="s">
        <v>283</v>
      </c>
      <c r="CG40" s="2" t="s">
        <v>4189</v>
      </c>
      <c r="CH40" s="585"/>
      <c r="CI40" s="1178">
        <v>2.0633059788980073</v>
      </c>
      <c r="CJ40" s="1147">
        <v>8.8000000000000007</v>
      </c>
      <c r="DQ40" s="2" t="s">
        <v>3125</v>
      </c>
      <c r="DR40" s="2" t="s">
        <v>3126</v>
      </c>
      <c r="DS40" s="2" t="s">
        <v>3078</v>
      </c>
      <c r="DT40" s="2" t="s">
        <v>3082</v>
      </c>
      <c r="FS40" s="273"/>
      <c r="FT40" s="273"/>
      <c r="FU40" s="273"/>
      <c r="FV40" s="273"/>
      <c r="FW40" s="273"/>
      <c r="FX40" s="273"/>
      <c r="FY40" s="273"/>
      <c r="FZ40" s="273"/>
      <c r="GA40" s="273"/>
      <c r="GB40" s="273"/>
      <c r="GC40" s="273"/>
      <c r="GD40" s="273"/>
      <c r="GE40" s="273"/>
      <c r="GF40" s="273"/>
      <c r="GG40" s="273"/>
      <c r="GH40" s="273"/>
      <c r="GI40" s="273"/>
      <c r="GJ40" s="273"/>
    </row>
    <row r="41" spans="1:192" ht="16.5">
      <c r="A41" t="s">
        <v>294</v>
      </c>
      <c r="C41" s="114" t="s">
        <v>669</v>
      </c>
      <c r="E41" s="1410" t="str">
        <f>E31&amp;F31&amp;G31&amp;E32&amp;F32&amp;G32&amp;E33&amp;F33&amp;G33&amp;E34&amp;F34&amp;G34&amp;E35&amp;F35&amp;G35&amp;E36&amp;F36&amp;G36&amp;E37&amp;F37&amp;G37&amp;E38&amp;F38&amp;G38&amp;E39</f>
        <v>Space Heating and Air Conditioning Units, Clothes Washers, Clothes Dryers,Dishwashers, and Other Appliances</v>
      </c>
      <c r="L41" s="1098" t="s">
        <v>3874</v>
      </c>
      <c r="M41" s="1098"/>
      <c r="AE41" s="2" t="s">
        <v>1977</v>
      </c>
      <c r="AF41" s="2" t="s">
        <v>1984</v>
      </c>
      <c r="AG41" s="2" t="s">
        <v>47</v>
      </c>
      <c r="AH41" s="2" t="s">
        <v>43</v>
      </c>
      <c r="AI41" s="2" t="s">
        <v>1983</v>
      </c>
      <c r="AJ41" s="674">
        <v>350</v>
      </c>
      <c r="AK41" s="674">
        <v>350</v>
      </c>
      <c r="AL41" s="2">
        <v>0</v>
      </c>
      <c r="AM41" s="2">
        <v>0.69</v>
      </c>
      <c r="AN41" s="2">
        <v>1</v>
      </c>
      <c r="AO41" s="2">
        <v>1</v>
      </c>
      <c r="AP41" s="2">
        <v>1</v>
      </c>
      <c r="AQ41" s="2">
        <v>0.1</v>
      </c>
      <c r="AR41" s="2">
        <v>0</v>
      </c>
      <c r="AS41" s="302">
        <v>7.1900000000000006E-2</v>
      </c>
      <c r="AT41" s="302">
        <v>5.67E-2</v>
      </c>
      <c r="AX41" s="99" t="s">
        <v>1406</v>
      </c>
      <c r="AY41" s="100"/>
      <c r="AZ41" s="105" t="s">
        <v>1403</v>
      </c>
      <c r="BB41" s="99" t="s">
        <v>1366</v>
      </c>
      <c r="BC41" s="100" t="s">
        <v>1367</v>
      </c>
      <c r="BE41" s="99" t="s">
        <v>1397</v>
      </c>
      <c r="BF41" s="100" t="s">
        <v>1354</v>
      </c>
      <c r="BP41" s="2" t="s">
        <v>4188</v>
      </c>
      <c r="BQ41" s="1160">
        <f>BQ106</f>
        <v>681</v>
      </c>
      <c r="BR41" s="1160">
        <f>BP106</f>
        <v>736</v>
      </c>
      <c r="BS41" s="1160">
        <f>BQ106</f>
        <v>681</v>
      </c>
      <c r="BT41" s="2">
        <f>BP106</f>
        <v>736</v>
      </c>
      <c r="BX41" s="134" t="s">
        <v>4187</v>
      </c>
      <c r="CA41" t="s">
        <v>151</v>
      </c>
      <c r="CB41" s="26" t="str">
        <f>IF('Space Heating Worksheet'!U37="","",IF(OR('Space Heating Worksheet'!AK37="",LEFT('Space Heating Worksheet'!G37,3)="Geo"),"",'Space Heating Worksheet'!O37*(12/'Space Heating Worksheet'!U37)*kW_CA))</f>
        <v/>
      </c>
      <c r="CC41" s="26" t="str">
        <f>IF('Space Heating Worksheet'!U37="","",IF(OR('Space Heating Worksheet'!AK37="",LEFT('Space Heating Worksheet'!G37,3)="Geo"),"",'Space Heating Worksheet'!O37*(12/'Space Heating Worksheet'!U37)*_xlfn.SINGLE(kW_RS)))</f>
        <v/>
      </c>
      <c r="CD41" s="27" t="e">
        <f>IF(OR('Space Heating Worksheet'!AK37="",LEFT('Space Heating Worksheet'!G37,3)="Geo",#REF!="",'Space Heating Worksheet'!U37=""),"",IF('Space Heating Worksheet'!G37="Ducted ASHP",'Space Heating Worksheet'!O37*(12/#REF!*FLH_Cool+12/'Space Heating Worksheet'!V37*FLH_Heat)*_xlfn.SINGLE(QI_kWh),IF(LEFT('Space Heating Worksheet'!G37,3)="Geo",'Space Heating Worksheet'!O37*(12/('Space Heating Worksheet'!U37*0.09))*FLH_Cool*_xlfn.SINGLE(QI_kWh),'Space Heating Worksheet'!O37*(12/#REF!)*FLH_Cool*_xlfn.SINGLE(QI_kWh))))</f>
        <v>#REF!</v>
      </c>
      <c r="CF41" s="2" t="s">
        <v>283</v>
      </c>
      <c r="CG41" s="2" t="s">
        <v>171</v>
      </c>
      <c r="CH41" s="585"/>
      <c r="CI41" s="1178">
        <v>2.0633059788980073</v>
      </c>
      <c r="CJ41" s="1147">
        <v>8.8000000000000007</v>
      </c>
      <c r="CO41" s="114" t="s">
        <v>4167</v>
      </c>
      <c r="CP41" s="114"/>
      <c r="CQ41" s="30"/>
      <c r="CR41" s="30"/>
      <c r="CS41" s="30"/>
      <c r="CT41" s="30"/>
      <c r="DQ41" s="2" t="s">
        <v>3127</v>
      </c>
      <c r="DR41" s="2" t="s">
        <v>3128</v>
      </c>
      <c r="DS41" s="2" t="s">
        <v>3078</v>
      </c>
      <c r="DT41" s="2" t="s">
        <v>3085</v>
      </c>
      <c r="FS41" s="273"/>
      <c r="FT41" s="273"/>
      <c r="FU41" s="273"/>
      <c r="FV41" s="273"/>
      <c r="FW41" s="273"/>
      <c r="FX41" s="273"/>
      <c r="FY41" s="273"/>
      <c r="FZ41" s="273"/>
      <c r="GA41" s="273"/>
      <c r="GB41" s="273"/>
      <c r="GC41" s="273"/>
      <c r="GD41" s="273"/>
      <c r="GE41" s="273"/>
      <c r="GF41" s="273"/>
      <c r="GG41" s="273"/>
      <c r="GH41" s="273"/>
      <c r="GI41" s="273"/>
      <c r="GJ41" s="273"/>
    </row>
    <row r="42" spans="1:192">
      <c r="A42" t="s">
        <v>449</v>
      </c>
      <c r="C42" s="174" t="b">
        <v>0</v>
      </c>
      <c r="L42" s="508" t="s">
        <v>3875</v>
      </c>
      <c r="M42" s="300">
        <v>0.8</v>
      </c>
      <c r="AX42" s="101" t="s">
        <v>1408</v>
      </c>
      <c r="AY42" s="100"/>
      <c r="AZ42" s="105" t="s">
        <v>1404</v>
      </c>
      <c r="BB42" s="99" t="s">
        <v>1368</v>
      </c>
      <c r="BC42" s="100" t="s">
        <v>1369</v>
      </c>
      <c r="BE42" s="99" t="s">
        <v>1398</v>
      </c>
      <c r="BF42" s="100" t="s">
        <v>1399</v>
      </c>
      <c r="BX42" s="114" t="s">
        <v>4186</v>
      </c>
      <c r="BY42" s="114" t="s">
        <v>4185</v>
      </c>
      <c r="CA42" t="s">
        <v>152</v>
      </c>
      <c r="CB42" s="26" t="e">
        <f>IF('Space Heating Worksheet'!#REF!="","",IF(OR('Space Heating Worksheet'!#REF!="",LEFT('Space Heating Worksheet'!#REF!,3)="Geo"),"",'Space Heating Worksheet'!#REF!*(12/'Space Heating Worksheet'!#REF!)*kW_CA))</f>
        <v>#REF!</v>
      </c>
      <c r="CC42" s="26" t="e">
        <f>IF('Space Heating Worksheet'!#REF!="","",IF(OR('Space Heating Worksheet'!#REF!="",LEFT('Space Heating Worksheet'!#REF!,3)="Geo"),"",'Space Heating Worksheet'!#REF!*(12/'Space Heating Worksheet'!#REF!)*_xlfn.SINGLE(kW_RS)))</f>
        <v>#REF!</v>
      </c>
      <c r="CD42" s="27" t="e">
        <f>IF(OR('Space Heating Worksheet'!#REF!="",LEFT('Space Heating Worksheet'!#REF!,3)="Geo",#REF!="",'Space Heating Worksheet'!#REF!=""),"",IF('Space Heating Worksheet'!#REF!="Ducted ASHP",'Space Heating Worksheet'!#REF!*(12/#REF!*FLH_Cool+12/'Space Heating Worksheet'!#REF!*FLH_Heat)*_xlfn.SINGLE(QI_kWh),IF(LEFT('Space Heating Worksheet'!#REF!,3)="Geo",'Space Heating Worksheet'!#REF!*(12/('Space Heating Worksheet'!#REF!*0.09))*FLH_Cool*_xlfn.SINGLE(QI_kWh),'Space Heating Worksheet'!#REF!*(12/#REF!)*FLH_Cool*_xlfn.SINGLE(QI_kWh))))</f>
        <v>#REF!</v>
      </c>
      <c r="CO42" s="589" t="s">
        <v>33</v>
      </c>
      <c r="CP42" s="1177" t="s">
        <v>178</v>
      </c>
      <c r="CQ42" s="264"/>
      <c r="CR42" s="264"/>
      <c r="CS42" s="264"/>
      <c r="DQ42" s="2" t="s">
        <v>3129</v>
      </c>
      <c r="DR42" s="2" t="s">
        <v>3130</v>
      </c>
      <c r="DS42" s="2" t="s">
        <v>3094</v>
      </c>
      <c r="DT42" s="2" t="s">
        <v>3095</v>
      </c>
      <c r="FS42" s="273"/>
      <c r="FT42" s="273"/>
      <c r="FU42" s="273"/>
      <c r="FV42" s="273"/>
      <c r="FW42" s="273"/>
      <c r="FX42" s="273"/>
      <c r="FY42" s="273"/>
      <c r="FZ42" s="273"/>
      <c r="GA42" s="273"/>
      <c r="GB42" s="273"/>
      <c r="GC42" s="273"/>
      <c r="GD42" s="273"/>
      <c r="GE42" s="273"/>
      <c r="GF42" s="273"/>
      <c r="GG42" s="273"/>
      <c r="GH42" s="273"/>
      <c r="GI42" s="273"/>
      <c r="GJ42" s="273"/>
    </row>
    <row r="43" spans="1:192" ht="16.5">
      <c r="A43" t="s">
        <v>555</v>
      </c>
      <c r="L43" s="302" t="s">
        <v>3879</v>
      </c>
      <c r="M43" s="300">
        <v>0.78</v>
      </c>
      <c r="AZ43" s="106" t="s">
        <v>1405</v>
      </c>
      <c r="BB43" s="101" t="s">
        <v>1370</v>
      </c>
      <c r="BC43" s="102" t="s">
        <v>1371</v>
      </c>
      <c r="BE43" s="99" t="s">
        <v>1400</v>
      </c>
      <c r="BF43" s="100" t="s">
        <v>1352</v>
      </c>
      <c r="BX43" s="2">
        <v>1.1961999999999999</v>
      </c>
      <c r="BY43" s="1176">
        <f>BX43/BX57</f>
        <v>5.4259276059149056E-4</v>
      </c>
      <c r="CA43" t="s">
        <v>161</v>
      </c>
      <c r="CB43" s="26" t="e">
        <f>IF('Space Heating Worksheet'!#REF!="","",IF(OR('Space Heating Worksheet'!#REF!="",LEFT('Space Heating Worksheet'!#REF!,3)="Geo"),"",'Space Heating Worksheet'!#REF!*(12/'Space Heating Worksheet'!#REF!)*kW_CA))</f>
        <v>#REF!</v>
      </c>
      <c r="CC43" s="26" t="e">
        <f>IF('Space Heating Worksheet'!#REF!="","",IF(OR('Space Heating Worksheet'!#REF!="",LEFT('Space Heating Worksheet'!#REF!,3)="Geo"),"",'Space Heating Worksheet'!#REF!*(12/'Space Heating Worksheet'!#REF!)*_xlfn.SINGLE(kW_RS)))</f>
        <v>#REF!</v>
      </c>
      <c r="CD43" s="27" t="e">
        <f>IF(OR('Space Heating Worksheet'!#REF!="",LEFT('Space Heating Worksheet'!#REF!,3)="Geo",#REF!="",'Space Heating Worksheet'!#REF!=""),"",IF('Space Heating Worksheet'!#REF!="Ducted ASHP",'Space Heating Worksheet'!#REF!*(12/#REF!*FLH_Cool+12/'Space Heating Worksheet'!#REF!*FLH_Heat)*_xlfn.SINGLE(QI_kWh),IF(LEFT('Space Heating Worksheet'!#REF!,3)="Geo",'Space Heating Worksheet'!#REF!*(12/('Space Heating Worksheet'!#REF!*0.09))*FLH_Cool*_xlfn.SINGLE(QI_kWh),'Space Heating Worksheet'!#REF!*(12/#REF!)*FLH_Cool*_xlfn.SINGLE(QI_kWh))))</f>
        <v>#REF!</v>
      </c>
      <c r="CF43" s="2" t="s">
        <v>4183</v>
      </c>
      <c r="CG43" s="2">
        <v>0.25</v>
      </c>
      <c r="CH43" s="1175"/>
      <c r="CJ43" s="2898" t="s">
        <v>1863</v>
      </c>
      <c r="CK43" s="2899"/>
      <c r="CO43" s="1138"/>
      <c r="CP43" s="1174"/>
      <c r="CQ43" s="108"/>
      <c r="CR43" s="30"/>
      <c r="CS43" s="108"/>
      <c r="DQ43" s="2" t="s">
        <v>3131</v>
      </c>
      <c r="DR43" s="2" t="s">
        <v>3132</v>
      </c>
      <c r="DS43" s="2" t="s">
        <v>3094</v>
      </c>
      <c r="DT43" s="2" t="s">
        <v>3098</v>
      </c>
      <c r="FS43" s="273"/>
      <c r="FT43" s="273"/>
      <c r="FU43" s="273"/>
      <c r="FV43" s="273"/>
      <c r="FW43" s="273"/>
      <c r="FX43" s="273"/>
      <c r="FY43" s="273"/>
      <c r="FZ43" s="273"/>
      <c r="GA43" s="273"/>
      <c r="GB43" s="273"/>
      <c r="GC43" s="273"/>
      <c r="GD43" s="273"/>
      <c r="GE43" s="273"/>
      <c r="GF43" s="273"/>
      <c r="GG43" s="273"/>
      <c r="GH43" s="273"/>
      <c r="GI43" s="273"/>
      <c r="GJ43" s="273"/>
    </row>
    <row r="44" spans="1:192" ht="16.5">
      <c r="A44" t="s">
        <v>18</v>
      </c>
      <c r="C44" s="114" t="s">
        <v>2187</v>
      </c>
      <c r="H44" s="183" t="s">
        <v>572</v>
      </c>
      <c r="AX44" s="500" t="s">
        <v>1409</v>
      </c>
      <c r="BE44" s="101" t="s">
        <v>1401</v>
      </c>
      <c r="BF44" s="102" t="s">
        <v>1374</v>
      </c>
      <c r="BP44" s="103" t="s">
        <v>4182</v>
      </c>
      <c r="BR44" s="103" t="s">
        <v>4116</v>
      </c>
      <c r="BX44" s="840"/>
      <c r="CA44" t="s">
        <v>4192</v>
      </c>
      <c r="CB44" s="26" t="e">
        <f>IF('Space Heating Worksheet'!#REF!="","",IF(OR('Space Heating Worksheet'!#REF!="",LEFT('Space Heating Worksheet'!#REF!,3)="Geo"),"",'Space Heating Worksheet'!#REF!*(12/'Space Heating Worksheet'!#REF!)*kW_CA))</f>
        <v>#REF!</v>
      </c>
      <c r="CC44" s="26" t="e">
        <f>IF('Space Heating Worksheet'!#REF!="","",IF(OR('Space Heating Worksheet'!#REF!="",LEFT('Space Heating Worksheet'!#REF!,3)="Geo"),"",'Space Heating Worksheet'!#REF!*(12/'Space Heating Worksheet'!#REF!)*_xlfn.SINGLE(kW_RS)))</f>
        <v>#REF!</v>
      </c>
      <c r="CD44" s="27" t="e">
        <f>IF(OR('Space Heating Worksheet'!#REF!="",LEFT('Space Heating Worksheet'!#REF!,3)="Geo",#REF!="",'Space Heating Worksheet'!#REF!=""),"",IF('Space Heating Worksheet'!#REF!="Ducted ASHP",'Space Heating Worksheet'!#REF!*(12/#REF!*FLH_Cool+12/'Space Heating Worksheet'!#REF!*FLH_Heat)*_xlfn.SINGLE(QI_kWh),IF(LEFT('Space Heating Worksheet'!#REF!,3)="Geo",'Space Heating Worksheet'!#REF!*(12/('Space Heating Worksheet'!#REF!*0.09))*FLH_Cool*_xlfn.SINGLE(QI_kWh),'Space Heating Worksheet'!#REF!*(12/#REF!)*FLH_Cool*_xlfn.SINGLE(QI_kWh))))</f>
        <v>#REF!</v>
      </c>
      <c r="CF44" s="2" t="s">
        <v>4180</v>
      </c>
      <c r="CG44" s="1173">
        <v>0.75</v>
      </c>
      <c r="CJ44" s="508" t="s">
        <v>1413</v>
      </c>
      <c r="CK44" s="652">
        <v>0</v>
      </c>
      <c r="CO44" s="1168">
        <v>100</v>
      </c>
      <c r="CP44" s="1168">
        <v>100</v>
      </c>
      <c r="CQ44" s="847"/>
      <c r="CR44" s="1170"/>
      <c r="CS44" s="847"/>
      <c r="FS44" s="273"/>
      <c r="FT44" s="273"/>
      <c r="FU44" s="273"/>
      <c r="FV44" s="273"/>
      <c r="FW44" s="273"/>
      <c r="FX44" s="273"/>
      <c r="FY44" s="273"/>
      <c r="FZ44" s="273"/>
      <c r="GA44" s="273"/>
      <c r="GB44" s="273"/>
      <c r="GC44" s="273"/>
      <c r="GD44" s="273"/>
      <c r="GE44" s="273"/>
      <c r="GF44" s="273"/>
      <c r="GG44" s="273"/>
      <c r="GH44" s="273"/>
      <c r="GI44" s="273"/>
      <c r="GJ44" s="273"/>
    </row>
    <row r="45" spans="1:192">
      <c r="A45" t="s">
        <v>554</v>
      </c>
      <c r="C45" s="1032" t="s">
        <v>5511</v>
      </c>
      <c r="AE45" s="363" t="s">
        <v>48</v>
      </c>
      <c r="AF45" s="364" t="s">
        <v>207</v>
      </c>
      <c r="AG45" s="364" t="s">
        <v>173</v>
      </c>
      <c r="AH45" s="364" t="s">
        <v>43</v>
      </c>
      <c r="AI45" s="364" t="s">
        <v>44</v>
      </c>
      <c r="AJ45" s="365">
        <v>175</v>
      </c>
      <c r="AK45" s="365"/>
      <c r="AL45" s="366">
        <v>75</v>
      </c>
      <c r="AM45" s="363">
        <v>0.8</v>
      </c>
      <c r="AN45" s="363">
        <v>1</v>
      </c>
      <c r="AO45" s="363">
        <v>1</v>
      </c>
      <c r="AP45" s="363"/>
      <c r="AQ45" s="363">
        <v>0.1</v>
      </c>
      <c r="AR45" s="363">
        <v>0</v>
      </c>
      <c r="AS45" s="363">
        <v>8.5000000000000006E-2</v>
      </c>
      <c r="AT45" s="363">
        <v>0.06</v>
      </c>
      <c r="AX45" s="104" t="s">
        <v>1390</v>
      </c>
      <c r="AZ45" s="114" t="s">
        <v>1412</v>
      </c>
      <c r="BB45" s="519" t="s">
        <v>1429</v>
      </c>
      <c r="BP45" s="104" t="s">
        <v>4179</v>
      </c>
      <c r="BR45" s="104" t="s">
        <v>4088</v>
      </c>
      <c r="BX45" s="134" t="s">
        <v>4178</v>
      </c>
      <c r="CA45" t="s">
        <v>180</v>
      </c>
      <c r="CB45" s="26" t="e">
        <f>IF('Space Heating Worksheet'!#REF!="","",IF(OR('Space Heating Worksheet'!#REF!="",LEFT('Space Heating Worksheet'!#REF!,3)="Geo"),"",'Space Heating Worksheet'!#REF!*(12/'Space Heating Worksheet'!#REF!)*kW_CA))</f>
        <v>#REF!</v>
      </c>
      <c r="CC45" s="26" t="e">
        <f>IF('Space Heating Worksheet'!#REF!="","",IF(OR('Space Heating Worksheet'!#REF!="",LEFT('Space Heating Worksheet'!#REF!,3)="Geo"),"",'Space Heating Worksheet'!#REF!*(12/'Space Heating Worksheet'!#REF!)*_xlfn.SINGLE(kW_RS)))</f>
        <v>#REF!</v>
      </c>
      <c r="CD45" s="27" t="e">
        <f>IF(OR('Space Heating Worksheet'!#REF!="",LEFT('Space Heating Worksheet'!#REF!,3)="Geo",#REF!="",'Space Heating Worksheet'!#REF!=""),"",IF('Space Heating Worksheet'!#REF!="Ducted ASHP",'Space Heating Worksheet'!#REF!*(12/#REF!*FLH_Cool+12/'Space Heating Worksheet'!#REF!*FLH_Heat)*_xlfn.SINGLE(QI_kWh),IF(LEFT('Space Heating Worksheet'!#REF!,3)="Geo",'Space Heating Worksheet'!#REF!*(12/('Space Heating Worksheet'!#REF!*0.09))*FLH_Cool*_xlfn.SINGLE(QI_kWh),'Space Heating Worksheet'!#REF!*(12/#REF!)*FLH_Cool*_xlfn.SINGLE(QI_kWh))))</f>
        <v>#REF!</v>
      </c>
      <c r="CJ45" s="302" t="s">
        <v>281</v>
      </c>
      <c r="CK45" s="652">
        <v>1</v>
      </c>
      <c r="CO45" s="1168">
        <v>100</v>
      </c>
      <c r="CP45" s="1168">
        <v>100</v>
      </c>
      <c r="CQ45" s="643"/>
      <c r="CR45" s="643"/>
      <c r="CS45" s="643"/>
      <c r="FS45" s="273"/>
      <c r="FT45" s="273"/>
      <c r="FU45" s="273"/>
      <c r="FV45" s="273"/>
      <c r="FW45" s="273"/>
      <c r="FX45" s="273"/>
      <c r="FY45" s="273"/>
      <c r="FZ45" s="273"/>
      <c r="GA45" s="273"/>
      <c r="GB45" s="273"/>
      <c r="GC45" s="273"/>
      <c r="GD45" s="273"/>
      <c r="GE45" s="273"/>
      <c r="GF45" s="273"/>
      <c r="GG45" s="273"/>
      <c r="GH45" s="273"/>
      <c r="GI45" s="273"/>
      <c r="GJ45" s="273"/>
    </row>
    <row r="46" spans="1:192" ht="16.5">
      <c r="A46" t="s">
        <v>19</v>
      </c>
      <c r="I46" t="s">
        <v>171</v>
      </c>
      <c r="J46" t="s">
        <v>573</v>
      </c>
      <c r="K46" t="s">
        <v>576</v>
      </c>
      <c r="AE46" s="363" t="s">
        <v>49</v>
      </c>
      <c r="AF46" s="364" t="s">
        <v>209</v>
      </c>
      <c r="AG46" s="364" t="s">
        <v>173</v>
      </c>
      <c r="AH46" s="364" t="s">
        <v>43</v>
      </c>
      <c r="AI46" s="364" t="s">
        <v>45</v>
      </c>
      <c r="AJ46" s="367">
        <v>250</v>
      </c>
      <c r="AK46" s="367"/>
      <c r="AL46" s="366">
        <v>100</v>
      </c>
      <c r="AM46" s="363">
        <v>0.8</v>
      </c>
      <c r="AN46" s="363">
        <v>1</v>
      </c>
      <c r="AO46" s="363">
        <v>1</v>
      </c>
      <c r="AP46" s="363"/>
      <c r="AQ46" s="363">
        <v>0.1</v>
      </c>
      <c r="AR46" s="363">
        <v>0</v>
      </c>
      <c r="AS46" s="363">
        <v>8.5000000000000006E-2</v>
      </c>
      <c r="AT46" s="363">
        <v>0.06</v>
      </c>
      <c r="AX46" s="105" t="s">
        <v>1410</v>
      </c>
      <c r="AZ46" s="104" t="s">
        <v>1413</v>
      </c>
      <c r="BB46" s="520" t="s">
        <v>1345</v>
      </c>
      <c r="BD46" s="522" t="s">
        <v>1433</v>
      </c>
      <c r="BP46" s="105" t="s">
        <v>4177</v>
      </c>
      <c r="BR46" s="105" t="s">
        <v>4090</v>
      </c>
      <c r="BX46" s="149" t="s">
        <v>4176</v>
      </c>
      <c r="BY46" s="149" t="s">
        <v>4175</v>
      </c>
      <c r="BZ46" s="149" t="s">
        <v>4727</v>
      </c>
      <c r="CF46" s="2" t="s">
        <v>4173</v>
      </c>
      <c r="CG46" s="2">
        <v>0.8</v>
      </c>
      <c r="CJ46" s="302" t="s">
        <v>3871</v>
      </c>
      <c r="CK46" s="652">
        <v>0.97</v>
      </c>
      <c r="CO46" s="1168" t="s">
        <v>58</v>
      </c>
      <c r="CP46" s="1168" t="s">
        <v>58</v>
      </c>
      <c r="CQ46" s="643"/>
      <c r="CR46" s="643"/>
      <c r="CS46" s="1170"/>
      <c r="CT46" s="1170"/>
      <c r="FS46" s="273"/>
      <c r="FT46" s="273"/>
      <c r="FU46" s="273"/>
      <c r="FV46" s="273"/>
      <c r="FW46" s="273"/>
      <c r="FX46" s="273"/>
      <c r="FY46" s="273"/>
      <c r="FZ46" s="273"/>
      <c r="GA46" s="273"/>
      <c r="GB46" s="273"/>
      <c r="GC46" s="273"/>
      <c r="GD46" s="273"/>
      <c r="GE46" s="273"/>
      <c r="GF46" s="273"/>
      <c r="GG46" s="273"/>
      <c r="GH46" s="273"/>
      <c r="GI46" s="273"/>
      <c r="GJ46" s="273"/>
    </row>
    <row r="47" spans="1:192">
      <c r="A47" t="s">
        <v>245</v>
      </c>
      <c r="H47" t="s">
        <v>574</v>
      </c>
      <c r="I47">
        <v>5772</v>
      </c>
      <c r="J47">
        <v>5772</v>
      </c>
      <c r="AE47" s="363" t="s">
        <v>276</v>
      </c>
      <c r="AF47" s="364" t="s">
        <v>250</v>
      </c>
      <c r="AG47" s="364" t="s">
        <v>173</v>
      </c>
      <c r="AH47" s="364" t="s">
        <v>43</v>
      </c>
      <c r="AI47" s="364" t="s">
        <v>277</v>
      </c>
      <c r="AJ47" s="367">
        <v>350</v>
      </c>
      <c r="AK47" s="367"/>
      <c r="AL47" s="366">
        <v>125</v>
      </c>
      <c r="AM47" s="363">
        <v>0.8</v>
      </c>
      <c r="AN47" s="363">
        <v>1</v>
      </c>
      <c r="AO47" s="363">
        <v>1</v>
      </c>
      <c r="AP47" s="363"/>
      <c r="AQ47" s="363">
        <v>0.1</v>
      </c>
      <c r="AR47" s="363">
        <v>0</v>
      </c>
      <c r="AS47" s="363">
        <v>8.5000000000000006E-2</v>
      </c>
      <c r="AT47" s="363">
        <v>0.06</v>
      </c>
      <c r="AX47" s="106" t="s">
        <v>1411</v>
      </c>
      <c r="AZ47" s="105" t="s">
        <v>281</v>
      </c>
      <c r="BB47" s="520" t="s">
        <v>1430</v>
      </c>
      <c r="BD47" s="523" t="s">
        <v>1345</v>
      </c>
      <c r="BF47" s="557" t="s">
        <v>1564</v>
      </c>
      <c r="BP47" s="105" t="s">
        <v>4172</v>
      </c>
      <c r="BR47" s="106" t="s">
        <v>4091</v>
      </c>
      <c r="BX47" s="1172">
        <v>3.4120000000000001E-3</v>
      </c>
      <c r="BY47" s="1171">
        <v>3.4119999999999999</v>
      </c>
      <c r="BZ47" s="1171">
        <v>3412</v>
      </c>
      <c r="CF47" s="2" t="s">
        <v>2129</v>
      </c>
      <c r="CG47" s="2">
        <v>0.69</v>
      </c>
      <c r="CJ47" s="302" t="s">
        <v>283</v>
      </c>
      <c r="CK47" s="652">
        <v>0.03</v>
      </c>
      <c r="CQ47" s="1170"/>
      <c r="CR47" s="1170"/>
      <c r="CS47" s="1170"/>
      <c r="FS47" s="273"/>
      <c r="FT47" s="273"/>
      <c r="FU47" s="273"/>
      <c r="FV47" s="273"/>
      <c r="FW47" s="273"/>
      <c r="FX47" s="273"/>
      <c r="FY47" s="273"/>
      <c r="FZ47" s="273"/>
      <c r="GA47" s="273"/>
      <c r="GB47" s="273"/>
      <c r="GC47" s="273"/>
      <c r="GD47" s="273"/>
      <c r="GE47" s="273"/>
      <c r="GF47" s="273"/>
      <c r="GG47" s="273"/>
      <c r="GH47" s="273"/>
      <c r="GI47" s="273"/>
      <c r="GJ47" s="273"/>
    </row>
    <row r="48" spans="1:192" ht="16.5">
      <c r="H48" t="s">
        <v>575</v>
      </c>
      <c r="I48">
        <v>2060.0485355648534</v>
      </c>
      <c r="J48">
        <v>5772</v>
      </c>
      <c r="K48">
        <f>(J48-I48)*0.8</f>
        <v>2969.5611715481173</v>
      </c>
      <c r="L48" s="108"/>
      <c r="M48" s="108"/>
      <c r="AE48" s="363" t="s">
        <v>583</v>
      </c>
      <c r="AF48" s="364" t="s">
        <v>249</v>
      </c>
      <c r="AG48" s="364" t="s">
        <v>46</v>
      </c>
      <c r="AH48" s="364" t="s">
        <v>43</v>
      </c>
      <c r="AI48" s="364" t="s">
        <v>248</v>
      </c>
      <c r="AJ48" s="367">
        <v>150</v>
      </c>
      <c r="AK48" s="367"/>
      <c r="AL48" s="366"/>
      <c r="AM48" s="363">
        <v>0.8</v>
      </c>
      <c r="AN48" s="363">
        <v>1</v>
      </c>
      <c r="AO48" s="363">
        <v>1</v>
      </c>
      <c r="AP48" s="363"/>
      <c r="AQ48" s="363">
        <v>0.1</v>
      </c>
      <c r="AR48" s="363">
        <v>0</v>
      </c>
      <c r="AS48" s="363">
        <v>8.5000000000000006E-2</v>
      </c>
      <c r="AT48" s="363">
        <v>0.06</v>
      </c>
      <c r="AZ48" s="105" t="s">
        <v>567</v>
      </c>
      <c r="BB48" s="520" t="s">
        <v>1431</v>
      </c>
      <c r="BD48" s="524" t="s">
        <v>1434</v>
      </c>
      <c r="BF48" s="578" t="s">
        <v>1290</v>
      </c>
      <c r="BG48" s="578" t="s">
        <v>1629</v>
      </c>
      <c r="BP48" s="106" t="s">
        <v>4170</v>
      </c>
      <c r="CF48" s="1166" t="s">
        <v>4168</v>
      </c>
      <c r="CO48" s="114" t="s">
        <v>4167</v>
      </c>
      <c r="CP48" s="114"/>
      <c r="CR48" s="2589" t="s">
        <v>232</v>
      </c>
      <c r="CS48" s="2590"/>
      <c r="CT48" s="2590"/>
      <c r="CU48" s="2591"/>
      <c r="FS48" s="273"/>
      <c r="FT48" s="273"/>
      <c r="FU48" s="273"/>
      <c r="FV48" s="273"/>
      <c r="FW48" s="273"/>
      <c r="FX48" s="273"/>
      <c r="FY48" s="273"/>
      <c r="FZ48" s="273"/>
      <c r="GA48" s="273"/>
      <c r="GB48" s="273"/>
      <c r="GC48" s="273"/>
      <c r="GD48" s="273"/>
      <c r="GE48" s="273"/>
      <c r="GF48" s="273"/>
      <c r="GG48" s="273"/>
      <c r="GH48" s="273"/>
      <c r="GI48" s="273"/>
      <c r="GJ48" s="273"/>
    </row>
    <row r="49" spans="1:192" ht="28">
      <c r="A49" s="114" t="s">
        <v>261</v>
      </c>
      <c r="B49" s="114"/>
      <c r="C49" s="114"/>
      <c r="D49" s="114"/>
      <c r="E49" s="114"/>
      <c r="AE49" s="363" t="s">
        <v>188</v>
      </c>
      <c r="AF49" s="364" t="s">
        <v>445</v>
      </c>
      <c r="AG49" s="364" t="s">
        <v>173</v>
      </c>
      <c r="AH49" s="364" t="s">
        <v>43</v>
      </c>
      <c r="AI49" s="364" t="s">
        <v>185</v>
      </c>
      <c r="AJ49" s="365">
        <v>175</v>
      </c>
      <c r="AK49" s="365"/>
      <c r="AL49" s="366">
        <v>75</v>
      </c>
      <c r="AM49" s="363">
        <v>0.8</v>
      </c>
      <c r="AN49" s="363">
        <v>1</v>
      </c>
      <c r="AO49" s="363">
        <v>1</v>
      </c>
      <c r="AP49" s="363"/>
      <c r="AQ49" s="363">
        <v>0.1</v>
      </c>
      <c r="AR49" s="363">
        <v>0</v>
      </c>
      <c r="AS49" s="363">
        <v>8.5000000000000006E-2</v>
      </c>
      <c r="AT49" s="363">
        <v>0.06</v>
      </c>
      <c r="AX49" s="510" t="s">
        <v>1418</v>
      </c>
      <c r="AZ49" s="105" t="s">
        <v>1663</v>
      </c>
      <c r="BB49" s="521" t="s">
        <v>1432</v>
      </c>
      <c r="BD49" s="524" t="s">
        <v>1435</v>
      </c>
      <c r="BF49" s="558" t="s">
        <v>1345</v>
      </c>
      <c r="BG49" s="558" t="s">
        <v>1345</v>
      </c>
      <c r="BW49" s="134" t="s">
        <v>4166</v>
      </c>
      <c r="CC49" s="2" t="s">
        <v>4184</v>
      </c>
      <c r="CD49" s="2">
        <v>1.0900000000000001</v>
      </c>
      <c r="CO49" s="589" t="s">
        <v>33</v>
      </c>
      <c r="CP49" s="590" t="s">
        <v>178</v>
      </c>
      <c r="CR49" s="1169" t="s">
        <v>4165</v>
      </c>
      <c r="CS49" s="1169" t="s">
        <v>4164</v>
      </c>
      <c r="CT49" s="1169" t="s">
        <v>4163</v>
      </c>
      <c r="CU49" s="1169" t="s">
        <v>4162</v>
      </c>
      <c r="FS49" s="273"/>
      <c r="FT49" s="273"/>
      <c r="FU49" s="273"/>
      <c r="FV49" s="273"/>
      <c r="FW49" s="273"/>
      <c r="FX49" s="273"/>
      <c r="FY49" s="273"/>
      <c r="FZ49" s="273"/>
      <c r="GA49" s="273"/>
      <c r="GB49" s="273"/>
      <c r="GC49" s="273"/>
      <c r="GD49" s="273"/>
      <c r="GE49" s="273"/>
      <c r="GF49" s="273"/>
      <c r="GG49" s="273"/>
      <c r="GH49" s="273"/>
      <c r="GI49" s="273"/>
      <c r="GJ49" s="273"/>
    </row>
    <row r="50" spans="1:192">
      <c r="A50" s="114" t="s">
        <v>264</v>
      </c>
      <c r="B50" s="114"/>
      <c r="C50" s="114"/>
      <c r="D50" s="114" t="s">
        <v>265</v>
      </c>
      <c r="E50" s="114" t="s">
        <v>77</v>
      </c>
      <c r="AE50" s="363" t="s">
        <v>189</v>
      </c>
      <c r="AF50" s="364" t="s">
        <v>446</v>
      </c>
      <c r="AG50" s="364" t="s">
        <v>173</v>
      </c>
      <c r="AH50" s="364" t="s">
        <v>43</v>
      </c>
      <c r="AI50" s="364" t="s">
        <v>186</v>
      </c>
      <c r="AJ50" s="367">
        <v>250</v>
      </c>
      <c r="AK50" s="367"/>
      <c r="AL50" s="366">
        <v>100</v>
      </c>
      <c r="AM50" s="363">
        <v>0.8</v>
      </c>
      <c r="AN50" s="363">
        <v>1</v>
      </c>
      <c r="AO50" s="363">
        <v>1</v>
      </c>
      <c r="AP50" s="363"/>
      <c r="AQ50" s="363">
        <v>0.1</v>
      </c>
      <c r="AR50" s="363">
        <v>0</v>
      </c>
      <c r="AS50" s="363">
        <v>8.5000000000000006E-2</v>
      </c>
      <c r="AT50" s="363">
        <v>0.06</v>
      </c>
      <c r="AX50" s="509" t="s">
        <v>1345</v>
      </c>
      <c r="AZ50" s="105" t="s">
        <v>282</v>
      </c>
      <c r="BD50" s="524" t="s">
        <v>1436</v>
      </c>
      <c r="BF50" s="559" t="s">
        <v>1562</v>
      </c>
      <c r="BG50" s="579" t="s">
        <v>1636</v>
      </c>
      <c r="BP50" t="s">
        <v>1403</v>
      </c>
      <c r="BW50" s="103" t="s">
        <v>1312</v>
      </c>
      <c r="BX50" s="103" t="s">
        <v>4161</v>
      </c>
      <c r="BY50" s="103" t="s">
        <v>4160</v>
      </c>
      <c r="BZ50" s="103" t="s">
        <v>4159</v>
      </c>
      <c r="CA50" s="103" t="s">
        <v>4158</v>
      </c>
      <c r="CC50" s="2" t="s">
        <v>4181</v>
      </c>
      <c r="CD50" s="2">
        <v>1.08</v>
      </c>
      <c r="CO50" s="1138"/>
      <c r="CP50" s="590"/>
      <c r="CR50" s="1169"/>
      <c r="CS50" s="1169"/>
      <c r="CT50" s="1169"/>
      <c r="CU50" s="1169"/>
      <c r="FS50" s="273"/>
      <c r="FT50" s="273"/>
      <c r="FU50" s="273"/>
      <c r="FV50" s="273"/>
      <c r="FW50" s="273"/>
      <c r="FX50" s="273"/>
      <c r="FY50" s="273"/>
      <c r="FZ50" s="273"/>
      <c r="GA50" s="273"/>
      <c r="GB50" s="273"/>
      <c r="GC50" s="273"/>
      <c r="GD50" s="273"/>
      <c r="GE50" s="273"/>
      <c r="GF50" s="273"/>
      <c r="GG50" s="273"/>
      <c r="GH50" s="273"/>
      <c r="GI50" s="273"/>
      <c r="GJ50" s="273"/>
    </row>
    <row r="51" spans="1:192" ht="15" thickBot="1">
      <c r="A51" s="99">
        <v>1</v>
      </c>
      <c r="B51" t="s">
        <v>259</v>
      </c>
      <c r="C51" t="s">
        <v>268</v>
      </c>
      <c r="D51" s="107">
        <v>0</v>
      </c>
      <c r="E51" s="100">
        <v>139.53</v>
      </c>
      <c r="AE51" s="363" t="s">
        <v>279</v>
      </c>
      <c r="AF51" s="364" t="s">
        <v>447</v>
      </c>
      <c r="AG51" s="364" t="s">
        <v>173</v>
      </c>
      <c r="AH51" s="364" t="s">
        <v>43</v>
      </c>
      <c r="AI51" s="364" t="s">
        <v>278</v>
      </c>
      <c r="AJ51" s="367">
        <v>350</v>
      </c>
      <c r="AK51" s="367"/>
      <c r="AL51" s="366">
        <v>125</v>
      </c>
      <c r="AM51" s="363">
        <v>0.8</v>
      </c>
      <c r="AN51" s="363">
        <v>1</v>
      </c>
      <c r="AO51" s="363">
        <v>1</v>
      </c>
      <c r="AP51" s="363"/>
      <c r="AQ51" s="363">
        <v>0.1</v>
      </c>
      <c r="AR51" s="363">
        <v>0</v>
      </c>
      <c r="AS51" s="363">
        <v>8.5000000000000006E-2</v>
      </c>
      <c r="AT51" s="363">
        <v>0.06</v>
      </c>
      <c r="AX51" s="509" t="s">
        <v>1419</v>
      </c>
      <c r="AZ51" s="105" t="s">
        <v>1414</v>
      </c>
      <c r="BB51" s="526" t="s">
        <v>1446</v>
      </c>
      <c r="BD51" s="524" t="s">
        <v>1437</v>
      </c>
      <c r="BF51" s="559" t="s">
        <v>1563</v>
      </c>
      <c r="BG51" s="579" t="s">
        <v>1637</v>
      </c>
      <c r="BP51" t="s">
        <v>2643</v>
      </c>
      <c r="BW51" s="2" t="s">
        <v>281</v>
      </c>
      <c r="BX51" s="1153">
        <v>163.05221599999999</v>
      </c>
      <c r="BY51" s="1165">
        <v>7.3959999999999998E-2</v>
      </c>
      <c r="BZ51" s="1165">
        <v>0.13850000000000001</v>
      </c>
      <c r="CA51" s="2" t="s">
        <v>4157</v>
      </c>
      <c r="CG51" s="1166" t="s">
        <v>241</v>
      </c>
      <c r="CO51" s="1168">
        <v>100</v>
      </c>
      <c r="CP51" s="1168">
        <v>100</v>
      </c>
      <c r="CR51" s="1167">
        <v>1000</v>
      </c>
      <c r="CS51" s="1167">
        <v>2000</v>
      </c>
      <c r="CT51" s="1167">
        <v>500</v>
      </c>
      <c r="CU51" s="1167">
        <v>700</v>
      </c>
      <c r="FS51" s="273"/>
      <c r="FT51" s="273"/>
      <c r="FU51" s="273"/>
      <c r="FV51" s="273"/>
      <c r="FW51" s="273"/>
      <c r="FX51" s="273"/>
      <c r="FY51" s="273"/>
      <c r="FZ51" s="273"/>
      <c r="GA51" s="273"/>
      <c r="GB51" s="273"/>
      <c r="GC51" s="273"/>
      <c r="GD51" s="273"/>
      <c r="GE51" s="273"/>
      <c r="GF51" s="273"/>
      <c r="GG51" s="273"/>
      <c r="GH51" s="273"/>
      <c r="GI51" s="273"/>
      <c r="GJ51" s="273"/>
    </row>
    <row r="52" spans="1:192">
      <c r="A52" s="99">
        <v>2</v>
      </c>
      <c r="B52" t="s">
        <v>262</v>
      </c>
      <c r="C52" t="s">
        <v>269</v>
      </c>
      <c r="D52" s="107">
        <v>0</v>
      </c>
      <c r="E52" s="296">
        <v>174</v>
      </c>
      <c r="G52" s="1605" t="s">
        <v>5228</v>
      </c>
      <c r="AE52" s="363" t="s">
        <v>246</v>
      </c>
      <c r="AF52" s="364" t="s">
        <v>203</v>
      </c>
      <c r="AG52" s="364" t="s">
        <v>46</v>
      </c>
      <c r="AH52" s="364" t="s">
        <v>43</v>
      </c>
      <c r="AI52" s="364" t="s">
        <v>247</v>
      </c>
      <c r="AJ52" s="367">
        <v>150</v>
      </c>
      <c r="AK52" s="367"/>
      <c r="AL52" s="366"/>
      <c r="AM52" s="363">
        <v>0.8</v>
      </c>
      <c r="AN52" s="363">
        <v>1</v>
      </c>
      <c r="AO52" s="363">
        <v>1</v>
      </c>
      <c r="AP52" s="363"/>
      <c r="AQ52" s="363">
        <v>0.1</v>
      </c>
      <c r="AR52" s="363">
        <v>0</v>
      </c>
      <c r="AS52" s="363">
        <v>8.5000000000000006E-2</v>
      </c>
      <c r="AT52" s="363">
        <v>0.06</v>
      </c>
      <c r="AX52" s="509" t="s">
        <v>1420</v>
      </c>
      <c r="AZ52" s="106" t="s">
        <v>292</v>
      </c>
      <c r="BB52" s="527" t="s">
        <v>1345</v>
      </c>
      <c r="BD52" s="524" t="s">
        <v>1438</v>
      </c>
      <c r="BF52" s="106"/>
      <c r="BG52" s="106" t="s">
        <v>1563</v>
      </c>
      <c r="BW52" s="2" t="s">
        <v>3163</v>
      </c>
      <c r="BX52" s="1153">
        <v>135.77885812954196</v>
      </c>
      <c r="BY52" s="1165">
        <f>0.06146</f>
        <v>6.1460000000000001E-2</v>
      </c>
      <c r="BZ52" s="1165">
        <v>9.1452000000000006E-2</v>
      </c>
      <c r="CA52" s="2" t="s">
        <v>4156</v>
      </c>
      <c r="CC52" s="2" t="s">
        <v>4174</v>
      </c>
      <c r="CD52" s="2">
        <v>0.95</v>
      </c>
      <c r="CG52" s="1166" t="s">
        <v>4155</v>
      </c>
      <c r="FS52" s="273"/>
      <c r="FT52" s="273"/>
      <c r="FU52" s="273"/>
      <c r="FV52" s="273"/>
      <c r="FW52" s="273"/>
      <c r="FX52" s="273"/>
      <c r="FY52" s="273"/>
      <c r="FZ52" s="273"/>
      <c r="GA52" s="273"/>
      <c r="GB52" s="273"/>
      <c r="GC52" s="273"/>
      <c r="GD52" s="273"/>
      <c r="GE52" s="273"/>
      <c r="GF52" s="273"/>
      <c r="GG52" s="273"/>
      <c r="GH52" s="273"/>
      <c r="GI52" s="273"/>
      <c r="GJ52" s="273"/>
    </row>
    <row r="53" spans="1:192">
      <c r="A53" s="101">
        <v>3</v>
      </c>
      <c r="B53" s="90" t="s">
        <v>285</v>
      </c>
      <c r="C53" s="90" t="s">
        <v>270</v>
      </c>
      <c r="D53" s="295">
        <v>0</v>
      </c>
      <c r="E53" s="102">
        <v>139.53</v>
      </c>
      <c r="G53" s="1606" t="s">
        <v>1345</v>
      </c>
      <c r="AX53" s="509" t="s">
        <v>1421</v>
      </c>
      <c r="BB53" s="527" t="s">
        <v>1447</v>
      </c>
      <c r="BD53" s="524" t="s">
        <v>1439</v>
      </c>
      <c r="BW53" s="2" t="s">
        <v>280</v>
      </c>
      <c r="BX53" s="1153">
        <v>117.12438545454546</v>
      </c>
      <c r="BY53" s="1165">
        <f>0.05306</f>
        <v>5.3060000000000003E-2</v>
      </c>
      <c r="BZ53" s="1165">
        <v>0.1</v>
      </c>
      <c r="CA53" s="2" t="s">
        <v>4154</v>
      </c>
      <c r="CC53" s="2" t="s">
        <v>4171</v>
      </c>
      <c r="CD53" s="2">
        <v>0.96</v>
      </c>
      <c r="CG53" s="1166" t="s">
        <v>4153</v>
      </c>
      <c r="FS53" s="273"/>
      <c r="FT53" s="273"/>
      <c r="FU53" s="273"/>
      <c r="FV53" s="273"/>
      <c r="FW53" s="273"/>
      <c r="FX53" s="273"/>
      <c r="FY53" s="273"/>
      <c r="FZ53" s="273"/>
      <c r="GA53" s="273"/>
      <c r="GB53" s="273"/>
      <c r="GC53" s="273"/>
      <c r="GD53" s="273"/>
      <c r="GE53" s="273"/>
      <c r="GF53" s="273"/>
      <c r="GG53" s="273"/>
      <c r="GH53" s="273"/>
      <c r="GI53" s="273"/>
      <c r="GJ53" s="273"/>
    </row>
    <row r="54" spans="1:192">
      <c r="G54" s="1606" t="s">
        <v>5229</v>
      </c>
      <c r="AX54" s="509" t="s">
        <v>1422</v>
      </c>
      <c r="AZ54" s="516" t="s">
        <v>1428</v>
      </c>
      <c r="BB54" s="527" t="s">
        <v>1448</v>
      </c>
      <c r="BD54" s="524" t="s">
        <v>1440</v>
      </c>
      <c r="BP54" s="2892" t="s">
        <v>4152</v>
      </c>
      <c r="BQ54" s="2893"/>
      <c r="BR54" s="2893"/>
      <c r="BS54" s="2894"/>
      <c r="BW54" s="2" t="s">
        <v>4151</v>
      </c>
      <c r="BX54" s="1153">
        <v>162.81718398111909</v>
      </c>
      <c r="BY54" s="1165">
        <v>7.0220000000000005E-2</v>
      </c>
      <c r="BZ54" s="1165">
        <v>0.120286</v>
      </c>
      <c r="CA54" s="2" t="s">
        <v>4150</v>
      </c>
      <c r="CC54" s="2" t="s">
        <v>4169</v>
      </c>
      <c r="CD54" s="2">
        <v>0.97</v>
      </c>
      <c r="FS54" s="273"/>
      <c r="FT54" s="273"/>
      <c r="FU54" s="273"/>
      <c r="FV54" s="273"/>
      <c r="FW54" s="273"/>
      <c r="FX54" s="273"/>
      <c r="FY54" s="273"/>
      <c r="FZ54" s="273"/>
      <c r="GA54" s="273"/>
      <c r="GB54" s="273"/>
      <c r="GC54" s="273"/>
      <c r="GD54" s="273"/>
      <c r="GE54" s="273"/>
      <c r="GF54" s="273"/>
      <c r="GG54" s="273"/>
      <c r="GH54" s="273"/>
      <c r="GI54" s="273"/>
      <c r="GJ54" s="273"/>
    </row>
    <row r="55" spans="1:192">
      <c r="A55" s="140" t="s">
        <v>455</v>
      </c>
      <c r="C55" s="2883" t="s">
        <v>902</v>
      </c>
      <c r="D55" s="2884"/>
      <c r="G55" s="1606" t="s">
        <v>5230</v>
      </c>
      <c r="AX55" s="509" t="s">
        <v>1423</v>
      </c>
      <c r="AZ55" s="517" t="s">
        <v>1345</v>
      </c>
      <c r="BB55" s="527" t="s">
        <v>1449</v>
      </c>
      <c r="BD55" s="524" t="s">
        <v>1441</v>
      </c>
      <c r="BP55" s="1152" t="s">
        <v>4723</v>
      </c>
      <c r="BQ55" s="1152" t="s">
        <v>287</v>
      </c>
      <c r="BR55" s="1152" t="s">
        <v>4149</v>
      </c>
      <c r="BS55" s="1152" t="s">
        <v>216</v>
      </c>
      <c r="BT55">
        <v>0.32</v>
      </c>
      <c r="BZ55" t="s">
        <v>4148</v>
      </c>
      <c r="CL55" s="267" t="s">
        <v>4147</v>
      </c>
      <c r="CM55" s="267" t="s">
        <v>4146</v>
      </c>
      <c r="CN55" s="1156">
        <v>0.8</v>
      </c>
      <c r="CO55" s="268">
        <v>1</v>
      </c>
      <c r="CP55" s="268">
        <v>1</v>
      </c>
      <c r="CQ55" s="268">
        <v>0</v>
      </c>
      <c r="CR55" s="268">
        <v>0</v>
      </c>
      <c r="CS55" s="268">
        <v>9.0999999999999998E-2</v>
      </c>
      <c r="CT55" s="268">
        <v>6.4000000000000001E-2</v>
      </c>
      <c r="FS55" s="273"/>
      <c r="FT55" s="273"/>
      <c r="FU55" s="273"/>
      <c r="FV55" s="273"/>
      <c r="FW55" s="273"/>
      <c r="FX55" s="273"/>
      <c r="FY55" s="273"/>
      <c r="FZ55" s="273"/>
      <c r="GA55" s="273"/>
      <c r="GB55" s="273"/>
      <c r="GC55" s="273"/>
      <c r="GD55" s="273"/>
      <c r="GE55" s="273"/>
      <c r="GF55" s="273"/>
      <c r="GG55" s="273"/>
      <c r="GH55" s="273"/>
      <c r="GI55" s="273"/>
      <c r="GJ55" s="273"/>
    </row>
    <row r="56" spans="1:192" ht="15" thickBot="1">
      <c r="A56" s="104" t="s">
        <v>361</v>
      </c>
      <c r="C56" s="104" t="s">
        <v>503</v>
      </c>
      <c r="D56" s="294">
        <v>0.1</v>
      </c>
      <c r="G56" s="1607" t="s">
        <v>5231</v>
      </c>
      <c r="AX56" s="509" t="s">
        <v>1424</v>
      </c>
      <c r="AZ56" s="517" t="s">
        <v>1426</v>
      </c>
      <c r="BB56" s="527" t="s">
        <v>1450</v>
      </c>
      <c r="BD56" s="524" t="s">
        <v>1442</v>
      </c>
      <c r="BF56" s="602"/>
      <c r="BP56" s="2" t="s">
        <v>4073</v>
      </c>
      <c r="BQ56" s="1160">
        <v>46</v>
      </c>
      <c r="BR56" s="2" t="s">
        <v>4722</v>
      </c>
      <c r="BS56" s="1153">
        <v>0.57999999999999996</v>
      </c>
      <c r="CG56" s="2648" t="s">
        <v>4145</v>
      </c>
      <c r="CH56" s="2648"/>
      <c r="CL56" s="267" t="s">
        <v>4144</v>
      </c>
      <c r="CM56" s="269" t="s">
        <v>4143</v>
      </c>
      <c r="CN56" s="1156">
        <v>0.8</v>
      </c>
      <c r="CO56" s="268">
        <v>1</v>
      </c>
      <c r="CP56" s="268">
        <v>1</v>
      </c>
      <c r="CQ56" s="268">
        <v>0</v>
      </c>
      <c r="CR56" s="268">
        <v>0</v>
      </c>
      <c r="CS56" s="268">
        <v>9.0999999999999998E-2</v>
      </c>
      <c r="CT56" s="268">
        <v>6.4000000000000001E-2</v>
      </c>
      <c r="DJ56" s="134" t="s">
        <v>3133</v>
      </c>
      <c r="FS56" s="273"/>
      <c r="FT56" s="273"/>
      <c r="FU56" s="273"/>
      <c r="FV56" s="273"/>
      <c r="FW56" s="273"/>
      <c r="FX56" s="273"/>
      <c r="FY56" s="273"/>
      <c r="FZ56" s="273"/>
      <c r="GA56" s="273"/>
      <c r="GB56" s="273"/>
      <c r="GC56" s="273"/>
      <c r="GD56" s="273"/>
      <c r="GE56" s="273"/>
      <c r="GF56" s="273"/>
      <c r="GG56" s="273"/>
      <c r="GH56" s="273"/>
      <c r="GI56" s="273"/>
      <c r="GJ56" s="273"/>
    </row>
    <row r="57" spans="1:192" ht="15" thickBot="1">
      <c r="A57" s="105" t="s">
        <v>456</v>
      </c>
      <c r="C57" s="106" t="s">
        <v>504</v>
      </c>
      <c r="D57" s="383">
        <v>0.08</v>
      </c>
      <c r="AZ57" s="518" t="s">
        <v>1427</v>
      </c>
      <c r="BB57" s="527" t="s">
        <v>1451</v>
      </c>
      <c r="BD57" s="524" t="s">
        <v>1443</v>
      </c>
      <c r="BF57" s="602"/>
      <c r="BP57" s="2" t="s">
        <v>4719</v>
      </c>
      <c r="BQ57" s="1160">
        <v>130</v>
      </c>
      <c r="BR57" s="1159" t="s">
        <v>4724</v>
      </c>
      <c r="BS57" s="605">
        <v>365</v>
      </c>
      <c r="BW57" s="1164" t="s">
        <v>4142</v>
      </c>
      <c r="BX57" s="1163">
        <v>2204.6</v>
      </c>
      <c r="BY57" s="1162" t="s">
        <v>4141</v>
      </c>
      <c r="CB57" s="1161" t="s">
        <v>1776</v>
      </c>
      <c r="CC57" s="1161" t="s">
        <v>2202</v>
      </c>
      <c r="CG57" s="253" t="s">
        <v>4140</v>
      </c>
      <c r="CH57" s="253" t="s">
        <v>4139</v>
      </c>
      <c r="CL57" s="267" t="s">
        <v>4138</v>
      </c>
      <c r="CM57" s="269" t="s">
        <v>4137</v>
      </c>
      <c r="CN57" s="1156">
        <v>0.8</v>
      </c>
      <c r="CO57" s="268">
        <v>1</v>
      </c>
      <c r="CP57" s="268">
        <v>1</v>
      </c>
      <c r="CQ57" s="268">
        <v>0</v>
      </c>
      <c r="CR57" s="268">
        <v>0</v>
      </c>
      <c r="CS57" s="268">
        <v>9.0999999999999998E-2</v>
      </c>
      <c r="CT57" s="268">
        <v>6.4000000000000001E-2</v>
      </c>
      <c r="FS57" s="273"/>
      <c r="FT57" s="273"/>
      <c r="FU57" s="273"/>
      <c r="FV57" s="273"/>
      <c r="FW57" s="273"/>
      <c r="FX57" s="273"/>
      <c r="FY57" s="273"/>
      <c r="FZ57" s="273"/>
      <c r="GA57" s="273"/>
      <c r="GB57" s="273"/>
      <c r="GC57" s="273"/>
      <c r="GD57" s="273"/>
      <c r="GE57" s="273"/>
      <c r="GF57" s="273"/>
      <c r="GG57" s="273"/>
      <c r="GH57" s="273"/>
      <c r="GI57" s="273"/>
      <c r="GJ57" s="273"/>
    </row>
    <row r="58" spans="1:192" ht="15" thickBot="1">
      <c r="A58" s="105" t="s">
        <v>453</v>
      </c>
      <c r="BB58" s="527" t="s">
        <v>1452</v>
      </c>
      <c r="BD58" s="525" t="s">
        <v>1444</v>
      </c>
      <c r="BP58" s="2" t="s">
        <v>4720</v>
      </c>
      <c r="BQ58" s="1160">
        <v>61.4</v>
      </c>
      <c r="BR58" s="1159" t="s">
        <v>4725</v>
      </c>
      <c r="BS58" s="153">
        <v>8.33</v>
      </c>
      <c r="BW58" s="794" t="s">
        <v>4136</v>
      </c>
      <c r="BX58" s="1158" t="s">
        <v>4135</v>
      </c>
      <c r="BY58" s="1157"/>
      <c r="CB58" s="104" t="s">
        <v>4134</v>
      </c>
      <c r="CC58" s="104">
        <v>3.1</v>
      </c>
      <c r="CG58" s="104"/>
      <c r="CH58" s="104"/>
      <c r="CL58" s="267" t="s">
        <v>4133</v>
      </c>
      <c r="CM58" s="267" t="s">
        <v>4132</v>
      </c>
      <c r="CN58" s="1156">
        <v>0.8</v>
      </c>
      <c r="CO58" s="268">
        <v>1</v>
      </c>
      <c r="CP58" s="268">
        <v>1</v>
      </c>
      <c r="CQ58" s="268">
        <v>0</v>
      </c>
      <c r="CR58" s="268">
        <v>0</v>
      </c>
      <c r="CS58" s="268">
        <v>9.0999999999999998E-2</v>
      </c>
      <c r="CT58" s="268">
        <v>6.4000000000000001E-2</v>
      </c>
      <c r="DJ58" s="863" t="s">
        <v>3134</v>
      </c>
      <c r="FS58" s="273"/>
      <c r="FT58" s="273"/>
      <c r="FU58" s="273"/>
      <c r="FV58" s="273"/>
      <c r="FW58" s="273"/>
      <c r="FX58" s="273"/>
      <c r="FY58" s="273"/>
      <c r="FZ58" s="273"/>
      <c r="GA58" s="273"/>
      <c r="GB58" s="273"/>
      <c r="GC58" s="273"/>
      <c r="GD58" s="273"/>
      <c r="GE58" s="273"/>
      <c r="GF58" s="273"/>
      <c r="GG58" s="273"/>
      <c r="GH58" s="273"/>
      <c r="GI58" s="273"/>
      <c r="GJ58" s="273"/>
    </row>
    <row r="59" spans="1:192" ht="15" thickBot="1">
      <c r="A59" s="105" t="s">
        <v>1048</v>
      </c>
      <c r="G59" s="1098" t="s">
        <v>5285</v>
      </c>
      <c r="AX59" s="2879" t="s">
        <v>1454</v>
      </c>
      <c r="AY59" s="2880"/>
      <c r="BB59" s="528" t="s">
        <v>1453</v>
      </c>
      <c r="BP59" s="2" t="s">
        <v>4721</v>
      </c>
      <c r="BQ59" s="1153">
        <v>0.92</v>
      </c>
      <c r="BR59" s="1159" t="s">
        <v>4726</v>
      </c>
      <c r="BS59" s="1455">
        <v>0.30339999999999989</v>
      </c>
      <c r="CB59" s="106" t="s">
        <v>4131</v>
      </c>
      <c r="CC59" s="106">
        <v>3.5</v>
      </c>
      <c r="CG59" s="105" t="s">
        <v>4130</v>
      </c>
      <c r="CH59" s="105" t="s">
        <v>1309</v>
      </c>
      <c r="CL59" s="267" t="s">
        <v>4129</v>
      </c>
      <c r="CM59" s="270" t="s">
        <v>4128</v>
      </c>
      <c r="CN59" s="1156">
        <v>0.8</v>
      </c>
      <c r="CO59" s="268">
        <v>1</v>
      </c>
      <c r="CP59" s="268">
        <v>1</v>
      </c>
      <c r="CQ59" s="268">
        <v>0.1</v>
      </c>
      <c r="CR59" s="268">
        <v>0</v>
      </c>
      <c r="CS59" s="268">
        <v>9.0999999999999998E-2</v>
      </c>
      <c r="CT59" s="268">
        <v>6.4000000000000001E-2</v>
      </c>
      <c r="DJ59" s="2903" t="s">
        <v>2294</v>
      </c>
      <c r="DK59" s="2875" t="s">
        <v>3135</v>
      </c>
      <c r="DL59" s="2876"/>
      <c r="DM59" s="2876"/>
      <c r="DN59" s="2876"/>
      <c r="DO59" s="2876"/>
      <c r="DP59" s="2876"/>
      <c r="DQ59" s="2876"/>
      <c r="DR59" s="2876"/>
      <c r="DS59" s="2876"/>
      <c r="DT59" s="2876"/>
      <c r="DU59" s="2875" t="s">
        <v>3139</v>
      </c>
      <c r="DV59" s="2876"/>
      <c r="DW59" s="2876"/>
      <c r="DX59" s="2876"/>
      <c r="DY59" s="2876"/>
      <c r="DZ59" s="2876"/>
      <c r="EA59" s="2876"/>
      <c r="EB59" s="2876"/>
      <c r="EC59" s="2876"/>
      <c r="ED59" s="2876"/>
      <c r="FS59" s="273"/>
      <c r="FT59" s="273"/>
      <c r="FU59" s="273"/>
      <c r="FV59" s="273"/>
      <c r="FW59" s="273"/>
      <c r="FX59" s="273"/>
      <c r="FY59" s="273"/>
      <c r="FZ59" s="273"/>
      <c r="GA59" s="273"/>
      <c r="GB59" s="273"/>
      <c r="GC59" s="273"/>
      <c r="GD59" s="273"/>
      <c r="GE59" s="273"/>
      <c r="GF59" s="273"/>
      <c r="GG59" s="273"/>
      <c r="GH59" s="273"/>
      <c r="GI59" s="273"/>
      <c r="GJ59" s="273"/>
    </row>
    <row r="60" spans="1:192" ht="15" thickBot="1">
      <c r="A60" s="105" t="s">
        <v>362</v>
      </c>
      <c r="G60" s="508" t="s">
        <v>5286</v>
      </c>
      <c r="AX60" s="531" t="s">
        <v>1345</v>
      </c>
      <c r="AY60" s="535" t="s">
        <v>1346</v>
      </c>
      <c r="CG60" s="105" t="s">
        <v>4081</v>
      </c>
      <c r="CH60" s="105"/>
      <c r="CL60" s="267" t="s">
        <v>4127</v>
      </c>
      <c r="CM60" s="270" t="s">
        <v>4126</v>
      </c>
      <c r="CN60" s="1156">
        <v>0.8</v>
      </c>
      <c r="CO60" s="268">
        <v>1</v>
      </c>
      <c r="CP60" s="268">
        <v>1</v>
      </c>
      <c r="CQ60" s="268">
        <v>0.1</v>
      </c>
      <c r="CR60" s="268">
        <v>0</v>
      </c>
      <c r="CS60" s="268">
        <v>9.0999999999999998E-2</v>
      </c>
      <c r="CT60" s="268">
        <v>6.4000000000000001E-2</v>
      </c>
      <c r="DJ60" s="2904"/>
      <c r="DK60" s="864" t="s">
        <v>2982</v>
      </c>
      <c r="DL60" s="864" t="s">
        <v>2984</v>
      </c>
      <c r="DM60" s="864" t="s">
        <v>2986</v>
      </c>
      <c r="DN60" s="864" t="s">
        <v>2988</v>
      </c>
      <c r="DO60" s="864" t="s">
        <v>2990</v>
      </c>
      <c r="DP60" s="864" t="s">
        <v>2992</v>
      </c>
      <c r="DQ60" s="864" t="s">
        <v>2994</v>
      </c>
      <c r="DR60" s="864" t="s">
        <v>2996</v>
      </c>
      <c r="DS60" s="864" t="s">
        <v>2998</v>
      </c>
      <c r="DT60" s="864" t="s">
        <v>3000</v>
      </c>
      <c r="DU60" s="864" t="s">
        <v>2982</v>
      </c>
      <c r="DV60" s="864" t="s">
        <v>2984</v>
      </c>
      <c r="DW60" s="864" t="s">
        <v>2986</v>
      </c>
      <c r="DX60" s="864" t="s">
        <v>2988</v>
      </c>
      <c r="DY60" s="864" t="s">
        <v>2990</v>
      </c>
      <c r="DZ60" s="864" t="s">
        <v>2992</v>
      </c>
      <c r="EA60" s="864" t="s">
        <v>2994</v>
      </c>
      <c r="EB60" s="864" t="s">
        <v>2996</v>
      </c>
      <c r="EC60" s="864" t="s">
        <v>2998</v>
      </c>
      <c r="ED60" s="864" t="s">
        <v>3000</v>
      </c>
      <c r="FS60" s="273"/>
      <c r="FT60" s="273"/>
      <c r="FU60" s="273"/>
      <c r="FV60" s="273"/>
      <c r="FW60" s="273"/>
      <c r="FX60" s="273"/>
      <c r="FY60" s="273"/>
      <c r="FZ60" s="273"/>
      <c r="GA60" s="273"/>
      <c r="GB60" s="273"/>
      <c r="GC60" s="273"/>
      <c r="GD60" s="273"/>
      <c r="GE60" s="273"/>
      <c r="GF60" s="273"/>
      <c r="GG60" s="273"/>
      <c r="GH60" s="273"/>
      <c r="GI60" s="273"/>
      <c r="GJ60" s="273"/>
    </row>
    <row r="61" spans="1:192">
      <c r="A61" s="105" t="s">
        <v>4933</v>
      </c>
      <c r="G61" s="302" t="s">
        <v>5287</v>
      </c>
      <c r="AX61" s="534" t="s">
        <v>1455</v>
      </c>
      <c r="AY61" s="535" t="s">
        <v>1299</v>
      </c>
      <c r="BA61" s="538" t="s">
        <v>1468</v>
      </c>
      <c r="BB61" s="539"/>
      <c r="BD61" s="546" t="s">
        <v>1481</v>
      </c>
      <c r="BE61" s="547"/>
      <c r="BG61" s="546" t="s">
        <v>1704</v>
      </c>
      <c r="BH61" s="546" t="s">
        <v>1705</v>
      </c>
      <c r="CG61" s="105" t="s">
        <v>4125</v>
      </c>
      <c r="CH61" s="105"/>
      <c r="CL61" s="269" t="s">
        <v>4124</v>
      </c>
      <c r="CM61" s="267" t="s">
        <v>4123</v>
      </c>
      <c r="CN61" s="1156">
        <v>0.8</v>
      </c>
      <c r="CO61" s="268">
        <v>1</v>
      </c>
      <c r="CP61" s="268">
        <v>1</v>
      </c>
      <c r="CQ61" s="268">
        <v>0.1</v>
      </c>
      <c r="CR61" s="268">
        <v>0</v>
      </c>
      <c r="CS61" s="268">
        <v>9.0999999999999998E-2</v>
      </c>
      <c r="CT61" s="268">
        <v>6.4000000000000001E-2</v>
      </c>
      <c r="DJ61" s="2" t="s">
        <v>2934</v>
      </c>
      <c r="DK61" s="2">
        <v>2011</v>
      </c>
      <c r="DL61" s="2">
        <v>308</v>
      </c>
      <c r="DM61" s="2">
        <v>802</v>
      </c>
      <c r="DN61" s="2">
        <v>850</v>
      </c>
      <c r="DO61" s="2">
        <v>1038</v>
      </c>
      <c r="DP61" s="2">
        <v>1549</v>
      </c>
      <c r="DQ61" s="2">
        <v>550</v>
      </c>
      <c r="DR61" s="2">
        <v>1788</v>
      </c>
      <c r="DS61" s="2">
        <v>550</v>
      </c>
      <c r="DT61" s="2">
        <v>668</v>
      </c>
      <c r="DU61" s="2">
        <v>0.11899999999999999</v>
      </c>
      <c r="DV61" s="2">
        <v>-0.25</v>
      </c>
      <c r="DW61" s="2">
        <v>6.0999999999999999E-2</v>
      </c>
      <c r="DX61" s="2">
        <v>0.111</v>
      </c>
      <c r="DY61" s="2">
        <v>7.0000000000000007E-2</v>
      </c>
      <c r="DZ61" s="2">
        <v>6.0999999999999999E-2</v>
      </c>
      <c r="EA61" s="2">
        <v>0.498</v>
      </c>
      <c r="EB61" s="2">
        <v>0.498</v>
      </c>
      <c r="EC61" s="2">
        <v>0.498</v>
      </c>
      <c r="ED61" s="2">
        <v>6.0999999999999999E-2</v>
      </c>
      <c r="FS61" s="273"/>
      <c r="FT61" s="273"/>
      <c r="FU61" s="273"/>
      <c r="FV61" s="273"/>
      <c r="FW61" s="273"/>
      <c r="FX61" s="273"/>
      <c r="FY61" s="273"/>
      <c r="FZ61" s="273"/>
      <c r="GA61" s="273"/>
      <c r="GB61" s="273"/>
      <c r="GC61" s="273"/>
      <c r="GD61" s="273"/>
      <c r="GE61" s="273"/>
      <c r="GF61" s="273"/>
      <c r="GG61" s="273"/>
      <c r="GH61" s="273"/>
      <c r="GI61" s="273"/>
      <c r="GJ61" s="273"/>
    </row>
    <row r="62" spans="1:192">
      <c r="A62" s="105" t="s">
        <v>452</v>
      </c>
      <c r="AE62" s="103" t="s">
        <v>3895</v>
      </c>
      <c r="AF62" s="103" t="s">
        <v>3896</v>
      </c>
      <c r="AG62" s="1116" t="s">
        <v>3897</v>
      </c>
      <c r="AH62" s="1116" t="s">
        <v>3887</v>
      </c>
      <c r="AI62" s="103" t="s">
        <v>3888</v>
      </c>
      <c r="AJ62" s="103" t="s">
        <v>3889</v>
      </c>
      <c r="AK62" s="103" t="s">
        <v>3890</v>
      </c>
      <c r="AL62" s="103" t="s">
        <v>3898</v>
      </c>
      <c r="AM62" s="103" t="s">
        <v>3899</v>
      </c>
      <c r="AX62" s="534" t="s">
        <v>1434</v>
      </c>
      <c r="AY62" s="535" t="s">
        <v>1456</v>
      </c>
      <c r="BA62" s="540" t="s">
        <v>1345</v>
      </c>
      <c r="BB62" s="541" t="s">
        <v>1346</v>
      </c>
      <c r="BD62" s="548" t="s">
        <v>1345</v>
      </c>
      <c r="BE62" s="549" t="s">
        <v>1346</v>
      </c>
      <c r="BG62" t="s">
        <v>1345</v>
      </c>
      <c r="BH62" s="29" t="s">
        <v>1345</v>
      </c>
      <c r="BP62" t="s">
        <v>4122</v>
      </c>
      <c r="CG62" s="105" t="s">
        <v>4121</v>
      </c>
      <c r="CH62" s="105"/>
      <c r="CL62" s="269" t="s">
        <v>4120</v>
      </c>
      <c r="CM62" s="267" t="s">
        <v>4119</v>
      </c>
      <c r="CN62" s="1156">
        <v>0.8</v>
      </c>
      <c r="CO62" s="268">
        <v>1</v>
      </c>
      <c r="CP62" s="268">
        <v>1</v>
      </c>
      <c r="CQ62" s="268">
        <v>0.1</v>
      </c>
      <c r="CR62" s="268">
        <v>0</v>
      </c>
      <c r="CS62" s="268">
        <v>9.0999999999999998E-2</v>
      </c>
      <c r="CT62" s="268">
        <v>6.4000000000000001E-2</v>
      </c>
      <c r="DJ62" s="2" t="s">
        <v>2888</v>
      </c>
      <c r="DK62" s="2">
        <v>1863</v>
      </c>
      <c r="DL62" s="2">
        <v>574</v>
      </c>
      <c r="DM62" s="2">
        <v>1713</v>
      </c>
      <c r="DN62" s="2">
        <v>1801</v>
      </c>
      <c r="DO62" s="2">
        <v>2137</v>
      </c>
      <c r="DP62" s="2">
        <v>1912</v>
      </c>
      <c r="DQ62" s="2">
        <v>1142</v>
      </c>
      <c r="DR62" s="2">
        <v>1812</v>
      </c>
      <c r="DS62" s="2">
        <v>1142</v>
      </c>
      <c r="DT62" s="2">
        <v>2053</v>
      </c>
      <c r="DU62" s="2">
        <v>0.11899999999999999</v>
      </c>
      <c r="DV62" s="2">
        <v>-0.25</v>
      </c>
      <c r="DW62" s="2">
        <v>6.0999999999999999E-2</v>
      </c>
      <c r="DX62" s="2">
        <v>0.111</v>
      </c>
      <c r="DY62" s="2">
        <v>7.0000000000000007E-2</v>
      </c>
      <c r="DZ62" s="2">
        <v>6.0999999999999999E-2</v>
      </c>
      <c r="EA62" s="2">
        <v>0.498</v>
      </c>
      <c r="EB62" s="2">
        <v>0.498</v>
      </c>
      <c r="EC62" s="2">
        <v>0.498</v>
      </c>
      <c r="ED62" s="2">
        <v>6.0999999999999999E-2</v>
      </c>
      <c r="FS62" s="273"/>
      <c r="FT62" s="273"/>
      <c r="FU62" s="273"/>
      <c r="FV62" s="273"/>
      <c r="FW62" s="273"/>
      <c r="FX62" s="273"/>
      <c r="FY62" s="273"/>
      <c r="FZ62" s="273"/>
      <c r="GA62" s="273"/>
      <c r="GB62" s="273"/>
      <c r="GC62" s="273"/>
      <c r="GD62" s="273"/>
      <c r="GE62" s="273"/>
      <c r="GF62" s="273"/>
      <c r="GG62" s="273"/>
      <c r="GH62" s="273"/>
      <c r="GI62" s="273"/>
      <c r="GJ62" s="273"/>
    </row>
    <row r="63" spans="1:192">
      <c r="A63" s="105" t="s">
        <v>4934</v>
      </c>
      <c r="AD63" s="2882" t="s">
        <v>3900</v>
      </c>
      <c r="AE63" s="2" t="s">
        <v>3901</v>
      </c>
      <c r="AF63" s="2" t="s">
        <v>3902</v>
      </c>
      <c r="AG63" s="2">
        <v>1</v>
      </c>
      <c r="AH63" s="251">
        <v>0.82399999999999995</v>
      </c>
      <c r="AI63" s="2">
        <v>0.77700000000000002</v>
      </c>
      <c r="AJ63" s="2">
        <v>1.52</v>
      </c>
      <c r="AK63" s="2">
        <v>0.85899999999999999</v>
      </c>
      <c r="AL63" s="2">
        <v>1</v>
      </c>
      <c r="AM63" s="2">
        <v>1</v>
      </c>
      <c r="AX63" s="530" t="s">
        <v>1435</v>
      </c>
      <c r="AY63" s="529"/>
      <c r="BA63" s="542" t="s">
        <v>1469</v>
      </c>
      <c r="BB63" s="543" t="s">
        <v>1470</v>
      </c>
      <c r="BD63" s="548" t="s">
        <v>1364</v>
      </c>
      <c r="BE63" s="549" t="s">
        <v>1482</v>
      </c>
      <c r="BG63" t="s">
        <v>1702</v>
      </c>
      <c r="BH63" s="29" t="s">
        <v>1713</v>
      </c>
      <c r="BP63" s="103" t="s">
        <v>4118</v>
      </c>
      <c r="BQ63" s="103" t="s">
        <v>4117</v>
      </c>
      <c r="BR63" s="103" t="s">
        <v>4098</v>
      </c>
      <c r="BS63" s="103" t="s">
        <v>4116</v>
      </c>
      <c r="BT63" s="103" t="s">
        <v>4097</v>
      </c>
      <c r="BU63" s="103" t="s">
        <v>4096</v>
      </c>
      <c r="CG63" s="105" t="s">
        <v>4115</v>
      </c>
      <c r="CH63" s="105"/>
      <c r="CL63" s="271" t="s">
        <v>206</v>
      </c>
      <c r="CM63" s="267" t="s">
        <v>50</v>
      </c>
      <c r="CN63" s="1156">
        <v>0.8</v>
      </c>
      <c r="CO63" s="268">
        <v>1</v>
      </c>
      <c r="CP63" s="268">
        <v>1</v>
      </c>
      <c r="CQ63" s="268">
        <v>0.1</v>
      </c>
      <c r="CR63" s="268">
        <v>0</v>
      </c>
      <c r="CS63" s="268">
        <v>9.0999999999999998E-2</v>
      </c>
      <c r="CT63" s="268">
        <v>6.4000000000000001E-2</v>
      </c>
      <c r="DJ63" s="2" t="s">
        <v>3136</v>
      </c>
      <c r="DK63" s="2">
        <v>1740</v>
      </c>
      <c r="DL63" s="2">
        <v>1525</v>
      </c>
      <c r="DM63" s="2">
        <v>1925</v>
      </c>
      <c r="DN63" s="2">
        <v>332</v>
      </c>
      <c r="DO63" s="2">
        <v>242</v>
      </c>
      <c r="DP63" s="2">
        <v>1788</v>
      </c>
      <c r="DQ63" s="2">
        <v>6603</v>
      </c>
      <c r="DR63" s="2">
        <v>1694</v>
      </c>
      <c r="DS63" s="2">
        <v>6603</v>
      </c>
      <c r="DT63" s="2">
        <v>75</v>
      </c>
      <c r="DU63" s="2">
        <v>0.11899999999999999</v>
      </c>
      <c r="DV63" s="2">
        <v>-0.25</v>
      </c>
      <c r="DW63" s="2">
        <v>6.0999999999999999E-2</v>
      </c>
      <c r="DX63" s="2">
        <v>0.111</v>
      </c>
      <c r="DY63" s="2">
        <v>7.0000000000000007E-2</v>
      </c>
      <c r="DZ63" s="2">
        <v>6.0999999999999999E-2</v>
      </c>
      <c r="EA63" s="2">
        <v>0.498</v>
      </c>
      <c r="EB63" s="2">
        <v>0.498</v>
      </c>
      <c r="EC63" s="2">
        <v>0.498</v>
      </c>
      <c r="ED63" s="2">
        <v>6.0999999999999999E-2</v>
      </c>
      <c r="FS63" s="273"/>
      <c r="FT63" s="273"/>
      <c r="FU63" s="273"/>
      <c r="FV63" s="273"/>
      <c r="FW63" s="273"/>
      <c r="FX63" s="273"/>
      <c r="FY63" s="273"/>
      <c r="FZ63" s="273"/>
      <c r="GA63" s="273"/>
      <c r="GB63" s="273"/>
      <c r="GC63" s="273"/>
      <c r="GD63" s="273"/>
      <c r="GE63" s="273"/>
      <c r="GF63" s="273"/>
      <c r="GG63" s="273"/>
      <c r="GH63" s="273"/>
      <c r="GI63" s="273"/>
      <c r="GJ63" s="273"/>
    </row>
    <row r="64" spans="1:192">
      <c r="A64" s="106"/>
      <c r="AD64" s="2882"/>
      <c r="AE64" s="2" t="s">
        <v>3901</v>
      </c>
      <c r="AF64" s="2" t="s">
        <v>3903</v>
      </c>
      <c r="AG64" s="2">
        <v>1</v>
      </c>
      <c r="AH64" s="251">
        <v>0.82399999999999995</v>
      </c>
      <c r="AI64" s="2">
        <v>0.77700000000000002</v>
      </c>
      <c r="AJ64" s="2">
        <v>1.52</v>
      </c>
      <c r="AK64" s="2">
        <v>0.85899999999999999</v>
      </c>
      <c r="AL64" s="2">
        <v>1</v>
      </c>
      <c r="AM64" s="2">
        <v>1</v>
      </c>
      <c r="AX64" s="534" t="s">
        <v>1457</v>
      </c>
      <c r="AY64" s="535" t="s">
        <v>1458</v>
      </c>
      <c r="BA64" s="542" t="s">
        <v>1471</v>
      </c>
      <c r="BB64" s="543" t="s">
        <v>1472</v>
      </c>
      <c r="BD64" s="548" t="s">
        <v>1366</v>
      </c>
      <c r="BE64" s="549" t="s">
        <v>1367</v>
      </c>
      <c r="BG64" s="29" t="s">
        <v>1714</v>
      </c>
      <c r="BH64" t="s">
        <v>1707</v>
      </c>
      <c r="BP64" s="2" t="s">
        <v>4108</v>
      </c>
      <c r="BQ64" s="2" t="s">
        <v>4106</v>
      </c>
      <c r="BR64" s="2">
        <v>45</v>
      </c>
      <c r="BS64" s="2" t="s">
        <v>4112</v>
      </c>
      <c r="BT64" s="2">
        <v>0.85</v>
      </c>
      <c r="BU64" s="2">
        <v>0.93</v>
      </c>
      <c r="CG64" s="105" t="s">
        <v>4114</v>
      </c>
      <c r="CH64" s="105"/>
      <c r="CL64" s="267" t="s">
        <v>208</v>
      </c>
      <c r="CM64" s="267" t="s">
        <v>190</v>
      </c>
      <c r="CN64" s="1156">
        <v>0.8</v>
      </c>
      <c r="CO64" s="268">
        <v>1</v>
      </c>
      <c r="CP64" s="268">
        <v>1</v>
      </c>
      <c r="CQ64" s="268">
        <v>0.1</v>
      </c>
      <c r="CR64" s="268">
        <v>0</v>
      </c>
      <c r="CS64" s="268">
        <v>9.0999999999999998E-2</v>
      </c>
      <c r="CT64" s="268">
        <v>6.4000000000000001E-2</v>
      </c>
      <c r="DJ64" s="2" t="s">
        <v>2406</v>
      </c>
      <c r="DK64" s="2">
        <v>1963</v>
      </c>
      <c r="DL64" s="2">
        <v>241</v>
      </c>
      <c r="DM64" s="2">
        <v>231</v>
      </c>
      <c r="DN64" s="2">
        <v>531</v>
      </c>
      <c r="DO64" s="2">
        <v>707</v>
      </c>
      <c r="DP64" s="2">
        <v>1334</v>
      </c>
      <c r="DQ64" s="2">
        <v>44</v>
      </c>
      <c r="DR64" s="2">
        <v>1492</v>
      </c>
      <c r="DS64" s="2">
        <v>44</v>
      </c>
      <c r="DT64" s="2">
        <v>327</v>
      </c>
      <c r="DU64" s="2">
        <v>0.41099999999999998</v>
      </c>
      <c r="DV64" s="2">
        <v>-0.25</v>
      </c>
      <c r="DW64" s="2">
        <v>6.0999999999999999E-2</v>
      </c>
      <c r="DX64" s="2">
        <v>0.111</v>
      </c>
      <c r="DY64" s="2">
        <v>7.0000000000000007E-2</v>
      </c>
      <c r="DZ64" s="2">
        <v>0.3</v>
      </c>
      <c r="EA64" s="2">
        <v>0.498</v>
      </c>
      <c r="EB64" s="2">
        <v>0.498</v>
      </c>
      <c r="EC64" s="2">
        <v>0.498</v>
      </c>
      <c r="ED64" s="2">
        <v>6.0999999999999999E-2</v>
      </c>
      <c r="FS64" s="273"/>
      <c r="FT64" s="273"/>
      <c r="FU64" s="273"/>
      <c r="FV64" s="273"/>
      <c r="FW64" s="273"/>
      <c r="FX64" s="273"/>
      <c r="FY64" s="273"/>
      <c r="FZ64" s="273"/>
      <c r="GA64" s="273"/>
      <c r="GB64" s="273"/>
      <c r="GC64" s="273"/>
      <c r="GD64" s="273"/>
      <c r="GE64" s="273"/>
      <c r="GF64" s="273"/>
      <c r="GG64" s="273"/>
      <c r="GH64" s="273"/>
      <c r="GI64" s="273"/>
      <c r="GJ64" s="273"/>
    </row>
    <row r="65" spans="1:192">
      <c r="AD65" s="2882"/>
      <c r="AE65" s="2" t="s">
        <v>3904</v>
      </c>
      <c r="AF65" s="2" t="s">
        <v>3905</v>
      </c>
      <c r="AG65" s="2">
        <v>0.9</v>
      </c>
      <c r="AH65" s="251">
        <v>0.76700000000000002</v>
      </c>
      <c r="AI65" s="2">
        <v>0.79800000000000004</v>
      </c>
      <c r="AJ65" s="2">
        <v>2.91</v>
      </c>
      <c r="AK65" s="2">
        <v>0.78600000000000003</v>
      </c>
      <c r="AL65" s="2">
        <v>1</v>
      </c>
      <c r="AM65" s="2">
        <v>1</v>
      </c>
      <c r="AX65" s="534" t="s">
        <v>1437</v>
      </c>
      <c r="AY65" s="535" t="s">
        <v>1459</v>
      </c>
      <c r="BA65" s="542" t="s">
        <v>1473</v>
      </c>
      <c r="BB65" s="543" t="s">
        <v>1474</v>
      </c>
      <c r="BD65" s="548" t="s">
        <v>1368</v>
      </c>
      <c r="BE65" s="549" t="s">
        <v>1483</v>
      </c>
      <c r="BG65" s="29" t="s">
        <v>1715</v>
      </c>
      <c r="BH65" t="s">
        <v>1708</v>
      </c>
      <c r="BP65" s="2" t="s">
        <v>4113</v>
      </c>
      <c r="BQ65" s="2" t="s">
        <v>4106</v>
      </c>
      <c r="BR65" s="2">
        <v>45</v>
      </c>
      <c r="BS65" s="2" t="s">
        <v>4112</v>
      </c>
      <c r="BT65" s="2">
        <v>0.84</v>
      </c>
      <c r="BU65" s="2">
        <v>0.91</v>
      </c>
      <c r="CG65" s="105" t="s">
        <v>4111</v>
      </c>
      <c r="CH65" s="105"/>
      <c r="CL65" s="267" t="s">
        <v>4110</v>
      </c>
      <c r="CM65" s="267" t="s">
        <v>4109</v>
      </c>
      <c r="CN65" s="1156">
        <v>0.8</v>
      </c>
      <c r="CO65" s="268">
        <v>1</v>
      </c>
      <c r="CP65" s="268">
        <v>1</v>
      </c>
      <c r="CQ65" s="268">
        <v>0.1</v>
      </c>
      <c r="CR65" s="268">
        <v>0</v>
      </c>
      <c r="CS65" s="268">
        <v>9.0999999999999998E-2</v>
      </c>
      <c r="CT65" s="268">
        <v>6.4000000000000001E-2</v>
      </c>
      <c r="DJ65" s="2" t="s">
        <v>2930</v>
      </c>
      <c r="DK65" s="2">
        <v>1840</v>
      </c>
      <c r="DL65" s="2">
        <v>407</v>
      </c>
      <c r="DM65" s="2">
        <v>1176</v>
      </c>
      <c r="DN65" s="2">
        <v>1258</v>
      </c>
      <c r="DO65" s="2">
        <v>1605</v>
      </c>
      <c r="DP65" s="2">
        <v>1685</v>
      </c>
      <c r="DQ65" s="2">
        <v>845</v>
      </c>
      <c r="DR65" s="2">
        <v>1440</v>
      </c>
      <c r="DS65" s="2">
        <v>845</v>
      </c>
      <c r="DT65" s="2">
        <v>1183</v>
      </c>
      <c r="DU65" s="2">
        <v>0.11899999999999999</v>
      </c>
      <c r="DV65" s="2">
        <v>-0.25</v>
      </c>
      <c r="DW65" s="2">
        <v>6.0999999999999999E-2</v>
      </c>
      <c r="DX65" s="2">
        <v>0.111</v>
      </c>
      <c r="DY65" s="2">
        <v>7.0000000000000007E-2</v>
      </c>
      <c r="DZ65" s="2">
        <v>6.0999999999999999E-2</v>
      </c>
      <c r="EA65" s="2">
        <v>0.498</v>
      </c>
      <c r="EB65" s="2">
        <v>0.498</v>
      </c>
      <c r="EC65" s="2">
        <v>0.498</v>
      </c>
      <c r="ED65" s="2">
        <v>6.0999999999999999E-2</v>
      </c>
      <c r="FS65" s="273"/>
      <c r="FT65" s="273"/>
      <c r="FU65" s="273"/>
      <c r="FV65" s="273"/>
      <c r="FW65" s="273"/>
      <c r="FX65" s="273"/>
      <c r="FY65" s="273"/>
      <c r="FZ65" s="273"/>
      <c r="GA65" s="273"/>
      <c r="GB65" s="273"/>
      <c r="GC65" s="273"/>
      <c r="GD65" s="273"/>
      <c r="GE65" s="273"/>
      <c r="GF65" s="273"/>
      <c r="GG65" s="273"/>
      <c r="GH65" s="273"/>
      <c r="GI65" s="273"/>
      <c r="GJ65" s="273"/>
    </row>
    <row r="66" spans="1:192">
      <c r="AD66" s="2882"/>
      <c r="AE66" s="2" t="s">
        <v>3906</v>
      </c>
      <c r="AF66" s="2" t="s">
        <v>4555</v>
      </c>
      <c r="AG66" s="2">
        <v>0.9</v>
      </c>
      <c r="AH66" s="251">
        <v>0.74199999999999999</v>
      </c>
      <c r="AI66" s="2">
        <v>0.81399999999999995</v>
      </c>
      <c r="AJ66" s="2">
        <v>2.91</v>
      </c>
      <c r="AK66" s="2">
        <v>0.78600000000000003</v>
      </c>
      <c r="AL66" s="2">
        <v>1</v>
      </c>
      <c r="AM66" s="2">
        <v>0.99</v>
      </c>
      <c r="AX66" s="534" t="s">
        <v>1460</v>
      </c>
      <c r="AY66" s="535" t="s">
        <v>1461</v>
      </c>
      <c r="BA66" s="542" t="s">
        <v>1475</v>
      </c>
      <c r="BB66" s="543" t="s">
        <v>1476</v>
      </c>
      <c r="BD66" s="544" t="s">
        <v>1370</v>
      </c>
      <c r="BE66" s="545" t="s">
        <v>1371</v>
      </c>
      <c r="BG66" t="s">
        <v>1703</v>
      </c>
      <c r="BH66" t="s">
        <v>1709</v>
      </c>
      <c r="BP66" s="2" t="s">
        <v>4108</v>
      </c>
      <c r="BQ66" s="2" t="s">
        <v>4106</v>
      </c>
      <c r="BR66" s="2">
        <v>45</v>
      </c>
      <c r="BS66" s="2" t="s">
        <v>4105</v>
      </c>
      <c r="BT66" s="2">
        <v>0.75</v>
      </c>
      <c r="BU66" s="2">
        <v>0.86</v>
      </c>
      <c r="CG66" s="105" t="s">
        <v>171</v>
      </c>
      <c r="CH66" s="105"/>
      <c r="CL66" s="267" t="s">
        <v>207</v>
      </c>
      <c r="CM66" s="267" t="s">
        <v>51</v>
      </c>
      <c r="CN66" s="1156">
        <v>0.8</v>
      </c>
      <c r="CO66" s="268">
        <v>1</v>
      </c>
      <c r="CP66" s="268">
        <v>1</v>
      </c>
      <c r="CQ66" s="268">
        <v>0.1</v>
      </c>
      <c r="CR66" s="268">
        <v>0</v>
      </c>
      <c r="CS66" s="268">
        <v>9.0999999999999998E-2</v>
      </c>
      <c r="CT66" s="268">
        <v>6.4000000000000001E-2</v>
      </c>
      <c r="DJ66" s="2" t="s">
        <v>3137</v>
      </c>
      <c r="DK66" s="2">
        <v>1726</v>
      </c>
      <c r="DL66" s="2">
        <v>392</v>
      </c>
      <c r="DM66" s="2">
        <v>398</v>
      </c>
      <c r="DN66" s="2">
        <v>924</v>
      </c>
      <c r="DO66" s="2">
        <v>1007</v>
      </c>
      <c r="DP66" s="2">
        <v>1711</v>
      </c>
      <c r="DQ66" s="2">
        <v>752</v>
      </c>
      <c r="DR66" s="2">
        <v>1275</v>
      </c>
      <c r="DS66" s="2">
        <v>752</v>
      </c>
      <c r="DT66" s="2">
        <v>398</v>
      </c>
      <c r="DU66" s="2">
        <v>0.28399999999999997</v>
      </c>
      <c r="DV66" s="2">
        <v>-0.25</v>
      </c>
      <c r="DW66" s="2">
        <v>6.0999999999999999E-2</v>
      </c>
      <c r="DX66" s="2">
        <v>0.111</v>
      </c>
      <c r="DY66" s="2">
        <v>7.0000000000000007E-2</v>
      </c>
      <c r="DZ66" s="2">
        <v>0.19400000000000001</v>
      </c>
      <c r="EA66" s="2">
        <v>0.498</v>
      </c>
      <c r="EB66" s="2">
        <v>0.498</v>
      </c>
      <c r="EC66" s="2">
        <v>0.498</v>
      </c>
      <c r="ED66" s="2">
        <v>6.0999999999999999E-2</v>
      </c>
      <c r="FS66" s="273"/>
      <c r="FT66" s="273"/>
      <c r="FU66" s="273"/>
      <c r="FV66" s="273"/>
      <c r="FW66" s="273"/>
      <c r="FX66" s="273"/>
      <c r="FY66" s="273"/>
      <c r="FZ66" s="273"/>
      <c r="GA66" s="273"/>
      <c r="GB66" s="273"/>
      <c r="GC66" s="273"/>
      <c r="GD66" s="273"/>
      <c r="GE66" s="273"/>
      <c r="GF66" s="273"/>
      <c r="GG66" s="273"/>
      <c r="GH66" s="273"/>
      <c r="GI66" s="273"/>
      <c r="GJ66" s="273"/>
    </row>
    <row r="67" spans="1:192">
      <c r="A67" s="61" t="s">
        <v>361</v>
      </c>
      <c r="B67" s="61" t="s">
        <v>456</v>
      </c>
      <c r="C67" s="61" t="s">
        <v>1048</v>
      </c>
      <c r="D67" s="61" t="s">
        <v>362</v>
      </c>
      <c r="E67" s="61" t="s">
        <v>4933</v>
      </c>
      <c r="F67" s="61" t="s">
        <v>452</v>
      </c>
      <c r="G67" s="61" t="s">
        <v>453</v>
      </c>
      <c r="H67" s="141" t="s">
        <v>4934</v>
      </c>
      <c r="I67" s="141"/>
      <c r="AD67" s="2882"/>
      <c r="AE67" s="2" t="s">
        <v>3906</v>
      </c>
      <c r="AF67" s="2" t="s">
        <v>3907</v>
      </c>
      <c r="AG67" s="2">
        <v>0.9</v>
      </c>
      <c r="AH67" s="251">
        <v>0.74199999999999999</v>
      </c>
      <c r="AI67" s="2">
        <v>0.81399999999999995</v>
      </c>
      <c r="AJ67" s="2">
        <v>2.91</v>
      </c>
      <c r="AK67" s="2">
        <v>0.78600000000000003</v>
      </c>
      <c r="AL67" s="2">
        <v>1</v>
      </c>
      <c r="AM67" s="2">
        <v>0.99</v>
      </c>
      <c r="AX67" s="534" t="s">
        <v>1440</v>
      </c>
      <c r="AY67" s="535" t="s">
        <v>1462</v>
      </c>
      <c r="BA67" s="542" t="s">
        <v>1477</v>
      </c>
      <c r="BB67" s="543" t="s">
        <v>1399</v>
      </c>
      <c r="BG67" t="s">
        <v>1706</v>
      </c>
      <c r="BH67" t="s">
        <v>1710</v>
      </c>
      <c r="BP67" s="2" t="s">
        <v>4107</v>
      </c>
      <c r="BQ67" s="2" t="s">
        <v>4106</v>
      </c>
      <c r="BR67" s="2">
        <v>45</v>
      </c>
      <c r="BS67" s="2" t="s">
        <v>4105</v>
      </c>
      <c r="BT67" s="2">
        <v>0.8</v>
      </c>
      <c r="BU67" s="2">
        <v>0.88</v>
      </c>
      <c r="CG67" s="105" t="s">
        <v>1309</v>
      </c>
      <c r="CH67" s="105"/>
      <c r="CL67" s="267" t="s">
        <v>209</v>
      </c>
      <c r="CM67" s="267" t="s">
        <v>191</v>
      </c>
      <c r="CN67" s="1156">
        <v>0.8</v>
      </c>
      <c r="CO67" s="268">
        <v>1</v>
      </c>
      <c r="CP67" s="268">
        <v>1</v>
      </c>
      <c r="CQ67" s="268">
        <v>0.1</v>
      </c>
      <c r="CR67" s="268">
        <v>0</v>
      </c>
      <c r="CS67" s="268">
        <v>9.0999999999999998E-2</v>
      </c>
      <c r="CT67" s="268">
        <v>6.4000000000000001E-2</v>
      </c>
      <c r="DJ67" s="2" t="s">
        <v>2935</v>
      </c>
      <c r="DK67" s="2">
        <v>1863</v>
      </c>
      <c r="DL67" s="2">
        <v>574</v>
      </c>
      <c r="DM67" s="2">
        <v>1713</v>
      </c>
      <c r="DN67" s="2">
        <v>1801</v>
      </c>
      <c r="DO67" s="2">
        <v>2137</v>
      </c>
      <c r="DP67" s="2">
        <v>1912</v>
      </c>
      <c r="DQ67" s="2">
        <v>1142</v>
      </c>
      <c r="DR67" s="2">
        <v>1812</v>
      </c>
      <c r="DS67" s="2">
        <v>1142</v>
      </c>
      <c r="DT67" s="2">
        <v>2053</v>
      </c>
      <c r="DU67" s="2">
        <v>0.11899999999999999</v>
      </c>
      <c r="DV67" s="2">
        <v>-0.25</v>
      </c>
      <c r="DW67" s="2">
        <v>6.0999999999999999E-2</v>
      </c>
      <c r="DX67" s="2">
        <v>0.111</v>
      </c>
      <c r="DY67" s="2">
        <v>7.0000000000000007E-2</v>
      </c>
      <c r="DZ67" s="2">
        <v>6.0999999999999999E-2</v>
      </c>
      <c r="EA67" s="2">
        <v>0.498</v>
      </c>
      <c r="EB67" s="2">
        <v>0.498</v>
      </c>
      <c r="EC67" s="2">
        <v>0.498</v>
      </c>
      <c r="ED67" s="2">
        <v>6.0999999999999999E-2</v>
      </c>
      <c r="FS67" s="273"/>
      <c r="FT67" s="273"/>
      <c r="FU67" s="273"/>
      <c r="FV67" s="273"/>
      <c r="FW67" s="273"/>
      <c r="FX67" s="273"/>
      <c r="FY67" s="273"/>
      <c r="FZ67" s="273"/>
      <c r="GA67" s="273"/>
      <c r="GB67" s="273"/>
      <c r="GC67" s="273"/>
      <c r="GD67" s="273"/>
      <c r="GE67" s="273"/>
      <c r="GF67" s="273"/>
      <c r="GG67" s="273"/>
      <c r="GH67" s="273"/>
      <c r="GI67" s="273"/>
      <c r="GJ67" s="273"/>
    </row>
    <row r="68" spans="1:192">
      <c r="A68" s="116"/>
      <c r="B68" s="8"/>
      <c r="C68" s="8"/>
      <c r="D68" s="8"/>
      <c r="E68" s="8"/>
      <c r="F68" s="8"/>
      <c r="G68" s="8"/>
      <c r="H68" s="111"/>
      <c r="I68" s="111"/>
      <c r="AD68" s="2882"/>
      <c r="AE68" s="2" t="s">
        <v>3908</v>
      </c>
      <c r="AF68" s="2" t="s">
        <v>3909</v>
      </c>
      <c r="AG68" s="2">
        <v>0.9</v>
      </c>
      <c r="AH68" s="251">
        <v>0.80200000000000005</v>
      </c>
      <c r="AI68" s="2">
        <v>0.80500000000000005</v>
      </c>
      <c r="AJ68" s="2">
        <v>2.91</v>
      </c>
      <c r="AK68" s="2">
        <v>0.78600000000000003</v>
      </c>
      <c r="AL68" s="250">
        <v>1</v>
      </c>
      <c r="AM68" s="2">
        <v>0.96</v>
      </c>
      <c r="AX68" s="534" t="s">
        <v>1441</v>
      </c>
      <c r="AY68" s="535" t="s">
        <v>1463</v>
      </c>
      <c r="BA68" s="542" t="s">
        <v>1478</v>
      </c>
      <c r="BB68" s="543" t="s">
        <v>1354</v>
      </c>
      <c r="BH68" t="s">
        <v>1711</v>
      </c>
      <c r="BP68" s="8" t="s">
        <v>4104</v>
      </c>
      <c r="CG68" s="105" t="s">
        <v>1404</v>
      </c>
      <c r="CH68" s="105"/>
      <c r="CL68" s="267" t="s">
        <v>4103</v>
      </c>
      <c r="CM68" s="267" t="s">
        <v>4102</v>
      </c>
      <c r="CN68" s="1156">
        <v>0.8</v>
      </c>
      <c r="CO68" s="268">
        <v>1</v>
      </c>
      <c r="CP68" s="268">
        <v>1</v>
      </c>
      <c r="CQ68" s="268">
        <v>0.1</v>
      </c>
      <c r="CR68" s="268">
        <v>0</v>
      </c>
      <c r="CS68" s="268">
        <v>9.0999999999999998E-2</v>
      </c>
      <c r="CT68" s="268">
        <v>6.4000000000000001E-2</v>
      </c>
      <c r="DJ68" s="2" t="s">
        <v>2933</v>
      </c>
      <c r="DK68" s="2">
        <v>1963</v>
      </c>
      <c r="DL68" s="2">
        <v>241</v>
      </c>
      <c r="DM68" s="2">
        <v>231</v>
      </c>
      <c r="DN68" s="2">
        <v>531</v>
      </c>
      <c r="DO68" s="2">
        <v>707</v>
      </c>
      <c r="DP68" s="2">
        <v>1334</v>
      </c>
      <c r="DQ68" s="2">
        <v>44</v>
      </c>
      <c r="DR68" s="2">
        <v>1492</v>
      </c>
      <c r="DS68" s="2">
        <v>44</v>
      </c>
      <c r="DT68" s="2">
        <v>327</v>
      </c>
      <c r="DU68" s="2">
        <v>0.41099999999999998</v>
      </c>
      <c r="DV68" s="2">
        <v>-0.25</v>
      </c>
      <c r="DW68" s="2">
        <v>6.0999999999999999E-2</v>
      </c>
      <c r="DX68" s="2">
        <v>0.111</v>
      </c>
      <c r="DY68" s="2">
        <v>7.0000000000000007E-2</v>
      </c>
      <c r="DZ68" s="2">
        <v>0.3</v>
      </c>
      <c r="EA68" s="2">
        <v>0.498</v>
      </c>
      <c r="EB68" s="2">
        <v>0.498</v>
      </c>
      <c r="EC68" s="2">
        <v>0.498</v>
      </c>
      <c r="ED68" s="2">
        <v>6.0999999999999999E-2</v>
      </c>
      <c r="FS68" s="273"/>
      <c r="FT68" s="273"/>
      <c r="FU68" s="273"/>
      <c r="FV68" s="273"/>
      <c r="FW68" s="273"/>
      <c r="FX68" s="273"/>
      <c r="FY68" s="273"/>
      <c r="FZ68" s="273"/>
      <c r="GA68" s="273"/>
      <c r="GB68" s="273"/>
      <c r="GC68" s="273"/>
      <c r="GD68" s="273"/>
      <c r="GE68" s="273"/>
      <c r="GF68" s="273"/>
      <c r="GG68" s="273"/>
      <c r="GH68" s="273"/>
      <c r="GI68" s="273"/>
      <c r="GJ68" s="273"/>
    </row>
    <row r="69" spans="1:192">
      <c r="A69" s="99" t="s">
        <v>364</v>
      </c>
      <c r="B69" t="s">
        <v>371</v>
      </c>
      <c r="C69" t="s">
        <v>4935</v>
      </c>
      <c r="D69" t="s">
        <v>377</v>
      </c>
      <c r="E69" t="s">
        <v>4936</v>
      </c>
      <c r="F69" t="s">
        <v>381</v>
      </c>
      <c r="G69" t="s">
        <v>374</v>
      </c>
      <c r="H69" s="100" t="s">
        <v>382</v>
      </c>
      <c r="I69" s="100"/>
      <c r="L69" s="108"/>
      <c r="AD69" s="2882"/>
      <c r="AE69" s="2" t="s">
        <v>3910</v>
      </c>
      <c r="AF69" s="2" t="s">
        <v>3911</v>
      </c>
      <c r="AG69" s="2">
        <v>1</v>
      </c>
      <c r="AH69" s="2">
        <v>2.6739999999999999</v>
      </c>
      <c r="AI69" s="2">
        <v>0.19800000000000001</v>
      </c>
      <c r="AJ69" s="2">
        <v>8.51</v>
      </c>
      <c r="AK69" s="2">
        <v>0.36099999999999999</v>
      </c>
      <c r="AL69" s="2">
        <v>1</v>
      </c>
      <c r="AM69" s="2">
        <v>1</v>
      </c>
      <c r="AX69" s="534" t="s">
        <v>1464</v>
      </c>
      <c r="AY69" s="535" t="s">
        <v>1465</v>
      </c>
      <c r="BA69" s="542" t="s">
        <v>1479</v>
      </c>
      <c r="BB69" s="543" t="s">
        <v>1379</v>
      </c>
      <c r="BH69" t="s">
        <v>1712</v>
      </c>
      <c r="CG69" s="106"/>
      <c r="CH69" s="106"/>
      <c r="CL69" s="267" t="s">
        <v>203</v>
      </c>
      <c r="CM69" s="267" t="s">
        <v>48</v>
      </c>
      <c r="CN69" s="1156">
        <v>0.8</v>
      </c>
      <c r="CO69" s="268">
        <v>1</v>
      </c>
      <c r="CP69" s="268">
        <v>1</v>
      </c>
      <c r="CQ69" s="268">
        <v>0.1</v>
      </c>
      <c r="CR69" s="268">
        <v>0</v>
      </c>
      <c r="CS69" s="268">
        <v>9.0999999999999998E-2</v>
      </c>
      <c r="CT69" s="268">
        <v>6.4000000000000001E-2</v>
      </c>
      <c r="DJ69" s="2" t="s">
        <v>2931</v>
      </c>
      <c r="DK69" s="2">
        <v>1899</v>
      </c>
      <c r="DL69" s="2">
        <v>424</v>
      </c>
      <c r="DM69" s="2">
        <v>381</v>
      </c>
      <c r="DN69" s="2">
        <v>936</v>
      </c>
      <c r="DO69" s="2">
        <v>1059</v>
      </c>
      <c r="DP69" s="2">
        <v>1845</v>
      </c>
      <c r="DQ69" s="2">
        <v>916</v>
      </c>
      <c r="DR69" s="2">
        <v>1526</v>
      </c>
      <c r="DS69" s="2">
        <v>916</v>
      </c>
      <c r="DT69" s="2">
        <v>381</v>
      </c>
      <c r="DU69" s="2">
        <v>0.28399999999999997</v>
      </c>
      <c r="DV69" s="2">
        <v>-0.25</v>
      </c>
      <c r="DW69" s="2">
        <v>6.0999999999999999E-2</v>
      </c>
      <c r="DX69" s="2">
        <v>0.111</v>
      </c>
      <c r="DY69" s="2">
        <v>7.0000000000000007E-2</v>
      </c>
      <c r="DZ69" s="2">
        <v>0.19400000000000001</v>
      </c>
      <c r="EA69" s="2">
        <v>0.498</v>
      </c>
      <c r="EB69" s="2">
        <v>0.498</v>
      </c>
      <c r="EC69" s="2">
        <v>0.498</v>
      </c>
      <c r="ED69" s="2">
        <v>6.0999999999999999E-2</v>
      </c>
      <c r="FS69" s="273"/>
      <c r="FT69" s="273"/>
      <c r="FU69" s="273"/>
      <c r="FV69" s="273"/>
      <c r="FW69" s="273"/>
      <c r="FX69" s="273"/>
      <c r="FY69" s="273"/>
      <c r="FZ69" s="273"/>
      <c r="GA69" s="273"/>
      <c r="GB69" s="273"/>
      <c r="GC69" s="273"/>
      <c r="GD69" s="273"/>
      <c r="GE69" s="273"/>
      <c r="GF69" s="273"/>
      <c r="GG69" s="273"/>
      <c r="GH69" s="273"/>
      <c r="GI69" s="273"/>
      <c r="GJ69" s="273"/>
    </row>
    <row r="70" spans="1:192">
      <c r="A70" s="99" t="s">
        <v>365</v>
      </c>
      <c r="B70" t="s">
        <v>4937</v>
      </c>
      <c r="C70" t="s">
        <v>376</v>
      </c>
      <c r="D70" t="s">
        <v>378</v>
      </c>
      <c r="E70" t="s">
        <v>4938</v>
      </c>
      <c r="F70" t="s">
        <v>383</v>
      </c>
      <c r="G70" t="s">
        <v>375</v>
      </c>
      <c r="H70" s="100"/>
      <c r="I70" s="100"/>
      <c r="AD70" s="2882"/>
      <c r="AE70" s="2" t="s">
        <v>3910</v>
      </c>
      <c r="AF70" s="2" t="s">
        <v>3912</v>
      </c>
      <c r="AG70" s="2">
        <v>1</v>
      </c>
      <c r="AH70" s="2">
        <v>2.6739999999999999</v>
      </c>
      <c r="AI70" s="2">
        <v>0.19800000000000001</v>
      </c>
      <c r="AJ70" s="2">
        <v>8.51</v>
      </c>
      <c r="AK70" s="2">
        <v>0.36099999999999999</v>
      </c>
      <c r="AL70" s="2">
        <v>1</v>
      </c>
      <c r="AM70" s="2">
        <v>1</v>
      </c>
      <c r="AX70" s="534" t="s">
        <v>1384</v>
      </c>
      <c r="AY70" s="535" t="s">
        <v>292</v>
      </c>
      <c r="BA70" s="542" t="s">
        <v>1480</v>
      </c>
      <c r="BB70" s="543" t="s">
        <v>1358</v>
      </c>
      <c r="BP70" t="s">
        <v>4101</v>
      </c>
      <c r="CL70" s="267" t="s">
        <v>204</v>
      </c>
      <c r="CM70" s="267" t="s">
        <v>188</v>
      </c>
      <c r="CN70" s="1156">
        <v>0.8</v>
      </c>
      <c r="CO70" s="268">
        <v>1</v>
      </c>
      <c r="CP70" s="268">
        <v>1</v>
      </c>
      <c r="CQ70" s="268">
        <v>0.1</v>
      </c>
      <c r="CR70" s="268">
        <v>0</v>
      </c>
      <c r="CS70" s="268">
        <v>9.0999999999999998E-2</v>
      </c>
      <c r="CT70" s="268">
        <v>6.4000000000000001E-2</v>
      </c>
      <c r="DJ70" s="2" t="s">
        <v>2903</v>
      </c>
      <c r="DK70" s="2">
        <v>1707</v>
      </c>
      <c r="DL70" s="2">
        <v>396</v>
      </c>
      <c r="DM70" s="2">
        <v>3310</v>
      </c>
      <c r="DN70" s="2">
        <v>1091</v>
      </c>
      <c r="DO70" s="2">
        <v>1310</v>
      </c>
      <c r="DP70" s="2">
        <v>1561</v>
      </c>
      <c r="DQ70" s="2">
        <v>3411</v>
      </c>
      <c r="DR70" s="2">
        <v>1504</v>
      </c>
      <c r="DS70" s="2">
        <v>3411</v>
      </c>
      <c r="DT70" s="2">
        <v>1020</v>
      </c>
      <c r="DU70" s="2">
        <v>0.11899999999999999</v>
      </c>
      <c r="DV70" s="2">
        <v>-0.25</v>
      </c>
      <c r="DW70" s="2">
        <v>6.0999999999999999E-2</v>
      </c>
      <c r="DX70" s="2">
        <v>0.111</v>
      </c>
      <c r="DY70" s="2">
        <v>7.0000000000000007E-2</v>
      </c>
      <c r="DZ70" s="2">
        <v>6.0999999999999999E-2</v>
      </c>
      <c r="EA70" s="2">
        <v>0.498</v>
      </c>
      <c r="EB70" s="2">
        <v>0.498</v>
      </c>
      <c r="EC70" s="2">
        <v>0.498</v>
      </c>
      <c r="ED70" s="2">
        <v>6.0999999999999999E-2</v>
      </c>
      <c r="FS70" s="273"/>
      <c r="FT70" s="273"/>
      <c r="FU70" s="273"/>
      <c r="FV70" s="273"/>
      <c r="FW70" s="273"/>
      <c r="FX70" s="273"/>
      <c r="FY70" s="273"/>
      <c r="FZ70" s="273"/>
      <c r="GA70" s="273"/>
      <c r="GB70" s="273"/>
      <c r="GC70" s="273"/>
      <c r="GD70" s="273"/>
      <c r="GE70" s="273"/>
      <c r="GF70" s="273"/>
      <c r="GG70" s="273"/>
      <c r="GH70" s="273"/>
      <c r="GI70" s="273"/>
      <c r="GJ70" s="273"/>
    </row>
    <row r="71" spans="1:192">
      <c r="A71" s="99" t="s">
        <v>366</v>
      </c>
      <c r="B71" t="s">
        <v>372</v>
      </c>
      <c r="C71" t="s">
        <v>4939</v>
      </c>
      <c r="E71" t="s">
        <v>4940</v>
      </c>
      <c r="F71" t="s">
        <v>384</v>
      </c>
      <c r="H71" s="100"/>
      <c r="I71" s="100"/>
      <c r="AD71" s="2882"/>
      <c r="AE71" s="2" t="s">
        <v>3913</v>
      </c>
      <c r="AF71" s="2" t="s">
        <v>3914</v>
      </c>
      <c r="AG71" s="2">
        <v>0.9</v>
      </c>
      <c r="AH71" s="2">
        <v>2.673</v>
      </c>
      <c r="AI71" s="2">
        <v>0.21</v>
      </c>
      <c r="AJ71" s="2">
        <v>8.67</v>
      </c>
      <c r="AK71" s="2">
        <v>0.35299999999999998</v>
      </c>
      <c r="AL71" s="2">
        <v>1</v>
      </c>
      <c r="AM71" s="2">
        <v>0.99</v>
      </c>
      <c r="AX71" s="532" t="s">
        <v>1466</v>
      </c>
      <c r="AY71" s="533" t="s">
        <v>1467</v>
      </c>
      <c r="AZ71" s="106"/>
      <c r="BA71" s="536" t="s">
        <v>1384</v>
      </c>
      <c r="BB71" s="537" t="s">
        <v>1352</v>
      </c>
      <c r="BP71" s="103" t="s">
        <v>4100</v>
      </c>
      <c r="BQ71" s="103" t="s">
        <v>4099</v>
      </c>
      <c r="BR71" s="103" t="s">
        <v>4098</v>
      </c>
      <c r="BS71" s="103" t="s">
        <v>4097</v>
      </c>
      <c r="BT71" s="103" t="s">
        <v>4096</v>
      </c>
      <c r="BU71" s="30"/>
      <c r="BZ71" s="30"/>
      <c r="CL71" s="267" t="s">
        <v>4095</v>
      </c>
      <c r="CM71" s="267" t="s">
        <v>4094</v>
      </c>
      <c r="CN71" s="1156">
        <v>0.8</v>
      </c>
      <c r="CO71" s="268">
        <v>1</v>
      </c>
      <c r="CP71" s="268">
        <v>1</v>
      </c>
      <c r="CQ71" s="268">
        <v>0.1</v>
      </c>
      <c r="CR71" s="268">
        <v>0</v>
      </c>
      <c r="CS71" s="268">
        <v>9.0999999999999998E-2</v>
      </c>
      <c r="CT71" s="268">
        <v>6.4000000000000001E-2</v>
      </c>
      <c r="DJ71" s="2" t="s">
        <v>2428</v>
      </c>
      <c r="DK71" s="2">
        <v>1828</v>
      </c>
      <c r="DL71" s="2">
        <v>195</v>
      </c>
      <c r="DM71" s="2">
        <v>199</v>
      </c>
      <c r="DN71" s="2">
        <v>823</v>
      </c>
      <c r="DO71" s="2">
        <v>936</v>
      </c>
      <c r="DP71" s="2">
        <v>1468</v>
      </c>
      <c r="DQ71" s="2">
        <v>934</v>
      </c>
      <c r="DR71" s="2">
        <v>1545</v>
      </c>
      <c r="DS71" s="2">
        <v>934</v>
      </c>
      <c r="DT71" s="2">
        <v>199</v>
      </c>
      <c r="DU71" s="2">
        <v>0.11899999999999999</v>
      </c>
      <c r="DV71" s="2">
        <v>-0.25</v>
      </c>
      <c r="DW71" s="2">
        <v>6.0999999999999999E-2</v>
      </c>
      <c r="DX71" s="2">
        <v>0.111</v>
      </c>
      <c r="DY71" s="2">
        <v>7.0000000000000007E-2</v>
      </c>
      <c r="DZ71" s="2">
        <v>6.0999999999999999E-2</v>
      </c>
      <c r="EA71" s="2">
        <v>0.498</v>
      </c>
      <c r="EB71" s="2">
        <v>0.498</v>
      </c>
      <c r="EC71" s="2">
        <v>0.498</v>
      </c>
      <c r="ED71" s="2">
        <v>6.0999999999999999E-2</v>
      </c>
      <c r="FS71" s="273"/>
      <c r="FT71" s="273"/>
      <c r="FU71" s="273"/>
      <c r="FV71" s="273"/>
      <c r="FW71" s="273"/>
      <c r="FX71" s="273"/>
      <c r="FY71" s="273"/>
      <c r="FZ71" s="273"/>
      <c r="GA71" s="273"/>
      <c r="GB71" s="273"/>
      <c r="GC71" s="273"/>
      <c r="GD71" s="273"/>
      <c r="GE71" s="273"/>
      <c r="GF71" s="273"/>
      <c r="GG71" s="273"/>
      <c r="GH71" s="273"/>
      <c r="GI71" s="273"/>
      <c r="GJ71" s="273"/>
    </row>
    <row r="72" spans="1:192">
      <c r="A72" s="99" t="s">
        <v>367</v>
      </c>
      <c r="B72" t="s">
        <v>410</v>
      </c>
      <c r="C72" t="s">
        <v>4941</v>
      </c>
      <c r="F72" t="s">
        <v>385</v>
      </c>
      <c r="H72" s="100"/>
      <c r="I72" s="100"/>
      <c r="AD72" s="2882"/>
      <c r="AE72" s="2" t="s">
        <v>3913</v>
      </c>
      <c r="AF72" s="2" t="s">
        <v>4970</v>
      </c>
      <c r="AG72" s="2">
        <v>0.9</v>
      </c>
      <c r="AH72" s="2">
        <v>2.673</v>
      </c>
      <c r="AI72" s="2">
        <v>0.21</v>
      </c>
      <c r="AJ72" s="2">
        <v>8.67</v>
      </c>
      <c r="AK72" s="2">
        <v>0.35299999999999998</v>
      </c>
      <c r="AL72" s="2">
        <v>1</v>
      </c>
      <c r="AM72" s="2">
        <v>0.99</v>
      </c>
      <c r="BP72" s="2" t="s">
        <v>4091</v>
      </c>
      <c r="BQ72" s="2" t="s">
        <v>4092</v>
      </c>
      <c r="BR72" s="2">
        <v>60</v>
      </c>
      <c r="BS72" s="2">
        <v>0.93</v>
      </c>
      <c r="BT72" s="2">
        <v>0.92</v>
      </c>
      <c r="BU72" s="1154"/>
      <c r="CL72" s="267" t="s">
        <v>4093</v>
      </c>
      <c r="CM72" s="267" t="s">
        <v>49</v>
      </c>
      <c r="CN72" s="1156">
        <v>0.8</v>
      </c>
      <c r="CO72" s="268">
        <v>1</v>
      </c>
      <c r="CP72" s="268">
        <v>1</v>
      </c>
      <c r="CQ72" s="268">
        <v>0.1</v>
      </c>
      <c r="CR72" s="268">
        <v>0</v>
      </c>
      <c r="CS72" s="268">
        <v>9.0999999999999998E-2</v>
      </c>
      <c r="CT72" s="268">
        <v>6.4000000000000001E-2</v>
      </c>
      <c r="DJ72" s="2" t="s">
        <v>2937</v>
      </c>
      <c r="DK72" s="605">
        <f>AVERAGE(DK61:DK71)</f>
        <v>1854.8181818181818</v>
      </c>
      <c r="DL72" s="605">
        <f t="shared" ref="DL72:DM72" si="1">AVERAGE(DL61:DL71)</f>
        <v>479.72727272727275</v>
      </c>
      <c r="DM72" s="605">
        <f t="shared" si="1"/>
        <v>1098.090909090909</v>
      </c>
      <c r="DN72" s="605">
        <f t="shared" ref="DN72" si="2">AVERAGE(DN61:DN71)</f>
        <v>988.90909090909088</v>
      </c>
      <c r="DO72" s="605">
        <f t="shared" ref="DO72" si="3">AVERAGE(DO61:DO71)</f>
        <v>1171.3636363636363</v>
      </c>
      <c r="DP72" s="605">
        <f t="shared" ref="DP72" si="4">AVERAGE(DP61:DP71)</f>
        <v>1645.3636363636363</v>
      </c>
      <c r="DQ72" s="605">
        <f t="shared" ref="DQ72" si="5">AVERAGE(DQ61:DQ71)</f>
        <v>1489.3636363636363</v>
      </c>
      <c r="DR72" s="605">
        <f t="shared" ref="DR72" si="6">AVERAGE(DR61:DR71)</f>
        <v>1580</v>
      </c>
      <c r="DS72" s="605">
        <f t="shared" ref="DS72" si="7">AVERAGE(DS61:DS71)</f>
        <v>1489.3636363636363</v>
      </c>
      <c r="DT72" s="605">
        <f t="shared" ref="DT72" si="8">AVERAGE(DT61:DT71)</f>
        <v>789.4545454545455</v>
      </c>
      <c r="DU72" s="2">
        <v>0.20209090909090907</v>
      </c>
      <c r="DV72" s="2">
        <v>-0.25</v>
      </c>
      <c r="DW72" s="2">
        <v>6.0999999999999985E-2</v>
      </c>
      <c r="DX72" s="2">
        <v>0.111</v>
      </c>
      <c r="DY72" s="2">
        <v>7.0000000000000021E-2</v>
      </c>
      <c r="DZ72" s="2">
        <v>6.0999999999999999E-2</v>
      </c>
      <c r="EA72" s="2">
        <v>0.49800000000000016</v>
      </c>
      <c r="EB72" s="2">
        <v>0.49800000000000016</v>
      </c>
      <c r="EC72" s="2">
        <v>0.49800000000000016</v>
      </c>
      <c r="ED72" s="2">
        <v>6.0999999999999985E-2</v>
      </c>
      <c r="FS72" s="273"/>
      <c r="FT72" s="273"/>
      <c r="FU72" s="273"/>
      <c r="FV72" s="273"/>
      <c r="FW72" s="273"/>
      <c r="FX72" s="273"/>
      <c r="FY72" s="273"/>
      <c r="FZ72" s="273"/>
      <c r="GA72" s="273"/>
      <c r="GB72" s="273"/>
      <c r="GC72" s="273"/>
      <c r="GD72" s="273"/>
      <c r="GE72" s="273"/>
      <c r="GF72" s="273"/>
      <c r="GG72" s="273"/>
      <c r="GH72" s="273"/>
      <c r="GI72" s="273"/>
      <c r="GJ72" s="273"/>
    </row>
    <row r="73" spans="1:192">
      <c r="A73" s="99" t="s">
        <v>368</v>
      </c>
      <c r="B73" t="s">
        <v>4942</v>
      </c>
      <c r="C73" t="s">
        <v>4943</v>
      </c>
      <c r="H73" s="100"/>
      <c r="I73" s="100"/>
      <c r="AD73" s="2882"/>
      <c r="AE73" s="2" t="s">
        <v>3913</v>
      </c>
      <c r="AF73" s="2" t="s">
        <v>4971</v>
      </c>
      <c r="AG73" s="2">
        <v>0.9</v>
      </c>
      <c r="AH73" s="2">
        <v>2.673</v>
      </c>
      <c r="AI73" s="2">
        <v>0.21</v>
      </c>
      <c r="AJ73" s="2">
        <v>8.67</v>
      </c>
      <c r="AK73" s="2">
        <v>0.35299999999999998</v>
      </c>
      <c r="AL73" s="2">
        <v>1</v>
      </c>
      <c r="AM73" s="2">
        <v>0.99</v>
      </c>
      <c r="AX73" s="2592" t="s">
        <v>1292</v>
      </c>
      <c r="AY73" s="2592" t="s">
        <v>1509</v>
      </c>
      <c r="AZ73" s="2592" t="s">
        <v>1508</v>
      </c>
      <c r="BA73" s="2573" t="s">
        <v>1528</v>
      </c>
      <c r="BB73" s="2573" t="s">
        <v>1529</v>
      </c>
      <c r="BC73" s="2573" t="s">
        <v>1530</v>
      </c>
      <c r="BD73" s="2573" t="s">
        <v>1531</v>
      </c>
      <c r="BE73" s="592" t="s">
        <v>1653</v>
      </c>
      <c r="BF73" s="272"/>
      <c r="BP73" s="2" t="s">
        <v>4090</v>
      </c>
      <c r="BQ73" s="2" t="s">
        <v>4092</v>
      </c>
      <c r="BR73" s="2">
        <v>60</v>
      </c>
      <c r="BS73" s="2">
        <v>0.93</v>
      </c>
      <c r="BT73" s="2">
        <v>0.92</v>
      </c>
      <c r="CL73" s="267" t="s">
        <v>205</v>
      </c>
      <c r="CM73" s="267" t="s">
        <v>189</v>
      </c>
      <c r="CN73" s="1156">
        <v>0.8</v>
      </c>
      <c r="CO73" s="268">
        <v>1</v>
      </c>
      <c r="CP73" s="268">
        <v>1</v>
      </c>
      <c r="CQ73" s="268">
        <v>0.1</v>
      </c>
      <c r="CR73" s="268">
        <v>0</v>
      </c>
      <c r="CS73" s="268">
        <v>9.0999999999999998E-2</v>
      </c>
      <c r="CT73" s="268">
        <v>6.4000000000000001E-2</v>
      </c>
      <c r="DJ73" s="618" t="s">
        <v>2938</v>
      </c>
      <c r="DK73" s="897">
        <f>AVERAGE(DK61:DK71)</f>
        <v>1854.8181818181818</v>
      </c>
      <c r="DL73" s="897">
        <f t="shared" ref="DL73:DT73" si="9">AVERAGE(DL61:DL71)</f>
        <v>479.72727272727275</v>
      </c>
      <c r="DM73" s="897">
        <f t="shared" si="9"/>
        <v>1098.090909090909</v>
      </c>
      <c r="DN73" s="897">
        <f t="shared" si="9"/>
        <v>988.90909090909088</v>
      </c>
      <c r="DO73" s="897">
        <f t="shared" si="9"/>
        <v>1171.3636363636363</v>
      </c>
      <c r="DP73" s="897">
        <f t="shared" si="9"/>
        <v>1645.3636363636363</v>
      </c>
      <c r="DQ73" s="897">
        <f t="shared" si="9"/>
        <v>1489.3636363636363</v>
      </c>
      <c r="DR73" s="897">
        <f t="shared" si="9"/>
        <v>1580</v>
      </c>
      <c r="DS73" s="897">
        <f t="shared" si="9"/>
        <v>1489.3636363636363</v>
      </c>
      <c r="DT73" s="897">
        <f t="shared" si="9"/>
        <v>789.4545454545455</v>
      </c>
      <c r="DU73" s="618">
        <v>0.20209090909090907</v>
      </c>
      <c r="DV73" s="618">
        <v>-0.25</v>
      </c>
      <c r="DW73" s="618">
        <v>6.0999999999999985E-2</v>
      </c>
      <c r="DX73" s="618">
        <v>0.111</v>
      </c>
      <c r="DY73" s="618">
        <v>7.0000000000000021E-2</v>
      </c>
      <c r="DZ73" s="618">
        <v>6.0999999999999999E-2</v>
      </c>
      <c r="EA73" s="618">
        <v>0.49800000000000016</v>
      </c>
      <c r="EB73" s="618">
        <v>0.49800000000000016</v>
      </c>
      <c r="EC73" s="618">
        <v>0.49800000000000016</v>
      </c>
      <c r="ED73" s="618">
        <v>6.0999999999999985E-2</v>
      </c>
      <c r="FS73" s="273"/>
      <c r="FT73" s="273"/>
      <c r="FU73" s="273"/>
      <c r="FV73" s="273"/>
      <c r="FW73" s="273"/>
      <c r="FX73" s="273"/>
      <c r="FY73" s="273"/>
      <c r="FZ73" s="273"/>
      <c r="GA73" s="273"/>
      <c r="GB73" s="273"/>
      <c r="GC73" s="273"/>
      <c r="GD73" s="273"/>
      <c r="GE73" s="273"/>
      <c r="GF73" s="273"/>
      <c r="GG73" s="273"/>
      <c r="GH73" s="273"/>
      <c r="GI73" s="273"/>
      <c r="GJ73" s="273"/>
    </row>
    <row r="74" spans="1:192">
      <c r="A74" s="99" t="s">
        <v>369</v>
      </c>
      <c r="C74" t="s">
        <v>4944</v>
      </c>
      <c r="H74" s="100"/>
      <c r="I74" s="100"/>
      <c r="AC74" s="267"/>
      <c r="AD74" s="2882"/>
      <c r="AE74" s="2" t="s">
        <v>3915</v>
      </c>
      <c r="AF74" s="2" t="s">
        <v>3916</v>
      </c>
      <c r="AG74" s="2">
        <v>1</v>
      </c>
      <c r="AH74" s="2">
        <v>-3.5979999999999999</v>
      </c>
      <c r="AI74" s="2">
        <v>2.11</v>
      </c>
      <c r="AJ74" s="2">
        <v>18.850000000000001</v>
      </c>
      <c r="AK74" s="2">
        <v>-0.246</v>
      </c>
      <c r="AL74" s="2">
        <v>1</v>
      </c>
      <c r="AM74" s="2">
        <v>0.99</v>
      </c>
      <c r="AX74" s="2593"/>
      <c r="AY74" s="2593"/>
      <c r="AZ74" s="2593"/>
      <c r="BA74" s="2581"/>
      <c r="BB74" s="2581"/>
      <c r="BC74" s="2581"/>
      <c r="BD74" s="2581"/>
      <c r="BE74" t="s">
        <v>1729</v>
      </c>
      <c r="BP74" s="2" t="s">
        <v>4088</v>
      </c>
      <c r="BQ74" s="2" t="s">
        <v>4092</v>
      </c>
      <c r="BR74" s="2">
        <v>60</v>
      </c>
      <c r="BS74" s="2">
        <v>0.93</v>
      </c>
      <c r="BT74" s="2">
        <v>0.92</v>
      </c>
      <c r="CL74" s="267"/>
      <c r="CM74" s="1155"/>
      <c r="CN74" s="1"/>
      <c r="CO74" s="1"/>
      <c r="CP74" s="1"/>
      <c r="CQ74" s="1"/>
      <c r="CR74" s="1"/>
      <c r="CS74" s="1"/>
      <c r="CT74" s="1"/>
      <c r="FS74" s="273"/>
      <c r="FT74" s="273"/>
      <c r="FU74" s="273"/>
      <c r="FV74" s="273"/>
      <c r="FW74" s="273"/>
      <c r="FX74" s="273"/>
      <c r="FY74" s="273"/>
      <c r="FZ74" s="273"/>
      <c r="GA74" s="273"/>
      <c r="GB74" s="273"/>
      <c r="GC74" s="273"/>
      <c r="GD74" s="273"/>
      <c r="GE74" s="273"/>
      <c r="GF74" s="273"/>
      <c r="GG74" s="273"/>
      <c r="GH74" s="273"/>
      <c r="GI74" s="273"/>
      <c r="GJ74" s="273"/>
    </row>
    <row r="75" spans="1:192" ht="15" thickBot="1">
      <c r="A75" s="99" t="s">
        <v>370</v>
      </c>
      <c r="C75" t="s">
        <v>4945</v>
      </c>
      <c r="H75" s="100"/>
      <c r="I75" s="100"/>
      <c r="AC75" s="269"/>
      <c r="AD75" s="1117" t="s">
        <v>3920</v>
      </c>
      <c r="AE75" s="2" t="s">
        <v>3915</v>
      </c>
      <c r="AF75" s="2" t="s">
        <v>3917</v>
      </c>
      <c r="AG75" s="2">
        <v>1</v>
      </c>
      <c r="AH75" s="2">
        <v>-3.5979999999999999</v>
      </c>
      <c r="AI75" s="2">
        <v>2.11</v>
      </c>
      <c r="AJ75" s="2">
        <v>18.850000000000001</v>
      </c>
      <c r="AK75" s="2">
        <v>-0.246</v>
      </c>
      <c r="AL75" s="2">
        <v>1</v>
      </c>
      <c r="AM75" s="2">
        <v>0.99</v>
      </c>
      <c r="AX75" s="2" t="s">
        <v>1634</v>
      </c>
      <c r="AY75" s="2">
        <v>0.1</v>
      </c>
      <c r="AZ75" s="2">
        <v>0.1</v>
      </c>
      <c r="BA75" s="297">
        <f>AVERAGE(65%,74%,61%,64%)</f>
        <v>0.66</v>
      </c>
      <c r="BB75" s="297">
        <f>AVERAGE(76%,82%,73%,69%)</f>
        <v>0.75</v>
      </c>
      <c r="BC75" s="246">
        <f>AVERAGE(90%,87%)</f>
        <v>0.88500000000000001</v>
      </c>
      <c r="BD75" s="246">
        <f>AVERAGE(92%,90%)</f>
        <v>0.91</v>
      </c>
      <c r="BE75" t="s">
        <v>1730</v>
      </c>
      <c r="BP75" s="2" t="s">
        <v>4091</v>
      </c>
      <c r="BQ75" s="2" t="s">
        <v>4087</v>
      </c>
      <c r="BR75" s="2">
        <v>60</v>
      </c>
      <c r="BS75" s="1153">
        <v>0.77</v>
      </c>
      <c r="BT75" s="1153">
        <v>0.81</v>
      </c>
      <c r="FS75" s="273"/>
      <c r="FT75" s="273"/>
      <c r="FU75" s="273"/>
      <c r="FV75" s="273"/>
      <c r="FW75" s="273"/>
      <c r="FX75" s="273"/>
      <c r="FY75" s="273"/>
      <c r="FZ75" s="273"/>
      <c r="GA75" s="273"/>
      <c r="GB75" s="273"/>
      <c r="GC75" s="273"/>
      <c r="GD75" s="273"/>
      <c r="GE75" s="273"/>
      <c r="GF75" s="273"/>
      <c r="GG75" s="273"/>
      <c r="GH75" s="273"/>
      <c r="GI75" s="273"/>
      <c r="GJ75" s="273"/>
    </row>
    <row r="76" spans="1:192">
      <c r="A76" s="99" t="s">
        <v>4946</v>
      </c>
      <c r="C76" t="s">
        <v>4947</v>
      </c>
      <c r="H76" s="100"/>
      <c r="I76" s="102"/>
      <c r="AB76" s="267"/>
      <c r="AC76" s="269"/>
      <c r="AD76" s="1117"/>
      <c r="AE76" s="2" t="s">
        <v>3918</v>
      </c>
      <c r="AF76" s="2" t="s">
        <v>3919</v>
      </c>
      <c r="AG76" s="2">
        <v>0.9</v>
      </c>
      <c r="AH76" s="2">
        <v>-3.4359999999999999</v>
      </c>
      <c r="AI76" s="2">
        <v>2.0640000000000001</v>
      </c>
      <c r="AJ76" s="2">
        <v>16.95</v>
      </c>
      <c r="AK76" s="2">
        <v>-0.122</v>
      </c>
      <c r="AL76" s="2">
        <v>1</v>
      </c>
      <c r="AM76" s="2">
        <v>0.98</v>
      </c>
      <c r="AX76" s="2" t="s">
        <v>1635</v>
      </c>
      <c r="AY76" s="2">
        <v>0.1</v>
      </c>
      <c r="AZ76" s="2">
        <v>0.1</v>
      </c>
      <c r="BA76" s="297">
        <f>AVERAGE(65%,74%,61%,64%)</f>
        <v>0.66</v>
      </c>
      <c r="BB76" s="297">
        <f>AVERAGE(76%,82%,73%,69%)</f>
        <v>0.75</v>
      </c>
      <c r="BC76" s="246">
        <f>AVERAGE(90%,87%)</f>
        <v>0.88500000000000001</v>
      </c>
      <c r="BD76" s="246">
        <f>AVERAGE(92%,90%)</f>
        <v>0.91</v>
      </c>
      <c r="BH76" s="546" t="s">
        <v>1678</v>
      </c>
      <c r="BI76" s="547" t="s">
        <v>1679</v>
      </c>
      <c r="BJ76" s="547" t="s">
        <v>1680</v>
      </c>
      <c r="BP76" s="2" t="s">
        <v>4090</v>
      </c>
      <c r="BQ76" s="2" t="s">
        <v>4087</v>
      </c>
      <c r="BR76" s="2">
        <v>60</v>
      </c>
      <c r="BS76" s="2">
        <v>0.89</v>
      </c>
      <c r="BT76" s="2">
        <v>0.91</v>
      </c>
      <c r="BU76" s="1154"/>
      <c r="CG76" s="2895" t="s">
        <v>4089</v>
      </c>
      <c r="CH76" s="2896"/>
      <c r="CI76" s="2896"/>
      <c r="CJ76" s="2897"/>
      <c r="CK76" s="265"/>
      <c r="CL76" s="265"/>
      <c r="DJ76" s="864" t="s">
        <v>3138</v>
      </c>
      <c r="FS76" s="273"/>
      <c r="FT76" s="273"/>
      <c r="FU76" s="273"/>
      <c r="FV76" s="273"/>
      <c r="FW76" s="273"/>
      <c r="FX76" s="273"/>
      <c r="FY76" s="273"/>
      <c r="FZ76" s="273"/>
      <c r="GA76" s="273"/>
      <c r="GB76" s="273"/>
      <c r="GC76" s="273"/>
      <c r="GD76" s="273"/>
      <c r="GE76" s="273"/>
      <c r="GF76" s="273"/>
      <c r="GG76" s="273"/>
      <c r="GH76" s="273"/>
      <c r="GI76" s="273"/>
      <c r="GJ76" s="273"/>
    </row>
    <row r="77" spans="1:192">
      <c r="A77" s="99" t="s">
        <v>4948</v>
      </c>
      <c r="C77" t="s">
        <v>4949</v>
      </c>
      <c r="AB77" s="267"/>
      <c r="AC77" s="267"/>
      <c r="AD77" s="1117"/>
      <c r="AE77" s="2" t="s">
        <v>3918</v>
      </c>
      <c r="AF77" s="2" t="s">
        <v>4972</v>
      </c>
      <c r="AG77" s="2">
        <v>0.9</v>
      </c>
      <c r="AH77" s="2">
        <v>-3.4359999999999999</v>
      </c>
      <c r="AI77" s="2">
        <v>2.0640000000000001</v>
      </c>
      <c r="AJ77" s="2">
        <v>16.95</v>
      </c>
      <c r="AK77" s="2">
        <v>-0.122</v>
      </c>
      <c r="AL77" s="2">
        <v>1</v>
      </c>
      <c r="AM77" s="2">
        <v>0.98</v>
      </c>
      <c r="AX77" s="2" t="s">
        <v>1525</v>
      </c>
      <c r="AY77" s="2">
        <v>0.6</v>
      </c>
      <c r="AZ77" s="2">
        <v>0.6</v>
      </c>
      <c r="BA77" s="297">
        <f>AVERAGE(78%,85%,83%,76%)</f>
        <v>0.80499999999999994</v>
      </c>
      <c r="BB77" s="297">
        <f>AVERAGE(80%,85%,78%,74%)</f>
        <v>0.79249999999999998</v>
      </c>
      <c r="BC77" s="246">
        <f t="shared" ref="BC77:BC78" si="10">AVERAGE(94%,94%)</f>
        <v>0.94</v>
      </c>
      <c r="BD77" s="246">
        <f t="shared" ref="BD77:BD78" si="11">AVERAGE(94%,92%)</f>
        <v>0.92999999999999994</v>
      </c>
      <c r="BH77" s="548">
        <v>10.999999000000001</v>
      </c>
      <c r="BI77" s="549">
        <v>0</v>
      </c>
      <c r="BJ77" s="549">
        <v>0</v>
      </c>
      <c r="BP77" s="2" t="s">
        <v>4088</v>
      </c>
      <c r="BQ77" s="2" t="s">
        <v>4087</v>
      </c>
      <c r="BR77" s="2">
        <v>60</v>
      </c>
      <c r="BS77" s="1153">
        <v>0.92</v>
      </c>
      <c r="BT77" s="1153">
        <v>0.93</v>
      </c>
      <c r="CG77" s="2"/>
      <c r="CH77" s="1152" t="s">
        <v>4086</v>
      </c>
      <c r="CI77" s="1152" t="s">
        <v>4085</v>
      </c>
      <c r="CJ77" s="1152" t="s">
        <v>4084</v>
      </c>
      <c r="CK77" s="265"/>
      <c r="CL77" s="265"/>
      <c r="DJ77" s="828">
        <v>100</v>
      </c>
      <c r="FS77" s="273"/>
      <c r="FT77" s="273"/>
      <c r="FU77" s="273"/>
      <c r="FV77" s="273"/>
      <c r="FW77" s="273"/>
      <c r="FX77" s="273"/>
      <c r="FY77" s="273"/>
      <c r="FZ77" s="273"/>
      <c r="GA77" s="273"/>
      <c r="GB77" s="273"/>
      <c r="GC77" s="273"/>
      <c r="GD77" s="273"/>
      <c r="GE77" s="273"/>
      <c r="GF77" s="273"/>
      <c r="GG77" s="273"/>
      <c r="GH77" s="273"/>
      <c r="GI77" s="273"/>
      <c r="GJ77" s="273"/>
    </row>
    <row r="78" spans="1:192">
      <c r="A78" s="99" t="s">
        <v>4950</v>
      </c>
      <c r="C78" t="s">
        <v>4951</v>
      </c>
      <c r="AB78" s="267"/>
      <c r="AC78" s="270"/>
      <c r="AD78" s="1117"/>
      <c r="AE78" s="2" t="s">
        <v>3918</v>
      </c>
      <c r="AF78" s="2" t="s">
        <v>4973</v>
      </c>
      <c r="AG78" s="2">
        <v>0.9</v>
      </c>
      <c r="AH78" s="2">
        <v>-3.4359999999999999</v>
      </c>
      <c r="AI78" s="2">
        <v>2.0640000000000001</v>
      </c>
      <c r="AJ78" s="2">
        <v>16.95</v>
      </c>
      <c r="AK78" s="2">
        <v>-0.122</v>
      </c>
      <c r="AL78" s="2">
        <v>1</v>
      </c>
      <c r="AM78" s="2">
        <v>0.98</v>
      </c>
      <c r="AX78" s="2" t="s">
        <v>1526</v>
      </c>
      <c r="AY78" s="2">
        <v>0.63</v>
      </c>
      <c r="AZ78" s="2">
        <v>0.6</v>
      </c>
      <c r="BA78" s="297">
        <f t="shared" ref="BA78:BA79" si="12">AVERAGE(78%,85%,83%,76%)</f>
        <v>0.80499999999999994</v>
      </c>
      <c r="BB78" s="297">
        <f t="shared" ref="BB78:BB79" si="13">AVERAGE(80%,85%,78%,74%)</f>
        <v>0.79249999999999998</v>
      </c>
      <c r="BC78" s="246">
        <f t="shared" si="10"/>
        <v>0.94</v>
      </c>
      <c r="BD78" s="246">
        <f t="shared" si="11"/>
        <v>0.92999999999999994</v>
      </c>
      <c r="BH78" s="548">
        <v>12.999999000000001</v>
      </c>
      <c r="BI78" s="549">
        <v>11</v>
      </c>
      <c r="BJ78" s="549">
        <v>11</v>
      </c>
      <c r="CF78" s="2" t="s">
        <v>3163</v>
      </c>
      <c r="CG78" s="2" t="s">
        <v>4083</v>
      </c>
      <c r="CH78" s="1148">
        <v>7.58</v>
      </c>
      <c r="CI78" s="1082">
        <v>0.64829999999999999</v>
      </c>
      <c r="CJ78" s="1082">
        <v>1.6999999999999999E-3</v>
      </c>
      <c r="CK78" s="384" t="s">
        <v>4079</v>
      </c>
      <c r="CL78" s="384"/>
      <c r="DK78" s="134"/>
      <c r="FS78" s="273"/>
      <c r="FT78" s="273"/>
      <c r="FU78" s="273"/>
      <c r="FV78" s="273"/>
      <c r="FW78" s="273"/>
      <c r="FX78" s="273"/>
      <c r="FY78" s="273"/>
      <c r="FZ78" s="273"/>
      <c r="GA78" s="273"/>
      <c r="GB78" s="273"/>
      <c r="GC78" s="273"/>
      <c r="GD78" s="273"/>
      <c r="GE78" s="273"/>
      <c r="GF78" s="273"/>
      <c r="GG78" s="273"/>
      <c r="GH78" s="273"/>
      <c r="GI78" s="273"/>
      <c r="GJ78" s="273"/>
    </row>
    <row r="79" spans="1:192">
      <c r="A79" s="61" t="s">
        <v>361</v>
      </c>
      <c r="B79" s="61" t="s">
        <v>456</v>
      </c>
      <c r="C79" s="61" t="s">
        <v>450</v>
      </c>
      <c r="D79" s="61" t="s">
        <v>451</v>
      </c>
      <c r="E79" s="61" t="s">
        <v>362</v>
      </c>
      <c r="F79" s="61" t="s">
        <v>363</v>
      </c>
      <c r="G79" s="61" t="s">
        <v>452</v>
      </c>
      <c r="H79" s="61" t="s">
        <v>453</v>
      </c>
      <c r="I79" s="141" t="s">
        <v>454</v>
      </c>
      <c r="AB79" s="267"/>
      <c r="AC79" s="270"/>
      <c r="AD79" s="1117"/>
      <c r="AE79" s="1118" t="s">
        <v>3921</v>
      </c>
      <c r="AF79" s="2" t="s">
        <v>3922</v>
      </c>
      <c r="AG79" s="2">
        <v>0.7</v>
      </c>
      <c r="AH79" s="2">
        <v>2.76</v>
      </c>
      <c r="AI79" s="2">
        <v>0.18</v>
      </c>
      <c r="AJ79" s="2">
        <v>9.44</v>
      </c>
      <c r="AK79" s="2">
        <v>0.32300000000000001</v>
      </c>
      <c r="AL79" s="250">
        <v>1</v>
      </c>
      <c r="AM79" s="2">
        <v>0.95</v>
      </c>
      <c r="AX79" s="2" t="s">
        <v>1527</v>
      </c>
      <c r="AY79" s="105">
        <v>0.3</v>
      </c>
      <c r="AZ79" s="105">
        <v>0.3</v>
      </c>
      <c r="BA79" s="297">
        <f t="shared" si="12"/>
        <v>0.80499999999999994</v>
      </c>
      <c r="BB79" s="297">
        <f t="shared" si="13"/>
        <v>0.79249999999999998</v>
      </c>
      <c r="BC79" s="246">
        <f>AVERAGE(94%,94%)</f>
        <v>0.94</v>
      </c>
      <c r="BD79" s="246">
        <f>AVERAGE(94%,92%)</f>
        <v>0.92999999999999994</v>
      </c>
      <c r="BH79" s="99">
        <v>16.999998999999999</v>
      </c>
      <c r="BI79" s="549">
        <v>13</v>
      </c>
      <c r="BJ79" s="549">
        <v>13</v>
      </c>
      <c r="BO79" t="str">
        <f>BP79&amp;"_"&amp;BS79</f>
        <v>_</v>
      </c>
      <c r="CF79" s="2" t="s">
        <v>4076</v>
      </c>
      <c r="CG79" s="2" t="s">
        <v>4082</v>
      </c>
      <c r="CH79" s="1148">
        <v>7.58</v>
      </c>
      <c r="CI79" s="1082">
        <v>0.64829999999999999</v>
      </c>
      <c r="CJ79" s="1082">
        <v>1.6999999999999999E-3</v>
      </c>
      <c r="CK79" s="1151"/>
      <c r="CL79" s="1151"/>
      <c r="DK79" s="134"/>
      <c r="FS79" s="273"/>
      <c r="FT79" s="273"/>
      <c r="FU79" s="273"/>
      <c r="FV79" s="273"/>
      <c r="FW79" s="273"/>
      <c r="FX79" s="273"/>
      <c r="FY79" s="273"/>
      <c r="FZ79" s="273"/>
      <c r="GA79" s="273"/>
      <c r="GB79" s="273"/>
      <c r="GC79" s="273"/>
      <c r="GD79" s="273"/>
      <c r="GE79" s="273"/>
      <c r="GF79" s="273"/>
      <c r="GG79" s="273"/>
      <c r="GH79" s="273"/>
      <c r="GI79" s="273"/>
      <c r="GJ79" s="273"/>
    </row>
    <row r="80" spans="1:192">
      <c r="A80" s="116"/>
      <c r="B80" s="8"/>
      <c r="C80" s="8"/>
      <c r="D80" s="8"/>
      <c r="E80" s="8"/>
      <c r="F80" s="8"/>
      <c r="G80" s="8"/>
      <c r="H80" s="8"/>
      <c r="I80" s="111"/>
      <c r="AB80" s="267"/>
      <c r="AC80" s="267"/>
      <c r="AD80" s="1117"/>
      <c r="AE80" s="1118" t="s">
        <v>3921</v>
      </c>
      <c r="AF80" s="2" t="s">
        <v>3923</v>
      </c>
      <c r="AG80" s="2">
        <v>0.7</v>
      </c>
      <c r="AH80" s="2">
        <v>2.76</v>
      </c>
      <c r="AI80" s="2">
        <v>0.18</v>
      </c>
      <c r="AJ80" s="2">
        <v>9.44</v>
      </c>
      <c r="AK80" s="2">
        <v>0.32300000000000001</v>
      </c>
      <c r="AL80" s="250">
        <v>1</v>
      </c>
      <c r="AM80" s="2">
        <v>0.95</v>
      </c>
      <c r="AX80" s="2" t="s">
        <v>1630</v>
      </c>
      <c r="AY80" s="2">
        <v>0.6</v>
      </c>
      <c r="AZ80" s="2">
        <v>0.6</v>
      </c>
      <c r="BA80" s="297">
        <f>AVERAGE(83%,88%,87%,81%)</f>
        <v>0.84750000000000003</v>
      </c>
      <c r="BB80" s="297">
        <f>AVERAGE(94%,96%,94%,93%)</f>
        <v>0.9425</v>
      </c>
      <c r="BC80" s="246">
        <f>AVERAGE(95%,95%)</f>
        <v>0.95</v>
      </c>
      <c r="BD80" s="246">
        <f>AVERAGE(98%,98%)</f>
        <v>0.98</v>
      </c>
      <c r="BH80" s="99">
        <v>18.999998999999999</v>
      </c>
      <c r="BI80" s="100">
        <v>17</v>
      </c>
      <c r="BJ80" s="549">
        <v>17</v>
      </c>
      <c r="CF80" s="2" t="s">
        <v>281</v>
      </c>
      <c r="CG80" s="2" t="s">
        <v>4081</v>
      </c>
      <c r="CH80" s="1148">
        <v>7.58</v>
      </c>
      <c r="CI80" s="1082">
        <v>0.60780000000000001</v>
      </c>
      <c r="CJ80" s="1082">
        <v>1.6000000000000001E-3</v>
      </c>
      <c r="CK80" s="847"/>
      <c r="CL80" s="847"/>
      <c r="FS80" s="273"/>
      <c r="FT80" s="273"/>
      <c r="FU80" s="273"/>
      <c r="FV80" s="273"/>
      <c r="FW80" s="273"/>
      <c r="FX80" s="273"/>
      <c r="FY80" s="273"/>
      <c r="FZ80" s="273"/>
      <c r="GA80" s="273"/>
      <c r="GB80" s="273"/>
      <c r="GC80" s="273"/>
      <c r="GD80" s="273"/>
      <c r="GE80" s="273"/>
      <c r="GF80" s="273"/>
      <c r="GG80" s="273"/>
      <c r="GH80" s="273"/>
      <c r="GI80" s="273"/>
      <c r="GJ80" s="273"/>
    </row>
    <row r="81" spans="1:192">
      <c r="A81" s="99" t="s">
        <v>400</v>
      </c>
      <c r="B81" t="s">
        <v>371</v>
      </c>
      <c r="C81" t="s">
        <v>413</v>
      </c>
      <c r="D81" t="s">
        <v>414</v>
      </c>
      <c r="E81" t="s">
        <v>420</v>
      </c>
      <c r="F81" t="s">
        <v>379</v>
      </c>
      <c r="G81" t="s">
        <v>422</v>
      </c>
      <c r="H81" t="s">
        <v>431</v>
      </c>
      <c r="I81" s="100" t="s">
        <v>401</v>
      </c>
      <c r="AB81" s="267"/>
      <c r="AC81" s="267"/>
      <c r="AD81" s="1117"/>
      <c r="AE81" s="1118" t="s">
        <v>3921</v>
      </c>
      <c r="AF81" s="2" t="s">
        <v>3924</v>
      </c>
      <c r="AG81" s="2">
        <v>0.7</v>
      </c>
      <c r="AH81" s="2">
        <v>2.76</v>
      </c>
      <c r="AI81" s="2">
        <v>0.18</v>
      </c>
      <c r="AJ81" s="2">
        <v>9.44</v>
      </c>
      <c r="AK81" s="2">
        <v>0.32300000000000001</v>
      </c>
      <c r="AL81" s="250">
        <v>1</v>
      </c>
      <c r="AM81" s="2">
        <v>0.95</v>
      </c>
      <c r="AX81" s="2" t="s">
        <v>1631</v>
      </c>
      <c r="AY81" s="2">
        <v>0.5</v>
      </c>
      <c r="AZ81" s="2">
        <v>0.5</v>
      </c>
      <c r="BA81" s="297">
        <f>AVERAGE(83%,88%,87%,81%)</f>
        <v>0.84750000000000003</v>
      </c>
      <c r="BB81" s="297">
        <f>AVERAGE(94%,96%,94%,93%)</f>
        <v>0.9425</v>
      </c>
      <c r="BC81" s="246">
        <f>AVERAGE(95%,95%)</f>
        <v>0.95</v>
      </c>
      <c r="BD81" s="246">
        <f>AVERAGE(98%,98%)</f>
        <v>0.98</v>
      </c>
      <c r="BH81" s="99">
        <v>20.999998999999999</v>
      </c>
      <c r="BI81" s="100">
        <v>19</v>
      </c>
      <c r="BJ81" s="549">
        <v>19</v>
      </c>
      <c r="CF81" s="2" t="s">
        <v>3163</v>
      </c>
      <c r="CG81" s="2" t="s">
        <v>4080</v>
      </c>
      <c r="CH81" s="1148">
        <v>7.58</v>
      </c>
      <c r="CI81" s="1082">
        <v>0.80720000000000003</v>
      </c>
      <c r="CJ81" s="1082">
        <v>2.9999999999999997E-4</v>
      </c>
      <c r="CK81" t="s">
        <v>4079</v>
      </c>
      <c r="DK81" s="134"/>
      <c r="FS81" s="273"/>
      <c r="FT81" s="273"/>
      <c r="FU81" s="273"/>
      <c r="FV81" s="273"/>
      <c r="FW81" s="273"/>
      <c r="FX81" s="273"/>
      <c r="FY81" s="273"/>
      <c r="FZ81" s="273"/>
      <c r="GA81" s="273"/>
      <c r="GB81" s="273"/>
      <c r="GC81" s="273"/>
      <c r="GD81" s="273"/>
      <c r="GE81" s="273"/>
      <c r="GF81" s="273"/>
      <c r="GG81" s="273"/>
      <c r="GH81" s="273"/>
      <c r="GI81" s="273"/>
      <c r="GJ81" s="273"/>
    </row>
    <row r="82" spans="1:192">
      <c r="A82" s="99" t="s">
        <v>401</v>
      </c>
      <c r="B82" t="s">
        <v>410</v>
      </c>
      <c r="C82" t="s">
        <v>412</v>
      </c>
      <c r="D82" t="s">
        <v>415</v>
      </c>
      <c r="E82" t="s">
        <v>421</v>
      </c>
      <c r="F82" t="s">
        <v>380</v>
      </c>
      <c r="G82" t="s">
        <v>423</v>
      </c>
      <c r="H82" t="s">
        <v>432</v>
      </c>
      <c r="I82" s="100" t="s">
        <v>383</v>
      </c>
      <c r="AB82" s="269"/>
      <c r="AC82" s="267"/>
      <c r="AD82" s="1117"/>
      <c r="AE82" s="1118" t="s">
        <v>3925</v>
      </c>
      <c r="AF82" s="2" t="s">
        <v>3926</v>
      </c>
      <c r="AG82" s="2">
        <v>0.7</v>
      </c>
      <c r="AH82" s="2">
        <v>2.7679999999999998</v>
      </c>
      <c r="AI82" s="2">
        <v>0.21</v>
      </c>
      <c r="AJ82" s="2">
        <v>9.44</v>
      </c>
      <c r="AK82" s="2">
        <v>0.32300000000000001</v>
      </c>
      <c r="AL82" s="250">
        <v>1</v>
      </c>
      <c r="AM82" s="2">
        <v>0.76</v>
      </c>
      <c r="AX82" s="2" t="s">
        <v>1510</v>
      </c>
      <c r="AY82" s="2">
        <v>0.2</v>
      </c>
      <c r="AZ82" s="2">
        <v>0.2</v>
      </c>
      <c r="BA82" s="2"/>
      <c r="BB82" s="2"/>
      <c r="BC82" s="2"/>
      <c r="BD82" s="2"/>
      <c r="BH82" s="99">
        <v>24.999998999999999</v>
      </c>
      <c r="BI82" s="100">
        <v>21</v>
      </c>
      <c r="BJ82" s="549">
        <v>21</v>
      </c>
      <c r="CF82" s="2" t="s">
        <v>4076</v>
      </c>
      <c r="CG82" s="2" t="s">
        <v>4078</v>
      </c>
      <c r="CH82" s="1148">
        <v>7.58</v>
      </c>
      <c r="CI82" s="1082">
        <v>0.80720000000000003</v>
      </c>
      <c r="CJ82" s="1082">
        <v>2.9999999999999997E-4</v>
      </c>
      <c r="CK82" s="1150"/>
      <c r="CL82" s="1150"/>
      <c r="FS82" s="273"/>
      <c r="FT82" s="273"/>
      <c r="FU82" s="273"/>
      <c r="FV82" s="273"/>
      <c r="FW82" s="273"/>
      <c r="FX82" s="273"/>
      <c r="FY82" s="273"/>
      <c r="FZ82" s="273"/>
      <c r="GA82" s="273"/>
      <c r="GB82" s="273"/>
      <c r="GC82" s="273"/>
      <c r="GD82" s="273"/>
      <c r="GE82" s="273"/>
      <c r="GF82" s="273"/>
      <c r="GG82" s="273"/>
      <c r="GH82" s="273"/>
      <c r="GI82" s="273"/>
      <c r="GJ82" s="273"/>
    </row>
    <row r="83" spans="1:192">
      <c r="A83" s="99" t="s">
        <v>402</v>
      </c>
      <c r="B83" t="s">
        <v>373</v>
      </c>
      <c r="C83" t="s">
        <v>412</v>
      </c>
      <c r="D83" t="s">
        <v>416</v>
      </c>
      <c r="G83" t="s">
        <v>424</v>
      </c>
      <c r="H83" t="s">
        <v>433</v>
      </c>
      <c r="I83" s="100"/>
      <c r="AB83" s="269"/>
      <c r="AC83" s="267"/>
      <c r="AD83" s="1117"/>
      <c r="AE83" s="1118" t="s">
        <v>3927</v>
      </c>
      <c r="AF83" s="2" t="s">
        <v>3928</v>
      </c>
      <c r="AG83" s="2">
        <v>0.7</v>
      </c>
      <c r="AH83" s="2">
        <v>-3.7930000000000001</v>
      </c>
      <c r="AI83" s="2">
        <v>2.2170000000000001</v>
      </c>
      <c r="AJ83" s="2">
        <v>11.6</v>
      </c>
      <c r="AK83" s="2">
        <v>0.19600000000000001</v>
      </c>
      <c r="AL83" s="2">
        <v>1</v>
      </c>
      <c r="AM83" s="2">
        <v>0.86</v>
      </c>
      <c r="BH83" s="99">
        <v>26.999998999999999</v>
      </c>
      <c r="BI83" s="100">
        <v>25</v>
      </c>
      <c r="BJ83" s="549">
        <v>25</v>
      </c>
      <c r="BO83" t="s">
        <v>4077</v>
      </c>
      <c r="CF83" s="2" t="s">
        <v>4076</v>
      </c>
      <c r="CG83" s="2" t="s">
        <v>4075</v>
      </c>
      <c r="CH83" s="1148">
        <v>0</v>
      </c>
      <c r="CI83" s="1082">
        <v>0</v>
      </c>
      <c r="CJ83" s="1082">
        <v>-0.81</v>
      </c>
      <c r="CK83" s="265"/>
      <c r="CL83" s="265"/>
      <c r="FS83" s="273"/>
      <c r="FT83" s="273"/>
      <c r="FU83" s="273"/>
      <c r="FV83" s="273"/>
      <c r="FW83" s="273"/>
      <c r="FX83" s="273"/>
      <c r="FY83" s="273"/>
      <c r="FZ83" s="273"/>
      <c r="GA83" s="273"/>
      <c r="GB83" s="273"/>
      <c r="GC83" s="273"/>
      <c r="GD83" s="273"/>
      <c r="GE83" s="273"/>
      <c r="GF83" s="273"/>
      <c r="GG83" s="273"/>
      <c r="GH83" s="273"/>
      <c r="GI83" s="273"/>
      <c r="GJ83" s="273"/>
    </row>
    <row r="84" spans="1:192">
      <c r="A84" s="99" t="s">
        <v>383</v>
      </c>
      <c r="B84" t="s">
        <v>411</v>
      </c>
      <c r="D84" t="s">
        <v>417</v>
      </c>
      <c r="G84" t="s">
        <v>425</v>
      </c>
      <c r="H84" t="s">
        <v>434</v>
      </c>
      <c r="I84" s="100"/>
      <c r="AB84" s="271"/>
      <c r="AC84" s="267"/>
      <c r="AD84" s="1117"/>
      <c r="AE84" s="1118" t="s">
        <v>3927</v>
      </c>
      <c r="AF84" s="2" t="s">
        <v>3929</v>
      </c>
      <c r="AG84" s="2">
        <v>0.7</v>
      </c>
      <c r="AH84" s="2">
        <v>-3.7930000000000001</v>
      </c>
      <c r="AI84" s="2">
        <v>2.2170000000000001</v>
      </c>
      <c r="AJ84" s="2">
        <v>11.6</v>
      </c>
      <c r="AK84" s="2">
        <v>0.19600000000000001</v>
      </c>
      <c r="AL84" s="2">
        <v>1</v>
      </c>
      <c r="AM84" s="2">
        <v>0.86</v>
      </c>
      <c r="BH84" s="99">
        <v>1000000</v>
      </c>
      <c r="BI84" s="100">
        <v>27</v>
      </c>
      <c r="BJ84" s="549">
        <v>27</v>
      </c>
      <c r="BO84" s="1149" t="s">
        <v>2294</v>
      </c>
      <c r="BP84" s="1139" t="s">
        <v>4074</v>
      </c>
      <c r="BQ84" s="1139" t="s">
        <v>3336</v>
      </c>
      <c r="BR84" s="1140" t="s">
        <v>4073</v>
      </c>
      <c r="BT84" s="149" t="s">
        <v>4072</v>
      </c>
      <c r="CF84" s="2" t="s">
        <v>3163</v>
      </c>
      <c r="CG84" s="2" t="s">
        <v>4071</v>
      </c>
      <c r="CH84" s="1148">
        <v>0</v>
      </c>
      <c r="CI84" s="1082">
        <v>0</v>
      </c>
      <c r="CJ84" s="1082">
        <v>-0.81</v>
      </c>
      <c r="CK84" s="265"/>
      <c r="CL84" s="265"/>
      <c r="FS84" s="273"/>
      <c r="FT84" s="273"/>
      <c r="FU84" s="273"/>
      <c r="FV84" s="273"/>
      <c r="FW84" s="273"/>
      <c r="FX84" s="273"/>
      <c r="FY84" s="273"/>
      <c r="FZ84" s="273"/>
      <c r="GA84" s="273"/>
      <c r="GB84" s="273"/>
      <c r="GC84" s="273"/>
      <c r="GD84" s="273"/>
      <c r="GE84" s="273"/>
      <c r="GF84" s="273"/>
      <c r="GG84" s="273"/>
      <c r="GH84" s="273"/>
      <c r="GI84" s="273"/>
      <c r="GJ84" s="273"/>
    </row>
    <row r="85" spans="1:192">
      <c r="A85" s="99" t="s">
        <v>403</v>
      </c>
      <c r="B85" t="s">
        <v>372</v>
      </c>
      <c r="D85" t="s">
        <v>418</v>
      </c>
      <c r="G85" t="s">
        <v>426</v>
      </c>
      <c r="H85" t="s">
        <v>435</v>
      </c>
      <c r="I85" s="100"/>
      <c r="AB85" s="267"/>
      <c r="AC85" s="267"/>
      <c r="AD85" s="1117"/>
      <c r="AE85" s="1118" t="s">
        <v>3927</v>
      </c>
      <c r="AF85" s="2" t="s">
        <v>3930</v>
      </c>
      <c r="AG85" s="2">
        <v>0.7</v>
      </c>
      <c r="AH85" s="2">
        <v>-3.7930000000000001</v>
      </c>
      <c r="AI85" s="2">
        <v>2.2170000000000001</v>
      </c>
      <c r="AJ85" s="2">
        <v>11.6</v>
      </c>
      <c r="AK85" s="2">
        <v>0.19600000000000001</v>
      </c>
      <c r="AL85" s="2">
        <v>1</v>
      </c>
      <c r="AM85" s="2">
        <v>0.86</v>
      </c>
      <c r="AX85" s="2592" t="s">
        <v>1551</v>
      </c>
      <c r="AY85" s="2592" t="s">
        <v>1546</v>
      </c>
      <c r="AZ85" s="2592" t="s">
        <v>1547</v>
      </c>
      <c r="BA85" s="2573" t="s">
        <v>1548</v>
      </c>
      <c r="BC85" s="2606" t="s">
        <v>1652</v>
      </c>
      <c r="BD85" s="2878"/>
      <c r="BH85" s="99">
        <v>37.999999000000003</v>
      </c>
      <c r="BI85">
        <v>30</v>
      </c>
      <c r="BJ85" s="100">
        <v>30</v>
      </c>
      <c r="BO85" s="99" t="s">
        <v>2313</v>
      </c>
      <c r="BP85">
        <v>669</v>
      </c>
      <c r="BQ85">
        <v>603</v>
      </c>
      <c r="BR85" s="100">
        <v>239</v>
      </c>
      <c r="BT85" s="106">
        <v>46</v>
      </c>
      <c r="CF85" s="2" t="s">
        <v>1404</v>
      </c>
      <c r="CG85" s="2" t="s">
        <v>1404</v>
      </c>
      <c r="CH85" s="1147"/>
      <c r="CI85" s="1082"/>
      <c r="CJ85" s="1082">
        <v>2</v>
      </c>
      <c r="FS85" s="273"/>
      <c r="FT85" s="273"/>
      <c r="FU85" s="273"/>
      <c r="FV85" s="273"/>
      <c r="FW85" s="273"/>
      <c r="FX85" s="273"/>
      <c r="FY85" s="273"/>
      <c r="FZ85" s="273"/>
      <c r="GA85" s="273"/>
      <c r="GB85" s="273"/>
      <c r="GC85" s="273"/>
      <c r="GD85" s="273"/>
      <c r="GE85" s="273"/>
      <c r="GF85" s="273"/>
      <c r="GG85" s="273"/>
      <c r="GH85" s="273"/>
      <c r="GI85" s="273"/>
      <c r="GJ85" s="273"/>
    </row>
    <row r="86" spans="1:192">
      <c r="A86" s="99" t="s">
        <v>385</v>
      </c>
      <c r="D86" t="s">
        <v>419</v>
      </c>
      <c r="G86" t="s">
        <v>427</v>
      </c>
      <c r="H86" t="s">
        <v>436</v>
      </c>
      <c r="I86" s="100"/>
      <c r="AB86" s="267"/>
      <c r="AC86" s="267"/>
      <c r="AD86" s="1117"/>
      <c r="AE86" s="1118" t="s">
        <v>3927</v>
      </c>
      <c r="AF86" s="2" t="s">
        <v>3931</v>
      </c>
      <c r="AG86" s="2">
        <v>0.7</v>
      </c>
      <c r="AH86" s="2">
        <v>-3.7930000000000001</v>
      </c>
      <c r="AI86" s="2">
        <v>2.2170000000000001</v>
      </c>
      <c r="AJ86" s="2">
        <v>11.6</v>
      </c>
      <c r="AK86" s="2">
        <v>0.19600000000000001</v>
      </c>
      <c r="AL86" s="2">
        <v>1</v>
      </c>
      <c r="AM86" s="2">
        <v>0.86</v>
      </c>
      <c r="AX86" s="2593" t="s">
        <v>1550</v>
      </c>
      <c r="AY86" s="2593" t="s">
        <v>1546</v>
      </c>
      <c r="AZ86" s="2593" t="s">
        <v>1547</v>
      </c>
      <c r="BA86" s="2581" t="s">
        <v>1548</v>
      </c>
      <c r="BC86" s="99" t="s">
        <v>1654</v>
      </c>
      <c r="BD86" s="100">
        <v>19</v>
      </c>
      <c r="BH86" s="99">
        <v>48.999999000000003</v>
      </c>
      <c r="BI86">
        <v>38</v>
      </c>
      <c r="BJ86" s="100">
        <v>38</v>
      </c>
      <c r="BO86" s="99" t="s">
        <v>2319</v>
      </c>
      <c r="BP86">
        <v>426</v>
      </c>
      <c r="BQ86">
        <v>1910</v>
      </c>
      <c r="BR86" s="100">
        <v>25</v>
      </c>
      <c r="CF86" s="2" t="s">
        <v>283</v>
      </c>
      <c r="CG86" s="2" t="s">
        <v>4070</v>
      </c>
      <c r="CH86" s="1148">
        <v>7.85</v>
      </c>
      <c r="CI86" s="1082">
        <v>0.93069999999999997</v>
      </c>
      <c r="CJ86" s="1082">
        <v>2.0000000000000001E-4</v>
      </c>
      <c r="CK86" t="s">
        <v>4069</v>
      </c>
      <c r="FS86" s="273"/>
      <c r="FT86" s="273"/>
      <c r="FU86" s="273"/>
      <c r="FV86" s="273"/>
      <c r="FW86" s="273"/>
      <c r="FX86" s="273"/>
      <c r="FY86" s="273"/>
      <c r="FZ86" s="273"/>
      <c r="GA86" s="273"/>
      <c r="GB86" s="273"/>
      <c r="GC86" s="273"/>
      <c r="GD86" s="273"/>
      <c r="GE86" s="273"/>
      <c r="GF86" s="273"/>
      <c r="GG86" s="273"/>
      <c r="GH86" s="273"/>
      <c r="GI86" s="273"/>
      <c r="GJ86" s="273"/>
    </row>
    <row r="87" spans="1:192">
      <c r="A87" s="99" t="s">
        <v>404</v>
      </c>
      <c r="G87" t="s">
        <v>428</v>
      </c>
      <c r="H87" t="s">
        <v>437</v>
      </c>
      <c r="I87" s="100"/>
      <c r="AB87" s="267"/>
      <c r="AC87" s="267"/>
      <c r="AD87" s="1117"/>
      <c r="AE87" s="1118" t="s">
        <v>3932</v>
      </c>
      <c r="AF87" s="2" t="s">
        <v>3933</v>
      </c>
      <c r="AG87" s="2">
        <v>0.6</v>
      </c>
      <c r="AH87" s="2">
        <f t="shared" ref="AH87:AM90" si="14">AVERAGE(AH79,AH95)</f>
        <v>2.7885</v>
      </c>
      <c r="AI87" s="2">
        <f t="shared" si="14"/>
        <v>0.17099999999999999</v>
      </c>
      <c r="AJ87" s="2">
        <f t="shared" si="14"/>
        <v>9.76</v>
      </c>
      <c r="AK87" s="2">
        <f t="shared" si="14"/>
        <v>0.30000000000000004</v>
      </c>
      <c r="AL87" s="250">
        <f t="shared" si="14"/>
        <v>0.995</v>
      </c>
      <c r="AM87" s="2">
        <f t="shared" si="14"/>
        <v>0.90999999999999992</v>
      </c>
      <c r="AX87" s="2" t="s">
        <v>1664</v>
      </c>
      <c r="AY87" s="2">
        <v>2.2999999999999998</v>
      </c>
      <c r="AZ87" s="2">
        <v>4.0000000000000001E-3</v>
      </c>
      <c r="BA87" s="297">
        <v>1.7</v>
      </c>
      <c r="BC87" s="101" t="s">
        <v>1655</v>
      </c>
      <c r="BD87" s="102">
        <v>0.9</v>
      </c>
      <c r="BE87" s="556"/>
      <c r="BH87" s="99">
        <v>59.999999000000003</v>
      </c>
      <c r="BI87">
        <v>49</v>
      </c>
      <c r="BJ87" s="100">
        <v>49</v>
      </c>
      <c r="BO87" s="99" t="s">
        <v>2328</v>
      </c>
      <c r="BP87">
        <v>1279</v>
      </c>
      <c r="BQ87">
        <v>191</v>
      </c>
      <c r="BR87" s="100">
        <v>448</v>
      </c>
      <c r="CF87" s="2" t="s">
        <v>283</v>
      </c>
      <c r="CG87" s="2" t="s">
        <v>4068</v>
      </c>
      <c r="CH87" s="1147">
        <v>7.85</v>
      </c>
      <c r="CI87" s="1082">
        <v>2.2418</v>
      </c>
      <c r="CJ87" s="1082">
        <v>1.1000000000000001E-3</v>
      </c>
      <c r="DJ87" s="2681" t="s">
        <v>4583</v>
      </c>
      <c r="DK87" s="2714"/>
      <c r="FS87" s="273"/>
      <c r="FT87" s="273"/>
      <c r="FU87" s="273"/>
      <c r="FV87" s="273"/>
      <c r="FW87" s="273"/>
      <c r="FX87" s="273"/>
      <c r="FY87" s="273"/>
      <c r="FZ87" s="273"/>
      <c r="GA87" s="273"/>
      <c r="GB87" s="273"/>
      <c r="GC87" s="273"/>
      <c r="GD87" s="273"/>
      <c r="GE87" s="273"/>
      <c r="GF87" s="273"/>
      <c r="GG87" s="273"/>
      <c r="GH87" s="273"/>
      <c r="GI87" s="273"/>
      <c r="GJ87" s="273"/>
    </row>
    <row r="88" spans="1:192">
      <c r="A88" s="99" t="s">
        <v>405</v>
      </c>
      <c r="G88" t="s">
        <v>429</v>
      </c>
      <c r="H88" t="s">
        <v>438</v>
      </c>
      <c r="I88" s="100"/>
      <c r="AB88" s="267"/>
      <c r="AC88" s="267"/>
      <c r="AD88" s="1117"/>
      <c r="AE88" s="1118" t="s">
        <v>3932</v>
      </c>
      <c r="AF88" s="2" t="s">
        <v>3934</v>
      </c>
      <c r="AG88" s="2">
        <v>0.6</v>
      </c>
      <c r="AH88" s="2">
        <f t="shared" si="14"/>
        <v>2.7885</v>
      </c>
      <c r="AI88" s="2">
        <f t="shared" si="14"/>
        <v>0.17099999999999999</v>
      </c>
      <c r="AJ88" s="2">
        <f t="shared" si="14"/>
        <v>9.76</v>
      </c>
      <c r="AK88" s="2">
        <f t="shared" si="14"/>
        <v>0.30000000000000004</v>
      </c>
      <c r="AL88" s="250">
        <f t="shared" si="14"/>
        <v>0.995</v>
      </c>
      <c r="AM88" s="2">
        <f t="shared" si="14"/>
        <v>0.90999999999999992</v>
      </c>
      <c r="AX88" s="2" t="s">
        <v>1310</v>
      </c>
      <c r="AY88" s="2">
        <v>21</v>
      </c>
      <c r="AZ88" s="2">
        <v>3.0000000000000001E-3</v>
      </c>
      <c r="BA88" s="297">
        <v>0</v>
      </c>
      <c r="BH88" s="101">
        <v>1000000</v>
      </c>
      <c r="BI88" s="90">
        <v>60</v>
      </c>
      <c r="BJ88" s="102">
        <v>60</v>
      </c>
      <c r="BO88" s="99" t="s">
        <v>2334</v>
      </c>
      <c r="BP88">
        <v>992</v>
      </c>
      <c r="BQ88">
        <v>1082</v>
      </c>
      <c r="BR88" s="100">
        <v>1520</v>
      </c>
      <c r="CF88" s="2" t="s">
        <v>283</v>
      </c>
      <c r="CG88" s="2" t="s">
        <v>4067</v>
      </c>
      <c r="CH88" s="1147">
        <v>0</v>
      </c>
      <c r="CI88" s="1082">
        <v>0</v>
      </c>
      <c r="CJ88" s="1082">
        <v>0.91</v>
      </c>
      <c r="DJ88" s="2681" t="s">
        <v>4582</v>
      </c>
      <c r="DK88" s="2714"/>
      <c r="DL88" s="1426" t="s">
        <v>3737</v>
      </c>
      <c r="FS88" s="273"/>
      <c r="FT88" s="273"/>
      <c r="FU88" s="273"/>
      <c r="FV88" s="273"/>
      <c r="FW88" s="273"/>
      <c r="FX88" s="273"/>
      <c r="FY88" s="273"/>
      <c r="FZ88" s="273"/>
      <c r="GA88" s="273"/>
      <c r="GB88" s="273"/>
      <c r="GC88" s="273"/>
      <c r="GD88" s="273"/>
      <c r="GE88" s="273"/>
      <c r="GF88" s="273"/>
      <c r="GG88" s="273"/>
      <c r="GH88" s="273"/>
      <c r="GI88" s="273"/>
      <c r="GJ88" s="273"/>
    </row>
    <row r="89" spans="1:192">
      <c r="A89" s="99" t="s">
        <v>406</v>
      </c>
      <c r="G89" t="s">
        <v>430</v>
      </c>
      <c r="H89" t="s">
        <v>439</v>
      </c>
      <c r="I89" s="100"/>
      <c r="AB89" s="267"/>
      <c r="AC89" s="267"/>
      <c r="AD89" s="1117"/>
      <c r="AE89" s="1118" t="s">
        <v>3932</v>
      </c>
      <c r="AF89" s="2" t="s">
        <v>3935</v>
      </c>
      <c r="AG89" s="2">
        <v>0.6</v>
      </c>
      <c r="AH89" s="2">
        <f t="shared" si="14"/>
        <v>2.7885</v>
      </c>
      <c r="AI89" s="2">
        <f t="shared" si="14"/>
        <v>0.17099999999999999</v>
      </c>
      <c r="AJ89" s="2">
        <f t="shared" si="14"/>
        <v>9.76</v>
      </c>
      <c r="AK89" s="2">
        <f t="shared" si="14"/>
        <v>0.30000000000000004</v>
      </c>
      <c r="AL89" s="2">
        <f t="shared" si="14"/>
        <v>0.995</v>
      </c>
      <c r="AM89" s="2">
        <f t="shared" si="14"/>
        <v>0.90999999999999992</v>
      </c>
      <c r="AX89" s="2" t="s">
        <v>1549</v>
      </c>
      <c r="AY89" s="2">
        <v>39.799999999999997</v>
      </c>
      <c r="AZ89" s="2">
        <v>4.0000000000000001E-3</v>
      </c>
      <c r="BA89" s="297">
        <v>0</v>
      </c>
      <c r="BO89" s="99" t="s">
        <v>4066</v>
      </c>
      <c r="BP89">
        <v>394</v>
      </c>
      <c r="BQ89">
        <v>840</v>
      </c>
      <c r="BR89" s="100">
        <v>250</v>
      </c>
      <c r="CF89" s="2" t="s">
        <v>283</v>
      </c>
      <c r="CG89" s="2" t="s">
        <v>4065</v>
      </c>
      <c r="CH89" s="1147"/>
      <c r="CI89" s="1082">
        <v>0</v>
      </c>
      <c r="CJ89" s="1082">
        <v>2</v>
      </c>
      <c r="DJ89" s="1442" t="s">
        <v>4656</v>
      </c>
      <c r="DK89" s="1443"/>
      <c r="DL89" s="1430">
        <v>80</v>
      </c>
      <c r="FS89" s="273"/>
      <c r="FT89" s="273"/>
      <c r="FU89" s="273"/>
      <c r="FV89" s="273"/>
      <c r="FW89" s="273"/>
      <c r="FX89" s="273"/>
      <c r="FY89" s="273"/>
      <c r="FZ89" s="273"/>
      <c r="GA89" s="273"/>
      <c r="GB89" s="273"/>
      <c r="GC89" s="273"/>
      <c r="GD89" s="273"/>
      <c r="GE89" s="273"/>
      <c r="GF89" s="273"/>
      <c r="GG89" s="273"/>
      <c r="GH89" s="273"/>
      <c r="GI89" s="273"/>
      <c r="GJ89" s="273"/>
    </row>
    <row r="90" spans="1:192">
      <c r="A90" s="99" t="s">
        <v>407</v>
      </c>
      <c r="H90" t="s">
        <v>440</v>
      </c>
      <c r="I90" s="100"/>
      <c r="AB90" s="267"/>
      <c r="AC90" s="267"/>
      <c r="AD90" s="1117"/>
      <c r="AE90" s="1118" t="s">
        <v>3936</v>
      </c>
      <c r="AF90" s="2" t="s">
        <v>3937</v>
      </c>
      <c r="AG90" s="2">
        <v>0.6</v>
      </c>
      <c r="AH90" s="2">
        <f t="shared" si="14"/>
        <v>2.6369999999999996</v>
      </c>
      <c r="AI90" s="2">
        <f t="shared" si="14"/>
        <v>0.253</v>
      </c>
      <c r="AJ90" s="2">
        <f t="shared" si="14"/>
        <v>9.76</v>
      </c>
      <c r="AK90" s="2">
        <f t="shared" si="14"/>
        <v>0.30000000000000004</v>
      </c>
      <c r="AL90" s="250">
        <f t="shared" si="14"/>
        <v>0.995</v>
      </c>
      <c r="AM90" s="2">
        <f t="shared" si="14"/>
        <v>0.65500000000000003</v>
      </c>
      <c r="AX90" s="2" t="s">
        <v>3355</v>
      </c>
      <c r="AY90" s="2">
        <v>0.8</v>
      </c>
      <c r="AZ90" s="2">
        <v>0</v>
      </c>
      <c r="BA90" s="297">
        <v>1.7</v>
      </c>
      <c r="BO90" s="99" t="s">
        <v>2340</v>
      </c>
      <c r="BP90">
        <v>645</v>
      </c>
      <c r="BQ90">
        <v>813</v>
      </c>
      <c r="BR90" s="100">
        <v>500</v>
      </c>
      <c r="CF90" s="2" t="s">
        <v>283</v>
      </c>
      <c r="CG90" s="2" t="s">
        <v>4064</v>
      </c>
      <c r="CH90" s="1147"/>
      <c r="CI90" s="1082">
        <v>0</v>
      </c>
      <c r="CJ90" s="1082">
        <v>2.2000000000000002</v>
      </c>
      <c r="DJ90" s="1442" t="s">
        <v>4657</v>
      </c>
      <c r="DK90" s="1443"/>
      <c r="DL90" s="1430">
        <v>150</v>
      </c>
      <c r="FS90" s="273"/>
      <c r="FT90" s="273"/>
      <c r="FU90" s="273"/>
      <c r="FV90" s="273"/>
      <c r="FW90" s="273"/>
      <c r="FX90" s="273"/>
      <c r="FY90" s="273"/>
      <c r="FZ90" s="273"/>
      <c r="GA90" s="273"/>
      <c r="GB90" s="273"/>
      <c r="GC90" s="273"/>
      <c r="GD90" s="273"/>
      <c r="GE90" s="273"/>
      <c r="GF90" s="273"/>
      <c r="GG90" s="273"/>
      <c r="GH90" s="273"/>
      <c r="GI90" s="273"/>
      <c r="GJ90" s="273"/>
    </row>
    <row r="91" spans="1:192">
      <c r="A91" s="99" t="s">
        <v>408</v>
      </c>
      <c r="H91" t="s">
        <v>441</v>
      </c>
      <c r="I91" s="100"/>
      <c r="AB91" s="267"/>
      <c r="AC91" s="267"/>
      <c r="AD91" s="1117"/>
      <c r="AE91" s="1118" t="s">
        <v>3927</v>
      </c>
      <c r="AF91" s="2" t="s">
        <v>3938</v>
      </c>
      <c r="AG91" s="2">
        <v>0.6</v>
      </c>
      <c r="AH91" s="2">
        <v>-3.7930000000000001</v>
      </c>
      <c r="AI91" s="2">
        <v>2.2170000000000001</v>
      </c>
      <c r="AJ91" s="2">
        <v>11.6</v>
      </c>
      <c r="AK91" s="2">
        <v>0.19600000000000001</v>
      </c>
      <c r="AL91" s="2">
        <v>1</v>
      </c>
      <c r="AM91" s="2">
        <v>0.86</v>
      </c>
      <c r="AX91" s="2" t="s">
        <v>992</v>
      </c>
      <c r="AY91" s="2">
        <v>38.4</v>
      </c>
      <c r="AZ91" s="2">
        <v>4.0000000000000001E-3</v>
      </c>
      <c r="BA91" s="297">
        <v>0</v>
      </c>
      <c r="BO91" s="99" t="s">
        <v>2346</v>
      </c>
      <c r="BP91">
        <v>574</v>
      </c>
      <c r="BQ91">
        <v>821</v>
      </c>
      <c r="BR91" s="100">
        <v>2500</v>
      </c>
      <c r="CF91" s="2" t="s">
        <v>283</v>
      </c>
      <c r="CG91" s="2" t="s">
        <v>4062</v>
      </c>
      <c r="CH91" s="1147"/>
      <c r="CI91" s="1082">
        <v>0</v>
      </c>
      <c r="CJ91" s="1146">
        <v>2</v>
      </c>
      <c r="DJ91" s="1442" t="s">
        <v>4658</v>
      </c>
      <c r="DK91" s="1443"/>
      <c r="DL91" s="1430">
        <v>400</v>
      </c>
      <c r="FS91" s="273"/>
      <c r="FT91" s="273"/>
      <c r="FU91" s="273"/>
      <c r="FV91" s="273"/>
      <c r="FW91" s="273"/>
      <c r="FX91" s="273"/>
      <c r="FY91" s="273"/>
      <c r="FZ91" s="273"/>
      <c r="GA91" s="273"/>
      <c r="GB91" s="273"/>
      <c r="GC91" s="273"/>
      <c r="GD91" s="273"/>
      <c r="GE91" s="273"/>
      <c r="GF91" s="273"/>
      <c r="GG91" s="273"/>
      <c r="GH91" s="273"/>
      <c r="GI91" s="273"/>
      <c r="GJ91" s="273"/>
    </row>
    <row r="92" spans="1:192">
      <c r="A92" s="99" t="s">
        <v>409</v>
      </c>
      <c r="H92" t="s">
        <v>442</v>
      </c>
      <c r="I92" s="100"/>
      <c r="AB92" s="267"/>
      <c r="AC92" s="267"/>
      <c r="AD92" s="1117"/>
      <c r="AE92" s="1118" t="s">
        <v>3927</v>
      </c>
      <c r="AF92" s="2" t="s">
        <v>3939</v>
      </c>
      <c r="AG92" s="2">
        <v>0.6</v>
      </c>
      <c r="AH92" s="2">
        <v>-3.7930000000000001</v>
      </c>
      <c r="AI92" s="2">
        <v>2.2170000000000001</v>
      </c>
      <c r="AJ92" s="2">
        <v>11.6</v>
      </c>
      <c r="AK92" s="2">
        <v>0.19600000000000001</v>
      </c>
      <c r="AL92" s="2">
        <v>1</v>
      </c>
      <c r="AM92" s="2">
        <v>0.86</v>
      </c>
      <c r="BO92" s="99" t="s">
        <v>2932</v>
      </c>
      <c r="BP92">
        <v>1279</v>
      </c>
      <c r="BQ92">
        <v>191</v>
      </c>
      <c r="BR92" s="100">
        <v>172</v>
      </c>
      <c r="CF92" s="2" t="s">
        <v>283</v>
      </c>
      <c r="CG92" s="2" t="s">
        <v>4061</v>
      </c>
      <c r="CH92" s="1147"/>
      <c r="CI92" s="1082">
        <v>0</v>
      </c>
      <c r="CJ92" s="1146">
        <v>2.2000000000000002</v>
      </c>
      <c r="FS92" s="273"/>
      <c r="FT92" s="273"/>
      <c r="FU92" s="273"/>
      <c r="FV92" s="273"/>
      <c r="FW92" s="273"/>
      <c r="FX92" s="273"/>
      <c r="FY92" s="273"/>
      <c r="FZ92" s="273"/>
      <c r="GA92" s="273"/>
      <c r="GB92" s="273"/>
      <c r="GC92" s="273"/>
      <c r="GD92" s="273"/>
      <c r="GE92" s="273"/>
      <c r="GF92" s="273"/>
      <c r="GG92" s="273"/>
      <c r="GH92" s="273"/>
      <c r="GI92" s="273"/>
      <c r="GJ92" s="273"/>
    </row>
    <row r="93" spans="1:192">
      <c r="C93" s="61" t="s">
        <v>4665</v>
      </c>
      <c r="D93" s="61" t="s">
        <v>4666</v>
      </c>
      <c r="AB93" s="267"/>
      <c r="AC93" s="267"/>
      <c r="AD93" s="1117"/>
      <c r="AE93" s="1118" t="s">
        <v>3927</v>
      </c>
      <c r="AF93" s="2" t="s">
        <v>3940</v>
      </c>
      <c r="AG93" s="2">
        <v>0.6</v>
      </c>
      <c r="AH93" s="2">
        <v>-3.7930000000000001</v>
      </c>
      <c r="AI93" s="2">
        <v>2.2170000000000001</v>
      </c>
      <c r="AJ93" s="2">
        <v>11.6</v>
      </c>
      <c r="AK93" s="2">
        <v>0.19600000000000001</v>
      </c>
      <c r="AL93" s="2">
        <v>1</v>
      </c>
      <c r="AM93" s="2">
        <v>0.86</v>
      </c>
      <c r="BO93" s="99" t="s">
        <v>2357</v>
      </c>
      <c r="BP93">
        <v>704</v>
      </c>
      <c r="BQ93">
        <v>708</v>
      </c>
      <c r="BR93" s="100">
        <v>1520</v>
      </c>
      <c r="FS93" s="273"/>
      <c r="FT93" s="273"/>
      <c r="FU93" s="273"/>
      <c r="FV93" s="273"/>
      <c r="FW93" s="273"/>
      <c r="FX93" s="273"/>
      <c r="FY93" s="273"/>
      <c r="FZ93" s="273"/>
      <c r="GA93" s="273"/>
      <c r="GB93" s="273"/>
      <c r="GC93" s="273"/>
      <c r="GD93" s="273"/>
      <c r="GE93" s="273"/>
      <c r="GF93" s="273"/>
      <c r="GG93" s="273"/>
      <c r="GH93" s="273"/>
      <c r="GI93" s="273"/>
      <c r="GJ93" s="273"/>
    </row>
    <row r="94" spans="1:192">
      <c r="C94" s="2" t="s">
        <v>364</v>
      </c>
      <c r="D94" s="2" t="s">
        <v>900</v>
      </c>
      <c r="AB94" s="267"/>
      <c r="AC94" s="267"/>
      <c r="AD94" s="1117"/>
      <c r="AE94" s="1118" t="s">
        <v>3927</v>
      </c>
      <c r="AF94" s="2" t="s">
        <v>3941</v>
      </c>
      <c r="AG94" s="2">
        <v>0.6</v>
      </c>
      <c r="AH94" s="2">
        <v>-3.7930000000000001</v>
      </c>
      <c r="AI94" s="2">
        <v>2.2170000000000001</v>
      </c>
      <c r="AJ94" s="2">
        <v>11.6</v>
      </c>
      <c r="AK94" s="2">
        <v>0.19600000000000001</v>
      </c>
      <c r="AL94" s="2">
        <v>1</v>
      </c>
      <c r="AM94" s="2">
        <v>0.86</v>
      </c>
      <c r="AX94" s="574" t="s">
        <v>1611</v>
      </c>
      <c r="BO94" s="99" t="s">
        <v>2363</v>
      </c>
      <c r="BP94">
        <v>1925</v>
      </c>
      <c r="BQ94">
        <v>2477</v>
      </c>
      <c r="BR94" s="100">
        <v>16938</v>
      </c>
      <c r="CG94" s="505" t="s">
        <v>4060</v>
      </c>
      <c r="CH94" s="1145" t="s">
        <v>287</v>
      </c>
      <c r="CI94" s="1144"/>
      <c r="FS94" s="273"/>
      <c r="FT94" s="273"/>
      <c r="FU94" s="273"/>
      <c r="FV94" s="273"/>
      <c r="FW94" s="273"/>
      <c r="FX94" s="273"/>
      <c r="FY94" s="273"/>
      <c r="FZ94" s="273"/>
      <c r="GA94" s="273"/>
      <c r="GB94" s="273"/>
      <c r="GC94" s="273"/>
      <c r="GD94" s="273"/>
      <c r="GE94" s="273"/>
      <c r="GF94" s="273"/>
      <c r="GG94" s="273"/>
      <c r="GH94" s="273"/>
      <c r="GI94" s="273"/>
      <c r="GJ94" s="273"/>
    </row>
    <row r="95" spans="1:192">
      <c r="A95" s="61" t="s">
        <v>289</v>
      </c>
      <c r="C95" s="2" t="s">
        <v>365</v>
      </c>
      <c r="D95" s="2" t="s">
        <v>900</v>
      </c>
      <c r="AB95" s="267"/>
      <c r="AC95" s="267"/>
      <c r="AD95" s="1117"/>
      <c r="AE95" s="1118" t="s">
        <v>3942</v>
      </c>
      <c r="AF95" s="2" t="s">
        <v>3943</v>
      </c>
      <c r="AG95" s="2">
        <v>0.5</v>
      </c>
      <c r="AH95" s="2">
        <v>2.8170000000000002</v>
      </c>
      <c r="AI95" s="2">
        <v>0.16200000000000001</v>
      </c>
      <c r="AJ95" s="2">
        <v>10.08</v>
      </c>
      <c r="AK95" s="2">
        <v>0.27700000000000002</v>
      </c>
      <c r="AL95" s="250">
        <v>0.99</v>
      </c>
      <c r="AM95" s="2">
        <v>0.87</v>
      </c>
      <c r="AX95" s="2" t="s">
        <v>1552</v>
      </c>
      <c r="AY95" s="2877">
        <v>0</v>
      </c>
      <c r="AZ95" s="2877"/>
      <c r="BA95" s="2877"/>
      <c r="BB95" s="2877">
        <v>11</v>
      </c>
      <c r="BC95" s="2877"/>
      <c r="BD95" s="2877"/>
      <c r="BE95" s="2877">
        <v>13</v>
      </c>
      <c r="BF95" s="2877"/>
      <c r="BG95" s="2877"/>
      <c r="BH95" s="2877">
        <v>17</v>
      </c>
      <c r="BI95" s="2877"/>
      <c r="BJ95" s="2877"/>
      <c r="BK95" s="2877">
        <v>19</v>
      </c>
      <c r="BL95" s="2877"/>
      <c r="BM95" s="2877"/>
      <c r="BO95" s="99" t="s">
        <v>2369</v>
      </c>
      <c r="BP95">
        <v>3049</v>
      </c>
      <c r="BQ95">
        <v>655</v>
      </c>
      <c r="BR95" s="100">
        <v>9104</v>
      </c>
      <c r="CG95" s="116" t="s">
        <v>4059</v>
      </c>
      <c r="CH95" s="8">
        <v>61.4</v>
      </c>
      <c r="CI95" s="111" t="s">
        <v>4058</v>
      </c>
      <c r="FS95" s="273"/>
      <c r="FT95" s="273"/>
      <c r="FU95" s="273"/>
      <c r="FV95" s="273"/>
      <c r="FW95" s="273"/>
      <c r="FX95" s="273"/>
      <c r="FY95" s="273"/>
      <c r="FZ95" s="273"/>
      <c r="GA95" s="273"/>
      <c r="GB95" s="273"/>
      <c r="GC95" s="273"/>
      <c r="GD95" s="273"/>
      <c r="GE95" s="273"/>
      <c r="GF95" s="273"/>
      <c r="GG95" s="273"/>
      <c r="GH95" s="273"/>
      <c r="GI95" s="273"/>
      <c r="GJ95" s="273"/>
    </row>
    <row r="96" spans="1:192">
      <c r="A96" s="116">
        <v>1</v>
      </c>
      <c r="C96" s="2" t="s">
        <v>366</v>
      </c>
      <c r="D96" s="2" t="s">
        <v>900</v>
      </c>
      <c r="AB96" s="267"/>
      <c r="AD96" s="1117"/>
      <c r="AE96" s="1118" t="s">
        <v>3942</v>
      </c>
      <c r="AF96" s="2" t="s">
        <v>3944</v>
      </c>
      <c r="AG96" s="2">
        <v>0.5</v>
      </c>
      <c r="AH96" s="2">
        <v>2.8170000000000002</v>
      </c>
      <c r="AI96" s="2">
        <v>0.16200000000000001</v>
      </c>
      <c r="AJ96" s="2">
        <v>10.08</v>
      </c>
      <c r="AK96" s="2">
        <v>0.27700000000000002</v>
      </c>
      <c r="AL96" s="250">
        <v>0.99</v>
      </c>
      <c r="AM96" s="2">
        <v>0.87</v>
      </c>
      <c r="AX96" s="2" t="s">
        <v>1553</v>
      </c>
      <c r="AY96" s="2" t="s">
        <v>1554</v>
      </c>
      <c r="AZ96" s="2" t="s">
        <v>1555</v>
      </c>
      <c r="BA96" s="2" t="s">
        <v>1556</v>
      </c>
      <c r="BB96" s="2" t="s">
        <v>1554</v>
      </c>
      <c r="BC96" s="2" t="s">
        <v>1555</v>
      </c>
      <c r="BD96" s="2" t="s">
        <v>1556</v>
      </c>
      <c r="BE96" s="2" t="s">
        <v>1554</v>
      </c>
      <c r="BF96" s="2" t="s">
        <v>1555</v>
      </c>
      <c r="BG96" s="2" t="s">
        <v>1556</v>
      </c>
      <c r="BH96" s="2" t="s">
        <v>1554</v>
      </c>
      <c r="BI96" s="2" t="s">
        <v>1555</v>
      </c>
      <c r="BJ96" s="2" t="s">
        <v>1556</v>
      </c>
      <c r="BK96" s="2" t="s">
        <v>1554</v>
      </c>
      <c r="BL96" s="2" t="s">
        <v>1555</v>
      </c>
      <c r="BM96" s="2" t="s">
        <v>1556</v>
      </c>
      <c r="BO96" s="99" t="s">
        <v>2376</v>
      </c>
      <c r="BP96">
        <v>1756</v>
      </c>
      <c r="BQ96">
        <v>1643</v>
      </c>
      <c r="BR96" s="100">
        <v>550</v>
      </c>
      <c r="CG96" s="101" t="s">
        <v>4057</v>
      </c>
      <c r="CH96" s="90">
        <v>130</v>
      </c>
      <c r="CI96" s="102" t="s">
        <v>4056</v>
      </c>
      <c r="FS96" s="273"/>
      <c r="FT96" s="273"/>
      <c r="FU96" s="273"/>
      <c r="FV96" s="273"/>
      <c r="FW96" s="273"/>
      <c r="FX96" s="273"/>
      <c r="FY96" s="273"/>
      <c r="FZ96" s="273"/>
      <c r="GA96" s="273"/>
      <c r="GB96" s="273"/>
      <c r="GC96" s="273"/>
      <c r="GD96" s="273"/>
      <c r="GE96" s="273"/>
      <c r="GF96" s="273"/>
      <c r="GG96" s="273"/>
      <c r="GH96" s="273"/>
      <c r="GI96" s="273"/>
      <c r="GJ96" s="273"/>
    </row>
    <row r="97" spans="1:192">
      <c r="A97" s="99">
        <v>2</v>
      </c>
      <c r="C97" s="2" t="s">
        <v>367</v>
      </c>
      <c r="D97" s="2" t="s">
        <v>900</v>
      </c>
      <c r="AB97" s="267"/>
      <c r="AD97" s="1117"/>
      <c r="AE97" s="1118" t="s">
        <v>3942</v>
      </c>
      <c r="AF97" s="2" t="s">
        <v>3945</v>
      </c>
      <c r="AG97" s="2">
        <v>0.5</v>
      </c>
      <c r="AH97" s="2">
        <v>2.8170000000000002</v>
      </c>
      <c r="AI97" s="2">
        <v>0.16200000000000001</v>
      </c>
      <c r="AJ97" s="2">
        <v>10.08</v>
      </c>
      <c r="AK97" s="2">
        <v>0.27700000000000002</v>
      </c>
      <c r="AL97" s="2">
        <v>0.99</v>
      </c>
      <c r="AM97" s="2">
        <v>0.87</v>
      </c>
      <c r="AX97" s="618">
        <v>11</v>
      </c>
      <c r="AY97" s="618">
        <v>37.799999999999997</v>
      </c>
      <c r="AZ97" s="618">
        <v>3.4000000000000002E-2</v>
      </c>
      <c r="BA97" s="618">
        <v>44.1</v>
      </c>
      <c r="BB97" s="618"/>
      <c r="BC97" s="618"/>
      <c r="BD97" s="618"/>
      <c r="BE97" s="618"/>
      <c r="BF97" s="618"/>
      <c r="BG97" s="618"/>
      <c r="BH97" s="618"/>
      <c r="BI97" s="618"/>
      <c r="BJ97" s="618"/>
      <c r="BK97" s="618"/>
      <c r="BL97" s="618"/>
      <c r="BM97" s="618"/>
      <c r="BO97" s="99" t="s">
        <v>2382</v>
      </c>
      <c r="BP97">
        <v>1487</v>
      </c>
      <c r="BQ97">
        <v>1711</v>
      </c>
      <c r="BR97" s="100">
        <v>446</v>
      </c>
      <c r="FS97" s="273"/>
      <c r="FT97" s="273"/>
      <c r="FU97" s="273"/>
      <c r="FV97" s="273"/>
      <c r="FW97" s="273"/>
      <c r="FX97" s="273"/>
      <c r="FY97" s="273"/>
      <c r="FZ97" s="273"/>
      <c r="GA97" s="273"/>
      <c r="GB97" s="273"/>
      <c r="GC97" s="273"/>
      <c r="GD97" s="273"/>
      <c r="GE97" s="273"/>
      <c r="GF97" s="273"/>
      <c r="GG97" s="273"/>
      <c r="GH97" s="273"/>
      <c r="GI97" s="273"/>
      <c r="GJ97" s="273"/>
    </row>
    <row r="98" spans="1:192">
      <c r="A98" s="99">
        <v>3</v>
      </c>
      <c r="C98" s="2" t="s">
        <v>368</v>
      </c>
      <c r="D98" s="2" t="s">
        <v>900</v>
      </c>
      <c r="AD98" s="1117"/>
      <c r="AE98" s="1118" t="s">
        <v>3946</v>
      </c>
      <c r="AF98" s="2" t="s">
        <v>3947</v>
      </c>
      <c r="AG98" s="2">
        <v>0.5</v>
      </c>
      <c r="AH98" s="2">
        <v>2.5059999999999998</v>
      </c>
      <c r="AI98" s="2">
        <v>0.29599999999999999</v>
      </c>
      <c r="AJ98" s="2">
        <v>10.08</v>
      </c>
      <c r="AK98" s="2">
        <v>0.27700000000000002</v>
      </c>
      <c r="AL98" s="2">
        <v>0.99</v>
      </c>
      <c r="AM98" s="2">
        <v>0.55000000000000004</v>
      </c>
      <c r="AX98" s="2">
        <v>12</v>
      </c>
      <c r="AY98" s="2">
        <f t="shared" ref="AY98:BM98" si="15">((($AX$98-$AX$97)*(AY99-AY97))/($AX$99-$AX$97))+AY97</f>
        <v>44.7</v>
      </c>
      <c r="AZ98" s="2">
        <f t="shared" si="15"/>
        <v>0.04</v>
      </c>
      <c r="BA98" s="2">
        <f t="shared" si="15"/>
        <v>51.6</v>
      </c>
      <c r="BB98" s="2">
        <f t="shared" si="15"/>
        <v>6.9</v>
      </c>
      <c r="BC98" s="2">
        <f t="shared" si="15"/>
        <v>5.4999999999999997E-3</v>
      </c>
      <c r="BD98" s="2">
        <f t="shared" si="15"/>
        <v>7.45</v>
      </c>
      <c r="BE98" s="2">
        <f t="shared" si="15"/>
        <v>0</v>
      </c>
      <c r="BF98" s="2">
        <f t="shared" si="15"/>
        <v>0</v>
      </c>
      <c r="BG98" s="2">
        <f t="shared" si="15"/>
        <v>0</v>
      </c>
      <c r="BH98" s="2">
        <f t="shared" si="15"/>
        <v>0</v>
      </c>
      <c r="BI98" s="2">
        <f t="shared" si="15"/>
        <v>0</v>
      </c>
      <c r="BJ98" s="2">
        <f t="shared" si="15"/>
        <v>0</v>
      </c>
      <c r="BK98" s="2">
        <f t="shared" si="15"/>
        <v>0</v>
      </c>
      <c r="BL98" s="2">
        <f t="shared" si="15"/>
        <v>0</v>
      </c>
      <c r="BM98" s="2">
        <f t="shared" si="15"/>
        <v>0</v>
      </c>
      <c r="BO98" s="99" t="s">
        <v>2387</v>
      </c>
      <c r="BP98">
        <v>549</v>
      </c>
      <c r="BQ98">
        <v>714</v>
      </c>
      <c r="BR98" s="100">
        <v>489</v>
      </c>
      <c r="FS98" s="273"/>
      <c r="FT98" s="273"/>
      <c r="FU98" s="273"/>
      <c r="FV98" s="273"/>
      <c r="FW98" s="273"/>
      <c r="FX98" s="273"/>
      <c r="FY98" s="273"/>
      <c r="FZ98" s="273"/>
      <c r="GA98" s="273"/>
      <c r="GB98" s="273"/>
      <c r="GC98" s="273"/>
      <c r="GD98" s="273"/>
      <c r="GE98" s="273"/>
      <c r="GF98" s="273"/>
      <c r="GG98" s="273"/>
      <c r="GH98" s="273"/>
      <c r="GI98" s="273"/>
      <c r="GJ98" s="273"/>
    </row>
    <row r="99" spans="1:192" ht="42">
      <c r="A99" s="99">
        <v>4</v>
      </c>
      <c r="C99" s="2" t="s">
        <v>369</v>
      </c>
      <c r="D99" s="2" t="s">
        <v>900</v>
      </c>
      <c r="AD99" s="1117"/>
      <c r="AE99" s="1118" t="s">
        <v>3927</v>
      </c>
      <c r="AF99" s="2" t="s">
        <v>3948</v>
      </c>
      <c r="AG99" s="2">
        <v>0.5</v>
      </c>
      <c r="AH99" s="2">
        <v>-3.7930000000000001</v>
      </c>
      <c r="AI99" s="2">
        <v>2.2170000000000001</v>
      </c>
      <c r="AJ99" s="2">
        <v>11.6</v>
      </c>
      <c r="AK99" s="2">
        <v>0.19600000000000001</v>
      </c>
      <c r="AL99" s="2">
        <v>1</v>
      </c>
      <c r="AM99" s="2">
        <v>0.86</v>
      </c>
      <c r="AX99" s="618">
        <v>13</v>
      </c>
      <c r="AY99" s="618">
        <v>51.6</v>
      </c>
      <c r="AZ99" s="618">
        <v>4.5999999999999999E-2</v>
      </c>
      <c r="BA99" s="618">
        <v>59.1</v>
      </c>
      <c r="BB99" s="618">
        <v>13.8</v>
      </c>
      <c r="BC99" s="618">
        <v>1.0999999999999999E-2</v>
      </c>
      <c r="BD99" s="618">
        <v>14.9</v>
      </c>
      <c r="BE99" s="618"/>
      <c r="BF99" s="618"/>
      <c r="BG99" s="618"/>
      <c r="BH99" s="618"/>
      <c r="BI99" s="618"/>
      <c r="BJ99" s="618"/>
      <c r="BK99" s="618"/>
      <c r="BL99" s="618"/>
      <c r="BM99" s="618"/>
      <c r="BO99" s="99" t="s">
        <v>2394</v>
      </c>
      <c r="BP99">
        <v>1233</v>
      </c>
      <c r="BQ99">
        <v>619</v>
      </c>
      <c r="BR99" s="100">
        <v>1366</v>
      </c>
      <c r="CG99" s="505" t="s">
        <v>4055</v>
      </c>
      <c r="CH99" s="1144"/>
      <c r="DJ99" s="403" t="s">
        <v>1553</v>
      </c>
      <c r="DK99" s="1426" t="s">
        <v>4742</v>
      </c>
      <c r="DL99" s="1426" t="s">
        <v>3737</v>
      </c>
      <c r="DM99" s="1426" t="s">
        <v>4749</v>
      </c>
      <c r="DN99" s="1426" t="s">
        <v>4750</v>
      </c>
      <c r="DO99" s="1426" t="s">
        <v>4751</v>
      </c>
      <c r="DP99" s="1426" t="s">
        <v>4752</v>
      </c>
      <c r="DQ99" s="1426" t="s">
        <v>2129</v>
      </c>
      <c r="DR99" s="1426" t="s">
        <v>4753</v>
      </c>
      <c r="DS99" s="1426" t="s">
        <v>2877</v>
      </c>
      <c r="DT99" s="1426" t="s">
        <v>193</v>
      </c>
      <c r="FS99" s="273"/>
      <c r="FT99" s="273"/>
      <c r="FU99" s="273"/>
      <c r="FV99" s="273"/>
      <c r="FW99" s="273"/>
      <c r="FX99" s="273"/>
      <c r="FY99" s="273"/>
      <c r="FZ99" s="273"/>
      <c r="GA99" s="273"/>
      <c r="GB99" s="273"/>
      <c r="GC99" s="273"/>
      <c r="GD99" s="273"/>
      <c r="GE99" s="273"/>
      <c r="GF99" s="273"/>
      <c r="GG99" s="273"/>
      <c r="GH99" s="273"/>
      <c r="GI99" s="273"/>
      <c r="GJ99" s="273"/>
    </row>
    <row r="100" spans="1:192">
      <c r="A100" s="99">
        <v>5</v>
      </c>
      <c r="C100" s="2" t="s">
        <v>370</v>
      </c>
      <c r="D100" s="2" t="s">
        <v>900</v>
      </c>
      <c r="E100" s="2096" t="s">
        <v>5714</v>
      </c>
      <c r="F100" s="114" t="s">
        <v>5571</v>
      </c>
      <c r="G100" s="114" t="s">
        <v>5680</v>
      </c>
      <c r="H100" s="114" t="s">
        <v>5575</v>
      </c>
      <c r="I100" s="114" t="s">
        <v>5576</v>
      </c>
      <c r="K100" s="114" t="s">
        <v>5692</v>
      </c>
      <c r="AD100" s="1117"/>
      <c r="AE100" s="1118" t="s">
        <v>3927</v>
      </c>
      <c r="AF100" s="2" t="s">
        <v>3949</v>
      </c>
      <c r="AG100" s="2">
        <v>0.5</v>
      </c>
      <c r="AH100" s="2">
        <v>-3.7930000000000001</v>
      </c>
      <c r="AI100" s="2">
        <v>2.2170000000000001</v>
      </c>
      <c r="AJ100" s="2">
        <v>11.6</v>
      </c>
      <c r="AK100" s="2">
        <v>0.19600000000000001</v>
      </c>
      <c r="AL100" s="2">
        <v>1</v>
      </c>
      <c r="AM100" s="2">
        <v>0.86</v>
      </c>
      <c r="AX100" s="2">
        <v>14</v>
      </c>
      <c r="AY100" s="2">
        <f t="shared" ref="AY100:BM102" si="16">((($AX100-$AX$99)*(AY$103-AY$99))/($AX$103-$AX$99))+AY$99</f>
        <v>56.225000000000001</v>
      </c>
      <c r="AZ100" s="2">
        <f t="shared" si="16"/>
        <v>5.1750000000000004E-2</v>
      </c>
      <c r="BA100" s="2">
        <f t="shared" si="16"/>
        <v>64.05</v>
      </c>
      <c r="BB100" s="2">
        <f t="shared" si="16"/>
        <v>18.400000000000002</v>
      </c>
      <c r="BC100" s="2">
        <f t="shared" si="16"/>
        <v>1.6750000000000001E-2</v>
      </c>
      <c r="BD100" s="2">
        <f t="shared" si="16"/>
        <v>19.850000000000001</v>
      </c>
      <c r="BE100" s="2">
        <f t="shared" si="16"/>
        <v>4.625</v>
      </c>
      <c r="BF100" s="2">
        <f t="shared" si="16"/>
        <v>5.7499999999999999E-3</v>
      </c>
      <c r="BG100" s="2">
        <f t="shared" si="16"/>
        <v>4.95</v>
      </c>
      <c r="BH100" s="2">
        <f t="shared" si="16"/>
        <v>0</v>
      </c>
      <c r="BI100" s="2">
        <f t="shared" si="16"/>
        <v>0</v>
      </c>
      <c r="BJ100" s="2">
        <f t="shared" si="16"/>
        <v>0</v>
      </c>
      <c r="BK100" s="2">
        <f t="shared" si="16"/>
        <v>0</v>
      </c>
      <c r="BL100" s="2">
        <f t="shared" si="16"/>
        <v>0</v>
      </c>
      <c r="BM100" s="2">
        <f t="shared" si="16"/>
        <v>0</v>
      </c>
      <c r="BO100" s="99" t="s">
        <v>5256</v>
      </c>
      <c r="BP100">
        <v>279</v>
      </c>
      <c r="BQ100">
        <v>722</v>
      </c>
      <c r="BR100" s="100">
        <v>77</v>
      </c>
      <c r="CG100" s="99" t="s">
        <v>4054</v>
      </c>
      <c r="CH100" s="100">
        <v>0.95</v>
      </c>
      <c r="DJ100" s="1476" t="s">
        <v>4743</v>
      </c>
      <c r="DK100" s="2" t="s">
        <v>4744</v>
      </c>
      <c r="DL100" s="1430">
        <v>16</v>
      </c>
      <c r="DM100" s="174">
        <v>0.75</v>
      </c>
      <c r="DN100" s="2">
        <v>0.93</v>
      </c>
      <c r="DO100" s="2">
        <v>0.95</v>
      </c>
      <c r="DP100" s="174">
        <v>0.93</v>
      </c>
      <c r="DQ100" s="174">
        <v>0.8</v>
      </c>
      <c r="DR100" s="174">
        <v>0.746</v>
      </c>
      <c r="DS100" s="174" t="str">
        <f>IF('Worksheet Common VFD Motors'!C75="","",INDEX($DK$119:$DK$176,MATCH('Customer Information'!$K$13,References!$DJ$119:$DJ$176,0)))</f>
        <v/>
      </c>
      <c r="DT100" s="273" t="s">
        <v>4754</v>
      </c>
      <c r="FS100" s="273"/>
      <c r="FT100" s="273"/>
      <c r="FU100" s="273"/>
      <c r="FV100" s="273"/>
      <c r="FW100" s="273"/>
      <c r="FX100" s="273"/>
      <c r="FY100" s="273"/>
      <c r="FZ100" s="273"/>
      <c r="GA100" s="273"/>
      <c r="GB100" s="273"/>
      <c r="GC100" s="273"/>
      <c r="GD100" s="273"/>
      <c r="GE100" s="273"/>
      <c r="GF100" s="273"/>
      <c r="GG100" s="273"/>
      <c r="GH100" s="273"/>
      <c r="GI100" s="273"/>
      <c r="GJ100" s="273"/>
    </row>
    <row r="101" spans="1:192">
      <c r="A101" s="99">
        <v>6</v>
      </c>
      <c r="C101" s="2" t="s">
        <v>4946</v>
      </c>
      <c r="D101" s="2" t="s">
        <v>900</v>
      </c>
      <c r="F101" s="2">
        <v>500</v>
      </c>
      <c r="G101" s="2">
        <v>500</v>
      </c>
      <c r="H101" s="2">
        <v>100000</v>
      </c>
      <c r="I101" s="2">
        <f>IF('Multi-Family Heat Pumps'!F24="New Construction",H101,H102)</f>
        <v>200000</v>
      </c>
      <c r="K101" s="2" t="b">
        <f>IF('Customer Information'!C17="Yes",TRUE)</f>
        <v>0</v>
      </c>
      <c r="AD101" s="1117"/>
      <c r="AE101" s="1118" t="s">
        <v>3927</v>
      </c>
      <c r="AF101" s="2" t="s">
        <v>3950</v>
      </c>
      <c r="AG101" s="2">
        <v>0.5</v>
      </c>
      <c r="AH101" s="2">
        <v>-3.7930000000000001</v>
      </c>
      <c r="AI101" s="2">
        <v>2.2170000000000001</v>
      </c>
      <c r="AJ101" s="2">
        <v>11.6</v>
      </c>
      <c r="AK101" s="2">
        <v>0.19600000000000001</v>
      </c>
      <c r="AL101" s="2">
        <v>1</v>
      </c>
      <c r="AM101" s="2">
        <v>0.86</v>
      </c>
      <c r="AX101" s="2">
        <v>15</v>
      </c>
      <c r="AY101" s="2">
        <f t="shared" si="16"/>
        <v>60.849999999999994</v>
      </c>
      <c r="AZ101" s="2">
        <f t="shared" si="16"/>
        <v>5.7500000000000002E-2</v>
      </c>
      <c r="BA101" s="2">
        <f t="shared" si="16"/>
        <v>69</v>
      </c>
      <c r="BB101" s="2">
        <f t="shared" si="16"/>
        <v>23</v>
      </c>
      <c r="BC101" s="2">
        <f t="shared" si="16"/>
        <v>2.2499999999999999E-2</v>
      </c>
      <c r="BD101" s="2">
        <f t="shared" si="16"/>
        <v>24.800000000000004</v>
      </c>
      <c r="BE101" s="2">
        <f t="shared" si="16"/>
        <v>9.25</v>
      </c>
      <c r="BF101" s="2">
        <f t="shared" si="16"/>
        <v>1.15E-2</v>
      </c>
      <c r="BG101" s="2">
        <f t="shared" si="16"/>
        <v>9.9</v>
      </c>
      <c r="BH101" s="2">
        <f t="shared" si="16"/>
        <v>0</v>
      </c>
      <c r="BI101" s="2">
        <f t="shared" si="16"/>
        <v>0</v>
      </c>
      <c r="BJ101" s="2">
        <f t="shared" si="16"/>
        <v>0</v>
      </c>
      <c r="BK101" s="2">
        <f t="shared" si="16"/>
        <v>0</v>
      </c>
      <c r="BL101" s="2">
        <f t="shared" si="16"/>
        <v>0</v>
      </c>
      <c r="BM101" s="2">
        <f t="shared" si="16"/>
        <v>0</v>
      </c>
      <c r="BO101" s="99" t="s">
        <v>2413</v>
      </c>
      <c r="BP101">
        <v>955</v>
      </c>
      <c r="BQ101">
        <v>431</v>
      </c>
      <c r="BR101" s="100">
        <v>110</v>
      </c>
      <c r="CG101" s="101" t="s">
        <v>4053</v>
      </c>
      <c r="CH101" s="102">
        <v>1</v>
      </c>
      <c r="DJ101" s="1477"/>
      <c r="DK101" s="2" t="s">
        <v>4755</v>
      </c>
      <c r="DL101" s="1430">
        <v>79</v>
      </c>
      <c r="DM101" s="174">
        <v>0.75</v>
      </c>
      <c r="DN101" s="2">
        <v>0.93</v>
      </c>
      <c r="DO101" s="2">
        <v>0.98</v>
      </c>
      <c r="DP101" s="174">
        <v>0.93</v>
      </c>
      <c r="DQ101" s="174">
        <v>0.8</v>
      </c>
      <c r="DR101" s="174">
        <v>0.746</v>
      </c>
      <c r="DS101" s="174" t="str">
        <f>IF('Worksheet Common VFD Motors'!C76="","",INDEX($DK$119:$DK$176,MATCH('Customer Information'!$K$13,References!$DJ$119:$DJ$176,0)))</f>
        <v/>
      </c>
      <c r="DT101" s="273" t="s">
        <v>4756</v>
      </c>
      <c r="FS101" s="273"/>
      <c r="FT101" s="273"/>
      <c r="FU101" s="273"/>
      <c r="FV101" s="273"/>
      <c r="FW101" s="273"/>
      <c r="FX101" s="273"/>
      <c r="FY101" s="273"/>
      <c r="FZ101" s="273"/>
      <c r="GA101" s="273"/>
      <c r="GB101" s="273"/>
      <c r="GC101" s="273"/>
      <c r="GD101" s="273"/>
      <c r="GE101" s="273"/>
      <c r="GF101" s="273"/>
      <c r="GG101" s="273"/>
      <c r="GH101" s="273"/>
      <c r="GI101" s="273"/>
      <c r="GJ101" s="273"/>
    </row>
    <row r="102" spans="1:192">
      <c r="A102" s="99">
        <v>7</v>
      </c>
      <c r="C102" s="2" t="s">
        <v>4948</v>
      </c>
      <c r="D102" s="2" t="s">
        <v>901</v>
      </c>
      <c r="F102" s="2">
        <v>1500</v>
      </c>
      <c r="G102" s="2">
        <v>2500</v>
      </c>
      <c r="H102" s="2">
        <v>200000</v>
      </c>
      <c r="AD102" s="1117"/>
      <c r="AE102" s="1118" t="s">
        <v>3927</v>
      </c>
      <c r="AF102" s="2" t="s">
        <v>3951</v>
      </c>
      <c r="AG102" s="2">
        <v>0.5</v>
      </c>
      <c r="AH102" s="2">
        <v>-3.7930000000000001</v>
      </c>
      <c r="AI102" s="2">
        <v>2.2170000000000001</v>
      </c>
      <c r="AJ102" s="2">
        <v>11.6</v>
      </c>
      <c r="AK102" s="2">
        <v>0.19600000000000001</v>
      </c>
      <c r="AL102" s="2">
        <v>1</v>
      </c>
      <c r="AM102" s="2">
        <v>0.86</v>
      </c>
      <c r="AX102" s="2">
        <v>16</v>
      </c>
      <c r="AY102" s="2">
        <f t="shared" si="16"/>
        <v>65.474999999999994</v>
      </c>
      <c r="AZ102" s="2">
        <f t="shared" si="16"/>
        <v>6.3250000000000001E-2</v>
      </c>
      <c r="BA102" s="2">
        <f t="shared" si="16"/>
        <v>73.95</v>
      </c>
      <c r="BB102" s="2">
        <f t="shared" si="16"/>
        <v>27.6</v>
      </c>
      <c r="BC102" s="2">
        <f t="shared" si="16"/>
        <v>2.8250000000000001E-2</v>
      </c>
      <c r="BD102" s="2">
        <f t="shared" si="16"/>
        <v>29.750000000000004</v>
      </c>
      <c r="BE102" s="2">
        <f t="shared" si="16"/>
        <v>13.875</v>
      </c>
      <c r="BF102" s="2">
        <f t="shared" si="16"/>
        <v>1.7250000000000001E-2</v>
      </c>
      <c r="BG102" s="2">
        <f t="shared" si="16"/>
        <v>14.850000000000001</v>
      </c>
      <c r="BH102" s="2">
        <f t="shared" si="16"/>
        <v>0</v>
      </c>
      <c r="BI102" s="2">
        <f t="shared" si="16"/>
        <v>0</v>
      </c>
      <c r="BJ102" s="2">
        <f t="shared" si="16"/>
        <v>0</v>
      </c>
      <c r="BK102" s="2">
        <f t="shared" si="16"/>
        <v>0</v>
      </c>
      <c r="BL102" s="2">
        <f t="shared" si="16"/>
        <v>0</v>
      </c>
      <c r="BM102" s="2">
        <f t="shared" si="16"/>
        <v>0</v>
      </c>
      <c r="BO102" s="99" t="s">
        <v>2418</v>
      </c>
      <c r="BP102">
        <v>882</v>
      </c>
      <c r="BQ102">
        <v>545</v>
      </c>
      <c r="BR102" s="100">
        <v>27</v>
      </c>
      <c r="DJ102" s="273"/>
      <c r="DK102" s="273"/>
      <c r="DL102" s="273"/>
      <c r="DM102" s="273"/>
      <c r="DN102" s="273"/>
      <c r="DO102" s="273"/>
      <c r="DP102" s="273"/>
      <c r="DQ102" s="273"/>
      <c r="DR102" s="273"/>
      <c r="DS102" s="273"/>
      <c r="DT102" s="273"/>
      <c r="FS102" s="273"/>
      <c r="FT102" s="273"/>
      <c r="FU102" s="273"/>
      <c r="FV102" s="273"/>
      <c r="FW102" s="273"/>
      <c r="FX102" s="273"/>
      <c r="FY102" s="273"/>
      <c r="FZ102" s="273"/>
      <c r="GA102" s="273"/>
      <c r="GB102" s="273"/>
      <c r="GC102" s="273"/>
      <c r="GD102" s="273"/>
      <c r="GE102" s="273"/>
      <c r="GF102" s="273"/>
      <c r="GG102" s="273"/>
      <c r="GH102" s="273"/>
      <c r="GI102" s="273"/>
      <c r="GJ102" s="273"/>
    </row>
    <row r="103" spans="1:192">
      <c r="A103" s="99">
        <v>8</v>
      </c>
      <c r="C103" s="2" t="s">
        <v>4950</v>
      </c>
      <c r="D103" s="2" t="s">
        <v>901</v>
      </c>
      <c r="F103" s="2">
        <v>1500</v>
      </c>
      <c r="G103" s="2">
        <v>2500</v>
      </c>
      <c r="H103" s="2">
        <v>300000</v>
      </c>
      <c r="AD103" s="1117"/>
      <c r="AE103" s="1118" t="s">
        <v>3952</v>
      </c>
      <c r="AF103" s="2" t="s">
        <v>3953</v>
      </c>
      <c r="AG103" s="2">
        <v>0.4</v>
      </c>
      <c r="AH103" s="2">
        <f t="shared" ref="AH103:AM106" si="17">AVERAGE(AH95,AH111)</f>
        <v>2.87</v>
      </c>
      <c r="AI103" s="2">
        <f t="shared" si="17"/>
        <v>0.14650000000000002</v>
      </c>
      <c r="AJ103" s="2">
        <f t="shared" si="17"/>
        <v>10.574999999999999</v>
      </c>
      <c r="AK103" s="2">
        <f t="shared" si="17"/>
        <v>0.22100000000000003</v>
      </c>
      <c r="AL103" s="2">
        <f t="shared" si="17"/>
        <v>0.95</v>
      </c>
      <c r="AM103" s="2">
        <f t="shared" si="17"/>
        <v>0.78</v>
      </c>
      <c r="AX103" s="618">
        <v>17</v>
      </c>
      <c r="AY103" s="618">
        <v>70.099999999999994</v>
      </c>
      <c r="AZ103" s="618">
        <v>6.9000000000000006E-2</v>
      </c>
      <c r="BA103" s="618">
        <v>78.900000000000006</v>
      </c>
      <c r="BB103" s="618">
        <v>32.200000000000003</v>
      </c>
      <c r="BC103" s="618">
        <v>3.4000000000000002E-2</v>
      </c>
      <c r="BD103" s="618">
        <v>34.700000000000003</v>
      </c>
      <c r="BE103" s="618">
        <v>18.5</v>
      </c>
      <c r="BF103" s="618">
        <v>2.3E-2</v>
      </c>
      <c r="BG103" s="618">
        <v>19.8</v>
      </c>
      <c r="BH103" s="618"/>
      <c r="BI103" s="618"/>
      <c r="BJ103" s="618"/>
      <c r="BK103" s="618"/>
      <c r="BL103" s="618"/>
      <c r="BM103" s="618"/>
      <c r="BO103" s="99" t="s">
        <v>2423</v>
      </c>
      <c r="BP103">
        <v>1057</v>
      </c>
      <c r="BQ103">
        <v>1011</v>
      </c>
      <c r="BR103" s="100">
        <v>1000</v>
      </c>
      <c r="DJ103" s="863" t="s">
        <v>4757</v>
      </c>
      <c r="DK103" s="273"/>
      <c r="DL103" s="273"/>
      <c r="DM103" s="273"/>
      <c r="DN103" s="273"/>
      <c r="DO103" s="273"/>
      <c r="DP103" s="273"/>
      <c r="DQ103" s="273"/>
      <c r="DR103" s="273"/>
      <c r="DS103" s="273"/>
      <c r="DT103" s="273"/>
      <c r="FS103" s="273"/>
      <c r="FT103" s="273"/>
      <c r="FU103" s="273"/>
      <c r="FV103" s="273"/>
      <c r="FW103" s="273"/>
      <c r="FX103" s="273"/>
      <c r="FY103" s="273"/>
      <c r="FZ103" s="273"/>
      <c r="GA103" s="273"/>
      <c r="GB103" s="273"/>
      <c r="GC103" s="273"/>
      <c r="GD103" s="273"/>
      <c r="GE103" s="273"/>
      <c r="GF103" s="273"/>
      <c r="GG103" s="273"/>
      <c r="GH103" s="273"/>
      <c r="GI103" s="273"/>
      <c r="GJ103" s="273"/>
    </row>
    <row r="104" spans="1:192">
      <c r="A104" s="99">
        <v>9</v>
      </c>
      <c r="C104" s="2" t="s">
        <v>371</v>
      </c>
      <c r="D104" s="2" t="s">
        <v>900</v>
      </c>
      <c r="F104">
        <v>3000</v>
      </c>
      <c r="G104">
        <v>5000</v>
      </c>
      <c r="H104" s="2">
        <v>200000</v>
      </c>
      <c r="AD104" s="1117"/>
      <c r="AE104" s="1118" t="s">
        <v>3952</v>
      </c>
      <c r="AF104" s="2" t="s">
        <v>3954</v>
      </c>
      <c r="AG104" s="2">
        <v>0.4</v>
      </c>
      <c r="AH104" s="2">
        <f t="shared" si="17"/>
        <v>2.87</v>
      </c>
      <c r="AI104" s="2">
        <f t="shared" si="17"/>
        <v>0.14650000000000002</v>
      </c>
      <c r="AJ104" s="2">
        <f t="shared" si="17"/>
        <v>10.574999999999999</v>
      </c>
      <c r="AK104" s="2">
        <f t="shared" si="17"/>
        <v>0.22100000000000003</v>
      </c>
      <c r="AL104" s="2">
        <f t="shared" si="17"/>
        <v>0.95</v>
      </c>
      <c r="AM104" s="2">
        <f t="shared" si="17"/>
        <v>0.78</v>
      </c>
      <c r="AX104" s="2">
        <v>18</v>
      </c>
      <c r="AY104" s="2">
        <f t="shared" ref="AY104:BM104" si="18">((($AX$104-$AX$103)*(AY105-AY103))/($AX$105-$AX$103))+AY103</f>
        <v>72.650000000000006</v>
      </c>
      <c r="AZ104" s="2">
        <f t="shared" si="18"/>
        <v>6.9000000000000006E-2</v>
      </c>
      <c r="BA104" s="2">
        <f t="shared" si="18"/>
        <v>82.45</v>
      </c>
      <c r="BB104" s="2">
        <f t="shared" si="18"/>
        <v>34.799999999999997</v>
      </c>
      <c r="BC104" s="2">
        <f t="shared" si="18"/>
        <v>3.4000000000000002E-2</v>
      </c>
      <c r="BD104" s="2">
        <f t="shared" si="18"/>
        <v>38.299999999999997</v>
      </c>
      <c r="BE104" s="2">
        <f t="shared" si="18"/>
        <v>21.05</v>
      </c>
      <c r="BF104" s="2">
        <f t="shared" si="18"/>
        <v>2.3E-2</v>
      </c>
      <c r="BG104" s="2">
        <f t="shared" si="18"/>
        <v>23.35</v>
      </c>
      <c r="BH104" s="2">
        <f t="shared" si="18"/>
        <v>2.6</v>
      </c>
      <c r="BI104" s="2">
        <f t="shared" si="18"/>
        <v>0</v>
      </c>
      <c r="BJ104" s="2">
        <f t="shared" si="18"/>
        <v>3.55</v>
      </c>
      <c r="BK104" s="2">
        <f t="shared" si="18"/>
        <v>0</v>
      </c>
      <c r="BL104" s="2">
        <f t="shared" si="18"/>
        <v>0</v>
      </c>
      <c r="BM104" s="2">
        <f t="shared" si="18"/>
        <v>0</v>
      </c>
      <c r="BO104" s="99" t="s">
        <v>2428</v>
      </c>
      <c r="BP104">
        <v>400</v>
      </c>
      <c r="BQ104">
        <v>452</v>
      </c>
      <c r="BR104" s="100">
        <v>465</v>
      </c>
      <c r="CG104" s="505"/>
      <c r="CH104" s="1144"/>
      <c r="DJ104" s="1478" t="s">
        <v>4758</v>
      </c>
      <c r="DK104" s="1478"/>
      <c r="DL104" s="1478"/>
      <c r="DM104" s="1478"/>
      <c r="DN104" s="273"/>
      <c r="DO104" s="273"/>
      <c r="DP104" s="273"/>
      <c r="DQ104" s="273"/>
      <c r="DR104" s="273"/>
      <c r="DS104" s="273"/>
      <c r="DT104" s="273"/>
      <c r="FS104" s="273"/>
      <c r="FT104" s="273"/>
      <c r="FU104" s="273"/>
      <c r="FV104" s="273"/>
      <c r="FW104" s="273"/>
      <c r="FX104" s="273"/>
      <c r="FY104" s="273"/>
      <c r="FZ104" s="273"/>
      <c r="GA104" s="273"/>
      <c r="GB104" s="273"/>
      <c r="GC104" s="273"/>
      <c r="GD104" s="273"/>
      <c r="GE104" s="273"/>
      <c r="GF104" s="273"/>
      <c r="GG104" s="273"/>
      <c r="GH104" s="273"/>
      <c r="GI104" s="273"/>
      <c r="GJ104" s="273"/>
    </row>
    <row r="105" spans="1:192">
      <c r="A105" s="99">
        <v>10</v>
      </c>
      <c r="C105" s="2" t="s">
        <v>410</v>
      </c>
      <c r="D105" s="2" t="s">
        <v>900</v>
      </c>
      <c r="AD105" s="1117"/>
      <c r="AE105" s="1118" t="s">
        <v>3952</v>
      </c>
      <c r="AF105" s="2" t="s">
        <v>3955</v>
      </c>
      <c r="AG105" s="2">
        <v>0.4</v>
      </c>
      <c r="AH105" s="2">
        <f t="shared" si="17"/>
        <v>2.87</v>
      </c>
      <c r="AI105" s="2">
        <f t="shared" si="17"/>
        <v>0.14650000000000002</v>
      </c>
      <c r="AJ105" s="2">
        <f t="shared" si="17"/>
        <v>10.574999999999999</v>
      </c>
      <c r="AK105" s="2">
        <f t="shared" si="17"/>
        <v>0.22100000000000003</v>
      </c>
      <c r="AL105" s="2">
        <f t="shared" si="17"/>
        <v>0.95</v>
      </c>
      <c r="AM105" s="2">
        <f t="shared" si="17"/>
        <v>0.78</v>
      </c>
      <c r="AX105" s="618">
        <v>19</v>
      </c>
      <c r="AY105" s="618">
        <v>75.2</v>
      </c>
      <c r="AZ105" s="618">
        <v>6.9000000000000006E-2</v>
      </c>
      <c r="BA105" s="618">
        <v>86</v>
      </c>
      <c r="BB105" s="618">
        <v>37.4</v>
      </c>
      <c r="BC105" s="618">
        <v>3.4000000000000002E-2</v>
      </c>
      <c r="BD105" s="618">
        <v>41.9</v>
      </c>
      <c r="BE105" s="618">
        <v>23.6</v>
      </c>
      <c r="BF105" s="618">
        <v>2.3E-2</v>
      </c>
      <c r="BG105" s="618">
        <v>26.9</v>
      </c>
      <c r="BH105" s="618">
        <v>5.2</v>
      </c>
      <c r="BI105" s="618">
        <v>0</v>
      </c>
      <c r="BJ105" s="618">
        <v>7.1</v>
      </c>
      <c r="BK105" s="618"/>
      <c r="BL105" s="618"/>
      <c r="BM105" s="618"/>
      <c r="BO105" s="101" t="s">
        <v>292</v>
      </c>
      <c r="BP105" s="90">
        <v>736</v>
      </c>
      <c r="BQ105" s="90">
        <v>681</v>
      </c>
      <c r="BR105" s="102">
        <f>4.89*'Customer Information'!$K$11/1000</f>
        <v>0</v>
      </c>
      <c r="CG105" s="99" t="s">
        <v>4052</v>
      </c>
      <c r="CH105" s="1143">
        <f>53%/(53%+35%+4%)</f>
        <v>0.57608695652173914</v>
      </c>
      <c r="DJ105" s="2905" t="s">
        <v>4759</v>
      </c>
      <c r="DK105" s="1478" t="s">
        <v>287</v>
      </c>
      <c r="DL105" s="1478" t="s">
        <v>4760</v>
      </c>
      <c r="DM105" s="1478" t="s">
        <v>4761</v>
      </c>
      <c r="DN105" s="273"/>
      <c r="DO105" s="273"/>
      <c r="DP105" s="273"/>
      <c r="DQ105" s="273"/>
      <c r="DR105" s="273"/>
      <c r="DS105" s="273"/>
      <c r="DT105" s="273"/>
      <c r="FS105" s="273"/>
      <c r="FT105" s="273"/>
      <c r="FU105" s="273"/>
      <c r="FV105" s="273"/>
      <c r="FW105" s="273"/>
      <c r="FX105" s="273"/>
      <c r="FY105" s="273"/>
      <c r="FZ105" s="273"/>
      <c r="GA105" s="273"/>
      <c r="GB105" s="273"/>
      <c r="GC105" s="273"/>
      <c r="GD105" s="273"/>
      <c r="GE105" s="273"/>
      <c r="GF105" s="273"/>
      <c r="GG105" s="273"/>
      <c r="GH105" s="273"/>
      <c r="GI105" s="273"/>
      <c r="GJ105" s="273"/>
    </row>
    <row r="106" spans="1:192">
      <c r="C106" s="2" t="s">
        <v>373</v>
      </c>
      <c r="D106" s="2" t="s">
        <v>900</v>
      </c>
      <c r="AD106" s="1117"/>
      <c r="AE106" s="1118" t="s">
        <v>3956</v>
      </c>
      <c r="AF106" s="2" t="s">
        <v>3957</v>
      </c>
      <c r="AG106" s="2">
        <v>0.4</v>
      </c>
      <c r="AH106" s="2">
        <f t="shared" si="17"/>
        <v>2.4429999999999996</v>
      </c>
      <c r="AI106" s="2">
        <f t="shared" si="17"/>
        <v>0.317</v>
      </c>
      <c r="AJ106" s="2">
        <f t="shared" si="17"/>
        <v>10.574999999999999</v>
      </c>
      <c r="AK106" s="2">
        <f t="shared" si="17"/>
        <v>0.22100000000000003</v>
      </c>
      <c r="AL106" s="2">
        <f t="shared" si="17"/>
        <v>0.95</v>
      </c>
      <c r="AM106" s="2">
        <f t="shared" si="17"/>
        <v>0.46</v>
      </c>
      <c r="AX106" s="2">
        <v>20</v>
      </c>
      <c r="AY106" s="2">
        <f t="shared" ref="AY106:BM106" si="19">((($AX$106-$AX$105)*(AY107-AY105))/($AX$107-$AX$105))+AY105</f>
        <v>77.25</v>
      </c>
      <c r="AZ106" s="2">
        <f t="shared" si="19"/>
        <v>7.4500000000000011E-2</v>
      </c>
      <c r="BA106" s="2">
        <f t="shared" si="19"/>
        <v>89.05</v>
      </c>
      <c r="BB106" s="2">
        <f t="shared" si="19"/>
        <v>39.450000000000003</v>
      </c>
      <c r="BC106" s="2">
        <f t="shared" si="19"/>
        <v>0.04</v>
      </c>
      <c r="BD106" s="2">
        <f t="shared" si="19"/>
        <v>44.9</v>
      </c>
      <c r="BE106" s="2">
        <f t="shared" si="19"/>
        <v>25.65</v>
      </c>
      <c r="BF106" s="2">
        <f t="shared" si="19"/>
        <v>2.8500000000000001E-2</v>
      </c>
      <c r="BG106" s="2">
        <f t="shared" si="19"/>
        <v>29.95</v>
      </c>
      <c r="BH106" s="2">
        <f t="shared" si="19"/>
        <v>7.25</v>
      </c>
      <c r="BI106" s="2">
        <f t="shared" si="19"/>
        <v>5.4999999999999997E-3</v>
      </c>
      <c r="BJ106" s="2">
        <f t="shared" si="19"/>
        <v>10.149999999999999</v>
      </c>
      <c r="BK106" s="2">
        <f t="shared" si="19"/>
        <v>2.0499999999999998</v>
      </c>
      <c r="BL106" s="2">
        <f t="shared" si="19"/>
        <v>5.4999999999999997E-3</v>
      </c>
      <c r="BM106" s="2">
        <f t="shared" si="19"/>
        <v>3.05</v>
      </c>
      <c r="BO106" t="s">
        <v>292</v>
      </c>
      <c r="BP106">
        <f>_xlfn.IFNA(INDEX(BP$85:BP$105,MATCH($BO$106,$BO$85:$BO$105,0)),0)</f>
        <v>736</v>
      </c>
      <c r="BQ106">
        <f>_xlfn.IFNA(INDEX(BQ$85:BQ$105,MATCH($BO$106,$BO$85:$BO$105,0)),0)</f>
        <v>681</v>
      </c>
      <c r="BR106">
        <f>_xlfn.IFNA(INDEX(BR$85:BR$105,MATCH($BO$106,$BO$85:$BO$105,0)),0)</f>
        <v>0</v>
      </c>
      <c r="CG106" s="99" t="s">
        <v>281</v>
      </c>
      <c r="CH106" s="1143">
        <f>35%/(53%+35%+4%)</f>
        <v>0.38043478260869562</v>
      </c>
      <c r="DJ106" s="2906"/>
      <c r="DK106" s="1478"/>
      <c r="DL106" s="1478"/>
      <c r="DM106" s="1478"/>
      <c r="DN106" s="273"/>
      <c r="DO106" s="273"/>
      <c r="DP106" s="273"/>
      <c r="DQ106" s="273"/>
      <c r="DR106" s="273"/>
      <c r="DS106" s="273"/>
      <c r="DT106" s="273"/>
      <c r="FS106" s="273"/>
      <c r="FT106" s="273"/>
      <c r="FU106" s="273"/>
      <c r="FV106" s="273"/>
      <c r="FW106" s="273"/>
      <c r="FX106" s="273"/>
      <c r="FY106" s="273"/>
      <c r="FZ106" s="273"/>
      <c r="GA106" s="273"/>
      <c r="GB106" s="273"/>
      <c r="GC106" s="273"/>
      <c r="GD106" s="273"/>
      <c r="GE106" s="273"/>
      <c r="GF106" s="273"/>
      <c r="GG106" s="273"/>
      <c r="GH106" s="273"/>
      <c r="GI106" s="273"/>
      <c r="GJ106" s="273"/>
    </row>
    <row r="107" spans="1:192" ht="29">
      <c r="C107" s="2" t="s">
        <v>411</v>
      </c>
      <c r="D107" s="2" t="s">
        <v>901</v>
      </c>
      <c r="AD107" s="1117"/>
      <c r="AE107" s="1118" t="s">
        <v>3927</v>
      </c>
      <c r="AF107" s="2" t="s">
        <v>3958</v>
      </c>
      <c r="AG107" s="2">
        <v>0.4</v>
      </c>
      <c r="AH107" s="2">
        <v>-3.7930000000000001</v>
      </c>
      <c r="AI107" s="2">
        <v>2.2170000000000001</v>
      </c>
      <c r="AJ107" s="2">
        <v>11.6</v>
      </c>
      <c r="AK107" s="2">
        <v>0.19600000000000001</v>
      </c>
      <c r="AL107" s="2">
        <v>1</v>
      </c>
      <c r="AM107" s="2">
        <v>0.86</v>
      </c>
      <c r="AX107" s="618">
        <v>21</v>
      </c>
      <c r="AY107" s="618">
        <v>79.3</v>
      </c>
      <c r="AZ107" s="618">
        <v>0.08</v>
      </c>
      <c r="BA107" s="618">
        <v>92.1</v>
      </c>
      <c r="BB107" s="618">
        <v>41.5</v>
      </c>
      <c r="BC107" s="618">
        <v>4.5999999999999999E-2</v>
      </c>
      <c r="BD107" s="618">
        <v>47.9</v>
      </c>
      <c r="BE107" s="618">
        <v>27.7</v>
      </c>
      <c r="BF107" s="618">
        <v>3.4000000000000002E-2</v>
      </c>
      <c r="BG107" s="618">
        <v>33</v>
      </c>
      <c r="BH107" s="618">
        <v>9.3000000000000007</v>
      </c>
      <c r="BI107" s="618">
        <v>1.0999999999999999E-2</v>
      </c>
      <c r="BJ107" s="618">
        <v>13.2</v>
      </c>
      <c r="BK107" s="618">
        <v>4.0999999999999996</v>
      </c>
      <c r="BL107" s="618">
        <v>1.0999999999999999E-2</v>
      </c>
      <c r="BM107" s="618">
        <v>6.1</v>
      </c>
      <c r="CG107" s="99" t="s">
        <v>282</v>
      </c>
      <c r="CH107" s="1143">
        <f>4%/(53%+35%+4%)</f>
        <v>4.3478260869565216E-2</v>
      </c>
      <c r="DJ107" s="1479" t="s">
        <v>4762</v>
      </c>
      <c r="DK107" s="1480" t="s">
        <v>4763</v>
      </c>
      <c r="DL107" s="1481" t="s">
        <v>3074</v>
      </c>
      <c r="DM107" s="1479" t="s">
        <v>4764</v>
      </c>
      <c r="DN107" s="273"/>
      <c r="DO107" s="273"/>
      <c r="DP107" s="273"/>
      <c r="DQ107" s="273"/>
      <c r="DR107" s="273"/>
      <c r="DS107" s="273"/>
      <c r="DT107" s="273"/>
      <c r="FS107" s="273"/>
      <c r="FT107" s="273"/>
      <c r="FU107" s="273"/>
      <c r="FV107" s="273"/>
      <c r="FW107" s="273"/>
      <c r="FX107" s="273"/>
      <c r="FY107" s="273"/>
      <c r="FZ107" s="273"/>
      <c r="GA107" s="273"/>
      <c r="GB107" s="273"/>
      <c r="GC107" s="273"/>
      <c r="GD107" s="273"/>
      <c r="GE107" s="273"/>
      <c r="GF107" s="273"/>
      <c r="GG107" s="273"/>
      <c r="GH107" s="273"/>
      <c r="GI107" s="273"/>
      <c r="GJ107" s="273"/>
    </row>
    <row r="108" spans="1:192">
      <c r="C108" s="2" t="s">
        <v>372</v>
      </c>
      <c r="D108" s="2" t="s">
        <v>901</v>
      </c>
      <c r="E108" s="2096" t="s">
        <v>5715</v>
      </c>
      <c r="F108" s="114" t="s">
        <v>5563</v>
      </c>
      <c r="G108" s="114" t="s">
        <v>5666</v>
      </c>
      <c r="H108" s="114" t="s">
        <v>5667</v>
      </c>
      <c r="I108" s="1642" t="s">
        <v>5681</v>
      </c>
      <c r="J108" s="114" t="s">
        <v>5668</v>
      </c>
      <c r="K108" s="114" t="s">
        <v>5669</v>
      </c>
      <c r="AD108" s="1117"/>
      <c r="AE108" s="1118" t="s">
        <v>3927</v>
      </c>
      <c r="AF108" s="2" t="s">
        <v>3959</v>
      </c>
      <c r="AG108" s="2">
        <v>0.4</v>
      </c>
      <c r="AH108" s="2">
        <v>-3.7930000000000001</v>
      </c>
      <c r="AI108" s="2">
        <v>2.2170000000000001</v>
      </c>
      <c r="AJ108" s="2">
        <v>11.6</v>
      </c>
      <c r="AK108" s="2">
        <v>0.19600000000000001</v>
      </c>
      <c r="AL108" s="2">
        <v>1</v>
      </c>
      <c r="AM108" s="2">
        <v>0.86</v>
      </c>
      <c r="AX108" s="2">
        <v>22</v>
      </c>
      <c r="AY108" s="2">
        <f t="shared" ref="AY108:BM110" si="20">((($AX108-$AX$107)*(AY$111-AY$107))/($AX$111-$AX$107))+AY$107</f>
        <v>81.599999999999994</v>
      </c>
      <c r="AZ108" s="2">
        <f t="shared" si="20"/>
        <v>0.08</v>
      </c>
      <c r="BA108" s="2">
        <f t="shared" si="20"/>
        <v>94.474999999999994</v>
      </c>
      <c r="BB108" s="2">
        <f t="shared" si="20"/>
        <v>43.8</v>
      </c>
      <c r="BC108" s="2">
        <f t="shared" si="20"/>
        <v>4.5999999999999999E-2</v>
      </c>
      <c r="BD108" s="2">
        <f t="shared" si="20"/>
        <v>50.274999999999999</v>
      </c>
      <c r="BE108" s="2">
        <f t="shared" si="20"/>
        <v>30</v>
      </c>
      <c r="BF108" s="2">
        <f t="shared" si="20"/>
        <v>3.4000000000000002E-2</v>
      </c>
      <c r="BG108" s="2">
        <f t="shared" si="20"/>
        <v>35.375</v>
      </c>
      <c r="BH108" s="2">
        <f t="shared" si="20"/>
        <v>11.600000000000001</v>
      </c>
      <c r="BI108" s="2">
        <f t="shared" si="20"/>
        <v>1.0999999999999999E-2</v>
      </c>
      <c r="BJ108" s="2">
        <f t="shared" si="20"/>
        <v>15.574999999999999</v>
      </c>
      <c r="BK108" s="2">
        <f t="shared" si="20"/>
        <v>6.4</v>
      </c>
      <c r="BL108" s="2">
        <f t="shared" si="20"/>
        <v>1.0999999999999999E-2</v>
      </c>
      <c r="BM108" s="2">
        <f t="shared" si="20"/>
        <v>8.4749999999999996</v>
      </c>
      <c r="CG108" s="99" t="s">
        <v>4051</v>
      </c>
      <c r="CH108" s="1142">
        <v>0.11</v>
      </c>
      <c r="DJ108" s="1479" t="s">
        <v>4765</v>
      </c>
      <c r="DK108" s="1482" t="s">
        <v>4766</v>
      </c>
      <c r="DL108" s="1481" t="s">
        <v>288</v>
      </c>
      <c r="DM108" s="1479" t="s">
        <v>4764</v>
      </c>
      <c r="DN108" s="273"/>
      <c r="DO108" s="273"/>
      <c r="DP108" s="273"/>
      <c r="DQ108" s="273"/>
      <c r="DR108" s="273"/>
      <c r="DS108" s="273"/>
      <c r="DT108" s="273"/>
      <c r="FS108" s="273"/>
      <c r="FT108" s="273"/>
      <c r="FU108" s="273"/>
      <c r="FV108" s="273"/>
      <c r="FW108" s="273"/>
      <c r="FX108" s="273"/>
      <c r="FY108" s="273"/>
      <c r="FZ108" s="273"/>
      <c r="GA108" s="273"/>
      <c r="GB108" s="273"/>
      <c r="GC108" s="273"/>
      <c r="GD108" s="273"/>
      <c r="GE108" s="273"/>
      <c r="GF108" s="273"/>
      <c r="GG108" s="273"/>
      <c r="GH108" s="273"/>
      <c r="GI108" s="273"/>
      <c r="GJ108" s="273"/>
    </row>
    <row r="109" spans="1:192">
      <c r="C109" s="2" t="s">
        <v>4935</v>
      </c>
      <c r="D109" s="2" t="s">
        <v>901</v>
      </c>
      <c r="F109" s="2" t="s">
        <v>1345</v>
      </c>
      <c r="G109" s="2"/>
      <c r="H109" s="2"/>
      <c r="J109" s="2"/>
      <c r="K109" s="2"/>
      <c r="AD109" s="1117"/>
      <c r="AE109" s="1118" t="s">
        <v>3927</v>
      </c>
      <c r="AF109" s="2" t="s">
        <v>3960</v>
      </c>
      <c r="AG109" s="2">
        <v>0.4</v>
      </c>
      <c r="AH109" s="2">
        <v>-3.7930000000000001</v>
      </c>
      <c r="AI109" s="2">
        <v>2.2170000000000001</v>
      </c>
      <c r="AJ109" s="2">
        <v>11.6</v>
      </c>
      <c r="AK109" s="2">
        <v>0.19600000000000001</v>
      </c>
      <c r="AL109" s="2">
        <v>1</v>
      </c>
      <c r="AM109" s="2">
        <v>0.86</v>
      </c>
      <c r="AX109" s="2">
        <v>23</v>
      </c>
      <c r="AY109" s="2">
        <f t="shared" si="20"/>
        <v>83.9</v>
      </c>
      <c r="AZ109" s="2">
        <f t="shared" si="20"/>
        <v>0.08</v>
      </c>
      <c r="BA109" s="2">
        <f t="shared" si="20"/>
        <v>96.85</v>
      </c>
      <c r="BB109" s="2">
        <f t="shared" si="20"/>
        <v>46.1</v>
      </c>
      <c r="BC109" s="2">
        <f t="shared" si="20"/>
        <v>4.5999999999999999E-2</v>
      </c>
      <c r="BD109" s="2">
        <f t="shared" si="20"/>
        <v>52.65</v>
      </c>
      <c r="BE109" s="2">
        <f t="shared" si="20"/>
        <v>32.299999999999997</v>
      </c>
      <c r="BF109" s="2">
        <f t="shared" si="20"/>
        <v>3.4000000000000002E-2</v>
      </c>
      <c r="BG109" s="2">
        <f t="shared" si="20"/>
        <v>37.75</v>
      </c>
      <c r="BH109" s="2">
        <f t="shared" si="20"/>
        <v>13.9</v>
      </c>
      <c r="BI109" s="2">
        <f t="shared" si="20"/>
        <v>1.0999999999999999E-2</v>
      </c>
      <c r="BJ109" s="2">
        <f t="shared" si="20"/>
        <v>17.95</v>
      </c>
      <c r="BK109" s="2">
        <f t="shared" si="20"/>
        <v>8.6999999999999993</v>
      </c>
      <c r="BL109" s="2">
        <f t="shared" si="20"/>
        <v>1.0999999999999999E-2</v>
      </c>
      <c r="BM109" s="2">
        <f t="shared" si="20"/>
        <v>10.85</v>
      </c>
      <c r="CG109" s="99" t="s">
        <v>4050</v>
      </c>
      <c r="CH109" s="1142">
        <f>100%-CH108</f>
        <v>0.89</v>
      </c>
      <c r="DJ109" s="1479" t="s">
        <v>4767</v>
      </c>
      <c r="DK109" s="1482">
        <v>0.93</v>
      </c>
      <c r="DL109" s="1481" t="s">
        <v>288</v>
      </c>
      <c r="DM109" s="1479" t="s">
        <v>4764</v>
      </c>
      <c r="DN109" s="273"/>
      <c r="DO109" s="273"/>
      <c r="DP109" s="273"/>
      <c r="DQ109" s="273"/>
      <c r="DR109" s="273"/>
      <c r="DS109" s="273"/>
      <c r="DT109" s="273"/>
      <c r="FS109" s="273"/>
      <c r="FT109" s="273"/>
      <c r="FU109" s="273"/>
      <c r="FV109" s="273"/>
      <c r="FW109" s="273"/>
      <c r="FX109" s="273"/>
      <c r="FY109" s="273"/>
      <c r="FZ109" s="273"/>
      <c r="GA109" s="273"/>
      <c r="GB109" s="273"/>
      <c r="GC109" s="273"/>
      <c r="GD109" s="273"/>
      <c r="GE109" s="273"/>
      <c r="GF109" s="273"/>
      <c r="GG109" s="273"/>
      <c r="GH109" s="273"/>
      <c r="GI109" s="273"/>
      <c r="GJ109" s="273"/>
    </row>
    <row r="110" spans="1:192" ht="31">
      <c r="C110" s="2" t="s">
        <v>376</v>
      </c>
      <c r="D110" s="2" t="s">
        <v>900</v>
      </c>
      <c r="F110" s="2082" t="s">
        <v>605</v>
      </c>
      <c r="G110" s="674">
        <v>50</v>
      </c>
      <c r="H110" s="1440">
        <v>50</v>
      </c>
      <c r="I110" s="1440">
        <v>50</v>
      </c>
      <c r="J110" s="1440">
        <v>100</v>
      </c>
      <c r="K110" s="674">
        <v>100000</v>
      </c>
      <c r="AD110" s="1117"/>
      <c r="AE110" s="1118" t="s">
        <v>3927</v>
      </c>
      <c r="AF110" s="2" t="s">
        <v>3961</v>
      </c>
      <c r="AG110" s="2">
        <v>0.4</v>
      </c>
      <c r="AH110" s="2">
        <v>-3.7930000000000001</v>
      </c>
      <c r="AI110" s="2">
        <v>2.2170000000000001</v>
      </c>
      <c r="AJ110" s="2">
        <v>11.6</v>
      </c>
      <c r="AK110" s="2">
        <v>0.19600000000000001</v>
      </c>
      <c r="AL110" s="2">
        <v>1</v>
      </c>
      <c r="AM110" s="2">
        <v>0.86</v>
      </c>
      <c r="AX110" s="2">
        <v>24</v>
      </c>
      <c r="AY110" s="2">
        <f t="shared" si="20"/>
        <v>86.2</v>
      </c>
      <c r="AZ110" s="2">
        <f t="shared" si="20"/>
        <v>0.08</v>
      </c>
      <c r="BA110" s="2">
        <f t="shared" si="20"/>
        <v>99.224999999999994</v>
      </c>
      <c r="BB110" s="2">
        <f t="shared" si="20"/>
        <v>48.400000000000006</v>
      </c>
      <c r="BC110" s="2">
        <f t="shared" si="20"/>
        <v>4.5999999999999999E-2</v>
      </c>
      <c r="BD110" s="2">
        <f t="shared" si="20"/>
        <v>55.024999999999999</v>
      </c>
      <c r="BE110" s="2">
        <f t="shared" si="20"/>
        <v>34.6</v>
      </c>
      <c r="BF110" s="2">
        <f t="shared" si="20"/>
        <v>3.4000000000000002E-2</v>
      </c>
      <c r="BG110" s="2">
        <f t="shared" si="20"/>
        <v>40.125</v>
      </c>
      <c r="BH110" s="2">
        <f t="shared" si="20"/>
        <v>16.2</v>
      </c>
      <c r="BI110" s="2">
        <f t="shared" si="20"/>
        <v>1.0999999999999999E-2</v>
      </c>
      <c r="BJ110" s="2">
        <f t="shared" si="20"/>
        <v>20.324999999999999</v>
      </c>
      <c r="BK110" s="2">
        <f t="shared" si="20"/>
        <v>11</v>
      </c>
      <c r="BL110" s="2">
        <f t="shared" si="20"/>
        <v>1.0999999999999999E-2</v>
      </c>
      <c r="BM110" s="2">
        <f t="shared" si="20"/>
        <v>13.225</v>
      </c>
      <c r="BO110" s="2723" t="s">
        <v>21</v>
      </c>
      <c r="BP110" s="2724" t="s">
        <v>4421</v>
      </c>
      <c r="BQ110" s="2725"/>
      <c r="BR110" s="2725"/>
      <c r="BS110" s="2726"/>
      <c r="BU110" s="1389" t="s">
        <v>4425</v>
      </c>
      <c r="BW110" s="2580" t="s">
        <v>4427</v>
      </c>
      <c r="BX110" s="2580"/>
      <c r="BZ110" s="2580" t="s">
        <v>232</v>
      </c>
      <c r="CA110" s="2580"/>
      <c r="CB110" s="2580"/>
      <c r="CC110" s="2580"/>
      <c r="DJ110" s="1479" t="s">
        <v>4768</v>
      </c>
      <c r="DK110" s="1482" t="s">
        <v>4769</v>
      </c>
      <c r="DL110" s="1481" t="s">
        <v>288</v>
      </c>
      <c r="DM110" s="1479" t="s">
        <v>4764</v>
      </c>
      <c r="DN110" s="273"/>
      <c r="DO110" s="273"/>
      <c r="DP110" s="273"/>
      <c r="DQ110" s="273"/>
      <c r="DR110" s="273"/>
      <c r="DS110" s="273"/>
      <c r="DT110" s="273"/>
      <c r="FS110" s="273"/>
      <c r="FT110" s="273"/>
      <c r="FU110" s="273"/>
      <c r="FV110" s="273"/>
      <c r="FW110" s="273"/>
      <c r="FX110" s="273"/>
      <c r="FY110" s="273"/>
      <c r="FZ110" s="273"/>
      <c r="GA110" s="273"/>
      <c r="GB110" s="273"/>
      <c r="GC110" s="273"/>
      <c r="GD110" s="273"/>
      <c r="GE110" s="273"/>
      <c r="GF110" s="273"/>
      <c r="GG110" s="273"/>
      <c r="GH110" s="273"/>
      <c r="GI110" s="273"/>
      <c r="GJ110" s="273"/>
    </row>
    <row r="111" spans="1:192" ht="43.5">
      <c r="C111" s="2" t="s">
        <v>4939</v>
      </c>
      <c r="D111" s="2" t="s">
        <v>900</v>
      </c>
      <c r="F111" s="2" t="s">
        <v>567</v>
      </c>
      <c r="G111" s="674">
        <v>50</v>
      </c>
      <c r="H111" s="1440">
        <v>50</v>
      </c>
      <c r="I111" s="1440">
        <v>50</v>
      </c>
      <c r="J111" s="1440">
        <v>100</v>
      </c>
      <c r="K111" s="674">
        <v>100000</v>
      </c>
      <c r="AD111" s="1117"/>
      <c r="AE111" s="1118" t="s">
        <v>3962</v>
      </c>
      <c r="AF111" s="2" t="s">
        <v>3963</v>
      </c>
      <c r="AG111" s="2">
        <v>0.3</v>
      </c>
      <c r="AH111" s="2">
        <v>2.923</v>
      </c>
      <c r="AI111" s="2">
        <v>0.13100000000000001</v>
      </c>
      <c r="AJ111" s="2">
        <v>11.07</v>
      </c>
      <c r="AK111" s="2">
        <v>0.16500000000000001</v>
      </c>
      <c r="AL111" s="2">
        <v>0.91</v>
      </c>
      <c r="AM111" s="2">
        <v>0.69</v>
      </c>
      <c r="AX111" s="618">
        <v>25</v>
      </c>
      <c r="AY111" s="618">
        <v>88.5</v>
      </c>
      <c r="AZ111" s="618">
        <v>0.08</v>
      </c>
      <c r="BA111" s="618">
        <v>101.6</v>
      </c>
      <c r="BB111" s="618">
        <v>50.7</v>
      </c>
      <c r="BC111" s="618">
        <v>4.5999999999999999E-2</v>
      </c>
      <c r="BD111" s="618">
        <v>57.4</v>
      </c>
      <c r="BE111" s="618">
        <v>36.9</v>
      </c>
      <c r="BF111" s="618">
        <v>3.4000000000000002E-2</v>
      </c>
      <c r="BG111" s="618">
        <v>42.5</v>
      </c>
      <c r="BH111" s="618">
        <v>18.5</v>
      </c>
      <c r="BI111" s="618">
        <v>1.0999999999999999E-2</v>
      </c>
      <c r="BJ111" s="618">
        <v>22.7</v>
      </c>
      <c r="BK111" s="618">
        <v>13.3</v>
      </c>
      <c r="BL111" s="618">
        <v>1.0999999999999999E-2</v>
      </c>
      <c r="BM111" s="618">
        <v>15.6</v>
      </c>
      <c r="BO111" s="2723"/>
      <c r="BP111" s="2727" t="s">
        <v>1334</v>
      </c>
      <c r="BQ111" s="2727" t="s">
        <v>4422</v>
      </c>
      <c r="BR111" s="2727" t="s">
        <v>4423</v>
      </c>
      <c r="BS111" s="2727" t="s">
        <v>4424</v>
      </c>
      <c r="BU111" s="2587" t="s">
        <v>4426</v>
      </c>
      <c r="BW111" s="2587" t="s">
        <v>33</v>
      </c>
      <c r="BX111" s="2609" t="s">
        <v>178</v>
      </c>
      <c r="BZ111" s="2727" t="s">
        <v>4165</v>
      </c>
      <c r="CA111" s="2727" t="s">
        <v>4164</v>
      </c>
      <c r="CB111" s="2727" t="s">
        <v>4163</v>
      </c>
      <c r="CC111" s="2727" t="s">
        <v>4162</v>
      </c>
      <c r="DJ111" s="1479" t="s">
        <v>4770</v>
      </c>
      <c r="DK111" s="1482" t="s">
        <v>4771</v>
      </c>
      <c r="DL111" s="1481" t="s">
        <v>288</v>
      </c>
      <c r="DM111" s="1479" t="s">
        <v>4764</v>
      </c>
      <c r="DN111" s="273"/>
      <c r="DO111" s="273"/>
      <c r="DP111" s="273"/>
      <c r="DQ111" s="273"/>
      <c r="DR111" s="273"/>
      <c r="DS111" s="273"/>
      <c r="DT111" s="273"/>
      <c r="FS111" s="273"/>
      <c r="FT111" s="273"/>
      <c r="FU111" s="273"/>
      <c r="FV111" s="273"/>
      <c r="FW111" s="273"/>
      <c r="FX111" s="273"/>
      <c r="FY111" s="273"/>
      <c r="FZ111" s="273"/>
      <c r="GA111" s="273"/>
      <c r="GB111" s="273"/>
      <c r="GC111" s="273"/>
      <c r="GD111" s="273"/>
      <c r="GE111" s="273"/>
      <c r="GF111" s="273"/>
      <c r="GG111" s="273"/>
      <c r="GH111" s="273"/>
      <c r="GI111" s="273"/>
      <c r="GJ111" s="273"/>
    </row>
    <row r="112" spans="1:192" ht="60">
      <c r="C112" s="2" t="s">
        <v>4941</v>
      </c>
      <c r="D112" s="2" t="s">
        <v>900</v>
      </c>
      <c r="F112" s="2" t="s">
        <v>5670</v>
      </c>
      <c r="G112" s="674">
        <v>50</v>
      </c>
      <c r="H112" s="1440">
        <v>50</v>
      </c>
      <c r="I112" s="1440">
        <v>50</v>
      </c>
      <c r="J112" s="1440">
        <v>100</v>
      </c>
      <c r="K112" s="674">
        <v>100000</v>
      </c>
      <c r="AD112" s="1117"/>
      <c r="AE112" s="2" t="s">
        <v>3962</v>
      </c>
      <c r="AF112" s="2" t="s">
        <v>3964</v>
      </c>
      <c r="AG112" s="2">
        <v>0.3</v>
      </c>
      <c r="AH112" s="2">
        <v>2.923</v>
      </c>
      <c r="AI112" s="2">
        <v>0.13100000000000001</v>
      </c>
      <c r="AJ112" s="2">
        <v>11.07</v>
      </c>
      <c r="AK112" s="2">
        <v>0.16500000000000001</v>
      </c>
      <c r="AL112" s="2">
        <v>0.91</v>
      </c>
      <c r="AM112" s="2">
        <v>0.69</v>
      </c>
      <c r="AX112" s="2">
        <v>26</v>
      </c>
      <c r="AY112" s="2">
        <f t="shared" ref="AY112:BM112" si="21">((($AX$112-$AX$111)*(AY113-AY111))/($AX$113-$AX$111))+AY111</f>
        <v>89.65</v>
      </c>
      <c r="AZ112" s="2">
        <f t="shared" si="21"/>
        <v>0.08</v>
      </c>
      <c r="BA112" s="2">
        <f t="shared" si="21"/>
        <v>103.35</v>
      </c>
      <c r="BB112" s="2">
        <f t="shared" si="21"/>
        <v>51.85</v>
      </c>
      <c r="BC112" s="2">
        <f t="shared" si="21"/>
        <v>4.5999999999999999E-2</v>
      </c>
      <c r="BD112" s="2">
        <f t="shared" si="21"/>
        <v>59.2</v>
      </c>
      <c r="BE112" s="2">
        <f t="shared" si="21"/>
        <v>38.049999999999997</v>
      </c>
      <c r="BF112" s="2">
        <f t="shared" si="21"/>
        <v>3.4000000000000002E-2</v>
      </c>
      <c r="BG112" s="2">
        <f t="shared" si="21"/>
        <v>44.3</v>
      </c>
      <c r="BH112" s="2">
        <f t="shared" si="21"/>
        <v>19.649999999999999</v>
      </c>
      <c r="BI112" s="2">
        <f t="shared" si="21"/>
        <v>1.0999999999999999E-2</v>
      </c>
      <c r="BJ112" s="2">
        <f t="shared" si="21"/>
        <v>24.5</v>
      </c>
      <c r="BK112" s="2">
        <f t="shared" si="21"/>
        <v>14.45</v>
      </c>
      <c r="BL112" s="2">
        <f t="shared" si="21"/>
        <v>1.0999999999999999E-2</v>
      </c>
      <c r="BM112" s="2">
        <f t="shared" si="21"/>
        <v>17.350000000000001</v>
      </c>
      <c r="BO112" s="2723"/>
      <c r="BP112" s="2727"/>
      <c r="BQ112" s="2727"/>
      <c r="BR112" s="2727"/>
      <c r="BS112" s="2727"/>
      <c r="BU112" s="2588"/>
      <c r="BW112" s="2588"/>
      <c r="BX112" s="2609"/>
      <c r="BZ112" s="2727"/>
      <c r="CA112" s="2727"/>
      <c r="CB112" s="2727"/>
      <c r="CC112" s="2727"/>
      <c r="DJ112" s="1483" t="s">
        <v>4772</v>
      </c>
      <c r="DK112" s="1484" t="s">
        <v>4773</v>
      </c>
      <c r="DL112" s="1485" t="s">
        <v>4774</v>
      </c>
      <c r="DM112" s="1486" t="s">
        <v>4764</v>
      </c>
      <c r="DN112" s="273"/>
      <c r="DO112" s="273"/>
      <c r="DP112" s="273"/>
      <c r="DQ112" s="273"/>
      <c r="DR112" s="273"/>
      <c r="DS112" s="273"/>
      <c r="DT112" s="273"/>
      <c r="FS112" s="273"/>
      <c r="FT112" s="273"/>
      <c r="FU112" s="273"/>
      <c r="FV112" s="273"/>
      <c r="FW112" s="273"/>
      <c r="FX112" s="273"/>
      <c r="FY112" s="273"/>
      <c r="FZ112" s="273"/>
      <c r="GA112" s="273"/>
      <c r="GB112" s="273"/>
      <c r="GC112" s="273"/>
      <c r="GD112" s="273"/>
      <c r="GE112" s="273"/>
      <c r="GF112" s="273"/>
      <c r="GG112" s="273"/>
      <c r="GH112" s="273"/>
      <c r="GI112" s="273"/>
      <c r="GJ112" s="273"/>
    </row>
    <row r="113" spans="1:192">
      <c r="C113" s="2" t="s">
        <v>4943</v>
      </c>
      <c r="D113" s="2" t="s">
        <v>900</v>
      </c>
      <c r="F113" s="2" t="s">
        <v>5671</v>
      </c>
      <c r="G113" s="674">
        <v>150</v>
      </c>
      <c r="H113" s="1440">
        <v>150</v>
      </c>
      <c r="I113" s="1440">
        <v>200</v>
      </c>
      <c r="J113" s="1440">
        <v>100</v>
      </c>
      <c r="K113" s="674">
        <v>200000</v>
      </c>
      <c r="AD113" s="1117"/>
      <c r="AE113" s="1118" t="s">
        <v>3962</v>
      </c>
      <c r="AF113" s="2" t="s">
        <v>3965</v>
      </c>
      <c r="AG113" s="2">
        <v>0.3</v>
      </c>
      <c r="AH113" s="2">
        <v>2.923</v>
      </c>
      <c r="AI113" s="2">
        <v>0.13100000000000001</v>
      </c>
      <c r="AJ113" s="2">
        <v>11.07</v>
      </c>
      <c r="AK113" s="2">
        <v>0.16500000000000001</v>
      </c>
      <c r="AL113" s="2">
        <v>0.91</v>
      </c>
      <c r="AM113" s="2">
        <v>0.69</v>
      </c>
      <c r="AX113" s="618">
        <v>27</v>
      </c>
      <c r="AY113" s="618">
        <v>90.8</v>
      </c>
      <c r="AZ113" s="618">
        <v>0.08</v>
      </c>
      <c r="BA113" s="618">
        <v>105.1</v>
      </c>
      <c r="BB113" s="618">
        <v>53</v>
      </c>
      <c r="BC113" s="618">
        <v>4.5999999999999999E-2</v>
      </c>
      <c r="BD113" s="618">
        <v>61</v>
      </c>
      <c r="BE113" s="618">
        <v>39.200000000000003</v>
      </c>
      <c r="BF113" s="618">
        <v>3.4000000000000002E-2</v>
      </c>
      <c r="BG113" s="618">
        <v>46.1</v>
      </c>
      <c r="BH113" s="618">
        <v>20.8</v>
      </c>
      <c r="BI113" s="618">
        <v>1.0999999999999999E-2</v>
      </c>
      <c r="BJ113" s="618">
        <v>26.3</v>
      </c>
      <c r="BK113" s="618">
        <v>15.6</v>
      </c>
      <c r="BL113" s="618">
        <v>1.0999999999999999E-2</v>
      </c>
      <c r="BM113" s="618">
        <v>19.100000000000001</v>
      </c>
      <c r="BO113" s="2" t="s">
        <v>4209</v>
      </c>
      <c r="BP113" s="1388">
        <v>17.100000000000001</v>
      </c>
      <c r="BQ113" s="1388">
        <v>3.6</v>
      </c>
      <c r="BR113" s="1388">
        <v>20</v>
      </c>
      <c r="BS113" s="1388">
        <v>3.8</v>
      </c>
      <c r="BU113" s="1168">
        <v>250</v>
      </c>
      <c r="BW113" s="1168">
        <v>200</v>
      </c>
      <c r="BX113" s="1168">
        <v>200</v>
      </c>
      <c r="BZ113" s="1167">
        <v>1000</v>
      </c>
      <c r="CA113" s="1167">
        <v>2000</v>
      </c>
      <c r="CB113" s="1167">
        <v>500</v>
      </c>
      <c r="CC113" s="1167">
        <v>700</v>
      </c>
      <c r="DJ113" s="1479" t="s">
        <v>4775</v>
      </c>
      <c r="DK113" s="1487">
        <v>0.8</v>
      </c>
      <c r="DL113" s="1481" t="s">
        <v>288</v>
      </c>
      <c r="DM113" s="1479" t="s">
        <v>4764</v>
      </c>
      <c r="DN113" s="273"/>
      <c r="DO113" s="273"/>
      <c r="DP113" s="273"/>
      <c r="DQ113" s="273"/>
      <c r="DR113" s="273"/>
      <c r="DS113" s="273"/>
      <c r="DT113" s="273"/>
      <c r="FS113" s="273"/>
      <c r="FT113" s="273"/>
      <c r="FU113" s="273"/>
      <c r="FV113" s="273"/>
      <c r="FW113" s="273"/>
      <c r="FX113" s="273"/>
      <c r="FY113" s="273"/>
      <c r="FZ113" s="273"/>
      <c r="GA113" s="273"/>
      <c r="GB113" s="273"/>
      <c r="GC113" s="273"/>
      <c r="GD113" s="273"/>
      <c r="GE113" s="273"/>
      <c r="GF113" s="273"/>
      <c r="GG113" s="273"/>
      <c r="GH113" s="273"/>
      <c r="GI113" s="273"/>
      <c r="GJ113" s="273"/>
    </row>
    <row r="114" spans="1:192">
      <c r="C114" s="2" t="s">
        <v>4944</v>
      </c>
      <c r="D114" s="2" t="s">
        <v>901</v>
      </c>
      <c r="AD114" s="1117"/>
      <c r="AE114" s="2" t="s">
        <v>3966</v>
      </c>
      <c r="AF114" s="2" t="s">
        <v>3967</v>
      </c>
      <c r="AG114" s="2">
        <v>0.3</v>
      </c>
      <c r="AH114" s="2">
        <v>2.38</v>
      </c>
      <c r="AI114" s="2">
        <v>0.33800000000000002</v>
      </c>
      <c r="AJ114" s="2">
        <v>11.07</v>
      </c>
      <c r="AK114" s="2">
        <v>0.16500000000000001</v>
      </c>
      <c r="AL114" s="2">
        <v>0.91</v>
      </c>
      <c r="AM114" s="2">
        <v>0.37</v>
      </c>
      <c r="BO114" s="2" t="s">
        <v>4206</v>
      </c>
      <c r="BP114" s="1388">
        <v>21.1</v>
      </c>
      <c r="BQ114" s="1388">
        <v>4.0999999999999996</v>
      </c>
      <c r="BR114" s="1388">
        <v>25</v>
      </c>
      <c r="BS114" s="1388">
        <v>4.5</v>
      </c>
      <c r="BU114" s="1168">
        <v>250</v>
      </c>
      <c r="BW114" s="1168">
        <v>200</v>
      </c>
      <c r="BX114" s="1168">
        <v>200</v>
      </c>
      <c r="BZ114" s="1167">
        <v>1000</v>
      </c>
      <c r="CA114" s="1167">
        <v>2000</v>
      </c>
      <c r="CB114" s="1167">
        <v>500</v>
      </c>
      <c r="CC114" s="1167">
        <v>700</v>
      </c>
      <c r="DJ114" s="1479" t="s">
        <v>4776</v>
      </c>
      <c r="DK114" s="1482">
        <v>0.746</v>
      </c>
      <c r="DL114" s="1481" t="s">
        <v>3139</v>
      </c>
      <c r="DM114" s="1479" t="s">
        <v>4764</v>
      </c>
      <c r="DN114" s="273"/>
      <c r="DO114" s="273"/>
      <c r="DP114" s="273"/>
      <c r="DQ114" s="273"/>
      <c r="DR114" s="273"/>
      <c r="DS114" s="273"/>
      <c r="DT114" s="273"/>
      <c r="FS114" s="273"/>
      <c r="FT114" s="273"/>
      <c r="FU114" s="273"/>
      <c r="FV114" s="273"/>
      <c r="FW114" s="273"/>
      <c r="FX114" s="273"/>
      <c r="FY114" s="273"/>
      <c r="FZ114" s="273"/>
      <c r="GA114" s="273"/>
      <c r="GB114" s="273"/>
      <c r="GC114" s="273"/>
      <c r="GD114" s="273"/>
      <c r="GE114" s="273"/>
      <c r="GF114" s="273"/>
      <c r="GG114" s="273"/>
      <c r="GH114" s="273"/>
      <c r="GI114" s="273"/>
      <c r="GJ114" s="273"/>
    </row>
    <row r="115" spans="1:192">
      <c r="C115" s="2" t="s">
        <v>4945</v>
      </c>
      <c r="D115" s="2" t="s">
        <v>901</v>
      </c>
      <c r="F115" s="114" t="s">
        <v>5563</v>
      </c>
      <c r="G115" s="114" t="s">
        <v>216</v>
      </c>
      <c r="H115" s="114" t="s">
        <v>5576</v>
      </c>
      <c r="I115" s="114" t="s">
        <v>5672</v>
      </c>
      <c r="AE115" s="1118" t="s">
        <v>3927</v>
      </c>
      <c r="AF115" s="2" t="s">
        <v>3968</v>
      </c>
      <c r="AG115" s="2">
        <v>0.3</v>
      </c>
      <c r="AH115" s="2">
        <v>-3.7930000000000001</v>
      </c>
      <c r="AI115" s="2">
        <v>2.2170000000000001</v>
      </c>
      <c r="AJ115" s="2">
        <v>11.6</v>
      </c>
      <c r="AK115" s="2">
        <v>0.19600000000000001</v>
      </c>
      <c r="AL115" s="2">
        <v>1</v>
      </c>
      <c r="AM115" s="2">
        <v>0.86</v>
      </c>
      <c r="BO115" s="2" t="s">
        <v>4134</v>
      </c>
      <c r="BP115" s="1388">
        <v>16.100000000000001</v>
      </c>
      <c r="BQ115" s="1388">
        <v>3.1</v>
      </c>
      <c r="BR115" s="1388">
        <v>17.5</v>
      </c>
      <c r="BS115" s="1388">
        <f>BQ115</f>
        <v>3.1</v>
      </c>
      <c r="BU115" s="1168">
        <v>250</v>
      </c>
      <c r="BW115" s="1168">
        <v>200</v>
      </c>
      <c r="BX115" s="1168">
        <v>200</v>
      </c>
      <c r="BZ115" s="1167">
        <v>1000</v>
      </c>
      <c r="CA115" s="1167">
        <v>2000</v>
      </c>
      <c r="CB115" s="1167">
        <v>500</v>
      </c>
      <c r="CC115" s="1167">
        <v>700</v>
      </c>
      <c r="DJ115" s="273"/>
      <c r="DK115" s="273"/>
      <c r="DL115" s="273"/>
      <c r="DM115" s="273"/>
      <c r="DN115" s="273"/>
      <c r="DO115" s="273"/>
      <c r="DP115" s="273"/>
      <c r="DQ115" s="273"/>
      <c r="DR115" s="273"/>
      <c r="DS115" s="273"/>
      <c r="DT115" s="273"/>
      <c r="FS115" s="273"/>
      <c r="FT115" s="273"/>
      <c r="FU115" s="273"/>
      <c r="FV115" s="273"/>
      <c r="FW115" s="273"/>
      <c r="FX115" s="273"/>
      <c r="FY115" s="273"/>
      <c r="FZ115" s="273"/>
      <c r="GA115" s="273"/>
      <c r="GB115" s="273"/>
      <c r="GC115" s="273"/>
      <c r="GD115" s="273"/>
      <c r="GE115" s="273"/>
      <c r="GF115" s="273"/>
      <c r="GG115" s="273"/>
      <c r="GH115" s="273"/>
      <c r="GI115" s="273"/>
      <c r="GJ115" s="273"/>
    </row>
    <row r="116" spans="1:192">
      <c r="C116" s="2" t="s">
        <v>4947</v>
      </c>
      <c r="D116" s="2" t="s">
        <v>901</v>
      </c>
      <c r="E116" s="2096"/>
      <c r="F116" t="str">
        <f>IF('Multi-Family Heat Pumps'!F45="","",'Multi-Family Heat Pumps'!F45)</f>
        <v>Select…</v>
      </c>
      <c r="G116">
        <f>IF(AND(F116="Fossil Fuel Decommissioning",K101=TRUE),I113,IF(F116&lt;&gt;"Fossil Fuel Decommissioning",G112,G113))</f>
        <v>50</v>
      </c>
      <c r="H116">
        <f>IF(F116&lt;&gt;"Fossil Fuel Decommissioning",K110,K113)</f>
        <v>100000</v>
      </c>
      <c r="I116" t="str">
        <f>IF('Multi-Family Heat Pumps'!J49="","",'Multi-Family Heat Pumps'!J49)</f>
        <v/>
      </c>
      <c r="AE116" s="1118" t="s">
        <v>3927</v>
      </c>
      <c r="AF116" s="2" t="s">
        <v>3969</v>
      </c>
      <c r="AG116" s="2">
        <v>0.3</v>
      </c>
      <c r="AH116" s="2">
        <v>-3.7930000000000001</v>
      </c>
      <c r="AI116" s="2">
        <v>2.2170000000000001</v>
      </c>
      <c r="AJ116" s="2">
        <v>11.6</v>
      </c>
      <c r="AK116" s="2">
        <v>0.19600000000000001</v>
      </c>
      <c r="AL116" s="2">
        <v>1</v>
      </c>
      <c r="AM116" s="2">
        <v>0.86</v>
      </c>
      <c r="BO116" s="2" t="s">
        <v>4131</v>
      </c>
      <c r="BP116" s="1388">
        <v>20.100000000000001</v>
      </c>
      <c r="BQ116" s="1388">
        <v>3.5</v>
      </c>
      <c r="BR116" s="1388">
        <v>23</v>
      </c>
      <c r="BS116" s="1388">
        <v>3.7</v>
      </c>
      <c r="BU116" s="1168">
        <v>250</v>
      </c>
      <c r="BW116" s="1168">
        <v>200</v>
      </c>
      <c r="BX116" s="1168">
        <v>200</v>
      </c>
      <c r="BZ116" s="1167">
        <v>1000</v>
      </c>
      <c r="CA116" s="1167">
        <v>2000</v>
      </c>
      <c r="CB116" s="1167">
        <v>500</v>
      </c>
      <c r="CC116" s="1167">
        <v>700</v>
      </c>
      <c r="DJ116" s="273"/>
      <c r="DK116" s="273"/>
      <c r="DL116" s="273"/>
      <c r="DM116" s="273"/>
      <c r="DN116" s="273"/>
      <c r="DO116" s="273"/>
      <c r="DP116" s="273"/>
      <c r="DQ116" s="273"/>
      <c r="DR116" s="273"/>
      <c r="DS116" s="273"/>
      <c r="DT116" s="273"/>
      <c r="FS116" s="273"/>
      <c r="FT116" s="273"/>
      <c r="FU116" s="273"/>
      <c r="FV116" s="273"/>
      <c r="FW116" s="273"/>
      <c r="FX116" s="273"/>
      <c r="FY116" s="273"/>
      <c r="FZ116" s="273"/>
      <c r="GA116" s="273"/>
      <c r="GB116" s="273"/>
      <c r="GC116" s="273"/>
      <c r="GD116" s="273"/>
      <c r="GE116" s="273"/>
      <c r="GF116" s="273"/>
      <c r="GG116" s="273"/>
      <c r="GH116" s="273"/>
      <c r="GI116" s="273"/>
      <c r="GJ116" s="273"/>
    </row>
    <row r="117" spans="1:192" ht="29">
      <c r="C117" s="2" t="s">
        <v>4949</v>
      </c>
      <c r="D117" s="2" t="s">
        <v>901</v>
      </c>
      <c r="E117" s="2096"/>
      <c r="AE117" s="1118" t="s">
        <v>3927</v>
      </c>
      <c r="AF117" s="2" t="s">
        <v>3970</v>
      </c>
      <c r="AG117" s="2">
        <v>0.3</v>
      </c>
      <c r="AH117" s="2">
        <v>-3.7930000000000001</v>
      </c>
      <c r="AI117" s="2">
        <v>2.2170000000000001</v>
      </c>
      <c r="AJ117" s="2">
        <v>11.6</v>
      </c>
      <c r="AK117" s="2">
        <v>0.19600000000000001</v>
      </c>
      <c r="AL117" s="2">
        <v>1</v>
      </c>
      <c r="AM117" s="2">
        <v>0.86</v>
      </c>
      <c r="BO117" s="2" t="s">
        <v>4199</v>
      </c>
      <c r="BP117" s="1388">
        <v>16</v>
      </c>
      <c r="BQ117" s="1388">
        <v>3.6</v>
      </c>
      <c r="BR117" s="1388">
        <v>21</v>
      </c>
      <c r="BS117" s="1388">
        <v>4</v>
      </c>
      <c r="BU117" s="1168">
        <v>250</v>
      </c>
      <c r="BW117" s="1168">
        <v>200</v>
      </c>
      <c r="BX117" s="1168">
        <v>200</v>
      </c>
      <c r="BZ117" s="1167">
        <v>1000</v>
      </c>
      <c r="CA117" s="1167">
        <v>2000</v>
      </c>
      <c r="CB117" s="1167">
        <v>500</v>
      </c>
      <c r="CC117" s="1167">
        <v>700</v>
      </c>
      <c r="DJ117" s="1478" t="s">
        <v>4777</v>
      </c>
      <c r="DK117" s="1478"/>
      <c r="DL117" s="1478"/>
      <c r="DM117" s="273"/>
      <c r="DN117" s="273"/>
      <c r="DO117" s="273"/>
      <c r="DP117" s="273"/>
      <c r="DQ117" s="273"/>
      <c r="DR117" s="273"/>
      <c r="DS117" s="273"/>
      <c r="DT117" s="273"/>
      <c r="FS117" s="273"/>
      <c r="FT117" s="273"/>
      <c r="FU117" s="273"/>
      <c r="FV117" s="273"/>
      <c r="FW117" s="273"/>
      <c r="FX117" s="273"/>
      <c r="FY117" s="273"/>
      <c r="FZ117" s="273"/>
      <c r="GA117" s="273"/>
      <c r="GB117" s="273"/>
      <c r="GC117" s="273"/>
      <c r="GD117" s="273"/>
      <c r="GE117" s="273"/>
      <c r="GF117" s="273"/>
      <c r="GG117" s="273"/>
      <c r="GH117" s="273"/>
      <c r="GI117" s="273"/>
      <c r="GJ117" s="273"/>
    </row>
    <row r="118" spans="1:192">
      <c r="A118" s="247" t="s">
        <v>1039</v>
      </c>
      <c r="C118" s="2" t="s">
        <v>4951</v>
      </c>
      <c r="D118" s="2" t="s">
        <v>901</v>
      </c>
      <c r="AE118" s="1118" t="s">
        <v>3927</v>
      </c>
      <c r="AF118" s="2" t="s">
        <v>3971</v>
      </c>
      <c r="AG118" s="2">
        <v>0.3</v>
      </c>
      <c r="AH118" s="2">
        <v>-3.7930000000000001</v>
      </c>
      <c r="AI118" s="2">
        <v>2.2170000000000001</v>
      </c>
      <c r="AJ118" s="2">
        <v>11.6</v>
      </c>
      <c r="AK118" s="2">
        <v>0.19600000000000001</v>
      </c>
      <c r="AL118" s="2">
        <v>1</v>
      </c>
      <c r="AM118" s="2">
        <v>0.86</v>
      </c>
      <c r="AX118" s="574" t="s">
        <v>1612</v>
      </c>
      <c r="DJ118" s="1478" t="s">
        <v>4778</v>
      </c>
      <c r="DK118" s="1478" t="s">
        <v>4779</v>
      </c>
      <c r="DL118" s="1478" t="s">
        <v>4780</v>
      </c>
      <c r="DM118" s="273"/>
      <c r="DN118" s="273"/>
      <c r="DO118" s="273"/>
      <c r="DP118" s="273"/>
      <c r="DQ118" s="273"/>
      <c r="DR118" s="273"/>
      <c r="DS118" s="273"/>
      <c r="DT118" s="273"/>
      <c r="FS118" s="273"/>
      <c r="FT118" s="273"/>
      <c r="FU118" s="273"/>
      <c r="FV118" s="273"/>
      <c r="FW118" s="273"/>
      <c r="FX118" s="273"/>
      <c r="FY118" s="273"/>
      <c r="FZ118" s="273"/>
      <c r="GA118" s="273"/>
      <c r="GB118" s="273"/>
      <c r="GC118" s="273"/>
      <c r="GD118" s="273"/>
      <c r="GE118" s="273"/>
      <c r="GF118" s="273"/>
      <c r="GG118" s="273"/>
      <c r="GH118" s="273"/>
      <c r="GI118" s="273"/>
      <c r="GJ118" s="273"/>
    </row>
    <row r="119" spans="1:192">
      <c r="A119" s="61" t="s">
        <v>1040</v>
      </c>
      <c r="C119" s="2" t="s">
        <v>377</v>
      </c>
      <c r="D119" s="2" t="s">
        <v>901</v>
      </c>
      <c r="AX119" s="2" t="s">
        <v>1552</v>
      </c>
      <c r="AY119" s="2877">
        <v>0</v>
      </c>
      <c r="AZ119" s="2877"/>
      <c r="BA119" s="2877"/>
      <c r="BB119" s="2877">
        <v>11</v>
      </c>
      <c r="BC119" s="2877"/>
      <c r="BD119" s="2877"/>
      <c r="BE119" s="2877">
        <v>13</v>
      </c>
      <c r="BF119" s="2877"/>
      <c r="BG119" s="2877"/>
      <c r="BH119" s="2877">
        <v>17</v>
      </c>
      <c r="BI119" s="2877"/>
      <c r="BJ119" s="2877"/>
      <c r="BK119" s="2877">
        <v>19</v>
      </c>
      <c r="BL119" s="2877"/>
      <c r="BM119" s="2877"/>
      <c r="DJ119" s="1488" t="s">
        <v>2319</v>
      </c>
      <c r="DK119" s="1489">
        <v>4056</v>
      </c>
      <c r="DL119" s="1489">
        <v>1878</v>
      </c>
      <c r="DM119" s="273"/>
      <c r="DN119" s="273"/>
      <c r="DO119" s="273"/>
      <c r="DP119" s="273"/>
      <c r="DQ119" s="273"/>
      <c r="DR119" s="273"/>
      <c r="DS119" s="273"/>
      <c r="DT119" s="273"/>
    </row>
    <row r="120" spans="1:192">
      <c r="A120" s="2" t="s">
        <v>1042</v>
      </c>
      <c r="C120" s="2" t="s">
        <v>378</v>
      </c>
      <c r="D120" s="2" t="s">
        <v>901</v>
      </c>
      <c r="AX120" s="2" t="s">
        <v>1553</v>
      </c>
      <c r="AY120" s="2" t="s">
        <v>1554</v>
      </c>
      <c r="AZ120" s="2600" t="s">
        <v>1555</v>
      </c>
      <c r="BA120" s="2602"/>
      <c r="BB120" s="2" t="s">
        <v>1554</v>
      </c>
      <c r="BC120" s="2600" t="s">
        <v>1555</v>
      </c>
      <c r="BD120" s="2602"/>
      <c r="BE120" s="2" t="s">
        <v>1554</v>
      </c>
      <c r="BF120" s="2600" t="s">
        <v>1555</v>
      </c>
      <c r="BG120" s="2602"/>
      <c r="BH120" s="2" t="s">
        <v>1554</v>
      </c>
      <c r="BI120" s="2600" t="s">
        <v>1555</v>
      </c>
      <c r="BJ120" s="2602"/>
      <c r="BK120" s="2" t="s">
        <v>1554</v>
      </c>
      <c r="BL120" s="2600" t="s">
        <v>1555</v>
      </c>
      <c r="BM120" s="2602"/>
      <c r="DJ120" s="1488" t="s">
        <v>2878</v>
      </c>
      <c r="DK120" s="1489">
        <v>2854</v>
      </c>
      <c r="DL120" s="1489">
        <v>1445</v>
      </c>
      <c r="DM120" s="273"/>
      <c r="DN120" s="273"/>
      <c r="DO120" s="273"/>
      <c r="DP120" s="273"/>
      <c r="DQ120" s="273"/>
      <c r="DR120" s="273"/>
      <c r="DS120" s="273"/>
      <c r="DT120" s="273"/>
    </row>
    <row r="121" spans="1:192">
      <c r="A121" s="2" t="s">
        <v>3972</v>
      </c>
      <c r="C121" s="2" t="s">
        <v>4936</v>
      </c>
      <c r="D121" s="2" t="s">
        <v>901</v>
      </c>
      <c r="AX121" s="618">
        <v>11</v>
      </c>
      <c r="AY121" s="618">
        <v>469.7</v>
      </c>
      <c r="AZ121" s="618">
        <v>0</v>
      </c>
      <c r="BA121" s="618"/>
      <c r="BB121" s="618"/>
      <c r="BC121" s="618"/>
      <c r="BD121" s="618"/>
      <c r="BE121" s="618"/>
      <c r="BF121" s="618"/>
      <c r="BG121" s="618"/>
      <c r="BH121" s="618"/>
      <c r="BI121" s="618"/>
      <c r="BJ121" s="618"/>
      <c r="BK121" s="618"/>
      <c r="BL121" s="618"/>
      <c r="BM121" s="618"/>
      <c r="DJ121" s="1488" t="s">
        <v>4781</v>
      </c>
      <c r="DK121" s="1489">
        <v>3748</v>
      </c>
      <c r="DL121" s="1489">
        <v>1767</v>
      </c>
      <c r="DM121" s="273"/>
      <c r="DN121" s="273"/>
      <c r="DO121" s="273"/>
      <c r="DP121" s="273"/>
      <c r="DQ121" s="273"/>
      <c r="DR121" s="273"/>
      <c r="DS121" s="273"/>
      <c r="DT121" s="273"/>
    </row>
    <row r="122" spans="1:192">
      <c r="A122" s="2" t="s">
        <v>3973</v>
      </c>
      <c r="C122" s="2" t="s">
        <v>4938</v>
      </c>
      <c r="D122" s="2" t="s">
        <v>900</v>
      </c>
      <c r="AX122" s="2">
        <v>12</v>
      </c>
      <c r="AY122" s="2">
        <f>((($AX$122-$AX$121)*(AY123-AY121))/($AX$123-$AX$121))+AY121</f>
        <v>543.95000000000005</v>
      </c>
      <c r="AZ122" s="2">
        <f>((($AX$122-$AX$121)*(AZ123-AZ121))/($AX$123-$AX$121))+AZ121</f>
        <v>5.4999999999999997E-3</v>
      </c>
      <c r="BA122" s="2"/>
      <c r="BB122" s="2">
        <f>((($AX$122-$AX$121)*(BB123-BB121))/($AX$123-$AX$121))+BB121</f>
        <v>74.25</v>
      </c>
      <c r="BC122" s="2">
        <f>((($AX$122-$AX$121)*(BC123-BC121))/($AX$123-$AX$121))+BC121</f>
        <v>0</v>
      </c>
      <c r="BD122" s="2"/>
      <c r="BE122" s="2">
        <f>((($AX$122-$AX$121)*(BE123-BE121))/($AX$123-$AX$121))+BE121</f>
        <v>0</v>
      </c>
      <c r="BF122" s="2">
        <f>((($AX$122-$AX$121)*(BF123-BF121))/($AX$123-$AX$121))+BF121</f>
        <v>0</v>
      </c>
      <c r="BG122" s="2"/>
      <c r="BH122" s="2">
        <f>((($AX$122-$AX$121)*(BH123-BH121))/($AX$123-$AX$121))+BH121</f>
        <v>0</v>
      </c>
      <c r="BI122" s="2">
        <f>((($AX$122-$AX$121)*(BI123-BI121))/($AX$123-$AX$121))+BI121</f>
        <v>0</v>
      </c>
      <c r="BJ122" s="2"/>
      <c r="BK122" s="2">
        <f>((($AX$122-$AX$121)*(BK123-BK121))/($AX$123-$AX$121))+BK121</f>
        <v>0</v>
      </c>
      <c r="BL122" s="2">
        <f>((($AX$122-$AX$121)*(BL123-BL121))/($AX$123-$AX$121))+BL121</f>
        <v>0</v>
      </c>
      <c r="BM122" s="2"/>
      <c r="DJ122" s="1488" t="s">
        <v>2406</v>
      </c>
      <c r="DK122" s="1489">
        <v>1955</v>
      </c>
      <c r="DL122" s="1489">
        <v>1121</v>
      </c>
      <c r="DM122" s="273"/>
      <c r="DN122" s="273"/>
      <c r="DO122" s="273"/>
      <c r="DP122" s="273"/>
      <c r="DQ122" s="273"/>
      <c r="DR122" s="273"/>
      <c r="DS122" s="273"/>
      <c r="DT122" s="273"/>
    </row>
    <row r="123" spans="1:192">
      <c r="A123" s="2" t="s">
        <v>1977</v>
      </c>
      <c r="C123" s="2" t="s">
        <v>4940</v>
      </c>
      <c r="D123" s="2" t="s">
        <v>900</v>
      </c>
      <c r="AX123" s="618">
        <v>13</v>
      </c>
      <c r="AY123" s="618">
        <v>618.20000000000005</v>
      </c>
      <c r="AZ123" s="618">
        <v>1.0999999999999999E-2</v>
      </c>
      <c r="BA123" s="618"/>
      <c r="BB123" s="618">
        <v>148.5</v>
      </c>
      <c r="BC123" s="618">
        <v>0</v>
      </c>
      <c r="BD123" s="618"/>
      <c r="BE123" s="618"/>
      <c r="BF123" s="618"/>
      <c r="BG123" s="618"/>
      <c r="BH123" s="618"/>
      <c r="BI123" s="618"/>
      <c r="BJ123" s="618"/>
      <c r="BK123" s="618"/>
      <c r="BL123" s="618"/>
      <c r="BM123" s="618"/>
      <c r="DJ123" s="1488" t="s">
        <v>4782</v>
      </c>
      <c r="DK123" s="1489">
        <v>6376</v>
      </c>
      <c r="DL123" s="1489">
        <v>2713</v>
      </c>
      <c r="DM123" s="273"/>
      <c r="DN123" s="273"/>
      <c r="DO123" s="273"/>
      <c r="DP123" s="273"/>
      <c r="DQ123" s="273"/>
      <c r="DR123" s="273"/>
      <c r="DS123" s="273"/>
      <c r="DT123" s="273"/>
    </row>
    <row r="124" spans="1:192">
      <c r="A124" s="2" t="s">
        <v>1862</v>
      </c>
      <c r="C124" s="2" t="s">
        <v>381</v>
      </c>
      <c r="D124" s="2" t="s">
        <v>900</v>
      </c>
      <c r="AX124" s="2">
        <v>14</v>
      </c>
      <c r="AY124" s="2">
        <f t="shared" ref="AY124:AZ126" si="22">((($AX124-$AX$123)*(AY$127-AY$123))/($AX$127-$AX$123))+AY$123</f>
        <v>671.77500000000009</v>
      </c>
      <c r="AZ124" s="2">
        <f t="shared" si="22"/>
        <v>6.5750000000000003E-2</v>
      </c>
      <c r="BA124" s="2"/>
      <c r="BB124" s="2">
        <f t="shared" ref="BB124:BC126" si="23">((($AX124-$AX$123)*(BB$127-BB$123))/($AX$127-$AX$123))+BB$123</f>
        <v>202.07499999999999</v>
      </c>
      <c r="BC124" s="2">
        <f t="shared" si="23"/>
        <v>2.7499999999999998E-3</v>
      </c>
      <c r="BD124" s="2"/>
      <c r="BE124" s="2">
        <f>((($AX124-$AX$123)*(BE$127-BE$123))/($AX$127-$AX$123))+BE$123</f>
        <v>53.575000000000003</v>
      </c>
      <c r="BF124" s="2">
        <f>((($AX124-$AX$123)*(BF$127-BF$123))/($AX$127-$AX$123))+BF$123</f>
        <v>0</v>
      </c>
      <c r="BG124" s="2"/>
      <c r="BH124" s="2">
        <f t="shared" ref="BH124:BI126" si="24">((($AX124-$AX$123)*(BH$127-BH$123))/($AX$127-$AX$123))+BH$123</f>
        <v>0</v>
      </c>
      <c r="BI124" s="2">
        <f t="shared" si="24"/>
        <v>0</v>
      </c>
      <c r="BJ124" s="2"/>
      <c r="BK124" s="2">
        <f t="shared" ref="BK124:BL126" si="25">((($AX124-$AX$123)*(BK$127-BK$123))/($AX$127-$AX$123))+BK$123</f>
        <v>0</v>
      </c>
      <c r="BL124" s="2">
        <f t="shared" si="25"/>
        <v>0</v>
      </c>
      <c r="BM124" s="2"/>
      <c r="DJ124" s="1488" t="s">
        <v>2934</v>
      </c>
      <c r="DK124" s="1489">
        <v>2586</v>
      </c>
      <c r="DL124" s="1489">
        <v>1348</v>
      </c>
      <c r="DM124" s="273"/>
      <c r="DN124" s="273"/>
      <c r="DO124" s="273"/>
      <c r="DP124" s="273"/>
      <c r="DQ124" s="273"/>
      <c r="DR124" s="273"/>
      <c r="DS124" s="273"/>
      <c r="DT124" s="273"/>
    </row>
    <row r="125" spans="1:192">
      <c r="C125" s="2" t="s">
        <v>383</v>
      </c>
      <c r="D125" s="2" t="s">
        <v>900</v>
      </c>
      <c r="AX125" s="2">
        <v>15</v>
      </c>
      <c r="AY125" s="2">
        <f t="shared" si="22"/>
        <v>725.35</v>
      </c>
      <c r="AZ125" s="2">
        <f t="shared" si="22"/>
        <v>0.1205</v>
      </c>
      <c r="BA125" s="2"/>
      <c r="BB125" s="2">
        <f t="shared" si="23"/>
        <v>255.65</v>
      </c>
      <c r="BC125" s="2">
        <f t="shared" si="23"/>
        <v>5.4999999999999997E-3</v>
      </c>
      <c r="BD125" s="2"/>
      <c r="BE125" s="2">
        <f>((($AX125-$AX$123)*(BE$127-BE$123))/($AX$127-$AX$123))+BE$123</f>
        <v>107.15</v>
      </c>
      <c r="BF125" s="2">
        <f>((($AX125-$AX$123)*(BF$127-BF$123))/($AX$127-$AX$123))+BF$123</f>
        <v>0</v>
      </c>
      <c r="BG125" s="2"/>
      <c r="BH125" s="2">
        <f t="shared" si="24"/>
        <v>0</v>
      </c>
      <c r="BI125" s="2">
        <f t="shared" si="24"/>
        <v>0</v>
      </c>
      <c r="BJ125" s="2"/>
      <c r="BK125" s="2">
        <f t="shared" si="25"/>
        <v>0</v>
      </c>
      <c r="BL125" s="2">
        <f t="shared" si="25"/>
        <v>0</v>
      </c>
      <c r="BM125" s="2"/>
      <c r="DJ125" s="1488" t="s">
        <v>4783</v>
      </c>
      <c r="DK125" s="1489">
        <v>3066</v>
      </c>
      <c r="DL125" s="1489">
        <v>1521</v>
      </c>
      <c r="DM125" s="273"/>
      <c r="DN125" s="273"/>
      <c r="DO125" s="273"/>
      <c r="DP125" s="273"/>
      <c r="DQ125" s="273"/>
      <c r="DR125" s="273"/>
      <c r="DS125" s="273"/>
      <c r="DT125" s="273"/>
    </row>
    <row r="126" spans="1:192">
      <c r="C126" s="2" t="s">
        <v>384</v>
      </c>
      <c r="D126" s="2" t="s">
        <v>900</v>
      </c>
      <c r="AX126" s="2">
        <v>16</v>
      </c>
      <c r="AY126" s="2">
        <f t="shared" si="22"/>
        <v>778.92499999999995</v>
      </c>
      <c r="AZ126" s="2">
        <f t="shared" si="22"/>
        <v>0.17525000000000002</v>
      </c>
      <c r="BA126" s="2"/>
      <c r="BB126" s="2">
        <f t="shared" si="23"/>
        <v>309.22500000000002</v>
      </c>
      <c r="BC126" s="2">
        <f t="shared" si="23"/>
        <v>8.2500000000000004E-3</v>
      </c>
      <c r="BD126" s="2"/>
      <c r="BE126" s="2">
        <f>((($AX126-$AX$123)*(BE$127-BE$123))/($AX$127-$AX$123))+BE$123</f>
        <v>160.72500000000002</v>
      </c>
      <c r="BF126" s="2">
        <f>((($AX126-$AX$123)*(BF$127-AQM176))/($AX$127-$AX$123))+BF$123</f>
        <v>0</v>
      </c>
      <c r="BG126" s="2"/>
      <c r="BH126" s="2">
        <f t="shared" si="24"/>
        <v>0</v>
      </c>
      <c r="BI126" s="2">
        <f t="shared" si="24"/>
        <v>0</v>
      </c>
      <c r="BJ126" s="2"/>
      <c r="BK126" s="2">
        <f t="shared" si="25"/>
        <v>0</v>
      </c>
      <c r="BL126" s="2">
        <f t="shared" si="25"/>
        <v>0</v>
      </c>
      <c r="BM126" s="2"/>
      <c r="DJ126" s="1488" t="s">
        <v>2879</v>
      </c>
      <c r="DK126" s="1489">
        <v>4055</v>
      </c>
      <c r="DL126" s="1489">
        <v>1877</v>
      </c>
      <c r="DM126" s="273"/>
      <c r="DN126" s="273"/>
      <c r="DO126" s="273"/>
      <c r="DP126" s="273"/>
      <c r="DQ126" s="273"/>
      <c r="DR126" s="273"/>
      <c r="DS126" s="273"/>
      <c r="DT126" s="273"/>
    </row>
    <row r="127" spans="1:192">
      <c r="C127" s="2" t="s">
        <v>385</v>
      </c>
      <c r="D127" s="2" t="s">
        <v>900</v>
      </c>
      <c r="AX127" s="618">
        <v>17</v>
      </c>
      <c r="AY127" s="618">
        <v>832.5</v>
      </c>
      <c r="AZ127" s="618">
        <v>0.23</v>
      </c>
      <c r="BA127" s="618"/>
      <c r="BB127" s="618">
        <v>362.8</v>
      </c>
      <c r="BC127" s="618">
        <v>1.0999999999999999E-2</v>
      </c>
      <c r="BD127" s="618"/>
      <c r="BE127" s="618">
        <v>214.3</v>
      </c>
      <c r="BF127" s="618">
        <v>0</v>
      </c>
      <c r="BG127" s="618"/>
      <c r="BH127" s="618"/>
      <c r="BI127" s="618"/>
      <c r="BJ127" s="618"/>
      <c r="BK127" s="618"/>
      <c r="BL127" s="618"/>
      <c r="BM127" s="618"/>
      <c r="DJ127" s="1488" t="s">
        <v>2880</v>
      </c>
      <c r="DK127" s="1489">
        <v>6376</v>
      </c>
      <c r="DL127" s="1489">
        <v>2713</v>
      </c>
      <c r="DM127" s="273"/>
      <c r="DN127" s="273"/>
      <c r="DO127" s="273"/>
      <c r="DP127" s="273"/>
      <c r="DQ127" s="273"/>
      <c r="DR127" s="273"/>
      <c r="DS127" s="273"/>
      <c r="DT127" s="273"/>
    </row>
    <row r="128" spans="1:192">
      <c r="C128" s="2" t="s">
        <v>374</v>
      </c>
      <c r="D128" s="2" t="s">
        <v>900</v>
      </c>
      <c r="AX128" s="2">
        <v>18</v>
      </c>
      <c r="AY128" s="2">
        <f>((($AX$128-$AX$127)*(AY129-AY127))/($AX$129-$AX$127))+AY127</f>
        <v>870.55</v>
      </c>
      <c r="AZ128" s="2">
        <f>((($AX$128-$AX$127)*(AZ129-AZ127))/($AX$129-$AX$127))+AZ127</f>
        <v>0.1265</v>
      </c>
      <c r="BA128" s="2"/>
      <c r="BB128" s="2">
        <f>((($AX$128-$AX$127)*(BB129-BB127))/($AX$129-$AX$127))+BB127</f>
        <v>400.85</v>
      </c>
      <c r="BC128" s="2">
        <f>((($AX$128-$AX$127)*(BC129-BC127))/($AX$129-$AX$127))+BC127</f>
        <v>1.0999999999999999E-2</v>
      </c>
      <c r="BD128" s="2"/>
      <c r="BE128" s="2">
        <f>((($AX$128-$AX$127)*(BE129-BE127))/($AX$129-$AX$127))+BE127</f>
        <v>252.35</v>
      </c>
      <c r="BF128" s="2">
        <f>((($AX$128-$AX$127)*(BF129-BF127))/($AX$129-$AX$127))+BF127</f>
        <v>0</v>
      </c>
      <c r="BG128" s="2"/>
      <c r="BH128" s="2">
        <f>((($AX$128-$AX$127)*(BH129-BH127))/($AX$129-$AX$127))+BH127</f>
        <v>38.049999999999997</v>
      </c>
      <c r="BI128" s="2">
        <f>((($AX$128-$AX$127)*(BI129-BI127))/($AX$129-$AX$127))+BI127</f>
        <v>0</v>
      </c>
      <c r="BJ128" s="2"/>
      <c r="BK128" s="2">
        <f>((($AX$128-$AX$127)*(BK129-BK127))/($AX$129-$AX$127))+BK127</f>
        <v>0</v>
      </c>
      <c r="BL128" s="2">
        <f>((($AX$128-$AX$127)*(BL129-BL127))/($AX$129-$AX$127))+BL127</f>
        <v>0</v>
      </c>
      <c r="BM128" s="2"/>
      <c r="DJ128" s="1488" t="s">
        <v>2881</v>
      </c>
      <c r="DK128" s="1489">
        <v>1954</v>
      </c>
      <c r="DL128" s="1489">
        <v>1121</v>
      </c>
      <c r="DM128" s="273"/>
      <c r="DN128" s="273"/>
      <c r="DO128" s="273"/>
      <c r="DP128" s="273"/>
      <c r="DQ128" s="273"/>
      <c r="DR128" s="273"/>
      <c r="DS128" s="273"/>
      <c r="DT128" s="273"/>
    </row>
    <row r="129" spans="1:124">
      <c r="C129" s="2" t="s">
        <v>375</v>
      </c>
      <c r="D129" s="2" t="s">
        <v>901</v>
      </c>
      <c r="AX129" s="618">
        <v>19</v>
      </c>
      <c r="AY129" s="618">
        <v>908.6</v>
      </c>
      <c r="AZ129" s="618">
        <v>2.3E-2</v>
      </c>
      <c r="BA129" s="618"/>
      <c r="BB129" s="618">
        <v>438.9</v>
      </c>
      <c r="BC129" s="618">
        <v>1.0999999999999999E-2</v>
      </c>
      <c r="BD129" s="618"/>
      <c r="BE129" s="618">
        <v>290.39999999999998</v>
      </c>
      <c r="BF129" s="618">
        <v>0</v>
      </c>
      <c r="BG129" s="618"/>
      <c r="BH129" s="618">
        <v>76.099999999999994</v>
      </c>
      <c r="BI129" s="618">
        <v>0</v>
      </c>
      <c r="BJ129" s="618"/>
      <c r="BK129" s="618"/>
      <c r="BL129" s="618"/>
      <c r="BM129" s="618"/>
      <c r="DJ129" s="1488" t="s">
        <v>2882</v>
      </c>
      <c r="DK129" s="1489">
        <v>3748</v>
      </c>
      <c r="DL129" s="1489">
        <v>1767</v>
      </c>
      <c r="DM129" s="273"/>
      <c r="DN129" s="273"/>
      <c r="DO129" s="273"/>
      <c r="DP129" s="273"/>
      <c r="DQ129" s="273"/>
      <c r="DR129" s="273"/>
      <c r="DS129" s="273"/>
      <c r="DT129" s="273"/>
    </row>
    <row r="130" spans="1:124">
      <c r="C130" s="2" t="s">
        <v>382</v>
      </c>
      <c r="D130" s="2" t="s">
        <v>900</v>
      </c>
      <c r="AX130" s="2">
        <v>20</v>
      </c>
      <c r="AY130" s="2">
        <f>((($AX$130-$AX$129)*(AY131-AY129))/($AX$131-$AX$129))+AY129</f>
        <v>940</v>
      </c>
      <c r="AZ130" s="2">
        <f>((($AX$130-$AX$129)*(AZ131-AZ129))/($AX$131-$AX$129))+AZ129</f>
        <v>2.8500000000000001E-2</v>
      </c>
      <c r="BA130" s="2"/>
      <c r="BB130" s="2">
        <f>((($AX$130-$AX$129)*(BB131-BB129))/($AX$131-$AX$129))+BB129</f>
        <v>470.35</v>
      </c>
      <c r="BC130" s="2">
        <f>((($AX$130-$AX$129)*(BC131-BC129))/($AX$131-$AX$129))+BC129</f>
        <v>1.7000000000000001E-2</v>
      </c>
      <c r="BD130" s="2"/>
      <c r="BE130" s="2">
        <f>((($AX$130-$AX$129)*(BE131-BE129))/($AX$131-$AX$129))+BE129</f>
        <v>321.85000000000002</v>
      </c>
      <c r="BF130" s="2">
        <f>((($AX$130-$AX$129)*(BF131-BF129))/($AX$131-$AX$129))+BF129</f>
        <v>5.4999999999999997E-3</v>
      </c>
      <c r="BG130" s="2"/>
      <c r="BH130" s="2">
        <f>((($AX$130-$AX$129)*(BH131-BH129))/($AX$131-$AX$129))+BH129</f>
        <v>107.55</v>
      </c>
      <c r="BI130" s="2">
        <f>((($AX$130-$AX$129)*(BI131-BI129))/($AX$131-$AX$129))+BI129</f>
        <v>5.4999999999999997E-3</v>
      </c>
      <c r="BJ130" s="2"/>
      <c r="BK130" s="2">
        <f>((($AX$130-$AX$129)*(BK131-BK129))/($AX$131-$AX$129))+BK129</f>
        <v>31.4</v>
      </c>
      <c r="BL130" s="2">
        <f>((($AX$130-$AX$129)*(BL131-BL129))/($AX$131-$AX$129))+BL129</f>
        <v>0</v>
      </c>
      <c r="BM130" s="2"/>
      <c r="DJ130" s="1488" t="s">
        <v>4784</v>
      </c>
      <c r="DK130" s="1489">
        <v>4182</v>
      </c>
      <c r="DL130" s="1489">
        <v>1923</v>
      </c>
      <c r="DM130" s="273"/>
      <c r="DN130" s="273"/>
      <c r="DO130" s="273"/>
      <c r="DP130" s="273"/>
      <c r="DQ130" s="273"/>
      <c r="DR130" s="273"/>
      <c r="DS130" s="273"/>
      <c r="DT130" s="273"/>
    </row>
    <row r="131" spans="1:124">
      <c r="AX131" s="618">
        <v>21</v>
      </c>
      <c r="AY131" s="618">
        <v>971.4</v>
      </c>
      <c r="AZ131" s="618">
        <v>3.4000000000000002E-2</v>
      </c>
      <c r="BA131" s="618"/>
      <c r="BB131" s="618">
        <v>501.8</v>
      </c>
      <c r="BC131" s="618">
        <v>2.3E-2</v>
      </c>
      <c r="BD131" s="618"/>
      <c r="BE131" s="618">
        <v>353.3</v>
      </c>
      <c r="BF131" s="618">
        <v>1.0999999999999999E-2</v>
      </c>
      <c r="BG131" s="618"/>
      <c r="BH131" s="618">
        <v>139</v>
      </c>
      <c r="BI131" s="618">
        <v>1.0999999999999999E-2</v>
      </c>
      <c r="BJ131" s="618"/>
      <c r="BK131" s="618">
        <v>62.8</v>
      </c>
      <c r="BL131" s="618">
        <v>0</v>
      </c>
      <c r="BM131" s="618"/>
      <c r="DJ131" s="1488" t="s">
        <v>2340</v>
      </c>
      <c r="DK131" s="1489">
        <v>6456</v>
      </c>
      <c r="DL131" s="1489">
        <v>2742</v>
      </c>
      <c r="DM131" s="273"/>
      <c r="DN131" s="273"/>
      <c r="DO131" s="273"/>
      <c r="DP131" s="273"/>
      <c r="DQ131" s="273"/>
      <c r="DR131" s="273"/>
      <c r="DS131" s="273"/>
      <c r="DT131" s="273"/>
    </row>
    <row r="132" spans="1:124">
      <c r="AX132" s="2">
        <v>22</v>
      </c>
      <c r="AY132" s="2">
        <f t="shared" ref="AY132:AZ134" si="26">((($AX132-$AX$131)*(AY$135-AY$131))/($AX$135-$AX$131))+AY$131</f>
        <v>996.27499999999998</v>
      </c>
      <c r="AZ132" s="2">
        <f t="shared" si="26"/>
        <v>3.4000000000000002E-2</v>
      </c>
      <c r="BA132" s="2"/>
      <c r="BB132" s="2">
        <f t="shared" ref="BB132:BC134" si="27">((($AX132-$AX$131)*(BB$135-BB$131))/($AX$135-$AX$131))+BB$131</f>
        <v>526.65</v>
      </c>
      <c r="BC132" s="2">
        <f t="shared" si="27"/>
        <v>2.3E-2</v>
      </c>
      <c r="BD132" s="2"/>
      <c r="BE132" s="2">
        <f t="shared" ref="BE132:BF134" si="28">((($AX132-$AX$131)*(BE$135-BE$131))/($AX$135-$AX$131))+BE$131</f>
        <v>378.15</v>
      </c>
      <c r="BF132" s="2">
        <f t="shared" si="28"/>
        <v>1.0999999999999999E-2</v>
      </c>
      <c r="BG132" s="2"/>
      <c r="BH132" s="2">
        <f t="shared" ref="BH132:BI134" si="29">((($AX132-$AX$131)*(BH$135-BH$131))/($AX$135-$AX$131))+BH$131</f>
        <v>163.85</v>
      </c>
      <c r="BI132" s="2">
        <f t="shared" si="29"/>
        <v>1.0999999999999999E-2</v>
      </c>
      <c r="BJ132" s="2"/>
      <c r="BK132" s="2">
        <f t="shared" ref="BK132:BL134" si="30">((($AX132-$AX$131)*(BK$135-BK$131))/($AX$135-$AX$131))+BK$131</f>
        <v>87.674999999999997</v>
      </c>
      <c r="BL132" s="2">
        <f t="shared" si="30"/>
        <v>0</v>
      </c>
      <c r="BM132" s="2"/>
      <c r="DJ132" s="1488" t="s">
        <v>4063</v>
      </c>
      <c r="DK132" s="1489">
        <v>4182</v>
      </c>
      <c r="DL132" s="1489">
        <v>1923</v>
      </c>
      <c r="DM132" s="273"/>
      <c r="DN132" s="273"/>
      <c r="DO132" s="273"/>
      <c r="DP132" s="273"/>
      <c r="DQ132" s="273"/>
      <c r="DR132" s="273"/>
      <c r="DS132" s="273"/>
      <c r="DT132" s="273"/>
    </row>
    <row r="133" spans="1:124">
      <c r="A133" t="s">
        <v>455</v>
      </c>
      <c r="AX133" s="2">
        <v>23</v>
      </c>
      <c r="AY133" s="2">
        <f t="shared" si="26"/>
        <v>1021.1500000000001</v>
      </c>
      <c r="AZ133" s="2">
        <f t="shared" si="26"/>
        <v>3.4000000000000002E-2</v>
      </c>
      <c r="BA133" s="2"/>
      <c r="BB133" s="2">
        <f t="shared" si="27"/>
        <v>551.5</v>
      </c>
      <c r="BC133" s="2">
        <f t="shared" si="27"/>
        <v>2.3E-2</v>
      </c>
      <c r="BD133" s="2"/>
      <c r="BE133" s="2">
        <f t="shared" si="28"/>
        <v>403</v>
      </c>
      <c r="BF133" s="2">
        <f t="shared" si="28"/>
        <v>1.0999999999999999E-2</v>
      </c>
      <c r="BG133" s="2"/>
      <c r="BH133" s="2">
        <f t="shared" si="29"/>
        <v>188.7</v>
      </c>
      <c r="BI133" s="2">
        <f t="shared" si="29"/>
        <v>1.0999999999999999E-2</v>
      </c>
      <c r="BJ133" s="2"/>
      <c r="BK133" s="2">
        <f t="shared" si="30"/>
        <v>112.55000000000001</v>
      </c>
      <c r="BL133" s="2">
        <f t="shared" si="30"/>
        <v>0</v>
      </c>
      <c r="BM133" s="2"/>
      <c r="DJ133" s="1488" t="s">
        <v>2883</v>
      </c>
      <c r="DK133" s="1489">
        <v>1952</v>
      </c>
      <c r="DL133" s="1489">
        <v>1120</v>
      </c>
      <c r="DM133" s="273"/>
      <c r="DN133" s="273"/>
      <c r="DO133" s="273"/>
      <c r="DP133" s="273"/>
      <c r="DQ133" s="273"/>
      <c r="DR133" s="273"/>
      <c r="DS133" s="273"/>
      <c r="DT133" s="273"/>
    </row>
    <row r="134" spans="1:124">
      <c r="A134" s="61" t="s">
        <v>1042</v>
      </c>
      <c r="B134" s="61" t="s">
        <v>1054</v>
      </c>
      <c r="AX134" s="2">
        <v>24</v>
      </c>
      <c r="AY134" s="2">
        <f t="shared" si="26"/>
        <v>1046.0250000000001</v>
      </c>
      <c r="AZ134" s="2">
        <f t="shared" si="26"/>
        <v>3.4000000000000002E-2</v>
      </c>
      <c r="BA134" s="2"/>
      <c r="BB134" s="2">
        <f t="shared" si="27"/>
        <v>576.35</v>
      </c>
      <c r="BC134" s="2">
        <f t="shared" si="27"/>
        <v>2.3E-2</v>
      </c>
      <c r="BD134" s="2"/>
      <c r="BE134" s="2">
        <f t="shared" si="28"/>
        <v>427.85</v>
      </c>
      <c r="BF134" s="2">
        <f t="shared" si="28"/>
        <v>1.0999999999999999E-2</v>
      </c>
      <c r="BG134" s="2"/>
      <c r="BH134" s="2">
        <f t="shared" si="29"/>
        <v>213.55</v>
      </c>
      <c r="BI134" s="2">
        <f t="shared" si="29"/>
        <v>1.0999999999999999E-2</v>
      </c>
      <c r="BJ134" s="2"/>
      <c r="BK134" s="2">
        <f t="shared" si="30"/>
        <v>137.42500000000001</v>
      </c>
      <c r="BL134" s="2">
        <f t="shared" si="30"/>
        <v>0</v>
      </c>
      <c r="BM134" s="2"/>
      <c r="DJ134" s="1488" t="s">
        <v>2884</v>
      </c>
      <c r="DK134" s="1489">
        <v>5836</v>
      </c>
      <c r="DL134" s="1489">
        <v>2518</v>
      </c>
      <c r="DM134" s="273"/>
      <c r="DN134" s="273"/>
      <c r="DO134" s="273"/>
      <c r="DP134" s="273"/>
      <c r="DQ134" s="273"/>
      <c r="DR134" s="273"/>
      <c r="DS134" s="273"/>
      <c r="DT134" s="273"/>
    </row>
    <row r="135" spans="1:124">
      <c r="A135" s="2" t="s">
        <v>1043</v>
      </c>
      <c r="B135" s="2" t="s">
        <v>1047</v>
      </c>
      <c r="AX135" s="618">
        <v>25</v>
      </c>
      <c r="AY135" s="618">
        <v>1070.9000000000001</v>
      </c>
      <c r="AZ135" s="618">
        <v>3.4000000000000002E-2</v>
      </c>
      <c r="BA135" s="618"/>
      <c r="BB135" s="618">
        <v>601.20000000000005</v>
      </c>
      <c r="BC135" s="618">
        <v>2.3E-2</v>
      </c>
      <c r="BD135" s="618"/>
      <c r="BE135" s="618">
        <v>452.7</v>
      </c>
      <c r="BF135" s="618">
        <v>1.0999999999999999E-2</v>
      </c>
      <c r="BG135" s="618"/>
      <c r="BH135" s="618">
        <v>238.4</v>
      </c>
      <c r="BI135" s="618">
        <v>1.0999999999999999E-2</v>
      </c>
      <c r="BJ135" s="618"/>
      <c r="BK135" s="618">
        <v>162.30000000000001</v>
      </c>
      <c r="BL135" s="618">
        <v>0</v>
      </c>
      <c r="BM135" s="618"/>
      <c r="DJ135" s="1488" t="s">
        <v>2885</v>
      </c>
      <c r="DK135" s="1489">
        <v>6376</v>
      </c>
      <c r="DL135" s="1489">
        <v>2713</v>
      </c>
      <c r="DM135" s="273"/>
      <c r="DN135" s="273"/>
      <c r="DO135" s="273"/>
      <c r="DP135" s="273"/>
      <c r="DQ135" s="273"/>
      <c r="DR135" s="273"/>
      <c r="DS135" s="273"/>
      <c r="DT135" s="273"/>
    </row>
    <row r="136" spans="1:124">
      <c r="A136" s="2" t="s">
        <v>1044</v>
      </c>
      <c r="B136" s="2" t="s">
        <v>1078</v>
      </c>
      <c r="D136" t="s">
        <v>1041</v>
      </c>
      <c r="AX136" s="2">
        <v>26</v>
      </c>
      <c r="AY136" s="2">
        <f>((($AX$136-$AX$135)*(AY137-AY135))/($AX$137-$AX$135))+AY135</f>
        <v>1087.5500000000002</v>
      </c>
      <c r="AZ136" s="2">
        <f>((($AX$136-$AX$135)*(AZ137-AZ135))/($AX$137-$AX$135))+AZ135</f>
        <v>0.04</v>
      </c>
      <c r="BA136" s="2"/>
      <c r="BB136" s="2">
        <f>((($AX$136-$AX$135)*(BB137-BB135))/($AX$137-$AX$135))+BB135</f>
        <v>617.90000000000009</v>
      </c>
      <c r="BC136" s="2">
        <f>((($AX$136-$AX$135)*(BC137-BC135))/($AX$137-$AX$135))+BC135</f>
        <v>2.8500000000000001E-2</v>
      </c>
      <c r="BD136" s="2"/>
      <c r="BE136" s="2">
        <f>((($AX$136-$AX$135)*(BE137-BE135))/($AX$137-$AX$135))+BE135</f>
        <v>469.4</v>
      </c>
      <c r="BF136" s="2">
        <f>((($AX$136-$AX$135)*(BF137-BF135))/($AX$137-$AX$135))+BF135</f>
        <v>1.7000000000000001E-2</v>
      </c>
      <c r="BG136" s="2"/>
      <c r="BH136" s="2">
        <f>((($AX$136-$AX$135)*(BH137-BH135))/($AX$137-$AX$135))+BH135</f>
        <v>255.10000000000002</v>
      </c>
      <c r="BI136" s="2">
        <f>((($AX$136-$AX$135)*(BI137-BI135))/($AX$137-$AX$135))+BI135</f>
        <v>1.7000000000000001E-2</v>
      </c>
      <c r="BJ136" s="2"/>
      <c r="BK136" s="2">
        <f>((($AX$136-$AX$135)*(BK137-BK135))/($AX$137-$AX$135))+BK135</f>
        <v>178.95</v>
      </c>
      <c r="BL136" s="2">
        <f>((($AX$136-$AX$135)*(BL137-BL135))/($AX$137-$AX$135))+BL135</f>
        <v>0</v>
      </c>
      <c r="BM136" s="2"/>
      <c r="DJ136" s="1488" t="s">
        <v>2886</v>
      </c>
      <c r="DK136" s="1489">
        <v>1953</v>
      </c>
      <c r="DL136" s="1489">
        <v>1121</v>
      </c>
      <c r="DM136" s="273"/>
      <c r="DN136" s="273"/>
      <c r="DO136" s="273"/>
      <c r="DP136" s="273"/>
      <c r="DQ136" s="273"/>
      <c r="DR136" s="273"/>
      <c r="DS136" s="273"/>
      <c r="DT136" s="273"/>
    </row>
    <row r="137" spans="1:124">
      <c r="A137" s="2" t="s">
        <v>1045</v>
      </c>
      <c r="B137" s="2" t="s">
        <v>1079</v>
      </c>
      <c r="D137" s="61" t="s">
        <v>1043</v>
      </c>
      <c r="E137" s="61" t="s">
        <v>1044</v>
      </c>
      <c r="F137" s="61" t="s">
        <v>1045</v>
      </c>
      <c r="G137" s="61" t="s">
        <v>1046</v>
      </c>
      <c r="H137" s="61" t="s">
        <v>1047</v>
      </c>
      <c r="I137" s="61" t="s">
        <v>1079</v>
      </c>
      <c r="J137" s="61" t="s">
        <v>456</v>
      </c>
      <c r="K137" s="61" t="s">
        <v>1048</v>
      </c>
      <c r="L137" s="61" t="s">
        <v>1049</v>
      </c>
      <c r="M137" s="61" t="s">
        <v>1050</v>
      </c>
      <c r="N137" s="61" t="s">
        <v>1089</v>
      </c>
      <c r="O137" s="61" t="s">
        <v>363</v>
      </c>
      <c r="P137" s="61" t="s">
        <v>1051</v>
      </c>
      <c r="Q137" s="61" t="s">
        <v>1052</v>
      </c>
      <c r="R137" s="61" t="s">
        <v>3749</v>
      </c>
      <c r="S137" s="61" t="s">
        <v>1053</v>
      </c>
      <c r="AX137" s="618">
        <v>27</v>
      </c>
      <c r="AY137" s="618">
        <v>1104.2</v>
      </c>
      <c r="AZ137" s="618">
        <v>4.5999999999999999E-2</v>
      </c>
      <c r="BA137" s="618"/>
      <c r="BB137" s="618">
        <v>634.6</v>
      </c>
      <c r="BC137" s="618">
        <v>3.4000000000000002E-2</v>
      </c>
      <c r="BD137" s="618"/>
      <c r="BE137" s="618">
        <v>486.1</v>
      </c>
      <c r="BF137" s="618">
        <v>2.3E-2</v>
      </c>
      <c r="BG137" s="618"/>
      <c r="BH137" s="618">
        <v>271.8</v>
      </c>
      <c r="BI137" s="618">
        <v>2.3E-2</v>
      </c>
      <c r="BJ137" s="618"/>
      <c r="BK137" s="618">
        <v>195.6</v>
      </c>
      <c r="BL137" s="618">
        <v>0</v>
      </c>
      <c r="BM137" s="618"/>
      <c r="DJ137" s="1488" t="s">
        <v>2932</v>
      </c>
      <c r="DK137" s="1489">
        <v>4055</v>
      </c>
      <c r="DL137" s="1489">
        <v>1877</v>
      </c>
      <c r="DM137" s="273"/>
      <c r="DN137" s="273"/>
      <c r="DO137" s="273"/>
      <c r="DP137" s="273"/>
      <c r="DQ137" s="273"/>
      <c r="DR137" s="273"/>
      <c r="DS137" s="273"/>
      <c r="DT137" s="273"/>
    </row>
    <row r="138" spans="1:124">
      <c r="A138" s="2" t="s">
        <v>1046</v>
      </c>
      <c r="B138" s="2" t="s">
        <v>1081</v>
      </c>
      <c r="D138" s="29">
        <v>8446</v>
      </c>
      <c r="E138" s="29" t="s">
        <v>1055</v>
      </c>
      <c r="F138" s="29" t="s">
        <v>1056</v>
      </c>
      <c r="G138" s="29" t="s">
        <v>1057</v>
      </c>
      <c r="H138" s="29" t="s">
        <v>1058</v>
      </c>
      <c r="I138" s="29" t="s">
        <v>3751</v>
      </c>
      <c r="J138" s="29" t="s">
        <v>1059</v>
      </c>
      <c r="K138" s="29" t="s">
        <v>1060</v>
      </c>
      <c r="L138" s="29" t="s">
        <v>1061</v>
      </c>
      <c r="M138" s="29" t="s">
        <v>1062</v>
      </c>
      <c r="N138" s="29" t="s">
        <v>3753</v>
      </c>
      <c r="O138" s="29" t="s">
        <v>1063</v>
      </c>
      <c r="P138" s="29" t="s">
        <v>1064</v>
      </c>
      <c r="Q138" s="29" t="s">
        <v>1052</v>
      </c>
      <c r="R138" s="29" t="s">
        <v>3755</v>
      </c>
      <c r="S138" s="29" t="s">
        <v>1065</v>
      </c>
      <c r="DJ138" s="1488" t="s">
        <v>2887</v>
      </c>
      <c r="DK138" s="1489">
        <v>2586</v>
      </c>
      <c r="DL138" s="1489">
        <v>1348</v>
      </c>
      <c r="DM138" s="273"/>
      <c r="DN138" s="273"/>
      <c r="DO138" s="273"/>
      <c r="DP138" s="273"/>
      <c r="DQ138" s="273"/>
      <c r="DR138" s="273"/>
      <c r="DS138" s="273"/>
      <c r="DT138" s="273"/>
    </row>
    <row r="139" spans="1:124">
      <c r="A139" s="2" t="s">
        <v>1047</v>
      </c>
      <c r="B139" s="2" t="s">
        <v>1082</v>
      </c>
      <c r="D139" s="29">
        <v>8448</v>
      </c>
      <c r="E139" s="29"/>
      <c r="F139" s="29" t="s">
        <v>1058</v>
      </c>
      <c r="G139" s="29" t="s">
        <v>370</v>
      </c>
      <c r="H139" s="29" t="s">
        <v>1066</v>
      </c>
      <c r="J139" s="29" t="s">
        <v>1067</v>
      </c>
      <c r="K139" s="29" t="s">
        <v>1068</v>
      </c>
      <c r="L139" s="29" t="s">
        <v>1069</v>
      </c>
      <c r="M139" s="29"/>
      <c r="O139" s="29"/>
      <c r="P139" s="29"/>
      <c r="Q139" s="29"/>
      <c r="R139" s="29"/>
      <c r="DJ139" s="1488" t="s">
        <v>2888</v>
      </c>
      <c r="DK139" s="1489">
        <v>7674</v>
      </c>
      <c r="DL139" s="1489">
        <v>3180</v>
      </c>
      <c r="DM139" s="273"/>
      <c r="DN139" s="273"/>
      <c r="DO139" s="273"/>
      <c r="DP139" s="273"/>
      <c r="DQ139" s="273"/>
      <c r="DR139" s="273"/>
      <c r="DS139" s="273"/>
      <c r="DT139" s="273"/>
    </row>
    <row r="140" spans="1:124">
      <c r="A140" s="2" t="s">
        <v>1079</v>
      </c>
      <c r="B140" s="2" t="s">
        <v>1084</v>
      </c>
      <c r="D140" s="29">
        <v>8476</v>
      </c>
      <c r="E140" s="29"/>
      <c r="F140" s="29" t="s">
        <v>1066</v>
      </c>
      <c r="G140" s="29"/>
      <c r="H140" s="29" t="s">
        <v>1070</v>
      </c>
      <c r="J140" s="29" t="s">
        <v>1071</v>
      </c>
      <c r="K140" s="29" t="s">
        <v>1072</v>
      </c>
      <c r="L140" s="29" t="s">
        <v>1073</v>
      </c>
      <c r="M140" s="29"/>
      <c r="O140" s="29"/>
      <c r="P140" s="29"/>
      <c r="Q140" s="29"/>
      <c r="R140" s="29"/>
      <c r="DJ140" s="1488" t="s">
        <v>2935</v>
      </c>
      <c r="DK140" s="1489">
        <v>7666</v>
      </c>
      <c r="DL140" s="1489">
        <v>3177</v>
      </c>
      <c r="DM140" s="273"/>
      <c r="DN140" s="273"/>
      <c r="DO140" s="273"/>
      <c r="DP140" s="273"/>
      <c r="DQ140" s="273"/>
      <c r="DR140" s="273"/>
      <c r="DS140" s="273"/>
      <c r="DT140" s="273"/>
    </row>
    <row r="141" spans="1:124">
      <c r="A141" s="2" t="s">
        <v>456</v>
      </c>
      <c r="B141" s="2" t="s">
        <v>1086</v>
      </c>
      <c r="D141" s="29">
        <v>8600</v>
      </c>
      <c r="E141" s="29"/>
      <c r="F141" s="29" t="s">
        <v>1070</v>
      </c>
      <c r="G141" s="29"/>
      <c r="H141" s="29" t="s">
        <v>1074</v>
      </c>
      <c r="J141" s="29"/>
      <c r="K141" s="29" t="s">
        <v>1075</v>
      </c>
      <c r="L141" s="29" t="s">
        <v>1076</v>
      </c>
      <c r="M141" s="29"/>
      <c r="O141" s="29"/>
      <c r="P141" s="29"/>
      <c r="Q141" s="29"/>
      <c r="R141" s="29"/>
      <c r="S141" s="29"/>
      <c r="DJ141" s="1488" t="s">
        <v>2889</v>
      </c>
      <c r="DK141" s="1489">
        <v>2857</v>
      </c>
      <c r="DL141" s="1489">
        <v>1446</v>
      </c>
      <c r="DM141" s="273"/>
      <c r="DN141" s="273"/>
      <c r="DO141" s="273"/>
      <c r="DP141" s="273"/>
      <c r="DQ141" s="273"/>
      <c r="DR141" s="273"/>
      <c r="DS141" s="273"/>
      <c r="DT141" s="273"/>
    </row>
    <row r="142" spans="1:124">
      <c r="A142" s="2" t="s">
        <v>1048</v>
      </c>
      <c r="B142" s="2" t="s">
        <v>1050</v>
      </c>
      <c r="D142" s="29">
        <v>8620</v>
      </c>
      <c r="E142" s="29"/>
      <c r="F142" s="29"/>
      <c r="G142" s="29"/>
      <c r="H142" s="29"/>
      <c r="J142" s="29"/>
      <c r="K142" s="29" t="s">
        <v>1077</v>
      </c>
      <c r="L142" s="29"/>
      <c r="M142" s="29"/>
      <c r="O142" s="29"/>
      <c r="P142" s="29"/>
      <c r="Q142" s="29"/>
      <c r="R142" s="29"/>
      <c r="S142" s="29"/>
      <c r="AX142" s="574" t="s">
        <v>1613</v>
      </c>
      <c r="DJ142" s="1488" t="s">
        <v>2387</v>
      </c>
      <c r="DK142" s="1489">
        <v>4730</v>
      </c>
      <c r="DL142" s="1489">
        <v>2120</v>
      </c>
      <c r="DM142" s="273"/>
      <c r="DN142" s="273"/>
      <c r="DO142" s="273"/>
      <c r="DP142" s="273"/>
      <c r="DQ142" s="273"/>
      <c r="DR142" s="273"/>
      <c r="DS142" s="273"/>
      <c r="DT142" s="273"/>
    </row>
    <row r="143" spans="1:124">
      <c r="A143" s="2" t="s">
        <v>1049</v>
      </c>
      <c r="B143" s="2" t="s">
        <v>1089</v>
      </c>
      <c r="D143" s="29">
        <v>8910</v>
      </c>
      <c r="E143" s="29"/>
      <c r="F143" s="29"/>
      <c r="G143" s="29"/>
      <c r="H143" s="29"/>
      <c r="J143" s="29"/>
      <c r="K143" s="29" t="s">
        <v>1080</v>
      </c>
      <c r="L143" s="29"/>
      <c r="M143" s="29"/>
      <c r="O143" s="29"/>
      <c r="P143" s="29"/>
      <c r="Q143" s="29"/>
      <c r="R143" s="29"/>
      <c r="S143" s="29"/>
      <c r="AX143" s="2" t="s">
        <v>1552</v>
      </c>
      <c r="AY143" s="2877">
        <v>0</v>
      </c>
      <c r="AZ143" s="2877"/>
      <c r="BA143" s="2877"/>
      <c r="BB143" s="2877">
        <v>11</v>
      </c>
      <c r="BC143" s="2877"/>
      <c r="BD143" s="2877"/>
      <c r="BE143" s="2877">
        <v>13</v>
      </c>
      <c r="BF143" s="2877"/>
      <c r="BG143" s="2877"/>
      <c r="BH143" s="2877">
        <v>17</v>
      </c>
      <c r="BI143" s="2877"/>
      <c r="BJ143" s="2877"/>
      <c r="BK143" s="2877">
        <v>19</v>
      </c>
      <c r="BL143" s="2877"/>
      <c r="BM143" s="2877"/>
      <c r="DJ143" s="1488" t="s">
        <v>2890</v>
      </c>
      <c r="DK143" s="1489">
        <v>6631</v>
      </c>
      <c r="DL143" s="1489">
        <v>2805</v>
      </c>
      <c r="DM143" s="273"/>
      <c r="DN143" s="273"/>
      <c r="DO143" s="273"/>
      <c r="DP143" s="273"/>
      <c r="DQ143" s="273"/>
      <c r="DR143" s="273"/>
      <c r="DS143" s="273"/>
      <c r="DT143" s="273"/>
    </row>
    <row r="144" spans="1:124">
      <c r="A144" s="2" t="s">
        <v>1050</v>
      </c>
      <c r="B144" s="2" t="s">
        <v>1090</v>
      </c>
      <c r="D144" s="29" t="s">
        <v>1083</v>
      </c>
      <c r="E144" s="29"/>
      <c r="F144" s="29"/>
      <c r="G144" s="29"/>
      <c r="H144" s="29"/>
      <c r="J144" s="29"/>
      <c r="K144" s="29" t="s">
        <v>1855</v>
      </c>
      <c r="L144" s="29"/>
      <c r="M144" s="29"/>
      <c r="O144" s="29"/>
      <c r="P144" s="29"/>
      <c r="Q144" s="29"/>
      <c r="R144" s="29"/>
      <c r="S144" s="29"/>
      <c r="AX144" s="2" t="s">
        <v>1553</v>
      </c>
      <c r="AY144" s="2" t="s">
        <v>1554</v>
      </c>
      <c r="AZ144" s="2600" t="s">
        <v>1555</v>
      </c>
      <c r="BA144" s="2602"/>
      <c r="BB144" s="2" t="s">
        <v>1554</v>
      </c>
      <c r="BC144" s="2600" t="s">
        <v>1555</v>
      </c>
      <c r="BD144" s="2602"/>
      <c r="BE144" s="2" t="s">
        <v>1554</v>
      </c>
      <c r="BF144" s="2600" t="s">
        <v>1555</v>
      </c>
      <c r="BG144" s="2602"/>
      <c r="BH144" s="2" t="s">
        <v>1554</v>
      </c>
      <c r="BI144" s="2600" t="s">
        <v>1555</v>
      </c>
      <c r="BJ144" s="2602"/>
      <c r="BK144" s="2" t="s">
        <v>1554</v>
      </c>
      <c r="BL144" s="2600" t="s">
        <v>1555</v>
      </c>
      <c r="BM144" s="2602"/>
      <c r="DJ144" s="1488" t="s">
        <v>2891</v>
      </c>
      <c r="DK144" s="1489">
        <v>4056</v>
      </c>
      <c r="DL144" s="1489">
        <v>1878</v>
      </c>
      <c r="DM144" s="273"/>
      <c r="DN144" s="273"/>
      <c r="DO144" s="273"/>
      <c r="DP144" s="273"/>
      <c r="DQ144" s="273"/>
      <c r="DR144" s="273"/>
      <c r="DS144" s="273"/>
      <c r="DT144" s="273"/>
    </row>
    <row r="145" spans="1:124">
      <c r="A145" s="2" t="s">
        <v>1089</v>
      </c>
      <c r="B145" s="2" t="s">
        <v>1091</v>
      </c>
      <c r="D145" s="29" t="s">
        <v>1085</v>
      </c>
      <c r="E145" s="29"/>
      <c r="F145" s="29"/>
      <c r="G145" s="29"/>
      <c r="H145" s="29"/>
      <c r="J145" s="29"/>
      <c r="K145" s="29" t="s">
        <v>1856</v>
      </c>
      <c r="L145" s="29"/>
      <c r="M145" s="29"/>
      <c r="O145" s="29"/>
      <c r="P145" s="29"/>
      <c r="Q145" s="29"/>
      <c r="R145" s="29"/>
      <c r="S145" s="29"/>
      <c r="AX145" s="618">
        <v>11</v>
      </c>
      <c r="AY145" s="618">
        <v>687.5</v>
      </c>
      <c r="AZ145" s="618">
        <v>5.3999999999999999E-2</v>
      </c>
      <c r="BA145" s="618"/>
      <c r="BB145" s="618"/>
      <c r="BC145" s="618"/>
      <c r="BD145" s="618"/>
      <c r="BE145" s="618"/>
      <c r="BF145" s="618"/>
      <c r="BG145" s="618"/>
      <c r="BH145" s="618"/>
      <c r="BI145" s="618"/>
      <c r="BJ145" s="618"/>
      <c r="BK145" s="618"/>
      <c r="BL145" s="618"/>
      <c r="BM145" s="618"/>
      <c r="DJ145" s="1488" t="s">
        <v>2892</v>
      </c>
      <c r="DK145" s="1489">
        <v>3748</v>
      </c>
      <c r="DL145" s="1489">
        <v>1767</v>
      </c>
      <c r="DM145" s="273"/>
      <c r="DN145" s="273"/>
      <c r="DO145" s="273"/>
      <c r="DP145" s="273"/>
      <c r="DQ145" s="273"/>
      <c r="DR145" s="273"/>
      <c r="DS145" s="273"/>
      <c r="DT145" s="273"/>
    </row>
    <row r="146" spans="1:124">
      <c r="A146" s="2" t="s">
        <v>363</v>
      </c>
      <c r="B146" s="2" t="s">
        <v>1859</v>
      </c>
      <c r="D146" s="29" t="s">
        <v>1087</v>
      </c>
      <c r="E146" s="29"/>
      <c r="F146" s="29"/>
      <c r="G146" s="29"/>
      <c r="H146" s="29"/>
      <c r="J146" s="29"/>
      <c r="L146" s="29"/>
      <c r="M146" s="29"/>
      <c r="O146" s="29"/>
      <c r="P146" s="29"/>
      <c r="Q146" s="29"/>
      <c r="R146" s="29"/>
      <c r="S146" s="29"/>
      <c r="AX146" s="2">
        <v>12</v>
      </c>
      <c r="AY146" s="2">
        <f>((($AX$146-$AX$145)*(AY147-AY145))/($AX$147-$AX$145))+AY145</f>
        <v>796.35</v>
      </c>
      <c r="AZ146" s="2">
        <f>((($AX$146-$AX$145)*(AZ147-AZ145))/($AX$147-$AX$145))+AZ145</f>
        <v>3.2500000000000001E-2</v>
      </c>
      <c r="BA146" s="2"/>
      <c r="BB146" s="2">
        <f>((($AX$146-$AX$145)*(BB147-BB145))/($AX$147-$AX$145))+BB145</f>
        <v>108.8</v>
      </c>
      <c r="BC146" s="2">
        <f>((($AX$146-$AX$145)*(BC147-BC145))/($AX$147-$AX$145))+BC145</f>
        <v>0</v>
      </c>
      <c r="BD146" s="2"/>
      <c r="BE146" s="2">
        <f>((($AX$146-$AX$145)*(BE147-BE145))/($AX$147-$AX$145))+BE145</f>
        <v>0</v>
      </c>
      <c r="BF146" s="2">
        <f>((($AX$146-$AX$145)*(BF147-BF145))/($AX$147-$AX$145))+BF145</f>
        <v>0</v>
      </c>
      <c r="BG146" s="2"/>
      <c r="BH146" s="2">
        <f>((($AX$146-$AX$145)*(BH147-BH145))/($AX$147-$AX$145))+BH145</f>
        <v>0</v>
      </c>
      <c r="BI146" s="2">
        <f>((($AX$146-$AX$145)*(BI147-BI145))/($AX$147-$AX$145))+BI145</f>
        <v>0</v>
      </c>
      <c r="BJ146" s="2"/>
      <c r="BK146" s="2">
        <f>((($AX$146-$AX$145)*(BK147-BK145))/($AX$147-$AX$145))+BK145</f>
        <v>0</v>
      </c>
      <c r="BL146" s="2">
        <f>((($AX$146-$AX$145)*(BL147-BL145))/($AX$147-$AX$145))+BL145</f>
        <v>0</v>
      </c>
      <c r="BM146" s="2"/>
      <c r="DJ146" s="1488" t="s">
        <v>4785</v>
      </c>
      <c r="DK146" s="1489">
        <v>2857</v>
      </c>
      <c r="DL146" s="1489">
        <v>1446</v>
      </c>
      <c r="DM146" s="273"/>
      <c r="DN146" s="273"/>
      <c r="DO146" s="273"/>
      <c r="DP146" s="273"/>
      <c r="DQ146" s="273"/>
      <c r="DR146" s="273"/>
      <c r="DS146" s="273"/>
      <c r="DT146" s="273"/>
    </row>
    <row r="147" spans="1:124">
      <c r="A147" s="2" t="s">
        <v>1051</v>
      </c>
      <c r="B147" s="2" t="s">
        <v>3750</v>
      </c>
      <c r="D147" s="29" t="s">
        <v>1088</v>
      </c>
      <c r="E147" s="29"/>
      <c r="F147" s="29"/>
      <c r="G147" s="29"/>
      <c r="H147" s="29"/>
      <c r="J147" s="29"/>
      <c r="K147" s="29"/>
      <c r="L147" s="29"/>
      <c r="M147" s="29"/>
      <c r="O147" s="29"/>
      <c r="P147" s="29"/>
      <c r="Q147" s="29"/>
      <c r="R147" s="29"/>
      <c r="S147" s="29"/>
      <c r="AX147" s="618">
        <v>13</v>
      </c>
      <c r="AY147" s="618">
        <v>905.2</v>
      </c>
      <c r="AZ147" s="618">
        <v>1.0999999999999999E-2</v>
      </c>
      <c r="BA147" s="618"/>
      <c r="BB147" s="618">
        <v>217.6</v>
      </c>
      <c r="BC147" s="618">
        <v>0</v>
      </c>
      <c r="BD147" s="618"/>
      <c r="BE147" s="618"/>
      <c r="BF147" s="618"/>
      <c r="BG147" s="618"/>
      <c r="BH147" s="618"/>
      <c r="BI147" s="618"/>
      <c r="BJ147" s="618"/>
      <c r="BK147" s="618"/>
      <c r="BL147" s="618"/>
      <c r="BM147" s="618"/>
      <c r="DJ147" s="1488" t="s">
        <v>2936</v>
      </c>
      <c r="DK147" s="1489">
        <v>3064</v>
      </c>
      <c r="DL147" s="1489">
        <v>1521</v>
      </c>
      <c r="DM147" s="273"/>
      <c r="DN147" s="273"/>
      <c r="DO147" s="273"/>
      <c r="DP147" s="273"/>
      <c r="DQ147" s="273"/>
      <c r="DR147" s="273"/>
      <c r="DS147" s="273"/>
      <c r="DT147" s="273"/>
    </row>
    <row r="148" spans="1:124">
      <c r="A148" s="2" t="s">
        <v>1052</v>
      </c>
      <c r="B148" s="2"/>
      <c r="D148" s="29">
        <v>8800</v>
      </c>
      <c r="E148" s="29"/>
      <c r="F148" s="29"/>
      <c r="G148" s="29"/>
      <c r="H148" s="29"/>
      <c r="J148" s="29"/>
      <c r="K148" s="29"/>
      <c r="L148" s="29"/>
      <c r="M148" s="29"/>
      <c r="O148" s="29"/>
      <c r="P148" s="29"/>
      <c r="Q148" s="29"/>
      <c r="R148" s="29"/>
      <c r="S148" s="29"/>
      <c r="AX148" s="2">
        <v>14</v>
      </c>
      <c r="AY148" s="2">
        <f t="shared" ref="AY148:AZ150" si="31">((($AX148-$AX$147)*(AY$151-AY$147))/($AX$151-$AX$147))+AY$147</f>
        <v>981.40000000000009</v>
      </c>
      <c r="AZ148" s="2">
        <f t="shared" si="31"/>
        <v>1.6750000000000001E-2</v>
      </c>
      <c r="BA148" s="2"/>
      <c r="BB148" s="2">
        <f>((($AX148-$AX$147)*(BB$151-BB$147))/($AX$151-$AX$147))+BB$147</f>
        <v>293.79999999999995</v>
      </c>
      <c r="BC148" s="2">
        <f t="shared" ref="BC148:BL148" si="32">((($AX148-$AX$147)*(BC$151-BC$147))/($AX$151-$AX$147))+BC$147</f>
        <v>5.7499999999999999E-3</v>
      </c>
      <c r="BD148" s="2"/>
      <c r="BE148" s="2">
        <f t="shared" si="32"/>
        <v>76.2</v>
      </c>
      <c r="BF148" s="2">
        <f t="shared" si="32"/>
        <v>0</v>
      </c>
      <c r="BG148" s="2"/>
      <c r="BH148" s="2">
        <f t="shared" si="32"/>
        <v>0</v>
      </c>
      <c r="BI148" s="2">
        <f t="shared" si="32"/>
        <v>0</v>
      </c>
      <c r="BJ148" s="2"/>
      <c r="BK148" s="2">
        <f t="shared" si="32"/>
        <v>0</v>
      </c>
      <c r="BL148" s="2">
        <f t="shared" si="32"/>
        <v>0</v>
      </c>
      <c r="BM148" s="2"/>
      <c r="DJ148" s="1488" t="s">
        <v>2382</v>
      </c>
      <c r="DK148" s="1489">
        <v>4833</v>
      </c>
      <c r="DL148" s="1489">
        <v>2157</v>
      </c>
      <c r="DM148" s="273"/>
      <c r="DN148" s="273"/>
      <c r="DO148" s="273"/>
      <c r="DP148" s="273"/>
      <c r="DQ148" s="273"/>
      <c r="DR148" s="273"/>
      <c r="DS148" s="273"/>
      <c r="DT148" s="273"/>
    </row>
    <row r="149" spans="1:124">
      <c r="A149" s="2" t="s">
        <v>3749</v>
      </c>
      <c r="B149" s="2"/>
      <c r="D149" s="29">
        <v>8810</v>
      </c>
      <c r="E149" s="29"/>
      <c r="F149" s="29"/>
      <c r="G149" s="29"/>
      <c r="H149" s="29"/>
      <c r="J149" s="29"/>
      <c r="K149" s="29"/>
      <c r="L149" s="29"/>
      <c r="M149" s="29"/>
      <c r="O149" s="29"/>
      <c r="P149" s="29"/>
      <c r="Q149" s="29"/>
      <c r="R149" s="29"/>
      <c r="S149" s="29"/>
      <c r="AX149" s="2">
        <v>15</v>
      </c>
      <c r="AY149" s="2">
        <f t="shared" si="31"/>
        <v>1057.5999999999999</v>
      </c>
      <c r="AZ149" s="2">
        <f t="shared" si="31"/>
        <v>2.2499999999999999E-2</v>
      </c>
      <c r="BA149" s="2"/>
      <c r="BB149" s="2">
        <f t="shared" ref="BB149:BL150" si="33">((($AX149-$AX$147)*(BB$151-BB$147))/($AX$151-$AX$147))+BB$147</f>
        <v>370</v>
      </c>
      <c r="BC149" s="2">
        <f t="shared" si="33"/>
        <v>1.15E-2</v>
      </c>
      <c r="BD149" s="2"/>
      <c r="BE149" s="2">
        <f t="shared" si="33"/>
        <v>152.4</v>
      </c>
      <c r="BF149" s="2">
        <f t="shared" si="33"/>
        <v>0</v>
      </c>
      <c r="BG149" s="2"/>
      <c r="BH149" s="2">
        <f t="shared" si="33"/>
        <v>0</v>
      </c>
      <c r="BI149" s="2">
        <f t="shared" si="33"/>
        <v>0</v>
      </c>
      <c r="BJ149" s="2"/>
      <c r="BK149" s="2">
        <f t="shared" si="33"/>
        <v>0</v>
      </c>
      <c r="BL149" s="2">
        <f t="shared" si="33"/>
        <v>0</v>
      </c>
      <c r="BM149" s="2"/>
      <c r="DJ149" s="1488" t="s">
        <v>2937</v>
      </c>
      <c r="DK149" s="1489">
        <v>2857</v>
      </c>
      <c r="DL149" s="1489">
        <v>1446</v>
      </c>
      <c r="DM149" s="273"/>
      <c r="DN149" s="273"/>
      <c r="DO149" s="273"/>
      <c r="DP149" s="273"/>
      <c r="DQ149" s="273"/>
      <c r="DR149" s="273"/>
      <c r="DS149" s="273"/>
      <c r="DT149" s="273"/>
    </row>
    <row r="150" spans="1:124">
      <c r="A150" s="2" t="s">
        <v>1053</v>
      </c>
      <c r="B150" s="2"/>
      <c r="D150" s="29">
        <v>8820</v>
      </c>
      <c r="E150" s="29"/>
      <c r="F150" s="29"/>
      <c r="G150" s="29"/>
      <c r="H150" s="29"/>
      <c r="J150" s="29"/>
      <c r="K150" s="29"/>
      <c r="L150" s="29"/>
      <c r="M150" s="29"/>
      <c r="O150" s="29"/>
      <c r="P150" s="29"/>
      <c r="Q150" s="29"/>
      <c r="R150" s="29"/>
      <c r="S150" s="29"/>
      <c r="AX150" s="2">
        <v>16</v>
      </c>
      <c r="AY150" s="2">
        <f t="shared" si="31"/>
        <v>1133.8</v>
      </c>
      <c r="AZ150" s="2">
        <f t="shared" si="31"/>
        <v>2.8250000000000001E-2</v>
      </c>
      <c r="BA150" s="2"/>
      <c r="BB150" s="2">
        <f t="shared" si="33"/>
        <v>446.19999999999993</v>
      </c>
      <c r="BC150" s="2">
        <f t="shared" si="33"/>
        <v>1.7250000000000001E-2</v>
      </c>
      <c r="BD150" s="2"/>
      <c r="BE150" s="2">
        <f t="shared" si="33"/>
        <v>228.60000000000002</v>
      </c>
      <c r="BF150" s="2">
        <f t="shared" si="33"/>
        <v>0</v>
      </c>
      <c r="BG150" s="2"/>
      <c r="BH150" s="2">
        <f t="shared" si="33"/>
        <v>0</v>
      </c>
      <c r="BI150" s="2">
        <f t="shared" si="33"/>
        <v>0</v>
      </c>
      <c r="BJ150" s="2"/>
      <c r="BK150" s="2">
        <f t="shared" si="33"/>
        <v>0</v>
      </c>
      <c r="BL150" s="2">
        <f t="shared" si="33"/>
        <v>0</v>
      </c>
      <c r="BM150" s="2"/>
      <c r="DJ150" s="1488" t="s">
        <v>2413</v>
      </c>
      <c r="DK150" s="1489">
        <v>3748</v>
      </c>
      <c r="DL150" s="1489">
        <v>1767</v>
      </c>
      <c r="DM150" s="273"/>
      <c r="DN150" s="273"/>
      <c r="DO150" s="273"/>
      <c r="DP150" s="273"/>
      <c r="DQ150" s="273"/>
      <c r="DR150" s="273"/>
      <c r="DS150" s="273"/>
      <c r="DT150" s="273"/>
    </row>
    <row r="151" spans="1:124">
      <c r="D151" s="29">
        <v>8830</v>
      </c>
      <c r="E151" s="29"/>
      <c r="F151" s="29"/>
      <c r="G151" s="29"/>
      <c r="H151" s="29"/>
      <c r="J151" s="29"/>
      <c r="K151" s="29"/>
      <c r="L151" s="29"/>
      <c r="M151" s="29"/>
      <c r="O151" s="29"/>
      <c r="P151" s="29"/>
      <c r="Q151" s="29"/>
      <c r="R151" s="29"/>
      <c r="S151" s="29"/>
      <c r="AX151" s="618">
        <v>17</v>
      </c>
      <c r="AY151" s="618">
        <v>1210</v>
      </c>
      <c r="AZ151" s="618">
        <v>3.4000000000000002E-2</v>
      </c>
      <c r="BA151" s="618"/>
      <c r="BB151" s="618">
        <v>522.4</v>
      </c>
      <c r="BC151" s="618">
        <v>2.3E-2</v>
      </c>
      <c r="BD151" s="618"/>
      <c r="BE151" s="618">
        <v>304.8</v>
      </c>
      <c r="BF151" s="618">
        <v>0</v>
      </c>
      <c r="BG151" s="618"/>
      <c r="BH151" s="618"/>
      <c r="BI151" s="618"/>
      <c r="BJ151" s="618"/>
      <c r="BK151" s="618"/>
      <c r="BL151" s="618"/>
      <c r="BM151" s="618"/>
      <c r="DJ151" s="1488" t="s">
        <v>2893</v>
      </c>
      <c r="DK151" s="1489">
        <v>1954</v>
      </c>
      <c r="DL151" s="1489">
        <v>1121</v>
      </c>
      <c r="DM151" s="273"/>
      <c r="DN151" s="273"/>
      <c r="DO151" s="273"/>
      <c r="DP151" s="273"/>
      <c r="DQ151" s="273"/>
      <c r="DR151" s="273"/>
      <c r="DS151" s="273"/>
      <c r="DT151" s="273"/>
    </row>
    <row r="152" spans="1:124">
      <c r="D152" s="29">
        <v>8840</v>
      </c>
      <c r="E152" s="29"/>
      <c r="F152" s="29"/>
      <c r="G152" s="29"/>
      <c r="H152" s="29"/>
      <c r="J152" s="29"/>
      <c r="K152" s="29"/>
      <c r="L152" s="29"/>
      <c r="M152" s="29"/>
      <c r="O152" s="29"/>
      <c r="P152" s="29"/>
      <c r="Q152" s="29"/>
      <c r="R152" s="29"/>
      <c r="S152" s="29"/>
      <c r="AX152" s="2">
        <v>18</v>
      </c>
      <c r="AY152" s="2">
        <f>((($AX$152-$AX$151)*(AY153-AY151))/($AX$153-$AX$151))+AY151</f>
        <v>1264.8</v>
      </c>
      <c r="AZ152" s="2">
        <f>((($AX$152-$AX$151)*(AZ153-AZ151))/($AX$153-$AX$151))+AZ151</f>
        <v>3.4000000000000002E-2</v>
      </c>
      <c r="BA152" s="2"/>
      <c r="BB152" s="2">
        <f>((($AX$152-$AX$151)*(BB153-BB151))/($AX$153-$AX$151))+BB151</f>
        <v>577.20000000000005</v>
      </c>
      <c r="BC152" s="2">
        <f>((($AX$152-$AX$151)*(BC153-BC151))/($AX$153-$AX$151))+BC151</f>
        <v>2.3E-2</v>
      </c>
      <c r="BD152" s="2"/>
      <c r="BE152" s="2">
        <f t="shared" ref="BE152:BL152" si="34">((($AX$152-$AX$151)*(BE153-BE151))/($AX$153-$AX$151))+BE151</f>
        <v>359.6</v>
      </c>
      <c r="BF152" s="2">
        <f t="shared" si="34"/>
        <v>0</v>
      </c>
      <c r="BG152" s="2"/>
      <c r="BH152" s="2">
        <f t="shared" si="34"/>
        <v>54.8</v>
      </c>
      <c r="BI152" s="2">
        <f t="shared" si="34"/>
        <v>0</v>
      </c>
      <c r="BJ152" s="2"/>
      <c r="BK152" s="2">
        <f t="shared" si="34"/>
        <v>0</v>
      </c>
      <c r="BL152" s="2">
        <f t="shared" si="34"/>
        <v>0</v>
      </c>
      <c r="BM152" s="2"/>
      <c r="DJ152" s="1488" t="s">
        <v>4444</v>
      </c>
      <c r="DK152" s="1489">
        <v>7665</v>
      </c>
      <c r="DL152" s="1489">
        <v>3177</v>
      </c>
      <c r="DM152" s="273"/>
      <c r="DN152" s="273"/>
      <c r="DO152" s="273"/>
      <c r="DP152" s="273"/>
      <c r="DQ152" s="273"/>
      <c r="DR152" s="273"/>
      <c r="DS152" s="273"/>
      <c r="DT152" s="273"/>
    </row>
    <row r="153" spans="1:124">
      <c r="E153" s="29"/>
      <c r="F153" s="29"/>
      <c r="G153" s="29"/>
      <c r="H153" s="29"/>
      <c r="I153" s="29"/>
      <c r="J153" s="29"/>
      <c r="K153" s="29"/>
      <c r="L153" s="29"/>
      <c r="M153" s="29"/>
      <c r="N153" s="29"/>
      <c r="O153" s="29"/>
      <c r="P153" s="29"/>
      <c r="Q153" s="29"/>
      <c r="S153" s="29"/>
      <c r="AX153" s="618">
        <v>19</v>
      </c>
      <c r="AY153" s="618">
        <v>1319.6</v>
      </c>
      <c r="AZ153" s="618">
        <v>3.4000000000000002E-2</v>
      </c>
      <c r="BA153" s="618"/>
      <c r="BB153" s="618">
        <v>632</v>
      </c>
      <c r="BC153" s="618">
        <v>2.3E-2</v>
      </c>
      <c r="BD153" s="618"/>
      <c r="BE153" s="618">
        <v>414.4</v>
      </c>
      <c r="BF153" s="618">
        <v>0</v>
      </c>
      <c r="BG153" s="618"/>
      <c r="BH153" s="618">
        <v>109.6</v>
      </c>
      <c r="BI153" s="618">
        <v>0</v>
      </c>
      <c r="BJ153" s="618"/>
      <c r="BK153" s="618">
        <v>0</v>
      </c>
      <c r="BL153" s="618">
        <v>0</v>
      </c>
      <c r="BM153" s="618"/>
      <c r="DJ153" s="1488" t="s">
        <v>4441</v>
      </c>
      <c r="DK153" s="1489">
        <v>7665</v>
      </c>
      <c r="DL153" s="1489">
        <v>3177</v>
      </c>
      <c r="DM153" s="273"/>
      <c r="DN153" s="273"/>
      <c r="DO153" s="273"/>
      <c r="DP153" s="273"/>
      <c r="DQ153" s="273"/>
      <c r="DR153" s="273"/>
      <c r="DS153" s="273"/>
      <c r="DT153" s="273"/>
    </row>
    <row r="154" spans="1:124">
      <c r="E154" s="29"/>
      <c r="F154" s="29"/>
      <c r="G154" s="29"/>
      <c r="H154" s="29"/>
      <c r="I154" s="29"/>
      <c r="J154" s="29"/>
      <c r="K154" s="29"/>
      <c r="L154" s="29"/>
      <c r="M154" s="29"/>
      <c r="N154" s="29"/>
      <c r="O154" s="29"/>
      <c r="P154" s="29"/>
      <c r="Q154" s="29"/>
      <c r="S154" s="29"/>
      <c r="AX154" s="2">
        <v>20</v>
      </c>
      <c r="AY154" s="2">
        <f>((($AX$154-$AX$153)*(AY155-AY153))/($AX$155-$AX$153))+AY153</f>
        <v>1365.3</v>
      </c>
      <c r="AZ154" s="2">
        <f>((($AX$154-$AX$153)*(AZ155-AZ153))/($AX$155-$AX$153))+AZ153</f>
        <v>0.04</v>
      </c>
      <c r="BA154" s="2"/>
      <c r="BB154" s="2">
        <f>((($AX$154-$AX$153)*(BB155-BB153))/($AX$155-$AX$153))+BB153</f>
        <v>677.7</v>
      </c>
      <c r="BC154" s="2">
        <f>((($AX$154-$AX$153)*(BC155-BC153))/($AX$155-$AX$153))+BC153</f>
        <v>2.8500000000000001E-2</v>
      </c>
      <c r="BD154" s="2"/>
      <c r="BE154" s="2">
        <f>((($AX$154-$AX$153)*(BE155-BE153))/($AX$155-$AX$153))+BE153</f>
        <v>460.1</v>
      </c>
      <c r="BF154" s="2">
        <f>((($AX$154-$AX$153)*(BF155-BF153))/($AX$155-$AX$153))+BF153</f>
        <v>5.4999999999999997E-3</v>
      </c>
      <c r="BG154" s="2"/>
      <c r="BH154" s="2">
        <f>((($AX$154-$AX$153)*(BH155-BH153))/($AX$155-$AX$153))+BH153</f>
        <v>155.30000000000001</v>
      </c>
      <c r="BI154" s="2">
        <f>((($AX$154-$AX$153)*(BI155-BI153))/($AX$155-$AX$153))+BI153</f>
        <v>5.4999999999999997E-3</v>
      </c>
      <c r="BJ154" s="2"/>
      <c r="BK154" s="2">
        <f>((($AX$154-$AX$153)*(BK155-BK153))/($AX$155-$AX$153))+BK153</f>
        <v>45.7</v>
      </c>
      <c r="BL154" s="2">
        <f>((($AX$154-$AX$153)*(BL155-BL153))/($AX$155-$AX$153))+BL153</f>
        <v>0</v>
      </c>
      <c r="BM154" s="2"/>
      <c r="DJ154" s="1488" t="s">
        <v>2894</v>
      </c>
      <c r="DK154" s="1489">
        <v>3748</v>
      </c>
      <c r="DL154" s="1489">
        <v>1767</v>
      </c>
      <c r="DM154" s="273"/>
      <c r="DN154" s="273"/>
      <c r="DO154" s="273"/>
      <c r="DP154" s="273"/>
      <c r="DQ154" s="273"/>
      <c r="DR154" s="273"/>
      <c r="DS154" s="273"/>
      <c r="DT154" s="273"/>
    </row>
    <row r="155" spans="1:124">
      <c r="S155" s="29"/>
      <c r="AX155" s="618">
        <v>21</v>
      </c>
      <c r="AY155" s="618">
        <v>1411</v>
      </c>
      <c r="AZ155" s="618">
        <v>4.5999999999999999E-2</v>
      </c>
      <c r="BA155" s="618"/>
      <c r="BB155" s="618">
        <v>723.4</v>
      </c>
      <c r="BC155" s="618">
        <v>3.4000000000000002E-2</v>
      </c>
      <c r="BD155" s="618"/>
      <c r="BE155" s="618">
        <v>505.8</v>
      </c>
      <c r="BF155" s="618">
        <v>1.0999999999999999E-2</v>
      </c>
      <c r="BG155" s="618"/>
      <c r="BH155" s="618">
        <v>201</v>
      </c>
      <c r="BI155" s="618">
        <v>1.0999999999999999E-2</v>
      </c>
      <c r="BJ155" s="618"/>
      <c r="BK155" s="618">
        <v>91.4</v>
      </c>
      <c r="BL155" s="618">
        <v>0</v>
      </c>
      <c r="BM155" s="618"/>
      <c r="DJ155" s="1488" t="s">
        <v>2895</v>
      </c>
      <c r="DK155" s="1489">
        <v>5840</v>
      </c>
      <c r="DL155" s="1489">
        <v>2520</v>
      </c>
      <c r="DM155" s="273"/>
      <c r="DN155" s="273"/>
      <c r="DO155" s="273"/>
      <c r="DP155" s="273"/>
      <c r="DQ155" s="273"/>
      <c r="DR155" s="273"/>
      <c r="DS155" s="273"/>
      <c r="DT155" s="273"/>
    </row>
    <row r="156" spans="1:124">
      <c r="D156" t="s">
        <v>1093</v>
      </c>
      <c r="S156" s="29"/>
      <c r="AX156" s="2">
        <v>22</v>
      </c>
      <c r="AY156" s="2">
        <f t="shared" ref="AY156:AZ158" si="35">((($AX156-$AX$155)*(AY$159-AY$155))/($AX$159-$AX$155))+AY$155</f>
        <v>1447.5</v>
      </c>
      <c r="AZ156" s="2">
        <f t="shared" si="35"/>
        <v>4.5999999999999999E-2</v>
      </c>
      <c r="BA156" s="2"/>
      <c r="BB156" s="2">
        <f t="shared" ref="BB156:BC158" si="36">((($AX156-$AX$155)*(BB$159-BB$155))/($AX$159-$AX$155))+BB$155</f>
        <v>759.92499999999995</v>
      </c>
      <c r="BC156" s="2">
        <f t="shared" si="36"/>
        <v>3.4000000000000002E-2</v>
      </c>
      <c r="BD156" s="2"/>
      <c r="BE156" s="2">
        <f t="shared" ref="BE156:BF158" si="37">((($AX156-$AX$155)*(BE$159-BE$155))/($AX$159-$AX$155))+BE$155</f>
        <v>542.32500000000005</v>
      </c>
      <c r="BF156" s="2">
        <f t="shared" si="37"/>
        <v>1.0999999999999999E-2</v>
      </c>
      <c r="BG156" s="2"/>
      <c r="BH156" s="2">
        <f>((($AX156-$AX$155)*(BF$159-BF$155))/($AX$159-$AX$155))+BF$155</f>
        <v>1.0999999999999999E-2</v>
      </c>
      <c r="BI156" s="2">
        <f>((($AX156-$AX$155)*(BI$159-BI$155))/($AX$159-$AX$155))+BI$155</f>
        <v>1.0999999999999999E-2</v>
      </c>
      <c r="BJ156" s="2"/>
      <c r="BK156" s="2">
        <f t="shared" ref="BK156:BL158" si="38">((($AX156-$AX$155)*(BK$159-BK$155))/($AX$159-$AX$155))+BK$155</f>
        <v>127.92500000000001</v>
      </c>
      <c r="BL156" s="2">
        <f t="shared" si="38"/>
        <v>0</v>
      </c>
      <c r="BM156" s="2"/>
      <c r="DJ156" s="1488" t="s">
        <v>2930</v>
      </c>
      <c r="DK156" s="1489">
        <v>3748</v>
      </c>
      <c r="DL156" s="1489">
        <v>1767</v>
      </c>
      <c r="DM156" s="273"/>
      <c r="DN156" s="273"/>
      <c r="DO156" s="273"/>
      <c r="DP156" s="273"/>
      <c r="DQ156" s="273"/>
      <c r="DR156" s="273"/>
      <c r="DS156" s="273"/>
      <c r="DT156" s="273"/>
    </row>
    <row r="157" spans="1:124">
      <c r="D157" s="61" t="s">
        <v>1043</v>
      </c>
      <c r="E157" s="61" t="s">
        <v>1044</v>
      </c>
      <c r="F157" s="61" t="s">
        <v>1045</v>
      </c>
      <c r="G157" s="61" t="s">
        <v>1046</v>
      </c>
      <c r="H157" s="61" t="s">
        <v>1047</v>
      </c>
      <c r="I157" s="61" t="s">
        <v>1079</v>
      </c>
      <c r="J157" s="61" t="s">
        <v>456</v>
      </c>
      <c r="K157" s="61" t="s">
        <v>1048</v>
      </c>
      <c r="L157" s="61" t="s">
        <v>1049</v>
      </c>
      <c r="M157" s="61" t="s">
        <v>1050</v>
      </c>
      <c r="N157" s="61" t="s">
        <v>1089</v>
      </c>
      <c r="O157" s="61" t="s">
        <v>363</v>
      </c>
      <c r="P157" s="61" t="s">
        <v>1051</v>
      </c>
      <c r="Q157" s="61" t="s">
        <v>1052</v>
      </c>
      <c r="R157" s="61" t="s">
        <v>3749</v>
      </c>
      <c r="S157" s="61" t="s">
        <v>1053</v>
      </c>
      <c r="AX157" s="2">
        <v>23</v>
      </c>
      <c r="AY157" s="2">
        <f t="shared" si="35"/>
        <v>1484</v>
      </c>
      <c r="AZ157" s="2">
        <f t="shared" si="35"/>
        <v>4.5999999999999999E-2</v>
      </c>
      <c r="BA157" s="2"/>
      <c r="BB157" s="2">
        <f t="shared" si="36"/>
        <v>796.45</v>
      </c>
      <c r="BC157" s="2">
        <f t="shared" si="36"/>
        <v>3.4000000000000002E-2</v>
      </c>
      <c r="BD157" s="2"/>
      <c r="BE157" s="2">
        <f t="shared" si="37"/>
        <v>578.85</v>
      </c>
      <c r="BF157" s="2">
        <f t="shared" si="37"/>
        <v>1.0999999999999999E-2</v>
      </c>
      <c r="BG157" s="2"/>
      <c r="BH157" s="2">
        <f>((($AX157-$AX$155)*(BH$159-BH$155))/($AX$159-$AX$155))+BH$155</f>
        <v>274.05</v>
      </c>
      <c r="BI157" s="2">
        <f>((($AX157-$AX$155)*(BI$159-BI$155))/($AX$159-$AX$155))+BI$155</f>
        <v>1.0999999999999999E-2</v>
      </c>
      <c r="BJ157" s="2"/>
      <c r="BK157" s="2">
        <f t="shared" si="38"/>
        <v>164.45</v>
      </c>
      <c r="BL157" s="2">
        <f t="shared" si="38"/>
        <v>0</v>
      </c>
      <c r="BM157" s="2"/>
      <c r="DJ157" s="1488" t="s">
        <v>2418</v>
      </c>
      <c r="DK157" s="1489">
        <v>3748</v>
      </c>
      <c r="DL157" s="1489">
        <v>1767</v>
      </c>
      <c r="DM157" s="273"/>
      <c r="DN157" s="273"/>
      <c r="DO157" s="273"/>
      <c r="DP157" s="273"/>
      <c r="DQ157" s="273"/>
      <c r="DR157" s="273"/>
      <c r="DS157" s="273"/>
      <c r="DT157" s="273"/>
    </row>
    <row r="158" spans="1:124">
      <c r="D158" s="29">
        <v>8446</v>
      </c>
      <c r="E158" s="29" t="s">
        <v>1095</v>
      </c>
      <c r="F158" s="29" t="s">
        <v>1096</v>
      </c>
      <c r="G158" s="29" t="s">
        <v>1097</v>
      </c>
      <c r="H158" s="29" t="s">
        <v>1098</v>
      </c>
      <c r="I158" s="29" t="s">
        <v>3752</v>
      </c>
      <c r="J158" s="29" t="s">
        <v>1099</v>
      </c>
      <c r="K158" s="29" t="s">
        <v>1100</v>
      </c>
      <c r="L158" s="29" t="s">
        <v>1101</v>
      </c>
      <c r="M158" s="29" t="s">
        <v>1102</v>
      </c>
      <c r="N158" t="s">
        <v>1179</v>
      </c>
      <c r="O158" s="29" t="s">
        <v>3759</v>
      </c>
      <c r="P158" s="29" t="s">
        <v>1104</v>
      </c>
      <c r="Q158" s="29" t="s">
        <v>1105</v>
      </c>
      <c r="R158" s="29" t="s">
        <v>3756</v>
      </c>
      <c r="S158" s="29">
        <v>564</v>
      </c>
      <c r="AX158" s="2">
        <v>24</v>
      </c>
      <c r="AY158" s="2">
        <f t="shared" si="35"/>
        <v>1520.5</v>
      </c>
      <c r="AZ158" s="2">
        <f t="shared" si="35"/>
        <v>4.5999999999999999E-2</v>
      </c>
      <c r="BA158" s="2"/>
      <c r="BB158" s="2">
        <f t="shared" si="36"/>
        <v>832.97500000000002</v>
      </c>
      <c r="BC158" s="2">
        <f t="shared" si="36"/>
        <v>3.4000000000000002E-2</v>
      </c>
      <c r="BD158" s="2"/>
      <c r="BE158" s="2">
        <f t="shared" si="37"/>
        <v>615.375</v>
      </c>
      <c r="BF158" s="2">
        <f t="shared" si="37"/>
        <v>1.0999999999999999E-2</v>
      </c>
      <c r="BG158" s="2"/>
      <c r="BH158" s="2">
        <f>((($AX158-$AX$155)*(BH$159-BH$155))/($AX$159-$AX$155))+BH$155</f>
        <v>310.57500000000005</v>
      </c>
      <c r="BI158" s="2">
        <f>((($AX158-$AX$155)*(BI$159-BI$155))/($AX$159-$AX$155))+BI$155</f>
        <v>1.0999999999999999E-2</v>
      </c>
      <c r="BJ158" s="2"/>
      <c r="BK158" s="2">
        <f t="shared" si="38"/>
        <v>200.97499999999999</v>
      </c>
      <c r="BL158" s="2">
        <f t="shared" si="38"/>
        <v>0</v>
      </c>
      <c r="BM158" s="2"/>
      <c r="DJ158" s="1488" t="s">
        <v>4786</v>
      </c>
      <c r="DK158" s="1489">
        <v>4368</v>
      </c>
      <c r="DL158" s="1489">
        <v>1990</v>
      </c>
      <c r="DM158" s="273"/>
      <c r="DN158" s="273"/>
      <c r="DO158" s="273"/>
      <c r="DP158" s="273"/>
      <c r="DQ158" s="273"/>
      <c r="DR158" s="273"/>
      <c r="DS158" s="273"/>
      <c r="DT158" s="273"/>
    </row>
    <row r="159" spans="1:124">
      <c r="D159" s="29">
        <v>8448</v>
      </c>
      <c r="E159" s="29"/>
      <c r="F159" s="29" t="s">
        <v>1098</v>
      </c>
      <c r="G159" s="29" t="s">
        <v>3760</v>
      </c>
      <c r="H159" s="29" t="s">
        <v>1106</v>
      </c>
      <c r="J159" s="29" t="s">
        <v>1107</v>
      </c>
      <c r="K159" s="29" t="s">
        <v>1108</v>
      </c>
      <c r="L159" s="29" t="s">
        <v>1109</v>
      </c>
      <c r="M159" s="29" t="s">
        <v>1110</v>
      </c>
      <c r="N159" t="s">
        <v>3754</v>
      </c>
      <c r="O159" s="29" t="s">
        <v>1103</v>
      </c>
      <c r="P159" s="29" t="s">
        <v>1112</v>
      </c>
      <c r="Q159" s="29" t="s">
        <v>1113</v>
      </c>
      <c r="R159" s="29"/>
      <c r="S159" s="29" t="s">
        <v>1114</v>
      </c>
      <c r="AX159" s="618">
        <v>25</v>
      </c>
      <c r="AY159" s="618">
        <v>1557</v>
      </c>
      <c r="AZ159" s="618">
        <v>4.5999999999999999E-2</v>
      </c>
      <c r="BA159" s="618"/>
      <c r="BB159" s="618">
        <v>869.5</v>
      </c>
      <c r="BC159" s="618">
        <v>3.4000000000000002E-2</v>
      </c>
      <c r="BD159" s="618"/>
      <c r="BE159" s="618">
        <v>651.9</v>
      </c>
      <c r="BF159" s="618">
        <v>1.0999999999999999E-2</v>
      </c>
      <c r="BG159" s="618"/>
      <c r="BH159" s="618">
        <v>347.1</v>
      </c>
      <c r="BI159" s="618">
        <v>1.0999999999999999E-2</v>
      </c>
      <c r="BJ159" s="618"/>
      <c r="BK159" s="618">
        <v>237.5</v>
      </c>
      <c r="BL159" s="618">
        <v>0</v>
      </c>
      <c r="BM159" s="618"/>
      <c r="DJ159" s="1488" t="s">
        <v>2896</v>
      </c>
      <c r="DK159" s="1489">
        <v>5477</v>
      </c>
      <c r="DL159" s="1489">
        <v>2389</v>
      </c>
      <c r="DM159" s="273"/>
      <c r="DN159" s="273"/>
      <c r="DO159" s="273"/>
      <c r="DP159" s="273"/>
      <c r="DQ159" s="273"/>
      <c r="DR159" s="273"/>
      <c r="DS159" s="273"/>
      <c r="DT159" s="273"/>
    </row>
    <row r="160" spans="1:124">
      <c r="D160" s="29">
        <v>8476</v>
      </c>
      <c r="E160" s="29"/>
      <c r="F160" s="29" t="s">
        <v>1106</v>
      </c>
      <c r="G160" s="29" t="s">
        <v>3761</v>
      </c>
      <c r="H160" s="29" t="s">
        <v>1115</v>
      </c>
      <c r="J160" s="29" t="s">
        <v>1116</v>
      </c>
      <c r="K160" s="29" t="s">
        <v>1117</v>
      </c>
      <c r="L160" s="29" t="s">
        <v>1118</v>
      </c>
      <c r="M160" s="29"/>
      <c r="O160" s="29" t="s">
        <v>1111</v>
      </c>
      <c r="P160" s="29" t="s">
        <v>1120</v>
      </c>
      <c r="Q160" s="29"/>
      <c r="R160" s="29"/>
      <c r="S160" s="29">
        <v>557</v>
      </c>
      <c r="AX160" s="2">
        <v>26</v>
      </c>
      <c r="AY160" s="2">
        <f>((($AX$160-$AX$159)*(AY161-AY159))/($AX$161-$AX$159))+AY159</f>
        <v>1580.4</v>
      </c>
      <c r="AZ160" s="2">
        <f>((($AX$160-$AX$159)*(AZ161-AZ159))/($AX$161-$AX$159))+AZ159</f>
        <v>4.5999999999999999E-2</v>
      </c>
      <c r="BA160" s="2"/>
      <c r="BB160" s="2">
        <f>((($AX$160-$AX$159)*(BB161-BB159))/($AX$161-$AX$159))+BB159</f>
        <v>892.9</v>
      </c>
      <c r="BC160" s="2">
        <f>((($AX$160-$AX$159)*(BC161-BC159))/($AX$161-$AX$159))+BC159</f>
        <v>3.4000000000000002E-2</v>
      </c>
      <c r="BD160" s="2"/>
      <c r="BE160" s="2">
        <f>((($AX$160-$AX$159)*(BE161-BE159))/($AX$161-$AX$159))+BE159</f>
        <v>675.3</v>
      </c>
      <c r="BF160" s="2">
        <f>((($AX$160-$AX$159)*(BF161-BF159))/($AX$161-$AX$159))+BF159</f>
        <v>6.0499999999999998E-2</v>
      </c>
      <c r="BG160" s="2"/>
      <c r="BH160" s="2">
        <f>((($AX$160-$AX$159)*(BH161-BH159))/($AX$161-$AX$159))+BH159</f>
        <v>370.5</v>
      </c>
      <c r="BI160" s="2">
        <f>((($AX$160-$AX$159)*(BI161-BI159))/($AX$161-$AX$159))+BI159</f>
        <v>1.0999999999999999E-2</v>
      </c>
      <c r="BJ160" s="2"/>
      <c r="BK160" s="2">
        <f>((($AX$160-$AX$159)*(BK161-BK159))/($AX$161-$AX$159))+BK159</f>
        <v>260.89999999999998</v>
      </c>
      <c r="BL160" s="2">
        <f>((($AX$160-$AX$159)*(BL161-BL159))/($AX$161-$AX$159))+BL159</f>
        <v>0</v>
      </c>
      <c r="BM160" s="2"/>
      <c r="DJ160" s="1488" t="s">
        <v>2897</v>
      </c>
      <c r="DK160" s="1489">
        <v>2586</v>
      </c>
      <c r="DL160" s="1489">
        <v>1348</v>
      </c>
      <c r="DM160" s="273"/>
      <c r="DN160" s="273"/>
      <c r="DO160" s="273"/>
      <c r="DP160" s="273"/>
      <c r="DQ160" s="273"/>
      <c r="DR160" s="273"/>
      <c r="DS160" s="273"/>
      <c r="DT160" s="273"/>
    </row>
    <row r="161" spans="1:124">
      <c r="A161" t="s">
        <v>1092</v>
      </c>
      <c r="D161" s="29">
        <v>8600</v>
      </c>
      <c r="E161" s="29"/>
      <c r="F161" s="29" t="s">
        <v>1115</v>
      </c>
      <c r="G161" s="29"/>
      <c r="H161" s="29" t="s">
        <v>1121</v>
      </c>
      <c r="J161" s="29"/>
      <c r="K161" s="29" t="s">
        <v>1122</v>
      </c>
      <c r="L161" s="29" t="s">
        <v>1123</v>
      </c>
      <c r="M161" s="29"/>
      <c r="O161" s="29" t="s">
        <v>1119</v>
      </c>
      <c r="P161" s="29" t="s">
        <v>1125</v>
      </c>
      <c r="Q161" s="29"/>
      <c r="R161" s="29"/>
      <c r="S161" s="29">
        <v>563</v>
      </c>
      <c r="AX161" s="618">
        <v>27</v>
      </c>
      <c r="AY161" s="618">
        <v>1603.8</v>
      </c>
      <c r="AZ161" s="618">
        <v>4.5999999999999999E-2</v>
      </c>
      <c r="BA161" s="618"/>
      <c r="BB161" s="618">
        <v>916.3</v>
      </c>
      <c r="BC161" s="618">
        <v>3.4000000000000002E-2</v>
      </c>
      <c r="BD161" s="618"/>
      <c r="BE161" s="618">
        <v>698.7</v>
      </c>
      <c r="BF161" s="618">
        <v>0.11</v>
      </c>
      <c r="BG161" s="618"/>
      <c r="BH161" s="618">
        <v>393.9</v>
      </c>
      <c r="BI161" s="618">
        <v>1.0999999999999999E-2</v>
      </c>
      <c r="BJ161" s="618"/>
      <c r="BK161" s="618">
        <v>284.3</v>
      </c>
      <c r="BL161" s="618">
        <v>0</v>
      </c>
      <c r="BM161" s="618"/>
      <c r="DJ161" s="1488" t="s">
        <v>2898</v>
      </c>
      <c r="DK161" s="1489">
        <v>7665</v>
      </c>
      <c r="DL161" s="1489">
        <v>3177</v>
      </c>
      <c r="DM161" s="273"/>
      <c r="DN161" s="273"/>
      <c r="DO161" s="273"/>
      <c r="DP161" s="273"/>
      <c r="DQ161" s="273"/>
      <c r="DR161" s="273"/>
      <c r="DS161" s="273"/>
      <c r="DT161" s="273"/>
    </row>
    <row r="162" spans="1:124">
      <c r="A162" s="61" t="s">
        <v>655</v>
      </c>
      <c r="B162" s="61" t="s">
        <v>1094</v>
      </c>
      <c r="D162" s="29">
        <v>8620</v>
      </c>
      <c r="E162" s="29"/>
      <c r="F162" s="29"/>
      <c r="G162" s="29"/>
      <c r="H162" s="29"/>
      <c r="J162" s="29"/>
      <c r="K162" s="29" t="s">
        <v>1126</v>
      </c>
      <c r="L162" s="29"/>
      <c r="M162" s="29"/>
      <c r="O162" s="29" t="s">
        <v>1124</v>
      </c>
      <c r="P162" s="29" t="s">
        <v>1127</v>
      </c>
      <c r="Q162" s="29"/>
      <c r="R162" s="29"/>
      <c r="DJ162" s="1488" t="s">
        <v>2899</v>
      </c>
      <c r="DK162" s="1489">
        <v>3748</v>
      </c>
      <c r="DL162" s="1489">
        <v>1767</v>
      </c>
      <c r="DM162" s="273"/>
      <c r="DN162" s="273"/>
      <c r="DO162" s="273"/>
      <c r="DP162" s="273"/>
      <c r="DQ162" s="273"/>
      <c r="DR162" s="273"/>
      <c r="DS162" s="273"/>
      <c r="DT162" s="273"/>
    </row>
    <row r="163" spans="1:124">
      <c r="A163" s="420">
        <v>8446</v>
      </c>
      <c r="B163" s="2"/>
      <c r="D163" s="29">
        <v>8910</v>
      </c>
      <c r="E163" s="29"/>
      <c r="F163" s="29"/>
      <c r="G163" s="29"/>
      <c r="H163" s="29"/>
      <c r="J163" s="29"/>
      <c r="K163" s="29" t="s">
        <v>1128</v>
      </c>
      <c r="L163" s="29"/>
      <c r="M163" s="29"/>
      <c r="O163" s="29"/>
      <c r="P163" s="29" t="s">
        <v>1129</v>
      </c>
      <c r="Q163" s="29"/>
      <c r="DJ163" s="1488" t="s">
        <v>2900</v>
      </c>
      <c r="DK163" s="1489">
        <v>1949</v>
      </c>
      <c r="DL163" s="1489">
        <v>1119</v>
      </c>
      <c r="DM163" s="273"/>
      <c r="DN163" s="273"/>
      <c r="DO163" s="273"/>
      <c r="DP163" s="273"/>
      <c r="DQ163" s="273"/>
      <c r="DR163" s="273"/>
      <c r="DS163" s="273"/>
      <c r="DT163" s="273"/>
    </row>
    <row r="164" spans="1:124">
      <c r="A164" s="420">
        <v>8448</v>
      </c>
      <c r="B164" s="2"/>
      <c r="D164" s="29" t="s">
        <v>1083</v>
      </c>
      <c r="E164" s="29"/>
      <c r="F164" s="29"/>
      <c r="G164" s="29"/>
      <c r="H164" s="29"/>
      <c r="J164" s="29"/>
      <c r="K164" s="29" t="s">
        <v>1130</v>
      </c>
      <c r="L164" s="29"/>
      <c r="M164" s="29"/>
      <c r="O164" s="29"/>
      <c r="P164" s="29" t="s">
        <v>1131</v>
      </c>
      <c r="Q164" s="29"/>
      <c r="R164" s="29"/>
      <c r="S164" s="29"/>
      <c r="DJ164" s="1488" t="s">
        <v>2901</v>
      </c>
      <c r="DK164" s="1489">
        <v>2602</v>
      </c>
      <c r="DL164" s="1489">
        <v>1354</v>
      </c>
      <c r="DM164" s="273"/>
      <c r="DN164" s="273"/>
      <c r="DO164" s="273"/>
      <c r="DP164" s="273"/>
      <c r="DQ164" s="273"/>
      <c r="DR164" s="273"/>
      <c r="DS164" s="273"/>
      <c r="DT164" s="273"/>
    </row>
    <row r="165" spans="1:124">
      <c r="A165" s="420">
        <v>8465</v>
      </c>
      <c r="B165" s="2"/>
      <c r="D165" s="29" t="s">
        <v>1085</v>
      </c>
      <c r="E165" s="29"/>
      <c r="F165" s="29"/>
      <c r="G165" s="29"/>
      <c r="H165" s="29"/>
      <c r="J165" s="29"/>
      <c r="K165" s="29" t="s">
        <v>1132</v>
      </c>
      <c r="L165" s="29"/>
      <c r="M165" s="29"/>
      <c r="O165" s="29"/>
      <c r="P165" s="29" t="s">
        <v>1133</v>
      </c>
      <c r="Q165" s="29"/>
      <c r="R165" s="29"/>
      <c r="S165" s="29"/>
      <c r="DJ165" s="1488" t="s">
        <v>2902</v>
      </c>
      <c r="DK165" s="1489">
        <v>1955</v>
      </c>
      <c r="DL165" s="1489">
        <v>1121</v>
      </c>
      <c r="DM165" s="273"/>
      <c r="DN165" s="273"/>
      <c r="DO165" s="273"/>
      <c r="DP165" s="273"/>
      <c r="DQ165" s="273"/>
      <c r="DR165" s="273"/>
      <c r="DS165" s="273"/>
      <c r="DT165" s="273"/>
    </row>
    <row r="166" spans="1:124">
      <c r="A166" s="420">
        <v>8466</v>
      </c>
      <c r="B166" s="2"/>
      <c r="D166" s="29" t="s">
        <v>1087</v>
      </c>
      <c r="E166" s="29"/>
      <c r="F166" s="29"/>
      <c r="G166" s="29"/>
      <c r="H166" s="29"/>
      <c r="J166" s="29"/>
      <c r="K166" s="29" t="s">
        <v>1857</v>
      </c>
      <c r="L166" s="29"/>
      <c r="M166" s="29"/>
      <c r="O166" s="29"/>
      <c r="P166" s="29" t="s">
        <v>1134</v>
      </c>
      <c r="Q166" s="29"/>
      <c r="R166" s="29"/>
      <c r="AX166" s="574" t="s">
        <v>1614</v>
      </c>
      <c r="DJ166" s="1488" t="s">
        <v>4787</v>
      </c>
      <c r="DK166" s="1489">
        <v>3066</v>
      </c>
      <c r="DL166" s="1489">
        <v>1521</v>
      </c>
      <c r="DM166" s="273"/>
      <c r="DN166" s="273"/>
      <c r="DO166" s="273"/>
      <c r="DP166" s="273"/>
      <c r="DQ166" s="273"/>
      <c r="DR166" s="273"/>
      <c r="DS166" s="273"/>
      <c r="DT166" s="273"/>
    </row>
    <row r="167" spans="1:124">
      <c r="A167" s="420">
        <v>8476</v>
      </c>
      <c r="B167" s="2"/>
      <c r="D167" s="29" t="s">
        <v>1088</v>
      </c>
      <c r="E167" s="29"/>
      <c r="F167" s="29"/>
      <c r="G167" s="29"/>
      <c r="H167" s="29"/>
      <c r="J167" s="29"/>
      <c r="K167" s="29" t="s">
        <v>1858</v>
      </c>
      <c r="L167" s="29"/>
      <c r="M167" s="29"/>
      <c r="O167" s="29"/>
      <c r="P167" s="29" t="s">
        <v>1135</v>
      </c>
      <c r="Q167" s="29"/>
      <c r="R167" s="29"/>
      <c r="AX167" s="2" t="s">
        <v>1552</v>
      </c>
      <c r="AY167" s="2600">
        <v>0</v>
      </c>
      <c r="AZ167" s="2601"/>
      <c r="BA167" s="2602"/>
      <c r="BB167" s="2600">
        <v>11</v>
      </c>
      <c r="BC167" s="2601"/>
      <c r="BD167" s="2602"/>
      <c r="BE167" s="2600">
        <v>13</v>
      </c>
      <c r="BF167" s="2601"/>
      <c r="BG167" s="2602"/>
      <c r="BH167" s="2600">
        <v>17</v>
      </c>
      <c r="BI167" s="2601"/>
      <c r="BJ167" s="2602"/>
      <c r="BK167" s="2600">
        <v>19</v>
      </c>
      <c r="BL167" s="2601"/>
      <c r="BM167" s="2602"/>
      <c r="DJ167" s="1488" t="s">
        <v>2931</v>
      </c>
      <c r="DK167" s="1489">
        <v>4182</v>
      </c>
      <c r="DL167" s="1489">
        <v>1923</v>
      </c>
      <c r="DM167" s="273"/>
      <c r="DN167" s="273"/>
      <c r="DO167" s="273"/>
      <c r="DP167" s="273"/>
      <c r="DQ167" s="273"/>
      <c r="DR167" s="273"/>
      <c r="DS167" s="273"/>
      <c r="DT167" s="273"/>
    </row>
    <row r="168" spans="1:124">
      <c r="A168" s="420">
        <v>8600</v>
      </c>
      <c r="B168" s="2"/>
      <c r="D168" s="29">
        <v>8800</v>
      </c>
      <c r="E168" s="29"/>
      <c r="F168" s="29"/>
      <c r="G168" s="29"/>
      <c r="H168" s="29"/>
      <c r="J168" s="29"/>
      <c r="K168" s="29"/>
      <c r="L168" s="29"/>
      <c r="M168" s="29"/>
      <c r="O168" s="29"/>
      <c r="P168" s="29"/>
      <c r="Q168" s="29"/>
      <c r="R168" s="29"/>
      <c r="AX168" s="2" t="s">
        <v>1553</v>
      </c>
      <c r="AY168" s="2" t="s">
        <v>1554</v>
      </c>
      <c r="AZ168" s="2600" t="s">
        <v>1555</v>
      </c>
      <c r="BA168" s="2602"/>
      <c r="BB168" s="2" t="s">
        <v>1554</v>
      </c>
      <c r="BC168" s="2600" t="s">
        <v>1555</v>
      </c>
      <c r="BD168" s="2602"/>
      <c r="BE168" s="2" t="s">
        <v>1554</v>
      </c>
      <c r="BF168" s="2600" t="s">
        <v>1555</v>
      </c>
      <c r="BG168" s="2602"/>
      <c r="BH168" s="2" t="s">
        <v>1554</v>
      </c>
      <c r="BI168" s="2600" t="s">
        <v>1555</v>
      </c>
      <c r="BJ168" s="2602"/>
      <c r="BK168" s="2" t="s">
        <v>1554</v>
      </c>
      <c r="BL168" s="2600" t="s">
        <v>1555</v>
      </c>
      <c r="BM168" s="2602"/>
      <c r="DJ168" s="1488" t="s">
        <v>2903</v>
      </c>
      <c r="DK168" s="1489">
        <v>4057</v>
      </c>
      <c r="DL168" s="1489">
        <v>1878</v>
      </c>
      <c r="DM168" s="273"/>
      <c r="DN168" s="273"/>
      <c r="DO168" s="273"/>
      <c r="DP168" s="273"/>
      <c r="DQ168" s="273"/>
      <c r="DR168" s="273"/>
      <c r="DS168" s="273"/>
      <c r="DT168" s="273"/>
    </row>
    <row r="169" spans="1:124">
      <c r="A169" s="420">
        <v>8620</v>
      </c>
      <c r="B169" s="2"/>
      <c r="D169" s="29">
        <v>8810</v>
      </c>
      <c r="E169" s="29"/>
      <c r="F169" s="29"/>
      <c r="G169" s="29"/>
      <c r="H169" s="29"/>
      <c r="J169" s="29"/>
      <c r="K169" s="29"/>
      <c r="L169" s="29"/>
      <c r="M169" s="29"/>
      <c r="N169" s="29"/>
      <c r="O169" s="29"/>
      <c r="P169" s="29"/>
      <c r="Q169" s="29"/>
      <c r="AX169" s="618">
        <v>11</v>
      </c>
      <c r="AY169" s="618">
        <v>673.1</v>
      </c>
      <c r="AZ169" s="618">
        <v>0</v>
      </c>
      <c r="BA169" s="618"/>
      <c r="BB169" s="618"/>
      <c r="BC169" s="618"/>
      <c r="BD169" s="618"/>
      <c r="BE169" s="618"/>
      <c r="BF169" s="618"/>
      <c r="BG169" s="618"/>
      <c r="BH169" s="618"/>
      <c r="BI169" s="618"/>
      <c r="BJ169" s="618"/>
      <c r="BK169" s="618"/>
      <c r="BL169" s="618"/>
      <c r="BM169" s="618"/>
      <c r="DJ169" s="1488" t="s">
        <v>2423</v>
      </c>
      <c r="DK169" s="1489">
        <v>2187</v>
      </c>
      <c r="DL169" s="1489">
        <v>1205</v>
      </c>
      <c r="DM169" s="273"/>
      <c r="DN169" s="273"/>
      <c r="DO169" s="273"/>
      <c r="DP169" s="273"/>
      <c r="DQ169" s="273"/>
      <c r="DR169" s="273"/>
      <c r="DS169" s="273"/>
      <c r="DT169" s="273"/>
    </row>
    <row r="170" spans="1:124">
      <c r="A170" s="420">
        <v>8910</v>
      </c>
      <c r="B170" s="2"/>
      <c r="D170" s="29">
        <v>8820</v>
      </c>
      <c r="E170" s="29"/>
      <c r="F170" s="29"/>
      <c r="G170" s="29"/>
      <c r="H170" s="29"/>
      <c r="J170" s="29"/>
      <c r="K170" s="29"/>
      <c r="L170" s="29"/>
      <c r="M170" s="29"/>
      <c r="N170" s="29"/>
      <c r="O170" s="29"/>
      <c r="P170" s="29"/>
      <c r="Q170" s="29"/>
      <c r="AX170" s="2">
        <v>12</v>
      </c>
      <c r="AY170" s="2">
        <f>(((AX170-AX171)*(AY171-AY169))/($AX$171-AX169))+AY169</f>
        <v>568</v>
      </c>
      <c r="AZ170" s="2">
        <f>(((AY170-AY171)*(AZ171-AZ169))/($AX$171-AY169))+AZ169</f>
        <v>0</v>
      </c>
      <c r="BA170" s="2"/>
      <c r="BB170" s="2">
        <f>((($AX$170-$AX$169)*(BB171-BB169))/($AX$171-$AX$169))+BB169</f>
        <v>105.1</v>
      </c>
      <c r="BC170" s="2">
        <f>((($AX$170-$AX$169)*(BC171-BC169))/($AX$171-$AX$169))+BC169</f>
        <v>0</v>
      </c>
      <c r="BD170" s="2"/>
      <c r="BE170" s="2">
        <f>((($AX$170-$AX$169)*(BE171-BE169))/($AX$171-$AX$169))+BE169</f>
        <v>0</v>
      </c>
      <c r="BF170" s="2">
        <f>((($AX$170-$AX$169)*(BF171-BF169))/($AX$171-$AX$169))+BF169</f>
        <v>0</v>
      </c>
      <c r="BG170" s="2"/>
      <c r="BH170" s="2">
        <f>((($AX$170-$AX$169)*(BH171-BH169))/($AX$171-$AX$169))+BH169</f>
        <v>0</v>
      </c>
      <c r="BI170" s="2">
        <f>((($AX$170-$AX$169)*(BI171-BI169))/($AX$171-$AX$169))+BI169</f>
        <v>0</v>
      </c>
      <c r="BJ170" s="2"/>
      <c r="BK170" s="2">
        <f>((($AX$170-$AX$169)*(BK171-BK169))/($AX$171-$AX$169))+BK169</f>
        <v>0</v>
      </c>
      <c r="BL170" s="2">
        <f>((($AX$170-$AX$169)*(BL171-BL169))/($AX$171-$AX$169))+BL169</f>
        <v>0</v>
      </c>
      <c r="BM170" s="2"/>
      <c r="DJ170" s="1488" t="s">
        <v>2904</v>
      </c>
      <c r="DK170" s="1489">
        <v>3750</v>
      </c>
      <c r="DL170" s="1489">
        <v>1768</v>
      </c>
      <c r="DM170" s="273"/>
      <c r="DN170" s="273"/>
      <c r="DO170" s="273"/>
      <c r="DP170" s="273"/>
      <c r="DQ170" s="273"/>
      <c r="DR170" s="273"/>
      <c r="DS170" s="273"/>
      <c r="DT170" s="273"/>
    </row>
    <row r="171" spans="1:124">
      <c r="A171" s="420" t="s">
        <v>1083</v>
      </c>
      <c r="B171" s="2"/>
      <c r="D171" s="29">
        <v>8830</v>
      </c>
      <c r="E171" s="29"/>
      <c r="F171" s="29"/>
      <c r="G171" s="29"/>
      <c r="H171" s="29"/>
      <c r="J171" s="29"/>
      <c r="K171" s="29"/>
      <c r="L171" s="29"/>
      <c r="M171" s="29"/>
      <c r="N171" s="29"/>
      <c r="O171" s="29"/>
      <c r="P171" s="29"/>
      <c r="Q171" s="29"/>
      <c r="AX171" s="618">
        <v>13</v>
      </c>
      <c r="AY171" s="618">
        <v>883.3</v>
      </c>
      <c r="AZ171" s="618">
        <v>0</v>
      </c>
      <c r="BA171" s="618"/>
      <c r="BB171" s="618">
        <v>210.2</v>
      </c>
      <c r="BC171" s="618">
        <v>0</v>
      </c>
      <c r="BD171" s="618"/>
      <c r="BE171" s="618">
        <v>0</v>
      </c>
      <c r="BF171" s="618">
        <v>0</v>
      </c>
      <c r="BG171" s="618"/>
      <c r="BH171" s="618">
        <v>0</v>
      </c>
      <c r="BI171" s="618">
        <v>0</v>
      </c>
      <c r="BJ171" s="618"/>
      <c r="BK171" s="618">
        <v>0</v>
      </c>
      <c r="BL171" s="618">
        <v>0</v>
      </c>
      <c r="BM171" s="618"/>
      <c r="DJ171" s="1488" t="s">
        <v>2905</v>
      </c>
      <c r="DK171" s="1489">
        <v>1954</v>
      </c>
      <c r="DL171" s="1489">
        <v>1121</v>
      </c>
      <c r="DM171" s="273"/>
      <c r="DN171" s="273"/>
      <c r="DO171" s="273"/>
      <c r="DP171" s="273"/>
      <c r="DQ171" s="273"/>
      <c r="DR171" s="273"/>
      <c r="DS171" s="273"/>
      <c r="DT171" s="273"/>
    </row>
    <row r="172" spans="1:124">
      <c r="A172" s="420" t="s">
        <v>1085</v>
      </c>
      <c r="B172" s="2"/>
      <c r="D172" s="29">
        <v>8840</v>
      </c>
      <c r="E172" s="29"/>
      <c r="F172" s="29"/>
      <c r="G172" s="29"/>
      <c r="H172" s="29"/>
      <c r="J172" s="29"/>
      <c r="K172" s="29"/>
      <c r="L172" s="29"/>
      <c r="M172" s="29"/>
      <c r="N172" s="29"/>
      <c r="O172" s="29"/>
      <c r="P172" s="29"/>
      <c r="Q172" s="29"/>
      <c r="AX172" s="2">
        <v>14</v>
      </c>
      <c r="AY172" s="2">
        <f t="shared" ref="AY172:AZ174" si="39">((($AX172-$AX$171)*(AY$175-AY$171))/($AX$175-$AX$171))+AY$171</f>
        <v>957.05</v>
      </c>
      <c r="AZ172" s="2">
        <f t="shared" si="39"/>
        <v>0</v>
      </c>
      <c r="BA172" s="2"/>
      <c r="BB172" s="2">
        <f t="shared" ref="BB172:BC174" si="40">((($AX172-$AX$171)*(BB$175-BB$171))/($AX$175-$AX$171))+BB$171</f>
        <v>283.95</v>
      </c>
      <c r="BC172" s="2">
        <f t="shared" si="40"/>
        <v>0</v>
      </c>
      <c r="BD172" s="2"/>
      <c r="BE172" s="2">
        <f t="shared" ref="BE172:BF174" si="41">((($AX172-$AX$171)*(BE$175-BE$171))/($AX$175-$AX$171))+BE$171</f>
        <v>73.75</v>
      </c>
      <c r="BF172" s="2">
        <f t="shared" si="41"/>
        <v>0</v>
      </c>
      <c r="BG172" s="2"/>
      <c r="BH172" s="2">
        <f t="shared" ref="BH172:BI174" si="42">((($AX172-$AX$171)*(BH$175-BH$171))/($AX$175-$AX$171))+BH$171</f>
        <v>0</v>
      </c>
      <c r="BI172" s="2">
        <f t="shared" si="42"/>
        <v>0</v>
      </c>
      <c r="BJ172" s="2"/>
      <c r="BK172" s="2">
        <f t="shared" ref="BK172:BL174" si="43">((($AX172-$AX$171)*(BK$175-BK$171))/($AX$175-$AX$171))+BK$171</f>
        <v>0</v>
      </c>
      <c r="BL172" s="2">
        <f t="shared" si="43"/>
        <v>0</v>
      </c>
      <c r="BM172" s="2"/>
      <c r="DJ172" s="1488" t="s">
        <v>2313</v>
      </c>
      <c r="DK172" s="1489">
        <v>3748</v>
      </c>
      <c r="DL172" s="1489">
        <v>1767</v>
      </c>
      <c r="DM172" s="273"/>
      <c r="DN172" s="273"/>
      <c r="DO172" s="273"/>
      <c r="DP172" s="273"/>
      <c r="DQ172" s="273"/>
      <c r="DR172" s="273"/>
      <c r="DS172" s="273"/>
      <c r="DT172" s="273"/>
    </row>
    <row r="173" spans="1:124">
      <c r="A173" s="420" t="s">
        <v>1087</v>
      </c>
      <c r="B173" s="2"/>
      <c r="E173" s="29"/>
      <c r="F173" s="29"/>
      <c r="G173" s="29"/>
      <c r="H173" s="29"/>
      <c r="J173" s="29"/>
      <c r="K173" s="29"/>
      <c r="L173" s="29"/>
      <c r="M173" s="29"/>
      <c r="O173" s="29"/>
      <c r="P173" s="29"/>
      <c r="Q173" s="29"/>
      <c r="AX173" s="2">
        <v>15</v>
      </c>
      <c r="AY173" s="2">
        <f t="shared" si="39"/>
        <v>1030.8</v>
      </c>
      <c r="AZ173" s="2">
        <f t="shared" si="39"/>
        <v>0</v>
      </c>
      <c r="BA173" s="2"/>
      <c r="BB173" s="2">
        <f t="shared" si="40"/>
        <v>357.7</v>
      </c>
      <c r="BC173" s="2">
        <f t="shared" si="40"/>
        <v>0</v>
      </c>
      <c r="BD173" s="2"/>
      <c r="BE173" s="2">
        <f t="shared" si="41"/>
        <v>147.5</v>
      </c>
      <c r="BF173" s="2">
        <f t="shared" si="41"/>
        <v>0</v>
      </c>
      <c r="BG173" s="2"/>
      <c r="BH173" s="2">
        <f t="shared" si="42"/>
        <v>0</v>
      </c>
      <c r="BI173" s="2">
        <f t="shared" si="42"/>
        <v>0</v>
      </c>
      <c r="BJ173" s="2"/>
      <c r="BK173" s="2">
        <f t="shared" si="43"/>
        <v>0</v>
      </c>
      <c r="BL173" s="2">
        <f t="shared" si="43"/>
        <v>0</v>
      </c>
      <c r="BM173" s="2"/>
      <c r="DJ173" s="1488" t="s">
        <v>2906</v>
      </c>
      <c r="DK173" s="1489">
        <v>6456</v>
      </c>
      <c r="DL173" s="1489">
        <v>2742</v>
      </c>
      <c r="DM173" s="273"/>
      <c r="DN173" s="273"/>
      <c r="DO173" s="273"/>
      <c r="DP173" s="273"/>
      <c r="DQ173" s="273"/>
      <c r="DR173" s="273"/>
      <c r="DS173" s="273"/>
      <c r="DT173" s="273"/>
    </row>
    <row r="174" spans="1:124">
      <c r="A174" s="420" t="s">
        <v>1088</v>
      </c>
      <c r="B174" s="2"/>
      <c r="E174" s="29"/>
      <c r="F174" s="29"/>
      <c r="G174" s="29"/>
      <c r="H174" s="29"/>
      <c r="J174" s="29"/>
      <c r="K174" s="29"/>
      <c r="L174" s="29"/>
      <c r="M174" s="29"/>
      <c r="O174" s="29"/>
      <c r="P174" s="29"/>
      <c r="Q174" s="29"/>
      <c r="AX174" s="2">
        <v>16</v>
      </c>
      <c r="AY174" s="2">
        <f t="shared" si="39"/>
        <v>1104.55</v>
      </c>
      <c r="AZ174" s="2">
        <f t="shared" si="39"/>
        <v>0</v>
      </c>
      <c r="BA174" s="2"/>
      <c r="BB174" s="2">
        <f t="shared" si="40"/>
        <v>431.45</v>
      </c>
      <c r="BC174" s="2">
        <f t="shared" si="40"/>
        <v>0</v>
      </c>
      <c r="BD174" s="2"/>
      <c r="BE174" s="2">
        <f t="shared" si="41"/>
        <v>221.25</v>
      </c>
      <c r="BF174" s="2">
        <f t="shared" si="41"/>
        <v>0</v>
      </c>
      <c r="BG174" s="2"/>
      <c r="BH174" s="2">
        <f t="shared" si="42"/>
        <v>0</v>
      </c>
      <c r="BI174" s="2">
        <f t="shared" si="42"/>
        <v>0</v>
      </c>
      <c r="BJ174" s="2"/>
      <c r="BK174" s="2">
        <f t="shared" si="43"/>
        <v>0</v>
      </c>
      <c r="BL174" s="2">
        <f t="shared" si="43"/>
        <v>0</v>
      </c>
      <c r="BM174" s="2"/>
      <c r="DJ174" s="1488" t="s">
        <v>2428</v>
      </c>
      <c r="DK174" s="1489">
        <v>2602</v>
      </c>
      <c r="DL174" s="1489">
        <v>1354</v>
      </c>
      <c r="DM174" s="273"/>
      <c r="DN174" s="273"/>
      <c r="DO174" s="273"/>
      <c r="DP174" s="273"/>
      <c r="DQ174" s="273"/>
      <c r="DR174" s="273"/>
      <c r="DS174" s="273"/>
      <c r="DT174" s="273"/>
    </row>
    <row r="175" spans="1:124">
      <c r="A175" s="420">
        <v>8800</v>
      </c>
      <c r="B175" s="2"/>
      <c r="S175" s="29"/>
      <c r="AX175" s="618">
        <v>17</v>
      </c>
      <c r="AY175" s="618">
        <v>1178.3</v>
      </c>
      <c r="AZ175" s="618">
        <v>0</v>
      </c>
      <c r="BA175" s="618"/>
      <c r="BB175" s="618">
        <v>505.2</v>
      </c>
      <c r="BC175" s="618">
        <v>0</v>
      </c>
      <c r="BD175" s="618"/>
      <c r="BE175" s="618">
        <v>295</v>
      </c>
      <c r="BF175" s="618">
        <v>0</v>
      </c>
      <c r="BG175" s="618"/>
      <c r="BH175" s="618">
        <v>0</v>
      </c>
      <c r="BI175" s="618">
        <v>0</v>
      </c>
      <c r="BJ175" s="618"/>
      <c r="BK175" s="618">
        <v>0</v>
      </c>
      <c r="BL175" s="618">
        <v>0</v>
      </c>
      <c r="BM175" s="618"/>
      <c r="DJ175" s="1488" t="s">
        <v>2907</v>
      </c>
      <c r="DK175" s="1489">
        <v>6631</v>
      </c>
      <c r="DL175" s="1489">
        <v>2805</v>
      </c>
      <c r="DM175" s="273"/>
      <c r="DN175" s="273"/>
      <c r="DO175" s="273"/>
      <c r="DP175" s="273"/>
      <c r="DQ175" s="273"/>
      <c r="DR175" s="273"/>
      <c r="DS175" s="273"/>
      <c r="DT175" s="273"/>
    </row>
    <row r="176" spans="1:124">
      <c r="A176" s="420">
        <v>8810</v>
      </c>
      <c r="B176" s="2"/>
      <c r="D176" t="s">
        <v>1136</v>
      </c>
      <c r="S176" s="29"/>
      <c r="AX176" s="2">
        <v>18</v>
      </c>
      <c r="AY176" s="2">
        <f>((($AX$176-$AX$175)*(AY177-AY175))/($AX$177-$AX$175))+AY175</f>
        <v>1232.8499999999999</v>
      </c>
      <c r="AZ176" s="2">
        <f>((($AX$176-$AX$175)*(AZ177-AZ175))/($AX$177-$AX$175))+AZ175</f>
        <v>0</v>
      </c>
      <c r="BA176" s="2"/>
      <c r="BB176" s="2">
        <f>((($AX$176-$AX$175)*(BB177-BB175))/($AX$177-$AX$175))+BB175</f>
        <v>559.75</v>
      </c>
      <c r="BC176" s="2">
        <f>((($AX$176-$AX$175)*(BC177-BC175))/($AX$177-$AX$175))+BC175</f>
        <v>0</v>
      </c>
      <c r="BD176" s="2"/>
      <c r="BE176" s="2">
        <f>((($AX$176-$AX$175)*(BE177-BE175))/($AX$177-$AX$175))+BE175</f>
        <v>349.55</v>
      </c>
      <c r="BF176" s="2">
        <f>((($AX$176-$AX$175)*(BF177-BF175))/($AX$177-$AX$175))+BF175</f>
        <v>0</v>
      </c>
      <c r="BG176" s="2"/>
      <c r="BH176" s="2">
        <f>((($AX$176-$AX$175)*(BH177-BH175))/($AX$177-$AX$175))+BH175</f>
        <v>54.5</v>
      </c>
      <c r="BI176" s="2">
        <f>((($AX$176-$AX$175)*(BI177-BI175))/($AX$177-$AX$175))+BI175</f>
        <v>0</v>
      </c>
      <c r="BJ176" s="2"/>
      <c r="BK176" s="2">
        <f>((($AX$176-$AX$175)*(BK177-BK175))/($AX$177-$AX$175))+BK175</f>
        <v>0</v>
      </c>
      <c r="BL176" s="2">
        <f>((($AX$176-$AX$175)*(BL177-BL175))/($AX$177-$AX$175))+BL175</f>
        <v>0</v>
      </c>
      <c r="BM176" s="2"/>
      <c r="DJ176" s="1488" t="s">
        <v>2908</v>
      </c>
      <c r="DK176" s="1489">
        <v>3750</v>
      </c>
      <c r="DL176" s="1489">
        <v>1768</v>
      </c>
      <c r="DM176" s="273"/>
      <c r="DN176" s="273"/>
      <c r="DO176" s="273"/>
      <c r="DP176" s="273"/>
      <c r="DQ176" s="273"/>
      <c r="DR176" s="273"/>
      <c r="DS176" s="273"/>
      <c r="DT176" s="273"/>
    </row>
    <row r="177" spans="1:124">
      <c r="A177" s="420">
        <v>8820</v>
      </c>
      <c r="B177" s="2"/>
      <c r="D177" s="114" t="s">
        <v>1047</v>
      </c>
      <c r="E177" s="114" t="s">
        <v>1078</v>
      </c>
      <c r="F177" s="114" t="s">
        <v>1079</v>
      </c>
      <c r="G177" s="114" t="s">
        <v>1081</v>
      </c>
      <c r="H177" s="114" t="s">
        <v>1082</v>
      </c>
      <c r="I177" s="114" t="s">
        <v>1084</v>
      </c>
      <c r="J177" s="114" t="s">
        <v>1086</v>
      </c>
      <c r="K177" s="114" t="s">
        <v>1050</v>
      </c>
      <c r="L177" s="114" t="s">
        <v>1089</v>
      </c>
      <c r="M177" s="114" t="s">
        <v>1090</v>
      </c>
      <c r="N177" s="114" t="s">
        <v>1091</v>
      </c>
      <c r="O177" s="114" t="s">
        <v>1859</v>
      </c>
      <c r="P177" s="114" t="s">
        <v>3750</v>
      </c>
      <c r="Q177" s="114" t="s">
        <v>1977</v>
      </c>
      <c r="AX177" s="618">
        <v>19</v>
      </c>
      <c r="AY177" s="618">
        <v>1287.4000000000001</v>
      </c>
      <c r="AZ177" s="618">
        <v>0</v>
      </c>
      <c r="BA177" s="618"/>
      <c r="BB177" s="618">
        <v>614.29999999999995</v>
      </c>
      <c r="BC177" s="618">
        <v>0</v>
      </c>
      <c r="BD177" s="618"/>
      <c r="BE177" s="618">
        <v>404.1</v>
      </c>
      <c r="BF177" s="618">
        <v>0</v>
      </c>
      <c r="BG177" s="618"/>
      <c r="BH177" s="618">
        <v>109</v>
      </c>
      <c r="BI177" s="618">
        <v>0</v>
      </c>
      <c r="BJ177" s="618"/>
      <c r="BK177" s="618">
        <v>0</v>
      </c>
      <c r="BL177" s="618">
        <v>0</v>
      </c>
      <c r="BM177" s="618"/>
      <c r="DJ177" s="273"/>
      <c r="DK177" s="273"/>
      <c r="DL177" s="273"/>
      <c r="DM177" s="273"/>
      <c r="DN177" s="273"/>
      <c r="DO177" s="273"/>
      <c r="DP177" s="273"/>
      <c r="DQ177" s="273"/>
      <c r="DR177" s="273"/>
      <c r="DS177" s="273"/>
      <c r="DT177" s="273"/>
    </row>
    <row r="178" spans="1:124">
      <c r="A178" s="420">
        <v>8830</v>
      </c>
      <c r="B178" s="2"/>
      <c r="D178" t="s">
        <v>1137</v>
      </c>
      <c r="E178" t="s">
        <v>1137</v>
      </c>
      <c r="F178" t="s">
        <v>1138</v>
      </c>
      <c r="G178" t="s">
        <v>1139</v>
      </c>
      <c r="H178" t="s">
        <v>1140</v>
      </c>
      <c r="I178" t="s">
        <v>1141</v>
      </c>
      <c r="J178" t="s">
        <v>1142</v>
      </c>
      <c r="K178" t="s">
        <v>1143</v>
      </c>
      <c r="L178" t="s">
        <v>1144</v>
      </c>
      <c r="M178" t="s">
        <v>1145</v>
      </c>
      <c r="N178" t="s">
        <v>1146</v>
      </c>
      <c r="O178" t="s">
        <v>1860</v>
      </c>
      <c r="P178" t="s">
        <v>3757</v>
      </c>
      <c r="Q178" t="s">
        <v>1977</v>
      </c>
      <c r="AX178" s="2">
        <v>20</v>
      </c>
      <c r="AY178" s="2">
        <f>((($AX$178-$AX$177)*(AY179-AY177))/($AX$179-$AX$177))+AY177</f>
        <v>1331.65</v>
      </c>
      <c r="AZ178" s="2">
        <f>((($AX$178-$AX$177)*(AZ179-AZ177))/($AX$179-$AX$177))+AZ177</f>
        <v>0</v>
      </c>
      <c r="BA178" s="2"/>
      <c r="BB178" s="2">
        <f>((($AX$178-$AX$177)*(BB179-BB177))/($AX$179-$AX$177))+BB177</f>
        <v>658.55</v>
      </c>
      <c r="BC178" s="2">
        <f>((($AX$178-$AX$177)*(BC179-BC177))/($AX$179-$AX$177))+BC177</f>
        <v>0</v>
      </c>
      <c r="BD178" s="2"/>
      <c r="BE178" s="2">
        <f>((($AX$178-$AX$177)*(BE179-BE177))/($AX$179-$AX$177))+BE177</f>
        <v>448.35</v>
      </c>
      <c r="BF178" s="2">
        <f>((($AX$178-$AX$177)*(BF179-BF177))/($AX$179-$AX$177))+BF177</f>
        <v>0</v>
      </c>
      <c r="BG178" s="2"/>
      <c r="BH178" s="2">
        <f>((($AX$178-$AX$177)*(BH179-BH177))/($AX$179-$AX$177))+BH177</f>
        <v>153.30000000000001</v>
      </c>
      <c r="BI178" s="2">
        <f>((($AX$178-$AX$177)*(BI179-BI177))/($AX$179-$AX$177))+BI177</f>
        <v>0</v>
      </c>
      <c r="BJ178" s="2"/>
      <c r="BK178" s="2">
        <f>((($AX$178-$AX$177)*(BK179-BK177))/($AX$179-$AX$177))+BK177</f>
        <v>44.25</v>
      </c>
      <c r="BL178" s="2">
        <f>((($AX$178-$AX$177)*(BL179-BL177))/($AX$179-$AX$177))+BL177</f>
        <v>0</v>
      </c>
      <c r="BM178" s="2"/>
      <c r="DJ178" s="273"/>
      <c r="DK178" s="273"/>
      <c r="DL178" s="273"/>
      <c r="DM178" s="273"/>
      <c r="DN178" s="273"/>
      <c r="DO178" s="273"/>
      <c r="DP178" s="273"/>
      <c r="DQ178" s="273"/>
      <c r="DR178" s="273"/>
      <c r="DS178" s="273"/>
      <c r="DT178" s="273"/>
    </row>
    <row r="179" spans="1:124">
      <c r="A179" s="420">
        <v>8840</v>
      </c>
      <c r="B179" s="2"/>
      <c r="F179" t="s">
        <v>3751</v>
      </c>
      <c r="H179" t="s">
        <v>3762</v>
      </c>
      <c r="K179" t="s">
        <v>1148</v>
      </c>
      <c r="L179" t="s">
        <v>1149</v>
      </c>
      <c r="N179" t="s">
        <v>1150</v>
      </c>
      <c r="AX179" s="618">
        <v>21</v>
      </c>
      <c r="AY179" s="618">
        <v>1375.9</v>
      </c>
      <c r="AZ179" s="618">
        <v>0</v>
      </c>
      <c r="BA179" s="618"/>
      <c r="BB179" s="618">
        <v>702.8</v>
      </c>
      <c r="BC179" s="618">
        <v>0</v>
      </c>
      <c r="BD179" s="618"/>
      <c r="BE179" s="618">
        <v>492.6</v>
      </c>
      <c r="BF179" s="618">
        <v>0</v>
      </c>
      <c r="BG179" s="618"/>
      <c r="BH179" s="618">
        <v>197.6</v>
      </c>
      <c r="BI179" s="618">
        <v>0</v>
      </c>
      <c r="BJ179" s="618"/>
      <c r="BK179" s="618">
        <v>88.5</v>
      </c>
      <c r="BL179" s="618">
        <v>0</v>
      </c>
      <c r="BM179" s="618"/>
      <c r="DJ179" s="273"/>
      <c r="DK179" s="273"/>
      <c r="DL179" s="273"/>
      <c r="DM179" s="273"/>
      <c r="DN179" s="273"/>
      <c r="DO179" s="273"/>
      <c r="DP179" s="273"/>
      <c r="DQ179" s="273"/>
      <c r="DR179" s="273"/>
      <c r="DS179" s="273"/>
      <c r="DT179" s="273"/>
    </row>
    <row r="180" spans="1:124">
      <c r="A180" s="420" t="s">
        <v>1095</v>
      </c>
      <c r="B180" s="2"/>
      <c r="H180" t="s">
        <v>1151</v>
      </c>
      <c r="K180" t="s">
        <v>1152</v>
      </c>
      <c r="L180" t="s">
        <v>3763</v>
      </c>
      <c r="N180" t="s">
        <v>1153</v>
      </c>
      <c r="AX180" s="2">
        <v>22</v>
      </c>
      <c r="AY180" s="2">
        <f t="shared" ref="AY180:AZ182" si="44">((($AX180-$AX$179)*(AY$183-AY$179))/($AX$183-$AX$179))+AY$179</f>
        <v>1411.5250000000001</v>
      </c>
      <c r="AZ180" s="2">
        <f t="shared" si="44"/>
        <v>0</v>
      </c>
      <c r="BA180" s="2"/>
      <c r="BB180" s="2">
        <f t="shared" ref="BB180:BC182" si="45">((($AX180-$AX$179)*(BB$183-BB$179))/($AX$183-$AX$179))+BB$179</f>
        <v>738.42499999999995</v>
      </c>
      <c r="BC180" s="2">
        <f t="shared" si="45"/>
        <v>0</v>
      </c>
      <c r="BD180" s="2"/>
      <c r="BE180" s="2">
        <f t="shared" ref="BE180:BF182" si="46">((($AX180-$AX$179)*(BE$183-BE$179))/($AX$183-$AX$179))+BE$179</f>
        <v>528.22500000000002</v>
      </c>
      <c r="BF180" s="2">
        <f t="shared" si="46"/>
        <v>0</v>
      </c>
      <c r="BG180" s="2"/>
      <c r="BH180" s="2">
        <f t="shared" ref="BH180:BI182" si="47">((($AX180-$AX$179)*(BH$183-BH$179))/($AX$183-$AX$179))+BH$179</f>
        <v>233.22499999999999</v>
      </c>
      <c r="BI180" s="2">
        <f t="shared" si="47"/>
        <v>0</v>
      </c>
      <c r="BJ180" s="2"/>
      <c r="BK180" s="2">
        <f>((($AX180-$AX$179)*(BK$183-BK$179))/($AX$183-$AX$179))+BK$179</f>
        <v>124.15</v>
      </c>
      <c r="BL180" s="2">
        <f>((($AX180-$AX$179)*(BL$183-BL$179))/($AX$183-$AX$179))+BL179</f>
        <v>0</v>
      </c>
      <c r="BM180" s="2"/>
    </row>
    <row r="181" spans="1:124">
      <c r="A181" s="420" t="s">
        <v>1096</v>
      </c>
      <c r="B181" s="2"/>
      <c r="H181" t="s">
        <v>3764</v>
      </c>
      <c r="K181" t="s">
        <v>1154</v>
      </c>
      <c r="L181" t="s">
        <v>3765</v>
      </c>
      <c r="AX181" s="2">
        <v>23</v>
      </c>
      <c r="AY181" s="2">
        <f t="shared" si="44"/>
        <v>1447.15</v>
      </c>
      <c r="AZ181" s="2">
        <f t="shared" si="44"/>
        <v>0</v>
      </c>
      <c r="BA181" s="2"/>
      <c r="BB181" s="2">
        <f t="shared" si="45"/>
        <v>774.05</v>
      </c>
      <c r="BC181" s="2">
        <f t="shared" si="45"/>
        <v>0</v>
      </c>
      <c r="BD181" s="2"/>
      <c r="BE181" s="2">
        <f t="shared" si="46"/>
        <v>563.85</v>
      </c>
      <c r="BF181" s="2">
        <f t="shared" si="46"/>
        <v>0</v>
      </c>
      <c r="BG181" s="2"/>
      <c r="BH181" s="2">
        <f t="shared" si="47"/>
        <v>268.85000000000002</v>
      </c>
      <c r="BI181" s="2">
        <f t="shared" si="47"/>
        <v>0</v>
      </c>
      <c r="BJ181" s="2"/>
      <c r="BK181" s="2">
        <f>((($AX181-$AX$179)*(BK$183-BK$179))/($AX$183-$AX$179))+BK$179</f>
        <v>159.80000000000001</v>
      </c>
      <c r="BL181" s="2">
        <f>((($AX181-$AX$179)*(BL$183-BL$179))/($AX$183-$AX$179))+BL180</f>
        <v>0</v>
      </c>
      <c r="BM181" s="2"/>
    </row>
    <row r="182" spans="1:124">
      <c r="A182" s="420" t="s">
        <v>1098</v>
      </c>
      <c r="B182" s="2"/>
      <c r="H182" t="s">
        <v>3766</v>
      </c>
      <c r="K182" t="s">
        <v>1155</v>
      </c>
      <c r="AX182" s="2">
        <v>24</v>
      </c>
      <c r="AY182" s="2">
        <f t="shared" si="44"/>
        <v>1482.7750000000001</v>
      </c>
      <c r="AZ182" s="2">
        <f t="shared" si="44"/>
        <v>0</v>
      </c>
      <c r="BA182" s="2"/>
      <c r="BB182" s="2">
        <f t="shared" si="45"/>
        <v>809.67499999999995</v>
      </c>
      <c r="BC182" s="2">
        <f t="shared" si="45"/>
        <v>0</v>
      </c>
      <c r="BD182" s="2"/>
      <c r="BE182" s="2">
        <f t="shared" si="46"/>
        <v>599.47500000000002</v>
      </c>
      <c r="BF182" s="2">
        <f t="shared" si="46"/>
        <v>0</v>
      </c>
      <c r="BG182" s="2"/>
      <c r="BH182" s="2">
        <f t="shared" si="47"/>
        <v>304.47500000000002</v>
      </c>
      <c r="BI182" s="2">
        <f t="shared" si="47"/>
        <v>0</v>
      </c>
      <c r="BJ182" s="2"/>
      <c r="BK182" s="2">
        <f>((($AX182-$AX$179)*(BK$183-BK$179))/($AX$183-$AX$179))+BK$179</f>
        <v>195.45</v>
      </c>
      <c r="BL182" s="2">
        <f>((($AX182-$AX$179)*(BL$183-BL$179))/($AX$183-$AX$179))+BL181</f>
        <v>0</v>
      </c>
      <c r="BM182" s="2"/>
    </row>
    <row r="183" spans="1:124">
      <c r="A183" s="420" t="s">
        <v>1106</v>
      </c>
      <c r="B183" s="2"/>
      <c r="H183" t="s">
        <v>3767</v>
      </c>
      <c r="AX183" s="618">
        <v>25</v>
      </c>
      <c r="AY183" s="618">
        <v>1518.4</v>
      </c>
      <c r="AZ183" s="618">
        <v>0</v>
      </c>
      <c r="BA183" s="618"/>
      <c r="BB183" s="618">
        <v>845.3</v>
      </c>
      <c r="BC183" s="618">
        <v>0</v>
      </c>
      <c r="BD183" s="618"/>
      <c r="BE183" s="618">
        <v>635.1</v>
      </c>
      <c r="BF183" s="618">
        <v>0</v>
      </c>
      <c r="BG183" s="618"/>
      <c r="BH183" s="618">
        <v>340.1</v>
      </c>
      <c r="BI183" s="618">
        <v>0</v>
      </c>
      <c r="BJ183" s="618"/>
      <c r="BK183" s="618">
        <v>231.1</v>
      </c>
      <c r="BL183" s="618">
        <v>0</v>
      </c>
      <c r="BM183" s="618"/>
    </row>
    <row r="184" spans="1:124">
      <c r="A184" s="420" t="s">
        <v>1115</v>
      </c>
      <c r="B184" s="2"/>
      <c r="D184" t="s">
        <v>1156</v>
      </c>
      <c r="H184" t="s">
        <v>3768</v>
      </c>
      <c r="AX184" s="2">
        <v>26</v>
      </c>
      <c r="AY184" s="2">
        <f>((($AX$184-$AX$183)*(AY185-AY183))/($AX$185-$AX$183))+AY183</f>
        <v>1541.35</v>
      </c>
      <c r="AZ184" s="2">
        <f>((($AX$184-$AX$183)*(AZ185-AZ183))/($AX$185-$AX$183))+AZ183</f>
        <v>0</v>
      </c>
      <c r="BA184" s="2"/>
      <c r="BB184" s="2">
        <f>((($AX$184-$AX$183)*(BB185-BB183))/($AX$185-$AX$183))+BB183</f>
        <v>868.25</v>
      </c>
      <c r="BC184" s="2">
        <f>((($AX$184-$AX$183)*(BC185-BC183))/($AX$185-$AX$183))+BC183</f>
        <v>0</v>
      </c>
      <c r="BD184" s="2"/>
      <c r="BE184" s="2">
        <f>((($AX$184-$AX$183)*(BE185-BE183))/($AX$185-$AX$183))+BE183</f>
        <v>658.05</v>
      </c>
      <c r="BF184" s="2">
        <f>((($AX$184-$AX$183)*(BF185-BF183))/($AX$185-$AX$183))+BF183</f>
        <v>0</v>
      </c>
      <c r="BG184" s="2"/>
      <c r="BH184" s="2">
        <f>((($AX$184-$AX$183)*(BH185-BH183))/($AX$185-$AX$183))+BH183</f>
        <v>363.05</v>
      </c>
      <c r="BI184" s="2">
        <f>((($AX$184-$AX$183)*(BI185-BI183))/($AX$185-$AX$183))+BI183</f>
        <v>0</v>
      </c>
      <c r="BJ184" s="2"/>
      <c r="BK184" s="2">
        <f>((($AX$184-$AX$183)*(BK185-BK183))/($AX$185-$AX$183))+BK183</f>
        <v>254</v>
      </c>
      <c r="BL184" s="2">
        <f>((($AX$184-$AX$183)*(BL185-BL183))/($AX$185-$AX$183))+BL183</f>
        <v>0</v>
      </c>
      <c r="BM184" s="2"/>
    </row>
    <row r="185" spans="1:124">
      <c r="A185" s="420" t="s">
        <v>1097</v>
      </c>
      <c r="B185" s="2"/>
      <c r="D185" s="114" t="s">
        <v>1047</v>
      </c>
      <c r="E185" s="114" t="s">
        <v>1078</v>
      </c>
      <c r="F185" s="114" t="s">
        <v>1079</v>
      </c>
      <c r="G185" s="114" t="s">
        <v>1081</v>
      </c>
      <c r="H185" s="114" t="s">
        <v>1082</v>
      </c>
      <c r="I185" s="114" t="s">
        <v>1084</v>
      </c>
      <c r="J185" s="114" t="s">
        <v>1086</v>
      </c>
      <c r="K185" s="114" t="s">
        <v>1050</v>
      </c>
      <c r="L185" s="114" t="s">
        <v>1089</v>
      </c>
      <c r="M185" s="114" t="s">
        <v>1090</v>
      </c>
      <c r="N185" s="114" t="s">
        <v>1091</v>
      </c>
      <c r="O185" s="114" t="s">
        <v>1859</v>
      </c>
      <c r="P185" s="114" t="s">
        <v>3750</v>
      </c>
      <c r="Q185" s="114" t="s">
        <v>1977</v>
      </c>
      <c r="AX185" s="618">
        <v>27</v>
      </c>
      <c r="AY185" s="618">
        <v>1564.3</v>
      </c>
      <c r="AZ185" s="618">
        <v>0</v>
      </c>
      <c r="BA185" s="618"/>
      <c r="BB185" s="618">
        <v>891.2</v>
      </c>
      <c r="BC185" s="618">
        <v>0</v>
      </c>
      <c r="BD185" s="618"/>
      <c r="BE185" s="618">
        <v>681</v>
      </c>
      <c r="BF185" s="618">
        <v>0</v>
      </c>
      <c r="BG185" s="618"/>
      <c r="BH185" s="618">
        <v>386</v>
      </c>
      <c r="BI185" s="618">
        <v>0</v>
      </c>
      <c r="BJ185" s="618"/>
      <c r="BK185" s="618">
        <v>276.89999999999998</v>
      </c>
      <c r="BL185" s="618">
        <v>0</v>
      </c>
      <c r="BM185" s="618"/>
    </row>
    <row r="186" spans="1:124">
      <c r="A186" s="420" t="s">
        <v>1098</v>
      </c>
      <c r="B186" s="2"/>
      <c r="D186" t="s">
        <v>1157</v>
      </c>
      <c r="E186" t="s">
        <v>1158</v>
      </c>
      <c r="F186" t="s">
        <v>1159</v>
      </c>
      <c r="G186" t="s">
        <v>1160</v>
      </c>
      <c r="H186" t="s">
        <v>1161</v>
      </c>
      <c r="I186" t="s">
        <v>3769</v>
      </c>
      <c r="J186" t="s">
        <v>1163</v>
      </c>
      <c r="K186" t="s">
        <v>1164</v>
      </c>
      <c r="L186" t="s">
        <v>1165</v>
      </c>
      <c r="M186" t="s">
        <v>1166</v>
      </c>
      <c r="N186" t="s">
        <v>1167</v>
      </c>
      <c r="O186" t="s">
        <v>1861</v>
      </c>
      <c r="P186" t="s">
        <v>3758</v>
      </c>
      <c r="Q186" t="s">
        <v>1977</v>
      </c>
    </row>
    <row r="187" spans="1:124">
      <c r="A187" s="420" t="s">
        <v>1106</v>
      </c>
      <c r="B187" s="2"/>
      <c r="F187" t="s">
        <v>3770</v>
      </c>
      <c r="G187" t="s">
        <v>1168</v>
      </c>
      <c r="H187">
        <v>8200200130</v>
      </c>
      <c r="K187" t="s">
        <v>1169</v>
      </c>
      <c r="L187" t="s">
        <v>1170</v>
      </c>
      <c r="N187" t="s">
        <v>1171</v>
      </c>
    </row>
    <row r="188" spans="1:124">
      <c r="A188" s="420" t="s">
        <v>1115</v>
      </c>
      <c r="B188" s="2"/>
      <c r="G188" t="s">
        <v>1172</v>
      </c>
      <c r="H188" t="s">
        <v>1173</v>
      </c>
      <c r="K188" t="s">
        <v>1174</v>
      </c>
      <c r="L188" t="s">
        <v>1175</v>
      </c>
      <c r="N188" t="s">
        <v>1176</v>
      </c>
    </row>
    <row r="189" spans="1:124">
      <c r="A189" s="420" t="s">
        <v>1121</v>
      </c>
      <c r="B189" s="2"/>
      <c r="G189" t="s">
        <v>1177</v>
      </c>
      <c r="H189" t="s">
        <v>3771</v>
      </c>
      <c r="K189" t="s">
        <v>1178</v>
      </c>
      <c r="L189" t="s">
        <v>1179</v>
      </c>
    </row>
    <row r="190" spans="1:124">
      <c r="A190" s="420" t="s">
        <v>1099</v>
      </c>
      <c r="B190" s="2" t="s">
        <v>901</v>
      </c>
      <c r="G190" t="s">
        <v>1180</v>
      </c>
      <c r="H190" t="s">
        <v>3772</v>
      </c>
      <c r="K190" t="s">
        <v>3773</v>
      </c>
      <c r="L190" t="s">
        <v>3754</v>
      </c>
      <c r="AX190" s="574" t="s">
        <v>1615</v>
      </c>
    </row>
    <row r="191" spans="1:124">
      <c r="A191" s="420" t="s">
        <v>1107</v>
      </c>
      <c r="B191" s="2" t="s">
        <v>901</v>
      </c>
      <c r="H191" t="s">
        <v>3774</v>
      </c>
      <c r="L191" t="s">
        <v>1181</v>
      </c>
      <c r="AX191" s="2" t="s">
        <v>1552</v>
      </c>
      <c r="AY191" s="2600">
        <v>0</v>
      </c>
      <c r="AZ191" s="2601"/>
      <c r="BA191" s="2602"/>
      <c r="BB191" s="2600">
        <v>11</v>
      </c>
      <c r="BC191" s="2601"/>
      <c r="BD191" s="2602"/>
      <c r="BE191" s="2600">
        <v>13</v>
      </c>
      <c r="BF191" s="2601"/>
      <c r="BG191" s="2602"/>
      <c r="BH191" s="2600">
        <v>17</v>
      </c>
      <c r="BI191" s="2601"/>
      <c r="BJ191" s="2602"/>
      <c r="BK191" s="2600">
        <v>19</v>
      </c>
      <c r="BL191" s="2601"/>
      <c r="BM191" s="2602"/>
    </row>
    <row r="192" spans="1:124">
      <c r="A192" s="420" t="s">
        <v>1116</v>
      </c>
      <c r="B192" s="2" t="s">
        <v>901</v>
      </c>
      <c r="H192" t="s">
        <v>3775</v>
      </c>
      <c r="AX192" s="2" t="s">
        <v>1553</v>
      </c>
      <c r="AY192" s="2" t="s">
        <v>1554</v>
      </c>
      <c r="AZ192" s="2" t="s">
        <v>1555</v>
      </c>
      <c r="BA192" s="2" t="s">
        <v>1556</v>
      </c>
      <c r="BB192" s="2" t="s">
        <v>1554</v>
      </c>
      <c r="BC192" s="2" t="s">
        <v>1555</v>
      </c>
      <c r="BD192" s="2" t="s">
        <v>1556</v>
      </c>
      <c r="BE192" s="2" t="s">
        <v>1554</v>
      </c>
      <c r="BF192" s="2" t="s">
        <v>1555</v>
      </c>
      <c r="BG192" s="2" t="s">
        <v>1556</v>
      </c>
      <c r="BH192" s="2" t="s">
        <v>1554</v>
      </c>
      <c r="BI192" s="2" t="s">
        <v>1555</v>
      </c>
      <c r="BJ192" s="2" t="s">
        <v>1556</v>
      </c>
      <c r="BK192" s="2" t="s">
        <v>1554</v>
      </c>
      <c r="BL192" s="2" t="s">
        <v>1555</v>
      </c>
      <c r="BM192" s="2" t="s">
        <v>1556</v>
      </c>
    </row>
    <row r="193" spans="1:164">
      <c r="A193" s="420" t="s">
        <v>1100</v>
      </c>
      <c r="B193" s="2" t="s">
        <v>900</v>
      </c>
      <c r="AX193" s="618">
        <v>11</v>
      </c>
      <c r="AY193" s="618">
        <v>23.4</v>
      </c>
      <c r="AZ193" s="618">
        <v>0</v>
      </c>
      <c r="BA193" s="618">
        <v>44.1</v>
      </c>
      <c r="BB193" s="618"/>
      <c r="BC193" s="618"/>
      <c r="BD193" s="618"/>
      <c r="BE193" s="618"/>
      <c r="BF193" s="618"/>
      <c r="BG193" s="618"/>
      <c r="BH193" s="618"/>
      <c r="BI193" s="618"/>
      <c r="BJ193" s="618"/>
      <c r="BK193" s="618"/>
      <c r="BL193" s="618"/>
      <c r="BM193" s="618"/>
    </row>
    <row r="194" spans="1:164">
      <c r="A194" s="420" t="s">
        <v>1108</v>
      </c>
      <c r="B194" s="2" t="s">
        <v>900</v>
      </c>
      <c r="AX194" s="2">
        <v>12</v>
      </c>
      <c r="AY194" s="2">
        <f>(((AX194-AX193)*(AY195-AY193))/($AX$195-AX193))+AY193</f>
        <v>26.5</v>
      </c>
      <c r="AZ194" s="2">
        <f>(((AX194-AX193)*(AZ195-AZ193))/($AX$195-AX193))+AZ193</f>
        <v>0</v>
      </c>
      <c r="BA194" s="2">
        <f>(((AX194-AX193)*(BA195-BA193))/($AX$195-AX193))+BA193</f>
        <v>51.6</v>
      </c>
      <c r="BB194" s="2">
        <f>(((AX194-AX193)*(BB195-BB193))/($AX$195-AX193))+BB193</f>
        <v>3.1</v>
      </c>
      <c r="BC194" s="2">
        <f>(((AX194-AX193)*(BC195-BC193))/($AX$195-AX193))+BC193</f>
        <v>0</v>
      </c>
      <c r="BD194" s="2">
        <f>(((AX194-AX193)*(BD195-BD193))/($AX$195-AX193))+BD193</f>
        <v>7.45</v>
      </c>
      <c r="BE194" s="2">
        <f>(((AX194-AX193)*(BE195-BE193))/($AX$195-AX193))+BE193</f>
        <v>0</v>
      </c>
      <c r="BF194" s="2">
        <f>(((AX194-AX193)*(BF195-BF193))/($AX$195-AX193))+BF193</f>
        <v>0</v>
      </c>
      <c r="BG194" s="2">
        <f>(((AX194-AX193)*(BG195-BG193))/($AX$195-AX193))+BG193</f>
        <v>0</v>
      </c>
      <c r="BH194" s="2">
        <f>(((AX194-AX193)*(BH195-BH193))/($AX$195-AX193))+BH193</f>
        <v>0</v>
      </c>
      <c r="BI194" s="2">
        <f>(((AX194-AX193)*(BI195-BI193))/($AX$195-AX193))+BI193</f>
        <v>0</v>
      </c>
      <c r="BJ194" s="2">
        <f>(((AX194-AX193)*(BJ195-BJ193))/($AX$195-AX193))+BJ193</f>
        <v>0</v>
      </c>
      <c r="BK194" s="2">
        <f>(((AX194-AX193)*(BK195-BK193))/($AX$195-AX193))+BK193</f>
        <v>0</v>
      </c>
      <c r="BL194" s="2">
        <f>(((AX194-AX193)*(BL195-BL193))/($AX$195-AX193))+BL193</f>
        <v>0</v>
      </c>
      <c r="BM194" s="2">
        <f>(((AX194-AX193)*(BM195-BM193))/($AX$195-AX193))+BM193</f>
        <v>0</v>
      </c>
    </row>
    <row r="195" spans="1:164">
      <c r="A195" s="420" t="s">
        <v>1117</v>
      </c>
      <c r="B195" s="2" t="s">
        <v>901</v>
      </c>
      <c r="AX195" s="618">
        <v>13</v>
      </c>
      <c r="AY195" s="618">
        <v>29.6</v>
      </c>
      <c r="AZ195" s="618">
        <v>0</v>
      </c>
      <c r="BA195" s="618">
        <v>59.1</v>
      </c>
      <c r="BB195" s="618">
        <v>6.2</v>
      </c>
      <c r="BC195" s="618">
        <v>0</v>
      </c>
      <c r="BD195" s="618">
        <v>14.9</v>
      </c>
      <c r="BE195" s="618">
        <v>0</v>
      </c>
      <c r="BF195" s="618">
        <v>0</v>
      </c>
      <c r="BG195" s="618">
        <v>0</v>
      </c>
      <c r="BH195" s="618">
        <v>0</v>
      </c>
      <c r="BI195" s="618">
        <v>0</v>
      </c>
      <c r="BJ195" s="618">
        <v>0</v>
      </c>
      <c r="BK195" s="618">
        <v>0</v>
      </c>
      <c r="BL195" s="618">
        <v>0</v>
      </c>
      <c r="BM195" s="618">
        <v>0</v>
      </c>
    </row>
    <row r="196" spans="1:164">
      <c r="A196" s="420" t="s">
        <v>1122</v>
      </c>
      <c r="B196" s="2" t="s">
        <v>901</v>
      </c>
      <c r="AX196" s="2">
        <v>14</v>
      </c>
      <c r="AY196" s="2">
        <f t="shared" ref="AY196:BM198" si="48">((($AX196-$AX$195)*(AY$199-AY$195))/($AX$199-$AX$195))+AY$195</f>
        <v>31.774999999999999</v>
      </c>
      <c r="AZ196" s="2">
        <f t="shared" si="48"/>
        <v>0</v>
      </c>
      <c r="BA196" s="2">
        <f t="shared" si="48"/>
        <v>64.05</v>
      </c>
      <c r="BB196" s="2">
        <f t="shared" si="48"/>
        <v>8.375</v>
      </c>
      <c r="BC196" s="2">
        <f t="shared" si="48"/>
        <v>0</v>
      </c>
      <c r="BD196" s="2">
        <f t="shared" si="48"/>
        <v>19.850000000000001</v>
      </c>
      <c r="BE196" s="2">
        <f t="shared" si="48"/>
        <v>2.1749999999999998</v>
      </c>
      <c r="BF196" s="2">
        <f t="shared" si="48"/>
        <v>0</v>
      </c>
      <c r="BG196" s="2">
        <f t="shared" si="48"/>
        <v>4.95</v>
      </c>
      <c r="BH196" s="2">
        <f t="shared" si="48"/>
        <v>0</v>
      </c>
      <c r="BI196" s="2">
        <f t="shared" si="48"/>
        <v>0</v>
      </c>
      <c r="BJ196" s="2">
        <f t="shared" si="48"/>
        <v>0</v>
      </c>
      <c r="BK196" s="2">
        <f t="shared" si="48"/>
        <v>0</v>
      </c>
      <c r="BL196" s="2">
        <f t="shared" si="48"/>
        <v>0</v>
      </c>
      <c r="BM196" s="2">
        <f t="shared" si="48"/>
        <v>0</v>
      </c>
      <c r="EW196" s="613"/>
    </row>
    <row r="197" spans="1:164">
      <c r="A197" s="420" t="s">
        <v>1126</v>
      </c>
      <c r="B197" s="2" t="s">
        <v>901</v>
      </c>
      <c r="AX197" s="2">
        <v>15</v>
      </c>
      <c r="AY197" s="2">
        <f t="shared" si="48"/>
        <v>33.950000000000003</v>
      </c>
      <c r="AZ197" s="2">
        <f t="shared" si="48"/>
        <v>0</v>
      </c>
      <c r="BA197" s="2">
        <f t="shared" si="48"/>
        <v>69</v>
      </c>
      <c r="BB197" s="2">
        <f t="shared" si="48"/>
        <v>10.55</v>
      </c>
      <c r="BC197" s="2">
        <f t="shared" si="48"/>
        <v>0</v>
      </c>
      <c r="BD197" s="2">
        <f t="shared" si="48"/>
        <v>24.800000000000004</v>
      </c>
      <c r="BE197" s="2">
        <f t="shared" si="48"/>
        <v>4.3499999999999996</v>
      </c>
      <c r="BF197" s="2">
        <f t="shared" si="48"/>
        <v>0</v>
      </c>
      <c r="BG197" s="2">
        <f t="shared" si="48"/>
        <v>9.9</v>
      </c>
      <c r="BH197" s="2">
        <f t="shared" si="48"/>
        <v>0</v>
      </c>
      <c r="BI197" s="2">
        <f t="shared" si="48"/>
        <v>0</v>
      </c>
      <c r="BJ197" s="2">
        <f t="shared" si="48"/>
        <v>0</v>
      </c>
      <c r="BK197" s="2">
        <f t="shared" si="48"/>
        <v>0</v>
      </c>
      <c r="BL197" s="2">
        <f t="shared" si="48"/>
        <v>0</v>
      </c>
      <c r="BM197" s="2">
        <f t="shared" si="48"/>
        <v>0</v>
      </c>
      <c r="EX197" s="613"/>
      <c r="EY197" s="613"/>
      <c r="EZ197" s="613"/>
      <c r="FA197" s="613"/>
      <c r="FB197" s="613"/>
      <c r="FC197" s="613"/>
      <c r="FD197" s="613"/>
      <c r="FE197" s="613"/>
      <c r="FF197" s="613"/>
      <c r="FG197" s="613"/>
      <c r="FH197" s="613"/>
    </row>
    <row r="198" spans="1:164">
      <c r="A198" s="420" t="s">
        <v>1128</v>
      </c>
      <c r="B198" s="2"/>
      <c r="AX198" s="2">
        <v>16</v>
      </c>
      <c r="AY198" s="2">
        <f t="shared" si="48"/>
        <v>36.125</v>
      </c>
      <c r="AZ198" s="2">
        <f t="shared" si="48"/>
        <v>0</v>
      </c>
      <c r="BA198" s="2">
        <f t="shared" si="48"/>
        <v>73.95</v>
      </c>
      <c r="BB198" s="2">
        <f t="shared" si="48"/>
        <v>12.725</v>
      </c>
      <c r="BC198" s="2">
        <f t="shared" si="48"/>
        <v>0</v>
      </c>
      <c r="BD198" s="2">
        <f t="shared" si="48"/>
        <v>29.750000000000004</v>
      </c>
      <c r="BE198" s="2">
        <f t="shared" si="48"/>
        <v>6.5249999999999995</v>
      </c>
      <c r="BF198" s="2">
        <f t="shared" si="48"/>
        <v>0</v>
      </c>
      <c r="BG198" s="2">
        <f t="shared" si="48"/>
        <v>14.850000000000001</v>
      </c>
      <c r="BH198" s="2">
        <f t="shared" si="48"/>
        <v>0</v>
      </c>
      <c r="BI198" s="2">
        <f t="shared" si="48"/>
        <v>0</v>
      </c>
      <c r="BJ198" s="2">
        <f t="shared" si="48"/>
        <v>0</v>
      </c>
      <c r="BK198" s="2">
        <f t="shared" si="48"/>
        <v>0</v>
      </c>
      <c r="BL198" s="2">
        <f t="shared" si="48"/>
        <v>0</v>
      </c>
      <c r="BM198" s="2">
        <f t="shared" si="48"/>
        <v>0</v>
      </c>
    </row>
    <row r="199" spans="1:164">
      <c r="A199" s="420" t="s">
        <v>1130</v>
      </c>
      <c r="B199" s="2"/>
      <c r="AX199" s="618">
        <v>17</v>
      </c>
      <c r="AY199" s="618">
        <v>38.299999999999997</v>
      </c>
      <c r="AZ199" s="618">
        <v>0</v>
      </c>
      <c r="BA199" s="618">
        <v>78.900000000000006</v>
      </c>
      <c r="BB199" s="618">
        <v>14.9</v>
      </c>
      <c r="BC199" s="618">
        <v>0</v>
      </c>
      <c r="BD199" s="618">
        <v>34.700000000000003</v>
      </c>
      <c r="BE199" s="618">
        <v>8.6999999999999993</v>
      </c>
      <c r="BF199" s="618">
        <v>0</v>
      </c>
      <c r="BG199" s="618">
        <v>19.8</v>
      </c>
      <c r="BH199" s="618">
        <v>0</v>
      </c>
      <c r="BI199" s="618">
        <v>0</v>
      </c>
      <c r="BJ199" s="618">
        <v>0</v>
      </c>
      <c r="BK199" s="618">
        <v>0</v>
      </c>
      <c r="BL199" s="618">
        <v>0</v>
      </c>
      <c r="BM199" s="618">
        <v>0</v>
      </c>
    </row>
    <row r="200" spans="1:164">
      <c r="A200" s="420" t="s">
        <v>1132</v>
      </c>
      <c r="B200" s="2" t="s">
        <v>900</v>
      </c>
      <c r="AX200" s="2">
        <v>18</v>
      </c>
      <c r="AY200" s="2">
        <f t="shared" ref="AY200:BM200" si="49">((($AX$200-$AX$199)*(AY201-AY199))/($AX$201-$AX$199))+AY199</f>
        <v>40.549999999999997</v>
      </c>
      <c r="AZ200" s="2">
        <f t="shared" si="49"/>
        <v>0</v>
      </c>
      <c r="BA200" s="2">
        <f t="shared" si="49"/>
        <v>82.45</v>
      </c>
      <c r="BB200" s="2">
        <f t="shared" si="49"/>
        <v>17.149999999999999</v>
      </c>
      <c r="BC200" s="2">
        <f t="shared" si="49"/>
        <v>0</v>
      </c>
      <c r="BD200" s="2">
        <f t="shared" si="49"/>
        <v>38.299999999999997</v>
      </c>
      <c r="BE200" s="2">
        <f t="shared" si="49"/>
        <v>10.95</v>
      </c>
      <c r="BF200" s="2">
        <f t="shared" si="49"/>
        <v>0</v>
      </c>
      <c r="BG200" s="2">
        <f t="shared" si="49"/>
        <v>23.35</v>
      </c>
      <c r="BH200" s="2">
        <f t="shared" si="49"/>
        <v>2.25</v>
      </c>
      <c r="BI200" s="2">
        <f t="shared" si="49"/>
        <v>0</v>
      </c>
      <c r="BJ200" s="2">
        <f t="shared" si="49"/>
        <v>3.55</v>
      </c>
      <c r="BK200" s="2">
        <f t="shared" si="49"/>
        <v>0</v>
      </c>
      <c r="BL200" s="2">
        <f t="shared" si="49"/>
        <v>0</v>
      </c>
      <c r="BM200" s="2">
        <f t="shared" si="49"/>
        <v>0</v>
      </c>
    </row>
    <row r="201" spans="1:164">
      <c r="A201" s="420" t="s">
        <v>1101</v>
      </c>
      <c r="B201" s="2"/>
      <c r="AX201" s="618">
        <v>19</v>
      </c>
      <c r="AY201" s="618">
        <v>42.8</v>
      </c>
      <c r="AZ201" s="618">
        <v>0</v>
      </c>
      <c r="BA201" s="618">
        <v>86</v>
      </c>
      <c r="BB201" s="618">
        <v>19.399999999999999</v>
      </c>
      <c r="BC201" s="618">
        <v>0</v>
      </c>
      <c r="BD201" s="618">
        <v>41.9</v>
      </c>
      <c r="BE201" s="618">
        <v>13.2</v>
      </c>
      <c r="BF201" s="618">
        <v>0</v>
      </c>
      <c r="BG201" s="618">
        <v>26.9</v>
      </c>
      <c r="BH201" s="618">
        <v>4.5</v>
      </c>
      <c r="BI201" s="618">
        <v>0</v>
      </c>
      <c r="BJ201" s="618">
        <v>7.1</v>
      </c>
      <c r="BK201" s="618">
        <v>0</v>
      </c>
      <c r="BL201" s="618">
        <v>0</v>
      </c>
      <c r="BM201" s="618">
        <v>0</v>
      </c>
    </row>
    <row r="202" spans="1:164">
      <c r="A202" s="420" t="s">
        <v>1109</v>
      </c>
      <c r="B202" s="2"/>
      <c r="AX202" s="2">
        <v>20</v>
      </c>
      <c r="AY202" s="2">
        <f t="shared" ref="AY202:BM202" si="50">((($AX$202-$AX$201)*(AY203-AY201))/($AX$203-$AX$201))+AY201</f>
        <v>43.55</v>
      </c>
      <c r="AZ202" s="2">
        <f t="shared" si="50"/>
        <v>0</v>
      </c>
      <c r="BA202" s="2">
        <f t="shared" si="50"/>
        <v>89.05</v>
      </c>
      <c r="BB202" s="2">
        <f t="shared" si="50"/>
        <v>20.149999999999999</v>
      </c>
      <c r="BC202" s="2">
        <f t="shared" si="50"/>
        <v>0</v>
      </c>
      <c r="BD202" s="2">
        <f t="shared" si="50"/>
        <v>44.9</v>
      </c>
      <c r="BE202" s="2">
        <f t="shared" si="50"/>
        <v>13.95</v>
      </c>
      <c r="BF202" s="2">
        <f t="shared" si="50"/>
        <v>0</v>
      </c>
      <c r="BG202" s="2">
        <f t="shared" si="50"/>
        <v>29.95</v>
      </c>
      <c r="BH202" s="2">
        <f t="shared" si="50"/>
        <v>5.25</v>
      </c>
      <c r="BI202" s="2">
        <f t="shared" si="50"/>
        <v>0</v>
      </c>
      <c r="BJ202" s="2">
        <f t="shared" si="50"/>
        <v>10.149999999999999</v>
      </c>
      <c r="BK202" s="2">
        <f t="shared" si="50"/>
        <v>0.75</v>
      </c>
      <c r="BL202" s="2">
        <f t="shared" si="50"/>
        <v>0</v>
      </c>
      <c r="BM202" s="2">
        <f t="shared" si="50"/>
        <v>3.05</v>
      </c>
    </row>
    <row r="203" spans="1:164">
      <c r="A203" s="420" t="s">
        <v>1118</v>
      </c>
      <c r="B203" s="2"/>
      <c r="AX203" s="618">
        <v>21</v>
      </c>
      <c r="AY203" s="618">
        <v>44.3</v>
      </c>
      <c r="AZ203" s="618">
        <v>0</v>
      </c>
      <c r="BA203" s="618">
        <v>92.1</v>
      </c>
      <c r="BB203" s="618">
        <v>20.9</v>
      </c>
      <c r="BC203" s="618">
        <v>0</v>
      </c>
      <c r="BD203" s="618">
        <v>47.9</v>
      </c>
      <c r="BE203" s="618">
        <v>14.7</v>
      </c>
      <c r="BF203" s="618">
        <v>0</v>
      </c>
      <c r="BG203" s="618">
        <v>33</v>
      </c>
      <c r="BH203" s="618">
        <v>6</v>
      </c>
      <c r="BI203" s="618">
        <v>0</v>
      </c>
      <c r="BJ203" s="618">
        <v>13.2</v>
      </c>
      <c r="BK203" s="618">
        <v>1.5</v>
      </c>
      <c r="BL203" s="618">
        <v>0</v>
      </c>
      <c r="BM203" s="618">
        <v>6.1</v>
      </c>
    </row>
    <row r="204" spans="1:164">
      <c r="A204" s="420" t="s">
        <v>1123</v>
      </c>
      <c r="B204" s="2"/>
      <c r="AX204" s="2">
        <v>22</v>
      </c>
      <c r="AY204" s="2">
        <f t="shared" ref="AY204:BM206" si="51">((($AX204-$AX$203)*(AY$207-AY$203))/($AX$207-$AX$203))+AY$203</f>
        <v>45.699999999999996</v>
      </c>
      <c r="AZ204" s="2">
        <f t="shared" si="51"/>
        <v>0</v>
      </c>
      <c r="BA204" s="2">
        <f t="shared" si="51"/>
        <v>94.5</v>
      </c>
      <c r="BB204" s="2">
        <f t="shared" si="51"/>
        <v>22.299999999999997</v>
      </c>
      <c r="BC204" s="2">
        <f t="shared" si="51"/>
        <v>0</v>
      </c>
      <c r="BD204" s="2">
        <f t="shared" si="51"/>
        <v>50.325000000000003</v>
      </c>
      <c r="BE204" s="2">
        <f t="shared" si="51"/>
        <v>16.100000000000001</v>
      </c>
      <c r="BF204" s="2">
        <f t="shared" si="51"/>
        <v>0</v>
      </c>
      <c r="BG204" s="2">
        <f t="shared" si="51"/>
        <v>35.424999999999997</v>
      </c>
      <c r="BH204" s="2">
        <f t="shared" si="51"/>
        <v>7.4</v>
      </c>
      <c r="BI204" s="2">
        <f t="shared" si="51"/>
        <v>0</v>
      </c>
      <c r="BJ204" s="2">
        <f t="shared" si="51"/>
        <v>15.6</v>
      </c>
      <c r="BK204" s="2">
        <f t="shared" si="51"/>
        <v>2.9</v>
      </c>
      <c r="BL204" s="2">
        <f t="shared" si="51"/>
        <v>0</v>
      </c>
      <c r="BM204" s="2">
        <f t="shared" si="51"/>
        <v>8.5</v>
      </c>
    </row>
    <row r="205" spans="1:164">
      <c r="A205" s="420" t="s">
        <v>1102</v>
      </c>
      <c r="B205" s="2"/>
      <c r="AX205" s="2">
        <v>23</v>
      </c>
      <c r="AY205" s="2">
        <f t="shared" si="51"/>
        <v>47.099999999999994</v>
      </c>
      <c r="AZ205" s="2">
        <f t="shared" si="51"/>
        <v>0</v>
      </c>
      <c r="BA205" s="2">
        <f t="shared" si="51"/>
        <v>96.9</v>
      </c>
      <c r="BB205" s="2">
        <f t="shared" si="51"/>
        <v>23.7</v>
      </c>
      <c r="BC205" s="2">
        <f t="shared" si="51"/>
        <v>0</v>
      </c>
      <c r="BD205" s="2">
        <f t="shared" si="51"/>
        <v>52.75</v>
      </c>
      <c r="BE205" s="2">
        <f t="shared" si="51"/>
        <v>17.5</v>
      </c>
      <c r="BF205" s="2">
        <f t="shared" si="51"/>
        <v>0</v>
      </c>
      <c r="BG205" s="2">
        <f t="shared" si="51"/>
        <v>37.85</v>
      </c>
      <c r="BH205" s="2">
        <f t="shared" si="51"/>
        <v>8.8000000000000007</v>
      </c>
      <c r="BI205" s="2">
        <f t="shared" si="51"/>
        <v>0</v>
      </c>
      <c r="BJ205" s="2">
        <f t="shared" si="51"/>
        <v>18</v>
      </c>
      <c r="BK205" s="2">
        <f t="shared" si="51"/>
        <v>4.3</v>
      </c>
      <c r="BL205" s="2">
        <f t="shared" si="51"/>
        <v>0</v>
      </c>
      <c r="BM205" s="2">
        <f t="shared" si="51"/>
        <v>10.899999999999999</v>
      </c>
    </row>
    <row r="206" spans="1:164">
      <c r="A206" s="420" t="s">
        <v>1110</v>
      </c>
      <c r="B206" s="2"/>
      <c r="AX206" s="2">
        <v>24</v>
      </c>
      <c r="AY206" s="2">
        <f t="shared" si="51"/>
        <v>48.5</v>
      </c>
      <c r="AZ206" s="2">
        <f t="shared" si="51"/>
        <v>0</v>
      </c>
      <c r="BA206" s="2">
        <f t="shared" si="51"/>
        <v>99.3</v>
      </c>
      <c r="BB206" s="2">
        <f t="shared" si="51"/>
        <v>25.1</v>
      </c>
      <c r="BC206" s="2">
        <f t="shared" si="51"/>
        <v>0</v>
      </c>
      <c r="BD206" s="2">
        <f t="shared" si="51"/>
        <v>55.174999999999997</v>
      </c>
      <c r="BE206" s="2">
        <f t="shared" si="51"/>
        <v>18.899999999999999</v>
      </c>
      <c r="BF206" s="2">
        <f t="shared" si="51"/>
        <v>0</v>
      </c>
      <c r="BG206" s="2">
        <f t="shared" si="51"/>
        <v>40.275000000000006</v>
      </c>
      <c r="BH206" s="2">
        <f t="shared" si="51"/>
        <v>10.199999999999999</v>
      </c>
      <c r="BI206" s="2">
        <f t="shared" si="51"/>
        <v>0</v>
      </c>
      <c r="BJ206" s="2">
        <f t="shared" si="51"/>
        <v>20.399999999999999</v>
      </c>
      <c r="BK206" s="2">
        <f t="shared" si="51"/>
        <v>5.6999999999999993</v>
      </c>
      <c r="BL206" s="2">
        <f t="shared" si="51"/>
        <v>0</v>
      </c>
      <c r="BM206" s="2">
        <f t="shared" si="51"/>
        <v>13.299999999999999</v>
      </c>
    </row>
    <row r="207" spans="1:164">
      <c r="A207" s="420" t="s">
        <v>1103</v>
      </c>
      <c r="B207" s="2" t="s">
        <v>901</v>
      </c>
      <c r="AX207" s="618">
        <v>25</v>
      </c>
      <c r="AY207" s="618">
        <v>49.9</v>
      </c>
      <c r="AZ207" s="618">
        <v>0</v>
      </c>
      <c r="BA207" s="618">
        <v>101.7</v>
      </c>
      <c r="BB207" s="618">
        <v>26.5</v>
      </c>
      <c r="BC207" s="618">
        <v>0</v>
      </c>
      <c r="BD207" s="618">
        <v>57.6</v>
      </c>
      <c r="BE207" s="618">
        <v>20.3</v>
      </c>
      <c r="BF207" s="618">
        <v>0</v>
      </c>
      <c r="BG207" s="618">
        <v>42.7</v>
      </c>
      <c r="BH207" s="618">
        <v>11.6</v>
      </c>
      <c r="BI207" s="618">
        <v>0</v>
      </c>
      <c r="BJ207" s="618">
        <v>22.8</v>
      </c>
      <c r="BK207" s="618">
        <v>7.1</v>
      </c>
      <c r="BL207" s="618">
        <v>0</v>
      </c>
      <c r="BM207" s="618">
        <v>15.7</v>
      </c>
    </row>
    <row r="208" spans="1:164">
      <c r="A208" s="420" t="s">
        <v>1111</v>
      </c>
      <c r="B208" s="2" t="s">
        <v>901</v>
      </c>
      <c r="AX208" s="2">
        <v>26</v>
      </c>
      <c r="AY208" s="2">
        <f t="shared" ref="AY208:BM208" si="52">((($AX$208-$AX$207)*(AY209-AY207))/($AX$209-$AX$207))+AY207</f>
        <v>50.5</v>
      </c>
      <c r="AZ208" s="2">
        <f t="shared" si="52"/>
        <v>0</v>
      </c>
      <c r="BA208" s="2">
        <f t="shared" si="52"/>
        <v>103.4</v>
      </c>
      <c r="BB208" s="2">
        <f t="shared" si="52"/>
        <v>27.1</v>
      </c>
      <c r="BC208" s="2">
        <f t="shared" si="52"/>
        <v>0</v>
      </c>
      <c r="BD208" s="2">
        <f t="shared" si="52"/>
        <v>59.3</v>
      </c>
      <c r="BE208" s="2">
        <f t="shared" si="52"/>
        <v>20.950000000000003</v>
      </c>
      <c r="BF208" s="2">
        <f t="shared" si="52"/>
        <v>0</v>
      </c>
      <c r="BG208" s="2">
        <f t="shared" si="52"/>
        <v>44.400000000000006</v>
      </c>
      <c r="BH208" s="2">
        <f t="shared" si="52"/>
        <v>12.2</v>
      </c>
      <c r="BI208" s="2">
        <f t="shared" si="52"/>
        <v>0</v>
      </c>
      <c r="BJ208" s="2">
        <f t="shared" si="52"/>
        <v>24.55</v>
      </c>
      <c r="BK208" s="2">
        <f t="shared" si="52"/>
        <v>7.75</v>
      </c>
      <c r="BL208" s="2">
        <f t="shared" si="52"/>
        <v>0</v>
      </c>
      <c r="BM208" s="2">
        <f t="shared" si="52"/>
        <v>17.399999999999999</v>
      </c>
    </row>
    <row r="209" spans="1:65">
      <c r="A209" s="420" t="s">
        <v>1119</v>
      </c>
      <c r="B209" s="2" t="s">
        <v>901</v>
      </c>
      <c r="AX209" s="618">
        <v>27</v>
      </c>
      <c r="AY209" s="618">
        <v>51.1</v>
      </c>
      <c r="AZ209" s="618">
        <v>0</v>
      </c>
      <c r="BA209" s="618">
        <v>105.1</v>
      </c>
      <c r="BB209" s="618">
        <v>27.7</v>
      </c>
      <c r="BC209" s="618">
        <v>0</v>
      </c>
      <c r="BD209" s="618">
        <v>61</v>
      </c>
      <c r="BE209" s="618">
        <v>21.6</v>
      </c>
      <c r="BF209" s="618">
        <v>0</v>
      </c>
      <c r="BG209" s="618">
        <v>46.1</v>
      </c>
      <c r="BH209" s="618">
        <v>12.8</v>
      </c>
      <c r="BI209" s="618">
        <v>0</v>
      </c>
      <c r="BJ209" s="618">
        <v>26.3</v>
      </c>
      <c r="BK209" s="618">
        <v>8.4</v>
      </c>
      <c r="BL209" s="618">
        <v>0</v>
      </c>
      <c r="BM209" s="618">
        <v>19.100000000000001</v>
      </c>
    </row>
    <row r="210" spans="1:65">
      <c r="A210" s="420" t="s">
        <v>1124</v>
      </c>
      <c r="B210" s="2" t="s">
        <v>901</v>
      </c>
    </row>
    <row r="211" spans="1:65">
      <c r="A211" s="420" t="s">
        <v>1104</v>
      </c>
      <c r="B211" s="2"/>
    </row>
    <row r="214" spans="1:65">
      <c r="A214" s="306" t="s">
        <v>2952</v>
      </c>
      <c r="B214" s="307" t="s">
        <v>3236</v>
      </c>
      <c r="C214" s="307" t="s">
        <v>3237</v>
      </c>
      <c r="D214" s="307" t="s">
        <v>3238</v>
      </c>
      <c r="AX214" s="574" t="s">
        <v>1616</v>
      </c>
    </row>
    <row r="215" spans="1:65">
      <c r="A215" s="308" t="s">
        <v>2955</v>
      </c>
      <c r="B215" s="104">
        <v>703</v>
      </c>
      <c r="C215" s="104">
        <v>675</v>
      </c>
      <c r="D215" s="104">
        <v>701</v>
      </c>
      <c r="AX215" s="2" t="s">
        <v>1552</v>
      </c>
      <c r="AY215" s="585">
        <v>0</v>
      </c>
      <c r="AZ215" s="585"/>
      <c r="BA215" s="585"/>
      <c r="BB215" s="585">
        <v>11</v>
      </c>
      <c r="BC215" s="585"/>
      <c r="BD215" s="585"/>
      <c r="BE215" s="585">
        <v>19</v>
      </c>
      <c r="BF215" s="585"/>
      <c r="BG215" s="585"/>
      <c r="BH215" s="585">
        <v>30</v>
      </c>
      <c r="BI215" s="585"/>
      <c r="BJ215" s="585"/>
      <c r="BK215" s="585">
        <v>38</v>
      </c>
      <c r="BL215" s="585"/>
      <c r="BM215" s="585"/>
    </row>
    <row r="216" spans="1:65">
      <c r="A216" s="106" t="s">
        <v>2953</v>
      </c>
      <c r="B216" s="106">
        <v>855</v>
      </c>
      <c r="C216" s="106">
        <v>1265</v>
      </c>
      <c r="D216" s="106">
        <v>642</v>
      </c>
      <c r="AX216" s="2" t="s">
        <v>1553</v>
      </c>
      <c r="AY216" s="2" t="s">
        <v>1554</v>
      </c>
      <c r="AZ216" s="2" t="s">
        <v>1555</v>
      </c>
      <c r="BA216" s="2" t="s">
        <v>1556</v>
      </c>
      <c r="BB216" s="2" t="s">
        <v>1554</v>
      </c>
      <c r="BC216" s="2" t="s">
        <v>1555</v>
      </c>
      <c r="BD216" s="2" t="s">
        <v>1556</v>
      </c>
      <c r="BE216" s="2" t="s">
        <v>1554</v>
      </c>
      <c r="BF216" s="2" t="s">
        <v>1555</v>
      </c>
      <c r="BG216" s="2" t="s">
        <v>1556</v>
      </c>
      <c r="BH216" s="2" t="s">
        <v>1554</v>
      </c>
      <c r="BI216" s="2" t="s">
        <v>1555</v>
      </c>
      <c r="BJ216" s="2" t="s">
        <v>1556</v>
      </c>
      <c r="BK216" s="2" t="s">
        <v>1554</v>
      </c>
      <c r="BL216" s="2" t="s">
        <v>1555</v>
      </c>
      <c r="BM216" s="2" t="s">
        <v>1556</v>
      </c>
    </row>
    <row r="217" spans="1:65">
      <c r="A217" s="308" t="s">
        <v>2954</v>
      </c>
      <c r="B217" s="116">
        <v>703</v>
      </c>
      <c r="C217" s="104">
        <v>675</v>
      </c>
      <c r="D217" s="111">
        <v>701</v>
      </c>
      <c r="AX217" s="609">
        <v>11</v>
      </c>
      <c r="AY217" s="609">
        <v>372.7</v>
      </c>
      <c r="AZ217" s="609">
        <v>0.36899999999999999</v>
      </c>
      <c r="BA217" s="609">
        <v>181.6</v>
      </c>
      <c r="BB217" s="609">
        <v>0</v>
      </c>
      <c r="BC217" s="609">
        <v>0</v>
      </c>
      <c r="BD217" s="609">
        <v>0</v>
      </c>
      <c r="BE217" s="609">
        <v>0</v>
      </c>
      <c r="BF217" s="609">
        <v>0</v>
      </c>
      <c r="BG217" s="609">
        <v>0</v>
      </c>
      <c r="BH217" s="609">
        <v>0</v>
      </c>
      <c r="BI217" s="609">
        <v>0</v>
      </c>
      <c r="BJ217" s="609">
        <v>0</v>
      </c>
      <c r="BK217" s="609">
        <v>0</v>
      </c>
      <c r="BL217" s="609">
        <v>0</v>
      </c>
      <c r="BM217" s="609">
        <v>0</v>
      </c>
    </row>
    <row r="218" spans="1:65">
      <c r="A218" s="106" t="s">
        <v>2956</v>
      </c>
      <c r="B218" s="101">
        <v>855</v>
      </c>
      <c r="C218" s="90">
        <v>1265</v>
      </c>
      <c r="D218" s="102">
        <v>642</v>
      </c>
      <c r="AX218" s="2">
        <v>12</v>
      </c>
      <c r="AY218" s="2">
        <f t="shared" ref="AY218:BM224" si="53">((($AX218-$AX$217)*(AY$225-AY$217))/($AX$225-$AX$217))+AY$217</f>
        <v>380.72499999999997</v>
      </c>
      <c r="AZ218" s="2">
        <f t="shared" si="53"/>
        <v>0.37662499999999999</v>
      </c>
      <c r="BA218" s="2">
        <f t="shared" si="53"/>
        <v>185.6875</v>
      </c>
      <c r="BB218" s="2">
        <f t="shared" si="53"/>
        <v>8.0250000000000004</v>
      </c>
      <c r="BC218" s="2">
        <f t="shared" si="53"/>
        <v>7.6249999999999998E-3</v>
      </c>
      <c r="BD218" s="2">
        <f t="shared" si="53"/>
        <v>4.0875000000000004</v>
      </c>
      <c r="BE218" s="2">
        <f t="shared" si="53"/>
        <v>0</v>
      </c>
      <c r="BF218" s="2">
        <f t="shared" si="53"/>
        <v>0</v>
      </c>
      <c r="BG218" s="2">
        <f t="shared" si="53"/>
        <v>0</v>
      </c>
      <c r="BH218" s="2">
        <f t="shared" si="53"/>
        <v>0</v>
      </c>
      <c r="BI218" s="2">
        <f t="shared" si="53"/>
        <v>0</v>
      </c>
      <c r="BJ218" s="2">
        <f t="shared" si="53"/>
        <v>0</v>
      </c>
      <c r="BK218" s="2">
        <f t="shared" si="53"/>
        <v>0</v>
      </c>
      <c r="BL218" s="2">
        <f t="shared" si="53"/>
        <v>0</v>
      </c>
      <c r="BM218" s="2">
        <f t="shared" si="53"/>
        <v>0</v>
      </c>
    </row>
    <row r="219" spans="1:65">
      <c r="A219" s="845" t="s">
        <v>3239</v>
      </c>
      <c r="B219" t="s">
        <v>3240</v>
      </c>
      <c r="C219" t="s">
        <v>3240</v>
      </c>
      <c r="D219" t="s">
        <v>2957</v>
      </c>
      <c r="AX219" s="2">
        <v>13</v>
      </c>
      <c r="AY219" s="2">
        <f t="shared" si="53"/>
        <v>388.75</v>
      </c>
      <c r="AZ219" s="2">
        <f t="shared" si="53"/>
        <v>0.38424999999999998</v>
      </c>
      <c r="BA219" s="2">
        <f t="shared" si="53"/>
        <v>189.77500000000001</v>
      </c>
      <c r="BB219" s="2">
        <f t="shared" si="53"/>
        <v>16.05</v>
      </c>
      <c r="BC219" s="2">
        <f t="shared" si="53"/>
        <v>1.525E-2</v>
      </c>
      <c r="BD219" s="2">
        <f t="shared" si="53"/>
        <v>8.1750000000000007</v>
      </c>
      <c r="BE219" s="2">
        <f t="shared" si="53"/>
        <v>0</v>
      </c>
      <c r="BF219" s="2">
        <f t="shared" si="53"/>
        <v>0</v>
      </c>
      <c r="BG219" s="2">
        <f t="shared" si="53"/>
        <v>0</v>
      </c>
      <c r="BH219" s="2">
        <f t="shared" si="53"/>
        <v>0</v>
      </c>
      <c r="BI219" s="2">
        <f t="shared" si="53"/>
        <v>0</v>
      </c>
      <c r="BJ219" s="2">
        <f t="shared" si="53"/>
        <v>0</v>
      </c>
      <c r="BK219" s="2">
        <f t="shared" si="53"/>
        <v>0</v>
      </c>
      <c r="BL219" s="2">
        <f t="shared" si="53"/>
        <v>0</v>
      </c>
      <c r="BM219" s="2">
        <f t="shared" si="53"/>
        <v>0</v>
      </c>
    </row>
    <row r="220" spans="1:65">
      <c r="AX220" s="2">
        <v>14</v>
      </c>
      <c r="AY220" s="2">
        <f t="shared" si="53"/>
        <v>396.77499999999998</v>
      </c>
      <c r="AZ220" s="2">
        <f t="shared" si="53"/>
        <v>0.39187499999999997</v>
      </c>
      <c r="BA220" s="2">
        <f t="shared" si="53"/>
        <v>193.86250000000001</v>
      </c>
      <c r="BB220" s="2">
        <f t="shared" si="53"/>
        <v>24.075000000000003</v>
      </c>
      <c r="BC220" s="2">
        <f t="shared" si="53"/>
        <v>2.2875E-2</v>
      </c>
      <c r="BD220" s="2">
        <f t="shared" si="53"/>
        <v>12.262500000000001</v>
      </c>
      <c r="BE220" s="2">
        <f t="shared" si="53"/>
        <v>0</v>
      </c>
      <c r="BF220" s="2">
        <f t="shared" si="53"/>
        <v>0</v>
      </c>
      <c r="BG220" s="2">
        <f t="shared" si="53"/>
        <v>0</v>
      </c>
      <c r="BH220" s="2">
        <f t="shared" si="53"/>
        <v>0</v>
      </c>
      <c r="BI220" s="2">
        <f t="shared" si="53"/>
        <v>0</v>
      </c>
      <c r="BJ220" s="2">
        <f t="shared" si="53"/>
        <v>0</v>
      </c>
      <c r="BK220" s="2">
        <f t="shared" si="53"/>
        <v>0</v>
      </c>
      <c r="BL220" s="2">
        <f t="shared" si="53"/>
        <v>0</v>
      </c>
      <c r="BM220" s="2">
        <f t="shared" si="53"/>
        <v>0</v>
      </c>
    </row>
    <row r="221" spans="1:65">
      <c r="AX221" s="2">
        <v>15</v>
      </c>
      <c r="AY221" s="2">
        <f t="shared" si="53"/>
        <v>404.79999999999995</v>
      </c>
      <c r="AZ221" s="2">
        <f t="shared" si="53"/>
        <v>0.39949999999999997</v>
      </c>
      <c r="BA221" s="2">
        <f t="shared" si="53"/>
        <v>197.95</v>
      </c>
      <c r="BB221" s="2">
        <f t="shared" si="53"/>
        <v>32.1</v>
      </c>
      <c r="BC221" s="2">
        <f t="shared" si="53"/>
        <v>3.0499999999999999E-2</v>
      </c>
      <c r="BD221" s="2">
        <f t="shared" si="53"/>
        <v>16.350000000000001</v>
      </c>
      <c r="BE221" s="2">
        <f t="shared" si="53"/>
        <v>0</v>
      </c>
      <c r="BF221" s="2">
        <f t="shared" si="53"/>
        <v>0</v>
      </c>
      <c r="BG221" s="2">
        <f t="shared" si="53"/>
        <v>0</v>
      </c>
      <c r="BH221" s="2">
        <f t="shared" si="53"/>
        <v>0</v>
      </c>
      <c r="BI221" s="2">
        <f t="shared" si="53"/>
        <v>0</v>
      </c>
      <c r="BJ221" s="2">
        <f t="shared" si="53"/>
        <v>0</v>
      </c>
      <c r="BK221" s="2">
        <f t="shared" si="53"/>
        <v>0</v>
      </c>
      <c r="BL221" s="2">
        <f t="shared" si="53"/>
        <v>0</v>
      </c>
      <c r="BM221" s="2">
        <f t="shared" si="53"/>
        <v>0</v>
      </c>
    </row>
    <row r="222" spans="1:65">
      <c r="AX222" s="2">
        <v>16</v>
      </c>
      <c r="AY222" s="2">
        <f t="shared" si="53"/>
        <v>412.82499999999999</v>
      </c>
      <c r="AZ222" s="2">
        <f t="shared" si="53"/>
        <v>0.40712500000000001</v>
      </c>
      <c r="BA222" s="2">
        <f t="shared" si="53"/>
        <v>202.03749999999999</v>
      </c>
      <c r="BB222" s="2">
        <f t="shared" si="53"/>
        <v>40.125</v>
      </c>
      <c r="BC222" s="2">
        <f t="shared" si="53"/>
        <v>3.8124999999999999E-2</v>
      </c>
      <c r="BD222" s="2">
        <f t="shared" si="53"/>
        <v>20.4375</v>
      </c>
      <c r="BE222" s="2">
        <f t="shared" si="53"/>
        <v>0</v>
      </c>
      <c r="BF222" s="2">
        <f t="shared" si="53"/>
        <v>0</v>
      </c>
      <c r="BG222" s="2">
        <f t="shared" si="53"/>
        <v>0</v>
      </c>
      <c r="BH222" s="2">
        <f t="shared" si="53"/>
        <v>0</v>
      </c>
      <c r="BI222" s="2">
        <f t="shared" si="53"/>
        <v>0</v>
      </c>
      <c r="BJ222" s="2">
        <f t="shared" si="53"/>
        <v>0</v>
      </c>
      <c r="BK222" s="2">
        <f t="shared" si="53"/>
        <v>0</v>
      </c>
      <c r="BL222" s="2">
        <f t="shared" si="53"/>
        <v>0</v>
      </c>
      <c r="BM222" s="2">
        <f t="shared" si="53"/>
        <v>0</v>
      </c>
    </row>
    <row r="223" spans="1:65">
      <c r="AX223" s="2">
        <v>17</v>
      </c>
      <c r="AY223" s="2">
        <f t="shared" si="53"/>
        <v>420.84999999999997</v>
      </c>
      <c r="AZ223" s="2">
        <f t="shared" si="53"/>
        <v>0.41475000000000001</v>
      </c>
      <c r="BA223" s="2">
        <f t="shared" si="53"/>
        <v>206.125</v>
      </c>
      <c r="BB223" s="2">
        <f t="shared" si="53"/>
        <v>48.150000000000006</v>
      </c>
      <c r="BC223" s="2">
        <f t="shared" si="53"/>
        <v>4.5749999999999999E-2</v>
      </c>
      <c r="BD223" s="2">
        <f t="shared" si="53"/>
        <v>24.525000000000002</v>
      </c>
      <c r="BE223" s="2">
        <f t="shared" si="53"/>
        <v>0</v>
      </c>
      <c r="BF223" s="2">
        <f t="shared" si="53"/>
        <v>0</v>
      </c>
      <c r="BG223" s="2">
        <f t="shared" si="53"/>
        <v>0</v>
      </c>
      <c r="BH223" s="2">
        <f t="shared" si="53"/>
        <v>0</v>
      </c>
      <c r="BI223" s="2">
        <f t="shared" si="53"/>
        <v>0</v>
      </c>
      <c r="BJ223" s="2">
        <f t="shared" si="53"/>
        <v>0</v>
      </c>
      <c r="BK223" s="2">
        <f t="shared" si="53"/>
        <v>0</v>
      </c>
      <c r="BL223" s="2">
        <f t="shared" si="53"/>
        <v>0</v>
      </c>
      <c r="BM223" s="2">
        <f t="shared" si="53"/>
        <v>0</v>
      </c>
    </row>
    <row r="224" spans="1:65">
      <c r="AX224" s="2">
        <v>18</v>
      </c>
      <c r="AY224" s="2">
        <f t="shared" si="53"/>
        <v>428.875</v>
      </c>
      <c r="AZ224" s="2">
        <f t="shared" si="53"/>
        <v>0.422375</v>
      </c>
      <c r="BA224" s="2">
        <f t="shared" si="53"/>
        <v>210.21250000000001</v>
      </c>
      <c r="BB224" s="2">
        <f t="shared" si="53"/>
        <v>56.175000000000004</v>
      </c>
      <c r="BC224" s="2">
        <f t="shared" si="53"/>
        <v>5.3374999999999999E-2</v>
      </c>
      <c r="BD224" s="2">
        <f t="shared" si="53"/>
        <v>28.612500000000004</v>
      </c>
      <c r="BE224" s="2">
        <f t="shared" si="53"/>
        <v>0</v>
      </c>
      <c r="BF224" s="2">
        <f t="shared" si="53"/>
        <v>0</v>
      </c>
      <c r="BG224" s="2">
        <f t="shared" si="53"/>
        <v>0</v>
      </c>
      <c r="BH224" s="2">
        <f t="shared" si="53"/>
        <v>0</v>
      </c>
      <c r="BI224" s="2">
        <f t="shared" si="53"/>
        <v>0</v>
      </c>
      <c r="BJ224" s="2">
        <f t="shared" si="53"/>
        <v>0</v>
      </c>
      <c r="BK224" s="2">
        <f t="shared" si="53"/>
        <v>0</v>
      </c>
      <c r="BL224" s="2">
        <f t="shared" si="53"/>
        <v>0</v>
      </c>
      <c r="BM224" s="2">
        <f t="shared" si="53"/>
        <v>0</v>
      </c>
    </row>
    <row r="225" spans="50:65">
      <c r="AX225" s="609">
        <v>19</v>
      </c>
      <c r="AY225" s="609">
        <v>436.9</v>
      </c>
      <c r="AZ225" s="609">
        <v>0.43</v>
      </c>
      <c r="BA225" s="609">
        <v>214.3</v>
      </c>
      <c r="BB225" s="1033">
        <v>64.2</v>
      </c>
      <c r="BC225" s="1033">
        <v>6.0999999999999999E-2</v>
      </c>
      <c r="BD225" s="1033">
        <v>32.700000000000003</v>
      </c>
      <c r="BE225" s="609">
        <v>0</v>
      </c>
      <c r="BF225" s="609">
        <v>0</v>
      </c>
      <c r="BG225" s="609">
        <v>0</v>
      </c>
      <c r="BH225" s="609">
        <v>0</v>
      </c>
      <c r="BI225" s="609">
        <v>0</v>
      </c>
      <c r="BJ225" s="609">
        <v>0</v>
      </c>
      <c r="BK225" s="609">
        <v>0</v>
      </c>
      <c r="BL225" s="609">
        <v>0</v>
      </c>
      <c r="BM225" s="609">
        <v>0</v>
      </c>
    </row>
    <row r="226" spans="50:65">
      <c r="AX226" s="2">
        <v>20</v>
      </c>
      <c r="AY226" s="293">
        <f t="shared" ref="AY226:BM235" si="54">((($AX226-$AX$225)*(AY$236-AY$225))/($AX$236-$AX$225))+AY$225</f>
        <v>440.4</v>
      </c>
      <c r="AZ226" s="293">
        <f t="shared" si="54"/>
        <v>0.43327272727272725</v>
      </c>
      <c r="BA226" s="293">
        <f t="shared" si="54"/>
        <v>216.21818181818182</v>
      </c>
      <c r="BB226" s="293">
        <f t="shared" si="54"/>
        <v>67.7</v>
      </c>
      <c r="BC226" s="293">
        <f t="shared" si="54"/>
        <v>6.4272727272727273E-2</v>
      </c>
      <c r="BD226" s="293">
        <f t="shared" si="54"/>
        <v>34.627272727272732</v>
      </c>
      <c r="BE226" s="293">
        <f t="shared" si="54"/>
        <v>3.5</v>
      </c>
      <c r="BF226" s="293">
        <f t="shared" si="54"/>
        <v>3.1818181818181819E-3</v>
      </c>
      <c r="BG226" s="293">
        <f t="shared" si="54"/>
        <v>1.9272727272727272</v>
      </c>
      <c r="BH226" s="293">
        <f t="shared" si="54"/>
        <v>0</v>
      </c>
      <c r="BI226" s="293">
        <f t="shared" si="54"/>
        <v>0</v>
      </c>
      <c r="BJ226" s="293">
        <f t="shared" si="54"/>
        <v>0</v>
      </c>
      <c r="BK226" s="293">
        <f t="shared" si="54"/>
        <v>0</v>
      </c>
      <c r="BL226" s="293">
        <f t="shared" si="54"/>
        <v>0</v>
      </c>
      <c r="BM226" s="293">
        <f t="shared" si="54"/>
        <v>0</v>
      </c>
    </row>
    <row r="227" spans="50:65">
      <c r="AX227" s="2">
        <v>21</v>
      </c>
      <c r="AY227" s="293">
        <f t="shared" si="54"/>
        <v>443.9</v>
      </c>
      <c r="AZ227" s="293">
        <f t="shared" si="54"/>
        <v>0.43654545454545457</v>
      </c>
      <c r="BA227" s="293">
        <f t="shared" si="54"/>
        <v>218.13636363636365</v>
      </c>
      <c r="BB227" s="293">
        <f t="shared" si="54"/>
        <v>71.2</v>
      </c>
      <c r="BC227" s="293">
        <f t="shared" si="54"/>
        <v>6.7545454545454547E-2</v>
      </c>
      <c r="BD227" s="293">
        <f t="shared" si="54"/>
        <v>36.554545454545455</v>
      </c>
      <c r="BE227" s="293">
        <f t="shared" si="54"/>
        <v>7</v>
      </c>
      <c r="BF227" s="293">
        <f t="shared" si="54"/>
        <v>6.3636363636363638E-3</v>
      </c>
      <c r="BG227" s="293">
        <f t="shared" si="54"/>
        <v>3.8545454545454545</v>
      </c>
      <c r="BH227" s="293">
        <f t="shared" si="54"/>
        <v>0</v>
      </c>
      <c r="BI227" s="293">
        <f t="shared" si="54"/>
        <v>0</v>
      </c>
      <c r="BJ227" s="293">
        <f t="shared" si="54"/>
        <v>0</v>
      </c>
      <c r="BK227" s="293">
        <f t="shared" si="54"/>
        <v>0</v>
      </c>
      <c r="BL227" s="293">
        <f t="shared" si="54"/>
        <v>0</v>
      </c>
      <c r="BM227" s="293">
        <f t="shared" si="54"/>
        <v>0</v>
      </c>
    </row>
    <row r="228" spans="50:65">
      <c r="AX228" s="2">
        <v>22</v>
      </c>
      <c r="AY228" s="293">
        <f t="shared" si="54"/>
        <v>447.4</v>
      </c>
      <c r="AZ228" s="293">
        <f t="shared" si="54"/>
        <v>0.43981818181818183</v>
      </c>
      <c r="BA228" s="293">
        <f t="shared" si="54"/>
        <v>220.05454545454546</v>
      </c>
      <c r="BB228" s="293">
        <f t="shared" si="54"/>
        <v>74.7</v>
      </c>
      <c r="BC228" s="293">
        <f t="shared" si="54"/>
        <v>7.0818181818181822E-2</v>
      </c>
      <c r="BD228" s="293">
        <f t="shared" si="54"/>
        <v>38.481818181818184</v>
      </c>
      <c r="BE228" s="293">
        <f t="shared" si="54"/>
        <v>10.5</v>
      </c>
      <c r="BF228" s="293">
        <f t="shared" si="54"/>
        <v>9.5454545454545462E-3</v>
      </c>
      <c r="BG228" s="293">
        <f t="shared" si="54"/>
        <v>5.7818181818181813</v>
      </c>
      <c r="BH228" s="293">
        <f t="shared" si="54"/>
        <v>0</v>
      </c>
      <c r="BI228" s="293">
        <f t="shared" si="54"/>
        <v>0</v>
      </c>
      <c r="BJ228" s="293">
        <f t="shared" si="54"/>
        <v>0</v>
      </c>
      <c r="BK228" s="293">
        <f t="shared" si="54"/>
        <v>0</v>
      </c>
      <c r="BL228" s="293">
        <f t="shared" si="54"/>
        <v>0</v>
      </c>
      <c r="BM228" s="293">
        <f t="shared" si="54"/>
        <v>0</v>
      </c>
    </row>
    <row r="229" spans="50:65">
      <c r="AX229" s="2">
        <v>23</v>
      </c>
      <c r="AY229" s="293">
        <f t="shared" si="54"/>
        <v>450.9</v>
      </c>
      <c r="AZ229" s="293">
        <f t="shared" si="54"/>
        <v>0.44309090909090909</v>
      </c>
      <c r="BA229" s="293">
        <f t="shared" si="54"/>
        <v>221.97272727272727</v>
      </c>
      <c r="BB229" s="293">
        <f t="shared" si="54"/>
        <v>78.2</v>
      </c>
      <c r="BC229" s="293">
        <f t="shared" si="54"/>
        <v>7.4090909090909096E-2</v>
      </c>
      <c r="BD229" s="293">
        <f t="shared" si="54"/>
        <v>40.409090909090907</v>
      </c>
      <c r="BE229" s="293">
        <f t="shared" si="54"/>
        <v>14</v>
      </c>
      <c r="BF229" s="293">
        <f t="shared" si="54"/>
        <v>1.2727272727272728E-2</v>
      </c>
      <c r="BG229" s="293">
        <f t="shared" si="54"/>
        <v>7.709090909090909</v>
      </c>
      <c r="BH229" s="293">
        <f t="shared" si="54"/>
        <v>0</v>
      </c>
      <c r="BI229" s="293">
        <f t="shared" si="54"/>
        <v>0</v>
      </c>
      <c r="BJ229" s="293">
        <f t="shared" si="54"/>
        <v>0</v>
      </c>
      <c r="BK229" s="293">
        <f t="shared" si="54"/>
        <v>0</v>
      </c>
      <c r="BL229" s="293">
        <f t="shared" si="54"/>
        <v>0</v>
      </c>
      <c r="BM229" s="293">
        <f t="shared" si="54"/>
        <v>0</v>
      </c>
    </row>
    <row r="230" spans="50:65">
      <c r="AX230" s="2">
        <v>24</v>
      </c>
      <c r="AY230" s="293">
        <f t="shared" si="54"/>
        <v>454.4</v>
      </c>
      <c r="AZ230" s="293">
        <f t="shared" si="54"/>
        <v>0.44636363636363635</v>
      </c>
      <c r="BA230" s="293">
        <f t="shared" si="54"/>
        <v>223.8909090909091</v>
      </c>
      <c r="BB230" s="293">
        <f t="shared" si="54"/>
        <v>81.7</v>
      </c>
      <c r="BC230" s="293">
        <f t="shared" si="54"/>
        <v>7.7363636363636357E-2</v>
      </c>
      <c r="BD230" s="293">
        <f t="shared" si="54"/>
        <v>42.336363636363636</v>
      </c>
      <c r="BE230" s="293">
        <f t="shared" si="54"/>
        <v>17.5</v>
      </c>
      <c r="BF230" s="293">
        <f t="shared" si="54"/>
        <v>1.5909090909090911E-2</v>
      </c>
      <c r="BG230" s="293">
        <f t="shared" si="54"/>
        <v>9.6363636363636367</v>
      </c>
      <c r="BH230" s="293">
        <f t="shared" si="54"/>
        <v>0</v>
      </c>
      <c r="BI230" s="293">
        <f t="shared" si="54"/>
        <v>0</v>
      </c>
      <c r="BJ230" s="293">
        <f t="shared" si="54"/>
        <v>0</v>
      </c>
      <c r="BK230" s="293">
        <f t="shared" si="54"/>
        <v>0</v>
      </c>
      <c r="BL230" s="293">
        <f t="shared" si="54"/>
        <v>0</v>
      </c>
      <c r="BM230" s="293">
        <f t="shared" si="54"/>
        <v>0</v>
      </c>
    </row>
    <row r="231" spans="50:65">
      <c r="AX231" s="2">
        <v>25</v>
      </c>
      <c r="AY231" s="293">
        <f t="shared" si="54"/>
        <v>457.9</v>
      </c>
      <c r="AZ231" s="293">
        <f t="shared" si="54"/>
        <v>0.44963636363636367</v>
      </c>
      <c r="BA231" s="293">
        <f t="shared" si="54"/>
        <v>225.80909090909091</v>
      </c>
      <c r="BB231" s="293">
        <f t="shared" si="54"/>
        <v>85.2</v>
      </c>
      <c r="BC231" s="293">
        <f t="shared" si="54"/>
        <v>8.0636363636363645E-2</v>
      </c>
      <c r="BD231" s="293">
        <f t="shared" si="54"/>
        <v>44.263636363636365</v>
      </c>
      <c r="BE231" s="293">
        <f t="shared" si="54"/>
        <v>21</v>
      </c>
      <c r="BF231" s="293">
        <f t="shared" si="54"/>
        <v>1.9090909090909092E-2</v>
      </c>
      <c r="BG231" s="293">
        <f t="shared" si="54"/>
        <v>11.563636363636363</v>
      </c>
      <c r="BH231" s="293">
        <f t="shared" si="54"/>
        <v>0</v>
      </c>
      <c r="BI231" s="293">
        <f t="shared" si="54"/>
        <v>0</v>
      </c>
      <c r="BJ231" s="293">
        <f t="shared" si="54"/>
        <v>0</v>
      </c>
      <c r="BK231" s="293">
        <f t="shared" si="54"/>
        <v>0</v>
      </c>
      <c r="BL231" s="293">
        <f t="shared" si="54"/>
        <v>0</v>
      </c>
      <c r="BM231" s="293">
        <f t="shared" si="54"/>
        <v>0</v>
      </c>
    </row>
    <row r="232" spans="50:65">
      <c r="AX232" s="2">
        <v>26</v>
      </c>
      <c r="AY232" s="293">
        <f t="shared" si="54"/>
        <v>461.4</v>
      </c>
      <c r="AZ232" s="293">
        <f t="shared" si="54"/>
        <v>0.45290909090909093</v>
      </c>
      <c r="BA232" s="293">
        <f t="shared" si="54"/>
        <v>227.72727272727275</v>
      </c>
      <c r="BB232" s="293">
        <f t="shared" si="54"/>
        <v>88.7</v>
      </c>
      <c r="BC232" s="293">
        <f t="shared" si="54"/>
        <v>8.3909090909090905E-2</v>
      </c>
      <c r="BD232" s="293">
        <f t="shared" si="54"/>
        <v>46.190909090909088</v>
      </c>
      <c r="BE232" s="293">
        <f t="shared" si="54"/>
        <v>24.5</v>
      </c>
      <c r="BF232" s="293">
        <f t="shared" si="54"/>
        <v>2.2272727272727274E-2</v>
      </c>
      <c r="BG232" s="293">
        <f t="shared" si="54"/>
        <v>13.490909090909092</v>
      </c>
      <c r="BH232" s="293">
        <f t="shared" si="54"/>
        <v>0</v>
      </c>
      <c r="BI232" s="293">
        <f t="shared" si="54"/>
        <v>0</v>
      </c>
      <c r="BJ232" s="293">
        <f t="shared" si="54"/>
        <v>0</v>
      </c>
      <c r="BK232" s="293">
        <f t="shared" si="54"/>
        <v>0</v>
      </c>
      <c r="BL232" s="293">
        <f t="shared" si="54"/>
        <v>0</v>
      </c>
      <c r="BM232" s="293">
        <f t="shared" si="54"/>
        <v>0</v>
      </c>
    </row>
    <row r="233" spans="50:65">
      <c r="AX233" s="2">
        <v>27</v>
      </c>
      <c r="AY233" s="293">
        <f t="shared" si="54"/>
        <v>464.9</v>
      </c>
      <c r="AZ233" s="293">
        <f t="shared" si="54"/>
        <v>0.45618181818181819</v>
      </c>
      <c r="BA233" s="293">
        <f t="shared" si="54"/>
        <v>229.64545454545456</v>
      </c>
      <c r="BB233" s="293">
        <f t="shared" si="54"/>
        <v>92.2</v>
      </c>
      <c r="BC233" s="293">
        <f t="shared" si="54"/>
        <v>8.718181818181818E-2</v>
      </c>
      <c r="BD233" s="293">
        <f t="shared" si="54"/>
        <v>48.118181818181817</v>
      </c>
      <c r="BE233" s="293">
        <f t="shared" si="54"/>
        <v>28</v>
      </c>
      <c r="BF233" s="293">
        <f t="shared" si="54"/>
        <v>2.5454545454545455E-2</v>
      </c>
      <c r="BG233" s="293">
        <f t="shared" si="54"/>
        <v>15.418181818181818</v>
      </c>
      <c r="BH233" s="293">
        <f t="shared" si="54"/>
        <v>0</v>
      </c>
      <c r="BI233" s="293">
        <f t="shared" si="54"/>
        <v>0</v>
      </c>
      <c r="BJ233" s="293">
        <f t="shared" si="54"/>
        <v>0</v>
      </c>
      <c r="BK233" s="293">
        <f t="shared" si="54"/>
        <v>0</v>
      </c>
      <c r="BL233" s="293">
        <f t="shared" si="54"/>
        <v>0</v>
      </c>
      <c r="BM233" s="293">
        <f t="shared" si="54"/>
        <v>0</v>
      </c>
    </row>
    <row r="234" spans="50:65">
      <c r="AX234" s="2">
        <v>28</v>
      </c>
      <c r="AY234" s="293">
        <f t="shared" si="54"/>
        <v>468.4</v>
      </c>
      <c r="AZ234" s="293">
        <f t="shared" si="54"/>
        <v>0.45945454545454545</v>
      </c>
      <c r="BA234" s="293">
        <f t="shared" si="54"/>
        <v>231.56363636363636</v>
      </c>
      <c r="BB234" s="293">
        <f t="shared" si="54"/>
        <v>95.7</v>
      </c>
      <c r="BC234" s="293">
        <f t="shared" si="54"/>
        <v>9.0454545454545454E-2</v>
      </c>
      <c r="BD234" s="293">
        <f t="shared" si="54"/>
        <v>50.045454545454547</v>
      </c>
      <c r="BE234" s="293">
        <f t="shared" si="54"/>
        <v>31.5</v>
      </c>
      <c r="BF234" s="293">
        <f t="shared" si="54"/>
        <v>2.863636363636364E-2</v>
      </c>
      <c r="BG234" s="293">
        <f t="shared" si="54"/>
        <v>17.345454545454544</v>
      </c>
      <c r="BH234" s="293">
        <f t="shared" si="54"/>
        <v>0</v>
      </c>
      <c r="BI234" s="293">
        <f t="shared" si="54"/>
        <v>0</v>
      </c>
      <c r="BJ234" s="293">
        <f t="shared" si="54"/>
        <v>0</v>
      </c>
      <c r="BK234" s="293">
        <f t="shared" si="54"/>
        <v>0</v>
      </c>
      <c r="BL234" s="293">
        <f t="shared" si="54"/>
        <v>0</v>
      </c>
      <c r="BM234" s="293">
        <f t="shared" si="54"/>
        <v>0</v>
      </c>
    </row>
    <row r="235" spans="50:65">
      <c r="AX235" s="2">
        <v>29</v>
      </c>
      <c r="AY235" s="293">
        <f t="shared" si="54"/>
        <v>471.9</v>
      </c>
      <c r="AZ235" s="293">
        <f t="shared" si="54"/>
        <v>0.46272727272727276</v>
      </c>
      <c r="BA235" s="293">
        <f t="shared" si="54"/>
        <v>233.4818181818182</v>
      </c>
      <c r="BB235" s="293">
        <f t="shared" si="54"/>
        <v>99.2</v>
      </c>
      <c r="BC235" s="293">
        <f t="shared" si="54"/>
        <v>9.3727272727272729E-2</v>
      </c>
      <c r="BD235" s="293">
        <f t="shared" si="54"/>
        <v>51.972727272727269</v>
      </c>
      <c r="BE235" s="293">
        <f t="shared" si="54"/>
        <v>35</v>
      </c>
      <c r="BF235" s="293">
        <f t="shared" si="54"/>
        <v>3.1818181818181822E-2</v>
      </c>
      <c r="BG235" s="293">
        <f t="shared" si="54"/>
        <v>19.272727272727273</v>
      </c>
      <c r="BH235" s="293">
        <f t="shared" si="54"/>
        <v>0</v>
      </c>
      <c r="BI235" s="293">
        <f t="shared" si="54"/>
        <v>0</v>
      </c>
      <c r="BJ235" s="293">
        <f t="shared" si="54"/>
        <v>0</v>
      </c>
      <c r="BK235" s="293">
        <f t="shared" si="54"/>
        <v>0</v>
      </c>
      <c r="BL235" s="293">
        <f t="shared" si="54"/>
        <v>0</v>
      </c>
      <c r="BM235" s="293">
        <f t="shared" si="54"/>
        <v>0</v>
      </c>
    </row>
    <row r="236" spans="50:65">
      <c r="AX236" s="609">
        <v>30</v>
      </c>
      <c r="AY236" s="609">
        <v>475.4</v>
      </c>
      <c r="AZ236" s="609">
        <v>0.46600000000000003</v>
      </c>
      <c r="BA236" s="609">
        <v>235.4</v>
      </c>
      <c r="BB236" s="609">
        <v>102.7</v>
      </c>
      <c r="BC236" s="609">
        <v>9.7000000000000003E-2</v>
      </c>
      <c r="BD236" s="609">
        <v>53.9</v>
      </c>
      <c r="BE236" s="609">
        <v>38.5</v>
      </c>
      <c r="BF236" s="609">
        <v>3.5000000000000003E-2</v>
      </c>
      <c r="BG236" s="609">
        <v>21.2</v>
      </c>
      <c r="BH236" s="609">
        <v>0</v>
      </c>
      <c r="BI236" s="609">
        <v>0</v>
      </c>
      <c r="BJ236" s="609">
        <v>0</v>
      </c>
      <c r="BK236" s="609">
        <v>0</v>
      </c>
      <c r="BL236" s="609">
        <v>0</v>
      </c>
      <c r="BM236" s="609">
        <v>0</v>
      </c>
    </row>
    <row r="237" spans="50:65">
      <c r="AX237" s="2">
        <v>31</v>
      </c>
      <c r="AY237" s="2">
        <f t="shared" ref="AY237:BM243" si="55">((($AX237-$AX$236)*(AY$244-AY$236))/($AX$244-$AX$236))+AY$236</f>
        <v>477.4</v>
      </c>
      <c r="AZ237" s="2">
        <f t="shared" si="55"/>
        <v>0.46812500000000001</v>
      </c>
      <c r="BA237" s="2">
        <f t="shared" si="55"/>
        <v>236.46250000000001</v>
      </c>
      <c r="BB237" s="2">
        <f t="shared" si="55"/>
        <v>104.71250000000001</v>
      </c>
      <c r="BC237" s="2">
        <f t="shared" si="55"/>
        <v>9.9125000000000005E-2</v>
      </c>
      <c r="BD237" s="2">
        <f t="shared" si="55"/>
        <v>54.949999999999996</v>
      </c>
      <c r="BE237" s="2">
        <f t="shared" si="55"/>
        <v>40.512500000000003</v>
      </c>
      <c r="BF237" s="2">
        <f t="shared" si="55"/>
        <v>3.7250000000000005E-2</v>
      </c>
      <c r="BG237" s="2">
        <f t="shared" si="55"/>
        <v>22.25</v>
      </c>
      <c r="BH237" s="2">
        <f t="shared" si="55"/>
        <v>2.0125000000000002</v>
      </c>
      <c r="BI237" s="2">
        <f t="shared" si="55"/>
        <v>2.2499999999999998E-3</v>
      </c>
      <c r="BJ237" s="2">
        <f t="shared" si="55"/>
        <v>1.05</v>
      </c>
      <c r="BK237" s="2">
        <f t="shared" si="55"/>
        <v>0</v>
      </c>
      <c r="BL237" s="2">
        <f t="shared" si="55"/>
        <v>0</v>
      </c>
      <c r="BM237" s="2">
        <f t="shared" si="55"/>
        <v>0</v>
      </c>
    </row>
    <row r="238" spans="50:65">
      <c r="AX238" s="2">
        <v>32</v>
      </c>
      <c r="AY238" s="2">
        <f t="shared" si="55"/>
        <v>479.4</v>
      </c>
      <c r="AZ238" s="2">
        <f t="shared" si="55"/>
        <v>0.47025</v>
      </c>
      <c r="BA238" s="2">
        <f t="shared" si="55"/>
        <v>237.52500000000001</v>
      </c>
      <c r="BB238" s="2">
        <f t="shared" si="55"/>
        <v>106.72499999999999</v>
      </c>
      <c r="BC238" s="2">
        <f t="shared" si="55"/>
        <v>0.10125000000000001</v>
      </c>
      <c r="BD238" s="2">
        <f t="shared" si="55"/>
        <v>56</v>
      </c>
      <c r="BE238" s="2">
        <f t="shared" si="55"/>
        <v>42.524999999999999</v>
      </c>
      <c r="BF238" s="2">
        <f t="shared" si="55"/>
        <v>3.95E-2</v>
      </c>
      <c r="BG238" s="2">
        <f t="shared" si="55"/>
        <v>23.3</v>
      </c>
      <c r="BH238" s="2">
        <f t="shared" si="55"/>
        <v>4.0250000000000004</v>
      </c>
      <c r="BI238" s="2">
        <f t="shared" si="55"/>
        <v>4.4999999999999997E-3</v>
      </c>
      <c r="BJ238" s="2">
        <f t="shared" si="55"/>
        <v>2.1</v>
      </c>
      <c r="BK238" s="2">
        <f t="shared" si="55"/>
        <v>0</v>
      </c>
      <c r="BL238" s="2">
        <f t="shared" si="55"/>
        <v>0</v>
      </c>
      <c r="BM238" s="2">
        <f t="shared" si="55"/>
        <v>0</v>
      </c>
    </row>
    <row r="239" spans="50:65">
      <c r="AX239" s="2">
        <v>33</v>
      </c>
      <c r="AY239" s="2">
        <f t="shared" si="55"/>
        <v>481.4</v>
      </c>
      <c r="AZ239" s="2">
        <f t="shared" si="55"/>
        <v>0.47237499999999999</v>
      </c>
      <c r="BA239" s="2">
        <f t="shared" si="55"/>
        <v>238.58750000000001</v>
      </c>
      <c r="BB239" s="2">
        <f t="shared" si="55"/>
        <v>108.7375</v>
      </c>
      <c r="BC239" s="2">
        <f t="shared" si="55"/>
        <v>0.10337500000000001</v>
      </c>
      <c r="BD239" s="2">
        <f t="shared" si="55"/>
        <v>57.05</v>
      </c>
      <c r="BE239" s="2">
        <f t="shared" si="55"/>
        <v>44.537500000000001</v>
      </c>
      <c r="BF239" s="2">
        <f t="shared" si="55"/>
        <v>4.1750000000000002E-2</v>
      </c>
      <c r="BG239" s="2">
        <f t="shared" si="55"/>
        <v>24.35</v>
      </c>
      <c r="BH239" s="2">
        <f t="shared" si="55"/>
        <v>6.0375000000000005</v>
      </c>
      <c r="BI239" s="2">
        <f t="shared" si="55"/>
        <v>6.7499999999999991E-3</v>
      </c>
      <c r="BJ239" s="2">
        <f t="shared" si="55"/>
        <v>3.1500000000000004</v>
      </c>
      <c r="BK239" s="2">
        <f t="shared" si="55"/>
        <v>0</v>
      </c>
      <c r="BL239" s="2">
        <f t="shared" si="55"/>
        <v>0</v>
      </c>
      <c r="BM239" s="2">
        <f t="shared" si="55"/>
        <v>0</v>
      </c>
    </row>
    <row r="240" spans="50:65">
      <c r="AX240" s="2">
        <v>34</v>
      </c>
      <c r="AY240" s="2">
        <f t="shared" si="55"/>
        <v>483.4</v>
      </c>
      <c r="AZ240" s="2">
        <f t="shared" si="55"/>
        <v>0.47450000000000003</v>
      </c>
      <c r="BA240" s="2">
        <f t="shared" si="55"/>
        <v>239.65</v>
      </c>
      <c r="BB240" s="2">
        <f t="shared" si="55"/>
        <v>110.75</v>
      </c>
      <c r="BC240" s="2">
        <f t="shared" si="55"/>
        <v>0.10550000000000001</v>
      </c>
      <c r="BD240" s="2">
        <f t="shared" si="55"/>
        <v>58.099999999999994</v>
      </c>
      <c r="BE240" s="2">
        <f t="shared" si="55"/>
        <v>46.55</v>
      </c>
      <c r="BF240" s="2">
        <f t="shared" si="55"/>
        <v>4.3999999999999997E-2</v>
      </c>
      <c r="BG240" s="2">
        <f t="shared" si="55"/>
        <v>25.4</v>
      </c>
      <c r="BH240" s="2">
        <f t="shared" si="55"/>
        <v>8.0500000000000007</v>
      </c>
      <c r="BI240" s="2">
        <f t="shared" si="55"/>
        <v>8.9999999999999993E-3</v>
      </c>
      <c r="BJ240" s="2">
        <f t="shared" si="55"/>
        <v>4.2</v>
      </c>
      <c r="BK240" s="2">
        <f t="shared" si="55"/>
        <v>0</v>
      </c>
      <c r="BL240" s="2">
        <f t="shared" si="55"/>
        <v>0</v>
      </c>
      <c r="BM240" s="2">
        <f t="shared" si="55"/>
        <v>0</v>
      </c>
    </row>
    <row r="241" spans="50:65">
      <c r="AX241" s="2">
        <v>35</v>
      </c>
      <c r="AY241" s="2">
        <f t="shared" si="55"/>
        <v>485.4</v>
      </c>
      <c r="AZ241" s="2">
        <f t="shared" si="55"/>
        <v>0.47662500000000002</v>
      </c>
      <c r="BA241" s="2">
        <f t="shared" si="55"/>
        <v>240.71250000000001</v>
      </c>
      <c r="BB241" s="2">
        <f t="shared" si="55"/>
        <v>112.7625</v>
      </c>
      <c r="BC241" s="2">
        <f t="shared" si="55"/>
        <v>0.107625</v>
      </c>
      <c r="BD241" s="2">
        <f t="shared" si="55"/>
        <v>59.15</v>
      </c>
      <c r="BE241" s="2">
        <f t="shared" si="55"/>
        <v>48.5625</v>
      </c>
      <c r="BF241" s="2">
        <f t="shared" si="55"/>
        <v>4.6249999999999999E-2</v>
      </c>
      <c r="BG241" s="2">
        <f t="shared" si="55"/>
        <v>26.450000000000003</v>
      </c>
      <c r="BH241" s="2">
        <f t="shared" si="55"/>
        <v>10.0625</v>
      </c>
      <c r="BI241" s="2">
        <f t="shared" si="55"/>
        <v>1.125E-2</v>
      </c>
      <c r="BJ241" s="2">
        <f t="shared" si="55"/>
        <v>5.25</v>
      </c>
      <c r="BK241" s="2">
        <f t="shared" si="55"/>
        <v>0</v>
      </c>
      <c r="BL241" s="2">
        <f t="shared" si="55"/>
        <v>0</v>
      </c>
      <c r="BM241" s="2">
        <f t="shared" si="55"/>
        <v>0</v>
      </c>
    </row>
    <row r="242" spans="50:65">
      <c r="AX242" s="2">
        <v>36</v>
      </c>
      <c r="AY242" s="2">
        <f t="shared" si="55"/>
        <v>487.4</v>
      </c>
      <c r="AZ242" s="2">
        <f t="shared" si="55"/>
        <v>0.47875000000000001</v>
      </c>
      <c r="BA242" s="2">
        <f t="shared" si="55"/>
        <v>241.77500000000001</v>
      </c>
      <c r="BB242" s="2">
        <f t="shared" si="55"/>
        <v>114.77500000000001</v>
      </c>
      <c r="BC242" s="2">
        <f t="shared" si="55"/>
        <v>0.10975</v>
      </c>
      <c r="BD242" s="2">
        <f t="shared" si="55"/>
        <v>60.199999999999996</v>
      </c>
      <c r="BE242" s="2">
        <f t="shared" si="55"/>
        <v>50.575000000000003</v>
      </c>
      <c r="BF242" s="2">
        <f t="shared" si="55"/>
        <v>4.8500000000000001E-2</v>
      </c>
      <c r="BG242" s="2">
        <f t="shared" si="55"/>
        <v>27.5</v>
      </c>
      <c r="BH242" s="2">
        <f t="shared" si="55"/>
        <v>12.075000000000001</v>
      </c>
      <c r="BI242" s="2">
        <f t="shared" si="55"/>
        <v>1.3499999999999998E-2</v>
      </c>
      <c r="BJ242" s="2">
        <f t="shared" si="55"/>
        <v>6.3000000000000007</v>
      </c>
      <c r="BK242" s="2">
        <f t="shared" si="55"/>
        <v>0</v>
      </c>
      <c r="BL242" s="2">
        <f t="shared" si="55"/>
        <v>0</v>
      </c>
      <c r="BM242" s="2">
        <f t="shared" si="55"/>
        <v>0</v>
      </c>
    </row>
    <row r="243" spans="50:65">
      <c r="AX243" s="2">
        <v>37</v>
      </c>
      <c r="AY243" s="2">
        <f t="shared" si="55"/>
        <v>489.4</v>
      </c>
      <c r="AZ243" s="2">
        <f t="shared" si="55"/>
        <v>0.480875</v>
      </c>
      <c r="BA243" s="2">
        <f t="shared" si="55"/>
        <v>242.83750000000001</v>
      </c>
      <c r="BB243" s="2">
        <f t="shared" si="55"/>
        <v>116.78749999999999</v>
      </c>
      <c r="BC243" s="2">
        <f t="shared" si="55"/>
        <v>0.111875</v>
      </c>
      <c r="BD243" s="2">
        <f t="shared" si="55"/>
        <v>61.25</v>
      </c>
      <c r="BE243" s="2">
        <f t="shared" si="55"/>
        <v>52.587500000000006</v>
      </c>
      <c r="BF243" s="2">
        <f t="shared" si="55"/>
        <v>5.0750000000000003E-2</v>
      </c>
      <c r="BG243" s="2">
        <f t="shared" si="55"/>
        <v>28.55</v>
      </c>
      <c r="BH243" s="2">
        <f t="shared" si="55"/>
        <v>14.087500000000002</v>
      </c>
      <c r="BI243" s="2">
        <f t="shared" si="55"/>
        <v>1.575E-2</v>
      </c>
      <c r="BJ243" s="2">
        <f t="shared" si="55"/>
        <v>7.3500000000000005</v>
      </c>
      <c r="BK243" s="2">
        <f t="shared" si="55"/>
        <v>0</v>
      </c>
      <c r="BL243" s="2">
        <f t="shared" si="55"/>
        <v>0</v>
      </c>
      <c r="BM243" s="2">
        <f t="shared" si="55"/>
        <v>0</v>
      </c>
    </row>
    <row r="244" spans="50:65">
      <c r="AX244" s="609">
        <v>38</v>
      </c>
      <c r="AY244" s="609">
        <v>491.4</v>
      </c>
      <c r="AZ244" s="609">
        <v>0.48299999999999998</v>
      </c>
      <c r="BA244" s="609">
        <v>243.9</v>
      </c>
      <c r="BB244" s="609">
        <v>118.8</v>
      </c>
      <c r="BC244" s="609">
        <v>0.114</v>
      </c>
      <c r="BD244" s="609">
        <v>62.3</v>
      </c>
      <c r="BE244" s="609">
        <v>54.6</v>
      </c>
      <c r="BF244" s="609">
        <v>5.2999999999999999E-2</v>
      </c>
      <c r="BG244" s="609">
        <v>29.6</v>
      </c>
      <c r="BH244" s="609">
        <v>16.100000000000001</v>
      </c>
      <c r="BI244" s="609">
        <v>1.7999999999999999E-2</v>
      </c>
      <c r="BJ244" s="609">
        <v>8.4</v>
      </c>
      <c r="BK244" s="609">
        <v>0</v>
      </c>
      <c r="BL244" s="609">
        <v>0</v>
      </c>
      <c r="BM244" s="609">
        <v>0</v>
      </c>
    </row>
    <row r="245" spans="50:65">
      <c r="AX245" s="2">
        <v>39</v>
      </c>
      <c r="AY245" s="293">
        <f t="shared" ref="AY245:BM254" si="56">((($AX245-$AX$244)*(AY$255-AY$244))/($AX$255-$AX$244))+AY$244</f>
        <v>492.64545454545453</v>
      </c>
      <c r="AZ245" s="293">
        <f t="shared" si="56"/>
        <v>0.48381818181818181</v>
      </c>
      <c r="BA245" s="293">
        <f t="shared" si="56"/>
        <v>244.54545454545456</v>
      </c>
      <c r="BB245" s="293">
        <f t="shared" si="56"/>
        <v>120.03636363636363</v>
      </c>
      <c r="BC245" s="293">
        <f t="shared" si="56"/>
        <v>0.11481818181818182</v>
      </c>
      <c r="BD245" s="293">
        <f t="shared" si="56"/>
        <v>62.945454545454545</v>
      </c>
      <c r="BE245" s="293">
        <f t="shared" si="56"/>
        <v>55.836363636363636</v>
      </c>
      <c r="BF245" s="2">
        <f t="shared" si="56"/>
        <v>5.3727272727272728E-2</v>
      </c>
      <c r="BG245" s="2">
        <f t="shared" si="56"/>
        <v>30.245454545454546</v>
      </c>
      <c r="BH245" s="293">
        <f t="shared" si="56"/>
        <v>17.336363636363636</v>
      </c>
      <c r="BI245" s="2">
        <f t="shared" si="56"/>
        <v>1.8727272727272724E-2</v>
      </c>
      <c r="BJ245" s="293">
        <f t="shared" si="56"/>
        <v>9.045454545454545</v>
      </c>
      <c r="BK245" s="293">
        <f t="shared" si="56"/>
        <v>1.2363636363636363</v>
      </c>
      <c r="BL245" s="2">
        <f t="shared" si="56"/>
        <v>8.1818181818181816E-4</v>
      </c>
      <c r="BM245" s="2">
        <f t="shared" si="56"/>
        <v>0.64545454545454539</v>
      </c>
    </row>
    <row r="246" spans="50:65">
      <c r="AX246" s="2">
        <v>40</v>
      </c>
      <c r="AY246" s="293">
        <f t="shared" si="56"/>
        <v>493.89090909090908</v>
      </c>
      <c r="AZ246" s="293">
        <f t="shared" si="56"/>
        <v>0.48463636363636364</v>
      </c>
      <c r="BA246" s="293">
        <f t="shared" si="56"/>
        <v>245.19090909090909</v>
      </c>
      <c r="BB246" s="293">
        <f t="shared" si="56"/>
        <v>121.27272727272727</v>
      </c>
      <c r="BC246" s="293">
        <f t="shared" si="56"/>
        <v>0.11563636363636363</v>
      </c>
      <c r="BD246" s="293">
        <f t="shared" si="56"/>
        <v>63.590909090909086</v>
      </c>
      <c r="BE246" s="293">
        <f t="shared" si="56"/>
        <v>57.072727272727278</v>
      </c>
      <c r="BF246" s="2">
        <f t="shared" si="56"/>
        <v>5.445454545454545E-2</v>
      </c>
      <c r="BG246" s="2">
        <f t="shared" si="56"/>
        <v>30.890909090909094</v>
      </c>
      <c r="BH246" s="293">
        <f t="shared" si="56"/>
        <v>18.572727272727274</v>
      </c>
      <c r="BI246" s="2">
        <f t="shared" si="56"/>
        <v>1.9454545454545454E-2</v>
      </c>
      <c r="BJ246" s="293">
        <f t="shared" si="56"/>
        <v>9.6909090909090914</v>
      </c>
      <c r="BK246" s="293">
        <f t="shared" si="56"/>
        <v>2.4727272727272727</v>
      </c>
      <c r="BL246" s="2">
        <f t="shared" si="56"/>
        <v>1.6363636363636363E-3</v>
      </c>
      <c r="BM246" s="2">
        <f t="shared" si="56"/>
        <v>1.2909090909090908</v>
      </c>
    </row>
    <row r="247" spans="50:65">
      <c r="AX247" s="2">
        <v>41</v>
      </c>
      <c r="AY247" s="293">
        <f t="shared" si="56"/>
        <v>495.13636363636363</v>
      </c>
      <c r="AZ247" s="293">
        <f t="shared" si="56"/>
        <v>0.48545454545454542</v>
      </c>
      <c r="BA247" s="293">
        <f t="shared" si="56"/>
        <v>245.83636363636364</v>
      </c>
      <c r="BB247" s="293">
        <f t="shared" si="56"/>
        <v>122.50909090909092</v>
      </c>
      <c r="BC247" s="293">
        <f t="shared" si="56"/>
        <v>0.11645454545454546</v>
      </c>
      <c r="BD247" s="293">
        <f t="shared" si="56"/>
        <v>64.236363636363635</v>
      </c>
      <c r="BE247" s="293">
        <f t="shared" si="56"/>
        <v>58.309090909090912</v>
      </c>
      <c r="BF247" s="2">
        <f t="shared" si="56"/>
        <v>5.5181818181818179E-2</v>
      </c>
      <c r="BG247" s="2">
        <f t="shared" si="56"/>
        <v>31.536363636363639</v>
      </c>
      <c r="BH247" s="293">
        <f t="shared" si="56"/>
        <v>19.809090909090912</v>
      </c>
      <c r="BI247" s="2">
        <f t="shared" si="56"/>
        <v>2.0181818181818179E-2</v>
      </c>
      <c r="BJ247" s="293">
        <f t="shared" si="56"/>
        <v>10.336363636363636</v>
      </c>
      <c r="BK247" s="293">
        <f t="shared" si="56"/>
        <v>3.709090909090909</v>
      </c>
      <c r="BL247" s="2">
        <f t="shared" si="56"/>
        <v>2.454545454545454E-3</v>
      </c>
      <c r="BM247" s="2">
        <f t="shared" si="56"/>
        <v>1.9363636363636361</v>
      </c>
    </row>
    <row r="248" spans="50:65">
      <c r="AX248" s="2">
        <v>42</v>
      </c>
      <c r="AY248" s="293">
        <f t="shared" si="56"/>
        <v>496.38181818181818</v>
      </c>
      <c r="AZ248" s="293">
        <f t="shared" si="56"/>
        <v>0.48627272727272725</v>
      </c>
      <c r="BA248" s="293">
        <f t="shared" si="56"/>
        <v>246.4818181818182</v>
      </c>
      <c r="BB248" s="293">
        <f t="shared" si="56"/>
        <v>123.74545454545455</v>
      </c>
      <c r="BC248" s="293">
        <f t="shared" si="56"/>
        <v>0.11727272727272728</v>
      </c>
      <c r="BD248" s="293">
        <f t="shared" si="56"/>
        <v>64.881818181818176</v>
      </c>
      <c r="BE248" s="293">
        <f t="shared" si="56"/>
        <v>59.545454545454547</v>
      </c>
      <c r="BF248" s="2">
        <f t="shared" si="56"/>
        <v>5.5909090909090908E-2</v>
      </c>
      <c r="BG248" s="2">
        <f t="shared" si="56"/>
        <v>32.181818181818187</v>
      </c>
      <c r="BH248" s="293">
        <f t="shared" si="56"/>
        <v>21.045454545454547</v>
      </c>
      <c r="BI248" s="2">
        <f t="shared" si="56"/>
        <v>2.0909090909090908E-2</v>
      </c>
      <c r="BJ248" s="293">
        <f t="shared" si="56"/>
        <v>10.981818181818182</v>
      </c>
      <c r="BK248" s="293">
        <f t="shared" si="56"/>
        <v>4.9454545454545453</v>
      </c>
      <c r="BL248" s="2">
        <f t="shared" si="56"/>
        <v>3.2727272727272726E-3</v>
      </c>
      <c r="BM248" s="2">
        <f t="shared" si="56"/>
        <v>2.5818181818181816</v>
      </c>
    </row>
    <row r="249" spans="50:65">
      <c r="AX249" s="2">
        <v>43</v>
      </c>
      <c r="AY249" s="293">
        <f t="shared" si="56"/>
        <v>497.62727272727273</v>
      </c>
      <c r="AZ249" s="293">
        <f t="shared" si="56"/>
        <v>0.48709090909090907</v>
      </c>
      <c r="BA249" s="293">
        <f t="shared" si="56"/>
        <v>247.12727272727273</v>
      </c>
      <c r="BB249" s="293">
        <f t="shared" si="56"/>
        <v>124.98181818181818</v>
      </c>
      <c r="BC249" s="293">
        <f t="shared" si="56"/>
        <v>0.11809090909090909</v>
      </c>
      <c r="BD249" s="293">
        <f t="shared" si="56"/>
        <v>65.527272727272731</v>
      </c>
      <c r="BE249" s="293">
        <f t="shared" si="56"/>
        <v>60.781818181818181</v>
      </c>
      <c r="BF249" s="2">
        <f t="shared" si="56"/>
        <v>5.6636363636363637E-2</v>
      </c>
      <c r="BG249" s="2">
        <f t="shared" si="56"/>
        <v>32.827272727272728</v>
      </c>
      <c r="BH249" s="293">
        <f t="shared" si="56"/>
        <v>22.281818181818181</v>
      </c>
      <c r="BI249" s="2">
        <f t="shared" si="56"/>
        <v>2.1636363636363634E-2</v>
      </c>
      <c r="BJ249" s="293">
        <f t="shared" si="56"/>
        <v>11.627272727272727</v>
      </c>
      <c r="BK249" s="293">
        <f t="shared" si="56"/>
        <v>6.1818181818181817</v>
      </c>
      <c r="BL249" s="2">
        <f t="shared" si="56"/>
        <v>4.0909090909090904E-3</v>
      </c>
      <c r="BM249" s="2">
        <f t="shared" si="56"/>
        <v>3.2272727272727271</v>
      </c>
    </row>
    <row r="250" spans="50:65">
      <c r="AX250" s="2">
        <v>44</v>
      </c>
      <c r="AY250" s="293">
        <f t="shared" si="56"/>
        <v>498.87272727272727</v>
      </c>
      <c r="AZ250" s="293">
        <f t="shared" si="56"/>
        <v>0.4879090909090909</v>
      </c>
      <c r="BA250" s="293">
        <f t="shared" si="56"/>
        <v>247.77272727272728</v>
      </c>
      <c r="BB250" s="293">
        <f t="shared" si="56"/>
        <v>126.21818181818182</v>
      </c>
      <c r="BC250" s="293">
        <f t="shared" si="56"/>
        <v>0.11890909090909091</v>
      </c>
      <c r="BD250" s="293">
        <f t="shared" si="56"/>
        <v>66.172727272727272</v>
      </c>
      <c r="BE250" s="293">
        <f t="shared" si="56"/>
        <v>62.018181818181823</v>
      </c>
      <c r="BF250" s="2">
        <f t="shared" si="56"/>
        <v>5.736363636363636E-2</v>
      </c>
      <c r="BG250" s="2">
        <f t="shared" si="56"/>
        <v>33.472727272727276</v>
      </c>
      <c r="BH250" s="293">
        <f t="shared" si="56"/>
        <v>23.518181818181819</v>
      </c>
      <c r="BI250" s="2">
        <f t="shared" si="56"/>
        <v>2.2363636363636363E-2</v>
      </c>
      <c r="BJ250" s="293">
        <f t="shared" si="56"/>
        <v>12.272727272727273</v>
      </c>
      <c r="BK250" s="293">
        <f t="shared" si="56"/>
        <v>7.418181818181818</v>
      </c>
      <c r="BL250" s="2">
        <f t="shared" si="56"/>
        <v>4.9090909090909081E-3</v>
      </c>
      <c r="BM250" s="2">
        <f t="shared" si="56"/>
        <v>3.8727272727272721</v>
      </c>
    </row>
    <row r="251" spans="50:65">
      <c r="AX251" s="2">
        <v>45</v>
      </c>
      <c r="AY251" s="293">
        <f t="shared" si="56"/>
        <v>500.11818181818182</v>
      </c>
      <c r="AZ251" s="293">
        <f t="shared" si="56"/>
        <v>0.48872727272727273</v>
      </c>
      <c r="BA251" s="293">
        <f t="shared" si="56"/>
        <v>248.41818181818181</v>
      </c>
      <c r="BB251" s="293">
        <f t="shared" si="56"/>
        <v>127.45454545454545</v>
      </c>
      <c r="BC251" s="293">
        <f t="shared" si="56"/>
        <v>0.11972727272727272</v>
      </c>
      <c r="BD251" s="293">
        <f t="shared" si="56"/>
        <v>66.818181818181827</v>
      </c>
      <c r="BE251" s="293">
        <f t="shared" si="56"/>
        <v>63.254545454545458</v>
      </c>
      <c r="BF251" s="2">
        <f t="shared" si="56"/>
        <v>5.8090909090909089E-2</v>
      </c>
      <c r="BG251" s="2">
        <f t="shared" si="56"/>
        <v>34.118181818181824</v>
      </c>
      <c r="BH251" s="293">
        <f t="shared" si="56"/>
        <v>24.754545454545458</v>
      </c>
      <c r="BI251" s="2">
        <f t="shared" si="56"/>
        <v>2.3090909090909089E-2</v>
      </c>
      <c r="BJ251" s="293">
        <f t="shared" si="56"/>
        <v>12.918181818181818</v>
      </c>
      <c r="BK251" s="293">
        <f t="shared" si="56"/>
        <v>8.6545454545454543</v>
      </c>
      <c r="BL251" s="2">
        <f t="shared" si="56"/>
        <v>5.7272727272727275E-3</v>
      </c>
      <c r="BM251" s="2">
        <f t="shared" si="56"/>
        <v>4.5181818181818176</v>
      </c>
    </row>
    <row r="252" spans="50:65">
      <c r="AX252" s="2">
        <v>46</v>
      </c>
      <c r="AY252" s="293">
        <f t="shared" si="56"/>
        <v>501.36363636363637</v>
      </c>
      <c r="AZ252" s="293">
        <f t="shared" si="56"/>
        <v>0.48954545454545456</v>
      </c>
      <c r="BA252" s="293">
        <f t="shared" si="56"/>
        <v>249.06363636363636</v>
      </c>
      <c r="BB252" s="293">
        <f t="shared" si="56"/>
        <v>128.69090909090909</v>
      </c>
      <c r="BC252" s="293">
        <f t="shared" si="56"/>
        <v>0.12054545454545454</v>
      </c>
      <c r="BD252" s="293">
        <f t="shared" si="56"/>
        <v>67.463636363636368</v>
      </c>
      <c r="BE252" s="293">
        <f t="shared" si="56"/>
        <v>64.490909090909099</v>
      </c>
      <c r="BF252" s="2">
        <f t="shared" si="56"/>
        <v>5.8818181818181818E-2</v>
      </c>
      <c r="BG252" s="2">
        <f t="shared" si="56"/>
        <v>34.763636363636365</v>
      </c>
      <c r="BH252" s="293">
        <f t="shared" si="56"/>
        <v>25.990909090909092</v>
      </c>
      <c r="BI252" s="2">
        <f t="shared" si="56"/>
        <v>2.3818181818181818E-2</v>
      </c>
      <c r="BJ252" s="293">
        <f t="shared" si="56"/>
        <v>13.563636363636363</v>
      </c>
      <c r="BK252" s="293">
        <f t="shared" si="56"/>
        <v>9.8909090909090907</v>
      </c>
      <c r="BL252" s="2">
        <f t="shared" si="56"/>
        <v>6.5454545454545453E-3</v>
      </c>
      <c r="BM252" s="2">
        <f t="shared" si="56"/>
        <v>5.1636363636363631</v>
      </c>
    </row>
    <row r="253" spans="50:65">
      <c r="AX253" s="2">
        <v>47</v>
      </c>
      <c r="AY253" s="293">
        <f t="shared" si="56"/>
        <v>502.60909090909092</v>
      </c>
      <c r="AZ253" s="293">
        <f t="shared" si="56"/>
        <v>0.49036363636363633</v>
      </c>
      <c r="BA253" s="293">
        <f t="shared" si="56"/>
        <v>249.70909090909092</v>
      </c>
      <c r="BB253" s="293">
        <f t="shared" si="56"/>
        <v>129.92727272727274</v>
      </c>
      <c r="BC253" s="293">
        <f t="shared" si="56"/>
        <v>0.12136363636363637</v>
      </c>
      <c r="BD253" s="293">
        <f t="shared" si="56"/>
        <v>68.109090909090909</v>
      </c>
      <c r="BE253" s="293">
        <f t="shared" si="56"/>
        <v>65.727272727272734</v>
      </c>
      <c r="BF253" s="2">
        <f t="shared" si="56"/>
        <v>5.9545454545454547E-2</v>
      </c>
      <c r="BG253" s="2">
        <f t="shared" si="56"/>
        <v>35.409090909090914</v>
      </c>
      <c r="BH253" s="293">
        <f t="shared" si="56"/>
        <v>27.227272727272727</v>
      </c>
      <c r="BI253" s="2">
        <f t="shared" si="56"/>
        <v>2.4545454545454544E-2</v>
      </c>
      <c r="BJ253" s="293">
        <f t="shared" si="56"/>
        <v>14.209090909090909</v>
      </c>
      <c r="BK253" s="293">
        <f t="shared" si="56"/>
        <v>11.127272727272727</v>
      </c>
      <c r="BL253" s="2">
        <f t="shared" si="56"/>
        <v>7.363636363636363E-3</v>
      </c>
      <c r="BM253" s="2">
        <f t="shared" si="56"/>
        <v>5.8090909090909086</v>
      </c>
    </row>
    <row r="254" spans="50:65">
      <c r="AX254" s="2">
        <v>48</v>
      </c>
      <c r="AY254" s="293">
        <f t="shared" si="56"/>
        <v>503.85454545454547</v>
      </c>
      <c r="AZ254" s="293">
        <f t="shared" si="56"/>
        <v>0.49118181818181816</v>
      </c>
      <c r="BA254" s="293">
        <f t="shared" si="56"/>
        <v>250.35454545454544</v>
      </c>
      <c r="BB254" s="293">
        <f t="shared" si="56"/>
        <v>131.16363636363636</v>
      </c>
      <c r="BC254" s="293">
        <f t="shared" si="56"/>
        <v>0.12218181818181818</v>
      </c>
      <c r="BD254" s="293">
        <f t="shared" si="56"/>
        <v>68.754545454545465</v>
      </c>
      <c r="BE254" s="293">
        <f t="shared" si="56"/>
        <v>66.963636363636368</v>
      </c>
      <c r="BF254" s="2">
        <f t="shared" si="56"/>
        <v>6.0272727272727269E-2</v>
      </c>
      <c r="BG254" s="2">
        <f t="shared" si="56"/>
        <v>36.054545454545455</v>
      </c>
      <c r="BH254" s="293">
        <f t="shared" si="56"/>
        <v>28.463636363636361</v>
      </c>
      <c r="BI254" s="2">
        <f t="shared" si="56"/>
        <v>2.5272727272727273E-2</v>
      </c>
      <c r="BJ254" s="293">
        <f t="shared" si="56"/>
        <v>14.854545454545455</v>
      </c>
      <c r="BK254" s="293">
        <f t="shared" si="56"/>
        <v>12.363636363636363</v>
      </c>
      <c r="BL254" s="2">
        <f t="shared" si="56"/>
        <v>8.1818181818181807E-3</v>
      </c>
      <c r="BM254" s="2">
        <f t="shared" si="56"/>
        <v>6.4545454545454541</v>
      </c>
    </row>
    <row r="255" spans="50:65">
      <c r="AX255" s="609">
        <v>49</v>
      </c>
      <c r="AY255" s="609">
        <v>505.1</v>
      </c>
      <c r="AZ255" s="609">
        <v>0.49199999999999999</v>
      </c>
      <c r="BA255" s="609">
        <v>251</v>
      </c>
      <c r="BB255" s="609">
        <v>132.4</v>
      </c>
      <c r="BC255" s="609">
        <v>0.123</v>
      </c>
      <c r="BD255" s="609">
        <v>69.400000000000006</v>
      </c>
      <c r="BE255" s="609">
        <v>68.2</v>
      </c>
      <c r="BF255" s="609">
        <v>6.0999999999999999E-2</v>
      </c>
      <c r="BG255" s="609">
        <v>36.700000000000003</v>
      </c>
      <c r="BH255" s="609">
        <v>29.7</v>
      </c>
      <c r="BI255" s="609">
        <v>2.5999999999999999E-2</v>
      </c>
      <c r="BJ255" s="609">
        <v>15.5</v>
      </c>
      <c r="BK255" s="609">
        <v>13.6</v>
      </c>
      <c r="BL255" s="609">
        <v>8.9999999999999993E-3</v>
      </c>
      <c r="BM255" s="609">
        <v>7.1</v>
      </c>
    </row>
    <row r="256" spans="50:65">
      <c r="AX256" s="2">
        <v>50</v>
      </c>
      <c r="AY256" s="293">
        <f t="shared" ref="AY256:BM265" si="57">((($AX256-$AX$255)*(AY$266-AY$255))/($AX$266-$AX$255))+AY$255</f>
        <v>505.9909090909091</v>
      </c>
      <c r="AZ256" s="293">
        <f t="shared" si="57"/>
        <v>0.49281818181818182</v>
      </c>
      <c r="BA256" s="293">
        <f t="shared" si="57"/>
        <v>251.46363636363637</v>
      </c>
      <c r="BB256" s="293">
        <f t="shared" si="57"/>
        <v>133.29090909090908</v>
      </c>
      <c r="BC256" s="293">
        <f t="shared" si="57"/>
        <v>0.12381818181818181</v>
      </c>
      <c r="BD256" s="293">
        <f t="shared" si="57"/>
        <v>69.863636363636374</v>
      </c>
      <c r="BE256" s="293">
        <f t="shared" si="57"/>
        <v>69.090909090909093</v>
      </c>
      <c r="BF256" s="293">
        <f t="shared" si="57"/>
        <v>6.1818181818181821E-2</v>
      </c>
      <c r="BG256" s="293">
        <f t="shared" si="57"/>
        <v>37.163636363636364</v>
      </c>
      <c r="BH256" s="293">
        <f t="shared" si="57"/>
        <v>30.59090909090909</v>
      </c>
      <c r="BI256" s="293">
        <f t="shared" si="57"/>
        <v>2.6818181818181817E-2</v>
      </c>
      <c r="BJ256" s="293">
        <f t="shared" si="57"/>
        <v>15.963636363636363</v>
      </c>
      <c r="BK256" s="293">
        <f t="shared" si="57"/>
        <v>14.5</v>
      </c>
      <c r="BL256" s="293">
        <f t="shared" si="57"/>
        <v>9.8181818181818179E-3</v>
      </c>
      <c r="BM256" s="293">
        <f t="shared" si="57"/>
        <v>7.5636363636363635</v>
      </c>
    </row>
    <row r="257" spans="19:164" s="613" customFormat="1">
      <c r="S257"/>
      <c r="T257"/>
      <c r="U257"/>
      <c r="V257"/>
      <c r="W257"/>
      <c r="X257"/>
      <c r="Y257"/>
      <c r="Z257"/>
      <c r="AA257"/>
      <c r="AB257"/>
      <c r="AE257"/>
      <c r="AF257"/>
      <c r="AG257"/>
      <c r="AH257"/>
      <c r="AI257"/>
      <c r="AJ257"/>
      <c r="AK257"/>
      <c r="AL257"/>
      <c r="AM257"/>
      <c r="AN257"/>
      <c r="AO257"/>
      <c r="AP257"/>
      <c r="AQ257"/>
      <c r="AR257"/>
      <c r="AS257"/>
      <c r="AT257"/>
      <c r="AX257" s="2">
        <v>51</v>
      </c>
      <c r="AY257" s="293">
        <f t="shared" si="57"/>
        <v>506.88181818181818</v>
      </c>
      <c r="AZ257" s="293">
        <f t="shared" si="57"/>
        <v>0.49363636363636365</v>
      </c>
      <c r="BA257" s="293">
        <f t="shared" si="57"/>
        <v>251.92727272727274</v>
      </c>
      <c r="BB257" s="293">
        <f t="shared" si="57"/>
        <v>134.18181818181819</v>
      </c>
      <c r="BC257" s="293">
        <f t="shared" si="57"/>
        <v>0.12463636363636364</v>
      </c>
      <c r="BD257" s="293">
        <f t="shared" si="57"/>
        <v>70.327272727272728</v>
      </c>
      <c r="BE257" s="293">
        <f t="shared" si="57"/>
        <v>69.981818181818184</v>
      </c>
      <c r="BF257" s="293">
        <f t="shared" si="57"/>
        <v>6.2636363636363643E-2</v>
      </c>
      <c r="BG257" s="293">
        <f t="shared" si="57"/>
        <v>37.627272727272732</v>
      </c>
      <c r="BH257" s="293">
        <f t="shared" si="57"/>
        <v>31.481818181818181</v>
      </c>
      <c r="BI257" s="293">
        <f t="shared" si="57"/>
        <v>2.7636363636363636E-2</v>
      </c>
      <c r="BJ257" s="293">
        <f t="shared" si="57"/>
        <v>16.427272727272726</v>
      </c>
      <c r="BK257" s="293">
        <f t="shared" si="57"/>
        <v>15.4</v>
      </c>
      <c r="BL257" s="293">
        <f t="shared" si="57"/>
        <v>1.0636363636363635E-2</v>
      </c>
      <c r="BM257" s="293">
        <f t="shared" si="57"/>
        <v>8.0272727272727273</v>
      </c>
      <c r="EW257"/>
      <c r="EX257"/>
      <c r="EY257"/>
      <c r="EZ257"/>
      <c r="FA257"/>
      <c r="FB257"/>
      <c r="FC257"/>
      <c r="FD257"/>
      <c r="FE257"/>
      <c r="FF257"/>
      <c r="FG257"/>
      <c r="FH257"/>
    </row>
    <row r="258" spans="19:164">
      <c r="AX258" s="2">
        <v>52</v>
      </c>
      <c r="AY258" s="293">
        <f t="shared" si="57"/>
        <v>507.77272727272731</v>
      </c>
      <c r="AZ258" s="293">
        <f t="shared" si="57"/>
        <v>0.49445454545454542</v>
      </c>
      <c r="BA258" s="293">
        <f t="shared" si="57"/>
        <v>252.3909090909091</v>
      </c>
      <c r="BB258" s="293">
        <f t="shared" si="57"/>
        <v>135.07272727272726</v>
      </c>
      <c r="BC258" s="293">
        <f t="shared" si="57"/>
        <v>0.12545454545454546</v>
      </c>
      <c r="BD258" s="293">
        <f t="shared" si="57"/>
        <v>70.790909090909096</v>
      </c>
      <c r="BE258" s="293">
        <f t="shared" si="57"/>
        <v>70.872727272727275</v>
      </c>
      <c r="BF258" s="293">
        <f t="shared" si="57"/>
        <v>6.3454545454545458E-2</v>
      </c>
      <c r="BG258" s="293">
        <f t="shared" si="57"/>
        <v>38.090909090909093</v>
      </c>
      <c r="BH258" s="293">
        <f t="shared" si="57"/>
        <v>32.372727272727275</v>
      </c>
      <c r="BI258" s="293">
        <f t="shared" si="57"/>
        <v>2.8454545454545455E-2</v>
      </c>
      <c r="BJ258" s="293">
        <f t="shared" si="57"/>
        <v>16.890909090909091</v>
      </c>
      <c r="BK258" s="293">
        <f t="shared" si="57"/>
        <v>16.3</v>
      </c>
      <c r="BL258" s="293">
        <f t="shared" si="57"/>
        <v>1.1454545454545453E-2</v>
      </c>
      <c r="BM258" s="293">
        <f t="shared" si="57"/>
        <v>8.4909090909090903</v>
      </c>
    </row>
    <row r="259" spans="19:164">
      <c r="S259" s="613"/>
      <c r="T259" s="613"/>
      <c r="U259" s="613"/>
      <c r="V259" s="613"/>
      <c r="W259" s="613"/>
      <c r="X259" s="613"/>
      <c r="Y259" s="613"/>
      <c r="Z259" s="613"/>
      <c r="AA259" s="613"/>
      <c r="AB259" s="613"/>
      <c r="AX259" s="2">
        <v>53</v>
      </c>
      <c r="AY259" s="293">
        <f t="shared" si="57"/>
        <v>508.66363636363639</v>
      </c>
      <c r="AZ259" s="293">
        <f t="shared" si="57"/>
        <v>0.49527272727272725</v>
      </c>
      <c r="BA259" s="293">
        <f t="shared" si="57"/>
        <v>252.85454545454547</v>
      </c>
      <c r="BB259" s="293">
        <f t="shared" si="57"/>
        <v>135.96363636363637</v>
      </c>
      <c r="BC259" s="293">
        <f t="shared" si="57"/>
        <v>0.12627272727272729</v>
      </c>
      <c r="BD259" s="293">
        <f t="shared" si="57"/>
        <v>71.254545454545465</v>
      </c>
      <c r="BE259" s="293">
        <f t="shared" si="57"/>
        <v>71.763636363636365</v>
      </c>
      <c r="BF259" s="293">
        <f t="shared" si="57"/>
        <v>6.4272727272727273E-2</v>
      </c>
      <c r="BG259" s="293">
        <f t="shared" si="57"/>
        <v>38.554545454545455</v>
      </c>
      <c r="BH259" s="293">
        <f t="shared" si="57"/>
        <v>33.263636363636365</v>
      </c>
      <c r="BI259" s="293">
        <f t="shared" si="57"/>
        <v>2.9272727272727273E-2</v>
      </c>
      <c r="BJ259" s="293">
        <f t="shared" si="57"/>
        <v>17.354545454545455</v>
      </c>
      <c r="BK259" s="293">
        <f t="shared" si="57"/>
        <v>17.2</v>
      </c>
      <c r="BL259" s="293">
        <f t="shared" si="57"/>
        <v>1.2272727272727272E-2</v>
      </c>
      <c r="BM259" s="293">
        <f t="shared" si="57"/>
        <v>8.9545454545454533</v>
      </c>
    </row>
    <row r="260" spans="19:164">
      <c r="AX260" s="2">
        <v>54</v>
      </c>
      <c r="AY260" s="293">
        <f t="shared" si="57"/>
        <v>509.55454545454546</v>
      </c>
      <c r="AZ260" s="293">
        <f t="shared" si="57"/>
        <v>0.49609090909090908</v>
      </c>
      <c r="BA260" s="293">
        <f t="shared" si="57"/>
        <v>253.31818181818184</v>
      </c>
      <c r="BB260" s="293">
        <f t="shared" si="57"/>
        <v>136.85454545454544</v>
      </c>
      <c r="BC260" s="293">
        <f t="shared" si="57"/>
        <v>0.12709090909090909</v>
      </c>
      <c r="BD260" s="293">
        <f t="shared" si="57"/>
        <v>71.718181818181819</v>
      </c>
      <c r="BE260" s="293">
        <f t="shared" si="57"/>
        <v>72.654545454545456</v>
      </c>
      <c r="BF260" s="293">
        <f t="shared" si="57"/>
        <v>6.5090909090909088E-2</v>
      </c>
      <c r="BG260" s="293">
        <f t="shared" si="57"/>
        <v>39.018181818181816</v>
      </c>
      <c r="BH260" s="293">
        <f t="shared" si="57"/>
        <v>34.154545454545456</v>
      </c>
      <c r="BI260" s="293">
        <f t="shared" si="57"/>
        <v>3.0090909090909092E-2</v>
      </c>
      <c r="BJ260" s="293">
        <f t="shared" si="57"/>
        <v>17.81818181818182</v>
      </c>
      <c r="BK260" s="293">
        <f t="shared" si="57"/>
        <v>18.100000000000001</v>
      </c>
      <c r="BL260" s="293">
        <f t="shared" si="57"/>
        <v>1.3090909090909091E-2</v>
      </c>
      <c r="BM260" s="293">
        <f t="shared" si="57"/>
        <v>9.418181818181818</v>
      </c>
    </row>
    <row r="261" spans="19:164">
      <c r="AX261" s="2">
        <v>55</v>
      </c>
      <c r="AY261" s="293">
        <f t="shared" si="57"/>
        <v>510.44545454545454</v>
      </c>
      <c r="AZ261" s="293">
        <f t="shared" si="57"/>
        <v>0.49690909090909091</v>
      </c>
      <c r="BA261" s="293">
        <f t="shared" si="57"/>
        <v>253.78181818181818</v>
      </c>
      <c r="BB261" s="293">
        <f t="shared" si="57"/>
        <v>137.74545454545455</v>
      </c>
      <c r="BC261" s="293">
        <f t="shared" si="57"/>
        <v>0.12790909090909092</v>
      </c>
      <c r="BD261" s="293">
        <f t="shared" si="57"/>
        <v>72.181818181818187</v>
      </c>
      <c r="BE261" s="293">
        <f t="shared" si="57"/>
        <v>73.545454545454547</v>
      </c>
      <c r="BF261" s="293">
        <f t="shared" si="57"/>
        <v>6.5909090909090917E-2</v>
      </c>
      <c r="BG261" s="293">
        <f t="shared" si="57"/>
        <v>39.481818181818184</v>
      </c>
      <c r="BH261" s="293">
        <f t="shared" si="57"/>
        <v>35.045454545454547</v>
      </c>
      <c r="BI261" s="293">
        <f t="shared" si="57"/>
        <v>3.090909090909091E-2</v>
      </c>
      <c r="BJ261" s="293">
        <f t="shared" si="57"/>
        <v>18.281818181818181</v>
      </c>
      <c r="BK261" s="293">
        <f t="shared" si="57"/>
        <v>19</v>
      </c>
      <c r="BL261" s="293">
        <f t="shared" si="57"/>
        <v>1.3909090909090907E-2</v>
      </c>
      <c r="BM261" s="293">
        <f t="shared" si="57"/>
        <v>9.8818181818181809</v>
      </c>
    </row>
    <row r="262" spans="19:164">
      <c r="AX262" s="2">
        <v>56</v>
      </c>
      <c r="AY262" s="293">
        <f t="shared" si="57"/>
        <v>511.33636363636361</v>
      </c>
      <c r="AZ262" s="293">
        <f t="shared" si="57"/>
        <v>0.49772727272727274</v>
      </c>
      <c r="BA262" s="293">
        <f t="shared" si="57"/>
        <v>254.24545454545455</v>
      </c>
      <c r="BB262" s="293">
        <f t="shared" si="57"/>
        <v>138.63636363636363</v>
      </c>
      <c r="BC262" s="293">
        <f t="shared" si="57"/>
        <v>0.12872727272727272</v>
      </c>
      <c r="BD262" s="293">
        <f t="shared" si="57"/>
        <v>72.645454545454541</v>
      </c>
      <c r="BE262" s="293">
        <f t="shared" si="57"/>
        <v>74.436363636363637</v>
      </c>
      <c r="BF262" s="293">
        <f t="shared" si="57"/>
        <v>6.6727272727272732E-2</v>
      </c>
      <c r="BG262" s="293">
        <f t="shared" si="57"/>
        <v>39.945454545454545</v>
      </c>
      <c r="BH262" s="293">
        <f t="shared" si="57"/>
        <v>35.936363636363637</v>
      </c>
      <c r="BI262" s="293">
        <f t="shared" si="57"/>
        <v>3.1727272727272729E-2</v>
      </c>
      <c r="BJ262" s="293">
        <f t="shared" si="57"/>
        <v>18.745454545454546</v>
      </c>
      <c r="BK262" s="293">
        <f t="shared" si="57"/>
        <v>19.899999999999999</v>
      </c>
      <c r="BL262" s="293">
        <f t="shared" si="57"/>
        <v>1.4727272727272728E-2</v>
      </c>
      <c r="BM262" s="293">
        <f t="shared" si="57"/>
        <v>10.345454545454544</v>
      </c>
    </row>
    <row r="263" spans="19:164">
      <c r="AE263" s="613"/>
      <c r="AF263" s="613"/>
      <c r="AG263" s="613"/>
      <c r="AH263" s="613"/>
      <c r="AI263" s="613"/>
      <c r="AJ263" s="613"/>
      <c r="AK263" s="613"/>
      <c r="AL263" s="613"/>
      <c r="AM263" s="613"/>
      <c r="AN263" s="613"/>
      <c r="AO263" s="613"/>
      <c r="AP263" s="613"/>
      <c r="AQ263" s="613"/>
      <c r="AR263" s="613"/>
      <c r="AS263" s="613"/>
      <c r="AT263" s="613"/>
      <c r="AX263" s="2">
        <v>57</v>
      </c>
      <c r="AY263" s="293">
        <f t="shared" si="57"/>
        <v>512.22727272727275</v>
      </c>
      <c r="AZ263" s="293">
        <f t="shared" si="57"/>
        <v>0.49854545454545457</v>
      </c>
      <c r="BA263" s="293">
        <f t="shared" si="57"/>
        <v>254.70909090909092</v>
      </c>
      <c r="BB263" s="293">
        <f t="shared" si="57"/>
        <v>139.52727272727273</v>
      </c>
      <c r="BC263" s="293">
        <f t="shared" si="57"/>
        <v>0.12954545454545455</v>
      </c>
      <c r="BD263" s="293">
        <f t="shared" si="57"/>
        <v>73.109090909090909</v>
      </c>
      <c r="BE263" s="293">
        <f t="shared" si="57"/>
        <v>75.327272727272728</v>
      </c>
      <c r="BF263" s="293">
        <f t="shared" si="57"/>
        <v>6.7545454545454547E-2</v>
      </c>
      <c r="BG263" s="293">
        <f t="shared" si="57"/>
        <v>40.409090909090907</v>
      </c>
      <c r="BH263" s="293">
        <f t="shared" si="57"/>
        <v>36.827272727272728</v>
      </c>
      <c r="BI263" s="293">
        <f t="shared" si="57"/>
        <v>3.2545454545454544E-2</v>
      </c>
      <c r="BJ263" s="293">
        <f t="shared" si="57"/>
        <v>19.209090909090911</v>
      </c>
      <c r="BK263" s="293">
        <f t="shared" si="57"/>
        <v>20.8</v>
      </c>
      <c r="BL263" s="293">
        <f t="shared" si="57"/>
        <v>1.5545454545454545E-2</v>
      </c>
      <c r="BM263" s="293">
        <f t="shared" si="57"/>
        <v>10.809090909090909</v>
      </c>
    </row>
    <row r="264" spans="19:164">
      <c r="AX264" s="2">
        <v>58</v>
      </c>
      <c r="AY264" s="293">
        <f t="shared" si="57"/>
        <v>513.11818181818182</v>
      </c>
      <c r="AZ264" s="293">
        <f t="shared" si="57"/>
        <v>0.49936363636363634</v>
      </c>
      <c r="BA264" s="293">
        <f t="shared" si="57"/>
        <v>255.17272727272729</v>
      </c>
      <c r="BB264" s="293">
        <f t="shared" si="57"/>
        <v>140.41818181818181</v>
      </c>
      <c r="BC264" s="293">
        <f t="shared" si="57"/>
        <v>0.13036363636363638</v>
      </c>
      <c r="BD264" s="293">
        <f t="shared" si="57"/>
        <v>73.572727272727278</v>
      </c>
      <c r="BE264" s="293">
        <f t="shared" si="57"/>
        <v>76.218181818181819</v>
      </c>
      <c r="BF264" s="293">
        <f t="shared" si="57"/>
        <v>6.8363636363636363E-2</v>
      </c>
      <c r="BG264" s="293">
        <f t="shared" si="57"/>
        <v>40.872727272727275</v>
      </c>
      <c r="BH264" s="293">
        <f t="shared" si="57"/>
        <v>37.718181818181819</v>
      </c>
      <c r="BI264" s="293">
        <f t="shared" si="57"/>
        <v>3.3363636363636366E-2</v>
      </c>
      <c r="BJ264" s="293">
        <f t="shared" si="57"/>
        <v>19.672727272727272</v>
      </c>
      <c r="BK264" s="293">
        <f t="shared" si="57"/>
        <v>21.700000000000003</v>
      </c>
      <c r="BL264" s="293">
        <f t="shared" si="57"/>
        <v>1.6363636363636361E-2</v>
      </c>
      <c r="BM264" s="293">
        <f t="shared" si="57"/>
        <v>11.272727272727273</v>
      </c>
    </row>
    <row r="265" spans="19:164">
      <c r="AX265" s="2">
        <v>59</v>
      </c>
      <c r="AY265" s="293">
        <f t="shared" si="57"/>
        <v>514.0090909090909</v>
      </c>
      <c r="AZ265" s="293">
        <f t="shared" si="57"/>
        <v>0.50018181818181817</v>
      </c>
      <c r="BA265" s="293">
        <f t="shared" si="57"/>
        <v>255.63636363636365</v>
      </c>
      <c r="BB265" s="293">
        <f t="shared" si="57"/>
        <v>141.30909090909091</v>
      </c>
      <c r="BC265" s="293">
        <f t="shared" si="57"/>
        <v>0.13118181818181818</v>
      </c>
      <c r="BD265" s="293">
        <f t="shared" si="57"/>
        <v>74.036363636363632</v>
      </c>
      <c r="BE265" s="293">
        <f t="shared" si="57"/>
        <v>77.109090909090909</v>
      </c>
      <c r="BF265" s="293">
        <f t="shared" si="57"/>
        <v>6.9181818181818192E-2</v>
      </c>
      <c r="BG265" s="293">
        <f t="shared" si="57"/>
        <v>41.336363636363636</v>
      </c>
      <c r="BH265" s="293">
        <f t="shared" si="57"/>
        <v>38.609090909090909</v>
      </c>
      <c r="BI265" s="293">
        <f t="shared" si="57"/>
        <v>3.4181818181818188E-2</v>
      </c>
      <c r="BJ265" s="293">
        <f t="shared" si="57"/>
        <v>20.136363636363637</v>
      </c>
      <c r="BK265" s="293">
        <f t="shared" si="57"/>
        <v>22.6</v>
      </c>
      <c r="BL265" s="293">
        <f t="shared" si="57"/>
        <v>1.718181818181818E-2</v>
      </c>
      <c r="BM265" s="293">
        <f t="shared" si="57"/>
        <v>11.736363636363636</v>
      </c>
    </row>
    <row r="266" spans="19:164">
      <c r="AX266" s="609">
        <v>60</v>
      </c>
      <c r="AY266" s="609">
        <v>514.9</v>
      </c>
      <c r="AZ266" s="609">
        <v>0.501</v>
      </c>
      <c r="BA266" s="609">
        <v>256.10000000000002</v>
      </c>
      <c r="BB266" s="609">
        <v>142.19999999999999</v>
      </c>
      <c r="BC266" s="609">
        <v>0.13200000000000001</v>
      </c>
      <c r="BD266" s="609">
        <v>74.5</v>
      </c>
      <c r="BE266" s="609">
        <v>78</v>
      </c>
      <c r="BF266" s="609">
        <v>7.0000000000000007E-2</v>
      </c>
      <c r="BG266" s="609">
        <v>41.8</v>
      </c>
      <c r="BH266" s="609">
        <v>39.5</v>
      </c>
      <c r="BI266" s="609">
        <v>3.5000000000000003E-2</v>
      </c>
      <c r="BJ266" s="609">
        <v>20.6</v>
      </c>
      <c r="BK266" s="609">
        <v>23.5</v>
      </c>
      <c r="BL266" s="609">
        <v>1.7999999999999999E-2</v>
      </c>
      <c r="BM266" s="609">
        <v>12.2</v>
      </c>
    </row>
    <row r="271" spans="19:164">
      <c r="AX271" s="574" t="s">
        <v>1617</v>
      </c>
    </row>
    <row r="272" spans="19:164">
      <c r="AX272" s="2" t="s">
        <v>1552</v>
      </c>
      <c r="AY272" s="585">
        <v>0</v>
      </c>
      <c r="AZ272" s="585"/>
      <c r="BA272" s="585"/>
      <c r="BB272" s="585">
        <v>11</v>
      </c>
      <c r="BC272" s="585"/>
      <c r="BD272" s="585"/>
      <c r="BE272" s="585">
        <v>19</v>
      </c>
      <c r="BF272" s="585"/>
      <c r="BG272" s="585"/>
      <c r="BH272" s="585">
        <v>30</v>
      </c>
      <c r="BI272" s="585"/>
      <c r="BJ272" s="585"/>
      <c r="BK272" s="585">
        <v>38</v>
      </c>
      <c r="BL272" s="585"/>
      <c r="BM272" s="585"/>
    </row>
    <row r="273" spans="50:65">
      <c r="AX273" s="2" t="s">
        <v>1553</v>
      </c>
      <c r="AY273" s="2" t="s">
        <v>1554</v>
      </c>
      <c r="AZ273" s="586" t="s">
        <v>1555</v>
      </c>
      <c r="BA273" s="587"/>
      <c r="BB273" s="2" t="s">
        <v>1554</v>
      </c>
      <c r="BC273" s="586" t="s">
        <v>1555</v>
      </c>
      <c r="BD273" s="587"/>
      <c r="BE273" s="2" t="s">
        <v>1554</v>
      </c>
      <c r="BF273" s="586" t="s">
        <v>1555</v>
      </c>
      <c r="BG273" s="587"/>
      <c r="BH273" s="2" t="s">
        <v>1554</v>
      </c>
      <c r="BI273" s="586" t="s">
        <v>1555</v>
      </c>
      <c r="BJ273" s="587"/>
      <c r="BK273" s="2" t="s">
        <v>1554</v>
      </c>
      <c r="BL273" s="586" t="s">
        <v>1555</v>
      </c>
      <c r="BM273" s="587"/>
    </row>
    <row r="274" spans="50:65">
      <c r="AX274" s="2">
        <v>11</v>
      </c>
      <c r="AY274" s="293">
        <v>2594.6999999999998</v>
      </c>
      <c r="AZ274" s="608">
        <v>0.35099999999999998</v>
      </c>
      <c r="BA274" s="607">
        <v>0</v>
      </c>
      <c r="BB274" s="607">
        <v>0</v>
      </c>
      <c r="BC274" s="607">
        <v>0</v>
      </c>
      <c r="BD274" s="607">
        <v>0</v>
      </c>
      <c r="BE274" s="607">
        <v>0</v>
      </c>
      <c r="BF274" s="607">
        <v>0</v>
      </c>
      <c r="BG274" s="607">
        <v>0</v>
      </c>
      <c r="BH274" s="607">
        <v>0</v>
      </c>
      <c r="BI274" s="607">
        <v>0</v>
      </c>
      <c r="BJ274" s="607">
        <v>0</v>
      </c>
      <c r="BK274" s="607">
        <v>0</v>
      </c>
      <c r="BL274" s="607">
        <v>0</v>
      </c>
      <c r="BM274" s="607">
        <v>0</v>
      </c>
    </row>
    <row r="275" spans="50:65">
      <c r="AX275" s="2">
        <v>12</v>
      </c>
      <c r="AY275" s="293">
        <f t="shared" ref="AY275:BM281" si="58">((($AX275-$AX$274)*(AY$282-AY$274))/($AX$282-$AX$274))+AY$274</f>
        <v>2647.4375</v>
      </c>
      <c r="AZ275" s="293">
        <f t="shared" si="58"/>
        <v>0.35874999999999996</v>
      </c>
      <c r="BA275" s="605">
        <f t="shared" si="58"/>
        <v>0</v>
      </c>
      <c r="BB275" s="293">
        <f t="shared" si="58"/>
        <v>52.737499999999997</v>
      </c>
      <c r="BC275" s="293">
        <f t="shared" si="58"/>
        <v>7.6249999999999998E-3</v>
      </c>
      <c r="BD275" s="2">
        <f t="shared" si="58"/>
        <v>0</v>
      </c>
      <c r="BE275" s="2">
        <f t="shared" si="58"/>
        <v>0</v>
      </c>
      <c r="BF275" s="2">
        <f t="shared" si="58"/>
        <v>0</v>
      </c>
      <c r="BG275" s="2">
        <f t="shared" si="58"/>
        <v>0</v>
      </c>
      <c r="BH275" s="2">
        <f t="shared" si="58"/>
        <v>0</v>
      </c>
      <c r="BI275" s="2">
        <f t="shared" si="58"/>
        <v>0</v>
      </c>
      <c r="BJ275" s="2">
        <f t="shared" si="58"/>
        <v>0</v>
      </c>
      <c r="BK275" s="2">
        <f t="shared" si="58"/>
        <v>0</v>
      </c>
      <c r="BL275" s="2">
        <f t="shared" si="58"/>
        <v>0</v>
      </c>
      <c r="BM275" s="2">
        <f t="shared" si="58"/>
        <v>0</v>
      </c>
    </row>
    <row r="276" spans="50:65">
      <c r="AX276" s="2">
        <v>13</v>
      </c>
      <c r="AY276" s="293">
        <f t="shared" si="58"/>
        <v>2700.1749999999997</v>
      </c>
      <c r="AZ276" s="293">
        <f t="shared" si="58"/>
        <v>0.36649999999999999</v>
      </c>
      <c r="BA276" s="605">
        <f t="shared" si="58"/>
        <v>0</v>
      </c>
      <c r="BB276" s="293">
        <f t="shared" si="58"/>
        <v>105.47499999999999</v>
      </c>
      <c r="BC276" s="293">
        <f t="shared" si="58"/>
        <v>1.525E-2</v>
      </c>
      <c r="BD276" s="2">
        <f t="shared" si="58"/>
        <v>0</v>
      </c>
      <c r="BE276" s="2">
        <f t="shared" si="58"/>
        <v>0</v>
      </c>
      <c r="BF276" s="2">
        <f t="shared" si="58"/>
        <v>0</v>
      </c>
      <c r="BG276" s="2">
        <f t="shared" si="58"/>
        <v>0</v>
      </c>
      <c r="BH276" s="2">
        <f t="shared" si="58"/>
        <v>0</v>
      </c>
      <c r="BI276" s="2">
        <f t="shared" si="58"/>
        <v>0</v>
      </c>
      <c r="BJ276" s="2">
        <f t="shared" si="58"/>
        <v>0</v>
      </c>
      <c r="BK276" s="2">
        <f t="shared" si="58"/>
        <v>0</v>
      </c>
      <c r="BL276" s="2">
        <f t="shared" si="58"/>
        <v>0</v>
      </c>
      <c r="BM276" s="2">
        <f t="shared" si="58"/>
        <v>0</v>
      </c>
    </row>
    <row r="277" spans="50:65">
      <c r="AX277" s="2">
        <v>14</v>
      </c>
      <c r="AY277" s="293">
        <f t="shared" si="58"/>
        <v>2752.9124999999999</v>
      </c>
      <c r="AZ277" s="293">
        <f t="shared" si="58"/>
        <v>0.37424999999999997</v>
      </c>
      <c r="BA277" s="605">
        <f t="shared" si="58"/>
        <v>0</v>
      </c>
      <c r="BB277" s="293">
        <f t="shared" si="58"/>
        <v>158.21249999999998</v>
      </c>
      <c r="BC277" s="293">
        <f t="shared" si="58"/>
        <v>2.2875E-2</v>
      </c>
      <c r="BD277" s="2">
        <f t="shared" si="58"/>
        <v>0</v>
      </c>
      <c r="BE277" s="2">
        <f t="shared" si="58"/>
        <v>0</v>
      </c>
      <c r="BF277" s="2">
        <f t="shared" si="58"/>
        <v>0</v>
      </c>
      <c r="BG277" s="2">
        <f t="shared" si="58"/>
        <v>0</v>
      </c>
      <c r="BH277" s="2">
        <f t="shared" si="58"/>
        <v>0</v>
      </c>
      <c r="BI277" s="2">
        <f t="shared" si="58"/>
        <v>0</v>
      </c>
      <c r="BJ277" s="2">
        <f t="shared" si="58"/>
        <v>0</v>
      </c>
      <c r="BK277" s="2">
        <f t="shared" si="58"/>
        <v>0</v>
      </c>
      <c r="BL277" s="2">
        <f t="shared" si="58"/>
        <v>0</v>
      </c>
      <c r="BM277" s="2">
        <f t="shared" si="58"/>
        <v>0</v>
      </c>
    </row>
    <row r="278" spans="50:65">
      <c r="AX278" s="2">
        <v>15</v>
      </c>
      <c r="AY278" s="293">
        <f t="shared" si="58"/>
        <v>2805.6499999999996</v>
      </c>
      <c r="AZ278" s="293">
        <f t="shared" si="58"/>
        <v>0.38200000000000001</v>
      </c>
      <c r="BA278" s="605">
        <f t="shared" si="58"/>
        <v>0</v>
      </c>
      <c r="BB278" s="293">
        <f t="shared" si="58"/>
        <v>210.95</v>
      </c>
      <c r="BC278" s="293">
        <f t="shared" si="58"/>
        <v>3.0499999999999999E-2</v>
      </c>
      <c r="BD278" s="2">
        <f t="shared" si="58"/>
        <v>0</v>
      </c>
      <c r="BE278" s="2">
        <f t="shared" si="58"/>
        <v>0</v>
      </c>
      <c r="BF278" s="2">
        <f t="shared" si="58"/>
        <v>0</v>
      </c>
      <c r="BG278" s="2">
        <f t="shared" si="58"/>
        <v>0</v>
      </c>
      <c r="BH278" s="2">
        <f t="shared" si="58"/>
        <v>0</v>
      </c>
      <c r="BI278" s="2">
        <f t="shared" si="58"/>
        <v>0</v>
      </c>
      <c r="BJ278" s="2">
        <f t="shared" si="58"/>
        <v>0</v>
      </c>
      <c r="BK278" s="2">
        <f t="shared" si="58"/>
        <v>0</v>
      </c>
      <c r="BL278" s="2">
        <f t="shared" si="58"/>
        <v>0</v>
      </c>
      <c r="BM278" s="2">
        <f t="shared" si="58"/>
        <v>0</v>
      </c>
    </row>
    <row r="279" spans="50:65">
      <c r="AX279" s="2">
        <v>16</v>
      </c>
      <c r="AY279" s="293">
        <f t="shared" si="58"/>
        <v>2858.3874999999998</v>
      </c>
      <c r="AZ279" s="293">
        <f t="shared" si="58"/>
        <v>0.38974999999999999</v>
      </c>
      <c r="BA279" s="605">
        <f t="shared" si="58"/>
        <v>0</v>
      </c>
      <c r="BB279" s="293">
        <f t="shared" si="58"/>
        <v>263.6875</v>
      </c>
      <c r="BC279" s="293">
        <f t="shared" si="58"/>
        <v>3.8124999999999999E-2</v>
      </c>
      <c r="BD279" s="2">
        <f t="shared" si="58"/>
        <v>0</v>
      </c>
      <c r="BE279" s="2">
        <f t="shared" si="58"/>
        <v>0</v>
      </c>
      <c r="BF279" s="2">
        <f t="shared" si="58"/>
        <v>0</v>
      </c>
      <c r="BG279" s="2">
        <f t="shared" si="58"/>
        <v>0</v>
      </c>
      <c r="BH279" s="2">
        <f t="shared" si="58"/>
        <v>0</v>
      </c>
      <c r="BI279" s="2">
        <f t="shared" si="58"/>
        <v>0</v>
      </c>
      <c r="BJ279" s="2">
        <f t="shared" si="58"/>
        <v>0</v>
      </c>
      <c r="BK279" s="2">
        <f t="shared" si="58"/>
        <v>0</v>
      </c>
      <c r="BL279" s="2">
        <f t="shared" si="58"/>
        <v>0</v>
      </c>
      <c r="BM279" s="2">
        <f t="shared" si="58"/>
        <v>0</v>
      </c>
    </row>
    <row r="280" spans="50:65">
      <c r="AX280" s="2">
        <v>17</v>
      </c>
      <c r="AY280" s="293">
        <f t="shared" si="58"/>
        <v>2911.125</v>
      </c>
      <c r="AZ280" s="293">
        <f t="shared" si="58"/>
        <v>0.39749999999999996</v>
      </c>
      <c r="BA280" s="605">
        <f t="shared" si="58"/>
        <v>0</v>
      </c>
      <c r="BB280" s="293">
        <f t="shared" si="58"/>
        <v>316.42499999999995</v>
      </c>
      <c r="BC280" s="293">
        <f t="shared" si="58"/>
        <v>4.5749999999999999E-2</v>
      </c>
      <c r="BD280" s="2">
        <f t="shared" si="58"/>
        <v>0</v>
      </c>
      <c r="BE280" s="2">
        <f t="shared" si="58"/>
        <v>0</v>
      </c>
      <c r="BF280" s="2">
        <f t="shared" si="58"/>
        <v>0</v>
      </c>
      <c r="BG280" s="2">
        <f t="shared" si="58"/>
        <v>0</v>
      </c>
      <c r="BH280" s="2">
        <f t="shared" si="58"/>
        <v>0</v>
      </c>
      <c r="BI280" s="2">
        <f t="shared" si="58"/>
        <v>0</v>
      </c>
      <c r="BJ280" s="2">
        <f t="shared" si="58"/>
        <v>0</v>
      </c>
      <c r="BK280" s="2">
        <f t="shared" si="58"/>
        <v>0</v>
      </c>
      <c r="BL280" s="2">
        <f t="shared" si="58"/>
        <v>0</v>
      </c>
      <c r="BM280" s="2">
        <f t="shared" si="58"/>
        <v>0</v>
      </c>
    </row>
    <row r="281" spans="50:65">
      <c r="AX281" s="2">
        <v>18</v>
      </c>
      <c r="AY281" s="293">
        <f t="shared" si="58"/>
        <v>2963.8624999999997</v>
      </c>
      <c r="AZ281" s="293">
        <f t="shared" si="58"/>
        <v>0.40525</v>
      </c>
      <c r="BA281" s="605">
        <f t="shared" si="58"/>
        <v>0</v>
      </c>
      <c r="BB281" s="293">
        <f t="shared" si="58"/>
        <v>369.16249999999997</v>
      </c>
      <c r="BC281" s="293">
        <f t="shared" si="58"/>
        <v>5.3374999999999999E-2</v>
      </c>
      <c r="BD281" s="2">
        <f t="shared" si="58"/>
        <v>0</v>
      </c>
      <c r="BE281" s="2">
        <f t="shared" si="58"/>
        <v>0</v>
      </c>
      <c r="BF281" s="2">
        <f t="shared" si="58"/>
        <v>0</v>
      </c>
      <c r="BG281" s="2">
        <f t="shared" si="58"/>
        <v>0</v>
      </c>
      <c r="BH281" s="2">
        <f t="shared" si="58"/>
        <v>0</v>
      </c>
      <c r="BI281" s="2">
        <f t="shared" si="58"/>
        <v>0</v>
      </c>
      <c r="BJ281" s="2">
        <f t="shared" si="58"/>
        <v>0</v>
      </c>
      <c r="BK281" s="2">
        <f t="shared" si="58"/>
        <v>0</v>
      </c>
      <c r="BL281" s="2">
        <f t="shared" si="58"/>
        <v>0</v>
      </c>
      <c r="BM281" s="2">
        <f t="shared" si="58"/>
        <v>0</v>
      </c>
    </row>
    <row r="282" spans="50:65">
      <c r="AX282" s="2">
        <v>19</v>
      </c>
      <c r="AY282" s="293">
        <v>3016.6</v>
      </c>
      <c r="AZ282" s="608">
        <v>0.41299999999999998</v>
      </c>
      <c r="BA282" s="607">
        <v>0</v>
      </c>
      <c r="BB282" s="293">
        <v>421.9</v>
      </c>
      <c r="BC282" s="608">
        <v>6.0999999999999999E-2</v>
      </c>
      <c r="BD282" s="251">
        <v>0</v>
      </c>
      <c r="BE282" s="251">
        <v>0</v>
      </c>
      <c r="BF282" s="251">
        <v>0</v>
      </c>
      <c r="BG282" s="251">
        <v>0</v>
      </c>
      <c r="BH282" s="251">
        <v>0</v>
      </c>
      <c r="BI282" s="251">
        <v>0</v>
      </c>
      <c r="BJ282" s="251">
        <v>0</v>
      </c>
      <c r="BK282" s="251">
        <v>0</v>
      </c>
      <c r="BL282" s="251">
        <v>0</v>
      </c>
      <c r="BM282" s="251">
        <v>0</v>
      </c>
    </row>
    <row r="283" spans="50:65">
      <c r="AX283" s="2">
        <v>20</v>
      </c>
      <c r="AY283" s="293">
        <f t="shared" ref="AY283:BM292" si="59">((($AX283-$AX$282)*(AY$293-AY$282))/($AX$293-$AX$282))+AY$282</f>
        <v>3040.1</v>
      </c>
      <c r="AZ283" s="293">
        <f t="shared" si="59"/>
        <v>0.41618181818181815</v>
      </c>
      <c r="BA283" s="605">
        <f t="shared" si="59"/>
        <v>0</v>
      </c>
      <c r="BB283" s="293">
        <f t="shared" si="59"/>
        <v>445.40909090909088</v>
      </c>
      <c r="BC283" s="293">
        <f t="shared" si="59"/>
        <v>6.4272727272727273E-2</v>
      </c>
      <c r="BD283" s="605">
        <f t="shared" si="59"/>
        <v>0</v>
      </c>
      <c r="BE283" s="293">
        <f t="shared" si="59"/>
        <v>23.5</v>
      </c>
      <c r="BF283" s="293">
        <f t="shared" si="59"/>
        <v>3.1818181818181819E-3</v>
      </c>
      <c r="BG283" s="605">
        <f t="shared" si="59"/>
        <v>0</v>
      </c>
      <c r="BH283" s="605">
        <f t="shared" si="59"/>
        <v>0</v>
      </c>
      <c r="BI283" s="605">
        <f t="shared" si="59"/>
        <v>0</v>
      </c>
      <c r="BJ283" s="605">
        <f t="shared" si="59"/>
        <v>0</v>
      </c>
      <c r="BK283" s="605">
        <f t="shared" si="59"/>
        <v>0</v>
      </c>
      <c r="BL283" s="605">
        <f t="shared" si="59"/>
        <v>0</v>
      </c>
      <c r="BM283" s="605">
        <f t="shared" si="59"/>
        <v>0</v>
      </c>
    </row>
    <row r="284" spans="50:65">
      <c r="AX284" s="2">
        <v>21</v>
      </c>
      <c r="AY284" s="293">
        <f t="shared" si="59"/>
        <v>3063.6</v>
      </c>
      <c r="AZ284" s="293">
        <f t="shared" si="59"/>
        <v>0.41936363636363633</v>
      </c>
      <c r="BA284" s="605">
        <f t="shared" si="59"/>
        <v>0</v>
      </c>
      <c r="BB284" s="293">
        <f t="shared" si="59"/>
        <v>468.91818181818178</v>
      </c>
      <c r="BC284" s="293">
        <f t="shared" si="59"/>
        <v>6.7545454545454547E-2</v>
      </c>
      <c r="BD284" s="605">
        <f t="shared" si="59"/>
        <v>0</v>
      </c>
      <c r="BE284" s="293">
        <f t="shared" si="59"/>
        <v>47</v>
      </c>
      <c r="BF284" s="293">
        <f t="shared" si="59"/>
        <v>6.3636363636363638E-3</v>
      </c>
      <c r="BG284" s="605">
        <f t="shared" si="59"/>
        <v>0</v>
      </c>
      <c r="BH284" s="605">
        <f t="shared" si="59"/>
        <v>0</v>
      </c>
      <c r="BI284" s="605">
        <f t="shared" si="59"/>
        <v>0</v>
      </c>
      <c r="BJ284" s="605">
        <f t="shared" si="59"/>
        <v>0</v>
      </c>
      <c r="BK284" s="605">
        <f t="shared" si="59"/>
        <v>0</v>
      </c>
      <c r="BL284" s="605">
        <f t="shared" si="59"/>
        <v>0</v>
      </c>
      <c r="BM284" s="605">
        <f t="shared" si="59"/>
        <v>0</v>
      </c>
    </row>
    <row r="285" spans="50:65">
      <c r="AX285" s="2">
        <v>22</v>
      </c>
      <c r="AY285" s="293">
        <f t="shared" si="59"/>
        <v>3087.1</v>
      </c>
      <c r="AZ285" s="293">
        <f t="shared" si="59"/>
        <v>0.42254545454545456</v>
      </c>
      <c r="BA285" s="605">
        <f t="shared" si="59"/>
        <v>0</v>
      </c>
      <c r="BB285" s="293">
        <f t="shared" si="59"/>
        <v>492.42727272727268</v>
      </c>
      <c r="BC285" s="293">
        <f t="shared" si="59"/>
        <v>7.0818181818181822E-2</v>
      </c>
      <c r="BD285" s="605">
        <f t="shared" si="59"/>
        <v>0</v>
      </c>
      <c r="BE285" s="293">
        <f t="shared" si="59"/>
        <v>70.5</v>
      </c>
      <c r="BF285" s="293">
        <f t="shared" si="59"/>
        <v>9.5454545454545462E-3</v>
      </c>
      <c r="BG285" s="605">
        <f t="shared" si="59"/>
        <v>0</v>
      </c>
      <c r="BH285" s="605">
        <f t="shared" si="59"/>
        <v>0</v>
      </c>
      <c r="BI285" s="605">
        <f t="shared" si="59"/>
        <v>0</v>
      </c>
      <c r="BJ285" s="605">
        <f t="shared" si="59"/>
        <v>0</v>
      </c>
      <c r="BK285" s="605">
        <f t="shared" si="59"/>
        <v>0</v>
      </c>
      <c r="BL285" s="605">
        <f t="shared" si="59"/>
        <v>0</v>
      </c>
      <c r="BM285" s="605">
        <f t="shared" si="59"/>
        <v>0</v>
      </c>
    </row>
    <row r="286" spans="50:65">
      <c r="AX286" s="2">
        <v>23</v>
      </c>
      <c r="AY286" s="293">
        <f t="shared" si="59"/>
        <v>3110.6</v>
      </c>
      <c r="AZ286" s="293">
        <f t="shared" si="59"/>
        <v>0.42572727272727273</v>
      </c>
      <c r="BA286" s="605">
        <f t="shared" si="59"/>
        <v>0</v>
      </c>
      <c r="BB286" s="293">
        <f t="shared" si="59"/>
        <v>515.93636363636358</v>
      </c>
      <c r="BC286" s="293">
        <f t="shared" si="59"/>
        <v>7.4090909090909096E-2</v>
      </c>
      <c r="BD286" s="605">
        <f t="shared" si="59"/>
        <v>0</v>
      </c>
      <c r="BE286" s="293">
        <f t="shared" si="59"/>
        <v>94</v>
      </c>
      <c r="BF286" s="293">
        <f t="shared" si="59"/>
        <v>1.2727272727272728E-2</v>
      </c>
      <c r="BG286" s="605">
        <f t="shared" si="59"/>
        <v>0</v>
      </c>
      <c r="BH286" s="605">
        <f t="shared" si="59"/>
        <v>0</v>
      </c>
      <c r="BI286" s="605">
        <f t="shared" si="59"/>
        <v>0</v>
      </c>
      <c r="BJ286" s="605">
        <f t="shared" si="59"/>
        <v>0</v>
      </c>
      <c r="BK286" s="605">
        <f t="shared" si="59"/>
        <v>0</v>
      </c>
      <c r="BL286" s="605">
        <f t="shared" si="59"/>
        <v>0</v>
      </c>
      <c r="BM286" s="605">
        <f t="shared" si="59"/>
        <v>0</v>
      </c>
    </row>
    <row r="287" spans="50:65">
      <c r="AX287" s="2">
        <v>24</v>
      </c>
      <c r="AY287" s="293">
        <f t="shared" si="59"/>
        <v>3134.1</v>
      </c>
      <c r="AZ287" s="293">
        <f t="shared" si="59"/>
        <v>0.42890909090909091</v>
      </c>
      <c r="BA287" s="605">
        <f t="shared" si="59"/>
        <v>0</v>
      </c>
      <c r="BB287" s="293">
        <f t="shared" si="59"/>
        <v>539.44545454545448</v>
      </c>
      <c r="BC287" s="293">
        <f t="shared" si="59"/>
        <v>7.7363636363636357E-2</v>
      </c>
      <c r="BD287" s="605">
        <f t="shared" si="59"/>
        <v>0</v>
      </c>
      <c r="BE287" s="293">
        <f t="shared" si="59"/>
        <v>117.5</v>
      </c>
      <c r="BF287" s="293">
        <f t="shared" si="59"/>
        <v>1.5909090909090911E-2</v>
      </c>
      <c r="BG287" s="605">
        <f t="shared" si="59"/>
        <v>0</v>
      </c>
      <c r="BH287" s="605">
        <f t="shared" si="59"/>
        <v>0</v>
      </c>
      <c r="BI287" s="605">
        <f t="shared" si="59"/>
        <v>0</v>
      </c>
      <c r="BJ287" s="605">
        <f t="shared" si="59"/>
        <v>0</v>
      </c>
      <c r="BK287" s="605">
        <f t="shared" si="59"/>
        <v>0</v>
      </c>
      <c r="BL287" s="605">
        <f t="shared" si="59"/>
        <v>0</v>
      </c>
      <c r="BM287" s="605">
        <f t="shared" si="59"/>
        <v>0</v>
      </c>
    </row>
    <row r="288" spans="50:65">
      <c r="AX288" s="2">
        <v>25</v>
      </c>
      <c r="AY288" s="293">
        <f t="shared" si="59"/>
        <v>3157.6</v>
      </c>
      <c r="AZ288" s="293">
        <f t="shared" si="59"/>
        <v>0.43209090909090908</v>
      </c>
      <c r="BA288" s="605">
        <f t="shared" si="59"/>
        <v>0</v>
      </c>
      <c r="BB288" s="293">
        <f t="shared" si="59"/>
        <v>562.9545454545455</v>
      </c>
      <c r="BC288" s="293">
        <f t="shared" si="59"/>
        <v>8.0636363636363645E-2</v>
      </c>
      <c r="BD288" s="605">
        <f t="shared" si="59"/>
        <v>0</v>
      </c>
      <c r="BE288" s="293">
        <f t="shared" si="59"/>
        <v>141</v>
      </c>
      <c r="BF288" s="293">
        <f t="shared" si="59"/>
        <v>1.9090909090909092E-2</v>
      </c>
      <c r="BG288" s="605">
        <f t="shared" si="59"/>
        <v>0</v>
      </c>
      <c r="BH288" s="605">
        <f t="shared" si="59"/>
        <v>0</v>
      </c>
      <c r="BI288" s="605">
        <f t="shared" si="59"/>
        <v>0</v>
      </c>
      <c r="BJ288" s="605">
        <f t="shared" si="59"/>
        <v>0</v>
      </c>
      <c r="BK288" s="605">
        <f t="shared" si="59"/>
        <v>0</v>
      </c>
      <c r="BL288" s="605">
        <f t="shared" si="59"/>
        <v>0</v>
      </c>
      <c r="BM288" s="605">
        <f t="shared" si="59"/>
        <v>0</v>
      </c>
    </row>
    <row r="289" spans="50:65">
      <c r="AX289" s="2">
        <v>26</v>
      </c>
      <c r="AY289" s="293">
        <f t="shared" si="59"/>
        <v>3181.1</v>
      </c>
      <c r="AZ289" s="293">
        <f t="shared" si="59"/>
        <v>0.43527272727272726</v>
      </c>
      <c r="BA289" s="605">
        <f t="shared" si="59"/>
        <v>0</v>
      </c>
      <c r="BB289" s="293">
        <f t="shared" si="59"/>
        <v>586.4636363636364</v>
      </c>
      <c r="BC289" s="293">
        <f t="shared" si="59"/>
        <v>8.3909090909090905E-2</v>
      </c>
      <c r="BD289" s="605">
        <f t="shared" si="59"/>
        <v>0</v>
      </c>
      <c r="BE289" s="293">
        <f t="shared" si="59"/>
        <v>164.5</v>
      </c>
      <c r="BF289" s="293">
        <f t="shared" si="59"/>
        <v>2.2272727272727274E-2</v>
      </c>
      <c r="BG289" s="605">
        <f t="shared" si="59"/>
        <v>0</v>
      </c>
      <c r="BH289" s="605">
        <f t="shared" si="59"/>
        <v>0</v>
      </c>
      <c r="BI289" s="605">
        <f t="shared" si="59"/>
        <v>0</v>
      </c>
      <c r="BJ289" s="605">
        <f t="shared" si="59"/>
        <v>0</v>
      </c>
      <c r="BK289" s="605">
        <f t="shared" si="59"/>
        <v>0</v>
      </c>
      <c r="BL289" s="605">
        <f t="shared" si="59"/>
        <v>0</v>
      </c>
      <c r="BM289" s="605">
        <f t="shared" si="59"/>
        <v>0</v>
      </c>
    </row>
    <row r="290" spans="50:65">
      <c r="AX290" s="2">
        <v>27</v>
      </c>
      <c r="AY290" s="293">
        <f t="shared" si="59"/>
        <v>3204.6</v>
      </c>
      <c r="AZ290" s="293">
        <f t="shared" si="59"/>
        <v>0.43845454545454543</v>
      </c>
      <c r="BA290" s="605">
        <f t="shared" si="59"/>
        <v>0</v>
      </c>
      <c r="BB290" s="293">
        <f t="shared" si="59"/>
        <v>609.9727272727273</v>
      </c>
      <c r="BC290" s="293">
        <f t="shared" si="59"/>
        <v>8.718181818181818E-2</v>
      </c>
      <c r="BD290" s="605">
        <f t="shared" si="59"/>
        <v>0</v>
      </c>
      <c r="BE290" s="293">
        <f t="shared" si="59"/>
        <v>188</v>
      </c>
      <c r="BF290" s="293">
        <f t="shared" si="59"/>
        <v>2.5454545454545455E-2</v>
      </c>
      <c r="BG290" s="605">
        <f t="shared" si="59"/>
        <v>0</v>
      </c>
      <c r="BH290" s="605">
        <f t="shared" si="59"/>
        <v>0</v>
      </c>
      <c r="BI290" s="605">
        <f t="shared" si="59"/>
        <v>0</v>
      </c>
      <c r="BJ290" s="605">
        <f t="shared" si="59"/>
        <v>0</v>
      </c>
      <c r="BK290" s="605">
        <f t="shared" si="59"/>
        <v>0</v>
      </c>
      <c r="BL290" s="605">
        <f t="shared" si="59"/>
        <v>0</v>
      </c>
      <c r="BM290" s="605">
        <f t="shared" si="59"/>
        <v>0</v>
      </c>
    </row>
    <row r="291" spans="50:65">
      <c r="AX291" s="2">
        <v>28</v>
      </c>
      <c r="AY291" s="293">
        <f t="shared" si="59"/>
        <v>3228.1</v>
      </c>
      <c r="AZ291" s="293">
        <f t="shared" si="59"/>
        <v>0.44163636363636366</v>
      </c>
      <c r="BA291" s="605">
        <f t="shared" si="59"/>
        <v>0</v>
      </c>
      <c r="BB291" s="293">
        <f t="shared" si="59"/>
        <v>633.4818181818182</v>
      </c>
      <c r="BC291" s="293">
        <f t="shared" si="59"/>
        <v>9.0454545454545454E-2</v>
      </c>
      <c r="BD291" s="605">
        <f t="shared" si="59"/>
        <v>0</v>
      </c>
      <c r="BE291" s="293">
        <f t="shared" si="59"/>
        <v>211.5</v>
      </c>
      <c r="BF291" s="293">
        <f t="shared" si="59"/>
        <v>2.863636363636364E-2</v>
      </c>
      <c r="BG291" s="605">
        <f t="shared" si="59"/>
        <v>0</v>
      </c>
      <c r="BH291" s="605">
        <f t="shared" si="59"/>
        <v>0</v>
      </c>
      <c r="BI291" s="605">
        <f t="shared" si="59"/>
        <v>0</v>
      </c>
      <c r="BJ291" s="605">
        <f t="shared" si="59"/>
        <v>0</v>
      </c>
      <c r="BK291" s="605">
        <f t="shared" si="59"/>
        <v>0</v>
      </c>
      <c r="BL291" s="605">
        <f t="shared" si="59"/>
        <v>0</v>
      </c>
      <c r="BM291" s="605">
        <f t="shared" si="59"/>
        <v>0</v>
      </c>
    </row>
    <row r="292" spans="50:65">
      <c r="AX292" s="2">
        <v>29</v>
      </c>
      <c r="AY292" s="293">
        <f t="shared" si="59"/>
        <v>3251.6</v>
      </c>
      <c r="AZ292" s="293">
        <f t="shared" si="59"/>
        <v>0.44481818181818183</v>
      </c>
      <c r="BA292" s="605">
        <f t="shared" si="59"/>
        <v>0</v>
      </c>
      <c r="BB292" s="293">
        <f t="shared" si="59"/>
        <v>656.9909090909091</v>
      </c>
      <c r="BC292" s="293">
        <f t="shared" si="59"/>
        <v>9.3727272727272729E-2</v>
      </c>
      <c r="BD292" s="605">
        <f t="shared" si="59"/>
        <v>0</v>
      </c>
      <c r="BE292" s="293">
        <f t="shared" si="59"/>
        <v>235</v>
      </c>
      <c r="BF292" s="293">
        <f t="shared" si="59"/>
        <v>3.1818181818181822E-2</v>
      </c>
      <c r="BG292" s="605">
        <f t="shared" si="59"/>
        <v>0</v>
      </c>
      <c r="BH292" s="605">
        <f t="shared" si="59"/>
        <v>0</v>
      </c>
      <c r="BI292" s="605">
        <f t="shared" si="59"/>
        <v>0</v>
      </c>
      <c r="BJ292" s="605">
        <f t="shared" si="59"/>
        <v>0</v>
      </c>
      <c r="BK292" s="605">
        <f t="shared" si="59"/>
        <v>0</v>
      </c>
      <c r="BL292" s="605">
        <f t="shared" si="59"/>
        <v>0</v>
      </c>
      <c r="BM292" s="605">
        <f t="shared" si="59"/>
        <v>0</v>
      </c>
    </row>
    <row r="293" spans="50:65">
      <c r="AX293" s="2">
        <v>30</v>
      </c>
      <c r="AY293" s="2">
        <v>3275.1</v>
      </c>
      <c r="AZ293" s="250">
        <v>0.44800000000000001</v>
      </c>
      <c r="BA293" s="251">
        <v>0</v>
      </c>
      <c r="BB293" s="2">
        <v>680.5</v>
      </c>
      <c r="BC293" s="250">
        <v>9.7000000000000003E-2</v>
      </c>
      <c r="BD293" s="251">
        <v>0</v>
      </c>
      <c r="BE293" s="2">
        <v>258.5</v>
      </c>
      <c r="BF293" s="250">
        <v>3.5000000000000003E-2</v>
      </c>
      <c r="BG293" s="251">
        <v>0</v>
      </c>
      <c r="BH293" s="251">
        <v>0</v>
      </c>
      <c r="BI293" s="251">
        <v>0</v>
      </c>
      <c r="BJ293" s="251">
        <v>0</v>
      </c>
      <c r="BK293" s="251">
        <v>0</v>
      </c>
      <c r="BL293" s="251">
        <v>0</v>
      </c>
      <c r="BM293" s="251">
        <v>0</v>
      </c>
    </row>
    <row r="294" spans="50:65">
      <c r="AX294" s="2">
        <v>31</v>
      </c>
      <c r="AY294" s="2">
        <f t="shared" ref="AY294:BM300" si="60">((($AX294-$AX$293)*(AY$301-AY$293))/($AX$301-$AX$293))+AY$293</f>
        <v>3288.2</v>
      </c>
      <c r="AZ294" s="2">
        <f t="shared" si="60"/>
        <v>0.45025000000000004</v>
      </c>
      <c r="BA294" s="2">
        <f t="shared" si="60"/>
        <v>0</v>
      </c>
      <c r="BB294" s="2">
        <f t="shared" si="60"/>
        <v>693.58749999999998</v>
      </c>
      <c r="BC294" s="2">
        <f t="shared" si="60"/>
        <v>9.9125000000000005E-2</v>
      </c>
      <c r="BD294" s="2">
        <f t="shared" si="60"/>
        <v>0</v>
      </c>
      <c r="BE294" s="2">
        <f t="shared" si="60"/>
        <v>271.60000000000002</v>
      </c>
      <c r="BF294" s="2">
        <f t="shared" si="60"/>
        <v>3.7250000000000005E-2</v>
      </c>
      <c r="BG294" s="2">
        <f t="shared" si="60"/>
        <v>0</v>
      </c>
      <c r="BH294" s="2">
        <f t="shared" si="60"/>
        <v>13.0875</v>
      </c>
      <c r="BI294" s="2">
        <f t="shared" si="60"/>
        <v>2.2499999999999998E-3</v>
      </c>
      <c r="BJ294" s="2">
        <f t="shared" si="60"/>
        <v>0</v>
      </c>
      <c r="BK294" s="2">
        <f t="shared" si="60"/>
        <v>0</v>
      </c>
      <c r="BL294" s="2">
        <f t="shared" si="60"/>
        <v>0</v>
      </c>
      <c r="BM294" s="2">
        <f t="shared" si="60"/>
        <v>0</v>
      </c>
    </row>
    <row r="295" spans="50:65">
      <c r="AX295" s="2">
        <v>32</v>
      </c>
      <c r="AY295" s="2">
        <f t="shared" si="60"/>
        <v>3301.3</v>
      </c>
      <c r="AZ295" s="2">
        <f t="shared" si="60"/>
        <v>0.45250000000000001</v>
      </c>
      <c r="BA295" s="2">
        <f t="shared" si="60"/>
        <v>0</v>
      </c>
      <c r="BB295" s="2">
        <f t="shared" si="60"/>
        <v>706.67499999999995</v>
      </c>
      <c r="BC295" s="2">
        <f t="shared" si="60"/>
        <v>0.10125000000000001</v>
      </c>
      <c r="BD295" s="2">
        <f t="shared" si="60"/>
        <v>0</v>
      </c>
      <c r="BE295" s="2">
        <f t="shared" si="60"/>
        <v>284.7</v>
      </c>
      <c r="BF295" s="2">
        <f t="shared" si="60"/>
        <v>3.95E-2</v>
      </c>
      <c r="BG295" s="2">
        <f t="shared" si="60"/>
        <v>0</v>
      </c>
      <c r="BH295" s="2">
        <f t="shared" si="60"/>
        <v>26.175000000000001</v>
      </c>
      <c r="BI295" s="2">
        <f t="shared" si="60"/>
        <v>4.4999999999999997E-3</v>
      </c>
      <c r="BJ295" s="2">
        <f t="shared" si="60"/>
        <v>0</v>
      </c>
      <c r="BK295" s="2">
        <f t="shared" si="60"/>
        <v>0</v>
      </c>
      <c r="BL295" s="2">
        <f t="shared" si="60"/>
        <v>0</v>
      </c>
      <c r="BM295" s="2">
        <f t="shared" si="60"/>
        <v>0</v>
      </c>
    </row>
    <row r="296" spans="50:65">
      <c r="AX296" s="2">
        <v>33</v>
      </c>
      <c r="AY296" s="2">
        <f t="shared" si="60"/>
        <v>3314.4</v>
      </c>
      <c r="AZ296" s="2">
        <f t="shared" si="60"/>
        <v>0.45474999999999999</v>
      </c>
      <c r="BA296" s="2">
        <f t="shared" si="60"/>
        <v>0</v>
      </c>
      <c r="BB296" s="2">
        <f t="shared" si="60"/>
        <v>719.76250000000005</v>
      </c>
      <c r="BC296" s="2">
        <f t="shared" si="60"/>
        <v>0.10337500000000001</v>
      </c>
      <c r="BD296" s="2">
        <f t="shared" si="60"/>
        <v>0</v>
      </c>
      <c r="BE296" s="2">
        <f t="shared" si="60"/>
        <v>297.8</v>
      </c>
      <c r="BF296" s="2">
        <f t="shared" si="60"/>
        <v>4.1750000000000002E-2</v>
      </c>
      <c r="BG296" s="2">
        <f t="shared" si="60"/>
        <v>0</v>
      </c>
      <c r="BH296" s="2">
        <f t="shared" si="60"/>
        <v>39.262500000000003</v>
      </c>
      <c r="BI296" s="2">
        <f t="shared" si="60"/>
        <v>6.7499999999999991E-3</v>
      </c>
      <c r="BJ296" s="2">
        <f t="shared" si="60"/>
        <v>0</v>
      </c>
      <c r="BK296" s="2">
        <f t="shared" si="60"/>
        <v>0</v>
      </c>
      <c r="BL296" s="2">
        <f t="shared" si="60"/>
        <v>0</v>
      </c>
      <c r="BM296" s="2">
        <f t="shared" si="60"/>
        <v>0</v>
      </c>
    </row>
    <row r="297" spans="50:65">
      <c r="AX297" s="2">
        <v>34</v>
      </c>
      <c r="AY297" s="2">
        <f t="shared" si="60"/>
        <v>3327.5</v>
      </c>
      <c r="AZ297" s="2">
        <f t="shared" si="60"/>
        <v>0.45700000000000002</v>
      </c>
      <c r="BA297" s="2">
        <f t="shared" si="60"/>
        <v>0</v>
      </c>
      <c r="BB297" s="2">
        <f t="shared" si="60"/>
        <v>732.85</v>
      </c>
      <c r="BC297" s="2">
        <f t="shared" si="60"/>
        <v>0.10550000000000001</v>
      </c>
      <c r="BD297" s="2">
        <f t="shared" si="60"/>
        <v>0</v>
      </c>
      <c r="BE297" s="2">
        <f t="shared" si="60"/>
        <v>310.89999999999998</v>
      </c>
      <c r="BF297" s="2">
        <f t="shared" si="60"/>
        <v>4.3999999999999997E-2</v>
      </c>
      <c r="BG297" s="2">
        <f t="shared" si="60"/>
        <v>0</v>
      </c>
      <c r="BH297" s="2">
        <f t="shared" si="60"/>
        <v>52.35</v>
      </c>
      <c r="BI297" s="2">
        <f t="shared" si="60"/>
        <v>8.9999999999999993E-3</v>
      </c>
      <c r="BJ297" s="2">
        <f t="shared" si="60"/>
        <v>0</v>
      </c>
      <c r="BK297" s="2">
        <f t="shared" si="60"/>
        <v>0</v>
      </c>
      <c r="BL297" s="2">
        <f t="shared" si="60"/>
        <v>0</v>
      </c>
      <c r="BM297" s="2">
        <f t="shared" si="60"/>
        <v>0</v>
      </c>
    </row>
    <row r="298" spans="50:65">
      <c r="AX298" s="2">
        <v>35</v>
      </c>
      <c r="AY298" s="2">
        <f t="shared" si="60"/>
        <v>3340.6</v>
      </c>
      <c r="AZ298" s="2">
        <f t="shared" si="60"/>
        <v>0.45925000000000005</v>
      </c>
      <c r="BA298" s="2">
        <f t="shared" si="60"/>
        <v>0</v>
      </c>
      <c r="BB298" s="2">
        <f t="shared" si="60"/>
        <v>745.9375</v>
      </c>
      <c r="BC298" s="2">
        <f t="shared" si="60"/>
        <v>0.107625</v>
      </c>
      <c r="BD298" s="2">
        <f t="shared" si="60"/>
        <v>0</v>
      </c>
      <c r="BE298" s="2">
        <f t="shared" si="60"/>
        <v>324</v>
      </c>
      <c r="BF298" s="2">
        <f t="shared" si="60"/>
        <v>4.6249999999999999E-2</v>
      </c>
      <c r="BG298" s="2">
        <f t="shared" si="60"/>
        <v>0</v>
      </c>
      <c r="BH298" s="2">
        <f t="shared" si="60"/>
        <v>65.4375</v>
      </c>
      <c r="BI298" s="2">
        <f t="shared" si="60"/>
        <v>1.125E-2</v>
      </c>
      <c r="BJ298" s="2">
        <f t="shared" si="60"/>
        <v>0</v>
      </c>
      <c r="BK298" s="2">
        <f t="shared" si="60"/>
        <v>0</v>
      </c>
      <c r="BL298" s="2">
        <f t="shared" si="60"/>
        <v>0</v>
      </c>
      <c r="BM298" s="2">
        <f t="shared" si="60"/>
        <v>0</v>
      </c>
    </row>
    <row r="299" spans="50:65">
      <c r="AX299" s="2">
        <v>36</v>
      </c>
      <c r="AY299" s="2">
        <f t="shared" si="60"/>
        <v>3353.7</v>
      </c>
      <c r="AZ299" s="2">
        <f t="shared" si="60"/>
        <v>0.46150000000000002</v>
      </c>
      <c r="BA299" s="2">
        <f t="shared" si="60"/>
        <v>0</v>
      </c>
      <c r="BB299" s="2">
        <f t="shared" si="60"/>
        <v>759.02500000000009</v>
      </c>
      <c r="BC299" s="2">
        <f t="shared" si="60"/>
        <v>0.10975</v>
      </c>
      <c r="BD299" s="2">
        <f t="shared" si="60"/>
        <v>0</v>
      </c>
      <c r="BE299" s="2">
        <f t="shared" si="60"/>
        <v>337.1</v>
      </c>
      <c r="BF299" s="2">
        <f t="shared" si="60"/>
        <v>4.8500000000000001E-2</v>
      </c>
      <c r="BG299" s="2">
        <f t="shared" si="60"/>
        <v>0</v>
      </c>
      <c r="BH299" s="2">
        <f t="shared" si="60"/>
        <v>78.525000000000006</v>
      </c>
      <c r="BI299" s="2">
        <f t="shared" si="60"/>
        <v>1.3499999999999998E-2</v>
      </c>
      <c r="BJ299" s="2">
        <f t="shared" si="60"/>
        <v>0</v>
      </c>
      <c r="BK299" s="2">
        <f t="shared" si="60"/>
        <v>0</v>
      </c>
      <c r="BL299" s="2">
        <f t="shared" si="60"/>
        <v>0</v>
      </c>
      <c r="BM299" s="2">
        <f t="shared" si="60"/>
        <v>0</v>
      </c>
    </row>
    <row r="300" spans="50:65">
      <c r="AX300" s="2">
        <v>37</v>
      </c>
      <c r="AY300" s="2">
        <f t="shared" si="60"/>
        <v>3366.8</v>
      </c>
      <c r="AZ300" s="2">
        <f t="shared" si="60"/>
        <v>0.46375</v>
      </c>
      <c r="BA300" s="2">
        <f t="shared" si="60"/>
        <v>0</v>
      </c>
      <c r="BB300" s="2">
        <f t="shared" si="60"/>
        <v>772.11250000000007</v>
      </c>
      <c r="BC300" s="2">
        <f t="shared" si="60"/>
        <v>0.111875</v>
      </c>
      <c r="BD300" s="2">
        <f t="shared" si="60"/>
        <v>0</v>
      </c>
      <c r="BE300" s="2">
        <f t="shared" si="60"/>
        <v>350.20000000000005</v>
      </c>
      <c r="BF300" s="2">
        <f t="shared" si="60"/>
        <v>5.0750000000000003E-2</v>
      </c>
      <c r="BG300" s="2">
        <f t="shared" si="60"/>
        <v>0</v>
      </c>
      <c r="BH300" s="2">
        <f t="shared" si="60"/>
        <v>91.612499999999997</v>
      </c>
      <c r="BI300" s="2">
        <f t="shared" si="60"/>
        <v>1.575E-2</v>
      </c>
      <c r="BJ300" s="2">
        <f t="shared" si="60"/>
        <v>0</v>
      </c>
      <c r="BK300" s="2">
        <f t="shared" si="60"/>
        <v>0</v>
      </c>
      <c r="BL300" s="2">
        <f t="shared" si="60"/>
        <v>0</v>
      </c>
      <c r="BM300" s="2">
        <f t="shared" si="60"/>
        <v>0</v>
      </c>
    </row>
    <row r="301" spans="50:65">
      <c r="AX301" s="2">
        <v>38</v>
      </c>
      <c r="AY301" s="2">
        <v>3379.9</v>
      </c>
      <c r="AZ301" s="250">
        <v>0.46600000000000003</v>
      </c>
      <c r="BA301" s="251">
        <v>0</v>
      </c>
      <c r="BB301" s="2">
        <v>785.2</v>
      </c>
      <c r="BC301" s="250">
        <v>0.114</v>
      </c>
      <c r="BD301" s="251">
        <v>0</v>
      </c>
      <c r="BE301" s="2">
        <v>363.3</v>
      </c>
      <c r="BF301" s="250">
        <v>5.2999999999999999E-2</v>
      </c>
      <c r="BG301" s="251">
        <v>0</v>
      </c>
      <c r="BH301" s="2">
        <v>104.7</v>
      </c>
      <c r="BI301" s="250">
        <v>1.7999999999999999E-2</v>
      </c>
      <c r="BJ301" s="251">
        <v>0</v>
      </c>
      <c r="BK301" s="251">
        <v>0</v>
      </c>
      <c r="BL301" s="251">
        <v>0</v>
      </c>
      <c r="BM301" s="251">
        <v>0</v>
      </c>
    </row>
    <row r="302" spans="50:65">
      <c r="AX302" s="2">
        <v>39</v>
      </c>
      <c r="AY302" s="293">
        <f t="shared" ref="AY302:BM311" si="61">((($AX302-$AX$301)*(AY$312-AY$301))/($AX$312-$AX$301))+AY$301</f>
        <v>3388.318181818182</v>
      </c>
      <c r="AZ302" s="293">
        <f t="shared" si="61"/>
        <v>0.46672727272727277</v>
      </c>
      <c r="BA302" s="605">
        <f t="shared" si="61"/>
        <v>0</v>
      </c>
      <c r="BB302" s="293">
        <f t="shared" si="61"/>
        <v>793.61818181818182</v>
      </c>
      <c r="BC302" s="293">
        <f t="shared" si="61"/>
        <v>0.11481818181818182</v>
      </c>
      <c r="BD302" s="605">
        <f t="shared" si="61"/>
        <v>0</v>
      </c>
      <c r="BE302" s="293">
        <f t="shared" si="61"/>
        <v>371.71818181818185</v>
      </c>
      <c r="BF302" s="293">
        <f t="shared" si="61"/>
        <v>5.3727272727272728E-2</v>
      </c>
      <c r="BG302" s="605">
        <f t="shared" si="61"/>
        <v>0</v>
      </c>
      <c r="BH302" s="293">
        <f t="shared" si="61"/>
        <v>113.11818181818182</v>
      </c>
      <c r="BI302" s="293">
        <f t="shared" si="61"/>
        <v>1.8727272727272724E-2</v>
      </c>
      <c r="BJ302" s="605">
        <f t="shared" si="61"/>
        <v>0</v>
      </c>
      <c r="BK302" s="293">
        <f t="shared" si="61"/>
        <v>8.418181818181818</v>
      </c>
      <c r="BL302" s="605">
        <f t="shared" si="61"/>
        <v>8.1818181818181816E-4</v>
      </c>
      <c r="BM302" s="605">
        <f t="shared" si="61"/>
        <v>0</v>
      </c>
    </row>
    <row r="303" spans="50:65">
      <c r="AX303" s="2">
        <v>40</v>
      </c>
      <c r="AY303" s="293">
        <f t="shared" si="61"/>
        <v>3396.7363636363639</v>
      </c>
      <c r="AZ303" s="293">
        <f t="shared" si="61"/>
        <v>0.46745454545454546</v>
      </c>
      <c r="BA303" s="605">
        <f t="shared" si="61"/>
        <v>0</v>
      </c>
      <c r="BB303" s="293">
        <f t="shared" si="61"/>
        <v>802.03636363636372</v>
      </c>
      <c r="BC303" s="293">
        <f t="shared" si="61"/>
        <v>0.11563636363636363</v>
      </c>
      <c r="BD303" s="605">
        <f t="shared" si="61"/>
        <v>0</v>
      </c>
      <c r="BE303" s="293">
        <f t="shared" si="61"/>
        <v>380.13636363636363</v>
      </c>
      <c r="BF303" s="293">
        <f t="shared" si="61"/>
        <v>5.445454545454545E-2</v>
      </c>
      <c r="BG303" s="605">
        <f t="shared" si="61"/>
        <v>0</v>
      </c>
      <c r="BH303" s="293">
        <f t="shared" si="61"/>
        <v>121.53636363636365</v>
      </c>
      <c r="BI303" s="293">
        <f t="shared" si="61"/>
        <v>1.9454545454545454E-2</v>
      </c>
      <c r="BJ303" s="605">
        <f t="shared" si="61"/>
        <v>0</v>
      </c>
      <c r="BK303" s="293">
        <f t="shared" si="61"/>
        <v>16.836363636363636</v>
      </c>
      <c r="BL303" s="605">
        <f t="shared" si="61"/>
        <v>1.6363636363636363E-3</v>
      </c>
      <c r="BM303" s="605">
        <f t="shared" si="61"/>
        <v>0</v>
      </c>
    </row>
    <row r="304" spans="50:65">
      <c r="AX304" s="2">
        <v>41</v>
      </c>
      <c r="AY304" s="293">
        <f t="shared" si="61"/>
        <v>3405.1545454545453</v>
      </c>
      <c r="AZ304" s="293">
        <f t="shared" si="61"/>
        <v>0.4681818181818182</v>
      </c>
      <c r="BA304" s="605">
        <f t="shared" si="61"/>
        <v>0</v>
      </c>
      <c r="BB304" s="293">
        <f t="shared" si="61"/>
        <v>810.4545454545455</v>
      </c>
      <c r="BC304" s="293">
        <f t="shared" si="61"/>
        <v>0.11645454545454546</v>
      </c>
      <c r="BD304" s="605">
        <f t="shared" si="61"/>
        <v>0</v>
      </c>
      <c r="BE304" s="293">
        <f t="shared" si="61"/>
        <v>388.55454545454546</v>
      </c>
      <c r="BF304" s="293">
        <f t="shared" si="61"/>
        <v>5.5181818181818179E-2</v>
      </c>
      <c r="BG304" s="605">
        <f t="shared" si="61"/>
        <v>0</v>
      </c>
      <c r="BH304" s="293">
        <f t="shared" si="61"/>
        <v>129.95454545454547</v>
      </c>
      <c r="BI304" s="293">
        <f t="shared" si="61"/>
        <v>2.0181818181818179E-2</v>
      </c>
      <c r="BJ304" s="605">
        <f t="shared" si="61"/>
        <v>0</v>
      </c>
      <c r="BK304" s="293">
        <f t="shared" si="61"/>
        <v>25.25454545454545</v>
      </c>
      <c r="BL304" s="605">
        <f t="shared" si="61"/>
        <v>2.454545454545454E-3</v>
      </c>
      <c r="BM304" s="605">
        <f t="shared" si="61"/>
        <v>0</v>
      </c>
    </row>
    <row r="305" spans="50:65">
      <c r="AX305" s="2">
        <v>42</v>
      </c>
      <c r="AY305" s="293">
        <f t="shared" si="61"/>
        <v>3413.5727272727272</v>
      </c>
      <c r="AZ305" s="293">
        <f t="shared" si="61"/>
        <v>0.46890909090909094</v>
      </c>
      <c r="BA305" s="605">
        <f t="shared" si="61"/>
        <v>0</v>
      </c>
      <c r="BB305" s="293">
        <f t="shared" si="61"/>
        <v>818.87272727272727</v>
      </c>
      <c r="BC305" s="293">
        <f t="shared" si="61"/>
        <v>0.11727272727272728</v>
      </c>
      <c r="BD305" s="605">
        <f t="shared" si="61"/>
        <v>0</v>
      </c>
      <c r="BE305" s="293">
        <f t="shared" si="61"/>
        <v>396.9727272727273</v>
      </c>
      <c r="BF305" s="293">
        <f t="shared" si="61"/>
        <v>5.5909090909090908E-2</v>
      </c>
      <c r="BG305" s="605">
        <f t="shared" si="61"/>
        <v>0</v>
      </c>
      <c r="BH305" s="293">
        <f t="shared" si="61"/>
        <v>138.37272727272727</v>
      </c>
      <c r="BI305" s="293">
        <f t="shared" si="61"/>
        <v>2.0909090909090908E-2</v>
      </c>
      <c r="BJ305" s="605">
        <f t="shared" si="61"/>
        <v>0</v>
      </c>
      <c r="BK305" s="293">
        <f t="shared" si="61"/>
        <v>33.672727272727272</v>
      </c>
      <c r="BL305" s="605">
        <f t="shared" si="61"/>
        <v>3.2727272727272726E-3</v>
      </c>
      <c r="BM305" s="605">
        <f t="shared" si="61"/>
        <v>0</v>
      </c>
    </row>
    <row r="306" spans="50:65">
      <c r="AX306" s="2">
        <v>43</v>
      </c>
      <c r="AY306" s="293">
        <f t="shared" si="61"/>
        <v>3421.9909090909091</v>
      </c>
      <c r="AZ306" s="293">
        <f t="shared" si="61"/>
        <v>0.46963636363636363</v>
      </c>
      <c r="BA306" s="605">
        <f t="shared" si="61"/>
        <v>0</v>
      </c>
      <c r="BB306" s="293">
        <f t="shared" si="61"/>
        <v>827.29090909090905</v>
      </c>
      <c r="BC306" s="293">
        <f t="shared" si="61"/>
        <v>0.11809090909090909</v>
      </c>
      <c r="BD306" s="605">
        <f t="shared" si="61"/>
        <v>0</v>
      </c>
      <c r="BE306" s="293">
        <f t="shared" si="61"/>
        <v>405.39090909090908</v>
      </c>
      <c r="BF306" s="293">
        <f t="shared" si="61"/>
        <v>5.6636363636363637E-2</v>
      </c>
      <c r="BG306" s="605">
        <f t="shared" si="61"/>
        <v>0</v>
      </c>
      <c r="BH306" s="293">
        <f t="shared" si="61"/>
        <v>146.79090909090911</v>
      </c>
      <c r="BI306" s="293">
        <f t="shared" si="61"/>
        <v>2.1636363636363634E-2</v>
      </c>
      <c r="BJ306" s="605">
        <f t="shared" si="61"/>
        <v>0</v>
      </c>
      <c r="BK306" s="293">
        <f t="shared" si="61"/>
        <v>42.090909090909093</v>
      </c>
      <c r="BL306" s="605">
        <f t="shared" si="61"/>
        <v>4.0909090909090904E-3</v>
      </c>
      <c r="BM306" s="605">
        <f t="shared" si="61"/>
        <v>0</v>
      </c>
    </row>
    <row r="307" spans="50:65">
      <c r="AX307" s="2">
        <v>44</v>
      </c>
      <c r="AY307" s="293">
        <f t="shared" si="61"/>
        <v>3430.409090909091</v>
      </c>
      <c r="AZ307" s="293">
        <f t="shared" si="61"/>
        <v>0.47036363636363637</v>
      </c>
      <c r="BA307" s="605">
        <f t="shared" si="61"/>
        <v>0</v>
      </c>
      <c r="BB307" s="293">
        <f t="shared" si="61"/>
        <v>835.70909090909095</v>
      </c>
      <c r="BC307" s="293">
        <f t="shared" si="61"/>
        <v>0.11890909090909091</v>
      </c>
      <c r="BD307" s="605">
        <f t="shared" si="61"/>
        <v>0</v>
      </c>
      <c r="BE307" s="293">
        <f t="shared" si="61"/>
        <v>413.80909090909091</v>
      </c>
      <c r="BF307" s="293">
        <f t="shared" si="61"/>
        <v>5.736363636363636E-2</v>
      </c>
      <c r="BG307" s="605">
        <f t="shared" si="61"/>
        <v>0</v>
      </c>
      <c r="BH307" s="293">
        <f t="shared" si="61"/>
        <v>155.20909090909092</v>
      </c>
      <c r="BI307" s="293">
        <f t="shared" si="61"/>
        <v>2.2363636363636363E-2</v>
      </c>
      <c r="BJ307" s="605">
        <f t="shared" si="61"/>
        <v>0</v>
      </c>
      <c r="BK307" s="293">
        <f t="shared" si="61"/>
        <v>50.509090909090901</v>
      </c>
      <c r="BL307" s="605">
        <f t="shared" si="61"/>
        <v>4.9090909090909081E-3</v>
      </c>
      <c r="BM307" s="605">
        <f t="shared" si="61"/>
        <v>0</v>
      </c>
    </row>
    <row r="308" spans="50:65">
      <c r="AX308" s="2">
        <v>45</v>
      </c>
      <c r="AY308" s="293">
        <f t="shared" si="61"/>
        <v>3438.8272727272729</v>
      </c>
      <c r="AZ308" s="293">
        <f t="shared" si="61"/>
        <v>0.47109090909090906</v>
      </c>
      <c r="BA308" s="605">
        <f t="shared" si="61"/>
        <v>0</v>
      </c>
      <c r="BB308" s="293">
        <f t="shared" si="61"/>
        <v>844.12727272727273</v>
      </c>
      <c r="BC308" s="293">
        <f t="shared" si="61"/>
        <v>0.11972727272727272</v>
      </c>
      <c r="BD308" s="605">
        <f t="shared" si="61"/>
        <v>0</v>
      </c>
      <c r="BE308" s="293">
        <f t="shared" si="61"/>
        <v>422.22727272727275</v>
      </c>
      <c r="BF308" s="293">
        <f t="shared" si="61"/>
        <v>5.8090909090909089E-2</v>
      </c>
      <c r="BG308" s="605">
        <f t="shared" si="61"/>
        <v>0</v>
      </c>
      <c r="BH308" s="293">
        <f t="shared" si="61"/>
        <v>163.62727272727273</v>
      </c>
      <c r="BI308" s="293">
        <f t="shared" si="61"/>
        <v>2.3090909090909089E-2</v>
      </c>
      <c r="BJ308" s="605">
        <f t="shared" si="61"/>
        <v>0</v>
      </c>
      <c r="BK308" s="293">
        <f t="shared" si="61"/>
        <v>58.927272727272722</v>
      </c>
      <c r="BL308" s="605">
        <f t="shared" si="61"/>
        <v>5.7272727272727275E-3</v>
      </c>
      <c r="BM308" s="605">
        <f t="shared" si="61"/>
        <v>0</v>
      </c>
    </row>
    <row r="309" spans="50:65">
      <c r="AX309" s="2">
        <v>46</v>
      </c>
      <c r="AY309" s="293">
        <f t="shared" si="61"/>
        <v>3447.2454545454548</v>
      </c>
      <c r="AZ309" s="293">
        <f t="shared" si="61"/>
        <v>0.4718181818181818</v>
      </c>
      <c r="BA309" s="605">
        <f t="shared" si="61"/>
        <v>0</v>
      </c>
      <c r="BB309" s="293">
        <f t="shared" si="61"/>
        <v>852.5454545454545</v>
      </c>
      <c r="BC309" s="293">
        <f t="shared" si="61"/>
        <v>0.12054545454545454</v>
      </c>
      <c r="BD309" s="605">
        <f t="shared" si="61"/>
        <v>0</v>
      </c>
      <c r="BE309" s="293">
        <f t="shared" si="61"/>
        <v>430.64545454545453</v>
      </c>
      <c r="BF309" s="293">
        <f t="shared" si="61"/>
        <v>5.8818181818181818E-2</v>
      </c>
      <c r="BG309" s="605">
        <f t="shared" si="61"/>
        <v>0</v>
      </c>
      <c r="BH309" s="293">
        <f t="shared" si="61"/>
        <v>172.04545454545456</v>
      </c>
      <c r="BI309" s="293">
        <f t="shared" si="61"/>
        <v>2.3818181818181818E-2</v>
      </c>
      <c r="BJ309" s="605">
        <f t="shared" si="61"/>
        <v>0</v>
      </c>
      <c r="BK309" s="293">
        <f t="shared" si="61"/>
        <v>67.345454545454544</v>
      </c>
      <c r="BL309" s="605">
        <f t="shared" si="61"/>
        <v>6.5454545454545453E-3</v>
      </c>
      <c r="BM309" s="605">
        <f t="shared" si="61"/>
        <v>0</v>
      </c>
    </row>
    <row r="310" spans="50:65">
      <c r="AX310" s="2">
        <v>47</v>
      </c>
      <c r="AY310" s="293">
        <f t="shared" si="61"/>
        <v>3455.6636363636362</v>
      </c>
      <c r="AZ310" s="293">
        <f t="shared" si="61"/>
        <v>0.47254545454545455</v>
      </c>
      <c r="BA310" s="605">
        <f t="shared" si="61"/>
        <v>0</v>
      </c>
      <c r="BB310" s="293">
        <f t="shared" si="61"/>
        <v>860.9636363636364</v>
      </c>
      <c r="BC310" s="293">
        <f t="shared" si="61"/>
        <v>0.12136363636363637</v>
      </c>
      <c r="BD310" s="605">
        <f t="shared" si="61"/>
        <v>0</v>
      </c>
      <c r="BE310" s="293">
        <f t="shared" si="61"/>
        <v>439.06363636363636</v>
      </c>
      <c r="BF310" s="293">
        <f t="shared" si="61"/>
        <v>5.9545454545454547E-2</v>
      </c>
      <c r="BG310" s="605">
        <f t="shared" si="61"/>
        <v>0</v>
      </c>
      <c r="BH310" s="293">
        <f t="shared" si="61"/>
        <v>180.46363636363637</v>
      </c>
      <c r="BI310" s="293">
        <f t="shared" si="61"/>
        <v>2.4545454545454544E-2</v>
      </c>
      <c r="BJ310" s="605">
        <f t="shared" si="61"/>
        <v>0</v>
      </c>
      <c r="BK310" s="293">
        <f t="shared" si="61"/>
        <v>75.763636363636365</v>
      </c>
      <c r="BL310" s="605">
        <f t="shared" si="61"/>
        <v>7.363636363636363E-3</v>
      </c>
      <c r="BM310" s="605">
        <f t="shared" si="61"/>
        <v>0</v>
      </c>
    </row>
    <row r="311" spans="50:65">
      <c r="AX311" s="2">
        <v>48</v>
      </c>
      <c r="AY311" s="293">
        <f t="shared" si="61"/>
        <v>3464.0818181818181</v>
      </c>
      <c r="AZ311" s="293">
        <f t="shared" si="61"/>
        <v>0.47327272727272723</v>
      </c>
      <c r="BA311" s="605">
        <f t="shared" si="61"/>
        <v>0</v>
      </c>
      <c r="BB311" s="293">
        <f t="shared" si="61"/>
        <v>869.38181818181818</v>
      </c>
      <c r="BC311" s="293">
        <f t="shared" si="61"/>
        <v>0.12218181818181818</v>
      </c>
      <c r="BD311" s="605">
        <f t="shared" si="61"/>
        <v>0</v>
      </c>
      <c r="BE311" s="293">
        <f t="shared" si="61"/>
        <v>447.48181818181814</v>
      </c>
      <c r="BF311" s="293">
        <f t="shared" si="61"/>
        <v>6.0272727272727269E-2</v>
      </c>
      <c r="BG311" s="605">
        <f t="shared" si="61"/>
        <v>0</v>
      </c>
      <c r="BH311" s="293">
        <f t="shared" si="61"/>
        <v>188.88181818181818</v>
      </c>
      <c r="BI311" s="293">
        <f t="shared" si="61"/>
        <v>2.5272727272727273E-2</v>
      </c>
      <c r="BJ311" s="605">
        <f t="shared" si="61"/>
        <v>0</v>
      </c>
      <c r="BK311" s="293">
        <f t="shared" si="61"/>
        <v>84.181818181818187</v>
      </c>
      <c r="BL311" s="605">
        <f t="shared" si="61"/>
        <v>8.1818181818181807E-3</v>
      </c>
      <c r="BM311" s="605">
        <f t="shared" si="61"/>
        <v>0</v>
      </c>
    </row>
    <row r="312" spans="50:65">
      <c r="AX312" s="2">
        <v>49</v>
      </c>
      <c r="AY312" s="2">
        <v>3472.5</v>
      </c>
      <c r="AZ312" s="250">
        <v>0.47399999999999998</v>
      </c>
      <c r="BA312" s="251">
        <v>0</v>
      </c>
      <c r="BB312" s="2">
        <v>877.8</v>
      </c>
      <c r="BC312" s="250">
        <v>0.123</v>
      </c>
      <c r="BD312" s="251">
        <v>0</v>
      </c>
      <c r="BE312" s="2">
        <v>455.9</v>
      </c>
      <c r="BF312" s="250">
        <v>6.0999999999999999E-2</v>
      </c>
      <c r="BG312" s="251"/>
      <c r="BH312" s="2">
        <v>197.3</v>
      </c>
      <c r="BI312" s="250">
        <v>2.5999999999999999E-2</v>
      </c>
      <c r="BJ312" s="251"/>
      <c r="BK312" s="2">
        <v>92.6</v>
      </c>
      <c r="BL312" s="250">
        <v>8.9999999999999993E-3</v>
      </c>
      <c r="BM312" s="251">
        <v>0</v>
      </c>
    </row>
    <row r="313" spans="50:65">
      <c r="AX313" s="2">
        <v>50</v>
      </c>
      <c r="AY313" s="293">
        <f t="shared" ref="AY313:BM322" si="62">((($AX313-$AX$312)*(AY$323-AY$312))/($AX$323-$AX$312))+AY$312</f>
        <v>3477.8363636363638</v>
      </c>
      <c r="AZ313" s="293">
        <f t="shared" si="62"/>
        <v>0.47481818181818181</v>
      </c>
      <c r="BA313" s="605">
        <f t="shared" si="62"/>
        <v>0</v>
      </c>
      <c r="BB313" s="293">
        <f t="shared" si="62"/>
        <v>883.14545454545453</v>
      </c>
      <c r="BC313" s="293">
        <f t="shared" si="62"/>
        <v>0.12381818181818181</v>
      </c>
      <c r="BD313" s="605">
        <f t="shared" si="62"/>
        <v>0</v>
      </c>
      <c r="BE313" s="293">
        <f t="shared" si="62"/>
        <v>461.23636363636359</v>
      </c>
      <c r="BF313" s="293">
        <f t="shared" si="62"/>
        <v>6.1818181818181821E-2</v>
      </c>
      <c r="BG313" s="605">
        <f t="shared" si="62"/>
        <v>0</v>
      </c>
      <c r="BH313" s="293">
        <f t="shared" si="62"/>
        <v>202.64545454545456</v>
      </c>
      <c r="BI313" s="293">
        <f t="shared" si="62"/>
        <v>2.6818181818181817E-2</v>
      </c>
      <c r="BJ313" s="605">
        <f t="shared" si="62"/>
        <v>0</v>
      </c>
      <c r="BK313" s="293">
        <f t="shared" si="62"/>
        <v>97.945454545454538</v>
      </c>
      <c r="BL313" s="293">
        <f t="shared" si="62"/>
        <v>9.8181818181818179E-3</v>
      </c>
      <c r="BM313" s="605">
        <f t="shared" si="62"/>
        <v>0</v>
      </c>
    </row>
    <row r="314" spans="50:65">
      <c r="AX314" s="2">
        <v>51</v>
      </c>
      <c r="AY314" s="293">
        <f t="shared" si="62"/>
        <v>3483.1727272727271</v>
      </c>
      <c r="AZ314" s="293">
        <f t="shared" si="62"/>
        <v>0.47563636363636363</v>
      </c>
      <c r="BA314" s="605">
        <f t="shared" si="62"/>
        <v>0</v>
      </c>
      <c r="BB314" s="293">
        <f t="shared" si="62"/>
        <v>888.4909090909091</v>
      </c>
      <c r="BC314" s="293">
        <f t="shared" si="62"/>
        <v>0.12463636363636364</v>
      </c>
      <c r="BD314" s="605">
        <f t="shared" si="62"/>
        <v>0</v>
      </c>
      <c r="BE314" s="293">
        <f t="shared" si="62"/>
        <v>466.57272727272726</v>
      </c>
      <c r="BF314" s="293">
        <f t="shared" si="62"/>
        <v>6.2636363636363643E-2</v>
      </c>
      <c r="BG314" s="605">
        <f t="shared" si="62"/>
        <v>0</v>
      </c>
      <c r="BH314" s="293">
        <f t="shared" si="62"/>
        <v>207.9909090909091</v>
      </c>
      <c r="BI314" s="293">
        <f t="shared" si="62"/>
        <v>2.7636363636363636E-2</v>
      </c>
      <c r="BJ314" s="605">
        <f t="shared" si="62"/>
        <v>0</v>
      </c>
      <c r="BK314" s="293">
        <f t="shared" si="62"/>
        <v>103.29090909090908</v>
      </c>
      <c r="BL314" s="293">
        <f t="shared" si="62"/>
        <v>1.0636363636363635E-2</v>
      </c>
      <c r="BM314" s="605">
        <f t="shared" si="62"/>
        <v>0</v>
      </c>
    </row>
    <row r="315" spans="50:65">
      <c r="AX315" s="2">
        <v>52</v>
      </c>
      <c r="AY315" s="293">
        <f t="shared" si="62"/>
        <v>3488.5090909090909</v>
      </c>
      <c r="AZ315" s="293">
        <f t="shared" si="62"/>
        <v>0.47645454545454541</v>
      </c>
      <c r="BA315" s="605">
        <f t="shared" si="62"/>
        <v>0</v>
      </c>
      <c r="BB315" s="293">
        <f t="shared" si="62"/>
        <v>893.83636363636356</v>
      </c>
      <c r="BC315" s="293">
        <f t="shared" si="62"/>
        <v>0.12545454545454546</v>
      </c>
      <c r="BD315" s="605">
        <f t="shared" si="62"/>
        <v>0</v>
      </c>
      <c r="BE315" s="293">
        <f t="shared" si="62"/>
        <v>471.90909090909088</v>
      </c>
      <c r="BF315" s="293">
        <f t="shared" si="62"/>
        <v>6.3454545454545458E-2</v>
      </c>
      <c r="BG315" s="605">
        <f t="shared" si="62"/>
        <v>0</v>
      </c>
      <c r="BH315" s="293">
        <f t="shared" si="62"/>
        <v>213.33636363636364</v>
      </c>
      <c r="BI315" s="293">
        <f t="shared" si="62"/>
        <v>2.8454545454545455E-2</v>
      </c>
      <c r="BJ315" s="605">
        <f t="shared" si="62"/>
        <v>0</v>
      </c>
      <c r="BK315" s="293">
        <f t="shared" si="62"/>
        <v>108.63636363636363</v>
      </c>
      <c r="BL315" s="293">
        <f t="shared" si="62"/>
        <v>1.1454545454545453E-2</v>
      </c>
      <c r="BM315" s="605">
        <f t="shared" si="62"/>
        <v>0</v>
      </c>
    </row>
    <row r="316" spans="50:65">
      <c r="AX316" s="2">
        <v>53</v>
      </c>
      <c r="AY316" s="293">
        <f t="shared" si="62"/>
        <v>3493.8454545454547</v>
      </c>
      <c r="AZ316" s="293">
        <f t="shared" si="62"/>
        <v>0.47727272727272724</v>
      </c>
      <c r="BA316" s="605">
        <f t="shared" si="62"/>
        <v>0</v>
      </c>
      <c r="BB316" s="293">
        <f t="shared" si="62"/>
        <v>899.18181818181813</v>
      </c>
      <c r="BC316" s="293">
        <f t="shared" si="62"/>
        <v>0.12627272727272729</v>
      </c>
      <c r="BD316" s="605">
        <f t="shared" si="62"/>
        <v>0</v>
      </c>
      <c r="BE316" s="293">
        <f t="shared" si="62"/>
        <v>477.24545454545455</v>
      </c>
      <c r="BF316" s="293">
        <f t="shared" si="62"/>
        <v>6.4272727272727273E-2</v>
      </c>
      <c r="BG316" s="605">
        <f t="shared" si="62"/>
        <v>0</v>
      </c>
      <c r="BH316" s="293">
        <f t="shared" si="62"/>
        <v>218.68181818181819</v>
      </c>
      <c r="BI316" s="293">
        <f t="shared" si="62"/>
        <v>2.9272727272727273E-2</v>
      </c>
      <c r="BJ316" s="605">
        <f t="shared" si="62"/>
        <v>0</v>
      </c>
      <c r="BK316" s="293">
        <f t="shared" si="62"/>
        <v>113.98181818181818</v>
      </c>
      <c r="BL316" s="293">
        <f t="shared" si="62"/>
        <v>1.2272727272727272E-2</v>
      </c>
      <c r="BM316" s="605">
        <f t="shared" si="62"/>
        <v>0</v>
      </c>
    </row>
    <row r="317" spans="50:65">
      <c r="AX317" s="2">
        <v>54</v>
      </c>
      <c r="AY317" s="293">
        <f t="shared" si="62"/>
        <v>3499.181818181818</v>
      </c>
      <c r="AZ317" s="293">
        <f t="shared" si="62"/>
        <v>0.47809090909090907</v>
      </c>
      <c r="BA317" s="605">
        <f t="shared" si="62"/>
        <v>0</v>
      </c>
      <c r="BB317" s="293">
        <f t="shared" si="62"/>
        <v>904.5272727272727</v>
      </c>
      <c r="BC317" s="293">
        <f t="shared" si="62"/>
        <v>0.12709090909090909</v>
      </c>
      <c r="BD317" s="605">
        <f t="shared" si="62"/>
        <v>0</v>
      </c>
      <c r="BE317" s="293">
        <f t="shared" si="62"/>
        <v>482.58181818181816</v>
      </c>
      <c r="BF317" s="293">
        <f t="shared" si="62"/>
        <v>6.5090909090909088E-2</v>
      </c>
      <c r="BG317" s="605">
        <f t="shared" si="62"/>
        <v>0</v>
      </c>
      <c r="BH317" s="293">
        <f t="shared" si="62"/>
        <v>224.02727272727276</v>
      </c>
      <c r="BI317" s="293">
        <f t="shared" si="62"/>
        <v>3.0090909090909092E-2</v>
      </c>
      <c r="BJ317" s="605">
        <f t="shared" si="62"/>
        <v>0</v>
      </c>
      <c r="BK317" s="293">
        <f t="shared" si="62"/>
        <v>119.32727272727273</v>
      </c>
      <c r="BL317" s="293">
        <f t="shared" si="62"/>
        <v>1.3090909090909091E-2</v>
      </c>
      <c r="BM317" s="605">
        <f t="shared" si="62"/>
        <v>0</v>
      </c>
    </row>
    <row r="318" spans="50:65">
      <c r="AX318" s="2">
        <v>55</v>
      </c>
      <c r="AY318" s="293">
        <f t="shared" si="62"/>
        <v>3504.5181818181818</v>
      </c>
      <c r="AZ318" s="293">
        <f t="shared" si="62"/>
        <v>0.4789090909090909</v>
      </c>
      <c r="BA318" s="605">
        <f t="shared" si="62"/>
        <v>0</v>
      </c>
      <c r="BB318" s="293">
        <f t="shared" si="62"/>
        <v>909.87272727272727</v>
      </c>
      <c r="BC318" s="293">
        <f t="shared" si="62"/>
        <v>0.12790909090909092</v>
      </c>
      <c r="BD318" s="605">
        <f t="shared" si="62"/>
        <v>0</v>
      </c>
      <c r="BE318" s="293">
        <f t="shared" si="62"/>
        <v>487.91818181818184</v>
      </c>
      <c r="BF318" s="293">
        <f t="shared" si="62"/>
        <v>6.5909090909090917E-2</v>
      </c>
      <c r="BG318" s="605">
        <f t="shared" si="62"/>
        <v>0</v>
      </c>
      <c r="BH318" s="293">
        <f t="shared" si="62"/>
        <v>229.37272727272727</v>
      </c>
      <c r="BI318" s="293">
        <f t="shared" si="62"/>
        <v>3.090909090909091E-2</v>
      </c>
      <c r="BJ318" s="605">
        <f t="shared" si="62"/>
        <v>0</v>
      </c>
      <c r="BK318" s="293">
        <f t="shared" si="62"/>
        <v>124.67272727272727</v>
      </c>
      <c r="BL318" s="293">
        <f t="shared" si="62"/>
        <v>1.3909090909090907E-2</v>
      </c>
      <c r="BM318" s="605">
        <f t="shared" si="62"/>
        <v>0</v>
      </c>
    </row>
    <row r="319" spans="50:65">
      <c r="AX319" s="2">
        <v>56</v>
      </c>
      <c r="AY319" s="293">
        <f t="shared" si="62"/>
        <v>3509.8545454545451</v>
      </c>
      <c r="AZ319" s="293">
        <f t="shared" si="62"/>
        <v>0.47972727272727272</v>
      </c>
      <c r="BA319" s="605">
        <f t="shared" si="62"/>
        <v>0</v>
      </c>
      <c r="BB319" s="293">
        <f t="shared" si="62"/>
        <v>915.21818181818185</v>
      </c>
      <c r="BC319" s="293">
        <f t="shared" si="62"/>
        <v>0.12872727272727272</v>
      </c>
      <c r="BD319" s="605">
        <f t="shared" si="62"/>
        <v>0</v>
      </c>
      <c r="BE319" s="293">
        <f t="shared" si="62"/>
        <v>493.25454545454545</v>
      </c>
      <c r="BF319" s="293">
        <f t="shared" si="62"/>
        <v>6.6727272727272732E-2</v>
      </c>
      <c r="BG319" s="605">
        <f t="shared" si="62"/>
        <v>0</v>
      </c>
      <c r="BH319" s="293">
        <f t="shared" si="62"/>
        <v>234.71818181818185</v>
      </c>
      <c r="BI319" s="293">
        <f t="shared" si="62"/>
        <v>3.1727272727272729E-2</v>
      </c>
      <c r="BJ319" s="605">
        <f t="shared" si="62"/>
        <v>0</v>
      </c>
      <c r="BK319" s="293">
        <f t="shared" si="62"/>
        <v>130.01818181818183</v>
      </c>
      <c r="BL319" s="293">
        <f t="shared" si="62"/>
        <v>1.4727272727272728E-2</v>
      </c>
      <c r="BM319" s="605">
        <f t="shared" si="62"/>
        <v>0</v>
      </c>
    </row>
    <row r="320" spans="50:65">
      <c r="AX320" s="2">
        <v>57</v>
      </c>
      <c r="AY320" s="293">
        <f t="shared" si="62"/>
        <v>3515.1909090909089</v>
      </c>
      <c r="AZ320" s="293">
        <f t="shared" si="62"/>
        <v>0.48054545454545455</v>
      </c>
      <c r="BA320" s="605">
        <f t="shared" si="62"/>
        <v>0</v>
      </c>
      <c r="BB320" s="293">
        <f t="shared" si="62"/>
        <v>920.56363636363642</v>
      </c>
      <c r="BC320" s="293">
        <f t="shared" si="62"/>
        <v>0.12954545454545455</v>
      </c>
      <c r="BD320" s="605">
        <f t="shared" si="62"/>
        <v>0</v>
      </c>
      <c r="BE320" s="293">
        <f t="shared" si="62"/>
        <v>498.59090909090912</v>
      </c>
      <c r="BF320" s="293">
        <f t="shared" si="62"/>
        <v>6.7545454545454547E-2</v>
      </c>
      <c r="BG320" s="605">
        <f t="shared" si="62"/>
        <v>0</v>
      </c>
      <c r="BH320" s="293">
        <f t="shared" si="62"/>
        <v>240.06363636363639</v>
      </c>
      <c r="BI320" s="293">
        <f t="shared" si="62"/>
        <v>3.2545454545454544E-2</v>
      </c>
      <c r="BJ320" s="605">
        <f t="shared" si="62"/>
        <v>0</v>
      </c>
      <c r="BK320" s="293">
        <f t="shared" si="62"/>
        <v>135.36363636363637</v>
      </c>
      <c r="BL320" s="293">
        <f t="shared" si="62"/>
        <v>1.5545454545454545E-2</v>
      </c>
      <c r="BM320" s="605">
        <f t="shared" si="62"/>
        <v>0</v>
      </c>
    </row>
    <row r="321" spans="50:65">
      <c r="AX321" s="2">
        <v>58</v>
      </c>
      <c r="AY321" s="293">
        <f t="shared" si="62"/>
        <v>3520.5272727272727</v>
      </c>
      <c r="AZ321" s="293">
        <f t="shared" si="62"/>
        <v>0.48136363636363633</v>
      </c>
      <c r="BA321" s="605">
        <f t="shared" si="62"/>
        <v>0</v>
      </c>
      <c r="BB321" s="293">
        <f t="shared" si="62"/>
        <v>925.90909090909088</v>
      </c>
      <c r="BC321" s="293">
        <f t="shared" si="62"/>
        <v>0.13036363636363638</v>
      </c>
      <c r="BD321" s="605">
        <f t="shared" si="62"/>
        <v>0</v>
      </c>
      <c r="BE321" s="293">
        <f t="shared" si="62"/>
        <v>503.92727272727274</v>
      </c>
      <c r="BF321" s="293">
        <f t="shared" si="62"/>
        <v>6.8363636363636363E-2</v>
      </c>
      <c r="BG321" s="605">
        <f t="shared" si="62"/>
        <v>0</v>
      </c>
      <c r="BH321" s="293">
        <f t="shared" si="62"/>
        <v>245.40909090909093</v>
      </c>
      <c r="BI321" s="293">
        <f t="shared" si="62"/>
        <v>3.3363636363636366E-2</v>
      </c>
      <c r="BJ321" s="605">
        <f t="shared" si="62"/>
        <v>0</v>
      </c>
      <c r="BK321" s="293">
        <f t="shared" si="62"/>
        <v>140.70909090909092</v>
      </c>
      <c r="BL321" s="293">
        <f t="shared" si="62"/>
        <v>1.6363636363636361E-2</v>
      </c>
      <c r="BM321" s="605">
        <f t="shared" si="62"/>
        <v>0</v>
      </c>
    </row>
    <row r="322" spans="50:65">
      <c r="AX322" s="2">
        <v>59</v>
      </c>
      <c r="AY322" s="293">
        <f t="shared" si="62"/>
        <v>3525.863636363636</v>
      </c>
      <c r="AZ322" s="293">
        <f t="shared" si="62"/>
        <v>0.48218181818181816</v>
      </c>
      <c r="BA322" s="605">
        <f t="shared" si="62"/>
        <v>0</v>
      </c>
      <c r="BB322" s="293">
        <f t="shared" si="62"/>
        <v>931.25454545454545</v>
      </c>
      <c r="BC322" s="293">
        <f t="shared" si="62"/>
        <v>0.13118181818181818</v>
      </c>
      <c r="BD322" s="605">
        <f t="shared" si="62"/>
        <v>0</v>
      </c>
      <c r="BE322" s="293">
        <f t="shared" si="62"/>
        <v>509.26363636363635</v>
      </c>
      <c r="BF322" s="293">
        <f t="shared" si="62"/>
        <v>6.9181818181818192E-2</v>
      </c>
      <c r="BG322" s="605">
        <f t="shared" si="62"/>
        <v>0</v>
      </c>
      <c r="BH322" s="293">
        <f t="shared" si="62"/>
        <v>250.75454545454548</v>
      </c>
      <c r="BI322" s="293">
        <f t="shared" si="62"/>
        <v>3.4181818181818188E-2</v>
      </c>
      <c r="BJ322" s="605">
        <f t="shared" si="62"/>
        <v>0</v>
      </c>
      <c r="BK322" s="293">
        <f t="shared" si="62"/>
        <v>146.05454545454546</v>
      </c>
      <c r="BL322" s="293">
        <f t="shared" si="62"/>
        <v>1.718181818181818E-2</v>
      </c>
      <c r="BM322" s="605">
        <f t="shared" si="62"/>
        <v>0</v>
      </c>
    </row>
    <row r="323" spans="50:65">
      <c r="AX323" s="2">
        <v>60</v>
      </c>
      <c r="AY323" s="2">
        <v>3531.2</v>
      </c>
      <c r="AZ323" s="250">
        <v>0.48299999999999998</v>
      </c>
      <c r="BA323" s="251">
        <v>0</v>
      </c>
      <c r="BB323" s="2">
        <v>936.6</v>
      </c>
      <c r="BC323" s="250">
        <v>0.13200000000000001</v>
      </c>
      <c r="BD323" s="251">
        <v>0</v>
      </c>
      <c r="BE323" s="2">
        <v>514.6</v>
      </c>
      <c r="BF323" s="250">
        <v>7.0000000000000007E-2</v>
      </c>
      <c r="BG323" s="251">
        <v>0</v>
      </c>
      <c r="BH323" s="2">
        <v>256.10000000000002</v>
      </c>
      <c r="BI323" s="250">
        <v>3.5000000000000003E-2</v>
      </c>
      <c r="BJ323" s="251">
        <v>0</v>
      </c>
      <c r="BK323" s="2">
        <v>151.4</v>
      </c>
      <c r="BL323" s="250">
        <v>1.7999999999999999E-2</v>
      </c>
      <c r="BM323" s="251">
        <v>0</v>
      </c>
    </row>
    <row r="328" spans="50:65">
      <c r="AX328" s="574" t="s">
        <v>1618</v>
      </c>
    </row>
    <row r="329" spans="50:65">
      <c r="AX329" s="2" t="s">
        <v>1552</v>
      </c>
      <c r="AY329" s="585">
        <v>0</v>
      </c>
      <c r="AZ329" s="585"/>
      <c r="BA329" s="585"/>
      <c r="BB329" s="585">
        <v>11</v>
      </c>
      <c r="BC329" s="585"/>
      <c r="BD329" s="585"/>
      <c r="BE329" s="585">
        <v>19</v>
      </c>
      <c r="BF329" s="585"/>
      <c r="BG329" s="585"/>
      <c r="BH329" s="585">
        <v>30</v>
      </c>
      <c r="BI329" s="585"/>
      <c r="BJ329" s="585"/>
      <c r="BK329" s="585">
        <v>38</v>
      </c>
      <c r="BL329" s="585"/>
      <c r="BM329" s="585"/>
    </row>
    <row r="330" spans="50:65">
      <c r="AX330" s="2" t="s">
        <v>1553</v>
      </c>
      <c r="AY330" s="2" t="s">
        <v>1554</v>
      </c>
      <c r="AZ330" s="586" t="s">
        <v>1555</v>
      </c>
      <c r="BA330" s="587"/>
      <c r="BB330" s="2" t="s">
        <v>1554</v>
      </c>
      <c r="BC330" s="586" t="s">
        <v>1555</v>
      </c>
      <c r="BD330" s="587"/>
      <c r="BE330" s="2" t="s">
        <v>1554</v>
      </c>
      <c r="BF330" s="586" t="s">
        <v>1555</v>
      </c>
      <c r="BG330" s="587"/>
      <c r="BH330" s="2" t="s">
        <v>1554</v>
      </c>
      <c r="BI330" s="586" t="s">
        <v>1555</v>
      </c>
      <c r="BJ330" s="587"/>
      <c r="BK330" s="2" t="s">
        <v>1554</v>
      </c>
      <c r="BL330" s="586" t="s">
        <v>1555</v>
      </c>
      <c r="BM330" s="587"/>
    </row>
    <row r="331" spans="50:65">
      <c r="AX331" s="2">
        <v>11</v>
      </c>
      <c r="AY331" s="2">
        <v>3591.8</v>
      </c>
      <c r="AZ331" s="250">
        <v>0.36899999999999999</v>
      </c>
      <c r="BA331" s="251">
        <v>0</v>
      </c>
      <c r="BB331" s="251">
        <v>0</v>
      </c>
      <c r="BC331" s="251">
        <v>0</v>
      </c>
      <c r="BD331" s="251">
        <v>0</v>
      </c>
      <c r="BE331" s="251">
        <v>0</v>
      </c>
      <c r="BF331" s="251">
        <v>0</v>
      </c>
      <c r="BG331" s="251">
        <v>0</v>
      </c>
      <c r="BH331" s="251">
        <v>0</v>
      </c>
      <c r="BI331" s="251">
        <v>0</v>
      </c>
      <c r="BJ331" s="251">
        <v>0</v>
      </c>
      <c r="BK331" s="251">
        <v>0</v>
      </c>
      <c r="BL331" s="251">
        <v>0</v>
      </c>
      <c r="BM331" s="251">
        <v>0</v>
      </c>
    </row>
    <row r="332" spans="50:65">
      <c r="AX332" s="2">
        <v>12</v>
      </c>
      <c r="AY332" s="293">
        <f t="shared" ref="AY332:BM338" si="63">((($AX332-$AX$331)*(AY$339-AY$331))/($AX$339-$AX$331))+AY$331</f>
        <v>3665.7875000000004</v>
      </c>
      <c r="AZ332" s="293">
        <f t="shared" si="63"/>
        <v>0.37662499999999999</v>
      </c>
      <c r="BA332" s="605">
        <f t="shared" si="63"/>
        <v>0</v>
      </c>
      <c r="BB332" s="293">
        <f t="shared" si="63"/>
        <v>73.974999999999994</v>
      </c>
      <c r="BC332" s="293">
        <f t="shared" si="63"/>
        <v>7.6249999999999998E-3</v>
      </c>
      <c r="BD332" s="605">
        <f t="shared" si="63"/>
        <v>0</v>
      </c>
      <c r="BE332" s="605">
        <f t="shared" si="63"/>
        <v>0</v>
      </c>
      <c r="BF332" s="605">
        <f t="shared" si="63"/>
        <v>0</v>
      </c>
      <c r="BG332" s="605">
        <f t="shared" si="63"/>
        <v>0</v>
      </c>
      <c r="BH332" s="605">
        <f t="shared" si="63"/>
        <v>0</v>
      </c>
      <c r="BI332" s="605">
        <f t="shared" si="63"/>
        <v>0</v>
      </c>
      <c r="BJ332" s="605">
        <f t="shared" si="63"/>
        <v>0</v>
      </c>
      <c r="BK332" s="605">
        <f t="shared" si="63"/>
        <v>0</v>
      </c>
      <c r="BL332" s="605">
        <f t="shared" si="63"/>
        <v>0</v>
      </c>
      <c r="BM332" s="605">
        <f t="shared" si="63"/>
        <v>0</v>
      </c>
    </row>
    <row r="333" spans="50:65">
      <c r="AX333" s="2">
        <v>13</v>
      </c>
      <c r="AY333" s="293">
        <f t="shared" si="63"/>
        <v>3739.7750000000001</v>
      </c>
      <c r="AZ333" s="293">
        <f t="shared" si="63"/>
        <v>0.38424999999999998</v>
      </c>
      <c r="BA333" s="605">
        <f t="shared" si="63"/>
        <v>0</v>
      </c>
      <c r="BB333" s="293">
        <f t="shared" si="63"/>
        <v>147.94999999999999</v>
      </c>
      <c r="BC333" s="293">
        <f t="shared" si="63"/>
        <v>1.525E-2</v>
      </c>
      <c r="BD333" s="605">
        <f t="shared" si="63"/>
        <v>0</v>
      </c>
      <c r="BE333" s="605">
        <f t="shared" si="63"/>
        <v>0</v>
      </c>
      <c r="BF333" s="605">
        <f t="shared" si="63"/>
        <v>0</v>
      </c>
      <c r="BG333" s="605">
        <f t="shared" si="63"/>
        <v>0</v>
      </c>
      <c r="BH333" s="605">
        <f t="shared" si="63"/>
        <v>0</v>
      </c>
      <c r="BI333" s="605">
        <f t="shared" si="63"/>
        <v>0</v>
      </c>
      <c r="BJ333" s="605">
        <f t="shared" si="63"/>
        <v>0</v>
      </c>
      <c r="BK333" s="605">
        <f t="shared" si="63"/>
        <v>0</v>
      </c>
      <c r="BL333" s="605">
        <f t="shared" si="63"/>
        <v>0</v>
      </c>
      <c r="BM333" s="605">
        <f t="shared" si="63"/>
        <v>0</v>
      </c>
    </row>
    <row r="334" spans="50:65">
      <c r="AX334" s="2">
        <v>14</v>
      </c>
      <c r="AY334" s="293">
        <f t="shared" si="63"/>
        <v>3813.7624999999998</v>
      </c>
      <c r="AZ334" s="293">
        <f t="shared" si="63"/>
        <v>0.39187499999999997</v>
      </c>
      <c r="BA334" s="605">
        <f t="shared" si="63"/>
        <v>0</v>
      </c>
      <c r="BB334" s="293">
        <f t="shared" si="63"/>
        <v>221.92499999999998</v>
      </c>
      <c r="BC334" s="293">
        <f t="shared" si="63"/>
        <v>2.2875E-2</v>
      </c>
      <c r="BD334" s="605">
        <f t="shared" si="63"/>
        <v>0</v>
      </c>
      <c r="BE334" s="605">
        <f t="shared" si="63"/>
        <v>0</v>
      </c>
      <c r="BF334" s="605">
        <f t="shared" si="63"/>
        <v>0</v>
      </c>
      <c r="BG334" s="605">
        <f t="shared" si="63"/>
        <v>0</v>
      </c>
      <c r="BH334" s="605">
        <f t="shared" si="63"/>
        <v>0</v>
      </c>
      <c r="BI334" s="605">
        <f t="shared" si="63"/>
        <v>0</v>
      </c>
      <c r="BJ334" s="605">
        <f t="shared" si="63"/>
        <v>0</v>
      </c>
      <c r="BK334" s="605">
        <f t="shared" si="63"/>
        <v>0</v>
      </c>
      <c r="BL334" s="605">
        <f t="shared" si="63"/>
        <v>0</v>
      </c>
      <c r="BM334" s="605">
        <f t="shared" si="63"/>
        <v>0</v>
      </c>
    </row>
    <row r="335" spans="50:65">
      <c r="AX335" s="2">
        <v>15</v>
      </c>
      <c r="AY335" s="293">
        <f t="shared" si="63"/>
        <v>3887.75</v>
      </c>
      <c r="AZ335" s="293">
        <f t="shared" si="63"/>
        <v>0.39949999999999997</v>
      </c>
      <c r="BA335" s="605">
        <f t="shared" si="63"/>
        <v>0</v>
      </c>
      <c r="BB335" s="293">
        <f t="shared" si="63"/>
        <v>295.89999999999998</v>
      </c>
      <c r="BC335" s="293">
        <f t="shared" si="63"/>
        <v>3.0499999999999999E-2</v>
      </c>
      <c r="BD335" s="605">
        <f t="shared" si="63"/>
        <v>0</v>
      </c>
      <c r="BE335" s="605">
        <f t="shared" si="63"/>
        <v>0</v>
      </c>
      <c r="BF335" s="605">
        <f t="shared" si="63"/>
        <v>0</v>
      </c>
      <c r="BG335" s="605">
        <f t="shared" si="63"/>
        <v>0</v>
      </c>
      <c r="BH335" s="605">
        <f t="shared" si="63"/>
        <v>0</v>
      </c>
      <c r="BI335" s="605">
        <f t="shared" si="63"/>
        <v>0</v>
      </c>
      <c r="BJ335" s="605">
        <f t="shared" si="63"/>
        <v>0</v>
      </c>
      <c r="BK335" s="605">
        <f t="shared" si="63"/>
        <v>0</v>
      </c>
      <c r="BL335" s="605">
        <f t="shared" si="63"/>
        <v>0</v>
      </c>
      <c r="BM335" s="605">
        <f t="shared" si="63"/>
        <v>0</v>
      </c>
    </row>
    <row r="336" spans="50:65">
      <c r="AX336" s="2">
        <v>16</v>
      </c>
      <c r="AY336" s="293">
        <f t="shared" si="63"/>
        <v>3961.7375000000002</v>
      </c>
      <c r="AZ336" s="293">
        <f t="shared" si="63"/>
        <v>0.40712500000000001</v>
      </c>
      <c r="BA336" s="605">
        <f t="shared" si="63"/>
        <v>0</v>
      </c>
      <c r="BB336" s="293">
        <f t="shared" si="63"/>
        <v>369.875</v>
      </c>
      <c r="BC336" s="293">
        <f t="shared" si="63"/>
        <v>3.8124999999999999E-2</v>
      </c>
      <c r="BD336" s="605">
        <f t="shared" si="63"/>
        <v>0</v>
      </c>
      <c r="BE336" s="605">
        <f t="shared" si="63"/>
        <v>0</v>
      </c>
      <c r="BF336" s="605">
        <f t="shared" si="63"/>
        <v>0</v>
      </c>
      <c r="BG336" s="605">
        <f t="shared" si="63"/>
        <v>0</v>
      </c>
      <c r="BH336" s="605">
        <f t="shared" si="63"/>
        <v>0</v>
      </c>
      <c r="BI336" s="605">
        <f t="shared" si="63"/>
        <v>0</v>
      </c>
      <c r="BJ336" s="605">
        <f t="shared" si="63"/>
        <v>0</v>
      </c>
      <c r="BK336" s="605">
        <f t="shared" si="63"/>
        <v>0</v>
      </c>
      <c r="BL336" s="605">
        <f t="shared" si="63"/>
        <v>0</v>
      </c>
      <c r="BM336" s="605">
        <f t="shared" si="63"/>
        <v>0</v>
      </c>
    </row>
    <row r="337" spans="50:65">
      <c r="AX337" s="2">
        <v>17</v>
      </c>
      <c r="AY337" s="293">
        <f t="shared" si="63"/>
        <v>4035.7249999999999</v>
      </c>
      <c r="AZ337" s="293">
        <f t="shared" si="63"/>
        <v>0.41475000000000001</v>
      </c>
      <c r="BA337" s="605">
        <f t="shared" si="63"/>
        <v>0</v>
      </c>
      <c r="BB337" s="293">
        <f t="shared" si="63"/>
        <v>443.84999999999997</v>
      </c>
      <c r="BC337" s="293">
        <f t="shared" si="63"/>
        <v>4.5749999999999999E-2</v>
      </c>
      <c r="BD337" s="605">
        <f t="shared" si="63"/>
        <v>0</v>
      </c>
      <c r="BE337" s="605">
        <f t="shared" si="63"/>
        <v>0</v>
      </c>
      <c r="BF337" s="605">
        <f t="shared" si="63"/>
        <v>0</v>
      </c>
      <c r="BG337" s="605">
        <f t="shared" si="63"/>
        <v>0</v>
      </c>
      <c r="BH337" s="605">
        <f t="shared" si="63"/>
        <v>0</v>
      </c>
      <c r="BI337" s="605">
        <f t="shared" si="63"/>
        <v>0</v>
      </c>
      <c r="BJ337" s="605">
        <f t="shared" si="63"/>
        <v>0</v>
      </c>
      <c r="BK337" s="605">
        <f t="shared" si="63"/>
        <v>0</v>
      </c>
      <c r="BL337" s="605">
        <f t="shared" si="63"/>
        <v>0</v>
      </c>
      <c r="BM337" s="605">
        <f t="shared" si="63"/>
        <v>0</v>
      </c>
    </row>
    <row r="338" spans="50:65">
      <c r="AX338" s="2">
        <v>18</v>
      </c>
      <c r="AY338" s="293">
        <f t="shared" si="63"/>
        <v>4109.7124999999996</v>
      </c>
      <c r="AZ338" s="293">
        <f t="shared" si="63"/>
        <v>0.422375</v>
      </c>
      <c r="BA338" s="605">
        <f t="shared" si="63"/>
        <v>0</v>
      </c>
      <c r="BB338" s="293">
        <f t="shared" si="63"/>
        <v>517.82499999999993</v>
      </c>
      <c r="BC338" s="293">
        <f t="shared" si="63"/>
        <v>5.3374999999999999E-2</v>
      </c>
      <c r="BD338" s="605">
        <f t="shared" si="63"/>
        <v>0</v>
      </c>
      <c r="BE338" s="605">
        <f t="shared" si="63"/>
        <v>0</v>
      </c>
      <c r="BF338" s="605">
        <f t="shared" si="63"/>
        <v>0</v>
      </c>
      <c r="BG338" s="605">
        <f t="shared" si="63"/>
        <v>0</v>
      </c>
      <c r="BH338" s="605">
        <f t="shared" si="63"/>
        <v>0</v>
      </c>
      <c r="BI338" s="605">
        <f t="shared" si="63"/>
        <v>0</v>
      </c>
      <c r="BJ338" s="605">
        <f t="shared" si="63"/>
        <v>0</v>
      </c>
      <c r="BK338" s="605">
        <f t="shared" si="63"/>
        <v>0</v>
      </c>
      <c r="BL338" s="605">
        <f t="shared" si="63"/>
        <v>0</v>
      </c>
      <c r="BM338" s="605">
        <f t="shared" si="63"/>
        <v>0</v>
      </c>
    </row>
    <row r="339" spans="50:65">
      <c r="AX339" s="2">
        <v>19</v>
      </c>
      <c r="AY339" s="2">
        <v>4183.7</v>
      </c>
      <c r="AZ339" s="250">
        <v>0.43</v>
      </c>
      <c r="BA339" s="251">
        <v>0</v>
      </c>
      <c r="BB339" s="2">
        <v>591.79999999999995</v>
      </c>
      <c r="BC339" s="250">
        <v>6.0999999999999999E-2</v>
      </c>
      <c r="BD339" s="251">
        <v>0</v>
      </c>
      <c r="BE339" s="251">
        <v>0</v>
      </c>
      <c r="BF339" s="251">
        <v>0</v>
      </c>
      <c r="BG339" s="251">
        <v>0</v>
      </c>
      <c r="BH339" s="251">
        <v>0</v>
      </c>
      <c r="BI339" s="251">
        <v>0</v>
      </c>
      <c r="BJ339" s="251">
        <v>0</v>
      </c>
      <c r="BK339" s="251">
        <v>0</v>
      </c>
      <c r="BL339" s="251">
        <v>0</v>
      </c>
      <c r="BM339" s="251">
        <v>0</v>
      </c>
    </row>
    <row r="340" spans="50:65">
      <c r="AX340" s="2">
        <v>20</v>
      </c>
      <c r="AY340" s="293">
        <f t="shared" ref="AY340:BM349" si="64">((($AX340-$AX$339)*(AY$350-AY$339))/($AX$350-$AX$339))+AY$339</f>
        <v>4216.6636363636362</v>
      </c>
      <c r="AZ340" s="293">
        <f t="shared" si="64"/>
        <v>0.43327272727272725</v>
      </c>
      <c r="BA340" s="605">
        <f t="shared" si="64"/>
        <v>0</v>
      </c>
      <c r="BB340" s="293">
        <f t="shared" si="64"/>
        <v>624.77272727272725</v>
      </c>
      <c r="BC340" s="293">
        <f t="shared" si="64"/>
        <v>6.4272727272727273E-2</v>
      </c>
      <c r="BD340" s="605">
        <f t="shared" si="64"/>
        <v>0</v>
      </c>
      <c r="BE340" s="293">
        <f t="shared" si="64"/>
        <v>32.963636363636368</v>
      </c>
      <c r="BF340" s="293">
        <f t="shared" si="64"/>
        <v>3.1818181818181819E-3</v>
      </c>
      <c r="BG340" s="605">
        <f t="shared" si="64"/>
        <v>0</v>
      </c>
      <c r="BH340" s="605">
        <f t="shared" si="64"/>
        <v>0</v>
      </c>
      <c r="BI340" s="605">
        <f t="shared" si="64"/>
        <v>0</v>
      </c>
      <c r="BJ340" s="605">
        <f t="shared" si="64"/>
        <v>0</v>
      </c>
      <c r="BK340" s="605">
        <f t="shared" si="64"/>
        <v>0</v>
      </c>
      <c r="BL340" s="605">
        <f t="shared" si="64"/>
        <v>0</v>
      </c>
      <c r="BM340" s="605">
        <f t="shared" si="64"/>
        <v>0</v>
      </c>
    </row>
    <row r="341" spans="50:65">
      <c r="AX341" s="2">
        <v>21</v>
      </c>
      <c r="AY341" s="293">
        <f t="shared" si="64"/>
        <v>4249.6272727272726</v>
      </c>
      <c r="AZ341" s="293">
        <f t="shared" si="64"/>
        <v>0.43654545454545457</v>
      </c>
      <c r="BA341" s="605">
        <f t="shared" si="64"/>
        <v>0</v>
      </c>
      <c r="BB341" s="293">
        <f t="shared" si="64"/>
        <v>657.74545454545455</v>
      </c>
      <c r="BC341" s="293">
        <f t="shared" si="64"/>
        <v>6.7545454545454547E-2</v>
      </c>
      <c r="BD341" s="605">
        <f t="shared" si="64"/>
        <v>0</v>
      </c>
      <c r="BE341" s="293">
        <f t="shared" si="64"/>
        <v>65.927272727272737</v>
      </c>
      <c r="BF341" s="293">
        <f t="shared" si="64"/>
        <v>6.3636363636363638E-3</v>
      </c>
      <c r="BG341" s="605">
        <f t="shared" si="64"/>
        <v>0</v>
      </c>
      <c r="BH341" s="605">
        <f t="shared" si="64"/>
        <v>0</v>
      </c>
      <c r="BI341" s="605">
        <f t="shared" si="64"/>
        <v>0</v>
      </c>
      <c r="BJ341" s="605">
        <f t="shared" si="64"/>
        <v>0</v>
      </c>
      <c r="BK341" s="605">
        <f t="shared" si="64"/>
        <v>0</v>
      </c>
      <c r="BL341" s="605">
        <f t="shared" si="64"/>
        <v>0</v>
      </c>
      <c r="BM341" s="605">
        <f t="shared" si="64"/>
        <v>0</v>
      </c>
    </row>
    <row r="342" spans="50:65">
      <c r="AX342" s="2">
        <v>22</v>
      </c>
      <c r="AY342" s="293">
        <f t="shared" si="64"/>
        <v>4282.590909090909</v>
      </c>
      <c r="AZ342" s="293">
        <f t="shared" si="64"/>
        <v>0.43981818181818183</v>
      </c>
      <c r="BA342" s="605">
        <f t="shared" si="64"/>
        <v>0</v>
      </c>
      <c r="BB342" s="293">
        <f t="shared" si="64"/>
        <v>690.71818181818185</v>
      </c>
      <c r="BC342" s="293">
        <f t="shared" si="64"/>
        <v>7.0818181818181822E-2</v>
      </c>
      <c r="BD342" s="605">
        <f t="shared" si="64"/>
        <v>0</v>
      </c>
      <c r="BE342" s="293">
        <f t="shared" si="64"/>
        <v>98.890909090909105</v>
      </c>
      <c r="BF342" s="293">
        <f t="shared" si="64"/>
        <v>9.5454545454545462E-3</v>
      </c>
      <c r="BG342" s="605">
        <f t="shared" si="64"/>
        <v>0</v>
      </c>
      <c r="BH342" s="605">
        <f t="shared" si="64"/>
        <v>0</v>
      </c>
      <c r="BI342" s="605">
        <f t="shared" si="64"/>
        <v>0</v>
      </c>
      <c r="BJ342" s="605">
        <f t="shared" si="64"/>
        <v>0</v>
      </c>
      <c r="BK342" s="605">
        <f t="shared" si="64"/>
        <v>0</v>
      </c>
      <c r="BL342" s="605">
        <f t="shared" si="64"/>
        <v>0</v>
      </c>
      <c r="BM342" s="605">
        <f t="shared" si="64"/>
        <v>0</v>
      </c>
    </row>
    <row r="343" spans="50:65">
      <c r="AX343" s="2">
        <v>23</v>
      </c>
      <c r="AY343" s="293">
        <f t="shared" si="64"/>
        <v>4315.5545454545454</v>
      </c>
      <c r="AZ343" s="293">
        <f t="shared" si="64"/>
        <v>0.44309090909090909</v>
      </c>
      <c r="BA343" s="605">
        <f t="shared" si="64"/>
        <v>0</v>
      </c>
      <c r="BB343" s="293">
        <f t="shared" si="64"/>
        <v>723.69090909090903</v>
      </c>
      <c r="BC343" s="293">
        <f t="shared" si="64"/>
        <v>7.4090909090909096E-2</v>
      </c>
      <c r="BD343" s="605">
        <f t="shared" si="64"/>
        <v>0</v>
      </c>
      <c r="BE343" s="293">
        <f t="shared" si="64"/>
        <v>131.85454545454547</v>
      </c>
      <c r="BF343" s="293">
        <f t="shared" si="64"/>
        <v>1.2727272727272728E-2</v>
      </c>
      <c r="BG343" s="605">
        <f t="shared" si="64"/>
        <v>0</v>
      </c>
      <c r="BH343" s="605">
        <f t="shared" si="64"/>
        <v>0</v>
      </c>
      <c r="BI343" s="605">
        <f t="shared" si="64"/>
        <v>0</v>
      </c>
      <c r="BJ343" s="605">
        <f t="shared" si="64"/>
        <v>0</v>
      </c>
      <c r="BK343" s="605">
        <f t="shared" si="64"/>
        <v>0</v>
      </c>
      <c r="BL343" s="605">
        <f t="shared" si="64"/>
        <v>0</v>
      </c>
      <c r="BM343" s="605">
        <f t="shared" si="64"/>
        <v>0</v>
      </c>
    </row>
    <row r="344" spans="50:65">
      <c r="AX344" s="2">
        <v>24</v>
      </c>
      <c r="AY344" s="293">
        <f t="shared" si="64"/>
        <v>4348.5181818181818</v>
      </c>
      <c r="AZ344" s="293">
        <f t="shared" si="64"/>
        <v>0.44636363636363635</v>
      </c>
      <c r="BA344" s="605">
        <f t="shared" si="64"/>
        <v>0</v>
      </c>
      <c r="BB344" s="293">
        <f t="shared" si="64"/>
        <v>756.66363636363633</v>
      </c>
      <c r="BC344" s="293">
        <f t="shared" si="64"/>
        <v>7.7363636363636357E-2</v>
      </c>
      <c r="BD344" s="605">
        <f t="shared" si="64"/>
        <v>0</v>
      </c>
      <c r="BE344" s="293">
        <f t="shared" si="64"/>
        <v>164.81818181818181</v>
      </c>
      <c r="BF344" s="293">
        <f t="shared" si="64"/>
        <v>1.5909090909090911E-2</v>
      </c>
      <c r="BG344" s="605">
        <f t="shared" si="64"/>
        <v>0</v>
      </c>
      <c r="BH344" s="605">
        <f t="shared" si="64"/>
        <v>0</v>
      </c>
      <c r="BI344" s="605">
        <f t="shared" si="64"/>
        <v>0</v>
      </c>
      <c r="BJ344" s="605">
        <f t="shared" si="64"/>
        <v>0</v>
      </c>
      <c r="BK344" s="605">
        <f t="shared" si="64"/>
        <v>0</v>
      </c>
      <c r="BL344" s="605">
        <f t="shared" si="64"/>
        <v>0</v>
      </c>
      <c r="BM344" s="605">
        <f t="shared" si="64"/>
        <v>0</v>
      </c>
    </row>
    <row r="345" spans="50:65">
      <c r="AX345" s="2">
        <v>25</v>
      </c>
      <c r="AY345" s="293">
        <f t="shared" si="64"/>
        <v>4381.4818181818182</v>
      </c>
      <c r="AZ345" s="293">
        <f t="shared" si="64"/>
        <v>0.44963636363636367</v>
      </c>
      <c r="BA345" s="605">
        <f t="shared" si="64"/>
        <v>0</v>
      </c>
      <c r="BB345" s="293">
        <f t="shared" si="64"/>
        <v>789.63636363636363</v>
      </c>
      <c r="BC345" s="293">
        <f t="shared" si="64"/>
        <v>8.0636363636363645E-2</v>
      </c>
      <c r="BD345" s="605">
        <f t="shared" si="64"/>
        <v>0</v>
      </c>
      <c r="BE345" s="293">
        <f t="shared" si="64"/>
        <v>197.78181818181821</v>
      </c>
      <c r="BF345" s="293">
        <f t="shared" si="64"/>
        <v>1.9090909090909092E-2</v>
      </c>
      <c r="BG345" s="605">
        <f t="shared" si="64"/>
        <v>0</v>
      </c>
      <c r="BH345" s="605">
        <f t="shared" si="64"/>
        <v>0</v>
      </c>
      <c r="BI345" s="605">
        <f t="shared" si="64"/>
        <v>0</v>
      </c>
      <c r="BJ345" s="605">
        <f t="shared" si="64"/>
        <v>0</v>
      </c>
      <c r="BK345" s="605">
        <f t="shared" si="64"/>
        <v>0</v>
      </c>
      <c r="BL345" s="605">
        <f t="shared" si="64"/>
        <v>0</v>
      </c>
      <c r="BM345" s="605">
        <f t="shared" si="64"/>
        <v>0</v>
      </c>
    </row>
    <row r="346" spans="50:65">
      <c r="AX346" s="2">
        <v>26</v>
      </c>
      <c r="AY346" s="293">
        <f t="shared" si="64"/>
        <v>4414.4454545454546</v>
      </c>
      <c r="AZ346" s="293">
        <f t="shared" si="64"/>
        <v>0.45290909090909093</v>
      </c>
      <c r="BA346" s="605">
        <f t="shared" si="64"/>
        <v>0</v>
      </c>
      <c r="BB346" s="293">
        <f t="shared" si="64"/>
        <v>822.60909090909092</v>
      </c>
      <c r="BC346" s="293">
        <f t="shared" si="64"/>
        <v>8.3909090909090905E-2</v>
      </c>
      <c r="BD346" s="605">
        <f t="shared" si="64"/>
        <v>0</v>
      </c>
      <c r="BE346" s="293">
        <f t="shared" si="64"/>
        <v>230.74545454545458</v>
      </c>
      <c r="BF346" s="293">
        <f t="shared" si="64"/>
        <v>2.2272727272727274E-2</v>
      </c>
      <c r="BG346" s="605">
        <f t="shared" si="64"/>
        <v>0</v>
      </c>
      <c r="BH346" s="605">
        <f t="shared" si="64"/>
        <v>0</v>
      </c>
      <c r="BI346" s="605">
        <f t="shared" si="64"/>
        <v>0</v>
      </c>
      <c r="BJ346" s="605">
        <f t="shared" si="64"/>
        <v>0</v>
      </c>
      <c r="BK346" s="605">
        <f t="shared" si="64"/>
        <v>0</v>
      </c>
      <c r="BL346" s="605">
        <f t="shared" si="64"/>
        <v>0</v>
      </c>
      <c r="BM346" s="605">
        <f t="shared" si="64"/>
        <v>0</v>
      </c>
    </row>
    <row r="347" spans="50:65">
      <c r="AX347" s="2">
        <v>27</v>
      </c>
      <c r="AY347" s="293">
        <f t="shared" si="64"/>
        <v>4447.409090909091</v>
      </c>
      <c r="AZ347" s="293">
        <f t="shared" si="64"/>
        <v>0.45618181818181819</v>
      </c>
      <c r="BA347" s="605">
        <f t="shared" si="64"/>
        <v>0</v>
      </c>
      <c r="BB347" s="293">
        <f t="shared" si="64"/>
        <v>855.58181818181811</v>
      </c>
      <c r="BC347" s="293">
        <f t="shared" si="64"/>
        <v>8.718181818181818E-2</v>
      </c>
      <c r="BD347" s="605">
        <f t="shared" si="64"/>
        <v>0</v>
      </c>
      <c r="BE347" s="293">
        <f t="shared" si="64"/>
        <v>263.70909090909095</v>
      </c>
      <c r="BF347" s="293">
        <f t="shared" si="64"/>
        <v>2.5454545454545455E-2</v>
      </c>
      <c r="BG347" s="605">
        <f t="shared" si="64"/>
        <v>0</v>
      </c>
      <c r="BH347" s="605">
        <f t="shared" si="64"/>
        <v>0</v>
      </c>
      <c r="BI347" s="605">
        <f t="shared" si="64"/>
        <v>0</v>
      </c>
      <c r="BJ347" s="605">
        <f t="shared" si="64"/>
        <v>0</v>
      </c>
      <c r="BK347" s="605">
        <f t="shared" si="64"/>
        <v>0</v>
      </c>
      <c r="BL347" s="605">
        <f t="shared" si="64"/>
        <v>0</v>
      </c>
      <c r="BM347" s="605">
        <f t="shared" si="64"/>
        <v>0</v>
      </c>
    </row>
    <row r="348" spans="50:65">
      <c r="AX348" s="2">
        <v>28</v>
      </c>
      <c r="AY348" s="293">
        <f t="shared" si="64"/>
        <v>4480.3727272727274</v>
      </c>
      <c r="AZ348" s="293">
        <f t="shared" si="64"/>
        <v>0.45945454545454545</v>
      </c>
      <c r="BA348" s="605">
        <f t="shared" si="64"/>
        <v>0</v>
      </c>
      <c r="BB348" s="293">
        <f t="shared" si="64"/>
        <v>888.5545454545454</v>
      </c>
      <c r="BC348" s="293">
        <f t="shared" si="64"/>
        <v>9.0454545454545454E-2</v>
      </c>
      <c r="BD348" s="605">
        <f t="shared" si="64"/>
        <v>0</v>
      </c>
      <c r="BE348" s="293">
        <f t="shared" si="64"/>
        <v>296.67272727272729</v>
      </c>
      <c r="BF348" s="293">
        <f t="shared" si="64"/>
        <v>2.863636363636364E-2</v>
      </c>
      <c r="BG348" s="605">
        <f t="shared" si="64"/>
        <v>0</v>
      </c>
      <c r="BH348" s="605">
        <f t="shared" si="64"/>
        <v>0</v>
      </c>
      <c r="BI348" s="605">
        <f t="shared" si="64"/>
        <v>0</v>
      </c>
      <c r="BJ348" s="605">
        <f t="shared" si="64"/>
        <v>0</v>
      </c>
      <c r="BK348" s="605">
        <f t="shared" si="64"/>
        <v>0</v>
      </c>
      <c r="BL348" s="605">
        <f t="shared" si="64"/>
        <v>0</v>
      </c>
      <c r="BM348" s="605">
        <f t="shared" si="64"/>
        <v>0</v>
      </c>
    </row>
    <row r="349" spans="50:65">
      <c r="AX349" s="2">
        <v>29</v>
      </c>
      <c r="AY349" s="293">
        <f t="shared" si="64"/>
        <v>4513.3363636363638</v>
      </c>
      <c r="AZ349" s="293">
        <f t="shared" si="64"/>
        <v>0.46272727272727276</v>
      </c>
      <c r="BA349" s="605">
        <f t="shared" si="64"/>
        <v>0</v>
      </c>
      <c r="BB349" s="293">
        <f t="shared" si="64"/>
        <v>921.5272727272727</v>
      </c>
      <c r="BC349" s="293">
        <f t="shared" si="64"/>
        <v>9.3727272727272729E-2</v>
      </c>
      <c r="BD349" s="605">
        <f t="shared" si="64"/>
        <v>0</v>
      </c>
      <c r="BE349" s="293">
        <f t="shared" si="64"/>
        <v>329.63636363636363</v>
      </c>
      <c r="BF349" s="293">
        <f t="shared" si="64"/>
        <v>3.1818181818181822E-2</v>
      </c>
      <c r="BG349" s="605">
        <f t="shared" si="64"/>
        <v>0</v>
      </c>
      <c r="BH349" s="605">
        <f t="shared" si="64"/>
        <v>0</v>
      </c>
      <c r="BI349" s="605">
        <f t="shared" si="64"/>
        <v>0</v>
      </c>
      <c r="BJ349" s="605">
        <f t="shared" si="64"/>
        <v>0</v>
      </c>
      <c r="BK349" s="605">
        <f t="shared" si="64"/>
        <v>0</v>
      </c>
      <c r="BL349" s="605">
        <f t="shared" si="64"/>
        <v>0</v>
      </c>
      <c r="BM349" s="605">
        <f t="shared" si="64"/>
        <v>0</v>
      </c>
    </row>
    <row r="350" spans="50:65">
      <c r="AX350" s="2">
        <v>30</v>
      </c>
      <c r="AY350" s="2">
        <v>4546.3</v>
      </c>
      <c r="AZ350" s="250">
        <v>0.46600000000000003</v>
      </c>
      <c r="BA350" s="607">
        <v>0</v>
      </c>
      <c r="BB350" s="2">
        <v>954.5</v>
      </c>
      <c r="BC350" s="250">
        <v>9.7000000000000003E-2</v>
      </c>
      <c r="BD350" s="607">
        <v>0</v>
      </c>
      <c r="BE350" s="2">
        <v>362.6</v>
      </c>
      <c r="BF350" s="250">
        <v>3.5000000000000003E-2</v>
      </c>
      <c r="BG350" s="251">
        <v>0</v>
      </c>
      <c r="BH350" s="2">
        <v>0</v>
      </c>
      <c r="BI350" s="250">
        <v>0</v>
      </c>
      <c r="BJ350" s="607">
        <v>0</v>
      </c>
      <c r="BK350" s="605">
        <v>0</v>
      </c>
      <c r="BL350" s="606">
        <v>0</v>
      </c>
      <c r="BM350" s="607">
        <v>0</v>
      </c>
    </row>
    <row r="351" spans="50:65">
      <c r="AX351" s="2">
        <v>31</v>
      </c>
      <c r="AY351" s="293">
        <f t="shared" ref="AY351:BM357" si="65">((($AX351-$AX$350)*(AY$358-AY$350))/($AX$358-$AX$350))+AY$350</f>
        <v>4564.5875000000005</v>
      </c>
      <c r="AZ351" s="293">
        <f t="shared" si="65"/>
        <v>0.46812500000000001</v>
      </c>
      <c r="BA351" s="605">
        <f t="shared" si="65"/>
        <v>0</v>
      </c>
      <c r="BB351" s="293">
        <f t="shared" si="65"/>
        <v>972.78750000000002</v>
      </c>
      <c r="BC351" s="293">
        <f t="shared" si="65"/>
        <v>9.9125000000000005E-2</v>
      </c>
      <c r="BD351" s="605">
        <f t="shared" si="65"/>
        <v>0</v>
      </c>
      <c r="BE351" s="293">
        <f t="shared" si="65"/>
        <v>380.88750000000005</v>
      </c>
      <c r="BF351" s="293">
        <f t="shared" si="65"/>
        <v>3.7250000000000005E-2</v>
      </c>
      <c r="BG351" s="605">
        <f t="shared" si="65"/>
        <v>0</v>
      </c>
      <c r="BH351" s="293">
        <f t="shared" si="65"/>
        <v>18.287500000000001</v>
      </c>
      <c r="BI351" s="293">
        <f t="shared" si="65"/>
        <v>2.2499999999999998E-3</v>
      </c>
      <c r="BJ351" s="605">
        <f t="shared" si="65"/>
        <v>0</v>
      </c>
      <c r="BK351" s="605">
        <f t="shared" si="65"/>
        <v>0</v>
      </c>
      <c r="BL351" s="605">
        <f t="shared" si="65"/>
        <v>0</v>
      </c>
      <c r="BM351" s="605">
        <f t="shared" si="65"/>
        <v>0</v>
      </c>
    </row>
    <row r="352" spans="50:65">
      <c r="AX352" s="2">
        <v>32</v>
      </c>
      <c r="AY352" s="293">
        <f t="shared" si="65"/>
        <v>4582.875</v>
      </c>
      <c r="AZ352" s="293">
        <f t="shared" si="65"/>
        <v>0.47025</v>
      </c>
      <c r="BA352" s="605">
        <f t="shared" si="65"/>
        <v>0</v>
      </c>
      <c r="BB352" s="293">
        <f t="shared" si="65"/>
        <v>991.07500000000005</v>
      </c>
      <c r="BC352" s="293">
        <f t="shared" si="65"/>
        <v>0.10125000000000001</v>
      </c>
      <c r="BD352" s="605">
        <f t="shared" si="65"/>
        <v>0</v>
      </c>
      <c r="BE352" s="293">
        <f t="shared" si="65"/>
        <v>399.17500000000001</v>
      </c>
      <c r="BF352" s="293">
        <f t="shared" si="65"/>
        <v>3.95E-2</v>
      </c>
      <c r="BG352" s="605">
        <f t="shared" si="65"/>
        <v>0</v>
      </c>
      <c r="BH352" s="293">
        <f t="shared" si="65"/>
        <v>36.575000000000003</v>
      </c>
      <c r="BI352" s="293">
        <f t="shared" si="65"/>
        <v>4.4999999999999997E-3</v>
      </c>
      <c r="BJ352" s="605">
        <f t="shared" si="65"/>
        <v>0</v>
      </c>
      <c r="BK352" s="605">
        <f t="shared" si="65"/>
        <v>0</v>
      </c>
      <c r="BL352" s="605">
        <f t="shared" si="65"/>
        <v>0</v>
      </c>
      <c r="BM352" s="605">
        <f t="shared" si="65"/>
        <v>0</v>
      </c>
    </row>
    <row r="353" spans="50:65">
      <c r="AX353" s="2">
        <v>33</v>
      </c>
      <c r="AY353" s="293">
        <f t="shared" si="65"/>
        <v>4601.1625000000004</v>
      </c>
      <c r="AZ353" s="293">
        <f t="shared" si="65"/>
        <v>0.47237499999999999</v>
      </c>
      <c r="BA353" s="605">
        <f t="shared" si="65"/>
        <v>0</v>
      </c>
      <c r="BB353" s="293">
        <f t="shared" si="65"/>
        <v>1009.3625</v>
      </c>
      <c r="BC353" s="293">
        <f t="shared" si="65"/>
        <v>0.10337500000000001</v>
      </c>
      <c r="BD353" s="605">
        <f t="shared" si="65"/>
        <v>0</v>
      </c>
      <c r="BE353" s="293">
        <f t="shared" si="65"/>
        <v>417.46249999999998</v>
      </c>
      <c r="BF353" s="293">
        <f t="shared" si="65"/>
        <v>4.1750000000000002E-2</v>
      </c>
      <c r="BG353" s="605">
        <f t="shared" si="65"/>
        <v>0</v>
      </c>
      <c r="BH353" s="293">
        <f t="shared" si="65"/>
        <v>54.862500000000004</v>
      </c>
      <c r="BI353" s="293">
        <f t="shared" si="65"/>
        <v>6.7499999999999991E-3</v>
      </c>
      <c r="BJ353" s="605">
        <f t="shared" si="65"/>
        <v>0</v>
      </c>
      <c r="BK353" s="605">
        <f t="shared" si="65"/>
        <v>0</v>
      </c>
      <c r="BL353" s="605">
        <f t="shared" si="65"/>
        <v>0</v>
      </c>
      <c r="BM353" s="605">
        <f t="shared" si="65"/>
        <v>0</v>
      </c>
    </row>
    <row r="354" spans="50:65">
      <c r="AX354" s="2">
        <v>34</v>
      </c>
      <c r="AY354" s="293">
        <f t="shared" si="65"/>
        <v>4619.4500000000007</v>
      </c>
      <c r="AZ354" s="293">
        <f t="shared" si="65"/>
        <v>0.47450000000000003</v>
      </c>
      <c r="BA354" s="605">
        <f t="shared" si="65"/>
        <v>0</v>
      </c>
      <c r="BB354" s="293">
        <f t="shared" si="65"/>
        <v>1027.6500000000001</v>
      </c>
      <c r="BC354" s="293">
        <f t="shared" si="65"/>
        <v>0.10550000000000001</v>
      </c>
      <c r="BD354" s="605">
        <f t="shared" si="65"/>
        <v>0</v>
      </c>
      <c r="BE354" s="293">
        <f t="shared" si="65"/>
        <v>435.75</v>
      </c>
      <c r="BF354" s="293">
        <f t="shared" si="65"/>
        <v>4.3999999999999997E-2</v>
      </c>
      <c r="BG354" s="605">
        <f t="shared" si="65"/>
        <v>0</v>
      </c>
      <c r="BH354" s="293">
        <f t="shared" si="65"/>
        <v>73.150000000000006</v>
      </c>
      <c r="BI354" s="293">
        <f t="shared" si="65"/>
        <v>8.9999999999999993E-3</v>
      </c>
      <c r="BJ354" s="605">
        <f t="shared" si="65"/>
        <v>0</v>
      </c>
      <c r="BK354" s="605">
        <f t="shared" si="65"/>
        <v>0</v>
      </c>
      <c r="BL354" s="605">
        <f t="shared" si="65"/>
        <v>0</v>
      </c>
      <c r="BM354" s="605">
        <f t="shared" si="65"/>
        <v>0</v>
      </c>
    </row>
    <row r="355" spans="50:65">
      <c r="AX355" s="2">
        <v>35</v>
      </c>
      <c r="AY355" s="293">
        <f t="shared" si="65"/>
        <v>4637.7375000000002</v>
      </c>
      <c r="AZ355" s="293">
        <f t="shared" si="65"/>
        <v>0.47662500000000002</v>
      </c>
      <c r="BA355" s="605">
        <f t="shared" si="65"/>
        <v>0</v>
      </c>
      <c r="BB355" s="293">
        <f t="shared" si="65"/>
        <v>1045.9375</v>
      </c>
      <c r="BC355" s="293">
        <f t="shared" si="65"/>
        <v>0.107625</v>
      </c>
      <c r="BD355" s="605">
        <f t="shared" si="65"/>
        <v>0</v>
      </c>
      <c r="BE355" s="293">
        <f t="shared" si="65"/>
        <v>454.03750000000002</v>
      </c>
      <c r="BF355" s="293">
        <f t="shared" si="65"/>
        <v>4.6249999999999999E-2</v>
      </c>
      <c r="BG355" s="605">
        <f t="shared" si="65"/>
        <v>0</v>
      </c>
      <c r="BH355" s="293">
        <f t="shared" si="65"/>
        <v>91.4375</v>
      </c>
      <c r="BI355" s="293">
        <f t="shared" si="65"/>
        <v>1.125E-2</v>
      </c>
      <c r="BJ355" s="605">
        <f t="shared" si="65"/>
        <v>0</v>
      </c>
      <c r="BK355" s="605">
        <f t="shared" si="65"/>
        <v>0</v>
      </c>
      <c r="BL355" s="605">
        <f t="shared" si="65"/>
        <v>0</v>
      </c>
      <c r="BM355" s="605">
        <f t="shared" si="65"/>
        <v>0</v>
      </c>
    </row>
    <row r="356" spans="50:65">
      <c r="AX356" s="2">
        <v>36</v>
      </c>
      <c r="AY356" s="293">
        <f t="shared" si="65"/>
        <v>4656.0250000000005</v>
      </c>
      <c r="AZ356" s="293">
        <f t="shared" si="65"/>
        <v>0.47875000000000001</v>
      </c>
      <c r="BA356" s="605">
        <f t="shared" si="65"/>
        <v>0</v>
      </c>
      <c r="BB356" s="293">
        <f t="shared" si="65"/>
        <v>1064.2249999999999</v>
      </c>
      <c r="BC356" s="293">
        <f t="shared" si="65"/>
        <v>0.10975</v>
      </c>
      <c r="BD356" s="605">
        <f t="shared" si="65"/>
        <v>0</v>
      </c>
      <c r="BE356" s="293">
        <f t="shared" si="65"/>
        <v>472.32499999999999</v>
      </c>
      <c r="BF356" s="293">
        <f t="shared" si="65"/>
        <v>4.8500000000000001E-2</v>
      </c>
      <c r="BG356" s="605">
        <f t="shared" si="65"/>
        <v>0</v>
      </c>
      <c r="BH356" s="293">
        <f t="shared" si="65"/>
        <v>109.72500000000001</v>
      </c>
      <c r="BI356" s="293">
        <f t="shared" si="65"/>
        <v>1.3499999999999998E-2</v>
      </c>
      <c r="BJ356" s="605">
        <f t="shared" si="65"/>
        <v>0</v>
      </c>
      <c r="BK356" s="605">
        <f t="shared" si="65"/>
        <v>0</v>
      </c>
      <c r="BL356" s="605">
        <f t="shared" si="65"/>
        <v>0</v>
      </c>
      <c r="BM356" s="605">
        <f t="shared" si="65"/>
        <v>0</v>
      </c>
    </row>
    <row r="357" spans="50:65">
      <c r="AX357" s="2">
        <v>37</v>
      </c>
      <c r="AY357" s="293">
        <f t="shared" si="65"/>
        <v>4674.3125</v>
      </c>
      <c r="AZ357" s="293">
        <f t="shared" si="65"/>
        <v>0.480875</v>
      </c>
      <c r="BA357" s="605">
        <f t="shared" si="65"/>
        <v>0</v>
      </c>
      <c r="BB357" s="293">
        <f t="shared" si="65"/>
        <v>1082.5125</v>
      </c>
      <c r="BC357" s="293">
        <f t="shared" si="65"/>
        <v>0.111875</v>
      </c>
      <c r="BD357" s="605">
        <f t="shared" si="65"/>
        <v>0</v>
      </c>
      <c r="BE357" s="293">
        <f t="shared" si="65"/>
        <v>490.61249999999995</v>
      </c>
      <c r="BF357" s="293">
        <f t="shared" si="65"/>
        <v>5.0750000000000003E-2</v>
      </c>
      <c r="BG357" s="605">
        <f t="shared" si="65"/>
        <v>0</v>
      </c>
      <c r="BH357" s="293">
        <f t="shared" si="65"/>
        <v>128.01250000000002</v>
      </c>
      <c r="BI357" s="293">
        <f t="shared" si="65"/>
        <v>1.575E-2</v>
      </c>
      <c r="BJ357" s="605">
        <f t="shared" si="65"/>
        <v>0</v>
      </c>
      <c r="BK357" s="605">
        <f t="shared" si="65"/>
        <v>0</v>
      </c>
      <c r="BL357" s="605">
        <f t="shared" si="65"/>
        <v>0</v>
      </c>
      <c r="BM357" s="605">
        <f t="shared" si="65"/>
        <v>0</v>
      </c>
    </row>
    <row r="358" spans="50:65">
      <c r="AX358" s="2">
        <v>38</v>
      </c>
      <c r="AY358" s="2">
        <v>4692.6000000000004</v>
      </c>
      <c r="AZ358" s="250">
        <v>0.48299999999999998</v>
      </c>
      <c r="BA358" s="251">
        <v>0</v>
      </c>
      <c r="BB358" s="2">
        <v>1100.8</v>
      </c>
      <c r="BC358" s="250">
        <v>0.114</v>
      </c>
      <c r="BD358" s="251">
        <v>0</v>
      </c>
      <c r="BE358" s="2">
        <v>508.9</v>
      </c>
      <c r="BF358" s="250">
        <v>5.2999999999999999E-2</v>
      </c>
      <c r="BG358" s="251">
        <v>0</v>
      </c>
      <c r="BH358" s="2">
        <v>146.30000000000001</v>
      </c>
      <c r="BI358" s="250">
        <v>1.7999999999999999E-2</v>
      </c>
      <c r="BJ358" s="251">
        <v>0</v>
      </c>
      <c r="BK358" s="2">
        <v>0</v>
      </c>
      <c r="BL358" s="250">
        <v>0</v>
      </c>
      <c r="BM358" s="251">
        <v>0</v>
      </c>
    </row>
    <row r="359" spans="50:65">
      <c r="AX359" s="2">
        <v>39</v>
      </c>
      <c r="AY359" s="293">
        <f t="shared" ref="AY359:BM368" si="66">((($AX359-$AX$358)*(AY$369-AY$358))/($AX$369-$AX$358))+AY$358</f>
        <v>4704.3818181818187</v>
      </c>
      <c r="AZ359" s="293">
        <f t="shared" si="66"/>
        <v>0.48381818181818181</v>
      </c>
      <c r="BA359" s="605">
        <f t="shared" si="66"/>
        <v>0</v>
      </c>
      <c r="BB359" s="293">
        <f t="shared" si="66"/>
        <v>1112.5727272727272</v>
      </c>
      <c r="BC359" s="293">
        <f t="shared" si="66"/>
        <v>0.11481818181818182</v>
      </c>
      <c r="BD359" s="605">
        <f t="shared" si="66"/>
        <v>0</v>
      </c>
      <c r="BE359" s="293">
        <f t="shared" si="66"/>
        <v>520.68181818181813</v>
      </c>
      <c r="BF359" s="293">
        <f t="shared" si="66"/>
        <v>5.3727272727272728E-2</v>
      </c>
      <c r="BG359" s="605">
        <f t="shared" si="66"/>
        <v>0</v>
      </c>
      <c r="BH359" s="293">
        <f t="shared" si="66"/>
        <v>158.07272727272729</v>
      </c>
      <c r="BI359" s="293">
        <f t="shared" si="66"/>
        <v>1.8727272727272724E-2</v>
      </c>
      <c r="BJ359" s="605">
        <f t="shared" si="66"/>
        <v>0</v>
      </c>
      <c r="BK359" s="293">
        <f t="shared" si="66"/>
        <v>11.781818181818181</v>
      </c>
      <c r="BL359" s="605">
        <f t="shared" si="66"/>
        <v>8.1818181818181816E-4</v>
      </c>
      <c r="BM359" s="605">
        <f t="shared" si="66"/>
        <v>0</v>
      </c>
    </row>
    <row r="360" spans="50:65">
      <c r="AX360" s="2">
        <v>40</v>
      </c>
      <c r="AY360" s="293">
        <f t="shared" si="66"/>
        <v>4716.1636363636362</v>
      </c>
      <c r="AZ360" s="293">
        <f t="shared" si="66"/>
        <v>0.48463636363636364</v>
      </c>
      <c r="BA360" s="605">
        <f t="shared" si="66"/>
        <v>0</v>
      </c>
      <c r="BB360" s="293">
        <f t="shared" si="66"/>
        <v>1124.3454545454545</v>
      </c>
      <c r="BC360" s="293">
        <f t="shared" si="66"/>
        <v>0.11563636363636363</v>
      </c>
      <c r="BD360" s="605">
        <f t="shared" si="66"/>
        <v>0</v>
      </c>
      <c r="BE360" s="293">
        <f t="shared" si="66"/>
        <v>532.4636363636364</v>
      </c>
      <c r="BF360" s="293">
        <f t="shared" si="66"/>
        <v>5.445454545454545E-2</v>
      </c>
      <c r="BG360" s="605">
        <f t="shared" si="66"/>
        <v>0</v>
      </c>
      <c r="BH360" s="293">
        <f t="shared" si="66"/>
        <v>169.84545454545457</v>
      </c>
      <c r="BI360" s="293">
        <f t="shared" si="66"/>
        <v>1.9454545454545454E-2</v>
      </c>
      <c r="BJ360" s="605">
        <f t="shared" si="66"/>
        <v>0</v>
      </c>
      <c r="BK360" s="293">
        <f t="shared" si="66"/>
        <v>23.563636363636363</v>
      </c>
      <c r="BL360" s="605">
        <f t="shared" si="66"/>
        <v>1.6363636363636363E-3</v>
      </c>
      <c r="BM360" s="605">
        <f t="shared" si="66"/>
        <v>0</v>
      </c>
    </row>
    <row r="361" spans="50:65">
      <c r="AX361" s="2">
        <v>41</v>
      </c>
      <c r="AY361" s="293">
        <f t="shared" si="66"/>
        <v>4727.9454545454546</v>
      </c>
      <c r="AZ361" s="293">
        <f t="shared" si="66"/>
        <v>0.48545454545454542</v>
      </c>
      <c r="BA361" s="605">
        <f t="shared" si="66"/>
        <v>0</v>
      </c>
      <c r="BB361" s="293">
        <f t="shared" si="66"/>
        <v>1136.1181818181817</v>
      </c>
      <c r="BC361" s="293">
        <f t="shared" si="66"/>
        <v>0.11645454545454546</v>
      </c>
      <c r="BD361" s="605">
        <f t="shared" si="66"/>
        <v>0</v>
      </c>
      <c r="BE361" s="293">
        <f t="shared" si="66"/>
        <v>544.24545454545455</v>
      </c>
      <c r="BF361" s="293">
        <f t="shared" si="66"/>
        <v>5.5181818181818179E-2</v>
      </c>
      <c r="BG361" s="605">
        <f t="shared" si="66"/>
        <v>0</v>
      </c>
      <c r="BH361" s="293">
        <f t="shared" si="66"/>
        <v>181.61818181818182</v>
      </c>
      <c r="BI361" s="293">
        <f t="shared" si="66"/>
        <v>2.0181818181818179E-2</v>
      </c>
      <c r="BJ361" s="605">
        <f t="shared" si="66"/>
        <v>0</v>
      </c>
      <c r="BK361" s="293">
        <f t="shared" si="66"/>
        <v>35.345454545454544</v>
      </c>
      <c r="BL361" s="605">
        <f t="shared" si="66"/>
        <v>2.454545454545454E-3</v>
      </c>
      <c r="BM361" s="605">
        <f t="shared" si="66"/>
        <v>0</v>
      </c>
    </row>
    <row r="362" spans="50:65">
      <c r="AX362" s="2">
        <v>42</v>
      </c>
      <c r="AY362" s="293">
        <f t="shared" si="66"/>
        <v>4739.727272727273</v>
      </c>
      <c r="AZ362" s="293">
        <f t="shared" si="66"/>
        <v>0.48627272727272725</v>
      </c>
      <c r="BA362" s="605">
        <f t="shared" si="66"/>
        <v>0</v>
      </c>
      <c r="BB362" s="293">
        <f t="shared" si="66"/>
        <v>1147.890909090909</v>
      </c>
      <c r="BC362" s="293">
        <f t="shared" si="66"/>
        <v>0.11727272727272728</v>
      </c>
      <c r="BD362" s="605">
        <f t="shared" si="66"/>
        <v>0</v>
      </c>
      <c r="BE362" s="293">
        <f t="shared" si="66"/>
        <v>556.0272727272727</v>
      </c>
      <c r="BF362" s="293">
        <f t="shared" si="66"/>
        <v>5.5909090909090908E-2</v>
      </c>
      <c r="BG362" s="605">
        <f t="shared" si="66"/>
        <v>0</v>
      </c>
      <c r="BH362" s="293">
        <f t="shared" si="66"/>
        <v>193.3909090909091</v>
      </c>
      <c r="BI362" s="293">
        <f t="shared" si="66"/>
        <v>2.0909090909090908E-2</v>
      </c>
      <c r="BJ362" s="605">
        <f t="shared" si="66"/>
        <v>0</v>
      </c>
      <c r="BK362" s="293">
        <f t="shared" si="66"/>
        <v>47.127272727272725</v>
      </c>
      <c r="BL362" s="605">
        <f t="shared" si="66"/>
        <v>3.2727272727272726E-3</v>
      </c>
      <c r="BM362" s="605">
        <f t="shared" si="66"/>
        <v>0</v>
      </c>
    </row>
    <row r="363" spans="50:65">
      <c r="AX363" s="2">
        <v>43</v>
      </c>
      <c r="AY363" s="293">
        <f t="shared" si="66"/>
        <v>4751.5090909090914</v>
      </c>
      <c r="AZ363" s="293">
        <f t="shared" si="66"/>
        <v>0.48709090909090907</v>
      </c>
      <c r="BA363" s="605">
        <f t="shared" si="66"/>
        <v>0</v>
      </c>
      <c r="BB363" s="293">
        <f t="shared" si="66"/>
        <v>1159.6636363636362</v>
      </c>
      <c r="BC363" s="293">
        <f t="shared" si="66"/>
        <v>0.11809090909090909</v>
      </c>
      <c r="BD363" s="605">
        <f t="shared" si="66"/>
        <v>0</v>
      </c>
      <c r="BE363" s="293">
        <f t="shared" si="66"/>
        <v>567.80909090909086</v>
      </c>
      <c r="BF363" s="293">
        <f t="shared" si="66"/>
        <v>5.6636363636363637E-2</v>
      </c>
      <c r="BG363" s="605">
        <f t="shared" si="66"/>
        <v>0</v>
      </c>
      <c r="BH363" s="293">
        <f t="shared" si="66"/>
        <v>205.16363636363639</v>
      </c>
      <c r="BI363" s="293">
        <f t="shared" si="66"/>
        <v>2.1636363636363634E-2</v>
      </c>
      <c r="BJ363" s="605">
        <f t="shared" si="66"/>
        <v>0</v>
      </c>
      <c r="BK363" s="293">
        <f t="shared" si="66"/>
        <v>58.909090909090907</v>
      </c>
      <c r="BL363" s="605">
        <f t="shared" si="66"/>
        <v>4.0909090909090904E-3</v>
      </c>
      <c r="BM363" s="605">
        <f t="shared" si="66"/>
        <v>0</v>
      </c>
    </row>
    <row r="364" spans="50:65">
      <c r="AX364" s="2">
        <v>44</v>
      </c>
      <c r="AY364" s="293">
        <f t="shared" si="66"/>
        <v>4763.2909090909088</v>
      </c>
      <c r="AZ364" s="293">
        <f t="shared" si="66"/>
        <v>0.4879090909090909</v>
      </c>
      <c r="BA364" s="605">
        <f t="shared" si="66"/>
        <v>0</v>
      </c>
      <c r="BB364" s="293">
        <f t="shared" si="66"/>
        <v>1171.4363636363637</v>
      </c>
      <c r="BC364" s="293">
        <f t="shared" si="66"/>
        <v>0.11890909090909091</v>
      </c>
      <c r="BD364" s="605">
        <f t="shared" si="66"/>
        <v>0</v>
      </c>
      <c r="BE364" s="293">
        <f t="shared" si="66"/>
        <v>579.59090909090912</v>
      </c>
      <c r="BF364" s="293">
        <f t="shared" si="66"/>
        <v>5.736363636363636E-2</v>
      </c>
      <c r="BG364" s="605">
        <f t="shared" si="66"/>
        <v>0</v>
      </c>
      <c r="BH364" s="293">
        <f t="shared" si="66"/>
        <v>216.93636363636364</v>
      </c>
      <c r="BI364" s="293">
        <f t="shared" si="66"/>
        <v>2.2363636363636363E-2</v>
      </c>
      <c r="BJ364" s="605">
        <f t="shared" si="66"/>
        <v>0</v>
      </c>
      <c r="BK364" s="293">
        <f t="shared" si="66"/>
        <v>70.690909090909088</v>
      </c>
      <c r="BL364" s="605">
        <f t="shared" si="66"/>
        <v>4.9090909090909081E-3</v>
      </c>
      <c r="BM364" s="605">
        <f t="shared" si="66"/>
        <v>0</v>
      </c>
    </row>
    <row r="365" spans="50:65">
      <c r="AX365" s="2">
        <v>45</v>
      </c>
      <c r="AY365" s="293">
        <f t="shared" si="66"/>
        <v>4775.0727272727272</v>
      </c>
      <c r="AZ365" s="293">
        <f t="shared" si="66"/>
        <v>0.48872727272727273</v>
      </c>
      <c r="BA365" s="605">
        <f t="shared" si="66"/>
        <v>0</v>
      </c>
      <c r="BB365" s="293">
        <f t="shared" si="66"/>
        <v>1183.2090909090909</v>
      </c>
      <c r="BC365" s="293">
        <f t="shared" si="66"/>
        <v>0.11972727272727272</v>
      </c>
      <c r="BD365" s="605">
        <f t="shared" si="66"/>
        <v>0</v>
      </c>
      <c r="BE365" s="293">
        <f t="shared" si="66"/>
        <v>591.37272727272727</v>
      </c>
      <c r="BF365" s="293">
        <f t="shared" si="66"/>
        <v>5.8090909090909089E-2</v>
      </c>
      <c r="BG365" s="605">
        <f t="shared" si="66"/>
        <v>0</v>
      </c>
      <c r="BH365" s="293">
        <f t="shared" si="66"/>
        <v>228.70909090909092</v>
      </c>
      <c r="BI365" s="293">
        <f t="shared" si="66"/>
        <v>2.3090909090909089E-2</v>
      </c>
      <c r="BJ365" s="605">
        <f t="shared" si="66"/>
        <v>0</v>
      </c>
      <c r="BK365" s="293">
        <f t="shared" si="66"/>
        <v>82.472727272727269</v>
      </c>
      <c r="BL365" s="605">
        <f t="shared" si="66"/>
        <v>5.7272727272727275E-3</v>
      </c>
      <c r="BM365" s="605">
        <f t="shared" si="66"/>
        <v>0</v>
      </c>
    </row>
    <row r="366" spans="50:65">
      <c r="AX366" s="2">
        <v>46</v>
      </c>
      <c r="AY366" s="293">
        <f t="shared" si="66"/>
        <v>4786.8545454545456</v>
      </c>
      <c r="AZ366" s="293">
        <f t="shared" si="66"/>
        <v>0.48954545454545456</v>
      </c>
      <c r="BA366" s="605">
        <f t="shared" si="66"/>
        <v>0</v>
      </c>
      <c r="BB366" s="293">
        <f t="shared" si="66"/>
        <v>1194.9818181818182</v>
      </c>
      <c r="BC366" s="293">
        <f t="shared" si="66"/>
        <v>0.12054545454545454</v>
      </c>
      <c r="BD366" s="605">
        <f t="shared" si="66"/>
        <v>0</v>
      </c>
      <c r="BE366" s="293">
        <f t="shared" si="66"/>
        <v>603.15454545454543</v>
      </c>
      <c r="BF366" s="293">
        <f t="shared" si="66"/>
        <v>5.8818181818181818E-2</v>
      </c>
      <c r="BG366" s="605">
        <f t="shared" si="66"/>
        <v>0</v>
      </c>
      <c r="BH366" s="293">
        <f t="shared" si="66"/>
        <v>240.4818181818182</v>
      </c>
      <c r="BI366" s="293">
        <f t="shared" si="66"/>
        <v>2.3818181818181818E-2</v>
      </c>
      <c r="BJ366" s="605">
        <f t="shared" si="66"/>
        <v>0</v>
      </c>
      <c r="BK366" s="293">
        <f t="shared" si="66"/>
        <v>94.25454545454545</v>
      </c>
      <c r="BL366" s="605">
        <f t="shared" si="66"/>
        <v>6.5454545454545453E-3</v>
      </c>
      <c r="BM366" s="605">
        <f t="shared" si="66"/>
        <v>0</v>
      </c>
    </row>
    <row r="367" spans="50:65">
      <c r="AX367" s="2">
        <v>47</v>
      </c>
      <c r="AY367" s="293">
        <f t="shared" si="66"/>
        <v>4798.636363636364</v>
      </c>
      <c r="AZ367" s="293">
        <f t="shared" si="66"/>
        <v>0.49036363636363633</v>
      </c>
      <c r="BA367" s="605">
        <f t="shared" si="66"/>
        <v>0</v>
      </c>
      <c r="BB367" s="293">
        <f t="shared" si="66"/>
        <v>1206.7545454545455</v>
      </c>
      <c r="BC367" s="293">
        <f t="shared" si="66"/>
        <v>0.12136363636363637</v>
      </c>
      <c r="BD367" s="605">
        <f t="shared" si="66"/>
        <v>0</v>
      </c>
      <c r="BE367" s="293">
        <f t="shared" si="66"/>
        <v>614.93636363636358</v>
      </c>
      <c r="BF367" s="293">
        <f t="shared" si="66"/>
        <v>5.9545454545454547E-2</v>
      </c>
      <c r="BG367" s="605">
        <f t="shared" si="66"/>
        <v>0</v>
      </c>
      <c r="BH367" s="293">
        <f t="shared" si="66"/>
        <v>252.25454545454545</v>
      </c>
      <c r="BI367" s="293">
        <f t="shared" si="66"/>
        <v>2.4545454545454544E-2</v>
      </c>
      <c r="BJ367" s="605">
        <f t="shared" si="66"/>
        <v>0</v>
      </c>
      <c r="BK367" s="293">
        <f t="shared" si="66"/>
        <v>106.03636363636362</v>
      </c>
      <c r="BL367" s="605">
        <f t="shared" si="66"/>
        <v>7.363636363636363E-3</v>
      </c>
      <c r="BM367" s="605">
        <f t="shared" si="66"/>
        <v>0</v>
      </c>
    </row>
    <row r="368" spans="50:65">
      <c r="AX368" s="2">
        <v>48</v>
      </c>
      <c r="AY368" s="293">
        <f t="shared" si="66"/>
        <v>4810.4181818181814</v>
      </c>
      <c r="AZ368" s="293">
        <f t="shared" si="66"/>
        <v>0.49118181818181816</v>
      </c>
      <c r="BA368" s="605">
        <f t="shared" si="66"/>
        <v>0</v>
      </c>
      <c r="BB368" s="293">
        <f t="shared" si="66"/>
        <v>1218.5272727272727</v>
      </c>
      <c r="BC368" s="293">
        <f t="shared" si="66"/>
        <v>0.12218181818181818</v>
      </c>
      <c r="BD368" s="605">
        <f t="shared" si="66"/>
        <v>0</v>
      </c>
      <c r="BE368" s="293">
        <f t="shared" si="66"/>
        <v>626.71818181818185</v>
      </c>
      <c r="BF368" s="293">
        <f t="shared" si="66"/>
        <v>6.0272727272727269E-2</v>
      </c>
      <c r="BG368" s="605">
        <f t="shared" si="66"/>
        <v>0</v>
      </c>
      <c r="BH368" s="293">
        <f t="shared" si="66"/>
        <v>264.02727272727276</v>
      </c>
      <c r="BI368" s="293">
        <f t="shared" si="66"/>
        <v>2.5272727272727273E-2</v>
      </c>
      <c r="BJ368" s="605">
        <f t="shared" si="66"/>
        <v>0</v>
      </c>
      <c r="BK368" s="293">
        <f t="shared" si="66"/>
        <v>117.81818181818181</v>
      </c>
      <c r="BL368" s="605">
        <f t="shared" si="66"/>
        <v>8.1818181818181807E-3</v>
      </c>
      <c r="BM368" s="605">
        <f t="shared" si="66"/>
        <v>0</v>
      </c>
    </row>
    <row r="369" spans="50:65">
      <c r="AX369" s="2">
        <v>49</v>
      </c>
      <c r="AY369" s="2">
        <v>4822.2</v>
      </c>
      <c r="AZ369" s="250">
        <v>0.49199999999999999</v>
      </c>
      <c r="BA369" s="251">
        <v>0</v>
      </c>
      <c r="BB369" s="2">
        <v>1230.3</v>
      </c>
      <c r="BC369" s="250">
        <v>0.123</v>
      </c>
      <c r="BD369" s="251">
        <v>0</v>
      </c>
      <c r="BE369" s="2">
        <v>638.5</v>
      </c>
      <c r="BF369" s="250">
        <v>6.0999999999999999E-2</v>
      </c>
      <c r="BG369" s="251">
        <v>0</v>
      </c>
      <c r="BH369" s="2">
        <v>275.8</v>
      </c>
      <c r="BI369" s="250">
        <v>2.5999999999999999E-2</v>
      </c>
      <c r="BJ369" s="251">
        <v>0</v>
      </c>
      <c r="BK369" s="2">
        <v>129.6</v>
      </c>
      <c r="BL369" s="250">
        <v>8.9999999999999993E-3</v>
      </c>
      <c r="BM369" s="251">
        <v>0</v>
      </c>
    </row>
    <row r="370" spans="50:65">
      <c r="AX370" s="2">
        <v>50</v>
      </c>
      <c r="AY370" s="293">
        <f t="shared" ref="AY370:BM379" si="67">((($AX370-$AX$369)*(AY$380-AY$369))/($AX$380-$AX$369))+AY$369</f>
        <v>4830.0363636363636</v>
      </c>
      <c r="AZ370" s="293">
        <f t="shared" si="67"/>
        <v>0.49281818181818182</v>
      </c>
      <c r="BA370" s="605">
        <f t="shared" si="67"/>
        <v>0</v>
      </c>
      <c r="BB370" s="293">
        <f t="shared" si="67"/>
        <v>1238.1363636363635</v>
      </c>
      <c r="BC370" s="293">
        <f t="shared" si="67"/>
        <v>0.12381818181818181</v>
      </c>
      <c r="BD370" s="605">
        <f t="shared" si="67"/>
        <v>0</v>
      </c>
      <c r="BE370" s="293">
        <f t="shared" si="67"/>
        <v>646.33636363636367</v>
      </c>
      <c r="BF370" s="293">
        <f t="shared" si="67"/>
        <v>6.1818181818181821E-2</v>
      </c>
      <c r="BG370" s="605">
        <f t="shared" si="67"/>
        <v>0</v>
      </c>
      <c r="BH370" s="293">
        <f t="shared" si="67"/>
        <v>283.63636363636363</v>
      </c>
      <c r="BI370" s="293">
        <f t="shared" si="67"/>
        <v>2.6818181818181817E-2</v>
      </c>
      <c r="BJ370" s="605">
        <f t="shared" si="67"/>
        <v>0</v>
      </c>
      <c r="BK370" s="293">
        <f t="shared" si="67"/>
        <v>137.43636363636364</v>
      </c>
      <c r="BL370" s="293">
        <f t="shared" si="67"/>
        <v>9.8181818181818179E-3</v>
      </c>
      <c r="BM370" s="605">
        <f t="shared" si="67"/>
        <v>0</v>
      </c>
    </row>
    <row r="371" spans="50:65">
      <c r="AX371" s="2">
        <v>51</v>
      </c>
      <c r="AY371" s="293">
        <f t="shared" si="67"/>
        <v>4837.8727272727274</v>
      </c>
      <c r="AZ371" s="293">
        <f t="shared" si="67"/>
        <v>0.49363636363636365</v>
      </c>
      <c r="BA371" s="605">
        <f t="shared" si="67"/>
        <v>0</v>
      </c>
      <c r="BB371" s="293">
        <f t="shared" si="67"/>
        <v>1245.9727272727273</v>
      </c>
      <c r="BC371" s="293">
        <f t="shared" si="67"/>
        <v>0.12463636363636364</v>
      </c>
      <c r="BD371" s="605">
        <f t="shared" si="67"/>
        <v>0</v>
      </c>
      <c r="BE371" s="293">
        <f t="shared" si="67"/>
        <v>654.17272727272723</v>
      </c>
      <c r="BF371" s="293">
        <f t="shared" si="67"/>
        <v>6.2636363636363643E-2</v>
      </c>
      <c r="BG371" s="605">
        <f t="shared" si="67"/>
        <v>0</v>
      </c>
      <c r="BH371" s="293">
        <f t="shared" si="67"/>
        <v>291.4727272727273</v>
      </c>
      <c r="BI371" s="293">
        <f t="shared" si="67"/>
        <v>2.7636363636363636E-2</v>
      </c>
      <c r="BJ371" s="605">
        <f t="shared" si="67"/>
        <v>0</v>
      </c>
      <c r="BK371" s="293">
        <f t="shared" si="67"/>
        <v>145.27272727272728</v>
      </c>
      <c r="BL371" s="293">
        <f t="shared" si="67"/>
        <v>1.0636363636363635E-2</v>
      </c>
      <c r="BM371" s="605">
        <f t="shared" si="67"/>
        <v>0</v>
      </c>
    </row>
    <row r="372" spans="50:65">
      <c r="AX372" s="2">
        <v>52</v>
      </c>
      <c r="AY372" s="293">
        <f t="shared" si="67"/>
        <v>4845.7090909090903</v>
      </c>
      <c r="AZ372" s="293">
        <f t="shared" si="67"/>
        <v>0.49445454545454542</v>
      </c>
      <c r="BA372" s="605">
        <f t="shared" si="67"/>
        <v>0</v>
      </c>
      <c r="BB372" s="293">
        <f t="shared" si="67"/>
        <v>1253.8090909090909</v>
      </c>
      <c r="BC372" s="293">
        <f t="shared" si="67"/>
        <v>0.12545454545454546</v>
      </c>
      <c r="BD372" s="605">
        <f t="shared" si="67"/>
        <v>0</v>
      </c>
      <c r="BE372" s="293">
        <f t="shared" si="67"/>
        <v>662.0090909090909</v>
      </c>
      <c r="BF372" s="293">
        <f t="shared" si="67"/>
        <v>6.3454545454545458E-2</v>
      </c>
      <c r="BG372" s="605">
        <f t="shared" si="67"/>
        <v>0</v>
      </c>
      <c r="BH372" s="293">
        <f t="shared" si="67"/>
        <v>299.30909090909091</v>
      </c>
      <c r="BI372" s="293">
        <f t="shared" si="67"/>
        <v>2.8454545454545455E-2</v>
      </c>
      <c r="BJ372" s="605">
        <f t="shared" si="67"/>
        <v>0</v>
      </c>
      <c r="BK372" s="293">
        <f t="shared" si="67"/>
        <v>153.1090909090909</v>
      </c>
      <c r="BL372" s="293">
        <f t="shared" si="67"/>
        <v>1.1454545454545453E-2</v>
      </c>
      <c r="BM372" s="605">
        <f t="shared" si="67"/>
        <v>0</v>
      </c>
    </row>
    <row r="373" spans="50:65">
      <c r="AX373" s="2">
        <v>53</v>
      </c>
      <c r="AY373" s="293">
        <f t="shared" si="67"/>
        <v>4853.545454545454</v>
      </c>
      <c r="AZ373" s="293">
        <f t="shared" si="67"/>
        <v>0.49527272727272725</v>
      </c>
      <c r="BA373" s="605">
        <f t="shared" si="67"/>
        <v>0</v>
      </c>
      <c r="BB373" s="293">
        <f t="shared" si="67"/>
        <v>1261.6454545454544</v>
      </c>
      <c r="BC373" s="293">
        <f t="shared" si="67"/>
        <v>0.12627272727272729</v>
      </c>
      <c r="BD373" s="605">
        <f t="shared" si="67"/>
        <v>0</v>
      </c>
      <c r="BE373" s="293">
        <f t="shared" si="67"/>
        <v>669.84545454545457</v>
      </c>
      <c r="BF373" s="293">
        <f t="shared" si="67"/>
        <v>6.4272727272727273E-2</v>
      </c>
      <c r="BG373" s="605">
        <f t="shared" si="67"/>
        <v>0</v>
      </c>
      <c r="BH373" s="293">
        <f t="shared" si="67"/>
        <v>307.14545454545453</v>
      </c>
      <c r="BI373" s="293">
        <f t="shared" si="67"/>
        <v>2.9272727272727273E-2</v>
      </c>
      <c r="BJ373" s="605">
        <f t="shared" si="67"/>
        <v>0</v>
      </c>
      <c r="BK373" s="293">
        <f t="shared" si="67"/>
        <v>160.94545454545454</v>
      </c>
      <c r="BL373" s="293">
        <f t="shared" si="67"/>
        <v>1.2272727272727272E-2</v>
      </c>
      <c r="BM373" s="605">
        <f t="shared" si="67"/>
        <v>0</v>
      </c>
    </row>
    <row r="374" spans="50:65">
      <c r="AX374" s="2">
        <v>54</v>
      </c>
      <c r="AY374" s="293">
        <f t="shared" si="67"/>
        <v>4861.3818181818178</v>
      </c>
      <c r="AZ374" s="293">
        <f t="shared" si="67"/>
        <v>0.49609090909090908</v>
      </c>
      <c r="BA374" s="605">
        <f t="shared" si="67"/>
        <v>0</v>
      </c>
      <c r="BB374" s="293">
        <f t="shared" si="67"/>
        <v>1269.4818181818182</v>
      </c>
      <c r="BC374" s="293">
        <f t="shared" si="67"/>
        <v>0.12709090909090909</v>
      </c>
      <c r="BD374" s="605">
        <f t="shared" si="67"/>
        <v>0</v>
      </c>
      <c r="BE374" s="293">
        <f t="shared" si="67"/>
        <v>677.68181818181824</v>
      </c>
      <c r="BF374" s="293">
        <f t="shared" si="67"/>
        <v>6.5090909090909088E-2</v>
      </c>
      <c r="BG374" s="605">
        <f t="shared" si="67"/>
        <v>0</v>
      </c>
      <c r="BH374" s="293">
        <f t="shared" si="67"/>
        <v>314.9818181818182</v>
      </c>
      <c r="BI374" s="293">
        <f t="shared" si="67"/>
        <v>3.0090909090909092E-2</v>
      </c>
      <c r="BJ374" s="605">
        <f t="shared" si="67"/>
        <v>0</v>
      </c>
      <c r="BK374" s="293">
        <f t="shared" si="67"/>
        <v>168.78181818181818</v>
      </c>
      <c r="BL374" s="293">
        <f t="shared" si="67"/>
        <v>1.3090909090909091E-2</v>
      </c>
      <c r="BM374" s="605">
        <f t="shared" si="67"/>
        <v>0</v>
      </c>
    </row>
    <row r="375" spans="50:65">
      <c r="AX375" s="2">
        <v>55</v>
      </c>
      <c r="AY375" s="293">
        <f t="shared" si="67"/>
        <v>4869.2181818181816</v>
      </c>
      <c r="AZ375" s="293">
        <f t="shared" si="67"/>
        <v>0.49690909090909091</v>
      </c>
      <c r="BA375" s="605">
        <f t="shared" si="67"/>
        <v>0</v>
      </c>
      <c r="BB375" s="293">
        <f t="shared" si="67"/>
        <v>1277.3181818181818</v>
      </c>
      <c r="BC375" s="293">
        <f t="shared" si="67"/>
        <v>0.12790909090909092</v>
      </c>
      <c r="BD375" s="605">
        <f t="shared" si="67"/>
        <v>0</v>
      </c>
      <c r="BE375" s="293">
        <f t="shared" si="67"/>
        <v>685.5181818181818</v>
      </c>
      <c r="BF375" s="293">
        <f t="shared" si="67"/>
        <v>6.5909090909090917E-2</v>
      </c>
      <c r="BG375" s="605">
        <f t="shared" si="67"/>
        <v>0</v>
      </c>
      <c r="BH375" s="293">
        <f t="shared" si="67"/>
        <v>322.81818181818181</v>
      </c>
      <c r="BI375" s="293">
        <f t="shared" si="67"/>
        <v>3.090909090909091E-2</v>
      </c>
      <c r="BJ375" s="605">
        <f t="shared" si="67"/>
        <v>0</v>
      </c>
      <c r="BK375" s="293">
        <f t="shared" si="67"/>
        <v>176.61818181818182</v>
      </c>
      <c r="BL375" s="293">
        <f t="shared" si="67"/>
        <v>1.3909090909090907E-2</v>
      </c>
      <c r="BM375" s="605">
        <f t="shared" si="67"/>
        <v>0</v>
      </c>
    </row>
    <row r="376" spans="50:65">
      <c r="AX376" s="2">
        <v>56</v>
      </c>
      <c r="AY376" s="293">
        <f t="shared" si="67"/>
        <v>4877.0545454545454</v>
      </c>
      <c r="AZ376" s="293">
        <f t="shared" si="67"/>
        <v>0.49772727272727274</v>
      </c>
      <c r="BA376" s="605">
        <f t="shared" si="67"/>
        <v>0</v>
      </c>
      <c r="BB376" s="293">
        <f t="shared" si="67"/>
        <v>1285.1545454545455</v>
      </c>
      <c r="BC376" s="293">
        <f t="shared" si="67"/>
        <v>0.12872727272727272</v>
      </c>
      <c r="BD376" s="605">
        <f t="shared" si="67"/>
        <v>0</v>
      </c>
      <c r="BE376" s="293">
        <f t="shared" si="67"/>
        <v>693.35454545454547</v>
      </c>
      <c r="BF376" s="293">
        <f t="shared" si="67"/>
        <v>6.6727272727272732E-2</v>
      </c>
      <c r="BG376" s="605">
        <f t="shared" si="67"/>
        <v>0</v>
      </c>
      <c r="BH376" s="293">
        <f t="shared" si="67"/>
        <v>330.65454545454543</v>
      </c>
      <c r="BI376" s="293">
        <f t="shared" si="67"/>
        <v>3.1727272727272729E-2</v>
      </c>
      <c r="BJ376" s="605">
        <f t="shared" si="67"/>
        <v>0</v>
      </c>
      <c r="BK376" s="293">
        <f t="shared" si="67"/>
        <v>184.45454545454547</v>
      </c>
      <c r="BL376" s="293">
        <f t="shared" si="67"/>
        <v>1.4727272727272728E-2</v>
      </c>
      <c r="BM376" s="605">
        <f t="shared" si="67"/>
        <v>0</v>
      </c>
    </row>
    <row r="377" spans="50:65">
      <c r="AX377" s="2">
        <v>57</v>
      </c>
      <c r="AY377" s="293">
        <f t="shared" si="67"/>
        <v>4884.8909090909092</v>
      </c>
      <c r="AZ377" s="293">
        <f t="shared" si="67"/>
        <v>0.49854545454545457</v>
      </c>
      <c r="BA377" s="605">
        <f t="shared" si="67"/>
        <v>0</v>
      </c>
      <c r="BB377" s="293">
        <f t="shared" si="67"/>
        <v>1292.9909090909091</v>
      </c>
      <c r="BC377" s="293">
        <f t="shared" si="67"/>
        <v>0.12954545454545455</v>
      </c>
      <c r="BD377" s="605">
        <f t="shared" si="67"/>
        <v>0</v>
      </c>
      <c r="BE377" s="293">
        <f t="shared" si="67"/>
        <v>701.19090909090914</v>
      </c>
      <c r="BF377" s="293">
        <f t="shared" si="67"/>
        <v>6.7545454545454547E-2</v>
      </c>
      <c r="BG377" s="605">
        <f t="shared" si="67"/>
        <v>0</v>
      </c>
      <c r="BH377" s="293">
        <f t="shared" si="67"/>
        <v>338.4909090909091</v>
      </c>
      <c r="BI377" s="293">
        <f t="shared" si="67"/>
        <v>3.2545454545454544E-2</v>
      </c>
      <c r="BJ377" s="605">
        <f t="shared" si="67"/>
        <v>0</v>
      </c>
      <c r="BK377" s="293">
        <f t="shared" si="67"/>
        <v>192.29090909090911</v>
      </c>
      <c r="BL377" s="293">
        <f t="shared" si="67"/>
        <v>1.5545454545454545E-2</v>
      </c>
      <c r="BM377" s="605">
        <f t="shared" si="67"/>
        <v>0</v>
      </c>
    </row>
    <row r="378" spans="50:65">
      <c r="AX378" s="2">
        <v>58</v>
      </c>
      <c r="AY378" s="293">
        <f t="shared" si="67"/>
        <v>4892.7272727272721</v>
      </c>
      <c r="AZ378" s="293">
        <f t="shared" si="67"/>
        <v>0.49936363636363634</v>
      </c>
      <c r="BA378" s="605">
        <f t="shared" si="67"/>
        <v>0</v>
      </c>
      <c r="BB378" s="293">
        <f t="shared" si="67"/>
        <v>1300.8272727272727</v>
      </c>
      <c r="BC378" s="293">
        <f t="shared" si="67"/>
        <v>0.13036363636363638</v>
      </c>
      <c r="BD378" s="605">
        <f t="shared" si="67"/>
        <v>0</v>
      </c>
      <c r="BE378" s="293">
        <f t="shared" si="67"/>
        <v>709.0272727272727</v>
      </c>
      <c r="BF378" s="293">
        <f t="shared" si="67"/>
        <v>6.8363636363636363E-2</v>
      </c>
      <c r="BG378" s="605">
        <f t="shared" si="67"/>
        <v>0</v>
      </c>
      <c r="BH378" s="293">
        <f t="shared" si="67"/>
        <v>346.32727272727271</v>
      </c>
      <c r="BI378" s="293">
        <f t="shared" si="67"/>
        <v>3.3363636363636366E-2</v>
      </c>
      <c r="BJ378" s="605">
        <f t="shared" si="67"/>
        <v>0</v>
      </c>
      <c r="BK378" s="293">
        <f t="shared" si="67"/>
        <v>200.12727272727273</v>
      </c>
      <c r="BL378" s="293">
        <f t="shared" si="67"/>
        <v>1.6363636363636361E-2</v>
      </c>
      <c r="BM378" s="605">
        <f t="shared" si="67"/>
        <v>0</v>
      </c>
    </row>
    <row r="379" spans="50:65">
      <c r="AX379" s="2">
        <v>59</v>
      </c>
      <c r="AY379" s="293">
        <f t="shared" si="67"/>
        <v>4900.5636363636359</v>
      </c>
      <c r="AZ379" s="293">
        <f t="shared" si="67"/>
        <v>0.50018181818181817</v>
      </c>
      <c r="BA379" s="605">
        <f t="shared" si="67"/>
        <v>0</v>
      </c>
      <c r="BB379" s="293">
        <f t="shared" si="67"/>
        <v>1308.6636363636364</v>
      </c>
      <c r="BC379" s="293">
        <f t="shared" si="67"/>
        <v>0.13118181818181818</v>
      </c>
      <c r="BD379" s="605">
        <f t="shared" si="67"/>
        <v>0</v>
      </c>
      <c r="BE379" s="293">
        <f t="shared" si="67"/>
        <v>716.86363636363637</v>
      </c>
      <c r="BF379" s="293">
        <f t="shared" si="67"/>
        <v>6.9181818181818192E-2</v>
      </c>
      <c r="BG379" s="605">
        <f t="shared" si="67"/>
        <v>0</v>
      </c>
      <c r="BH379" s="293">
        <f t="shared" si="67"/>
        <v>354.16363636363639</v>
      </c>
      <c r="BI379" s="293">
        <f t="shared" si="67"/>
        <v>3.4181818181818188E-2</v>
      </c>
      <c r="BJ379" s="605">
        <f t="shared" si="67"/>
        <v>0</v>
      </c>
      <c r="BK379" s="293">
        <f t="shared" si="67"/>
        <v>207.9636363636364</v>
      </c>
      <c r="BL379" s="293">
        <f t="shared" si="67"/>
        <v>1.718181818181818E-2</v>
      </c>
      <c r="BM379" s="605">
        <f t="shared" si="67"/>
        <v>0</v>
      </c>
    </row>
    <row r="380" spans="50:65">
      <c r="AX380" s="2">
        <v>60</v>
      </c>
      <c r="AY380" s="2">
        <v>4908.3999999999996</v>
      </c>
      <c r="AZ380" s="250">
        <v>0.501</v>
      </c>
      <c r="BA380" s="251">
        <v>0</v>
      </c>
      <c r="BB380" s="2">
        <v>1316.5</v>
      </c>
      <c r="BC380" s="250">
        <v>0.13200000000000001</v>
      </c>
      <c r="BD380" s="251">
        <v>0</v>
      </c>
      <c r="BE380" s="2">
        <v>724.7</v>
      </c>
      <c r="BF380" s="250">
        <v>7.0000000000000007E-2</v>
      </c>
      <c r="BG380" s="251">
        <v>0</v>
      </c>
      <c r="BH380" s="2">
        <v>362</v>
      </c>
      <c r="BI380" s="250">
        <v>3.5000000000000003E-2</v>
      </c>
      <c r="BJ380" s="251">
        <v>0</v>
      </c>
      <c r="BK380" s="2">
        <v>215.8</v>
      </c>
      <c r="BL380" s="250">
        <v>1.7999999999999999E-2</v>
      </c>
      <c r="BM380" s="251">
        <v>0</v>
      </c>
    </row>
    <row r="385" spans="50:65">
      <c r="AX385" s="574" t="s">
        <v>1619</v>
      </c>
    </row>
    <row r="386" spans="50:65">
      <c r="AX386" s="2" t="s">
        <v>1552</v>
      </c>
      <c r="AY386" s="585">
        <v>0</v>
      </c>
      <c r="AZ386" s="585"/>
      <c r="BA386" s="585"/>
      <c r="BB386" s="585">
        <v>11</v>
      </c>
      <c r="BC386" s="585"/>
      <c r="BD386" s="585"/>
      <c r="BE386" s="585">
        <v>19</v>
      </c>
      <c r="BF386" s="585"/>
      <c r="BG386" s="585"/>
      <c r="BH386" s="585">
        <v>30</v>
      </c>
      <c r="BI386" s="585"/>
      <c r="BJ386" s="585"/>
      <c r="BK386" s="585">
        <v>38</v>
      </c>
      <c r="BL386" s="585"/>
      <c r="BM386" s="585"/>
    </row>
    <row r="387" spans="50:65">
      <c r="AX387" s="2" t="s">
        <v>1553</v>
      </c>
      <c r="AY387" s="2" t="s">
        <v>1554</v>
      </c>
      <c r="AZ387" s="586" t="s">
        <v>1555</v>
      </c>
      <c r="BA387" s="587"/>
      <c r="BB387" s="2" t="s">
        <v>1554</v>
      </c>
      <c r="BC387" s="586" t="s">
        <v>1555</v>
      </c>
      <c r="BD387" s="587"/>
      <c r="BE387" s="2" t="s">
        <v>1554</v>
      </c>
      <c r="BF387" s="586" t="s">
        <v>1555</v>
      </c>
      <c r="BG387" s="587"/>
      <c r="BH387" s="2" t="s">
        <v>1554</v>
      </c>
      <c r="BI387" s="586" t="s">
        <v>1555</v>
      </c>
      <c r="BJ387" s="587"/>
      <c r="BK387" s="2" t="s">
        <v>1554</v>
      </c>
      <c r="BL387" s="586" t="s">
        <v>1555</v>
      </c>
      <c r="BM387" s="587"/>
    </row>
    <row r="388" spans="50:65">
      <c r="AX388" s="2">
        <v>11</v>
      </c>
      <c r="AY388" s="2">
        <v>3350.2</v>
      </c>
      <c r="AZ388" s="250">
        <v>0</v>
      </c>
      <c r="BA388" s="251"/>
      <c r="BB388" s="2">
        <v>0</v>
      </c>
      <c r="BC388" s="2">
        <v>0</v>
      </c>
      <c r="BD388" s="2">
        <v>0</v>
      </c>
      <c r="BE388" s="2">
        <v>0</v>
      </c>
      <c r="BF388" s="2">
        <v>0</v>
      </c>
      <c r="BG388" s="2">
        <v>0</v>
      </c>
      <c r="BH388" s="2">
        <v>0</v>
      </c>
      <c r="BI388" s="2">
        <v>0</v>
      </c>
      <c r="BJ388" s="2">
        <v>0</v>
      </c>
      <c r="BK388" s="2">
        <v>0</v>
      </c>
      <c r="BL388" s="2">
        <v>0</v>
      </c>
      <c r="BM388" s="2">
        <v>0</v>
      </c>
    </row>
    <row r="389" spans="50:65">
      <c r="AX389" s="2">
        <v>12</v>
      </c>
      <c r="AY389" s="293">
        <f t="shared" ref="AY389:BM395" si="68">((($AX389-$AX$388)*(AY$396-AY$388))/($AX$396-$AX$388))+AY$388</f>
        <v>3419</v>
      </c>
      <c r="AZ389" s="605">
        <f t="shared" si="68"/>
        <v>0</v>
      </c>
      <c r="BA389" s="605">
        <f t="shared" si="68"/>
        <v>0</v>
      </c>
      <c r="BB389" s="293">
        <f t="shared" si="68"/>
        <v>68.8125</v>
      </c>
      <c r="BC389" s="605">
        <f t="shared" si="68"/>
        <v>0</v>
      </c>
      <c r="BD389" s="605">
        <f t="shared" si="68"/>
        <v>0</v>
      </c>
      <c r="BE389" s="605">
        <f t="shared" si="68"/>
        <v>0</v>
      </c>
      <c r="BF389" s="605">
        <f t="shared" si="68"/>
        <v>0</v>
      </c>
      <c r="BG389" s="605">
        <f t="shared" si="68"/>
        <v>0</v>
      </c>
      <c r="BH389" s="605">
        <f t="shared" si="68"/>
        <v>0</v>
      </c>
      <c r="BI389" s="605">
        <f t="shared" si="68"/>
        <v>0</v>
      </c>
      <c r="BJ389" s="605">
        <f t="shared" si="68"/>
        <v>0</v>
      </c>
      <c r="BK389" s="605">
        <f t="shared" si="68"/>
        <v>0</v>
      </c>
      <c r="BL389" s="605">
        <f t="shared" si="68"/>
        <v>0</v>
      </c>
      <c r="BM389" s="605">
        <f t="shared" si="68"/>
        <v>0</v>
      </c>
    </row>
    <row r="390" spans="50:65">
      <c r="AX390" s="2">
        <v>13</v>
      </c>
      <c r="AY390" s="293">
        <f t="shared" si="68"/>
        <v>3487.7999999999997</v>
      </c>
      <c r="AZ390" s="605">
        <f t="shared" si="68"/>
        <v>0</v>
      </c>
      <c r="BA390" s="605">
        <f t="shared" si="68"/>
        <v>0</v>
      </c>
      <c r="BB390" s="293">
        <f t="shared" si="68"/>
        <v>137.625</v>
      </c>
      <c r="BC390" s="605">
        <f t="shared" si="68"/>
        <v>0</v>
      </c>
      <c r="BD390" s="605">
        <f t="shared" si="68"/>
        <v>0</v>
      </c>
      <c r="BE390" s="605">
        <f t="shared" si="68"/>
        <v>0</v>
      </c>
      <c r="BF390" s="605">
        <f t="shared" si="68"/>
        <v>0</v>
      </c>
      <c r="BG390" s="605">
        <f t="shared" si="68"/>
        <v>0</v>
      </c>
      <c r="BH390" s="605">
        <f t="shared" si="68"/>
        <v>0</v>
      </c>
      <c r="BI390" s="605">
        <f t="shared" si="68"/>
        <v>0</v>
      </c>
      <c r="BJ390" s="605">
        <f t="shared" si="68"/>
        <v>0</v>
      </c>
      <c r="BK390" s="605">
        <f t="shared" si="68"/>
        <v>0</v>
      </c>
      <c r="BL390" s="605">
        <f t="shared" si="68"/>
        <v>0</v>
      </c>
      <c r="BM390" s="605">
        <f t="shared" si="68"/>
        <v>0</v>
      </c>
    </row>
    <row r="391" spans="50:65">
      <c r="AX391" s="2">
        <v>14</v>
      </c>
      <c r="AY391" s="293">
        <f t="shared" si="68"/>
        <v>3556.6</v>
      </c>
      <c r="AZ391" s="605">
        <f t="shared" si="68"/>
        <v>0</v>
      </c>
      <c r="BA391" s="605">
        <f t="shared" si="68"/>
        <v>0</v>
      </c>
      <c r="BB391" s="293">
        <f t="shared" si="68"/>
        <v>206.4375</v>
      </c>
      <c r="BC391" s="605">
        <f t="shared" si="68"/>
        <v>0</v>
      </c>
      <c r="BD391" s="605">
        <f t="shared" si="68"/>
        <v>0</v>
      </c>
      <c r="BE391" s="605">
        <f t="shared" si="68"/>
        <v>0</v>
      </c>
      <c r="BF391" s="605">
        <f t="shared" si="68"/>
        <v>0</v>
      </c>
      <c r="BG391" s="605">
        <f t="shared" si="68"/>
        <v>0</v>
      </c>
      <c r="BH391" s="605">
        <f t="shared" si="68"/>
        <v>0</v>
      </c>
      <c r="BI391" s="605">
        <f t="shared" si="68"/>
        <v>0</v>
      </c>
      <c r="BJ391" s="605">
        <f t="shared" si="68"/>
        <v>0</v>
      </c>
      <c r="BK391" s="605">
        <f t="shared" si="68"/>
        <v>0</v>
      </c>
      <c r="BL391" s="605">
        <f t="shared" si="68"/>
        <v>0</v>
      </c>
      <c r="BM391" s="605">
        <f t="shared" si="68"/>
        <v>0</v>
      </c>
    </row>
    <row r="392" spans="50:65">
      <c r="AX392" s="2">
        <v>15</v>
      </c>
      <c r="AY392" s="293">
        <f t="shared" si="68"/>
        <v>3625.3999999999996</v>
      </c>
      <c r="AZ392" s="605">
        <f t="shared" si="68"/>
        <v>0</v>
      </c>
      <c r="BA392" s="605">
        <f t="shared" si="68"/>
        <v>0</v>
      </c>
      <c r="BB392" s="293">
        <f t="shared" si="68"/>
        <v>275.25</v>
      </c>
      <c r="BC392" s="605">
        <f t="shared" si="68"/>
        <v>0</v>
      </c>
      <c r="BD392" s="605">
        <f t="shared" si="68"/>
        <v>0</v>
      </c>
      <c r="BE392" s="605">
        <f t="shared" si="68"/>
        <v>0</v>
      </c>
      <c r="BF392" s="605">
        <f t="shared" si="68"/>
        <v>0</v>
      </c>
      <c r="BG392" s="605">
        <f t="shared" si="68"/>
        <v>0</v>
      </c>
      <c r="BH392" s="605">
        <f t="shared" si="68"/>
        <v>0</v>
      </c>
      <c r="BI392" s="605">
        <f t="shared" si="68"/>
        <v>0</v>
      </c>
      <c r="BJ392" s="605">
        <f t="shared" si="68"/>
        <v>0</v>
      </c>
      <c r="BK392" s="605">
        <f t="shared" si="68"/>
        <v>0</v>
      </c>
      <c r="BL392" s="605">
        <f t="shared" si="68"/>
        <v>0</v>
      </c>
      <c r="BM392" s="605">
        <f t="shared" si="68"/>
        <v>0</v>
      </c>
    </row>
    <row r="393" spans="50:65">
      <c r="AX393" s="2">
        <v>16</v>
      </c>
      <c r="AY393" s="293">
        <f t="shared" si="68"/>
        <v>3694.2</v>
      </c>
      <c r="AZ393" s="605">
        <f t="shared" si="68"/>
        <v>0</v>
      </c>
      <c r="BA393" s="605">
        <f t="shared" si="68"/>
        <v>0</v>
      </c>
      <c r="BB393" s="293">
        <f t="shared" si="68"/>
        <v>344.0625</v>
      </c>
      <c r="BC393" s="605">
        <f t="shared" si="68"/>
        <v>0</v>
      </c>
      <c r="BD393" s="605">
        <f t="shared" si="68"/>
        <v>0</v>
      </c>
      <c r="BE393" s="605">
        <f t="shared" si="68"/>
        <v>0</v>
      </c>
      <c r="BF393" s="605">
        <f t="shared" si="68"/>
        <v>0</v>
      </c>
      <c r="BG393" s="605">
        <f t="shared" si="68"/>
        <v>0</v>
      </c>
      <c r="BH393" s="605">
        <f t="shared" si="68"/>
        <v>0</v>
      </c>
      <c r="BI393" s="605">
        <f t="shared" si="68"/>
        <v>0</v>
      </c>
      <c r="BJ393" s="605">
        <f t="shared" si="68"/>
        <v>0</v>
      </c>
      <c r="BK393" s="605">
        <f t="shared" si="68"/>
        <v>0</v>
      </c>
      <c r="BL393" s="605">
        <f t="shared" si="68"/>
        <v>0</v>
      </c>
      <c r="BM393" s="605">
        <f t="shared" si="68"/>
        <v>0</v>
      </c>
    </row>
    <row r="394" spans="50:65">
      <c r="AX394" s="2">
        <v>17</v>
      </c>
      <c r="AY394" s="293">
        <f t="shared" si="68"/>
        <v>3763</v>
      </c>
      <c r="AZ394" s="605">
        <f t="shared" si="68"/>
        <v>0</v>
      </c>
      <c r="BA394" s="605">
        <f t="shared" si="68"/>
        <v>0</v>
      </c>
      <c r="BB394" s="293">
        <f t="shared" si="68"/>
        <v>412.875</v>
      </c>
      <c r="BC394" s="605">
        <f t="shared" si="68"/>
        <v>0</v>
      </c>
      <c r="BD394" s="605">
        <f t="shared" si="68"/>
        <v>0</v>
      </c>
      <c r="BE394" s="605">
        <f t="shared" si="68"/>
        <v>0</v>
      </c>
      <c r="BF394" s="605">
        <f t="shared" si="68"/>
        <v>0</v>
      </c>
      <c r="BG394" s="605">
        <f t="shared" si="68"/>
        <v>0</v>
      </c>
      <c r="BH394" s="605">
        <f t="shared" si="68"/>
        <v>0</v>
      </c>
      <c r="BI394" s="605">
        <f t="shared" si="68"/>
        <v>0</v>
      </c>
      <c r="BJ394" s="605">
        <f t="shared" si="68"/>
        <v>0</v>
      </c>
      <c r="BK394" s="605">
        <f t="shared" si="68"/>
        <v>0</v>
      </c>
      <c r="BL394" s="605">
        <f t="shared" si="68"/>
        <v>0</v>
      </c>
      <c r="BM394" s="605">
        <f t="shared" si="68"/>
        <v>0</v>
      </c>
    </row>
    <row r="395" spans="50:65">
      <c r="AX395" s="2">
        <v>18</v>
      </c>
      <c r="AY395" s="293">
        <f t="shared" si="68"/>
        <v>3831.7999999999997</v>
      </c>
      <c r="AZ395" s="605">
        <f t="shared" si="68"/>
        <v>0</v>
      </c>
      <c r="BA395" s="605">
        <f t="shared" si="68"/>
        <v>0</v>
      </c>
      <c r="BB395" s="293">
        <f t="shared" si="68"/>
        <v>481.6875</v>
      </c>
      <c r="BC395" s="605">
        <f t="shared" si="68"/>
        <v>0</v>
      </c>
      <c r="BD395" s="605">
        <f t="shared" si="68"/>
        <v>0</v>
      </c>
      <c r="BE395" s="605">
        <f t="shared" si="68"/>
        <v>0</v>
      </c>
      <c r="BF395" s="605">
        <f t="shared" si="68"/>
        <v>0</v>
      </c>
      <c r="BG395" s="605">
        <f t="shared" si="68"/>
        <v>0</v>
      </c>
      <c r="BH395" s="605">
        <f t="shared" si="68"/>
        <v>0</v>
      </c>
      <c r="BI395" s="605">
        <f t="shared" si="68"/>
        <v>0</v>
      </c>
      <c r="BJ395" s="605">
        <f t="shared" si="68"/>
        <v>0</v>
      </c>
      <c r="BK395" s="605">
        <f t="shared" si="68"/>
        <v>0</v>
      </c>
      <c r="BL395" s="605">
        <f t="shared" si="68"/>
        <v>0</v>
      </c>
      <c r="BM395" s="605">
        <f t="shared" si="68"/>
        <v>0</v>
      </c>
    </row>
    <row r="396" spans="50:65">
      <c r="AX396" s="2">
        <v>19</v>
      </c>
      <c r="AY396" s="2">
        <v>3900.6</v>
      </c>
      <c r="AZ396" s="250">
        <v>0</v>
      </c>
      <c r="BA396" s="251"/>
      <c r="BB396" s="2">
        <v>550.5</v>
      </c>
      <c r="BC396" s="250">
        <v>0</v>
      </c>
      <c r="BD396" s="250">
        <v>0</v>
      </c>
      <c r="BE396" s="250">
        <v>0</v>
      </c>
      <c r="BF396" s="250">
        <v>0</v>
      </c>
      <c r="BG396" s="250">
        <v>0</v>
      </c>
      <c r="BH396" s="250">
        <v>0</v>
      </c>
      <c r="BI396" s="250">
        <v>0</v>
      </c>
      <c r="BJ396" s="250">
        <v>0</v>
      </c>
      <c r="BK396" s="250">
        <v>0</v>
      </c>
      <c r="BL396" s="250">
        <v>0</v>
      </c>
      <c r="BM396" s="250">
        <v>0</v>
      </c>
    </row>
    <row r="397" spans="50:65">
      <c r="AX397" s="2">
        <v>20</v>
      </c>
      <c r="AY397" s="293">
        <f t="shared" ref="AY397:BM406" si="69">((($AX397-$AX$396)*(AY$407-AY$396))/($AX$407-$AX$396))+AY$396</f>
        <v>3931.3454545454547</v>
      </c>
      <c r="AZ397" s="605">
        <f t="shared" si="69"/>
        <v>0</v>
      </c>
      <c r="BA397" s="605">
        <f t="shared" si="69"/>
        <v>0</v>
      </c>
      <c r="BB397" s="293">
        <f t="shared" si="69"/>
        <v>581.23636363636365</v>
      </c>
      <c r="BC397" s="605">
        <f t="shared" si="69"/>
        <v>0</v>
      </c>
      <c r="BD397" s="605">
        <f t="shared" si="69"/>
        <v>0</v>
      </c>
      <c r="BE397" s="293">
        <f t="shared" si="69"/>
        <v>30.736363636363638</v>
      </c>
      <c r="BF397" s="605">
        <f t="shared" si="69"/>
        <v>0</v>
      </c>
      <c r="BG397" s="605">
        <f t="shared" si="69"/>
        <v>0</v>
      </c>
      <c r="BH397" s="605">
        <f t="shared" si="69"/>
        <v>0</v>
      </c>
      <c r="BI397" s="605">
        <f t="shared" si="69"/>
        <v>0</v>
      </c>
      <c r="BJ397" s="605">
        <f t="shared" si="69"/>
        <v>0</v>
      </c>
      <c r="BK397" s="605">
        <f t="shared" si="69"/>
        <v>0</v>
      </c>
      <c r="BL397" s="605">
        <f t="shared" si="69"/>
        <v>0</v>
      </c>
      <c r="BM397" s="605">
        <f t="shared" si="69"/>
        <v>0</v>
      </c>
    </row>
    <row r="398" spans="50:65">
      <c r="AX398" s="2">
        <v>21</v>
      </c>
      <c r="AY398" s="293">
        <f t="shared" si="69"/>
        <v>3962.090909090909</v>
      </c>
      <c r="AZ398" s="605">
        <f t="shared" si="69"/>
        <v>0</v>
      </c>
      <c r="BA398" s="605">
        <f t="shared" si="69"/>
        <v>0</v>
      </c>
      <c r="BB398" s="293">
        <f t="shared" si="69"/>
        <v>611.9727272727273</v>
      </c>
      <c r="BC398" s="605">
        <f t="shared" si="69"/>
        <v>0</v>
      </c>
      <c r="BD398" s="605">
        <f t="shared" si="69"/>
        <v>0</v>
      </c>
      <c r="BE398" s="293">
        <f t="shared" si="69"/>
        <v>61.472727272727276</v>
      </c>
      <c r="BF398" s="605">
        <f t="shared" si="69"/>
        <v>0</v>
      </c>
      <c r="BG398" s="605">
        <f t="shared" si="69"/>
        <v>0</v>
      </c>
      <c r="BH398" s="605">
        <f t="shared" si="69"/>
        <v>0</v>
      </c>
      <c r="BI398" s="605">
        <f t="shared" si="69"/>
        <v>0</v>
      </c>
      <c r="BJ398" s="605">
        <f t="shared" si="69"/>
        <v>0</v>
      </c>
      <c r="BK398" s="605">
        <f t="shared" si="69"/>
        <v>0</v>
      </c>
      <c r="BL398" s="605">
        <f t="shared" si="69"/>
        <v>0</v>
      </c>
      <c r="BM398" s="605">
        <f t="shared" si="69"/>
        <v>0</v>
      </c>
    </row>
    <row r="399" spans="50:65">
      <c r="AX399" s="2">
        <v>22</v>
      </c>
      <c r="AY399" s="293">
        <f t="shared" si="69"/>
        <v>3992.8363636363638</v>
      </c>
      <c r="AZ399" s="605">
        <f t="shared" si="69"/>
        <v>0</v>
      </c>
      <c r="BA399" s="605">
        <f t="shared" si="69"/>
        <v>0</v>
      </c>
      <c r="BB399" s="293">
        <f t="shared" si="69"/>
        <v>642.70909090909095</v>
      </c>
      <c r="BC399" s="605">
        <f t="shared" si="69"/>
        <v>0</v>
      </c>
      <c r="BD399" s="605">
        <f t="shared" si="69"/>
        <v>0</v>
      </c>
      <c r="BE399" s="293">
        <f t="shared" si="69"/>
        <v>92.209090909090918</v>
      </c>
      <c r="BF399" s="605">
        <f t="shared" si="69"/>
        <v>0</v>
      </c>
      <c r="BG399" s="605">
        <f t="shared" si="69"/>
        <v>0</v>
      </c>
      <c r="BH399" s="605">
        <f t="shared" si="69"/>
        <v>0</v>
      </c>
      <c r="BI399" s="605">
        <f t="shared" si="69"/>
        <v>0</v>
      </c>
      <c r="BJ399" s="605">
        <f t="shared" si="69"/>
        <v>0</v>
      </c>
      <c r="BK399" s="605">
        <f t="shared" si="69"/>
        <v>0</v>
      </c>
      <c r="BL399" s="605">
        <f t="shared" si="69"/>
        <v>0</v>
      </c>
      <c r="BM399" s="605">
        <f t="shared" si="69"/>
        <v>0</v>
      </c>
    </row>
    <row r="400" spans="50:65">
      <c r="AX400" s="2">
        <v>23</v>
      </c>
      <c r="AY400" s="293">
        <f t="shared" si="69"/>
        <v>4023.5818181818181</v>
      </c>
      <c r="AZ400" s="605">
        <f t="shared" si="69"/>
        <v>0</v>
      </c>
      <c r="BA400" s="605">
        <f t="shared" si="69"/>
        <v>0</v>
      </c>
      <c r="BB400" s="293">
        <f t="shared" si="69"/>
        <v>673.4454545454546</v>
      </c>
      <c r="BC400" s="605">
        <f t="shared" si="69"/>
        <v>0</v>
      </c>
      <c r="BD400" s="605">
        <f t="shared" si="69"/>
        <v>0</v>
      </c>
      <c r="BE400" s="293">
        <f t="shared" si="69"/>
        <v>122.94545454545455</v>
      </c>
      <c r="BF400" s="605">
        <f t="shared" si="69"/>
        <v>0</v>
      </c>
      <c r="BG400" s="605">
        <f t="shared" si="69"/>
        <v>0</v>
      </c>
      <c r="BH400" s="605">
        <f t="shared" si="69"/>
        <v>0</v>
      </c>
      <c r="BI400" s="605">
        <f t="shared" si="69"/>
        <v>0</v>
      </c>
      <c r="BJ400" s="605">
        <f t="shared" si="69"/>
        <v>0</v>
      </c>
      <c r="BK400" s="605">
        <f t="shared" si="69"/>
        <v>0</v>
      </c>
      <c r="BL400" s="605">
        <f t="shared" si="69"/>
        <v>0</v>
      </c>
      <c r="BM400" s="605">
        <f t="shared" si="69"/>
        <v>0</v>
      </c>
    </row>
    <row r="401" spans="50:65">
      <c r="AX401" s="2">
        <v>24</v>
      </c>
      <c r="AY401" s="293">
        <f t="shared" si="69"/>
        <v>4054.3272727272729</v>
      </c>
      <c r="AZ401" s="605">
        <f t="shared" si="69"/>
        <v>0</v>
      </c>
      <c r="BA401" s="605">
        <f t="shared" si="69"/>
        <v>0</v>
      </c>
      <c r="BB401" s="293">
        <f t="shared" si="69"/>
        <v>704.18181818181824</v>
      </c>
      <c r="BC401" s="605">
        <f t="shared" si="69"/>
        <v>0</v>
      </c>
      <c r="BD401" s="605">
        <f t="shared" si="69"/>
        <v>0</v>
      </c>
      <c r="BE401" s="293">
        <f t="shared" si="69"/>
        <v>153.68181818181819</v>
      </c>
      <c r="BF401" s="605">
        <f t="shared" si="69"/>
        <v>0</v>
      </c>
      <c r="BG401" s="605">
        <f t="shared" si="69"/>
        <v>0</v>
      </c>
      <c r="BH401" s="605">
        <f t="shared" si="69"/>
        <v>0</v>
      </c>
      <c r="BI401" s="605">
        <f t="shared" si="69"/>
        <v>0</v>
      </c>
      <c r="BJ401" s="605">
        <f t="shared" si="69"/>
        <v>0</v>
      </c>
      <c r="BK401" s="605">
        <f t="shared" si="69"/>
        <v>0</v>
      </c>
      <c r="BL401" s="605">
        <f t="shared" si="69"/>
        <v>0</v>
      </c>
      <c r="BM401" s="605">
        <f t="shared" si="69"/>
        <v>0</v>
      </c>
    </row>
    <row r="402" spans="50:65">
      <c r="AX402" s="2">
        <v>25</v>
      </c>
      <c r="AY402" s="293">
        <f t="shared" si="69"/>
        <v>4085.0727272727272</v>
      </c>
      <c r="AZ402" s="605">
        <f t="shared" si="69"/>
        <v>0</v>
      </c>
      <c r="BA402" s="605">
        <f t="shared" si="69"/>
        <v>0</v>
      </c>
      <c r="BB402" s="293">
        <f t="shared" si="69"/>
        <v>734.91818181818189</v>
      </c>
      <c r="BC402" s="605">
        <f t="shared" si="69"/>
        <v>0</v>
      </c>
      <c r="BD402" s="605">
        <f t="shared" si="69"/>
        <v>0</v>
      </c>
      <c r="BE402" s="293">
        <f t="shared" si="69"/>
        <v>184.41818181818184</v>
      </c>
      <c r="BF402" s="605">
        <f t="shared" si="69"/>
        <v>0</v>
      </c>
      <c r="BG402" s="605">
        <f t="shared" si="69"/>
        <v>0</v>
      </c>
      <c r="BH402" s="605">
        <f t="shared" si="69"/>
        <v>0</v>
      </c>
      <c r="BI402" s="605">
        <f t="shared" si="69"/>
        <v>0</v>
      </c>
      <c r="BJ402" s="605">
        <f t="shared" si="69"/>
        <v>0</v>
      </c>
      <c r="BK402" s="605">
        <f t="shared" si="69"/>
        <v>0</v>
      </c>
      <c r="BL402" s="605">
        <f t="shared" si="69"/>
        <v>0</v>
      </c>
      <c r="BM402" s="605">
        <f t="shared" si="69"/>
        <v>0</v>
      </c>
    </row>
    <row r="403" spans="50:65">
      <c r="AX403" s="2">
        <v>26</v>
      </c>
      <c r="AY403" s="293">
        <f t="shared" si="69"/>
        <v>4115.818181818182</v>
      </c>
      <c r="AZ403" s="605">
        <f t="shared" si="69"/>
        <v>0</v>
      </c>
      <c r="BA403" s="605">
        <f t="shared" si="69"/>
        <v>0</v>
      </c>
      <c r="BB403" s="293">
        <f t="shared" si="69"/>
        <v>765.65454545454554</v>
      </c>
      <c r="BC403" s="605">
        <f t="shared" si="69"/>
        <v>0</v>
      </c>
      <c r="BD403" s="605">
        <f t="shared" si="69"/>
        <v>0</v>
      </c>
      <c r="BE403" s="293">
        <f t="shared" si="69"/>
        <v>215.15454545454548</v>
      </c>
      <c r="BF403" s="605">
        <f t="shared" si="69"/>
        <v>0</v>
      </c>
      <c r="BG403" s="605">
        <f t="shared" si="69"/>
        <v>0</v>
      </c>
      <c r="BH403" s="605">
        <f t="shared" si="69"/>
        <v>0</v>
      </c>
      <c r="BI403" s="605">
        <f t="shared" si="69"/>
        <v>0</v>
      </c>
      <c r="BJ403" s="605">
        <f t="shared" si="69"/>
        <v>0</v>
      </c>
      <c r="BK403" s="605">
        <f t="shared" si="69"/>
        <v>0</v>
      </c>
      <c r="BL403" s="605">
        <f t="shared" si="69"/>
        <v>0</v>
      </c>
      <c r="BM403" s="605">
        <f t="shared" si="69"/>
        <v>0</v>
      </c>
    </row>
    <row r="404" spans="50:65">
      <c r="AX404" s="2">
        <v>27</v>
      </c>
      <c r="AY404" s="293">
        <f t="shared" si="69"/>
        <v>4146.5636363636368</v>
      </c>
      <c r="AZ404" s="605">
        <f t="shared" si="69"/>
        <v>0</v>
      </c>
      <c r="BA404" s="605">
        <f t="shared" si="69"/>
        <v>0</v>
      </c>
      <c r="BB404" s="293">
        <f t="shared" si="69"/>
        <v>796.39090909090908</v>
      </c>
      <c r="BC404" s="605">
        <f t="shared" si="69"/>
        <v>0</v>
      </c>
      <c r="BD404" s="605">
        <f t="shared" si="69"/>
        <v>0</v>
      </c>
      <c r="BE404" s="293">
        <f t="shared" si="69"/>
        <v>245.8909090909091</v>
      </c>
      <c r="BF404" s="605">
        <f t="shared" si="69"/>
        <v>0</v>
      </c>
      <c r="BG404" s="605">
        <f t="shared" si="69"/>
        <v>0</v>
      </c>
      <c r="BH404" s="605">
        <f t="shared" si="69"/>
        <v>0</v>
      </c>
      <c r="BI404" s="605">
        <f t="shared" si="69"/>
        <v>0</v>
      </c>
      <c r="BJ404" s="605">
        <f t="shared" si="69"/>
        <v>0</v>
      </c>
      <c r="BK404" s="605">
        <f t="shared" si="69"/>
        <v>0</v>
      </c>
      <c r="BL404" s="605">
        <f t="shared" si="69"/>
        <v>0</v>
      </c>
      <c r="BM404" s="605">
        <f t="shared" si="69"/>
        <v>0</v>
      </c>
    </row>
    <row r="405" spans="50:65">
      <c r="AX405" s="2">
        <v>28</v>
      </c>
      <c r="AY405" s="293">
        <f t="shared" si="69"/>
        <v>4177.3090909090906</v>
      </c>
      <c r="AZ405" s="605">
        <f t="shared" si="69"/>
        <v>0</v>
      </c>
      <c r="BA405" s="605">
        <f t="shared" si="69"/>
        <v>0</v>
      </c>
      <c r="BB405" s="293">
        <f t="shared" si="69"/>
        <v>827.12727272727273</v>
      </c>
      <c r="BC405" s="605">
        <f t="shared" si="69"/>
        <v>0</v>
      </c>
      <c r="BD405" s="605">
        <f t="shared" si="69"/>
        <v>0</v>
      </c>
      <c r="BE405" s="293">
        <f t="shared" si="69"/>
        <v>276.62727272727273</v>
      </c>
      <c r="BF405" s="605">
        <f t="shared" si="69"/>
        <v>0</v>
      </c>
      <c r="BG405" s="605">
        <f t="shared" si="69"/>
        <v>0</v>
      </c>
      <c r="BH405" s="605">
        <f t="shared" si="69"/>
        <v>0</v>
      </c>
      <c r="BI405" s="605">
        <f t="shared" si="69"/>
        <v>0</v>
      </c>
      <c r="BJ405" s="605">
        <f t="shared" si="69"/>
        <v>0</v>
      </c>
      <c r="BK405" s="605">
        <f t="shared" si="69"/>
        <v>0</v>
      </c>
      <c r="BL405" s="605">
        <f t="shared" si="69"/>
        <v>0</v>
      </c>
      <c r="BM405" s="605">
        <f t="shared" si="69"/>
        <v>0</v>
      </c>
    </row>
    <row r="406" spans="50:65">
      <c r="AX406" s="2">
        <v>29</v>
      </c>
      <c r="AY406" s="293">
        <f t="shared" si="69"/>
        <v>4208.0545454545454</v>
      </c>
      <c r="AZ406" s="605">
        <f t="shared" si="69"/>
        <v>0</v>
      </c>
      <c r="BA406" s="605">
        <f t="shared" si="69"/>
        <v>0</v>
      </c>
      <c r="BB406" s="293">
        <f t="shared" si="69"/>
        <v>857.86363636363637</v>
      </c>
      <c r="BC406" s="605">
        <f t="shared" si="69"/>
        <v>0</v>
      </c>
      <c r="BD406" s="605">
        <f t="shared" si="69"/>
        <v>0</v>
      </c>
      <c r="BE406" s="293">
        <f t="shared" si="69"/>
        <v>307.36363636363637</v>
      </c>
      <c r="BF406" s="605">
        <f t="shared" si="69"/>
        <v>0</v>
      </c>
      <c r="BG406" s="605">
        <f t="shared" si="69"/>
        <v>0</v>
      </c>
      <c r="BH406" s="605">
        <f t="shared" si="69"/>
        <v>0</v>
      </c>
      <c r="BI406" s="605">
        <f t="shared" si="69"/>
        <v>0</v>
      </c>
      <c r="BJ406" s="605">
        <f t="shared" si="69"/>
        <v>0</v>
      </c>
      <c r="BK406" s="605">
        <f t="shared" si="69"/>
        <v>0</v>
      </c>
      <c r="BL406" s="605">
        <f t="shared" si="69"/>
        <v>0</v>
      </c>
      <c r="BM406" s="605">
        <f t="shared" si="69"/>
        <v>0</v>
      </c>
    </row>
    <row r="407" spans="50:65">
      <c r="AX407" s="2">
        <v>30</v>
      </c>
      <c r="AY407" s="2">
        <v>4238.8</v>
      </c>
      <c r="AZ407" s="250">
        <v>0</v>
      </c>
      <c r="BA407" s="251">
        <v>0</v>
      </c>
      <c r="BB407" s="2">
        <v>888.6</v>
      </c>
      <c r="BC407" s="250">
        <v>0</v>
      </c>
      <c r="BD407" s="251">
        <v>0</v>
      </c>
      <c r="BE407" s="2">
        <v>338.1</v>
      </c>
      <c r="BF407" s="250">
        <v>0</v>
      </c>
      <c r="BG407" s="250">
        <v>0</v>
      </c>
      <c r="BH407" s="250">
        <v>0</v>
      </c>
      <c r="BI407" s="250">
        <v>0</v>
      </c>
      <c r="BJ407" s="250">
        <v>0</v>
      </c>
      <c r="BK407" s="250">
        <v>0</v>
      </c>
      <c r="BL407" s="250">
        <v>0</v>
      </c>
      <c r="BM407" s="2">
        <v>0</v>
      </c>
    </row>
    <row r="408" spans="50:65">
      <c r="AX408" s="2">
        <v>31</v>
      </c>
      <c r="AY408" s="293">
        <f t="shared" ref="AY408:BM414" si="70">((($AX408-$AX$407)*(AY$415-AY$407))/($AX$415-$AX$407))+AY$407</f>
        <v>4255.8375000000005</v>
      </c>
      <c r="AZ408" s="605">
        <f t="shared" si="70"/>
        <v>0</v>
      </c>
      <c r="BA408" s="605">
        <f t="shared" si="70"/>
        <v>0</v>
      </c>
      <c r="BB408" s="293">
        <f t="shared" si="70"/>
        <v>905.63750000000005</v>
      </c>
      <c r="BC408" s="605">
        <f t="shared" si="70"/>
        <v>0</v>
      </c>
      <c r="BD408" s="605">
        <f t="shared" si="70"/>
        <v>0</v>
      </c>
      <c r="BE408" s="293">
        <f t="shared" si="70"/>
        <v>355.15000000000003</v>
      </c>
      <c r="BF408" s="605">
        <f t="shared" si="70"/>
        <v>0</v>
      </c>
      <c r="BG408" s="605">
        <f t="shared" si="70"/>
        <v>0</v>
      </c>
      <c r="BH408" s="293">
        <f t="shared" si="70"/>
        <v>17.037500000000001</v>
      </c>
      <c r="BI408" s="605">
        <f t="shared" si="70"/>
        <v>0</v>
      </c>
      <c r="BJ408" s="605">
        <f t="shared" si="70"/>
        <v>0</v>
      </c>
      <c r="BK408" s="605">
        <f t="shared" si="70"/>
        <v>0</v>
      </c>
      <c r="BL408" s="605">
        <f t="shared" si="70"/>
        <v>0</v>
      </c>
      <c r="BM408" s="605">
        <f t="shared" si="70"/>
        <v>0</v>
      </c>
    </row>
    <row r="409" spans="50:65">
      <c r="AX409" s="2">
        <v>32</v>
      </c>
      <c r="AY409" s="293">
        <f t="shared" si="70"/>
        <v>4272.875</v>
      </c>
      <c r="AZ409" s="605">
        <f t="shared" si="70"/>
        <v>0</v>
      </c>
      <c r="BA409" s="605">
        <f t="shared" si="70"/>
        <v>0</v>
      </c>
      <c r="BB409" s="293">
        <f t="shared" si="70"/>
        <v>922.67500000000007</v>
      </c>
      <c r="BC409" s="605">
        <f t="shared" si="70"/>
        <v>0</v>
      </c>
      <c r="BD409" s="605">
        <f t="shared" si="70"/>
        <v>0</v>
      </c>
      <c r="BE409" s="293">
        <f t="shared" si="70"/>
        <v>372.20000000000005</v>
      </c>
      <c r="BF409" s="605">
        <f t="shared" si="70"/>
        <v>0</v>
      </c>
      <c r="BG409" s="605">
        <f t="shared" si="70"/>
        <v>0</v>
      </c>
      <c r="BH409" s="293">
        <f t="shared" si="70"/>
        <v>34.075000000000003</v>
      </c>
      <c r="BI409" s="605">
        <f t="shared" si="70"/>
        <v>0</v>
      </c>
      <c r="BJ409" s="605">
        <f t="shared" si="70"/>
        <v>0</v>
      </c>
      <c r="BK409" s="605">
        <f t="shared" si="70"/>
        <v>0</v>
      </c>
      <c r="BL409" s="605">
        <f t="shared" si="70"/>
        <v>0</v>
      </c>
      <c r="BM409" s="605">
        <f t="shared" si="70"/>
        <v>0</v>
      </c>
    </row>
    <row r="410" spans="50:65">
      <c r="AX410" s="2">
        <v>33</v>
      </c>
      <c r="AY410" s="293">
        <f t="shared" si="70"/>
        <v>4289.9125000000004</v>
      </c>
      <c r="AZ410" s="605">
        <f t="shared" si="70"/>
        <v>0</v>
      </c>
      <c r="BA410" s="605">
        <f t="shared" si="70"/>
        <v>0</v>
      </c>
      <c r="BB410" s="293">
        <f t="shared" si="70"/>
        <v>939.71250000000009</v>
      </c>
      <c r="BC410" s="605">
        <f t="shared" si="70"/>
        <v>0</v>
      </c>
      <c r="BD410" s="605">
        <f t="shared" si="70"/>
        <v>0</v>
      </c>
      <c r="BE410" s="293">
        <f t="shared" si="70"/>
        <v>389.25</v>
      </c>
      <c r="BF410" s="605">
        <f t="shared" si="70"/>
        <v>0</v>
      </c>
      <c r="BG410" s="605">
        <f t="shared" si="70"/>
        <v>0</v>
      </c>
      <c r="BH410" s="293">
        <f t="shared" si="70"/>
        <v>51.112500000000004</v>
      </c>
      <c r="BI410" s="605">
        <f t="shared" si="70"/>
        <v>0</v>
      </c>
      <c r="BJ410" s="605">
        <f t="shared" si="70"/>
        <v>0</v>
      </c>
      <c r="BK410" s="605">
        <f t="shared" si="70"/>
        <v>0</v>
      </c>
      <c r="BL410" s="605">
        <f t="shared" si="70"/>
        <v>0</v>
      </c>
      <c r="BM410" s="605">
        <f t="shared" si="70"/>
        <v>0</v>
      </c>
    </row>
    <row r="411" spans="50:65">
      <c r="AX411" s="2">
        <v>34</v>
      </c>
      <c r="AY411" s="293">
        <f t="shared" si="70"/>
        <v>4306.9500000000007</v>
      </c>
      <c r="AZ411" s="605">
        <f t="shared" si="70"/>
        <v>0</v>
      </c>
      <c r="BA411" s="605">
        <f t="shared" si="70"/>
        <v>0</v>
      </c>
      <c r="BB411" s="293">
        <f t="shared" si="70"/>
        <v>956.75</v>
      </c>
      <c r="BC411" s="605">
        <f t="shared" si="70"/>
        <v>0</v>
      </c>
      <c r="BD411" s="605">
        <f t="shared" si="70"/>
        <v>0</v>
      </c>
      <c r="BE411" s="293">
        <f t="shared" si="70"/>
        <v>406.3</v>
      </c>
      <c r="BF411" s="605">
        <f t="shared" si="70"/>
        <v>0</v>
      </c>
      <c r="BG411" s="605">
        <f t="shared" si="70"/>
        <v>0</v>
      </c>
      <c r="BH411" s="293">
        <f t="shared" si="70"/>
        <v>68.150000000000006</v>
      </c>
      <c r="BI411" s="605">
        <f t="shared" si="70"/>
        <v>0</v>
      </c>
      <c r="BJ411" s="605">
        <f t="shared" si="70"/>
        <v>0</v>
      </c>
      <c r="BK411" s="605">
        <f t="shared" si="70"/>
        <v>0</v>
      </c>
      <c r="BL411" s="605">
        <f t="shared" si="70"/>
        <v>0</v>
      </c>
      <c r="BM411" s="605">
        <f t="shared" si="70"/>
        <v>0</v>
      </c>
    </row>
    <row r="412" spans="50:65">
      <c r="AX412" s="2">
        <v>35</v>
      </c>
      <c r="AY412" s="293">
        <f t="shared" si="70"/>
        <v>4323.9875000000002</v>
      </c>
      <c r="AZ412" s="605">
        <f t="shared" si="70"/>
        <v>0</v>
      </c>
      <c r="BA412" s="605">
        <f t="shared" si="70"/>
        <v>0</v>
      </c>
      <c r="BB412" s="293">
        <f t="shared" si="70"/>
        <v>973.78750000000002</v>
      </c>
      <c r="BC412" s="605">
        <f t="shared" si="70"/>
        <v>0</v>
      </c>
      <c r="BD412" s="605">
        <f t="shared" si="70"/>
        <v>0</v>
      </c>
      <c r="BE412" s="293">
        <f t="shared" si="70"/>
        <v>423.35</v>
      </c>
      <c r="BF412" s="605">
        <f t="shared" si="70"/>
        <v>0</v>
      </c>
      <c r="BG412" s="605">
        <f t="shared" si="70"/>
        <v>0</v>
      </c>
      <c r="BH412" s="293">
        <f t="shared" si="70"/>
        <v>85.1875</v>
      </c>
      <c r="BI412" s="605">
        <f t="shared" si="70"/>
        <v>0</v>
      </c>
      <c r="BJ412" s="605">
        <f t="shared" si="70"/>
        <v>0</v>
      </c>
      <c r="BK412" s="605">
        <f t="shared" si="70"/>
        <v>0</v>
      </c>
      <c r="BL412" s="605">
        <f t="shared" si="70"/>
        <v>0</v>
      </c>
      <c r="BM412" s="605">
        <f t="shared" si="70"/>
        <v>0</v>
      </c>
    </row>
    <row r="413" spans="50:65">
      <c r="AX413" s="2">
        <v>36</v>
      </c>
      <c r="AY413" s="293">
        <f t="shared" si="70"/>
        <v>4341.0250000000005</v>
      </c>
      <c r="AZ413" s="605">
        <f t="shared" si="70"/>
        <v>0</v>
      </c>
      <c r="BA413" s="605">
        <f t="shared" si="70"/>
        <v>0</v>
      </c>
      <c r="BB413" s="293">
        <f t="shared" si="70"/>
        <v>990.82500000000005</v>
      </c>
      <c r="BC413" s="605">
        <f t="shared" si="70"/>
        <v>0</v>
      </c>
      <c r="BD413" s="605">
        <f t="shared" si="70"/>
        <v>0</v>
      </c>
      <c r="BE413" s="293">
        <f t="shared" si="70"/>
        <v>440.4</v>
      </c>
      <c r="BF413" s="605">
        <f t="shared" si="70"/>
        <v>0</v>
      </c>
      <c r="BG413" s="605">
        <f t="shared" si="70"/>
        <v>0</v>
      </c>
      <c r="BH413" s="293">
        <f t="shared" si="70"/>
        <v>102.22500000000001</v>
      </c>
      <c r="BI413" s="605">
        <f t="shared" si="70"/>
        <v>0</v>
      </c>
      <c r="BJ413" s="605">
        <f t="shared" si="70"/>
        <v>0</v>
      </c>
      <c r="BK413" s="605">
        <f t="shared" si="70"/>
        <v>0</v>
      </c>
      <c r="BL413" s="605">
        <f t="shared" si="70"/>
        <v>0</v>
      </c>
      <c r="BM413" s="605">
        <f t="shared" si="70"/>
        <v>0</v>
      </c>
    </row>
    <row r="414" spans="50:65">
      <c r="AX414" s="2">
        <v>37</v>
      </c>
      <c r="AY414" s="293">
        <f t="shared" si="70"/>
        <v>4358.0625</v>
      </c>
      <c r="AZ414" s="605">
        <f t="shared" si="70"/>
        <v>0</v>
      </c>
      <c r="BA414" s="605">
        <f t="shared" si="70"/>
        <v>0</v>
      </c>
      <c r="BB414" s="293">
        <f t="shared" si="70"/>
        <v>1007.8625000000001</v>
      </c>
      <c r="BC414" s="605">
        <f t="shared" si="70"/>
        <v>0</v>
      </c>
      <c r="BD414" s="605">
        <f t="shared" si="70"/>
        <v>0</v>
      </c>
      <c r="BE414" s="293">
        <f t="shared" si="70"/>
        <v>457.45</v>
      </c>
      <c r="BF414" s="605">
        <f t="shared" si="70"/>
        <v>0</v>
      </c>
      <c r="BG414" s="605">
        <f t="shared" si="70"/>
        <v>0</v>
      </c>
      <c r="BH414" s="293">
        <f t="shared" si="70"/>
        <v>119.26250000000002</v>
      </c>
      <c r="BI414" s="605">
        <f t="shared" si="70"/>
        <v>0</v>
      </c>
      <c r="BJ414" s="605">
        <f t="shared" si="70"/>
        <v>0</v>
      </c>
      <c r="BK414" s="605">
        <f t="shared" si="70"/>
        <v>0</v>
      </c>
      <c r="BL414" s="605">
        <f t="shared" si="70"/>
        <v>0</v>
      </c>
      <c r="BM414" s="605">
        <f t="shared" si="70"/>
        <v>0</v>
      </c>
    </row>
    <row r="415" spans="50:65">
      <c r="AX415" s="2">
        <v>38</v>
      </c>
      <c r="AY415" s="2">
        <v>4375.1000000000004</v>
      </c>
      <c r="AZ415" s="250">
        <v>0</v>
      </c>
      <c r="BA415" s="251">
        <v>0</v>
      </c>
      <c r="BB415" s="2">
        <v>1024.9000000000001</v>
      </c>
      <c r="BC415" s="250">
        <v>0</v>
      </c>
      <c r="BD415" s="251">
        <v>0</v>
      </c>
      <c r="BE415" s="2">
        <v>474.5</v>
      </c>
      <c r="BF415" s="250">
        <v>0</v>
      </c>
      <c r="BG415" s="251">
        <v>0</v>
      </c>
      <c r="BH415" s="2">
        <v>136.30000000000001</v>
      </c>
      <c r="BI415" s="250">
        <v>0</v>
      </c>
      <c r="BJ415" s="250">
        <v>0</v>
      </c>
      <c r="BK415" s="250">
        <v>0</v>
      </c>
      <c r="BL415" s="250">
        <v>0</v>
      </c>
      <c r="BM415" s="250">
        <v>0</v>
      </c>
    </row>
    <row r="416" spans="50:65">
      <c r="AX416" s="2">
        <v>39</v>
      </c>
      <c r="AY416" s="293">
        <f t="shared" ref="AY416:BM425" si="71">((($AX416-$AX$415)*(AY$426-AY$415))/($AX$426-$AX$415))+AY$415</f>
        <v>4386.0090909090914</v>
      </c>
      <c r="AZ416" s="605">
        <f t="shared" si="71"/>
        <v>0</v>
      </c>
      <c r="BA416" s="605">
        <f t="shared" si="71"/>
        <v>0</v>
      </c>
      <c r="BB416" s="293">
        <f t="shared" si="71"/>
        <v>1035.818181818182</v>
      </c>
      <c r="BC416" s="605">
        <f t="shared" si="71"/>
        <v>0</v>
      </c>
      <c r="BD416" s="605">
        <f t="shared" si="71"/>
        <v>0</v>
      </c>
      <c r="BE416" s="293">
        <f t="shared" si="71"/>
        <v>485.40909090909093</v>
      </c>
      <c r="BF416" s="605">
        <f t="shared" si="71"/>
        <v>0</v>
      </c>
      <c r="BG416" s="605">
        <f t="shared" si="71"/>
        <v>0</v>
      </c>
      <c r="BH416" s="293">
        <f t="shared" si="71"/>
        <v>147.20909090909092</v>
      </c>
      <c r="BI416" s="605">
        <f t="shared" si="71"/>
        <v>0</v>
      </c>
      <c r="BJ416" s="605">
        <f t="shared" si="71"/>
        <v>0</v>
      </c>
      <c r="BK416" s="293">
        <f t="shared" si="71"/>
        <v>10.909090909090908</v>
      </c>
      <c r="BL416" s="605">
        <f t="shared" si="71"/>
        <v>0</v>
      </c>
      <c r="BM416" s="605">
        <f t="shared" si="71"/>
        <v>0</v>
      </c>
    </row>
    <row r="417" spans="50:65">
      <c r="AX417" s="2">
        <v>40</v>
      </c>
      <c r="AY417" s="293">
        <f t="shared" si="71"/>
        <v>4396.9181818181823</v>
      </c>
      <c r="AZ417" s="605">
        <f t="shared" si="71"/>
        <v>0</v>
      </c>
      <c r="BA417" s="605">
        <f t="shared" si="71"/>
        <v>0</v>
      </c>
      <c r="BB417" s="293">
        <f t="shared" si="71"/>
        <v>1046.7363636363636</v>
      </c>
      <c r="BC417" s="605">
        <f t="shared" si="71"/>
        <v>0</v>
      </c>
      <c r="BD417" s="605">
        <f t="shared" si="71"/>
        <v>0</v>
      </c>
      <c r="BE417" s="293">
        <f t="shared" si="71"/>
        <v>496.31818181818181</v>
      </c>
      <c r="BF417" s="605">
        <f t="shared" si="71"/>
        <v>0</v>
      </c>
      <c r="BG417" s="605">
        <f t="shared" si="71"/>
        <v>0</v>
      </c>
      <c r="BH417" s="293">
        <f t="shared" si="71"/>
        <v>158.11818181818182</v>
      </c>
      <c r="BI417" s="605">
        <f t="shared" si="71"/>
        <v>0</v>
      </c>
      <c r="BJ417" s="605">
        <f t="shared" si="71"/>
        <v>0</v>
      </c>
      <c r="BK417" s="293">
        <f t="shared" si="71"/>
        <v>21.818181818181817</v>
      </c>
      <c r="BL417" s="605">
        <f t="shared" si="71"/>
        <v>0</v>
      </c>
      <c r="BM417" s="605">
        <f t="shared" si="71"/>
        <v>0</v>
      </c>
    </row>
    <row r="418" spans="50:65">
      <c r="AX418" s="2">
        <v>41</v>
      </c>
      <c r="AY418" s="293">
        <f t="shared" si="71"/>
        <v>4407.8272727272733</v>
      </c>
      <c r="AZ418" s="605">
        <f t="shared" si="71"/>
        <v>0</v>
      </c>
      <c r="BA418" s="605">
        <f t="shared" si="71"/>
        <v>0</v>
      </c>
      <c r="BB418" s="293">
        <f t="shared" si="71"/>
        <v>1057.6545454545455</v>
      </c>
      <c r="BC418" s="605">
        <f t="shared" si="71"/>
        <v>0</v>
      </c>
      <c r="BD418" s="605">
        <f t="shared" si="71"/>
        <v>0</v>
      </c>
      <c r="BE418" s="293">
        <f t="shared" si="71"/>
        <v>507.22727272727275</v>
      </c>
      <c r="BF418" s="605">
        <f t="shared" si="71"/>
        <v>0</v>
      </c>
      <c r="BG418" s="605">
        <f t="shared" si="71"/>
        <v>0</v>
      </c>
      <c r="BH418" s="293">
        <f t="shared" si="71"/>
        <v>169.02727272727273</v>
      </c>
      <c r="BI418" s="605">
        <f t="shared" si="71"/>
        <v>0</v>
      </c>
      <c r="BJ418" s="605">
        <f t="shared" si="71"/>
        <v>0</v>
      </c>
      <c r="BK418" s="293">
        <f t="shared" si="71"/>
        <v>32.727272727272727</v>
      </c>
      <c r="BL418" s="605">
        <f t="shared" si="71"/>
        <v>0</v>
      </c>
      <c r="BM418" s="605">
        <f t="shared" si="71"/>
        <v>0</v>
      </c>
    </row>
    <row r="419" spans="50:65">
      <c r="AX419" s="2">
        <v>42</v>
      </c>
      <c r="AY419" s="293">
        <f t="shared" si="71"/>
        <v>4418.7363636363643</v>
      </c>
      <c r="AZ419" s="605">
        <f t="shared" si="71"/>
        <v>0</v>
      </c>
      <c r="BA419" s="605">
        <f t="shared" si="71"/>
        <v>0</v>
      </c>
      <c r="BB419" s="293">
        <f t="shared" si="71"/>
        <v>1068.5727272727274</v>
      </c>
      <c r="BC419" s="605">
        <f t="shared" si="71"/>
        <v>0</v>
      </c>
      <c r="BD419" s="605">
        <f t="shared" si="71"/>
        <v>0</v>
      </c>
      <c r="BE419" s="293">
        <f t="shared" si="71"/>
        <v>518.13636363636363</v>
      </c>
      <c r="BF419" s="605">
        <f t="shared" si="71"/>
        <v>0</v>
      </c>
      <c r="BG419" s="605">
        <f t="shared" si="71"/>
        <v>0</v>
      </c>
      <c r="BH419" s="293">
        <f t="shared" si="71"/>
        <v>179.93636363636364</v>
      </c>
      <c r="BI419" s="605">
        <f t="shared" si="71"/>
        <v>0</v>
      </c>
      <c r="BJ419" s="605">
        <f t="shared" si="71"/>
        <v>0</v>
      </c>
      <c r="BK419" s="293">
        <f t="shared" si="71"/>
        <v>43.636363636363633</v>
      </c>
      <c r="BL419" s="605">
        <f t="shared" si="71"/>
        <v>0</v>
      </c>
      <c r="BM419" s="605">
        <f t="shared" si="71"/>
        <v>0</v>
      </c>
    </row>
    <row r="420" spans="50:65">
      <c r="AX420" s="2">
        <v>43</v>
      </c>
      <c r="AY420" s="293">
        <f t="shared" si="71"/>
        <v>4429.6454545454553</v>
      </c>
      <c r="AZ420" s="605">
        <f t="shared" si="71"/>
        <v>0</v>
      </c>
      <c r="BA420" s="605">
        <f t="shared" si="71"/>
        <v>0</v>
      </c>
      <c r="BB420" s="293">
        <f t="shared" si="71"/>
        <v>1079.4909090909091</v>
      </c>
      <c r="BC420" s="605">
        <f t="shared" si="71"/>
        <v>0</v>
      </c>
      <c r="BD420" s="605">
        <f t="shared" si="71"/>
        <v>0</v>
      </c>
      <c r="BE420" s="293">
        <f t="shared" si="71"/>
        <v>529.0454545454545</v>
      </c>
      <c r="BF420" s="605">
        <f t="shared" si="71"/>
        <v>0</v>
      </c>
      <c r="BG420" s="605">
        <f t="shared" si="71"/>
        <v>0</v>
      </c>
      <c r="BH420" s="293">
        <f t="shared" si="71"/>
        <v>190.84545454545457</v>
      </c>
      <c r="BI420" s="605">
        <f t="shared" si="71"/>
        <v>0</v>
      </c>
      <c r="BJ420" s="605">
        <f t="shared" si="71"/>
        <v>0</v>
      </c>
      <c r="BK420" s="293">
        <f t="shared" si="71"/>
        <v>54.545454545454547</v>
      </c>
      <c r="BL420" s="605">
        <f t="shared" si="71"/>
        <v>0</v>
      </c>
      <c r="BM420" s="605">
        <f t="shared" si="71"/>
        <v>0</v>
      </c>
    </row>
    <row r="421" spans="50:65">
      <c r="AX421" s="2">
        <v>44</v>
      </c>
      <c r="AY421" s="293">
        <f t="shared" si="71"/>
        <v>4440.5545454545454</v>
      </c>
      <c r="AZ421" s="605">
        <f t="shared" si="71"/>
        <v>0</v>
      </c>
      <c r="BA421" s="605">
        <f t="shared" si="71"/>
        <v>0</v>
      </c>
      <c r="BB421" s="293">
        <f t="shared" si="71"/>
        <v>1090.409090909091</v>
      </c>
      <c r="BC421" s="605">
        <f t="shared" si="71"/>
        <v>0</v>
      </c>
      <c r="BD421" s="605">
        <f t="shared" si="71"/>
        <v>0</v>
      </c>
      <c r="BE421" s="293">
        <f t="shared" si="71"/>
        <v>539.9545454545455</v>
      </c>
      <c r="BF421" s="605">
        <f t="shared" si="71"/>
        <v>0</v>
      </c>
      <c r="BG421" s="605">
        <f t="shared" si="71"/>
        <v>0</v>
      </c>
      <c r="BH421" s="293">
        <f t="shared" si="71"/>
        <v>201.75454545454545</v>
      </c>
      <c r="BI421" s="605">
        <f t="shared" si="71"/>
        <v>0</v>
      </c>
      <c r="BJ421" s="605">
        <f t="shared" si="71"/>
        <v>0</v>
      </c>
      <c r="BK421" s="293">
        <f t="shared" si="71"/>
        <v>65.454545454545453</v>
      </c>
      <c r="BL421" s="605">
        <f t="shared" si="71"/>
        <v>0</v>
      </c>
      <c r="BM421" s="605">
        <f t="shared" si="71"/>
        <v>0</v>
      </c>
    </row>
    <row r="422" spans="50:65">
      <c r="AX422" s="2">
        <v>45</v>
      </c>
      <c r="AY422" s="293">
        <f t="shared" si="71"/>
        <v>4451.4636363636364</v>
      </c>
      <c r="AZ422" s="605">
        <f t="shared" si="71"/>
        <v>0</v>
      </c>
      <c r="BA422" s="605">
        <f t="shared" si="71"/>
        <v>0</v>
      </c>
      <c r="BB422" s="293">
        <f t="shared" si="71"/>
        <v>1101.3272727272727</v>
      </c>
      <c r="BC422" s="605">
        <f t="shared" si="71"/>
        <v>0</v>
      </c>
      <c r="BD422" s="605">
        <f t="shared" si="71"/>
        <v>0</v>
      </c>
      <c r="BE422" s="293">
        <f t="shared" si="71"/>
        <v>550.86363636363637</v>
      </c>
      <c r="BF422" s="605">
        <f t="shared" si="71"/>
        <v>0</v>
      </c>
      <c r="BG422" s="605">
        <f t="shared" si="71"/>
        <v>0</v>
      </c>
      <c r="BH422" s="293">
        <f t="shared" si="71"/>
        <v>212.66363636363639</v>
      </c>
      <c r="BI422" s="605">
        <f t="shared" si="71"/>
        <v>0</v>
      </c>
      <c r="BJ422" s="605">
        <f t="shared" si="71"/>
        <v>0</v>
      </c>
      <c r="BK422" s="293">
        <f t="shared" si="71"/>
        <v>76.36363636363636</v>
      </c>
      <c r="BL422" s="605">
        <f t="shared" si="71"/>
        <v>0</v>
      </c>
      <c r="BM422" s="605">
        <f t="shared" si="71"/>
        <v>0</v>
      </c>
    </row>
    <row r="423" spans="50:65">
      <c r="AX423" s="2">
        <v>46</v>
      </c>
      <c r="AY423" s="293">
        <f t="shared" si="71"/>
        <v>4462.3727272727274</v>
      </c>
      <c r="AZ423" s="605">
        <f t="shared" si="71"/>
        <v>0</v>
      </c>
      <c r="BA423" s="605">
        <f t="shared" si="71"/>
        <v>0</v>
      </c>
      <c r="BB423" s="293">
        <f t="shared" si="71"/>
        <v>1112.2454545454545</v>
      </c>
      <c r="BC423" s="605">
        <f t="shared" si="71"/>
        <v>0</v>
      </c>
      <c r="BD423" s="605">
        <f t="shared" si="71"/>
        <v>0</v>
      </c>
      <c r="BE423" s="293">
        <f t="shared" si="71"/>
        <v>561.77272727272725</v>
      </c>
      <c r="BF423" s="605">
        <f t="shared" si="71"/>
        <v>0</v>
      </c>
      <c r="BG423" s="605">
        <f t="shared" si="71"/>
        <v>0</v>
      </c>
      <c r="BH423" s="293">
        <f t="shared" si="71"/>
        <v>223.57272727272726</v>
      </c>
      <c r="BI423" s="605">
        <f t="shared" si="71"/>
        <v>0</v>
      </c>
      <c r="BJ423" s="605">
        <f t="shared" si="71"/>
        <v>0</v>
      </c>
      <c r="BK423" s="293">
        <f t="shared" si="71"/>
        <v>87.272727272727266</v>
      </c>
      <c r="BL423" s="605">
        <f t="shared" si="71"/>
        <v>0</v>
      </c>
      <c r="BM423" s="605">
        <f t="shared" si="71"/>
        <v>0</v>
      </c>
    </row>
    <row r="424" spans="50:65">
      <c r="AX424" s="2">
        <v>47</v>
      </c>
      <c r="AY424" s="293">
        <f t="shared" si="71"/>
        <v>4473.2818181818184</v>
      </c>
      <c r="AZ424" s="605">
        <f t="shared" si="71"/>
        <v>0</v>
      </c>
      <c r="BA424" s="605">
        <f t="shared" si="71"/>
        <v>0</v>
      </c>
      <c r="BB424" s="293">
        <f t="shared" si="71"/>
        <v>1123.1636363636364</v>
      </c>
      <c r="BC424" s="605">
        <f t="shared" si="71"/>
        <v>0</v>
      </c>
      <c r="BD424" s="605">
        <f t="shared" si="71"/>
        <v>0</v>
      </c>
      <c r="BE424" s="293">
        <f t="shared" si="71"/>
        <v>572.68181818181824</v>
      </c>
      <c r="BF424" s="605">
        <f t="shared" si="71"/>
        <v>0</v>
      </c>
      <c r="BG424" s="605">
        <f t="shared" si="71"/>
        <v>0</v>
      </c>
      <c r="BH424" s="293">
        <f t="shared" si="71"/>
        <v>234.4818181818182</v>
      </c>
      <c r="BI424" s="605">
        <f t="shared" si="71"/>
        <v>0</v>
      </c>
      <c r="BJ424" s="605">
        <f t="shared" si="71"/>
        <v>0</v>
      </c>
      <c r="BK424" s="293">
        <f t="shared" si="71"/>
        <v>98.181818181818187</v>
      </c>
      <c r="BL424" s="605">
        <f t="shared" si="71"/>
        <v>0</v>
      </c>
      <c r="BM424" s="605">
        <f t="shared" si="71"/>
        <v>0</v>
      </c>
    </row>
    <row r="425" spans="50:65">
      <c r="AX425" s="2">
        <v>48</v>
      </c>
      <c r="AY425" s="293">
        <f t="shared" si="71"/>
        <v>4484.1909090909094</v>
      </c>
      <c r="AZ425" s="605">
        <f t="shared" si="71"/>
        <v>0</v>
      </c>
      <c r="BA425" s="605">
        <f t="shared" si="71"/>
        <v>0</v>
      </c>
      <c r="BB425" s="293">
        <f t="shared" si="71"/>
        <v>1134.0818181818181</v>
      </c>
      <c r="BC425" s="605">
        <f t="shared" si="71"/>
        <v>0</v>
      </c>
      <c r="BD425" s="605">
        <f t="shared" si="71"/>
        <v>0</v>
      </c>
      <c r="BE425" s="293">
        <f t="shared" si="71"/>
        <v>583.59090909090912</v>
      </c>
      <c r="BF425" s="605">
        <f t="shared" si="71"/>
        <v>0</v>
      </c>
      <c r="BG425" s="605">
        <f t="shared" si="71"/>
        <v>0</v>
      </c>
      <c r="BH425" s="293">
        <f t="shared" si="71"/>
        <v>245.3909090909091</v>
      </c>
      <c r="BI425" s="605">
        <f t="shared" si="71"/>
        <v>0</v>
      </c>
      <c r="BJ425" s="605">
        <f t="shared" si="71"/>
        <v>0</v>
      </c>
      <c r="BK425" s="293">
        <f t="shared" si="71"/>
        <v>109.09090909090909</v>
      </c>
      <c r="BL425" s="605">
        <f t="shared" si="71"/>
        <v>0</v>
      </c>
      <c r="BM425" s="605">
        <f t="shared" si="71"/>
        <v>0</v>
      </c>
    </row>
    <row r="426" spans="50:65">
      <c r="AX426" s="2">
        <v>49</v>
      </c>
      <c r="AY426" s="2">
        <v>4495.1000000000004</v>
      </c>
      <c r="AZ426" s="250">
        <v>0</v>
      </c>
      <c r="BA426" s="251">
        <v>0</v>
      </c>
      <c r="BB426" s="2">
        <v>1145</v>
      </c>
      <c r="BC426" s="250">
        <v>0</v>
      </c>
      <c r="BD426" s="251">
        <v>0</v>
      </c>
      <c r="BE426" s="2">
        <v>594.5</v>
      </c>
      <c r="BF426" s="250">
        <v>0</v>
      </c>
      <c r="BG426" s="251">
        <v>0</v>
      </c>
      <c r="BH426" s="2">
        <v>256.3</v>
      </c>
      <c r="BI426" s="250">
        <v>0</v>
      </c>
      <c r="BJ426" s="251">
        <v>0</v>
      </c>
      <c r="BK426" s="2">
        <v>120</v>
      </c>
      <c r="BL426" s="250">
        <v>0</v>
      </c>
      <c r="BM426" s="251">
        <v>0</v>
      </c>
    </row>
    <row r="427" spans="50:65">
      <c r="AX427" s="2">
        <v>50</v>
      </c>
      <c r="AY427" s="293">
        <f t="shared" ref="AY427:BM436" si="72">((($AX427-$AX$426)*(AY$437-AY$426))/($AX$437-$AX$426))+AY$426</f>
        <v>4502.3272727272733</v>
      </c>
      <c r="AZ427" s="605">
        <f t="shared" si="72"/>
        <v>0</v>
      </c>
      <c r="BA427" s="605">
        <f t="shared" si="72"/>
        <v>0</v>
      </c>
      <c r="BB427" s="293">
        <f t="shared" si="72"/>
        <v>1152.2272727272727</v>
      </c>
      <c r="BC427" s="605">
        <f t="shared" si="72"/>
        <v>0</v>
      </c>
      <c r="BD427" s="605">
        <f t="shared" si="72"/>
        <v>0</v>
      </c>
      <c r="BE427" s="293">
        <f t="shared" si="72"/>
        <v>601.72727272727275</v>
      </c>
      <c r="BF427" s="605">
        <f t="shared" si="72"/>
        <v>0</v>
      </c>
      <c r="BG427" s="605">
        <f t="shared" si="72"/>
        <v>0</v>
      </c>
      <c r="BH427" s="293">
        <f t="shared" si="72"/>
        <v>263.53636363636366</v>
      </c>
      <c r="BI427" s="605">
        <f t="shared" si="72"/>
        <v>0</v>
      </c>
      <c r="BJ427" s="605">
        <f t="shared" si="72"/>
        <v>0</v>
      </c>
      <c r="BK427" s="293">
        <f t="shared" si="72"/>
        <v>127.22727272727273</v>
      </c>
      <c r="BL427" s="605">
        <f t="shared" si="72"/>
        <v>0</v>
      </c>
      <c r="BM427" s="605">
        <f t="shared" si="72"/>
        <v>0</v>
      </c>
    </row>
    <row r="428" spans="50:65">
      <c r="AX428" s="2">
        <v>51</v>
      </c>
      <c r="AY428" s="293">
        <f t="shared" si="72"/>
        <v>4509.5545454545454</v>
      </c>
      <c r="AZ428" s="605">
        <f t="shared" si="72"/>
        <v>0</v>
      </c>
      <c r="BA428" s="605">
        <f t="shared" si="72"/>
        <v>0</v>
      </c>
      <c r="BB428" s="293">
        <f t="shared" si="72"/>
        <v>1159.4545454545455</v>
      </c>
      <c r="BC428" s="605">
        <f t="shared" si="72"/>
        <v>0</v>
      </c>
      <c r="BD428" s="605">
        <f t="shared" si="72"/>
        <v>0</v>
      </c>
      <c r="BE428" s="293">
        <f t="shared" si="72"/>
        <v>608.9545454545455</v>
      </c>
      <c r="BF428" s="605">
        <f t="shared" si="72"/>
        <v>0</v>
      </c>
      <c r="BG428" s="605">
        <f t="shared" si="72"/>
        <v>0</v>
      </c>
      <c r="BH428" s="293">
        <f t="shared" si="72"/>
        <v>270.77272727272725</v>
      </c>
      <c r="BI428" s="605">
        <f t="shared" si="72"/>
        <v>0</v>
      </c>
      <c r="BJ428" s="605">
        <f t="shared" si="72"/>
        <v>0</v>
      </c>
      <c r="BK428" s="293">
        <f t="shared" si="72"/>
        <v>134.45454545454547</v>
      </c>
      <c r="BL428" s="605">
        <f t="shared" si="72"/>
        <v>0</v>
      </c>
      <c r="BM428" s="605">
        <f t="shared" si="72"/>
        <v>0</v>
      </c>
    </row>
    <row r="429" spans="50:65">
      <c r="AX429" s="2">
        <v>52</v>
      </c>
      <c r="AY429" s="293">
        <f t="shared" si="72"/>
        <v>4516.7818181818184</v>
      </c>
      <c r="AZ429" s="605">
        <f t="shared" si="72"/>
        <v>0</v>
      </c>
      <c r="BA429" s="605">
        <f t="shared" si="72"/>
        <v>0</v>
      </c>
      <c r="BB429" s="293">
        <f t="shared" si="72"/>
        <v>1166.6818181818182</v>
      </c>
      <c r="BC429" s="605">
        <f t="shared" si="72"/>
        <v>0</v>
      </c>
      <c r="BD429" s="605">
        <f t="shared" si="72"/>
        <v>0</v>
      </c>
      <c r="BE429" s="293">
        <f t="shared" si="72"/>
        <v>616.18181818181813</v>
      </c>
      <c r="BF429" s="605">
        <f t="shared" si="72"/>
        <v>0</v>
      </c>
      <c r="BG429" s="605">
        <f t="shared" si="72"/>
        <v>0</v>
      </c>
      <c r="BH429" s="293">
        <f t="shared" si="72"/>
        <v>278.0090909090909</v>
      </c>
      <c r="BI429" s="605">
        <f t="shared" si="72"/>
        <v>0</v>
      </c>
      <c r="BJ429" s="605">
        <f t="shared" si="72"/>
        <v>0</v>
      </c>
      <c r="BK429" s="293">
        <f t="shared" si="72"/>
        <v>141.68181818181819</v>
      </c>
      <c r="BL429" s="605">
        <f t="shared" si="72"/>
        <v>0</v>
      </c>
      <c r="BM429" s="605">
        <f t="shared" si="72"/>
        <v>0</v>
      </c>
    </row>
    <row r="430" spans="50:65">
      <c r="AX430" s="2">
        <v>53</v>
      </c>
      <c r="AY430" s="293">
        <f t="shared" si="72"/>
        <v>4524.0090909090914</v>
      </c>
      <c r="AZ430" s="605">
        <f t="shared" si="72"/>
        <v>0</v>
      </c>
      <c r="BA430" s="605">
        <f t="shared" si="72"/>
        <v>0</v>
      </c>
      <c r="BB430" s="293">
        <f t="shared" si="72"/>
        <v>1173.909090909091</v>
      </c>
      <c r="BC430" s="605">
        <f t="shared" si="72"/>
        <v>0</v>
      </c>
      <c r="BD430" s="605">
        <f t="shared" si="72"/>
        <v>0</v>
      </c>
      <c r="BE430" s="293">
        <f t="shared" si="72"/>
        <v>623.40909090909088</v>
      </c>
      <c r="BF430" s="605">
        <f t="shared" si="72"/>
        <v>0</v>
      </c>
      <c r="BG430" s="605">
        <f t="shared" si="72"/>
        <v>0</v>
      </c>
      <c r="BH430" s="293">
        <f t="shared" si="72"/>
        <v>285.24545454545455</v>
      </c>
      <c r="BI430" s="605">
        <f t="shared" si="72"/>
        <v>0</v>
      </c>
      <c r="BJ430" s="605">
        <f t="shared" si="72"/>
        <v>0</v>
      </c>
      <c r="BK430" s="293">
        <f t="shared" si="72"/>
        <v>148.90909090909091</v>
      </c>
      <c r="BL430" s="605">
        <f t="shared" si="72"/>
        <v>0</v>
      </c>
      <c r="BM430" s="605">
        <f t="shared" si="72"/>
        <v>0</v>
      </c>
    </row>
    <row r="431" spans="50:65">
      <c r="AX431" s="2">
        <v>54</v>
      </c>
      <c r="AY431" s="293">
        <f t="shared" si="72"/>
        <v>4531.2363636363643</v>
      </c>
      <c r="AZ431" s="605">
        <f t="shared" si="72"/>
        <v>0</v>
      </c>
      <c r="BA431" s="605">
        <f t="shared" si="72"/>
        <v>0</v>
      </c>
      <c r="BB431" s="293">
        <f t="shared" si="72"/>
        <v>1181.1363636363637</v>
      </c>
      <c r="BC431" s="605">
        <f t="shared" si="72"/>
        <v>0</v>
      </c>
      <c r="BD431" s="605">
        <f t="shared" si="72"/>
        <v>0</v>
      </c>
      <c r="BE431" s="293">
        <f t="shared" si="72"/>
        <v>630.63636363636363</v>
      </c>
      <c r="BF431" s="605">
        <f t="shared" si="72"/>
        <v>0</v>
      </c>
      <c r="BG431" s="605">
        <f t="shared" si="72"/>
        <v>0</v>
      </c>
      <c r="BH431" s="293">
        <f t="shared" si="72"/>
        <v>292.4818181818182</v>
      </c>
      <c r="BI431" s="605">
        <f t="shared" si="72"/>
        <v>0</v>
      </c>
      <c r="BJ431" s="605">
        <f t="shared" si="72"/>
        <v>0</v>
      </c>
      <c r="BK431" s="293">
        <f t="shared" si="72"/>
        <v>156.13636363636363</v>
      </c>
      <c r="BL431" s="605">
        <f t="shared" si="72"/>
        <v>0</v>
      </c>
      <c r="BM431" s="605">
        <f t="shared" si="72"/>
        <v>0</v>
      </c>
    </row>
    <row r="432" spans="50:65">
      <c r="AX432" s="2">
        <v>55</v>
      </c>
      <c r="AY432" s="293">
        <f t="shared" si="72"/>
        <v>4538.4636363636364</v>
      </c>
      <c r="AZ432" s="605">
        <f t="shared" si="72"/>
        <v>0</v>
      </c>
      <c r="BA432" s="605">
        <f t="shared" si="72"/>
        <v>0</v>
      </c>
      <c r="BB432" s="293">
        <f t="shared" si="72"/>
        <v>1188.3636363636363</v>
      </c>
      <c r="BC432" s="605">
        <f t="shared" si="72"/>
        <v>0</v>
      </c>
      <c r="BD432" s="605">
        <f t="shared" si="72"/>
        <v>0</v>
      </c>
      <c r="BE432" s="293">
        <f t="shared" si="72"/>
        <v>637.86363636363637</v>
      </c>
      <c r="BF432" s="605">
        <f t="shared" si="72"/>
        <v>0</v>
      </c>
      <c r="BG432" s="605">
        <f t="shared" si="72"/>
        <v>0</v>
      </c>
      <c r="BH432" s="293">
        <f t="shared" si="72"/>
        <v>299.71818181818179</v>
      </c>
      <c r="BI432" s="605">
        <f t="shared" si="72"/>
        <v>0</v>
      </c>
      <c r="BJ432" s="605">
        <f t="shared" si="72"/>
        <v>0</v>
      </c>
      <c r="BK432" s="293">
        <f t="shared" si="72"/>
        <v>163.36363636363637</v>
      </c>
      <c r="BL432" s="605">
        <f t="shared" si="72"/>
        <v>0</v>
      </c>
      <c r="BM432" s="605">
        <f t="shared" si="72"/>
        <v>0</v>
      </c>
    </row>
    <row r="433" spans="50:65">
      <c r="AX433" s="2">
        <v>56</v>
      </c>
      <c r="AY433" s="293">
        <f t="shared" si="72"/>
        <v>4545.6909090909094</v>
      </c>
      <c r="AZ433" s="605">
        <f t="shared" si="72"/>
        <v>0</v>
      </c>
      <c r="BA433" s="605">
        <f t="shared" si="72"/>
        <v>0</v>
      </c>
      <c r="BB433" s="293">
        <f t="shared" si="72"/>
        <v>1195.590909090909</v>
      </c>
      <c r="BC433" s="605">
        <f t="shared" si="72"/>
        <v>0</v>
      </c>
      <c r="BD433" s="605">
        <f t="shared" si="72"/>
        <v>0</v>
      </c>
      <c r="BE433" s="293">
        <f t="shared" si="72"/>
        <v>645.09090909090912</v>
      </c>
      <c r="BF433" s="605">
        <f t="shared" si="72"/>
        <v>0</v>
      </c>
      <c r="BG433" s="605">
        <f t="shared" si="72"/>
        <v>0</v>
      </c>
      <c r="BH433" s="293">
        <f t="shared" si="72"/>
        <v>306.95454545454544</v>
      </c>
      <c r="BI433" s="605">
        <f t="shared" si="72"/>
        <v>0</v>
      </c>
      <c r="BJ433" s="605">
        <f t="shared" si="72"/>
        <v>0</v>
      </c>
      <c r="BK433" s="293">
        <f t="shared" si="72"/>
        <v>170.59090909090909</v>
      </c>
      <c r="BL433" s="605">
        <f t="shared" si="72"/>
        <v>0</v>
      </c>
      <c r="BM433" s="605">
        <f t="shared" si="72"/>
        <v>0</v>
      </c>
    </row>
    <row r="434" spans="50:65">
      <c r="AX434" s="2">
        <v>57</v>
      </c>
      <c r="AY434" s="293">
        <f t="shared" si="72"/>
        <v>4552.9181818181823</v>
      </c>
      <c r="AZ434" s="605">
        <f t="shared" si="72"/>
        <v>0</v>
      </c>
      <c r="BA434" s="605">
        <f t="shared" si="72"/>
        <v>0</v>
      </c>
      <c r="BB434" s="293">
        <f t="shared" si="72"/>
        <v>1202.8181818181818</v>
      </c>
      <c r="BC434" s="605">
        <f t="shared" si="72"/>
        <v>0</v>
      </c>
      <c r="BD434" s="605">
        <f t="shared" si="72"/>
        <v>0</v>
      </c>
      <c r="BE434" s="293">
        <f t="shared" si="72"/>
        <v>652.31818181818187</v>
      </c>
      <c r="BF434" s="605">
        <f t="shared" si="72"/>
        <v>0</v>
      </c>
      <c r="BG434" s="605">
        <f t="shared" si="72"/>
        <v>0</v>
      </c>
      <c r="BH434" s="293">
        <f t="shared" si="72"/>
        <v>314.19090909090909</v>
      </c>
      <c r="BI434" s="605">
        <f t="shared" si="72"/>
        <v>0</v>
      </c>
      <c r="BJ434" s="605">
        <f t="shared" si="72"/>
        <v>0</v>
      </c>
      <c r="BK434" s="293">
        <f t="shared" si="72"/>
        <v>177.81818181818181</v>
      </c>
      <c r="BL434" s="605">
        <f t="shared" si="72"/>
        <v>0</v>
      </c>
      <c r="BM434" s="605">
        <f t="shared" si="72"/>
        <v>0</v>
      </c>
    </row>
    <row r="435" spans="50:65">
      <c r="AX435" s="2">
        <v>58</v>
      </c>
      <c r="AY435" s="293">
        <f t="shared" si="72"/>
        <v>4560.1454545454553</v>
      </c>
      <c r="AZ435" s="605">
        <f t="shared" si="72"/>
        <v>0</v>
      </c>
      <c r="BA435" s="605">
        <f t="shared" si="72"/>
        <v>0</v>
      </c>
      <c r="BB435" s="293">
        <f t="shared" si="72"/>
        <v>1210.0454545454545</v>
      </c>
      <c r="BC435" s="605">
        <f t="shared" si="72"/>
        <v>0</v>
      </c>
      <c r="BD435" s="605">
        <f t="shared" si="72"/>
        <v>0</v>
      </c>
      <c r="BE435" s="293">
        <f t="shared" si="72"/>
        <v>659.5454545454545</v>
      </c>
      <c r="BF435" s="605">
        <f t="shared" si="72"/>
        <v>0</v>
      </c>
      <c r="BG435" s="605">
        <f t="shared" si="72"/>
        <v>0</v>
      </c>
      <c r="BH435" s="293">
        <f t="shared" si="72"/>
        <v>321.42727272727268</v>
      </c>
      <c r="BI435" s="605">
        <f t="shared" si="72"/>
        <v>0</v>
      </c>
      <c r="BJ435" s="605">
        <f t="shared" si="72"/>
        <v>0</v>
      </c>
      <c r="BK435" s="293">
        <f t="shared" si="72"/>
        <v>185.04545454545456</v>
      </c>
      <c r="BL435" s="605">
        <f t="shared" si="72"/>
        <v>0</v>
      </c>
      <c r="BM435" s="605">
        <f t="shared" si="72"/>
        <v>0</v>
      </c>
    </row>
    <row r="436" spans="50:65">
      <c r="AX436" s="2">
        <v>59</v>
      </c>
      <c r="AY436" s="293">
        <f t="shared" si="72"/>
        <v>4567.3727272727274</v>
      </c>
      <c r="AZ436" s="605">
        <f t="shared" si="72"/>
        <v>0</v>
      </c>
      <c r="BA436" s="605">
        <f t="shared" si="72"/>
        <v>0</v>
      </c>
      <c r="BB436" s="293">
        <f t="shared" si="72"/>
        <v>1217.2727272727273</v>
      </c>
      <c r="BC436" s="605">
        <f t="shared" si="72"/>
        <v>0</v>
      </c>
      <c r="BD436" s="605">
        <f t="shared" si="72"/>
        <v>0</v>
      </c>
      <c r="BE436" s="293">
        <f t="shared" si="72"/>
        <v>666.77272727272725</v>
      </c>
      <c r="BF436" s="605">
        <f t="shared" si="72"/>
        <v>0</v>
      </c>
      <c r="BG436" s="605">
        <f t="shared" si="72"/>
        <v>0</v>
      </c>
      <c r="BH436" s="293">
        <f t="shared" si="72"/>
        <v>328.66363636363633</v>
      </c>
      <c r="BI436" s="605">
        <f t="shared" si="72"/>
        <v>0</v>
      </c>
      <c r="BJ436" s="605">
        <f t="shared" si="72"/>
        <v>0</v>
      </c>
      <c r="BK436" s="293">
        <f t="shared" si="72"/>
        <v>192.27272727272725</v>
      </c>
      <c r="BL436" s="605">
        <f t="shared" si="72"/>
        <v>0</v>
      </c>
      <c r="BM436" s="605">
        <f t="shared" si="72"/>
        <v>0</v>
      </c>
    </row>
    <row r="437" spans="50:65">
      <c r="AX437" s="2">
        <v>60</v>
      </c>
      <c r="AY437" s="2">
        <v>4574.6000000000004</v>
      </c>
      <c r="AZ437" s="250">
        <v>0</v>
      </c>
      <c r="BA437" s="251">
        <v>0</v>
      </c>
      <c r="BB437" s="2">
        <v>1224.5</v>
      </c>
      <c r="BC437" s="250">
        <v>0</v>
      </c>
      <c r="BD437" s="251">
        <v>0</v>
      </c>
      <c r="BE437" s="2">
        <v>674</v>
      </c>
      <c r="BF437" s="250">
        <v>0</v>
      </c>
      <c r="BG437" s="251">
        <v>0</v>
      </c>
      <c r="BH437" s="2">
        <v>335.9</v>
      </c>
      <c r="BI437" s="250">
        <v>0</v>
      </c>
      <c r="BJ437" s="251">
        <v>0</v>
      </c>
      <c r="BK437" s="2">
        <v>199.5</v>
      </c>
      <c r="BL437" s="250">
        <v>0</v>
      </c>
      <c r="BM437" s="251">
        <v>0</v>
      </c>
    </row>
    <row r="441" spans="50:65">
      <c r="AX441" s="574" t="s">
        <v>1620</v>
      </c>
    </row>
    <row r="442" spans="50:65">
      <c r="AX442" s="2" t="s">
        <v>1552</v>
      </c>
      <c r="AY442" s="585">
        <v>0</v>
      </c>
      <c r="AZ442" s="585"/>
      <c r="BA442" s="585"/>
      <c r="BB442" s="585">
        <v>11</v>
      </c>
      <c r="BC442" s="585"/>
      <c r="BD442" s="585"/>
      <c r="BE442" s="585">
        <v>19</v>
      </c>
      <c r="BF442" s="585"/>
      <c r="BG442" s="585"/>
      <c r="BH442" s="585">
        <v>30</v>
      </c>
      <c r="BI442" s="585"/>
      <c r="BJ442" s="585"/>
      <c r="BK442" s="585">
        <v>38</v>
      </c>
      <c r="BL442" s="585"/>
      <c r="BM442" s="585"/>
    </row>
    <row r="443" spans="50:65">
      <c r="AX443" s="2" t="s">
        <v>1553</v>
      </c>
      <c r="AY443" s="2" t="s">
        <v>1554</v>
      </c>
      <c r="AZ443" s="2" t="s">
        <v>1555</v>
      </c>
      <c r="BA443" s="2" t="s">
        <v>1556</v>
      </c>
      <c r="BB443" s="2" t="s">
        <v>1554</v>
      </c>
      <c r="BC443" s="2" t="s">
        <v>1555</v>
      </c>
      <c r="BD443" s="2" t="s">
        <v>1556</v>
      </c>
      <c r="BE443" s="2" t="s">
        <v>1554</v>
      </c>
      <c r="BF443" s="2" t="s">
        <v>1555</v>
      </c>
      <c r="BG443" s="2" t="s">
        <v>1556</v>
      </c>
      <c r="BH443" s="2" t="s">
        <v>1554</v>
      </c>
      <c r="BI443" s="2" t="s">
        <v>1555</v>
      </c>
      <c r="BJ443" s="2" t="s">
        <v>1556</v>
      </c>
      <c r="BK443" s="2" t="s">
        <v>1554</v>
      </c>
      <c r="BL443" s="2" t="s">
        <v>1555</v>
      </c>
      <c r="BM443" s="2" t="s">
        <v>1556</v>
      </c>
    </row>
    <row r="444" spans="50:65">
      <c r="AX444" s="2">
        <v>11</v>
      </c>
      <c r="AY444" s="2">
        <v>131.1</v>
      </c>
      <c r="AZ444" s="2">
        <v>0</v>
      </c>
      <c r="BA444" s="2">
        <v>181.6</v>
      </c>
      <c r="BB444" s="2"/>
      <c r="BC444" s="2"/>
      <c r="BD444" s="2"/>
      <c r="BE444" s="2"/>
      <c r="BF444" s="2"/>
      <c r="BG444" s="2"/>
      <c r="BH444" s="2"/>
      <c r="BI444" s="2"/>
      <c r="BJ444" s="2"/>
      <c r="BK444" s="2"/>
      <c r="BL444" s="2"/>
      <c r="BM444" s="2"/>
    </row>
    <row r="445" spans="50:65">
      <c r="AX445" s="2">
        <v>12</v>
      </c>
      <c r="AY445" s="2">
        <f t="shared" ref="AY445:BD451" si="73">((($AX445-$AX$444)*(AY$452-AY$444))/($AX$452-$AX$444))+AY$444</f>
        <v>133.94999999999999</v>
      </c>
      <c r="AZ445" s="2">
        <f t="shared" si="73"/>
        <v>0</v>
      </c>
      <c r="BA445" s="2">
        <f t="shared" si="73"/>
        <v>185.6875</v>
      </c>
      <c r="BB445" s="2">
        <f t="shared" si="73"/>
        <v>2.85</v>
      </c>
      <c r="BC445" s="2">
        <f t="shared" si="73"/>
        <v>0</v>
      </c>
      <c r="BD445" s="2">
        <f t="shared" si="73"/>
        <v>4.0875000000000004</v>
      </c>
      <c r="BE445" s="2"/>
      <c r="BF445" s="2"/>
      <c r="BG445" s="2"/>
      <c r="BH445" s="2"/>
      <c r="BI445" s="2"/>
      <c r="BJ445" s="2"/>
      <c r="BK445" s="2"/>
      <c r="BL445" s="2"/>
      <c r="BM445" s="2"/>
    </row>
    <row r="446" spans="50:65">
      <c r="AX446" s="2">
        <v>13</v>
      </c>
      <c r="AY446" s="2">
        <f t="shared" si="73"/>
        <v>136.80000000000001</v>
      </c>
      <c r="AZ446" s="2">
        <f t="shared" si="73"/>
        <v>0</v>
      </c>
      <c r="BA446" s="2">
        <f t="shared" si="73"/>
        <v>189.77500000000001</v>
      </c>
      <c r="BB446" s="2">
        <f t="shared" si="73"/>
        <v>5.7</v>
      </c>
      <c r="BC446" s="2">
        <f t="shared" si="73"/>
        <v>0</v>
      </c>
      <c r="BD446" s="2">
        <f t="shared" si="73"/>
        <v>8.1750000000000007</v>
      </c>
      <c r="BE446" s="2"/>
      <c r="BF446" s="2"/>
      <c r="BG446" s="2"/>
      <c r="BH446" s="2"/>
      <c r="BI446" s="2"/>
      <c r="BJ446" s="2"/>
      <c r="BK446" s="2"/>
      <c r="BL446" s="2"/>
      <c r="BM446" s="2"/>
    </row>
    <row r="447" spans="50:65">
      <c r="AX447" s="2">
        <v>14</v>
      </c>
      <c r="AY447" s="2">
        <f t="shared" si="73"/>
        <v>139.65</v>
      </c>
      <c r="AZ447" s="2">
        <f t="shared" si="73"/>
        <v>0</v>
      </c>
      <c r="BA447" s="2">
        <f t="shared" si="73"/>
        <v>193.86250000000001</v>
      </c>
      <c r="BB447" s="2">
        <f t="shared" si="73"/>
        <v>8.5500000000000007</v>
      </c>
      <c r="BC447" s="2">
        <f t="shared" si="73"/>
        <v>0</v>
      </c>
      <c r="BD447" s="2">
        <f t="shared" si="73"/>
        <v>12.262500000000001</v>
      </c>
      <c r="BE447" s="2"/>
      <c r="BF447" s="2"/>
      <c r="BG447" s="2"/>
      <c r="BH447" s="2"/>
      <c r="BI447" s="2"/>
      <c r="BJ447" s="2"/>
      <c r="BK447" s="2"/>
      <c r="BL447" s="2"/>
      <c r="BM447" s="2"/>
    </row>
    <row r="448" spans="50:65">
      <c r="AX448" s="2">
        <v>15</v>
      </c>
      <c r="AY448" s="2">
        <f t="shared" si="73"/>
        <v>142.5</v>
      </c>
      <c r="AZ448" s="2">
        <f t="shared" si="73"/>
        <v>0</v>
      </c>
      <c r="BA448" s="2">
        <f t="shared" si="73"/>
        <v>197.95</v>
      </c>
      <c r="BB448" s="2">
        <f t="shared" si="73"/>
        <v>11.4</v>
      </c>
      <c r="BC448" s="2">
        <f t="shared" si="73"/>
        <v>0</v>
      </c>
      <c r="BD448" s="2">
        <f t="shared" si="73"/>
        <v>16.350000000000001</v>
      </c>
      <c r="BE448" s="2"/>
      <c r="BF448" s="2"/>
      <c r="BG448" s="2"/>
      <c r="BH448" s="2"/>
      <c r="BI448" s="2"/>
      <c r="BJ448" s="2"/>
      <c r="BK448" s="2"/>
      <c r="BL448" s="2"/>
      <c r="BM448" s="2"/>
    </row>
    <row r="449" spans="50:65">
      <c r="AX449" s="2">
        <v>16</v>
      </c>
      <c r="AY449" s="2">
        <f t="shared" si="73"/>
        <v>145.35</v>
      </c>
      <c r="AZ449" s="2">
        <f t="shared" si="73"/>
        <v>0</v>
      </c>
      <c r="BA449" s="2">
        <f t="shared" si="73"/>
        <v>202.03749999999999</v>
      </c>
      <c r="BB449" s="2">
        <f t="shared" si="73"/>
        <v>14.25</v>
      </c>
      <c r="BC449" s="2">
        <f t="shared" si="73"/>
        <v>0</v>
      </c>
      <c r="BD449" s="2">
        <f t="shared" si="73"/>
        <v>20.4375</v>
      </c>
      <c r="BE449" s="2"/>
      <c r="BF449" s="2"/>
      <c r="BG449" s="2"/>
      <c r="BH449" s="2"/>
      <c r="BI449" s="2"/>
      <c r="BJ449" s="2"/>
      <c r="BK449" s="2"/>
      <c r="BL449" s="2"/>
      <c r="BM449" s="2"/>
    </row>
    <row r="450" spans="50:65">
      <c r="AX450" s="2">
        <v>17</v>
      </c>
      <c r="AY450" s="2">
        <f t="shared" si="73"/>
        <v>148.19999999999999</v>
      </c>
      <c r="AZ450" s="2">
        <f t="shared" si="73"/>
        <v>0</v>
      </c>
      <c r="BA450" s="2">
        <f t="shared" si="73"/>
        <v>206.125</v>
      </c>
      <c r="BB450" s="2">
        <f t="shared" si="73"/>
        <v>17.100000000000001</v>
      </c>
      <c r="BC450" s="2">
        <f t="shared" si="73"/>
        <v>0</v>
      </c>
      <c r="BD450" s="2">
        <f t="shared" si="73"/>
        <v>24.525000000000002</v>
      </c>
      <c r="BE450" s="2"/>
      <c r="BF450" s="2"/>
      <c r="BG450" s="2"/>
      <c r="BH450" s="2"/>
      <c r="BI450" s="2"/>
      <c r="BJ450" s="2"/>
      <c r="BK450" s="2"/>
      <c r="BL450" s="2"/>
      <c r="BM450" s="2"/>
    </row>
    <row r="451" spans="50:65">
      <c r="AX451" s="2">
        <v>18</v>
      </c>
      <c r="AY451" s="2">
        <f t="shared" si="73"/>
        <v>151.05000000000001</v>
      </c>
      <c r="AZ451" s="2">
        <f t="shared" si="73"/>
        <v>0</v>
      </c>
      <c r="BA451" s="2">
        <f t="shared" si="73"/>
        <v>210.21250000000001</v>
      </c>
      <c r="BB451" s="2">
        <f t="shared" si="73"/>
        <v>19.95</v>
      </c>
      <c r="BC451" s="2">
        <f t="shared" si="73"/>
        <v>0</v>
      </c>
      <c r="BD451" s="2">
        <f t="shared" si="73"/>
        <v>28.612500000000004</v>
      </c>
      <c r="BE451" s="2"/>
      <c r="BF451" s="2"/>
      <c r="BG451" s="2"/>
      <c r="BH451" s="2"/>
      <c r="BI451" s="2"/>
      <c r="BJ451" s="2"/>
      <c r="BK451" s="2"/>
      <c r="BL451" s="2"/>
      <c r="BM451" s="2"/>
    </row>
    <row r="452" spans="50:65">
      <c r="AX452" s="2">
        <v>19</v>
      </c>
      <c r="AY452" s="2">
        <v>153.9</v>
      </c>
      <c r="AZ452" s="2">
        <v>0</v>
      </c>
      <c r="BA452" s="2">
        <v>214.3</v>
      </c>
      <c r="BB452" s="2">
        <v>22.8</v>
      </c>
      <c r="BC452" s="2">
        <v>0</v>
      </c>
      <c r="BD452" s="2">
        <v>32.700000000000003</v>
      </c>
      <c r="BE452" s="2"/>
      <c r="BF452" s="2"/>
      <c r="BG452" s="2"/>
      <c r="BH452" s="2"/>
      <c r="BI452" s="2"/>
      <c r="BJ452" s="2"/>
      <c r="BK452" s="2"/>
      <c r="BL452" s="2"/>
      <c r="BM452" s="2"/>
    </row>
    <row r="453" spans="50:65">
      <c r="AX453" s="2">
        <v>20</v>
      </c>
      <c r="AY453" s="2">
        <f t="shared" ref="AY453:BM462" si="74">((($AX453-$AX$452)*(AY$463-AY$452))/($AX$463-$AX$452))+AY$452</f>
        <v>155.15454545454546</v>
      </c>
      <c r="AZ453" s="2">
        <f t="shared" si="74"/>
        <v>0</v>
      </c>
      <c r="BA453" s="2">
        <f t="shared" si="74"/>
        <v>216.21818181818182</v>
      </c>
      <c r="BB453" s="2">
        <f t="shared" si="74"/>
        <v>24.054545454545455</v>
      </c>
      <c r="BC453" s="2">
        <f t="shared" si="74"/>
        <v>0</v>
      </c>
      <c r="BD453" s="2">
        <f t="shared" si="74"/>
        <v>34.627272727272732</v>
      </c>
      <c r="BE453" s="2">
        <f t="shared" si="74"/>
        <v>1.2545454545454546</v>
      </c>
      <c r="BF453" s="2">
        <f t="shared" si="74"/>
        <v>0</v>
      </c>
      <c r="BG453" s="2">
        <f t="shared" si="74"/>
        <v>1.9272727272727272</v>
      </c>
      <c r="BH453" s="2">
        <f t="shared" si="74"/>
        <v>0</v>
      </c>
      <c r="BI453" s="2">
        <f t="shared" si="74"/>
        <v>0</v>
      </c>
      <c r="BJ453" s="2">
        <f t="shared" si="74"/>
        <v>0</v>
      </c>
      <c r="BK453" s="2">
        <f t="shared" si="74"/>
        <v>0</v>
      </c>
      <c r="BL453" s="2">
        <f t="shared" si="74"/>
        <v>0</v>
      </c>
      <c r="BM453" s="2">
        <f t="shared" si="74"/>
        <v>0</v>
      </c>
    </row>
    <row r="454" spans="50:65">
      <c r="AX454" s="2">
        <v>21</v>
      </c>
      <c r="AY454" s="2">
        <f t="shared" si="74"/>
        <v>156.40909090909091</v>
      </c>
      <c r="AZ454" s="2">
        <f t="shared" si="74"/>
        <v>0</v>
      </c>
      <c r="BA454" s="2">
        <f t="shared" si="74"/>
        <v>218.13636363636365</v>
      </c>
      <c r="BB454" s="2">
        <f t="shared" si="74"/>
        <v>25.309090909090909</v>
      </c>
      <c r="BC454" s="2">
        <f t="shared" si="74"/>
        <v>0</v>
      </c>
      <c r="BD454" s="2">
        <f t="shared" si="74"/>
        <v>36.554545454545455</v>
      </c>
      <c r="BE454" s="2">
        <f t="shared" si="74"/>
        <v>2.5090909090909093</v>
      </c>
      <c r="BF454" s="2">
        <f t="shared" si="74"/>
        <v>0</v>
      </c>
      <c r="BG454" s="2">
        <f t="shared" si="74"/>
        <v>3.8545454545454545</v>
      </c>
      <c r="BH454" s="2">
        <f t="shared" si="74"/>
        <v>0</v>
      </c>
      <c r="BI454" s="2">
        <f t="shared" si="74"/>
        <v>0</v>
      </c>
      <c r="BJ454" s="2">
        <f t="shared" si="74"/>
        <v>0</v>
      </c>
      <c r="BK454" s="2">
        <f t="shared" si="74"/>
        <v>0</v>
      </c>
      <c r="BL454" s="2">
        <f t="shared" si="74"/>
        <v>0</v>
      </c>
      <c r="BM454" s="2">
        <f t="shared" si="74"/>
        <v>0</v>
      </c>
    </row>
    <row r="455" spans="50:65">
      <c r="AX455" s="2">
        <v>22</v>
      </c>
      <c r="AY455" s="2">
        <f t="shared" si="74"/>
        <v>157.66363636363636</v>
      </c>
      <c r="AZ455" s="2">
        <f t="shared" si="74"/>
        <v>0</v>
      </c>
      <c r="BA455" s="2">
        <f t="shared" si="74"/>
        <v>220.05454545454546</v>
      </c>
      <c r="BB455" s="2">
        <f t="shared" si="74"/>
        <v>26.563636363636366</v>
      </c>
      <c r="BC455" s="2">
        <f t="shared" si="74"/>
        <v>0</v>
      </c>
      <c r="BD455" s="2">
        <f t="shared" si="74"/>
        <v>38.481818181818184</v>
      </c>
      <c r="BE455" s="2">
        <f t="shared" si="74"/>
        <v>3.7636363636363641</v>
      </c>
      <c r="BF455" s="2">
        <f t="shared" si="74"/>
        <v>0</v>
      </c>
      <c r="BG455" s="2">
        <f t="shared" si="74"/>
        <v>5.7818181818181813</v>
      </c>
      <c r="BH455" s="2">
        <f t="shared" si="74"/>
        <v>0</v>
      </c>
      <c r="BI455" s="2">
        <f t="shared" si="74"/>
        <v>0</v>
      </c>
      <c r="BJ455" s="2">
        <f t="shared" si="74"/>
        <v>0</v>
      </c>
      <c r="BK455" s="2">
        <f t="shared" si="74"/>
        <v>0</v>
      </c>
      <c r="BL455" s="2">
        <f t="shared" si="74"/>
        <v>0</v>
      </c>
      <c r="BM455" s="2">
        <f t="shared" si="74"/>
        <v>0</v>
      </c>
    </row>
    <row r="456" spans="50:65">
      <c r="AX456" s="2">
        <v>23</v>
      </c>
      <c r="AY456" s="2">
        <f t="shared" si="74"/>
        <v>158.91818181818181</v>
      </c>
      <c r="AZ456" s="2">
        <f t="shared" si="74"/>
        <v>0</v>
      </c>
      <c r="BA456" s="2">
        <f t="shared" si="74"/>
        <v>221.97272727272727</v>
      </c>
      <c r="BB456" s="2">
        <f t="shared" si="74"/>
        <v>27.81818181818182</v>
      </c>
      <c r="BC456" s="2">
        <f t="shared" si="74"/>
        <v>0</v>
      </c>
      <c r="BD456" s="2">
        <f t="shared" si="74"/>
        <v>40.409090909090907</v>
      </c>
      <c r="BE456" s="2">
        <f t="shared" si="74"/>
        <v>5.0181818181818185</v>
      </c>
      <c r="BF456" s="2">
        <f t="shared" si="74"/>
        <v>0</v>
      </c>
      <c r="BG456" s="2">
        <f t="shared" si="74"/>
        <v>7.709090909090909</v>
      </c>
      <c r="BH456" s="2">
        <f t="shared" si="74"/>
        <v>0</v>
      </c>
      <c r="BI456" s="2">
        <f t="shared" si="74"/>
        <v>0</v>
      </c>
      <c r="BJ456" s="2">
        <f t="shared" si="74"/>
        <v>0</v>
      </c>
      <c r="BK456" s="2">
        <f t="shared" si="74"/>
        <v>0</v>
      </c>
      <c r="BL456" s="2">
        <f t="shared" si="74"/>
        <v>0</v>
      </c>
      <c r="BM456" s="2">
        <f t="shared" si="74"/>
        <v>0</v>
      </c>
    </row>
    <row r="457" spans="50:65">
      <c r="AX457" s="2">
        <v>24</v>
      </c>
      <c r="AY457" s="2">
        <f t="shared" si="74"/>
        <v>160.17272727272726</v>
      </c>
      <c r="AZ457" s="2">
        <f t="shared" si="74"/>
        <v>0</v>
      </c>
      <c r="BA457" s="2">
        <f t="shared" si="74"/>
        <v>223.8909090909091</v>
      </c>
      <c r="BB457" s="2">
        <f t="shared" si="74"/>
        <v>29.072727272727274</v>
      </c>
      <c r="BC457" s="2">
        <f t="shared" si="74"/>
        <v>0</v>
      </c>
      <c r="BD457" s="2">
        <f t="shared" si="74"/>
        <v>42.336363636363636</v>
      </c>
      <c r="BE457" s="2">
        <f t="shared" si="74"/>
        <v>6.2727272727272725</v>
      </c>
      <c r="BF457" s="2">
        <f t="shared" si="74"/>
        <v>0</v>
      </c>
      <c r="BG457" s="2">
        <f t="shared" si="74"/>
        <v>9.6363636363636367</v>
      </c>
      <c r="BH457" s="2">
        <f t="shared" si="74"/>
        <v>0</v>
      </c>
      <c r="BI457" s="2">
        <f t="shared" si="74"/>
        <v>0</v>
      </c>
      <c r="BJ457" s="2">
        <f t="shared" si="74"/>
        <v>0</v>
      </c>
      <c r="BK457" s="2">
        <f t="shared" si="74"/>
        <v>0</v>
      </c>
      <c r="BL457" s="2">
        <f t="shared" si="74"/>
        <v>0</v>
      </c>
      <c r="BM457" s="2">
        <f t="shared" si="74"/>
        <v>0</v>
      </c>
    </row>
    <row r="458" spans="50:65">
      <c r="AX458" s="2">
        <v>25</v>
      </c>
      <c r="AY458" s="2">
        <f t="shared" si="74"/>
        <v>161.42727272727274</v>
      </c>
      <c r="AZ458" s="2">
        <f t="shared" si="74"/>
        <v>0</v>
      </c>
      <c r="BA458" s="2">
        <f t="shared" si="74"/>
        <v>225.80909090909091</v>
      </c>
      <c r="BB458" s="2">
        <f t="shared" si="74"/>
        <v>30.327272727272728</v>
      </c>
      <c r="BC458" s="2">
        <f t="shared" si="74"/>
        <v>0</v>
      </c>
      <c r="BD458" s="2">
        <f t="shared" si="74"/>
        <v>44.263636363636365</v>
      </c>
      <c r="BE458" s="2">
        <f t="shared" si="74"/>
        <v>7.5272727272727282</v>
      </c>
      <c r="BF458" s="2">
        <f t="shared" si="74"/>
        <v>0</v>
      </c>
      <c r="BG458" s="2">
        <f t="shared" si="74"/>
        <v>11.563636363636363</v>
      </c>
      <c r="BH458" s="2">
        <f t="shared" si="74"/>
        <v>0</v>
      </c>
      <c r="BI458" s="2">
        <f t="shared" si="74"/>
        <v>0</v>
      </c>
      <c r="BJ458" s="2">
        <f t="shared" si="74"/>
        <v>0</v>
      </c>
      <c r="BK458" s="2">
        <f t="shared" si="74"/>
        <v>0</v>
      </c>
      <c r="BL458" s="2">
        <f t="shared" si="74"/>
        <v>0</v>
      </c>
      <c r="BM458" s="2">
        <f t="shared" si="74"/>
        <v>0</v>
      </c>
    </row>
    <row r="459" spans="50:65">
      <c r="AX459" s="2">
        <v>26</v>
      </c>
      <c r="AY459" s="2">
        <f t="shared" si="74"/>
        <v>162.68181818181819</v>
      </c>
      <c r="AZ459" s="2">
        <f t="shared" si="74"/>
        <v>0</v>
      </c>
      <c r="BA459" s="2">
        <f t="shared" si="74"/>
        <v>227.72727272727275</v>
      </c>
      <c r="BB459" s="2">
        <f t="shared" si="74"/>
        <v>31.581818181818186</v>
      </c>
      <c r="BC459" s="2">
        <f t="shared" si="74"/>
        <v>0</v>
      </c>
      <c r="BD459" s="2">
        <f t="shared" si="74"/>
        <v>46.190909090909088</v>
      </c>
      <c r="BE459" s="2">
        <f t="shared" si="74"/>
        <v>8.7818181818181831</v>
      </c>
      <c r="BF459" s="2">
        <f t="shared" si="74"/>
        <v>0</v>
      </c>
      <c r="BG459" s="2">
        <f t="shared" si="74"/>
        <v>13.490909090909092</v>
      </c>
      <c r="BH459" s="2">
        <f t="shared" si="74"/>
        <v>0</v>
      </c>
      <c r="BI459" s="2">
        <f t="shared" si="74"/>
        <v>0</v>
      </c>
      <c r="BJ459" s="2">
        <f t="shared" si="74"/>
        <v>0</v>
      </c>
      <c r="BK459" s="2">
        <f t="shared" si="74"/>
        <v>0</v>
      </c>
      <c r="BL459" s="2">
        <f t="shared" si="74"/>
        <v>0</v>
      </c>
      <c r="BM459" s="2">
        <f t="shared" si="74"/>
        <v>0</v>
      </c>
    </row>
    <row r="460" spans="50:65">
      <c r="AX460" s="2">
        <v>27</v>
      </c>
      <c r="AY460" s="2">
        <f t="shared" si="74"/>
        <v>163.93636363636364</v>
      </c>
      <c r="AZ460" s="2">
        <f t="shared" si="74"/>
        <v>0</v>
      </c>
      <c r="BA460" s="2">
        <f t="shared" si="74"/>
        <v>229.64545454545456</v>
      </c>
      <c r="BB460" s="2">
        <f t="shared" si="74"/>
        <v>32.836363636363636</v>
      </c>
      <c r="BC460" s="2">
        <f t="shared" si="74"/>
        <v>0</v>
      </c>
      <c r="BD460" s="2">
        <f t="shared" si="74"/>
        <v>48.118181818181817</v>
      </c>
      <c r="BE460" s="2">
        <f t="shared" si="74"/>
        <v>10.036363636363637</v>
      </c>
      <c r="BF460" s="2">
        <f t="shared" si="74"/>
        <v>0</v>
      </c>
      <c r="BG460" s="2">
        <f t="shared" si="74"/>
        <v>15.418181818181818</v>
      </c>
      <c r="BH460" s="2">
        <f t="shared" si="74"/>
        <v>0</v>
      </c>
      <c r="BI460" s="2">
        <f t="shared" si="74"/>
        <v>0</v>
      </c>
      <c r="BJ460" s="2">
        <f t="shared" si="74"/>
        <v>0</v>
      </c>
      <c r="BK460" s="2">
        <f t="shared" si="74"/>
        <v>0</v>
      </c>
      <c r="BL460" s="2">
        <f t="shared" si="74"/>
        <v>0</v>
      </c>
      <c r="BM460" s="2">
        <f t="shared" si="74"/>
        <v>0</v>
      </c>
    </row>
    <row r="461" spans="50:65">
      <c r="AX461" s="2">
        <v>28</v>
      </c>
      <c r="AY461" s="2">
        <f t="shared" si="74"/>
        <v>165.19090909090909</v>
      </c>
      <c r="AZ461" s="2">
        <f t="shared" si="74"/>
        <v>0</v>
      </c>
      <c r="BA461" s="2">
        <f t="shared" si="74"/>
        <v>231.56363636363636</v>
      </c>
      <c r="BB461" s="2">
        <f t="shared" si="74"/>
        <v>34.090909090909093</v>
      </c>
      <c r="BC461" s="2">
        <f t="shared" si="74"/>
        <v>0</v>
      </c>
      <c r="BD461" s="2">
        <f t="shared" si="74"/>
        <v>50.045454545454547</v>
      </c>
      <c r="BE461" s="2">
        <f t="shared" si="74"/>
        <v>11.290909090909091</v>
      </c>
      <c r="BF461" s="2">
        <f t="shared" si="74"/>
        <v>0</v>
      </c>
      <c r="BG461" s="2">
        <f t="shared" si="74"/>
        <v>17.345454545454544</v>
      </c>
      <c r="BH461" s="2">
        <f t="shared" si="74"/>
        <v>0</v>
      </c>
      <c r="BI461" s="2">
        <f t="shared" si="74"/>
        <v>0</v>
      </c>
      <c r="BJ461" s="2">
        <f t="shared" si="74"/>
        <v>0</v>
      </c>
      <c r="BK461" s="2">
        <f t="shared" si="74"/>
        <v>0</v>
      </c>
      <c r="BL461" s="2">
        <f t="shared" si="74"/>
        <v>0</v>
      </c>
      <c r="BM461" s="2">
        <f t="shared" si="74"/>
        <v>0</v>
      </c>
    </row>
    <row r="462" spans="50:65">
      <c r="AX462" s="2">
        <v>29</v>
      </c>
      <c r="AY462" s="2">
        <f t="shared" si="74"/>
        <v>166.44545454545454</v>
      </c>
      <c r="AZ462" s="2">
        <f t="shared" si="74"/>
        <v>0</v>
      </c>
      <c r="BA462" s="2">
        <f t="shared" si="74"/>
        <v>233.4818181818182</v>
      </c>
      <c r="BB462" s="2">
        <f t="shared" si="74"/>
        <v>35.345454545454544</v>
      </c>
      <c r="BC462" s="2">
        <f t="shared" si="74"/>
        <v>0</v>
      </c>
      <c r="BD462" s="2">
        <f t="shared" si="74"/>
        <v>51.972727272727269</v>
      </c>
      <c r="BE462" s="2">
        <f t="shared" si="74"/>
        <v>12.545454545454545</v>
      </c>
      <c r="BF462" s="2">
        <f t="shared" si="74"/>
        <v>0</v>
      </c>
      <c r="BG462" s="2">
        <f t="shared" si="74"/>
        <v>19.272727272727273</v>
      </c>
      <c r="BH462" s="2">
        <f t="shared" si="74"/>
        <v>0</v>
      </c>
      <c r="BI462" s="2">
        <f t="shared" si="74"/>
        <v>0</v>
      </c>
      <c r="BJ462" s="2">
        <f t="shared" si="74"/>
        <v>0</v>
      </c>
      <c r="BK462" s="2">
        <f t="shared" si="74"/>
        <v>0</v>
      </c>
      <c r="BL462" s="2">
        <f t="shared" si="74"/>
        <v>0</v>
      </c>
      <c r="BM462" s="2">
        <f t="shared" si="74"/>
        <v>0</v>
      </c>
    </row>
    <row r="463" spans="50:65">
      <c r="AX463" s="2">
        <v>30</v>
      </c>
      <c r="AY463" s="2">
        <v>167.7</v>
      </c>
      <c r="AZ463" s="2">
        <v>0</v>
      </c>
      <c r="BA463" s="2">
        <v>235.4</v>
      </c>
      <c r="BB463" s="2">
        <v>36.6</v>
      </c>
      <c r="BC463" s="2">
        <v>0</v>
      </c>
      <c r="BD463" s="2">
        <v>53.9</v>
      </c>
      <c r="BE463" s="2">
        <v>13.8</v>
      </c>
      <c r="BF463" s="2">
        <v>0</v>
      </c>
      <c r="BG463" s="2">
        <v>21.2</v>
      </c>
      <c r="BH463" s="2">
        <v>0</v>
      </c>
      <c r="BI463" s="2"/>
      <c r="BJ463" s="2"/>
      <c r="BK463" s="2"/>
      <c r="BL463" s="2"/>
      <c r="BM463" s="2"/>
    </row>
    <row r="464" spans="50:65">
      <c r="AX464" s="2">
        <v>31</v>
      </c>
      <c r="AY464" s="2">
        <f>((($AX464-$AX$463)*(AY$471-AY$463))/($AX$471-$AX$463))+AY$463</f>
        <v>168.47499999999999</v>
      </c>
      <c r="AZ464" s="2">
        <v>0</v>
      </c>
      <c r="BA464" s="2">
        <f>((($AX464-$AX$463)*(BA$471-BA$463))/($AX$471-$AX$463))+BA$463</f>
        <v>236.46250000000001</v>
      </c>
      <c r="BB464" s="2">
        <f t="shared" ref="BB464:BM464" si="75">((($AX464-$AX$463)*(BB$471-BB$463))/($AX$471-$AX$463))+BB$463</f>
        <v>37.387500000000003</v>
      </c>
      <c r="BC464" s="2">
        <f t="shared" si="75"/>
        <v>0</v>
      </c>
      <c r="BD464" s="2">
        <f t="shared" si="75"/>
        <v>54.949999999999996</v>
      </c>
      <c r="BE464" s="2">
        <f t="shared" si="75"/>
        <v>14.575000000000001</v>
      </c>
      <c r="BF464" s="2">
        <f t="shared" si="75"/>
        <v>0</v>
      </c>
      <c r="BG464" s="2">
        <f t="shared" si="75"/>
        <v>22.25</v>
      </c>
      <c r="BH464" s="2">
        <f t="shared" si="75"/>
        <v>0.77500000000000002</v>
      </c>
      <c r="BI464" s="2">
        <f t="shared" si="75"/>
        <v>0</v>
      </c>
      <c r="BJ464" s="2">
        <f t="shared" si="75"/>
        <v>1.05</v>
      </c>
      <c r="BK464" s="2">
        <f t="shared" si="75"/>
        <v>0</v>
      </c>
      <c r="BL464" s="2">
        <f t="shared" si="75"/>
        <v>0</v>
      </c>
      <c r="BM464" s="2">
        <f t="shared" si="75"/>
        <v>0</v>
      </c>
    </row>
    <row r="465" spans="50:65">
      <c r="AX465" s="2">
        <v>32</v>
      </c>
      <c r="AY465" s="2">
        <f t="shared" ref="AY465:AY470" si="76">((($AX465-$AX$463)*(AY$471-AY$463))/($AX$471-$AX$463))+AY$463</f>
        <v>169.25</v>
      </c>
      <c r="AZ465" s="2">
        <v>0</v>
      </c>
      <c r="BA465" s="2">
        <f t="shared" ref="BA465:BM470" si="77">((($AX465-$AX$463)*(BA$471-BA$463))/($AX$471-$AX$463))+BA$463</f>
        <v>237.52500000000001</v>
      </c>
      <c r="BB465" s="2">
        <f t="shared" si="77"/>
        <v>38.174999999999997</v>
      </c>
      <c r="BC465" s="2">
        <f t="shared" si="77"/>
        <v>0</v>
      </c>
      <c r="BD465" s="2">
        <f t="shared" si="77"/>
        <v>56</v>
      </c>
      <c r="BE465" s="2">
        <f t="shared" si="77"/>
        <v>15.350000000000001</v>
      </c>
      <c r="BF465" s="2">
        <f t="shared" si="77"/>
        <v>0</v>
      </c>
      <c r="BG465" s="2">
        <f t="shared" si="77"/>
        <v>23.3</v>
      </c>
      <c r="BH465" s="2">
        <f t="shared" si="77"/>
        <v>1.55</v>
      </c>
      <c r="BI465" s="2">
        <f t="shared" si="77"/>
        <v>0</v>
      </c>
      <c r="BJ465" s="2">
        <f t="shared" si="77"/>
        <v>2.1</v>
      </c>
      <c r="BK465" s="2">
        <f t="shared" si="77"/>
        <v>0</v>
      </c>
      <c r="BL465" s="2">
        <f t="shared" si="77"/>
        <v>0</v>
      </c>
      <c r="BM465" s="2">
        <f t="shared" si="77"/>
        <v>0</v>
      </c>
    </row>
    <row r="466" spans="50:65">
      <c r="AX466" s="2">
        <v>33</v>
      </c>
      <c r="AY466" s="2">
        <f t="shared" si="76"/>
        <v>170.02500000000001</v>
      </c>
      <c r="AZ466" s="2">
        <v>0</v>
      </c>
      <c r="BA466" s="2">
        <f t="shared" si="77"/>
        <v>238.58750000000001</v>
      </c>
      <c r="BB466" s="2">
        <f t="shared" si="77"/>
        <v>38.962499999999999</v>
      </c>
      <c r="BC466" s="2">
        <f t="shared" si="77"/>
        <v>0</v>
      </c>
      <c r="BD466" s="2">
        <f t="shared" si="77"/>
        <v>57.05</v>
      </c>
      <c r="BE466" s="2">
        <f t="shared" si="77"/>
        <v>16.125</v>
      </c>
      <c r="BF466" s="2">
        <f t="shared" si="77"/>
        <v>0</v>
      </c>
      <c r="BG466" s="2">
        <f t="shared" si="77"/>
        <v>24.35</v>
      </c>
      <c r="BH466" s="2">
        <f t="shared" si="77"/>
        <v>2.3250000000000002</v>
      </c>
      <c r="BI466" s="2">
        <f t="shared" si="77"/>
        <v>0</v>
      </c>
      <c r="BJ466" s="2">
        <f t="shared" si="77"/>
        <v>3.1500000000000004</v>
      </c>
      <c r="BK466" s="2">
        <f t="shared" si="77"/>
        <v>0</v>
      </c>
      <c r="BL466" s="2">
        <f t="shared" si="77"/>
        <v>0</v>
      </c>
      <c r="BM466" s="2">
        <f t="shared" si="77"/>
        <v>0</v>
      </c>
    </row>
    <row r="467" spans="50:65">
      <c r="AX467" s="2">
        <v>34</v>
      </c>
      <c r="AY467" s="2">
        <f t="shared" si="76"/>
        <v>170.8</v>
      </c>
      <c r="AZ467" s="2">
        <v>0</v>
      </c>
      <c r="BA467" s="2">
        <f t="shared" si="77"/>
        <v>239.65</v>
      </c>
      <c r="BB467" s="2">
        <f t="shared" si="77"/>
        <v>39.75</v>
      </c>
      <c r="BC467" s="2">
        <f t="shared" si="77"/>
        <v>0</v>
      </c>
      <c r="BD467" s="2">
        <f t="shared" si="77"/>
        <v>58.099999999999994</v>
      </c>
      <c r="BE467" s="2">
        <f t="shared" si="77"/>
        <v>16.899999999999999</v>
      </c>
      <c r="BF467" s="2">
        <f t="shared" si="77"/>
        <v>0</v>
      </c>
      <c r="BG467" s="2">
        <f t="shared" si="77"/>
        <v>25.4</v>
      </c>
      <c r="BH467" s="2">
        <f t="shared" si="77"/>
        <v>3.1</v>
      </c>
      <c r="BI467" s="2">
        <f t="shared" si="77"/>
        <v>0</v>
      </c>
      <c r="BJ467" s="2">
        <f t="shared" si="77"/>
        <v>4.2</v>
      </c>
      <c r="BK467" s="2">
        <f t="shared" si="77"/>
        <v>0</v>
      </c>
      <c r="BL467" s="2">
        <f t="shared" si="77"/>
        <v>0</v>
      </c>
      <c r="BM467" s="2">
        <f t="shared" si="77"/>
        <v>0</v>
      </c>
    </row>
    <row r="468" spans="50:65">
      <c r="AX468" s="2">
        <v>35</v>
      </c>
      <c r="AY468" s="2">
        <f t="shared" si="76"/>
        <v>171.57499999999999</v>
      </c>
      <c r="AZ468" s="2">
        <v>0</v>
      </c>
      <c r="BA468" s="2">
        <f t="shared" si="77"/>
        <v>240.71250000000001</v>
      </c>
      <c r="BB468" s="2">
        <f t="shared" si="77"/>
        <v>40.537500000000001</v>
      </c>
      <c r="BC468" s="2">
        <f t="shared" si="77"/>
        <v>0</v>
      </c>
      <c r="BD468" s="2">
        <f t="shared" si="77"/>
        <v>59.15</v>
      </c>
      <c r="BE468" s="2">
        <f t="shared" si="77"/>
        <v>17.675000000000001</v>
      </c>
      <c r="BF468" s="2">
        <f t="shared" si="77"/>
        <v>0</v>
      </c>
      <c r="BG468" s="2">
        <f t="shared" si="77"/>
        <v>26.450000000000003</v>
      </c>
      <c r="BH468" s="2">
        <f t="shared" si="77"/>
        <v>3.875</v>
      </c>
      <c r="BI468" s="2">
        <f t="shared" si="77"/>
        <v>0</v>
      </c>
      <c r="BJ468" s="2">
        <f t="shared" si="77"/>
        <v>5.25</v>
      </c>
      <c r="BK468" s="2">
        <f t="shared" si="77"/>
        <v>0</v>
      </c>
      <c r="BL468" s="2">
        <f t="shared" si="77"/>
        <v>0</v>
      </c>
      <c r="BM468" s="2">
        <f t="shared" si="77"/>
        <v>0</v>
      </c>
    </row>
    <row r="469" spans="50:65">
      <c r="AX469" s="2">
        <v>36</v>
      </c>
      <c r="AY469" s="2">
        <f t="shared" si="76"/>
        <v>172.35</v>
      </c>
      <c r="AZ469" s="2">
        <v>0</v>
      </c>
      <c r="BA469" s="2">
        <f t="shared" si="77"/>
        <v>241.77500000000001</v>
      </c>
      <c r="BB469" s="2">
        <f t="shared" si="77"/>
        <v>41.325000000000003</v>
      </c>
      <c r="BC469" s="2">
        <f t="shared" si="77"/>
        <v>0</v>
      </c>
      <c r="BD469" s="2">
        <f t="shared" si="77"/>
        <v>60.199999999999996</v>
      </c>
      <c r="BE469" s="2">
        <f t="shared" si="77"/>
        <v>18.45</v>
      </c>
      <c r="BF469" s="2">
        <f t="shared" si="77"/>
        <v>0</v>
      </c>
      <c r="BG469" s="2">
        <f t="shared" si="77"/>
        <v>27.5</v>
      </c>
      <c r="BH469" s="2">
        <f t="shared" si="77"/>
        <v>4.6500000000000004</v>
      </c>
      <c r="BI469" s="2">
        <f t="shared" si="77"/>
        <v>0</v>
      </c>
      <c r="BJ469" s="2">
        <f t="shared" si="77"/>
        <v>6.3000000000000007</v>
      </c>
      <c r="BK469" s="2">
        <f t="shared" si="77"/>
        <v>0</v>
      </c>
      <c r="BL469" s="2">
        <f t="shared" si="77"/>
        <v>0</v>
      </c>
      <c r="BM469" s="2">
        <f t="shared" si="77"/>
        <v>0</v>
      </c>
    </row>
    <row r="470" spans="50:65">
      <c r="AX470" s="2">
        <v>37</v>
      </c>
      <c r="AY470" s="2">
        <f t="shared" si="76"/>
        <v>173.125</v>
      </c>
      <c r="AZ470" s="2">
        <v>0</v>
      </c>
      <c r="BA470" s="2">
        <f t="shared" si="77"/>
        <v>242.83750000000001</v>
      </c>
      <c r="BB470" s="2">
        <f t="shared" si="77"/>
        <v>42.112499999999997</v>
      </c>
      <c r="BC470" s="2">
        <f t="shared" si="77"/>
        <v>0</v>
      </c>
      <c r="BD470" s="2">
        <f t="shared" si="77"/>
        <v>61.25</v>
      </c>
      <c r="BE470" s="2">
        <f t="shared" si="77"/>
        <v>19.225000000000001</v>
      </c>
      <c r="BF470" s="2">
        <f t="shared" si="77"/>
        <v>0</v>
      </c>
      <c r="BG470" s="2">
        <f t="shared" si="77"/>
        <v>28.55</v>
      </c>
      <c r="BH470" s="2">
        <f t="shared" si="77"/>
        <v>5.4249999999999998</v>
      </c>
      <c r="BI470" s="2">
        <f t="shared" si="77"/>
        <v>0</v>
      </c>
      <c r="BJ470" s="2">
        <f t="shared" si="77"/>
        <v>7.3500000000000005</v>
      </c>
      <c r="BK470" s="2">
        <f t="shared" si="77"/>
        <v>0</v>
      </c>
      <c r="BL470" s="2">
        <f t="shared" si="77"/>
        <v>0</v>
      </c>
      <c r="BM470" s="2">
        <f t="shared" si="77"/>
        <v>0</v>
      </c>
    </row>
    <row r="471" spans="50:65">
      <c r="AX471" s="2">
        <v>38</v>
      </c>
      <c r="AY471" s="2">
        <v>173.9</v>
      </c>
      <c r="AZ471" s="2">
        <v>0</v>
      </c>
      <c r="BA471" s="2">
        <v>243.9</v>
      </c>
      <c r="BB471" s="2">
        <v>42.9</v>
      </c>
      <c r="BC471" s="2">
        <v>0</v>
      </c>
      <c r="BD471" s="2">
        <v>62.3</v>
      </c>
      <c r="BE471" s="2">
        <v>20</v>
      </c>
      <c r="BF471" s="2">
        <v>0</v>
      </c>
      <c r="BG471" s="2">
        <v>29.6</v>
      </c>
      <c r="BH471" s="2">
        <v>6.2</v>
      </c>
      <c r="BI471" s="2">
        <v>0</v>
      </c>
      <c r="BJ471" s="2">
        <v>8.4</v>
      </c>
      <c r="BK471" s="2">
        <v>0</v>
      </c>
      <c r="BL471" s="2">
        <v>0</v>
      </c>
      <c r="BM471" s="2">
        <v>0</v>
      </c>
    </row>
    <row r="472" spans="50:65">
      <c r="AX472" s="2">
        <v>39</v>
      </c>
      <c r="AY472" s="2">
        <f>((($AX472-$AX$471)*(AY$482-AY$471))/($AX$482-$AX$471))+AY$471</f>
        <v>174.28181818181818</v>
      </c>
      <c r="AZ472" s="2">
        <f t="shared" ref="AZ472:BM472" si="78">((($AX472-$AX$471)*(AZ$482-AZ$471))/($AX$482-$AX$471))+AZ$471</f>
        <v>0</v>
      </c>
      <c r="BA472" s="2">
        <f t="shared" si="78"/>
        <v>244.54545454545456</v>
      </c>
      <c r="BB472" s="2">
        <f t="shared" si="78"/>
        <v>43.272727272727273</v>
      </c>
      <c r="BC472" s="2">
        <f t="shared" si="78"/>
        <v>0</v>
      </c>
      <c r="BD472" s="2">
        <f t="shared" si="78"/>
        <v>62.945454545454545</v>
      </c>
      <c r="BE472" s="2">
        <f t="shared" si="78"/>
        <v>20.381818181818183</v>
      </c>
      <c r="BF472" s="2">
        <f t="shared" si="78"/>
        <v>0</v>
      </c>
      <c r="BG472" s="2">
        <f t="shared" si="78"/>
        <v>30.245454545454546</v>
      </c>
      <c r="BH472" s="2">
        <f t="shared" si="78"/>
        <v>6.581818181818182</v>
      </c>
      <c r="BI472" s="2">
        <f t="shared" si="78"/>
        <v>0</v>
      </c>
      <c r="BJ472" s="2">
        <f t="shared" si="78"/>
        <v>9.045454545454545</v>
      </c>
      <c r="BK472" s="2">
        <f t="shared" si="78"/>
        <v>0.37272727272727268</v>
      </c>
      <c r="BL472" s="2">
        <f t="shared" si="78"/>
        <v>0</v>
      </c>
      <c r="BM472" s="2">
        <f t="shared" si="78"/>
        <v>0.64545454545454539</v>
      </c>
    </row>
    <row r="473" spans="50:65">
      <c r="AX473" s="2">
        <v>40</v>
      </c>
      <c r="AY473" s="2">
        <f t="shared" ref="AY473:BM481" si="79">((($AX473-$AX$471)*(AY$482-AY$471))/($AX$482-$AX$471))+AY$471</f>
        <v>174.66363636363636</v>
      </c>
      <c r="AZ473" s="2">
        <f t="shared" si="79"/>
        <v>0</v>
      </c>
      <c r="BA473" s="2">
        <f t="shared" si="79"/>
        <v>245.19090909090909</v>
      </c>
      <c r="BB473" s="2">
        <f t="shared" si="79"/>
        <v>43.645454545454541</v>
      </c>
      <c r="BC473" s="2">
        <f t="shared" si="79"/>
        <v>0</v>
      </c>
      <c r="BD473" s="2">
        <f t="shared" si="79"/>
        <v>63.590909090909086</v>
      </c>
      <c r="BE473" s="2">
        <f t="shared" si="79"/>
        <v>20.763636363636362</v>
      </c>
      <c r="BF473" s="2">
        <f t="shared" si="79"/>
        <v>0</v>
      </c>
      <c r="BG473" s="2">
        <f t="shared" si="79"/>
        <v>30.890909090909094</v>
      </c>
      <c r="BH473" s="2">
        <f t="shared" si="79"/>
        <v>6.9636363636363638</v>
      </c>
      <c r="BI473" s="2">
        <f t="shared" si="79"/>
        <v>0</v>
      </c>
      <c r="BJ473" s="2">
        <f t="shared" si="79"/>
        <v>9.6909090909090914</v>
      </c>
      <c r="BK473" s="2">
        <f t="shared" si="79"/>
        <v>0.74545454545454537</v>
      </c>
      <c r="BL473" s="2">
        <f t="shared" si="79"/>
        <v>0</v>
      </c>
      <c r="BM473" s="2">
        <f t="shared" si="79"/>
        <v>1.2909090909090908</v>
      </c>
    </row>
    <row r="474" spans="50:65">
      <c r="AX474" s="2">
        <v>41</v>
      </c>
      <c r="AY474" s="2">
        <f t="shared" si="79"/>
        <v>175.04545454545456</v>
      </c>
      <c r="AZ474" s="2">
        <f t="shared" si="79"/>
        <v>0</v>
      </c>
      <c r="BA474" s="2">
        <f t="shared" si="79"/>
        <v>245.83636363636364</v>
      </c>
      <c r="BB474" s="2">
        <f t="shared" si="79"/>
        <v>44.018181818181816</v>
      </c>
      <c r="BC474" s="2">
        <f t="shared" si="79"/>
        <v>0</v>
      </c>
      <c r="BD474" s="2">
        <f t="shared" si="79"/>
        <v>64.236363636363635</v>
      </c>
      <c r="BE474" s="2">
        <f t="shared" si="79"/>
        <v>21.145454545454545</v>
      </c>
      <c r="BF474" s="2">
        <f t="shared" si="79"/>
        <v>0</v>
      </c>
      <c r="BG474" s="2">
        <f t="shared" si="79"/>
        <v>31.536363636363639</v>
      </c>
      <c r="BH474" s="2">
        <f t="shared" si="79"/>
        <v>7.3454545454545457</v>
      </c>
      <c r="BI474" s="2">
        <f t="shared" si="79"/>
        <v>0</v>
      </c>
      <c r="BJ474" s="2">
        <f t="shared" si="79"/>
        <v>10.336363636363636</v>
      </c>
      <c r="BK474" s="2">
        <f t="shared" si="79"/>
        <v>1.1181818181818182</v>
      </c>
      <c r="BL474" s="2">
        <f t="shared" si="79"/>
        <v>0</v>
      </c>
      <c r="BM474" s="2">
        <f t="shared" si="79"/>
        <v>1.9363636363636361</v>
      </c>
    </row>
    <row r="475" spans="50:65">
      <c r="AX475" s="2">
        <v>42</v>
      </c>
      <c r="AY475" s="2">
        <f t="shared" si="79"/>
        <v>175.42727272727274</v>
      </c>
      <c r="AZ475" s="2">
        <f t="shared" si="79"/>
        <v>0</v>
      </c>
      <c r="BA475" s="2">
        <f t="shared" si="79"/>
        <v>246.4818181818182</v>
      </c>
      <c r="BB475" s="2">
        <f t="shared" si="79"/>
        <v>44.390909090909091</v>
      </c>
      <c r="BC475" s="2">
        <f t="shared" si="79"/>
        <v>0</v>
      </c>
      <c r="BD475" s="2">
        <f t="shared" si="79"/>
        <v>64.881818181818176</v>
      </c>
      <c r="BE475" s="2">
        <f t="shared" si="79"/>
        <v>21.527272727272727</v>
      </c>
      <c r="BF475" s="2">
        <f t="shared" si="79"/>
        <v>0</v>
      </c>
      <c r="BG475" s="2">
        <f t="shared" si="79"/>
        <v>32.181818181818187</v>
      </c>
      <c r="BH475" s="2">
        <f t="shared" si="79"/>
        <v>7.7272727272727275</v>
      </c>
      <c r="BI475" s="2">
        <f t="shared" si="79"/>
        <v>0</v>
      </c>
      <c r="BJ475" s="2">
        <f t="shared" si="79"/>
        <v>10.981818181818182</v>
      </c>
      <c r="BK475" s="2">
        <f t="shared" si="79"/>
        <v>1.4909090909090907</v>
      </c>
      <c r="BL475" s="2">
        <f t="shared" si="79"/>
        <v>0</v>
      </c>
      <c r="BM475" s="2">
        <f t="shared" si="79"/>
        <v>2.5818181818181816</v>
      </c>
    </row>
    <row r="476" spans="50:65">
      <c r="AX476" s="2">
        <v>43</v>
      </c>
      <c r="AY476" s="2">
        <f t="shared" si="79"/>
        <v>175.80909090909091</v>
      </c>
      <c r="AZ476" s="2">
        <f t="shared" si="79"/>
        <v>0</v>
      </c>
      <c r="BA476" s="2">
        <f t="shared" si="79"/>
        <v>247.12727272727273</v>
      </c>
      <c r="BB476" s="2">
        <f t="shared" si="79"/>
        <v>44.763636363636365</v>
      </c>
      <c r="BC476" s="2">
        <f t="shared" si="79"/>
        <v>0</v>
      </c>
      <c r="BD476" s="2">
        <f t="shared" si="79"/>
        <v>65.527272727272731</v>
      </c>
      <c r="BE476" s="2">
        <f t="shared" si="79"/>
        <v>21.90909090909091</v>
      </c>
      <c r="BF476" s="2">
        <f t="shared" si="79"/>
        <v>0</v>
      </c>
      <c r="BG476" s="2">
        <f t="shared" si="79"/>
        <v>32.827272727272728</v>
      </c>
      <c r="BH476" s="2">
        <f t="shared" si="79"/>
        <v>8.1090909090909093</v>
      </c>
      <c r="BI476" s="2">
        <f t="shared" si="79"/>
        <v>0</v>
      </c>
      <c r="BJ476" s="2">
        <f t="shared" si="79"/>
        <v>11.627272727272727</v>
      </c>
      <c r="BK476" s="2">
        <f t="shared" si="79"/>
        <v>1.8636363636363635</v>
      </c>
      <c r="BL476" s="2">
        <f t="shared" si="79"/>
        <v>0</v>
      </c>
      <c r="BM476" s="2">
        <f t="shared" si="79"/>
        <v>3.2272727272727271</v>
      </c>
    </row>
    <row r="477" spans="50:65">
      <c r="AX477" s="2">
        <v>44</v>
      </c>
      <c r="AY477" s="2">
        <f t="shared" si="79"/>
        <v>176.19090909090909</v>
      </c>
      <c r="AZ477" s="2">
        <f t="shared" si="79"/>
        <v>0</v>
      </c>
      <c r="BA477" s="2">
        <f t="shared" si="79"/>
        <v>247.77272727272728</v>
      </c>
      <c r="BB477" s="2">
        <f t="shared" si="79"/>
        <v>45.136363636363633</v>
      </c>
      <c r="BC477" s="2">
        <f t="shared" si="79"/>
        <v>0</v>
      </c>
      <c r="BD477" s="2">
        <f t="shared" si="79"/>
        <v>66.172727272727272</v>
      </c>
      <c r="BE477" s="2">
        <f t="shared" si="79"/>
        <v>22.290909090909089</v>
      </c>
      <c r="BF477" s="2">
        <f t="shared" si="79"/>
        <v>0</v>
      </c>
      <c r="BG477" s="2">
        <f t="shared" si="79"/>
        <v>33.472727272727276</v>
      </c>
      <c r="BH477" s="2">
        <f t="shared" si="79"/>
        <v>8.4909090909090921</v>
      </c>
      <c r="BI477" s="2">
        <f t="shared" si="79"/>
        <v>0</v>
      </c>
      <c r="BJ477" s="2">
        <f t="shared" si="79"/>
        <v>12.272727272727273</v>
      </c>
      <c r="BK477" s="2">
        <f t="shared" si="79"/>
        <v>2.2363636363636363</v>
      </c>
      <c r="BL477" s="2">
        <f t="shared" si="79"/>
        <v>0</v>
      </c>
      <c r="BM477" s="2">
        <f t="shared" si="79"/>
        <v>3.8727272727272721</v>
      </c>
    </row>
    <row r="478" spans="50:65">
      <c r="AX478" s="2">
        <v>45</v>
      </c>
      <c r="AY478" s="2">
        <f t="shared" si="79"/>
        <v>176.57272727272726</v>
      </c>
      <c r="AZ478" s="2">
        <f t="shared" si="79"/>
        <v>0</v>
      </c>
      <c r="BA478" s="2">
        <f t="shared" si="79"/>
        <v>248.41818181818181</v>
      </c>
      <c r="BB478" s="2">
        <f t="shared" si="79"/>
        <v>45.509090909090908</v>
      </c>
      <c r="BC478" s="2">
        <f t="shared" si="79"/>
        <v>0</v>
      </c>
      <c r="BD478" s="2">
        <f t="shared" si="79"/>
        <v>66.818181818181827</v>
      </c>
      <c r="BE478" s="2">
        <f t="shared" si="79"/>
        <v>22.672727272727272</v>
      </c>
      <c r="BF478" s="2">
        <f t="shared" si="79"/>
        <v>0</v>
      </c>
      <c r="BG478" s="2">
        <f t="shared" si="79"/>
        <v>34.118181818181824</v>
      </c>
      <c r="BH478" s="2">
        <f t="shared" si="79"/>
        <v>8.872727272727273</v>
      </c>
      <c r="BI478" s="2">
        <f t="shared" si="79"/>
        <v>0</v>
      </c>
      <c r="BJ478" s="2">
        <f t="shared" si="79"/>
        <v>12.918181818181818</v>
      </c>
      <c r="BK478" s="2">
        <f t="shared" si="79"/>
        <v>2.6090909090909089</v>
      </c>
      <c r="BL478" s="2">
        <f t="shared" si="79"/>
        <v>0</v>
      </c>
      <c r="BM478" s="2">
        <f t="shared" si="79"/>
        <v>4.5181818181818176</v>
      </c>
    </row>
    <row r="479" spans="50:65">
      <c r="AX479" s="2">
        <v>46</v>
      </c>
      <c r="AY479" s="2">
        <f t="shared" si="79"/>
        <v>176.95454545454544</v>
      </c>
      <c r="AZ479" s="2">
        <f t="shared" si="79"/>
        <v>0</v>
      </c>
      <c r="BA479" s="2">
        <f t="shared" si="79"/>
        <v>249.06363636363636</v>
      </c>
      <c r="BB479" s="2">
        <f t="shared" si="79"/>
        <v>45.881818181818183</v>
      </c>
      <c r="BC479" s="2">
        <f t="shared" si="79"/>
        <v>0</v>
      </c>
      <c r="BD479" s="2">
        <f t="shared" si="79"/>
        <v>67.463636363636368</v>
      </c>
      <c r="BE479" s="2">
        <f t="shared" si="79"/>
        <v>23.054545454545455</v>
      </c>
      <c r="BF479" s="2">
        <f t="shared" si="79"/>
        <v>0</v>
      </c>
      <c r="BG479" s="2">
        <f t="shared" si="79"/>
        <v>34.763636363636365</v>
      </c>
      <c r="BH479" s="2">
        <f t="shared" si="79"/>
        <v>9.254545454545454</v>
      </c>
      <c r="BI479" s="2">
        <f t="shared" si="79"/>
        <v>0</v>
      </c>
      <c r="BJ479" s="2">
        <f t="shared" si="79"/>
        <v>13.563636363636363</v>
      </c>
      <c r="BK479" s="2">
        <f t="shared" si="79"/>
        <v>2.9818181818181815</v>
      </c>
      <c r="BL479" s="2">
        <f t="shared" si="79"/>
        <v>0</v>
      </c>
      <c r="BM479" s="2">
        <f t="shared" si="79"/>
        <v>5.1636363636363631</v>
      </c>
    </row>
    <row r="480" spans="50:65">
      <c r="AX480" s="2">
        <v>47</v>
      </c>
      <c r="AY480" s="2">
        <f t="shared" si="79"/>
        <v>177.33636363636364</v>
      </c>
      <c r="AZ480" s="2">
        <f t="shared" si="79"/>
        <v>0</v>
      </c>
      <c r="BA480" s="2">
        <f t="shared" si="79"/>
        <v>249.70909090909092</v>
      </c>
      <c r="BB480" s="2">
        <f t="shared" si="79"/>
        <v>46.254545454545458</v>
      </c>
      <c r="BC480" s="2">
        <f t="shared" si="79"/>
        <v>0</v>
      </c>
      <c r="BD480" s="2">
        <f t="shared" si="79"/>
        <v>68.109090909090909</v>
      </c>
      <c r="BE480" s="2">
        <f t="shared" si="79"/>
        <v>23.436363636363637</v>
      </c>
      <c r="BF480" s="2">
        <f t="shared" si="79"/>
        <v>0</v>
      </c>
      <c r="BG480" s="2">
        <f t="shared" si="79"/>
        <v>35.409090909090914</v>
      </c>
      <c r="BH480" s="2">
        <f t="shared" si="79"/>
        <v>9.6363636363636367</v>
      </c>
      <c r="BI480" s="2">
        <f t="shared" si="79"/>
        <v>0</v>
      </c>
      <c r="BJ480" s="2">
        <f t="shared" si="79"/>
        <v>14.209090909090909</v>
      </c>
      <c r="BK480" s="2">
        <f t="shared" si="79"/>
        <v>3.3545454545454545</v>
      </c>
      <c r="BL480" s="2">
        <f t="shared" si="79"/>
        <v>0</v>
      </c>
      <c r="BM480" s="2">
        <f t="shared" si="79"/>
        <v>5.8090909090909086</v>
      </c>
    </row>
    <row r="481" spans="50:65">
      <c r="AX481" s="2">
        <v>48</v>
      </c>
      <c r="AY481" s="2">
        <f t="shared" si="79"/>
        <v>177.71818181818182</v>
      </c>
      <c r="AZ481" s="2">
        <f t="shared" si="79"/>
        <v>0</v>
      </c>
      <c r="BA481" s="2">
        <f t="shared" si="79"/>
        <v>250.35454545454544</v>
      </c>
      <c r="BB481" s="2">
        <f t="shared" si="79"/>
        <v>46.627272727272725</v>
      </c>
      <c r="BC481" s="2">
        <f t="shared" si="79"/>
        <v>0</v>
      </c>
      <c r="BD481" s="2">
        <f t="shared" si="79"/>
        <v>68.754545454545465</v>
      </c>
      <c r="BE481" s="2">
        <f t="shared" si="79"/>
        <v>23.818181818181817</v>
      </c>
      <c r="BF481" s="2">
        <f t="shared" si="79"/>
        <v>0</v>
      </c>
      <c r="BG481" s="2">
        <f t="shared" si="79"/>
        <v>36.054545454545455</v>
      </c>
      <c r="BH481" s="2">
        <f t="shared" si="79"/>
        <v>10.018181818181819</v>
      </c>
      <c r="BI481" s="2">
        <f t="shared" si="79"/>
        <v>0</v>
      </c>
      <c r="BJ481" s="2">
        <f t="shared" si="79"/>
        <v>14.854545454545455</v>
      </c>
      <c r="BK481" s="2">
        <f t="shared" si="79"/>
        <v>3.7272727272727271</v>
      </c>
      <c r="BL481" s="2">
        <f t="shared" si="79"/>
        <v>0</v>
      </c>
      <c r="BM481" s="2">
        <f t="shared" si="79"/>
        <v>6.4545454545454541</v>
      </c>
    </row>
    <row r="482" spans="50:65">
      <c r="AX482" s="2">
        <v>49</v>
      </c>
      <c r="AY482" s="2">
        <v>178.1</v>
      </c>
      <c r="AZ482" s="2">
        <v>0</v>
      </c>
      <c r="BA482" s="2">
        <v>251</v>
      </c>
      <c r="BB482" s="2">
        <v>47</v>
      </c>
      <c r="BC482" s="2">
        <v>0</v>
      </c>
      <c r="BD482" s="2">
        <v>69.400000000000006</v>
      </c>
      <c r="BE482" s="2">
        <v>24.2</v>
      </c>
      <c r="BF482" s="2">
        <v>0</v>
      </c>
      <c r="BG482" s="2">
        <v>36.700000000000003</v>
      </c>
      <c r="BH482" s="2">
        <v>10.4</v>
      </c>
      <c r="BI482" s="2">
        <v>0</v>
      </c>
      <c r="BJ482" s="2">
        <v>15.5</v>
      </c>
      <c r="BK482" s="2">
        <v>4.0999999999999996</v>
      </c>
      <c r="BL482" s="2">
        <v>0</v>
      </c>
      <c r="BM482" s="2">
        <v>7.1</v>
      </c>
    </row>
    <row r="483" spans="50:65">
      <c r="AX483" s="2">
        <v>50</v>
      </c>
      <c r="AY483" s="2">
        <f>((($AX483-$AX$482)*(AY$493-AY$482))/($AX$493-$AX$482))+AY$482</f>
        <v>178.39090909090908</v>
      </c>
      <c r="AZ483" s="2">
        <f t="shared" ref="AZ483:BM483" si="80">((($AX483-$AX$482)*(AZ$493-AZ$482))/($AX$493-$AX$482))+AZ$482</f>
        <v>0</v>
      </c>
      <c r="BA483" s="2">
        <f t="shared" si="80"/>
        <v>251.46363636363637</v>
      </c>
      <c r="BB483" s="2">
        <f t="shared" si="80"/>
        <v>47.3</v>
      </c>
      <c r="BC483" s="2">
        <f t="shared" si="80"/>
        <v>0</v>
      </c>
      <c r="BD483" s="2">
        <f t="shared" si="80"/>
        <v>69.863636363636374</v>
      </c>
      <c r="BE483" s="2">
        <f t="shared" si="80"/>
        <v>24.490909090909089</v>
      </c>
      <c r="BF483" s="2">
        <f t="shared" si="80"/>
        <v>0</v>
      </c>
      <c r="BG483" s="2">
        <f t="shared" si="80"/>
        <v>37.163636363636364</v>
      </c>
      <c r="BH483" s="2">
        <f t="shared" si="80"/>
        <v>10.690909090909091</v>
      </c>
      <c r="BI483" s="2">
        <f t="shared" si="80"/>
        <v>0</v>
      </c>
      <c r="BJ483" s="2">
        <f t="shared" si="80"/>
        <v>15.963636363636363</v>
      </c>
      <c r="BK483" s="2">
        <f t="shared" si="80"/>
        <v>4.3999999999999995</v>
      </c>
      <c r="BL483" s="2">
        <f t="shared" si="80"/>
        <v>0</v>
      </c>
      <c r="BM483" s="2">
        <f t="shared" si="80"/>
        <v>7.5636363636363635</v>
      </c>
    </row>
    <row r="484" spans="50:65">
      <c r="AX484" s="2">
        <v>51</v>
      </c>
      <c r="AY484" s="2">
        <f t="shared" ref="AY484:BM492" si="81">((($AX484-$AX$482)*(AY$493-AY$482))/($AX$493-$AX$482))+AY$482</f>
        <v>178.68181818181819</v>
      </c>
      <c r="AZ484" s="2">
        <f t="shared" si="81"/>
        <v>0</v>
      </c>
      <c r="BA484" s="2">
        <f t="shared" si="81"/>
        <v>251.92727272727274</v>
      </c>
      <c r="BB484" s="2">
        <f t="shared" si="81"/>
        <v>47.6</v>
      </c>
      <c r="BC484" s="2">
        <f t="shared" si="81"/>
        <v>0</v>
      </c>
      <c r="BD484" s="2">
        <f t="shared" si="81"/>
        <v>70.327272727272728</v>
      </c>
      <c r="BE484" s="2">
        <f t="shared" si="81"/>
        <v>24.781818181818181</v>
      </c>
      <c r="BF484" s="2">
        <f t="shared" si="81"/>
        <v>0</v>
      </c>
      <c r="BG484" s="2">
        <f t="shared" si="81"/>
        <v>37.627272727272732</v>
      </c>
      <c r="BH484" s="2">
        <f t="shared" si="81"/>
        <v>10.981818181818182</v>
      </c>
      <c r="BI484" s="2">
        <f t="shared" si="81"/>
        <v>0</v>
      </c>
      <c r="BJ484" s="2">
        <f t="shared" si="81"/>
        <v>16.427272727272726</v>
      </c>
      <c r="BK484" s="2">
        <f t="shared" si="81"/>
        <v>4.6999999999999993</v>
      </c>
      <c r="BL484" s="2">
        <f t="shared" si="81"/>
        <v>0</v>
      </c>
      <c r="BM484" s="2">
        <f t="shared" si="81"/>
        <v>8.0272727272727273</v>
      </c>
    </row>
    <row r="485" spans="50:65">
      <c r="AX485" s="2">
        <v>52</v>
      </c>
      <c r="AY485" s="2">
        <f t="shared" si="81"/>
        <v>178.97272727272727</v>
      </c>
      <c r="AZ485" s="2">
        <f t="shared" si="81"/>
        <v>0</v>
      </c>
      <c r="BA485" s="2">
        <f t="shared" si="81"/>
        <v>252.3909090909091</v>
      </c>
      <c r="BB485" s="2">
        <f t="shared" si="81"/>
        <v>47.9</v>
      </c>
      <c r="BC485" s="2">
        <f t="shared" si="81"/>
        <v>0</v>
      </c>
      <c r="BD485" s="2">
        <f t="shared" si="81"/>
        <v>70.790909090909096</v>
      </c>
      <c r="BE485" s="2">
        <f t="shared" si="81"/>
        <v>25.072727272727271</v>
      </c>
      <c r="BF485" s="2">
        <f t="shared" si="81"/>
        <v>0</v>
      </c>
      <c r="BG485" s="2">
        <f t="shared" si="81"/>
        <v>38.090909090909093</v>
      </c>
      <c r="BH485" s="2">
        <f t="shared" si="81"/>
        <v>11.272727272727273</v>
      </c>
      <c r="BI485" s="2">
        <f t="shared" si="81"/>
        <v>0</v>
      </c>
      <c r="BJ485" s="2">
        <f t="shared" si="81"/>
        <v>16.890909090909091</v>
      </c>
      <c r="BK485" s="2">
        <f t="shared" si="81"/>
        <v>5</v>
      </c>
      <c r="BL485" s="2">
        <f t="shared" si="81"/>
        <v>0</v>
      </c>
      <c r="BM485" s="2">
        <f t="shared" si="81"/>
        <v>8.4909090909090903</v>
      </c>
    </row>
    <row r="486" spans="50:65">
      <c r="AX486" s="2">
        <v>53</v>
      </c>
      <c r="AY486" s="2">
        <f t="shared" si="81"/>
        <v>179.26363636363635</v>
      </c>
      <c r="AZ486" s="2">
        <f t="shared" si="81"/>
        <v>0</v>
      </c>
      <c r="BA486" s="2">
        <f t="shared" si="81"/>
        <v>252.85454545454547</v>
      </c>
      <c r="BB486" s="2">
        <f t="shared" si="81"/>
        <v>48.199999999999996</v>
      </c>
      <c r="BC486" s="2">
        <f t="shared" si="81"/>
        <v>0</v>
      </c>
      <c r="BD486" s="2">
        <f t="shared" si="81"/>
        <v>71.254545454545465</v>
      </c>
      <c r="BE486" s="2">
        <f t="shared" si="81"/>
        <v>25.363636363636363</v>
      </c>
      <c r="BF486" s="2">
        <f t="shared" si="81"/>
        <v>0</v>
      </c>
      <c r="BG486" s="2">
        <f t="shared" si="81"/>
        <v>38.554545454545455</v>
      </c>
      <c r="BH486" s="2">
        <f t="shared" si="81"/>
        <v>11.563636363636364</v>
      </c>
      <c r="BI486" s="2">
        <f t="shared" si="81"/>
        <v>0</v>
      </c>
      <c r="BJ486" s="2">
        <f t="shared" si="81"/>
        <v>17.354545454545455</v>
      </c>
      <c r="BK486" s="2">
        <f t="shared" si="81"/>
        <v>5.3</v>
      </c>
      <c r="BL486" s="2">
        <f t="shared" si="81"/>
        <v>0</v>
      </c>
      <c r="BM486" s="2">
        <f t="shared" si="81"/>
        <v>8.9545454545454533</v>
      </c>
    </row>
    <row r="487" spans="50:65">
      <c r="AX487" s="2">
        <v>54</v>
      </c>
      <c r="AY487" s="2">
        <f t="shared" si="81"/>
        <v>179.55454545454546</v>
      </c>
      <c r="AZ487" s="2">
        <f t="shared" si="81"/>
        <v>0</v>
      </c>
      <c r="BA487" s="2">
        <f t="shared" si="81"/>
        <v>253.31818181818184</v>
      </c>
      <c r="BB487" s="2">
        <f t="shared" si="81"/>
        <v>48.5</v>
      </c>
      <c r="BC487" s="2">
        <f t="shared" si="81"/>
        <v>0</v>
      </c>
      <c r="BD487" s="2">
        <f t="shared" si="81"/>
        <v>71.718181818181819</v>
      </c>
      <c r="BE487" s="2">
        <f t="shared" si="81"/>
        <v>25.654545454545453</v>
      </c>
      <c r="BF487" s="2">
        <f t="shared" si="81"/>
        <v>0</v>
      </c>
      <c r="BG487" s="2">
        <f t="shared" si="81"/>
        <v>39.018181818181816</v>
      </c>
      <c r="BH487" s="2">
        <f t="shared" si="81"/>
        <v>11.854545454545455</v>
      </c>
      <c r="BI487" s="2">
        <f t="shared" si="81"/>
        <v>0</v>
      </c>
      <c r="BJ487" s="2">
        <f t="shared" si="81"/>
        <v>17.81818181818182</v>
      </c>
      <c r="BK487" s="2">
        <f t="shared" si="81"/>
        <v>5.6</v>
      </c>
      <c r="BL487" s="2">
        <f t="shared" si="81"/>
        <v>0</v>
      </c>
      <c r="BM487" s="2">
        <f t="shared" si="81"/>
        <v>9.418181818181818</v>
      </c>
    </row>
    <row r="488" spans="50:65">
      <c r="AX488" s="2">
        <v>55</v>
      </c>
      <c r="AY488" s="2">
        <f t="shared" si="81"/>
        <v>179.84545454545454</v>
      </c>
      <c r="AZ488" s="2">
        <f t="shared" si="81"/>
        <v>0</v>
      </c>
      <c r="BA488" s="2">
        <f t="shared" si="81"/>
        <v>253.78181818181818</v>
      </c>
      <c r="BB488" s="2">
        <f t="shared" si="81"/>
        <v>48.8</v>
      </c>
      <c r="BC488" s="2">
        <f t="shared" si="81"/>
        <v>0</v>
      </c>
      <c r="BD488" s="2">
        <f t="shared" si="81"/>
        <v>72.181818181818187</v>
      </c>
      <c r="BE488" s="2">
        <f t="shared" si="81"/>
        <v>25.945454545454545</v>
      </c>
      <c r="BF488" s="2">
        <f t="shared" si="81"/>
        <v>0</v>
      </c>
      <c r="BG488" s="2">
        <f t="shared" si="81"/>
        <v>39.481818181818184</v>
      </c>
      <c r="BH488" s="2">
        <f t="shared" si="81"/>
        <v>12.145454545454545</v>
      </c>
      <c r="BI488" s="2">
        <f t="shared" si="81"/>
        <v>0</v>
      </c>
      <c r="BJ488" s="2">
        <f t="shared" si="81"/>
        <v>18.281818181818181</v>
      </c>
      <c r="BK488" s="2">
        <f t="shared" si="81"/>
        <v>5.9</v>
      </c>
      <c r="BL488" s="2">
        <f t="shared" si="81"/>
        <v>0</v>
      </c>
      <c r="BM488" s="2">
        <f t="shared" si="81"/>
        <v>9.8818181818181809</v>
      </c>
    </row>
    <row r="489" spans="50:65">
      <c r="AX489" s="2">
        <v>56</v>
      </c>
      <c r="AY489" s="2">
        <f t="shared" si="81"/>
        <v>180.13636363636365</v>
      </c>
      <c r="AZ489" s="2">
        <f t="shared" si="81"/>
        <v>0</v>
      </c>
      <c r="BA489" s="2">
        <f t="shared" si="81"/>
        <v>254.24545454545455</v>
      </c>
      <c r="BB489" s="2">
        <f t="shared" si="81"/>
        <v>49.1</v>
      </c>
      <c r="BC489" s="2">
        <f t="shared" si="81"/>
        <v>0</v>
      </c>
      <c r="BD489" s="2">
        <f t="shared" si="81"/>
        <v>72.645454545454541</v>
      </c>
      <c r="BE489" s="2">
        <f t="shared" si="81"/>
        <v>26.236363636363635</v>
      </c>
      <c r="BF489" s="2">
        <f t="shared" si="81"/>
        <v>0</v>
      </c>
      <c r="BG489" s="2">
        <f t="shared" si="81"/>
        <v>39.945454545454545</v>
      </c>
      <c r="BH489" s="2">
        <f t="shared" si="81"/>
        <v>12.436363636363636</v>
      </c>
      <c r="BI489" s="2">
        <f t="shared" si="81"/>
        <v>0</v>
      </c>
      <c r="BJ489" s="2">
        <f t="shared" si="81"/>
        <v>18.745454545454546</v>
      </c>
      <c r="BK489" s="2">
        <f t="shared" si="81"/>
        <v>6.2</v>
      </c>
      <c r="BL489" s="2">
        <f t="shared" si="81"/>
        <v>0</v>
      </c>
      <c r="BM489" s="2">
        <f t="shared" si="81"/>
        <v>10.345454545454544</v>
      </c>
    </row>
    <row r="490" spans="50:65">
      <c r="AX490" s="2">
        <v>57</v>
      </c>
      <c r="AY490" s="2">
        <f t="shared" si="81"/>
        <v>180.42727272727274</v>
      </c>
      <c r="AZ490" s="2">
        <f t="shared" si="81"/>
        <v>0</v>
      </c>
      <c r="BA490" s="2">
        <f t="shared" si="81"/>
        <v>254.70909090909092</v>
      </c>
      <c r="BB490" s="2">
        <f t="shared" si="81"/>
        <v>49.4</v>
      </c>
      <c r="BC490" s="2">
        <f t="shared" si="81"/>
        <v>0</v>
      </c>
      <c r="BD490" s="2">
        <f t="shared" si="81"/>
        <v>73.109090909090909</v>
      </c>
      <c r="BE490" s="2">
        <f t="shared" si="81"/>
        <v>26.527272727272727</v>
      </c>
      <c r="BF490" s="2">
        <f t="shared" si="81"/>
        <v>0</v>
      </c>
      <c r="BG490" s="2">
        <f t="shared" si="81"/>
        <v>40.409090909090907</v>
      </c>
      <c r="BH490" s="2">
        <f t="shared" si="81"/>
        <v>12.727272727272727</v>
      </c>
      <c r="BI490" s="2">
        <f t="shared" si="81"/>
        <v>0</v>
      </c>
      <c r="BJ490" s="2">
        <f t="shared" si="81"/>
        <v>19.209090909090911</v>
      </c>
      <c r="BK490" s="2">
        <f t="shared" si="81"/>
        <v>6.5</v>
      </c>
      <c r="BL490" s="2">
        <f t="shared" si="81"/>
        <v>0</v>
      </c>
      <c r="BM490" s="2">
        <f t="shared" si="81"/>
        <v>10.809090909090909</v>
      </c>
    </row>
    <row r="491" spans="50:65">
      <c r="AX491" s="2">
        <v>58</v>
      </c>
      <c r="AY491" s="2">
        <f t="shared" si="81"/>
        <v>180.71818181818182</v>
      </c>
      <c r="AZ491" s="2">
        <f t="shared" si="81"/>
        <v>0</v>
      </c>
      <c r="BA491" s="2">
        <f t="shared" si="81"/>
        <v>255.17272727272729</v>
      </c>
      <c r="BB491" s="2">
        <f t="shared" si="81"/>
        <v>49.699999999999996</v>
      </c>
      <c r="BC491" s="2">
        <f t="shared" si="81"/>
        <v>0</v>
      </c>
      <c r="BD491" s="2">
        <f t="shared" si="81"/>
        <v>73.572727272727278</v>
      </c>
      <c r="BE491" s="2">
        <f t="shared" si="81"/>
        <v>26.818181818181817</v>
      </c>
      <c r="BF491" s="2">
        <f t="shared" si="81"/>
        <v>0</v>
      </c>
      <c r="BG491" s="2">
        <f t="shared" si="81"/>
        <v>40.872727272727275</v>
      </c>
      <c r="BH491" s="2">
        <f t="shared" si="81"/>
        <v>13.018181818181818</v>
      </c>
      <c r="BI491" s="2">
        <f t="shared" si="81"/>
        <v>0</v>
      </c>
      <c r="BJ491" s="2">
        <f t="shared" si="81"/>
        <v>19.672727272727272</v>
      </c>
      <c r="BK491" s="2">
        <f t="shared" si="81"/>
        <v>6.8000000000000007</v>
      </c>
      <c r="BL491" s="2">
        <f t="shared" si="81"/>
        <v>0</v>
      </c>
      <c r="BM491" s="2">
        <f t="shared" si="81"/>
        <v>11.272727272727273</v>
      </c>
    </row>
    <row r="492" spans="50:65">
      <c r="AX492" s="2">
        <v>59</v>
      </c>
      <c r="AY492" s="2">
        <f t="shared" si="81"/>
        <v>181.00909090909093</v>
      </c>
      <c r="AZ492" s="2">
        <f t="shared" si="81"/>
        <v>0</v>
      </c>
      <c r="BA492" s="2">
        <f t="shared" si="81"/>
        <v>255.63636363636365</v>
      </c>
      <c r="BB492" s="2">
        <f t="shared" si="81"/>
        <v>50</v>
      </c>
      <c r="BC492" s="2">
        <f t="shared" si="81"/>
        <v>0</v>
      </c>
      <c r="BD492" s="2">
        <f t="shared" si="81"/>
        <v>74.036363636363632</v>
      </c>
      <c r="BE492" s="2">
        <f t="shared" si="81"/>
        <v>27.109090909090909</v>
      </c>
      <c r="BF492" s="2">
        <f t="shared" si="81"/>
        <v>0</v>
      </c>
      <c r="BG492" s="2">
        <f t="shared" si="81"/>
        <v>41.336363636363636</v>
      </c>
      <c r="BH492" s="2">
        <f t="shared" si="81"/>
        <v>13.309090909090909</v>
      </c>
      <c r="BI492" s="2">
        <f t="shared" si="81"/>
        <v>0</v>
      </c>
      <c r="BJ492" s="2">
        <f t="shared" si="81"/>
        <v>20.136363636363637</v>
      </c>
      <c r="BK492" s="2">
        <f t="shared" si="81"/>
        <v>7.1</v>
      </c>
      <c r="BL492" s="2">
        <f t="shared" si="81"/>
        <v>0</v>
      </c>
      <c r="BM492" s="2">
        <f t="shared" si="81"/>
        <v>11.736363636363636</v>
      </c>
    </row>
    <row r="493" spans="50:65">
      <c r="AX493" s="2">
        <v>60</v>
      </c>
      <c r="AY493" s="2">
        <v>181.3</v>
      </c>
      <c r="AZ493" s="2">
        <v>0</v>
      </c>
      <c r="BA493" s="2">
        <v>256.10000000000002</v>
      </c>
      <c r="BB493" s="2">
        <v>50.3</v>
      </c>
      <c r="BC493" s="2">
        <v>0</v>
      </c>
      <c r="BD493" s="2">
        <v>74.5</v>
      </c>
      <c r="BE493" s="2">
        <v>27.4</v>
      </c>
      <c r="BF493" s="2">
        <v>0</v>
      </c>
      <c r="BG493" s="2">
        <v>41.8</v>
      </c>
      <c r="BH493" s="2">
        <v>13.6</v>
      </c>
      <c r="BI493" s="2">
        <v>0</v>
      </c>
      <c r="BJ493" s="2">
        <v>20.6</v>
      </c>
      <c r="BK493" s="2">
        <v>7.4</v>
      </c>
      <c r="BL493" s="2">
        <v>0</v>
      </c>
      <c r="BM493" s="2">
        <v>12.2</v>
      </c>
    </row>
  </sheetData>
  <mergeCells count="132">
    <mergeCell ref="BW29:BX29"/>
    <mergeCell ref="BP27:BP28"/>
    <mergeCell ref="DJ59:DJ60"/>
    <mergeCell ref="DK59:DT59"/>
    <mergeCell ref="BO110:BO112"/>
    <mergeCell ref="BP110:BS110"/>
    <mergeCell ref="BP111:BP112"/>
    <mergeCell ref="BQ111:BQ112"/>
    <mergeCell ref="BR111:BR112"/>
    <mergeCell ref="BS111:BS112"/>
    <mergeCell ref="CG76:CJ76"/>
    <mergeCell ref="CG56:CH56"/>
    <mergeCell ref="DJ87:DK87"/>
    <mergeCell ref="DJ88:DK88"/>
    <mergeCell ref="BU111:BU112"/>
    <mergeCell ref="BW110:BX110"/>
    <mergeCell ref="BW111:BW112"/>
    <mergeCell ref="BX111:BX112"/>
    <mergeCell ref="BZ110:CC110"/>
    <mergeCell ref="BZ111:BZ112"/>
    <mergeCell ref="CA111:CA112"/>
    <mergeCell ref="CB111:CB112"/>
    <mergeCell ref="CC111:CC112"/>
    <mergeCell ref="DJ105:DJ106"/>
    <mergeCell ref="C55:D55"/>
    <mergeCell ref="DB3:DE3"/>
    <mergeCell ref="CW2:DE2"/>
    <mergeCell ref="CB2:CD2"/>
    <mergeCell ref="CX3:DA3"/>
    <mergeCell ref="BR11:BS11"/>
    <mergeCell ref="BP10:BU10"/>
    <mergeCell ref="CG2:CH2"/>
    <mergeCell ref="CR48:CU48"/>
    <mergeCell ref="N2:O2"/>
    <mergeCell ref="G8:H8"/>
    <mergeCell ref="BE37:BF37"/>
    <mergeCell ref="CI2:CJ2"/>
    <mergeCell ref="CG17:CI17"/>
    <mergeCell ref="BS38:BT38"/>
    <mergeCell ref="BQ38:BR38"/>
    <mergeCell ref="BP54:BS54"/>
    <mergeCell ref="CG26:CJ26"/>
    <mergeCell ref="CJ43:CK43"/>
    <mergeCell ref="BO10:BO12"/>
    <mergeCell ref="BT11:BU11"/>
    <mergeCell ref="BP11:BQ11"/>
    <mergeCell ref="BP32:BP33"/>
    <mergeCell ref="BP30:BQ30"/>
    <mergeCell ref="AX85:AX86"/>
    <mergeCell ref="AY85:AY86"/>
    <mergeCell ref="BC85:BD85"/>
    <mergeCell ref="AX59:AY59"/>
    <mergeCell ref="AZ85:AZ86"/>
    <mergeCell ref="BA85:BA86"/>
    <mergeCell ref="AA5:AB5"/>
    <mergeCell ref="J18:K18"/>
    <mergeCell ref="BB27:BC27"/>
    <mergeCell ref="BB37:BC37"/>
    <mergeCell ref="BD73:BD74"/>
    <mergeCell ref="AX73:AX74"/>
    <mergeCell ref="AY73:AY74"/>
    <mergeCell ref="AZ73:AZ74"/>
    <mergeCell ref="BA73:BA74"/>
    <mergeCell ref="BC73:BC74"/>
    <mergeCell ref="BB73:BB74"/>
    <mergeCell ref="AD63:AD74"/>
    <mergeCell ref="BP25:BQ25"/>
    <mergeCell ref="BE143:BG143"/>
    <mergeCell ref="BH143:BJ143"/>
    <mergeCell ref="BK95:BM95"/>
    <mergeCell ref="BH95:BJ95"/>
    <mergeCell ref="BE95:BG95"/>
    <mergeCell ref="BB95:BD95"/>
    <mergeCell ref="AY95:BA95"/>
    <mergeCell ref="AY119:BA119"/>
    <mergeCell ref="BB119:BD119"/>
    <mergeCell ref="AZ120:BA120"/>
    <mergeCell ref="BL120:BM120"/>
    <mergeCell ref="BI120:BJ120"/>
    <mergeCell ref="BF120:BG120"/>
    <mergeCell ref="BC120:BD120"/>
    <mergeCell ref="BE119:BG119"/>
    <mergeCell ref="BH119:BJ119"/>
    <mergeCell ref="BK119:BM119"/>
    <mergeCell ref="DU59:ED59"/>
    <mergeCell ref="AY191:BA191"/>
    <mergeCell ref="BB191:BD191"/>
    <mergeCell ref="BE191:BG191"/>
    <mergeCell ref="BH191:BJ191"/>
    <mergeCell ref="BK191:BM191"/>
    <mergeCell ref="AY167:BA167"/>
    <mergeCell ref="AZ168:BA168"/>
    <mergeCell ref="BK167:BM167"/>
    <mergeCell ref="BL168:BM168"/>
    <mergeCell ref="BC168:BD168"/>
    <mergeCell ref="BB167:BD167"/>
    <mergeCell ref="BE167:BG167"/>
    <mergeCell ref="BF168:BG168"/>
    <mergeCell ref="BK143:BM143"/>
    <mergeCell ref="AZ144:BA144"/>
    <mergeCell ref="BC144:BD144"/>
    <mergeCell ref="BF144:BG144"/>
    <mergeCell ref="BI144:BJ144"/>
    <mergeCell ref="BL144:BM144"/>
    <mergeCell ref="BH167:BJ167"/>
    <mergeCell ref="BI168:BJ168"/>
    <mergeCell ref="AY143:BA143"/>
    <mergeCell ref="BB143:BD143"/>
    <mergeCell ref="FS2:FV2"/>
    <mergeCell ref="FZ2:GA2"/>
    <mergeCell ref="GD2:GE2"/>
    <mergeCell ref="GG2:GH2"/>
    <mergeCell ref="FS3:FS4"/>
    <mergeCell ref="FT3:FT4"/>
    <mergeCell ref="FU3:FU4"/>
    <mergeCell ref="FV3:FV4"/>
    <mergeCell ref="FZ6:GA6"/>
    <mergeCell ref="GD6:GE6"/>
    <mergeCell ref="GG6:GH6"/>
    <mergeCell ref="FZ27:GA27"/>
    <mergeCell ref="GD27:GE27"/>
    <mergeCell ref="FZ31:GA31"/>
    <mergeCell ref="GD31:GE31"/>
    <mergeCell ref="FZ11:GA11"/>
    <mergeCell ref="GD11:GE11"/>
    <mergeCell ref="GG11:GH11"/>
    <mergeCell ref="FZ15:GA15"/>
    <mergeCell ref="GD15:GE15"/>
    <mergeCell ref="FZ21:GA21"/>
    <mergeCell ref="GD21:GE21"/>
    <mergeCell ref="FZ24:GA24"/>
    <mergeCell ref="GD24:GE24"/>
  </mergeCells>
  <phoneticPr fontId="139" type="noConversion"/>
  <hyperlinks>
    <hyperlink ref="I39" r:id="rId1" xr:uid="{24E16AA6-03D5-41CF-BE0C-90BD7162932D}"/>
    <hyperlink ref="I38" r:id="rId2" xr:uid="{7EE76036-BF62-4644-B175-D453546D0E9E}"/>
    <hyperlink ref="C12" location="Home_Performance_Reference_Tab" display="Home Performance" xr:uid="{58BAD56E-7780-4421-B12C-E7C4A6FFA354}"/>
    <hyperlink ref="C13" location="Air_Flow_Refernce_Tabs" display="Air Flow" xr:uid="{293056F3-C20E-421D-B4DA-4AD401FBDB20}"/>
    <hyperlink ref="BX58" r:id="rId3" xr:uid="{ED7A0457-5ED6-486A-BC1A-C8A35E4986A4}"/>
  </hyperlinks>
  <pageMargins left="0.7" right="0.7" top="0.75" bottom="0.75" header="0.3" footer="0.3"/>
  <pageSetup orientation="portrait" horizontalDpi="300" verticalDpi="300" r:id="rId4"/>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legacyDrawing r:id="rId5"/>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tabColor theme="9" tint="0.39997558519241921"/>
  </sheetPr>
  <dimension ref="A1:AE54"/>
  <sheetViews>
    <sheetView showGridLines="0" zoomScale="80" zoomScaleNormal="80" workbookViewId="0"/>
  </sheetViews>
  <sheetFormatPr defaultColWidth="8.81640625" defaultRowHeight="14.5"/>
  <cols>
    <col min="1" max="1" width="8.81640625" style="42"/>
    <col min="2" max="2" width="26.54296875" style="42" bestFit="1" customWidth="1"/>
    <col min="3" max="3" width="15.54296875" style="42" bestFit="1" customWidth="1"/>
    <col min="4" max="4" width="13.1796875" style="42" bestFit="1" customWidth="1"/>
    <col min="5" max="5" width="12.81640625" style="42" bestFit="1" customWidth="1"/>
    <col min="6" max="6" width="11.453125" style="42" bestFit="1" customWidth="1"/>
    <col min="7" max="7" width="12.453125" style="42" bestFit="1" customWidth="1"/>
    <col min="8" max="8" width="12.54296875" style="42" bestFit="1" customWidth="1"/>
    <col min="9" max="9" width="11.7265625" style="42" bestFit="1" customWidth="1"/>
    <col min="10" max="10" width="21" style="42" bestFit="1" customWidth="1"/>
    <col min="11" max="11" width="22.1796875" style="42" bestFit="1" customWidth="1"/>
    <col min="12" max="12" width="22.453125" style="42" bestFit="1" customWidth="1"/>
    <col min="13" max="13" width="21.1796875" style="42" bestFit="1" customWidth="1"/>
    <col min="14" max="14" width="20.1796875" style="42" bestFit="1" customWidth="1"/>
    <col min="15" max="15" width="18.453125" style="42" bestFit="1" customWidth="1"/>
    <col min="16" max="16" width="13.453125" style="42" customWidth="1"/>
    <col min="17" max="17" width="12.81640625" style="42" bestFit="1" customWidth="1"/>
    <col min="18" max="18" width="15.453125" style="42" customWidth="1"/>
    <col min="19" max="19" width="13.1796875" style="42" bestFit="1" customWidth="1"/>
    <col min="20" max="20" width="15.54296875" style="42" bestFit="1" customWidth="1"/>
    <col min="21" max="21" width="20.26953125" style="42" bestFit="1" customWidth="1"/>
    <col min="22" max="30" width="16.81640625" style="42" customWidth="1"/>
    <col min="31" max="31" width="20.54296875" style="42" customWidth="1"/>
    <col min="32" max="16384" width="8.81640625" style="42"/>
  </cols>
  <sheetData>
    <row r="1" spans="1:31">
      <c r="A1" s="335"/>
    </row>
    <row r="2" spans="1:31">
      <c r="B2" s="621" t="s">
        <v>1793</v>
      </c>
    </row>
    <row r="3" spans="1:31" s="45" customFormat="1">
      <c r="B3" s="222" t="str">
        <f>ProposedEquipment0!E1</f>
        <v>Product Name</v>
      </c>
      <c r="C3" s="222" t="str">
        <f>ProposedEquipment0!AU1</f>
        <v>Product Quantity</v>
      </c>
      <c r="D3" s="222" t="str">
        <f>ProposedEquipment0!F1</f>
        <v>Measure Code</v>
      </c>
      <c r="E3" s="222" t="str">
        <f>ProposedEquipment0!G1</f>
        <v>Application ID</v>
      </c>
      <c r="F3" s="222" t="str">
        <f>ProposedEquipment0!BM1</f>
        <v>Baseline EER</v>
      </c>
      <c r="G3" s="222" t="str">
        <f>ProposedEquipment0!BN1</f>
        <v>Baseline SEER</v>
      </c>
      <c r="H3" s="222" t="str">
        <f>ProposedEquipment0!BO1</f>
        <v>Baseline HSPF</v>
      </c>
      <c r="I3" s="222" t="str">
        <f>ProposedEquipment0!BX1</f>
        <v>Cooling Btuh</v>
      </c>
      <c r="J3" s="222" t="str">
        <f>ProposedEquipment0!BR1</f>
        <v>Proposed/Installed EER</v>
      </c>
      <c r="K3" s="222" t="str">
        <f>ProposedEquipment0!BS1</f>
        <v>Proposed/Installed SEER</v>
      </c>
      <c r="L3" s="222" t="str">
        <f>ProposedEquipment0!BT1</f>
        <v>Proposed/Installed HSPF</v>
      </c>
      <c r="M3" s="222" t="str">
        <f>ProposedEquipment0!BU1</f>
        <v>Proposed/Installed COP</v>
      </c>
      <c r="N3" s="222" t="str">
        <f>ProposedEquipment0!AR1</f>
        <v>Elec Util Cust Incentive</v>
      </c>
      <c r="O3" s="222" t="str">
        <f>ProposedEquipment0!AT1</f>
        <v>Contractor Incentive</v>
      </c>
      <c r="P3" s="222" t="str">
        <f>ProposedEquipment0!I1</f>
        <v>Gross kW</v>
      </c>
      <c r="Q3" s="222" t="str">
        <f>ProposedEquipment0!J1</f>
        <v>Gross kWh</v>
      </c>
      <c r="R3" s="222" t="str">
        <f>ProposedEquipment0!K1</f>
        <v>Gross Winter kW</v>
      </c>
      <c r="S3" s="222" t="str">
        <f>ProposedEquipment0!L1</f>
        <v>Gross BE kWh</v>
      </c>
      <c r="T3" s="222" t="str">
        <f>ProposedEquipment0!M1</f>
        <v>Delta Gross kWh</v>
      </c>
      <c r="U3" s="222" t="str">
        <f>ProposedEquipment0!Y1</f>
        <v>Net kW</v>
      </c>
      <c r="V3" s="222" t="str">
        <f>ProposedEquipment0!Z1</f>
        <v>Net kWh</v>
      </c>
      <c r="W3" s="222" t="str">
        <f>ProposedEquipment0!AA1</f>
        <v>Net Winter kW</v>
      </c>
      <c r="X3" s="222" t="str">
        <f>ProposedEquipment0!AB1</f>
        <v>Net BE kWh</v>
      </c>
      <c r="Y3" s="222" t="str">
        <f>ProposedEquipment0!AC1</f>
        <v>Delta Net kWh</v>
      </c>
      <c r="Z3" s="222" t="str">
        <f>ProposedEquipment0!AD1</f>
        <v>Total Net kW</v>
      </c>
      <c r="AA3" s="222" t="str">
        <f>ProposedEquipment0!AE1</f>
        <v>Total Net kWh</v>
      </c>
      <c r="AB3" s="222" t="str">
        <f>ProposedEquipment0!AF1</f>
        <v>Total Net Winter kW</v>
      </c>
      <c r="AC3" s="222" t="str">
        <f>ProposedEquipment0!AG1</f>
        <v>Total Net BE kWh</v>
      </c>
      <c r="AD3" s="222" t="str">
        <f>ProposedEquipment0!AH1</f>
        <v>Total Delta Net kWh</v>
      </c>
      <c r="AE3" s="303" t="s">
        <v>310</v>
      </c>
    </row>
    <row r="4" spans="1:31">
      <c r="B4" s="223" t="str">
        <f>ProposedEquipment0!E2</f>
        <v>CH - WH S3 ccASHP New TIER 2</v>
      </c>
      <c r="C4" s="223">
        <f>ProposedEquipment0!AU2</f>
        <v>1</v>
      </c>
      <c r="D4" s="223" t="str">
        <f>ProposedEquipment0!F2</f>
        <v>CH221-WH-AO</v>
      </c>
      <c r="E4" s="223">
        <f>ProposedEquipment0!G2</f>
        <v>0</v>
      </c>
      <c r="F4" s="223">
        <f>ProposedEquipment0!BM2</f>
        <v>11.8</v>
      </c>
      <c r="G4" s="223">
        <f>ProposedEquipment0!BN2</f>
        <v>14</v>
      </c>
      <c r="H4" s="223">
        <f>ProposedEquipment0!BO2</f>
        <v>0</v>
      </c>
      <c r="I4" s="223">
        <f>ProposedEquipment0!BX2</f>
        <v>12000</v>
      </c>
      <c r="J4" s="223">
        <f>ProposedEquipment0!BR2</f>
        <v>12.5</v>
      </c>
      <c r="K4" s="223">
        <f>ProposedEquipment0!BS2</f>
        <v>17.100000000000001</v>
      </c>
      <c r="L4" s="223">
        <f>ProposedEquipment0!BT2</f>
        <v>9.1</v>
      </c>
      <c r="M4" s="223" t="str">
        <f>ProposedEquipment0!BU2</f>
        <v/>
      </c>
      <c r="N4" s="224">
        <f>ProposedEquipment0!AR2</f>
        <v>1083</v>
      </c>
      <c r="O4" s="224">
        <f>ProposedEquipment0!AT2</f>
        <v>0</v>
      </c>
      <c r="P4" s="225">
        <f>ProposedEquipment0!I2</f>
        <v>5.8543152542372814E-2</v>
      </c>
      <c r="Q4" s="226">
        <f>ProposedEquipment0!J2</f>
        <v>199.33563910715992</v>
      </c>
      <c r="R4" s="225">
        <f>ProposedEquipment0!K2</f>
        <v>-1.3857142857142855</v>
      </c>
      <c r="S4" s="226">
        <f>ProposedEquipment0!L2</f>
        <v>1614.1820009900644</v>
      </c>
      <c r="T4" s="226">
        <f>ProposedEquipment0!M2</f>
        <v>-1414.8463618829044</v>
      </c>
      <c r="U4" s="223">
        <f>ProposedEquipment0!Y2</f>
        <v>3.9171699999999997E-2</v>
      </c>
      <c r="V4" s="223">
        <f>ProposedEquipment0!Z2</f>
        <v>190.18559999999999</v>
      </c>
      <c r="W4" s="223">
        <f>ProposedEquipment0!AA2</f>
        <v>-1.3437591</v>
      </c>
      <c r="X4" s="223">
        <f>ProposedEquipment0!AB2</f>
        <v>1540.08672</v>
      </c>
      <c r="Y4" s="223">
        <f>ProposedEquipment0!AC2</f>
        <v>-1349.90112</v>
      </c>
      <c r="Z4" s="223">
        <f>ProposedEquipment0!AD2</f>
        <v>3.9171699999999997E-2</v>
      </c>
      <c r="AA4" s="223">
        <f>ProposedEquipment0!AE2</f>
        <v>190.18559999999999</v>
      </c>
      <c r="AB4" s="223">
        <f>ProposedEquipment0!AF2</f>
        <v>-1.3437591</v>
      </c>
      <c r="AC4" s="223">
        <f>ProposedEquipment0!AG2</f>
        <v>1540.08672</v>
      </c>
      <c r="AD4" s="223">
        <f>ProposedEquipment0!AH2</f>
        <v>-1349.90112</v>
      </c>
      <c r="AE4" s="334"/>
    </row>
    <row r="5" spans="1:31">
      <c r="B5" s="223" t="str">
        <f>ProposedEquipment0!E3</f>
        <v>CH - WH S3 ccASHP New TIER 2</v>
      </c>
      <c r="C5" s="223">
        <f>ProposedEquipment0!AU3</f>
        <v>1</v>
      </c>
      <c r="D5" s="223" t="str">
        <f>ProposedEquipment0!F3</f>
        <v>CH221-WH-AO</v>
      </c>
      <c r="E5" s="223">
        <f>ProposedEquipment0!G3</f>
        <v>0</v>
      </c>
      <c r="F5" s="223">
        <f>ProposedEquipment0!BM3</f>
        <v>12.3</v>
      </c>
      <c r="G5" s="223">
        <f>ProposedEquipment0!BN3</f>
        <v>15</v>
      </c>
      <c r="H5" s="223">
        <f>ProposedEquipment0!BO3</f>
        <v>0</v>
      </c>
      <c r="I5" s="223">
        <f>ProposedEquipment0!BX3</f>
        <v>14000</v>
      </c>
      <c r="J5" s="223">
        <f>ProposedEquipment0!BR3</f>
        <v>17.8</v>
      </c>
      <c r="K5" s="223">
        <f>ProposedEquipment0!BS3</f>
        <v>22.1</v>
      </c>
      <c r="L5" s="223">
        <f>ProposedEquipment0!BT3</f>
        <v>11.8</v>
      </c>
      <c r="M5" s="223" t="str">
        <f>ProposedEquipment0!BU3</f>
        <v/>
      </c>
      <c r="N5" s="224">
        <f>ProposedEquipment0!AR3</f>
        <v>1250</v>
      </c>
      <c r="O5" s="224">
        <f>ProposedEquipment0!AT3</f>
        <v>0</v>
      </c>
      <c r="P5" s="225">
        <f>ProposedEquipment0!I3</f>
        <v>0.3530072340635898</v>
      </c>
      <c r="Q5" s="226">
        <f>ProposedEquipment0!J3</f>
        <v>293.25841821383273</v>
      </c>
      <c r="R5" s="225">
        <f>ProposedEquipment0!K3</f>
        <v>-1.2330508474576267</v>
      </c>
      <c r="S5" s="226">
        <f>ProposedEquipment0!L3</f>
        <v>1536.361836407212</v>
      </c>
      <c r="T5" s="226">
        <f>ProposedEquipment0!M3</f>
        <v>-1243.1034181933792</v>
      </c>
      <c r="U5" s="223">
        <f>ProposedEquipment0!Y3</f>
        <v>0.2362003</v>
      </c>
      <c r="V5" s="223">
        <f>ProposedEquipment0!Z3</f>
        <v>279.79707000000002</v>
      </c>
      <c r="W5" s="223">
        <f>ProposedEquipment0!AA3</f>
        <v>-1.1957179</v>
      </c>
      <c r="X5" s="223">
        <f>ProposedEquipment0!AB3</f>
        <v>1465.83871</v>
      </c>
      <c r="Y5" s="223">
        <f>ProposedEquipment0!AC3</f>
        <v>-1186.0416399999999</v>
      </c>
      <c r="Z5" s="223">
        <f>ProposedEquipment0!AD3</f>
        <v>0.2362003</v>
      </c>
      <c r="AA5" s="223">
        <f>ProposedEquipment0!AE3</f>
        <v>279.79707000000002</v>
      </c>
      <c r="AB5" s="223">
        <f>ProposedEquipment0!AF3</f>
        <v>-1.1957179</v>
      </c>
      <c r="AC5" s="223">
        <f>ProposedEquipment0!AG3</f>
        <v>1465.83871</v>
      </c>
      <c r="AD5" s="223">
        <f>ProposedEquipment0!AH3</f>
        <v>-1186.0416399999999</v>
      </c>
      <c r="AE5" s="334"/>
    </row>
    <row r="6" spans="1:31">
      <c r="B6" s="223" t="str">
        <f>ProposedEquipment0!E4</f>
        <v/>
      </c>
      <c r="C6" s="223" t="str">
        <f>ProposedEquipment0!AU4</f>
        <v/>
      </c>
      <c r="D6" s="223" t="str">
        <f>ProposedEquipment0!F4</f>
        <v/>
      </c>
      <c r="E6" s="223" t="str">
        <f>ProposedEquipment0!G4</f>
        <v/>
      </c>
      <c r="F6" s="223" t="str">
        <f>ProposedEquipment0!BM4</f>
        <v/>
      </c>
      <c r="G6" s="223" t="str">
        <f>ProposedEquipment0!BN4</f>
        <v/>
      </c>
      <c r="H6" s="223" t="str">
        <f>ProposedEquipment0!BO4</f>
        <v/>
      </c>
      <c r="I6" s="223" t="str">
        <f>ProposedEquipment0!BX4</f>
        <v/>
      </c>
      <c r="J6" s="223" t="str">
        <f>ProposedEquipment0!BR4</f>
        <v/>
      </c>
      <c r="K6" s="223" t="str">
        <f>ProposedEquipment0!BS4</f>
        <v/>
      </c>
      <c r="L6" s="223" t="str">
        <f>ProposedEquipment0!BT4</f>
        <v/>
      </c>
      <c r="M6" s="223" t="str">
        <f>ProposedEquipment0!BU4</f>
        <v/>
      </c>
      <c r="N6" s="224" t="str">
        <f>ProposedEquipment0!AR4</f>
        <v/>
      </c>
      <c r="O6" s="224">
        <f>ProposedEquipment0!AT4</f>
        <v>0</v>
      </c>
      <c r="P6" s="225" t="str">
        <f>ProposedEquipment0!I4</f>
        <v/>
      </c>
      <c r="Q6" s="226" t="str">
        <f>ProposedEquipment0!J4</f>
        <v/>
      </c>
      <c r="R6" s="225" t="str">
        <f>ProposedEquipment0!K4</f>
        <v/>
      </c>
      <c r="S6" s="226" t="str">
        <f>ProposedEquipment0!L4</f>
        <v/>
      </c>
      <c r="T6" s="226" t="str">
        <f>ProposedEquipment0!M4</f>
        <v/>
      </c>
      <c r="U6" s="223" t="str">
        <f>ProposedEquipment0!Y4</f>
        <v/>
      </c>
      <c r="V6" s="223" t="str">
        <f>ProposedEquipment0!Z4</f>
        <v/>
      </c>
      <c r="W6" s="223" t="str">
        <f>ProposedEquipment0!AA4</f>
        <v/>
      </c>
      <c r="X6" s="223" t="str">
        <f>ProposedEquipment0!AB4</f>
        <v/>
      </c>
      <c r="Y6" s="223" t="str">
        <f>ProposedEquipment0!AC4</f>
        <v/>
      </c>
      <c r="Z6" s="223" t="str">
        <f>ProposedEquipment0!AD4</f>
        <v/>
      </c>
      <c r="AA6" s="223" t="str">
        <f>ProposedEquipment0!AE4</f>
        <v/>
      </c>
      <c r="AB6" s="223" t="str">
        <f>ProposedEquipment0!AF4</f>
        <v/>
      </c>
      <c r="AC6" s="223" t="str">
        <f>ProposedEquipment0!AG4</f>
        <v/>
      </c>
      <c r="AD6" s="223" t="str">
        <f>ProposedEquipment0!AH4</f>
        <v/>
      </c>
      <c r="AE6" s="334"/>
    </row>
    <row r="7" spans="1:31">
      <c r="B7" s="223" t="str">
        <f>ProposedEquipment0!E5</f>
        <v/>
      </c>
      <c r="C7" s="223" t="str">
        <f>ProposedEquipment0!AU5</f>
        <v/>
      </c>
      <c r="D7" s="223" t="str">
        <f>ProposedEquipment0!F5</f>
        <v/>
      </c>
      <c r="E7" s="223" t="str">
        <f>ProposedEquipment0!G5</f>
        <v/>
      </c>
      <c r="F7" s="223" t="str">
        <f>ProposedEquipment0!BM5</f>
        <v/>
      </c>
      <c r="G7" s="223" t="str">
        <f>ProposedEquipment0!BN5</f>
        <v/>
      </c>
      <c r="H7" s="223" t="str">
        <f>ProposedEquipment0!BO5</f>
        <v/>
      </c>
      <c r="I7" s="223" t="str">
        <f>ProposedEquipment0!BX5</f>
        <v/>
      </c>
      <c r="J7" s="223" t="str">
        <f>ProposedEquipment0!BR5</f>
        <v/>
      </c>
      <c r="K7" s="223" t="str">
        <f>ProposedEquipment0!BS5</f>
        <v/>
      </c>
      <c r="L7" s="223" t="str">
        <f>ProposedEquipment0!BT5</f>
        <v/>
      </c>
      <c r="M7" s="223" t="str">
        <f>ProposedEquipment0!BU5</f>
        <v/>
      </c>
      <c r="N7" s="224" t="str">
        <f>ProposedEquipment0!AR5</f>
        <v/>
      </c>
      <c r="O7" s="224">
        <f>ProposedEquipment0!AT5</f>
        <v>0</v>
      </c>
      <c r="P7" s="225" t="str">
        <f>ProposedEquipment0!I5</f>
        <v/>
      </c>
      <c r="Q7" s="226" t="str">
        <f>ProposedEquipment0!J5</f>
        <v/>
      </c>
      <c r="R7" s="225" t="str">
        <f>ProposedEquipment0!K5</f>
        <v/>
      </c>
      <c r="S7" s="226" t="str">
        <f>ProposedEquipment0!L5</f>
        <v/>
      </c>
      <c r="T7" s="226" t="str">
        <f>ProposedEquipment0!M5</f>
        <v/>
      </c>
      <c r="U7" s="223" t="str">
        <f>ProposedEquipment0!Y5</f>
        <v/>
      </c>
      <c r="V7" s="223" t="str">
        <f>ProposedEquipment0!Z5</f>
        <v/>
      </c>
      <c r="W7" s="223" t="str">
        <f>ProposedEquipment0!AA5</f>
        <v/>
      </c>
      <c r="X7" s="223" t="str">
        <f>ProposedEquipment0!AB5</f>
        <v/>
      </c>
      <c r="Y7" s="223" t="str">
        <f>ProposedEquipment0!AC5</f>
        <v/>
      </c>
      <c r="Z7" s="223" t="str">
        <f>ProposedEquipment0!AD5</f>
        <v/>
      </c>
      <c r="AA7" s="223" t="str">
        <f>ProposedEquipment0!AE5</f>
        <v/>
      </c>
      <c r="AB7" s="223" t="str">
        <f>ProposedEquipment0!AF5</f>
        <v/>
      </c>
      <c r="AC7" s="223" t="str">
        <f>ProposedEquipment0!AG5</f>
        <v/>
      </c>
      <c r="AD7" s="223" t="str">
        <f>ProposedEquipment0!AH5</f>
        <v/>
      </c>
      <c r="AE7" s="334"/>
    </row>
    <row r="8" spans="1:31">
      <c r="B8" s="223" t="str">
        <f>ProposedEquipment0!E6</f>
        <v/>
      </c>
      <c r="C8" s="223" t="str">
        <f>ProposedEquipment0!AU6</f>
        <v/>
      </c>
      <c r="D8" s="223" t="str">
        <f>ProposedEquipment0!F6</f>
        <v/>
      </c>
      <c r="E8" s="223" t="str">
        <f>ProposedEquipment0!G6</f>
        <v/>
      </c>
      <c r="F8" s="223" t="str">
        <f>ProposedEquipment0!BM6</f>
        <v/>
      </c>
      <c r="G8" s="223" t="str">
        <f>ProposedEquipment0!BN6</f>
        <v/>
      </c>
      <c r="H8" s="223" t="str">
        <f>ProposedEquipment0!BO6</f>
        <v/>
      </c>
      <c r="I8" s="223" t="str">
        <f>ProposedEquipment0!BX6</f>
        <v/>
      </c>
      <c r="J8" s="223" t="str">
        <f>ProposedEquipment0!BR6</f>
        <v/>
      </c>
      <c r="K8" s="223" t="str">
        <f>ProposedEquipment0!BS6</f>
        <v/>
      </c>
      <c r="L8" s="223" t="str">
        <f>ProposedEquipment0!BT6</f>
        <v/>
      </c>
      <c r="M8" s="223" t="str">
        <f>ProposedEquipment0!BU6</f>
        <v/>
      </c>
      <c r="N8" s="224" t="str">
        <f>ProposedEquipment0!AR6</f>
        <v/>
      </c>
      <c r="O8" s="224">
        <f>ProposedEquipment0!AT6</f>
        <v>0</v>
      </c>
      <c r="P8" s="225" t="str">
        <f>ProposedEquipment0!I6</f>
        <v/>
      </c>
      <c r="Q8" s="226" t="str">
        <f>ProposedEquipment0!J6</f>
        <v/>
      </c>
      <c r="R8" s="225" t="str">
        <f>ProposedEquipment0!K6</f>
        <v/>
      </c>
      <c r="S8" s="226" t="str">
        <f>ProposedEquipment0!L6</f>
        <v/>
      </c>
      <c r="T8" s="226" t="str">
        <f>ProposedEquipment0!M6</f>
        <v/>
      </c>
      <c r="U8" s="223" t="str">
        <f>ProposedEquipment0!Y6</f>
        <v/>
      </c>
      <c r="V8" s="223" t="str">
        <f>ProposedEquipment0!Z6</f>
        <v/>
      </c>
      <c r="W8" s="223" t="str">
        <f>ProposedEquipment0!AA6</f>
        <v/>
      </c>
      <c r="X8" s="223" t="str">
        <f>ProposedEquipment0!AB6</f>
        <v/>
      </c>
      <c r="Y8" s="223" t="str">
        <f>ProposedEquipment0!AC6</f>
        <v/>
      </c>
      <c r="Z8" s="223" t="str">
        <f>ProposedEquipment0!AD6</f>
        <v/>
      </c>
      <c r="AA8" s="223" t="str">
        <f>ProposedEquipment0!AE6</f>
        <v/>
      </c>
      <c r="AB8" s="223" t="str">
        <f>ProposedEquipment0!AF6</f>
        <v/>
      </c>
      <c r="AC8" s="223" t="str">
        <f>ProposedEquipment0!AG6</f>
        <v/>
      </c>
      <c r="AD8" s="223" t="str">
        <f>ProposedEquipment0!AH6</f>
        <v/>
      </c>
      <c r="AE8" s="334"/>
    </row>
    <row r="9" spans="1:31">
      <c r="B9" s="223" t="str">
        <f>ProposedEquipment0!E7</f>
        <v/>
      </c>
      <c r="C9" s="223" t="str">
        <f>ProposedEquipment0!AU7</f>
        <v/>
      </c>
      <c r="D9" s="223" t="str">
        <f>ProposedEquipment0!F7</f>
        <v/>
      </c>
      <c r="E9" s="223" t="str">
        <f>ProposedEquipment0!G7</f>
        <v/>
      </c>
      <c r="F9" s="223" t="str">
        <f>ProposedEquipment0!BM7</f>
        <v/>
      </c>
      <c r="G9" s="223" t="str">
        <f>ProposedEquipment0!BN7</f>
        <v/>
      </c>
      <c r="H9" s="223" t="str">
        <f>ProposedEquipment0!BO7</f>
        <v/>
      </c>
      <c r="I9" s="223" t="str">
        <f>ProposedEquipment0!BX7</f>
        <v/>
      </c>
      <c r="J9" s="223" t="str">
        <f>ProposedEquipment0!BR7</f>
        <v/>
      </c>
      <c r="K9" s="223" t="str">
        <f>ProposedEquipment0!BS7</f>
        <v/>
      </c>
      <c r="L9" s="223" t="str">
        <f>ProposedEquipment0!BT7</f>
        <v/>
      </c>
      <c r="M9" s="223" t="str">
        <f>ProposedEquipment0!BU7</f>
        <v/>
      </c>
      <c r="N9" s="224" t="str">
        <f>ProposedEquipment0!AR7</f>
        <v/>
      </c>
      <c r="O9" s="224">
        <f>ProposedEquipment0!AT7</f>
        <v>0</v>
      </c>
      <c r="P9" s="225" t="str">
        <f>ProposedEquipment0!I7</f>
        <v/>
      </c>
      <c r="Q9" s="226" t="str">
        <f>ProposedEquipment0!J7</f>
        <v/>
      </c>
      <c r="R9" s="225" t="str">
        <f>ProposedEquipment0!K7</f>
        <v/>
      </c>
      <c r="S9" s="226" t="str">
        <f>ProposedEquipment0!L7</f>
        <v/>
      </c>
      <c r="T9" s="226" t="str">
        <f>ProposedEquipment0!M7</f>
        <v/>
      </c>
      <c r="U9" s="223" t="str">
        <f>ProposedEquipment0!Y7</f>
        <v/>
      </c>
      <c r="V9" s="223" t="str">
        <f>ProposedEquipment0!Z7</f>
        <v/>
      </c>
      <c r="W9" s="223" t="str">
        <f>ProposedEquipment0!AA7</f>
        <v/>
      </c>
      <c r="X9" s="223" t="str">
        <f>ProposedEquipment0!AB7</f>
        <v/>
      </c>
      <c r="Y9" s="223" t="str">
        <f>ProposedEquipment0!AC7</f>
        <v/>
      </c>
      <c r="Z9" s="223" t="str">
        <f>ProposedEquipment0!AD7</f>
        <v/>
      </c>
      <c r="AA9" s="223" t="str">
        <f>ProposedEquipment0!AE7</f>
        <v/>
      </c>
      <c r="AB9" s="223" t="str">
        <f>ProposedEquipment0!AF7</f>
        <v/>
      </c>
      <c r="AC9" s="223" t="str">
        <f>ProposedEquipment0!AG7</f>
        <v/>
      </c>
      <c r="AD9" s="223" t="str">
        <f>ProposedEquipment0!AH7</f>
        <v/>
      </c>
      <c r="AE9" s="334"/>
    </row>
    <row r="10" spans="1:31">
      <c r="B10" s="223" t="str">
        <f>ProposedEquipment0!E8</f>
        <v/>
      </c>
      <c r="C10" s="223" t="str">
        <f>ProposedEquipment0!AU8</f>
        <v/>
      </c>
      <c r="D10" s="223" t="str">
        <f>ProposedEquipment0!F8</f>
        <v/>
      </c>
      <c r="E10" s="223" t="str">
        <f>ProposedEquipment0!G8</f>
        <v/>
      </c>
      <c r="F10" s="223" t="str">
        <f>ProposedEquipment0!BM8</f>
        <v/>
      </c>
      <c r="G10" s="223" t="str">
        <f>ProposedEquipment0!BN8</f>
        <v/>
      </c>
      <c r="H10" s="223" t="str">
        <f>ProposedEquipment0!BO8</f>
        <v/>
      </c>
      <c r="I10" s="223" t="str">
        <f>ProposedEquipment0!BX8</f>
        <v/>
      </c>
      <c r="J10" s="223" t="str">
        <f>ProposedEquipment0!BR8</f>
        <v/>
      </c>
      <c r="K10" s="223" t="str">
        <f>ProposedEquipment0!BS8</f>
        <v/>
      </c>
      <c r="L10" s="223" t="str">
        <f>ProposedEquipment0!BT8</f>
        <v/>
      </c>
      <c r="M10" s="223" t="str">
        <f>ProposedEquipment0!BU8</f>
        <v/>
      </c>
      <c r="N10" s="224" t="str">
        <f>ProposedEquipment0!AR8</f>
        <v/>
      </c>
      <c r="O10" s="224">
        <f>ProposedEquipment0!AT8</f>
        <v>0</v>
      </c>
      <c r="P10" s="225" t="str">
        <f>ProposedEquipment0!I8</f>
        <v/>
      </c>
      <c r="Q10" s="226" t="str">
        <f>ProposedEquipment0!J8</f>
        <v/>
      </c>
      <c r="R10" s="225" t="str">
        <f>ProposedEquipment0!K8</f>
        <v/>
      </c>
      <c r="S10" s="226" t="str">
        <f>ProposedEquipment0!L8</f>
        <v/>
      </c>
      <c r="T10" s="226" t="str">
        <f>ProposedEquipment0!M8</f>
        <v/>
      </c>
      <c r="U10" s="223" t="str">
        <f>ProposedEquipment0!Y8</f>
        <v/>
      </c>
      <c r="V10" s="223" t="str">
        <f>ProposedEquipment0!Z8</f>
        <v/>
      </c>
      <c r="W10" s="223" t="str">
        <f>ProposedEquipment0!AA8</f>
        <v/>
      </c>
      <c r="X10" s="223" t="str">
        <f>ProposedEquipment0!AB8</f>
        <v/>
      </c>
      <c r="Y10" s="223" t="str">
        <f>ProposedEquipment0!AC8</f>
        <v/>
      </c>
      <c r="Z10" s="223" t="str">
        <f>ProposedEquipment0!AD8</f>
        <v/>
      </c>
      <c r="AA10" s="223" t="str">
        <f>ProposedEquipment0!AE8</f>
        <v/>
      </c>
      <c r="AB10" s="223" t="str">
        <f>ProposedEquipment0!AF8</f>
        <v/>
      </c>
      <c r="AC10" s="223" t="str">
        <f>ProposedEquipment0!AG8</f>
        <v/>
      </c>
      <c r="AD10" s="223" t="str">
        <f>ProposedEquipment0!AH8</f>
        <v/>
      </c>
      <c r="AE10" s="334"/>
    </row>
    <row r="11" spans="1:31">
      <c r="B11" s="223" t="str">
        <f>ProposedEquipment0!E9</f>
        <v/>
      </c>
      <c r="C11" s="223" t="str">
        <f>ProposedEquipment0!AU9</f>
        <v/>
      </c>
      <c r="D11" s="223" t="str">
        <f>ProposedEquipment0!F9</f>
        <v/>
      </c>
      <c r="E11" s="223" t="str">
        <f>ProposedEquipment0!G9</f>
        <v/>
      </c>
      <c r="F11" s="223" t="str">
        <f>ProposedEquipment0!BM9</f>
        <v/>
      </c>
      <c r="G11" s="223" t="str">
        <f>ProposedEquipment0!BN9</f>
        <v/>
      </c>
      <c r="H11" s="223" t="str">
        <f>ProposedEquipment0!BO9</f>
        <v/>
      </c>
      <c r="I11" s="223" t="str">
        <f>ProposedEquipment0!BX9</f>
        <v/>
      </c>
      <c r="J11" s="223" t="str">
        <f>ProposedEquipment0!BR9</f>
        <v/>
      </c>
      <c r="K11" s="223" t="str">
        <f>ProposedEquipment0!BS9</f>
        <v/>
      </c>
      <c r="L11" s="223" t="str">
        <f>ProposedEquipment0!BT9</f>
        <v/>
      </c>
      <c r="M11" s="223" t="str">
        <f>ProposedEquipment0!BU9</f>
        <v/>
      </c>
      <c r="N11" s="224" t="str">
        <f>ProposedEquipment0!AR9</f>
        <v/>
      </c>
      <c r="O11" s="224">
        <f>ProposedEquipment0!AT9</f>
        <v>0</v>
      </c>
      <c r="P11" s="225" t="str">
        <f>ProposedEquipment0!I9</f>
        <v/>
      </c>
      <c r="Q11" s="226" t="str">
        <f>ProposedEquipment0!J9</f>
        <v/>
      </c>
      <c r="R11" s="225" t="str">
        <f>ProposedEquipment0!K9</f>
        <v/>
      </c>
      <c r="S11" s="226" t="str">
        <f>ProposedEquipment0!L9</f>
        <v/>
      </c>
      <c r="T11" s="226" t="str">
        <f>ProposedEquipment0!M9</f>
        <v/>
      </c>
      <c r="U11" s="223" t="str">
        <f>ProposedEquipment0!Y9</f>
        <v/>
      </c>
      <c r="V11" s="223" t="str">
        <f>ProposedEquipment0!Z9</f>
        <v/>
      </c>
      <c r="W11" s="223" t="str">
        <f>ProposedEquipment0!AA9</f>
        <v/>
      </c>
      <c r="X11" s="223" t="str">
        <f>ProposedEquipment0!AB9</f>
        <v/>
      </c>
      <c r="Y11" s="223" t="str">
        <f>ProposedEquipment0!AC9</f>
        <v/>
      </c>
      <c r="Z11" s="223" t="str">
        <f>ProposedEquipment0!AD9</f>
        <v/>
      </c>
      <c r="AA11" s="223" t="str">
        <f>ProposedEquipment0!AE9</f>
        <v/>
      </c>
      <c r="AB11" s="223" t="str">
        <f>ProposedEquipment0!AF9</f>
        <v/>
      </c>
      <c r="AC11" s="223" t="str">
        <f>ProposedEquipment0!AG9</f>
        <v/>
      </c>
      <c r="AD11" s="223" t="str">
        <f>ProposedEquipment0!AH9</f>
        <v/>
      </c>
      <c r="AE11" s="334"/>
    </row>
    <row r="12" spans="1:31">
      <c r="B12" s="223" t="str">
        <f>ProposedEquipment0!E10</f>
        <v/>
      </c>
      <c r="C12" s="223" t="str">
        <f>ProposedEquipment0!AU10</f>
        <v/>
      </c>
      <c r="D12" s="223" t="str">
        <f>ProposedEquipment0!F10</f>
        <v/>
      </c>
      <c r="E12" s="223" t="str">
        <f>ProposedEquipment0!G10</f>
        <v/>
      </c>
      <c r="F12" s="223" t="str">
        <f>ProposedEquipment0!BM10</f>
        <v/>
      </c>
      <c r="G12" s="223" t="str">
        <f>ProposedEquipment0!BN10</f>
        <v/>
      </c>
      <c r="H12" s="223" t="str">
        <f>ProposedEquipment0!BO10</f>
        <v/>
      </c>
      <c r="I12" s="223" t="str">
        <f>ProposedEquipment0!BX10</f>
        <v/>
      </c>
      <c r="J12" s="223" t="str">
        <f>ProposedEquipment0!BR10</f>
        <v/>
      </c>
      <c r="K12" s="223" t="str">
        <f>ProposedEquipment0!BS10</f>
        <v/>
      </c>
      <c r="L12" s="223" t="str">
        <f>ProposedEquipment0!BT10</f>
        <v/>
      </c>
      <c r="M12" s="223" t="str">
        <f>ProposedEquipment0!BU10</f>
        <v/>
      </c>
      <c r="N12" s="224" t="str">
        <f>ProposedEquipment0!AR10</f>
        <v/>
      </c>
      <c r="O12" s="224">
        <f>ProposedEquipment0!AT10</f>
        <v>0</v>
      </c>
      <c r="P12" s="225" t="str">
        <f>ProposedEquipment0!I10</f>
        <v/>
      </c>
      <c r="Q12" s="226" t="str">
        <f>ProposedEquipment0!J10</f>
        <v/>
      </c>
      <c r="R12" s="225" t="str">
        <f>ProposedEquipment0!K10</f>
        <v/>
      </c>
      <c r="S12" s="226" t="str">
        <f>ProposedEquipment0!L10</f>
        <v/>
      </c>
      <c r="T12" s="226" t="str">
        <f>ProposedEquipment0!M10</f>
        <v/>
      </c>
      <c r="U12" s="223" t="str">
        <f>ProposedEquipment0!Y10</f>
        <v/>
      </c>
      <c r="V12" s="223" t="str">
        <f>ProposedEquipment0!Z10</f>
        <v/>
      </c>
      <c r="W12" s="223" t="str">
        <f>ProposedEquipment0!AA10</f>
        <v/>
      </c>
      <c r="X12" s="223" t="str">
        <f>ProposedEquipment0!AB10</f>
        <v/>
      </c>
      <c r="Y12" s="223" t="str">
        <f>ProposedEquipment0!AC10</f>
        <v/>
      </c>
      <c r="Z12" s="223" t="str">
        <f>ProposedEquipment0!AD10</f>
        <v/>
      </c>
      <c r="AA12" s="223" t="str">
        <f>ProposedEquipment0!AE10</f>
        <v/>
      </c>
      <c r="AB12" s="223" t="str">
        <f>ProposedEquipment0!AF10</f>
        <v/>
      </c>
      <c r="AC12" s="223" t="str">
        <f>ProposedEquipment0!AG10</f>
        <v/>
      </c>
      <c r="AD12" s="223" t="str">
        <f>ProposedEquipment0!AH10</f>
        <v/>
      </c>
      <c r="AE12" s="334"/>
    </row>
    <row r="13" spans="1:31">
      <c r="B13" s="223" t="str">
        <f>ProposedEquipment0!E11</f>
        <v/>
      </c>
      <c r="C13" s="223" t="str">
        <f>ProposedEquipment0!AU11</f>
        <v/>
      </c>
      <c r="D13" s="223" t="str">
        <f>ProposedEquipment0!F11</f>
        <v/>
      </c>
      <c r="E13" s="223" t="str">
        <f>ProposedEquipment0!G11</f>
        <v/>
      </c>
      <c r="F13" s="223" t="str">
        <f>ProposedEquipment0!BM11</f>
        <v/>
      </c>
      <c r="G13" s="223" t="str">
        <f>ProposedEquipment0!BN11</f>
        <v/>
      </c>
      <c r="H13" s="223" t="str">
        <f>ProposedEquipment0!BO11</f>
        <v/>
      </c>
      <c r="I13" s="223" t="str">
        <f>ProposedEquipment0!BX11</f>
        <v/>
      </c>
      <c r="J13" s="223" t="str">
        <f>ProposedEquipment0!BR11</f>
        <v/>
      </c>
      <c r="K13" s="223" t="str">
        <f>ProposedEquipment0!BS11</f>
        <v/>
      </c>
      <c r="L13" s="223" t="str">
        <f>ProposedEquipment0!BT11</f>
        <v/>
      </c>
      <c r="M13" s="223" t="str">
        <f>ProposedEquipment0!BU11</f>
        <v/>
      </c>
      <c r="N13" s="224" t="str">
        <f>ProposedEquipment0!AR11</f>
        <v/>
      </c>
      <c r="O13" s="224">
        <f>ProposedEquipment0!AT11</f>
        <v>0</v>
      </c>
      <c r="P13" s="225" t="str">
        <f>ProposedEquipment0!I11</f>
        <v/>
      </c>
      <c r="Q13" s="226" t="str">
        <f>ProposedEquipment0!J11</f>
        <v/>
      </c>
      <c r="R13" s="225" t="str">
        <f>ProposedEquipment0!K11</f>
        <v/>
      </c>
      <c r="S13" s="226" t="str">
        <f>ProposedEquipment0!L11</f>
        <v/>
      </c>
      <c r="T13" s="226" t="str">
        <f>ProposedEquipment0!M11</f>
        <v/>
      </c>
      <c r="U13" s="223" t="str">
        <f>ProposedEquipment0!Y11</f>
        <v/>
      </c>
      <c r="V13" s="223" t="str">
        <f>ProposedEquipment0!Z11</f>
        <v/>
      </c>
      <c r="W13" s="223" t="str">
        <f>ProposedEquipment0!AA11</f>
        <v/>
      </c>
      <c r="X13" s="223" t="str">
        <f>ProposedEquipment0!AB11</f>
        <v/>
      </c>
      <c r="Y13" s="223" t="str">
        <f>ProposedEquipment0!AC11</f>
        <v/>
      </c>
      <c r="Z13" s="223" t="str">
        <f>ProposedEquipment0!AD11</f>
        <v/>
      </c>
      <c r="AA13" s="223" t="str">
        <f>ProposedEquipment0!AE11</f>
        <v/>
      </c>
      <c r="AB13" s="223" t="str">
        <f>ProposedEquipment0!AF11</f>
        <v/>
      </c>
      <c r="AC13" s="223" t="str">
        <f>ProposedEquipment0!AG11</f>
        <v/>
      </c>
      <c r="AD13" s="223" t="str">
        <f>ProposedEquipment0!AH11</f>
        <v/>
      </c>
      <c r="AE13" s="334"/>
    </row>
    <row r="14" spans="1:31">
      <c r="B14" s="223" t="str">
        <f>ProposedEquipment0!E13</f>
        <v>CH - Smart Thermostat - Learning for Cooling</v>
      </c>
      <c r="C14" s="223">
        <f>ProposedEquipment0!AU13</f>
        <v>1</v>
      </c>
      <c r="D14" s="223" t="str">
        <f>ProposedEquipment0!F13</f>
        <v>CH415</v>
      </c>
      <c r="E14" s="223">
        <f>ProposedEquipment0!G13</f>
        <v>0</v>
      </c>
      <c r="F14" s="223"/>
      <c r="G14" s="223"/>
      <c r="H14" s="223"/>
      <c r="I14" s="223"/>
      <c r="J14" s="223"/>
      <c r="K14" s="223"/>
      <c r="L14" s="223"/>
      <c r="M14" s="223"/>
      <c r="N14" s="224">
        <f>ProposedEquipment0!AR13</f>
        <v>130</v>
      </c>
      <c r="O14" s="224"/>
      <c r="P14" s="225">
        <f>ProposedEquipment0!I13</f>
        <v>0</v>
      </c>
      <c r="Q14" s="226">
        <f>ProposedEquipment0!J13</f>
        <v>139.53</v>
      </c>
      <c r="R14" s="225">
        <f>ProposedEquipment0!K13</f>
        <v>0</v>
      </c>
      <c r="S14" s="226">
        <f>ProposedEquipment0!L13</f>
        <v>0</v>
      </c>
      <c r="T14" s="226">
        <f>ProposedEquipment0!M13</f>
        <v>0</v>
      </c>
      <c r="U14" s="223">
        <f>ProposedEquipment0!Y13</f>
        <v>0</v>
      </c>
      <c r="V14" s="223">
        <f>ProposedEquipment0!Z13</f>
        <v>133.12520000000001</v>
      </c>
      <c r="W14" s="223">
        <f>ProposedEquipment0!AA13</f>
        <v>0</v>
      </c>
      <c r="X14" s="223">
        <f>ProposedEquipment0!AB13</f>
        <v>0</v>
      </c>
      <c r="Y14" s="223">
        <f>ProposedEquipment0!AC13</f>
        <v>133.12520000000001</v>
      </c>
      <c r="Z14" s="223">
        <f>ProposedEquipment0!AD13</f>
        <v>0</v>
      </c>
      <c r="AA14" s="223">
        <f>ProposedEquipment0!AE13</f>
        <v>133.12520000000001</v>
      </c>
      <c r="AB14" s="223">
        <f>ProposedEquipment0!AF13</f>
        <v>0</v>
      </c>
      <c r="AC14" s="223">
        <f>ProposedEquipment0!AG13</f>
        <v>0</v>
      </c>
      <c r="AD14" s="223">
        <f>ProposedEquipment0!AH13</f>
        <v>133.12520000000001</v>
      </c>
      <c r="AE14" s="334"/>
    </row>
    <row r="15" spans="1:31">
      <c r="B15" s="223" t="str">
        <f>ProposedEquipment0!E14</f>
        <v>CH - Smart Thermostat - Learning for Cooling</v>
      </c>
      <c r="C15" s="223">
        <f>ProposedEquipment0!AU14</f>
        <v>1</v>
      </c>
      <c r="D15" s="223" t="str">
        <f>ProposedEquipment0!F14</f>
        <v>CH415</v>
      </c>
      <c r="E15" s="223">
        <f>ProposedEquipment0!G14</f>
        <v>0</v>
      </c>
      <c r="F15" s="223"/>
      <c r="G15" s="223"/>
      <c r="H15" s="223"/>
      <c r="I15" s="223"/>
      <c r="J15" s="223"/>
      <c r="K15" s="223"/>
      <c r="L15" s="223"/>
      <c r="M15" s="223"/>
      <c r="N15" s="224">
        <f>ProposedEquipment0!AR14</f>
        <v>130</v>
      </c>
      <c r="O15" s="224"/>
      <c r="P15" s="225">
        <f>ProposedEquipment0!I14</f>
        <v>0</v>
      </c>
      <c r="Q15" s="226">
        <f>ProposedEquipment0!J14</f>
        <v>139.53</v>
      </c>
      <c r="R15" s="225">
        <f>ProposedEquipment0!K14</f>
        <v>0</v>
      </c>
      <c r="S15" s="226">
        <f>ProposedEquipment0!L14</f>
        <v>0</v>
      </c>
      <c r="T15" s="226">
        <f>ProposedEquipment0!M14</f>
        <v>0</v>
      </c>
      <c r="U15" s="223">
        <f>ProposedEquipment0!Y14</f>
        <v>0</v>
      </c>
      <c r="V15" s="223">
        <f>ProposedEquipment0!Z14</f>
        <v>133.12520000000001</v>
      </c>
      <c r="W15" s="223">
        <f>ProposedEquipment0!AA14</f>
        <v>0</v>
      </c>
      <c r="X15" s="223">
        <f>ProposedEquipment0!AB14</f>
        <v>0</v>
      </c>
      <c r="Y15" s="223">
        <f>ProposedEquipment0!AC14</f>
        <v>133.12520000000001</v>
      </c>
      <c r="Z15" s="223">
        <f>ProposedEquipment0!AD14</f>
        <v>0</v>
      </c>
      <c r="AA15" s="223">
        <f>ProposedEquipment0!AE14</f>
        <v>133.12520000000001</v>
      </c>
      <c r="AB15" s="223">
        <f>ProposedEquipment0!AF14</f>
        <v>0</v>
      </c>
      <c r="AC15" s="223">
        <f>ProposedEquipment0!AG14</f>
        <v>0</v>
      </c>
      <c r="AD15" s="223">
        <f>ProposedEquipment0!AH14</f>
        <v>133.12520000000001</v>
      </c>
      <c r="AE15" s="334"/>
    </row>
    <row r="16" spans="1:31">
      <c r="B16" s="223" t="str">
        <f>ProposedEquipment0!E15</f>
        <v/>
      </c>
      <c r="C16" s="223" t="str">
        <f>ProposedEquipment0!AU15</f>
        <v/>
      </c>
      <c r="D16" s="223" t="str">
        <f>ProposedEquipment0!F15</f>
        <v/>
      </c>
      <c r="E16" s="223" t="str">
        <f>ProposedEquipment0!G15</f>
        <v/>
      </c>
      <c r="F16" s="223"/>
      <c r="G16" s="223"/>
      <c r="H16" s="223"/>
      <c r="I16" s="223"/>
      <c r="J16" s="223"/>
      <c r="K16" s="223"/>
      <c r="L16" s="223"/>
      <c r="M16" s="223"/>
      <c r="N16" s="224" t="str">
        <f>ProposedEquipment0!AR15</f>
        <v/>
      </c>
      <c r="O16" s="224"/>
      <c r="P16" s="225" t="str">
        <f>ProposedEquipment0!I15</f>
        <v/>
      </c>
      <c r="Q16" s="226" t="str">
        <f>ProposedEquipment0!J15</f>
        <v/>
      </c>
      <c r="R16" s="225">
        <f>ProposedEquipment0!K15</f>
        <v>0</v>
      </c>
      <c r="S16" s="226">
        <f>ProposedEquipment0!L15</f>
        <v>0</v>
      </c>
      <c r="T16" s="226">
        <f>ProposedEquipment0!M15</f>
        <v>0</v>
      </c>
      <c r="U16" s="223" t="str">
        <f>ProposedEquipment0!Y15</f>
        <v/>
      </c>
      <c r="V16" s="223" t="str">
        <f>ProposedEquipment0!Z15</f>
        <v/>
      </c>
      <c r="W16" s="223" t="str">
        <f>ProposedEquipment0!AA15</f>
        <v/>
      </c>
      <c r="X16" s="223" t="str">
        <f>ProposedEquipment0!AB15</f>
        <v/>
      </c>
      <c r="Y16" s="223" t="str">
        <f>ProposedEquipment0!AC15</f>
        <v/>
      </c>
      <c r="Z16" s="223" t="str">
        <f>ProposedEquipment0!AD15</f>
        <v/>
      </c>
      <c r="AA16" s="223" t="str">
        <f>ProposedEquipment0!AE15</f>
        <v/>
      </c>
      <c r="AB16" s="223" t="str">
        <f>ProposedEquipment0!AF15</f>
        <v/>
      </c>
      <c r="AC16" s="223" t="str">
        <f>ProposedEquipment0!AG15</f>
        <v/>
      </c>
      <c r="AD16" s="223" t="str">
        <f>ProposedEquipment0!AH15</f>
        <v/>
      </c>
      <c r="AE16" s="334"/>
    </row>
    <row r="17" spans="2:31">
      <c r="B17" s="223" t="str">
        <f>ProposedEquipment0!E16</f>
        <v/>
      </c>
      <c r="C17" s="223" t="str">
        <f>ProposedEquipment0!AU16</f>
        <v/>
      </c>
      <c r="D17" s="223" t="str">
        <f>ProposedEquipment0!F16</f>
        <v/>
      </c>
      <c r="E17" s="223" t="str">
        <f>ProposedEquipment0!G16</f>
        <v/>
      </c>
      <c r="F17" s="223"/>
      <c r="G17" s="223"/>
      <c r="H17" s="223"/>
      <c r="I17" s="223"/>
      <c r="J17" s="223"/>
      <c r="K17" s="223"/>
      <c r="L17" s="223"/>
      <c r="M17" s="223"/>
      <c r="N17" s="224" t="str">
        <f>ProposedEquipment0!AR16</f>
        <v/>
      </c>
      <c r="O17" s="224"/>
      <c r="P17" s="225" t="str">
        <f>ProposedEquipment0!I16</f>
        <v/>
      </c>
      <c r="Q17" s="226" t="str">
        <f>ProposedEquipment0!J16</f>
        <v/>
      </c>
      <c r="R17" s="225">
        <f>ProposedEquipment0!K16</f>
        <v>0</v>
      </c>
      <c r="S17" s="226">
        <f>ProposedEquipment0!L16</f>
        <v>0</v>
      </c>
      <c r="T17" s="226">
        <f>ProposedEquipment0!M16</f>
        <v>0</v>
      </c>
      <c r="U17" s="223" t="str">
        <f>ProposedEquipment0!Y16</f>
        <v/>
      </c>
      <c r="V17" s="223" t="str">
        <f>ProposedEquipment0!Z16</f>
        <v/>
      </c>
      <c r="W17" s="223" t="str">
        <f>ProposedEquipment0!AA16</f>
        <v/>
      </c>
      <c r="X17" s="223" t="str">
        <f>ProposedEquipment0!AB16</f>
        <v/>
      </c>
      <c r="Y17" s="223" t="str">
        <f>ProposedEquipment0!AC16</f>
        <v/>
      </c>
      <c r="Z17" s="223" t="str">
        <f>ProposedEquipment0!AD16</f>
        <v/>
      </c>
      <c r="AA17" s="223" t="str">
        <f>ProposedEquipment0!AE16</f>
        <v/>
      </c>
      <c r="AB17" s="223" t="str">
        <f>ProposedEquipment0!AF16</f>
        <v/>
      </c>
      <c r="AC17" s="223" t="str">
        <f>ProposedEquipment0!AG16</f>
        <v/>
      </c>
      <c r="AD17" s="223" t="str">
        <f>ProposedEquipment0!AH16</f>
        <v/>
      </c>
      <c r="AE17" s="334"/>
    </row>
    <row r="18" spans="2:31">
      <c r="B18" s="223" t="str">
        <f>ProposedEquipment0!E17</f>
        <v/>
      </c>
      <c r="C18" s="223" t="str">
        <f>ProposedEquipment0!AU17</f>
        <v/>
      </c>
      <c r="D18" s="223" t="str">
        <f>ProposedEquipment0!F17</f>
        <v/>
      </c>
      <c r="E18" s="223" t="str">
        <f>ProposedEquipment0!G17</f>
        <v/>
      </c>
      <c r="F18" s="223"/>
      <c r="G18" s="223"/>
      <c r="H18" s="223"/>
      <c r="I18" s="223"/>
      <c r="J18" s="223"/>
      <c r="K18" s="223"/>
      <c r="L18" s="223"/>
      <c r="M18" s="223"/>
      <c r="N18" s="224" t="str">
        <f>ProposedEquipment0!AR17</f>
        <v/>
      </c>
      <c r="O18" s="224"/>
      <c r="P18" s="225" t="str">
        <f>ProposedEquipment0!I17</f>
        <v/>
      </c>
      <c r="Q18" s="226" t="str">
        <f>ProposedEquipment0!J17</f>
        <v/>
      </c>
      <c r="R18" s="225">
        <f>ProposedEquipment0!K17</f>
        <v>0</v>
      </c>
      <c r="S18" s="226">
        <f>ProposedEquipment0!L17</f>
        <v>0</v>
      </c>
      <c r="T18" s="226">
        <f>ProposedEquipment0!M17</f>
        <v>0</v>
      </c>
      <c r="U18" s="223" t="str">
        <f>ProposedEquipment0!Y17</f>
        <v/>
      </c>
      <c r="V18" s="223" t="str">
        <f>ProposedEquipment0!Z17</f>
        <v/>
      </c>
      <c r="W18" s="223" t="str">
        <f>ProposedEquipment0!AA17</f>
        <v/>
      </c>
      <c r="X18" s="223" t="str">
        <f>ProposedEquipment0!AB17</f>
        <v/>
      </c>
      <c r="Y18" s="223" t="str">
        <f>ProposedEquipment0!AC17</f>
        <v/>
      </c>
      <c r="Z18" s="223" t="str">
        <f>ProposedEquipment0!AD17</f>
        <v/>
      </c>
      <c r="AA18" s="223" t="str">
        <f>ProposedEquipment0!AE17</f>
        <v/>
      </c>
      <c r="AB18" s="223" t="str">
        <f>ProposedEquipment0!AF17</f>
        <v/>
      </c>
      <c r="AC18" s="223" t="str">
        <f>ProposedEquipment0!AG17</f>
        <v/>
      </c>
      <c r="AD18" s="223" t="str">
        <f>ProposedEquipment0!AH17</f>
        <v/>
      </c>
      <c r="AE18" s="334"/>
    </row>
    <row r="19" spans="2:31">
      <c r="B19" s="223" t="str">
        <f>ProposedEquipment0!E18</f>
        <v/>
      </c>
      <c r="C19" s="223" t="str">
        <f>ProposedEquipment0!AU18</f>
        <v/>
      </c>
      <c r="D19" s="223" t="str">
        <f>ProposedEquipment0!F18</f>
        <v/>
      </c>
      <c r="E19" s="223" t="str">
        <f>ProposedEquipment0!G18</f>
        <v/>
      </c>
      <c r="F19" s="223"/>
      <c r="G19" s="223"/>
      <c r="H19" s="223"/>
      <c r="I19" s="223"/>
      <c r="J19" s="223"/>
      <c r="K19" s="223"/>
      <c r="L19" s="223"/>
      <c r="M19" s="223"/>
      <c r="N19" s="224" t="str">
        <f>ProposedEquipment0!AR18</f>
        <v/>
      </c>
      <c r="O19" s="224"/>
      <c r="P19" s="225" t="str">
        <f>ProposedEquipment0!I18</f>
        <v/>
      </c>
      <c r="Q19" s="226" t="str">
        <f>ProposedEquipment0!J18</f>
        <v/>
      </c>
      <c r="R19" s="225">
        <f>ProposedEquipment0!K18</f>
        <v>0</v>
      </c>
      <c r="S19" s="226">
        <f>ProposedEquipment0!L18</f>
        <v>0</v>
      </c>
      <c r="T19" s="226">
        <f>ProposedEquipment0!M18</f>
        <v>0</v>
      </c>
      <c r="U19" s="223" t="str">
        <f>ProposedEquipment0!Y18</f>
        <v/>
      </c>
      <c r="V19" s="223" t="str">
        <f>ProposedEquipment0!Z18</f>
        <v/>
      </c>
      <c r="W19" s="223" t="str">
        <f>ProposedEquipment0!AA18</f>
        <v/>
      </c>
      <c r="X19" s="223" t="str">
        <f>ProposedEquipment0!AB18</f>
        <v/>
      </c>
      <c r="Y19" s="223" t="str">
        <f>ProposedEquipment0!AC18</f>
        <v/>
      </c>
      <c r="Z19" s="223" t="str">
        <f>ProposedEquipment0!AD18</f>
        <v/>
      </c>
      <c r="AA19" s="223" t="str">
        <f>ProposedEquipment0!AE18</f>
        <v/>
      </c>
      <c r="AB19" s="223" t="str">
        <f>ProposedEquipment0!AF18</f>
        <v/>
      </c>
      <c r="AC19" s="223" t="str">
        <f>ProposedEquipment0!AG18</f>
        <v/>
      </c>
      <c r="AD19" s="223" t="str">
        <f>ProposedEquipment0!AH18</f>
        <v/>
      </c>
      <c r="AE19" s="334"/>
    </row>
    <row r="20" spans="2:31">
      <c r="B20" s="223" t="str">
        <f>ProposedEquipment0!E19</f>
        <v/>
      </c>
      <c r="C20" s="223" t="str">
        <f>ProposedEquipment0!AU19</f>
        <v/>
      </c>
      <c r="D20" s="223" t="str">
        <f>ProposedEquipment0!F19</f>
        <v/>
      </c>
      <c r="E20" s="223" t="str">
        <f>ProposedEquipment0!G19</f>
        <v/>
      </c>
      <c r="F20" s="223"/>
      <c r="G20" s="223"/>
      <c r="H20" s="223"/>
      <c r="I20" s="223"/>
      <c r="J20" s="223"/>
      <c r="K20" s="223"/>
      <c r="L20" s="223"/>
      <c r="M20" s="223"/>
      <c r="N20" s="224" t="str">
        <f>ProposedEquipment0!AR19</f>
        <v/>
      </c>
      <c r="O20" s="224"/>
      <c r="P20" s="225" t="str">
        <f>ProposedEquipment0!I19</f>
        <v/>
      </c>
      <c r="Q20" s="226" t="str">
        <f>ProposedEquipment0!J19</f>
        <v/>
      </c>
      <c r="R20" s="225">
        <f>ProposedEquipment0!K19</f>
        <v>0</v>
      </c>
      <c r="S20" s="226">
        <f>ProposedEquipment0!L19</f>
        <v>0</v>
      </c>
      <c r="T20" s="226">
        <f>ProposedEquipment0!M19</f>
        <v>0</v>
      </c>
      <c r="U20" s="223" t="str">
        <f>ProposedEquipment0!Y19</f>
        <v/>
      </c>
      <c r="V20" s="223" t="str">
        <f>ProposedEquipment0!Z19</f>
        <v/>
      </c>
      <c r="W20" s="223" t="str">
        <f>ProposedEquipment0!AA19</f>
        <v/>
      </c>
      <c r="X20" s="223" t="str">
        <f>ProposedEquipment0!AB19</f>
        <v/>
      </c>
      <c r="Y20" s="223" t="str">
        <f>ProposedEquipment0!AC19</f>
        <v/>
      </c>
      <c r="Z20" s="223" t="str">
        <f>ProposedEquipment0!AD19</f>
        <v/>
      </c>
      <c r="AA20" s="223" t="str">
        <f>ProposedEquipment0!AE19</f>
        <v/>
      </c>
      <c r="AB20" s="223" t="str">
        <f>ProposedEquipment0!AF19</f>
        <v/>
      </c>
      <c r="AC20" s="223" t="str">
        <f>ProposedEquipment0!AG19</f>
        <v/>
      </c>
      <c r="AD20" s="223" t="str">
        <f>ProposedEquipment0!AH19</f>
        <v/>
      </c>
      <c r="AE20" s="334"/>
    </row>
    <row r="21" spans="2:31">
      <c r="B21" s="223" t="str">
        <f>ProposedEquipment0!E20</f>
        <v/>
      </c>
      <c r="C21" s="223" t="str">
        <f>ProposedEquipment0!AU20</f>
        <v/>
      </c>
      <c r="D21" s="223" t="str">
        <f>ProposedEquipment0!F20</f>
        <v/>
      </c>
      <c r="E21" s="223" t="str">
        <f>ProposedEquipment0!G20</f>
        <v/>
      </c>
      <c r="F21" s="223"/>
      <c r="G21" s="223"/>
      <c r="H21" s="223"/>
      <c r="I21" s="223"/>
      <c r="J21" s="223"/>
      <c r="K21" s="223"/>
      <c r="L21" s="223"/>
      <c r="M21" s="223"/>
      <c r="N21" s="224" t="str">
        <f>ProposedEquipment0!AR20</f>
        <v/>
      </c>
      <c r="O21" s="224"/>
      <c r="P21" s="225" t="str">
        <f>ProposedEquipment0!I20</f>
        <v/>
      </c>
      <c r="Q21" s="226" t="str">
        <f>ProposedEquipment0!J20</f>
        <v/>
      </c>
      <c r="R21" s="225">
        <f>ProposedEquipment0!K20</f>
        <v>0</v>
      </c>
      <c r="S21" s="226">
        <f>ProposedEquipment0!L20</f>
        <v>0</v>
      </c>
      <c r="T21" s="226">
        <f>ProposedEquipment0!M20</f>
        <v>0</v>
      </c>
      <c r="U21" s="223" t="str">
        <f>ProposedEquipment0!Y20</f>
        <v/>
      </c>
      <c r="V21" s="223" t="str">
        <f>ProposedEquipment0!Z20</f>
        <v/>
      </c>
      <c r="W21" s="223" t="str">
        <f>ProposedEquipment0!AA20</f>
        <v/>
      </c>
      <c r="X21" s="223" t="str">
        <f>ProposedEquipment0!AB20</f>
        <v/>
      </c>
      <c r="Y21" s="223" t="str">
        <f>ProposedEquipment0!AC20</f>
        <v/>
      </c>
      <c r="Z21" s="223" t="str">
        <f>ProposedEquipment0!AD20</f>
        <v/>
      </c>
      <c r="AA21" s="223" t="str">
        <f>ProposedEquipment0!AE20</f>
        <v/>
      </c>
      <c r="AB21" s="223" t="str">
        <f>ProposedEquipment0!AF20</f>
        <v/>
      </c>
      <c r="AC21" s="223" t="str">
        <f>ProposedEquipment0!AG20</f>
        <v/>
      </c>
      <c r="AD21" s="223" t="str">
        <f>ProposedEquipment0!AH20</f>
        <v/>
      </c>
      <c r="AE21" s="334"/>
    </row>
    <row r="22" spans="2:31">
      <c r="B22" s="223" t="str">
        <f>ProposedEquipment0!E21</f>
        <v/>
      </c>
      <c r="C22" s="223" t="str">
        <f>ProposedEquipment0!AU21</f>
        <v/>
      </c>
      <c r="D22" s="223" t="str">
        <f>ProposedEquipment0!F21</f>
        <v/>
      </c>
      <c r="E22" s="223" t="str">
        <f>ProposedEquipment0!G21</f>
        <v/>
      </c>
      <c r="F22" s="223"/>
      <c r="G22" s="223"/>
      <c r="H22" s="223"/>
      <c r="I22" s="223"/>
      <c r="J22" s="223"/>
      <c r="K22" s="223"/>
      <c r="L22" s="223"/>
      <c r="M22" s="223"/>
      <c r="N22" s="224" t="str">
        <f>ProposedEquipment0!AR21</f>
        <v/>
      </c>
      <c r="O22" s="224"/>
      <c r="P22" s="225" t="str">
        <f>ProposedEquipment0!I21</f>
        <v/>
      </c>
      <c r="Q22" s="226" t="str">
        <f>ProposedEquipment0!J21</f>
        <v/>
      </c>
      <c r="R22" s="225">
        <f>ProposedEquipment0!K21</f>
        <v>0</v>
      </c>
      <c r="S22" s="226">
        <f>ProposedEquipment0!L21</f>
        <v>0</v>
      </c>
      <c r="T22" s="226">
        <f>ProposedEquipment0!M21</f>
        <v>0</v>
      </c>
      <c r="U22" s="223" t="str">
        <f>ProposedEquipment0!Y21</f>
        <v/>
      </c>
      <c r="V22" s="223" t="str">
        <f>ProposedEquipment0!Z21</f>
        <v/>
      </c>
      <c r="W22" s="223" t="str">
        <f>ProposedEquipment0!AA21</f>
        <v/>
      </c>
      <c r="X22" s="223" t="str">
        <f>ProposedEquipment0!AB21</f>
        <v/>
      </c>
      <c r="Y22" s="223" t="str">
        <f>ProposedEquipment0!AC21</f>
        <v/>
      </c>
      <c r="Z22" s="223" t="str">
        <f>ProposedEquipment0!AD21</f>
        <v/>
      </c>
      <c r="AA22" s="223" t="str">
        <f>ProposedEquipment0!AE21</f>
        <v/>
      </c>
      <c r="AB22" s="223" t="str">
        <f>ProposedEquipment0!AF21</f>
        <v/>
      </c>
      <c r="AC22" s="223" t="str">
        <f>ProposedEquipment0!AG21</f>
        <v/>
      </c>
      <c r="AD22" s="223" t="str">
        <f>ProposedEquipment0!AH21</f>
        <v/>
      </c>
      <c r="AE22" s="334"/>
    </row>
    <row r="23" spans="2:31">
      <c r="B23" s="223" t="str">
        <f>ProposedEquipment0!E22</f>
        <v/>
      </c>
      <c r="C23" s="223" t="str">
        <f>ProposedEquipment0!AU22</f>
        <v/>
      </c>
      <c r="D23" s="223" t="str">
        <f>ProposedEquipment0!F22</f>
        <v/>
      </c>
      <c r="E23" s="223" t="str">
        <f>ProposedEquipment0!G22</f>
        <v/>
      </c>
      <c r="F23" s="223"/>
      <c r="G23" s="223"/>
      <c r="H23" s="223"/>
      <c r="I23" s="223"/>
      <c r="J23" s="223"/>
      <c r="K23" s="223"/>
      <c r="L23" s="223"/>
      <c r="M23" s="223"/>
      <c r="N23" s="224" t="str">
        <f>ProposedEquipment0!AR22</f>
        <v/>
      </c>
      <c r="O23" s="224"/>
      <c r="P23" s="225" t="str">
        <f>ProposedEquipment0!I22</f>
        <v/>
      </c>
      <c r="Q23" s="226" t="str">
        <f>ProposedEquipment0!J22</f>
        <v/>
      </c>
      <c r="R23" s="225">
        <f>ProposedEquipment0!K22</f>
        <v>0</v>
      </c>
      <c r="S23" s="226">
        <f>ProposedEquipment0!L22</f>
        <v>0</v>
      </c>
      <c r="T23" s="226">
        <f>ProposedEquipment0!M22</f>
        <v>0</v>
      </c>
      <c r="U23" s="223" t="str">
        <f>ProposedEquipment0!Y22</f>
        <v/>
      </c>
      <c r="V23" s="223" t="str">
        <f>ProposedEquipment0!Z22</f>
        <v/>
      </c>
      <c r="W23" s="223" t="str">
        <f>ProposedEquipment0!AA22</f>
        <v/>
      </c>
      <c r="X23" s="223" t="str">
        <f>ProposedEquipment0!AB22</f>
        <v/>
      </c>
      <c r="Y23" s="223" t="str">
        <f>ProposedEquipment0!AC22</f>
        <v/>
      </c>
      <c r="Z23" s="223" t="str">
        <f>ProposedEquipment0!AD22</f>
        <v/>
      </c>
      <c r="AA23" s="223" t="str">
        <f>ProposedEquipment0!AE22</f>
        <v/>
      </c>
      <c r="AB23" s="223" t="str">
        <f>ProposedEquipment0!AF22</f>
        <v/>
      </c>
      <c r="AC23" s="223" t="str">
        <f>ProposedEquipment0!AG22</f>
        <v/>
      </c>
      <c r="AD23" s="223" t="str">
        <f>ProposedEquipment0!AH22</f>
        <v/>
      </c>
      <c r="AE23" s="334"/>
    </row>
    <row r="24" spans="2:31">
      <c r="B24" s="223" t="str">
        <f>ProposedEquipment0!E23</f>
        <v/>
      </c>
      <c r="C24" s="223" t="str">
        <f>ProposedEquipment0!AU23</f>
        <v/>
      </c>
      <c r="D24" s="223" t="str">
        <f>ProposedEquipment0!F23</f>
        <v/>
      </c>
      <c r="E24" s="223" t="str">
        <f>ProposedEquipment0!G23</f>
        <v/>
      </c>
      <c r="F24" s="223"/>
      <c r="G24" s="223"/>
      <c r="H24" s="223"/>
      <c r="I24" s="223"/>
      <c r="J24" s="223"/>
      <c r="K24" s="223"/>
      <c r="L24" s="223"/>
      <c r="M24" s="223"/>
      <c r="N24" s="224" t="str">
        <f>ProposedEquipment0!AR23</f>
        <v/>
      </c>
      <c r="O24" s="224"/>
      <c r="P24" s="225" t="str">
        <f>ProposedEquipment0!I23</f>
        <v/>
      </c>
      <c r="Q24" s="226" t="str">
        <f>ProposedEquipment0!J23</f>
        <v/>
      </c>
      <c r="R24" s="225">
        <f>ProposedEquipment0!K23</f>
        <v>0</v>
      </c>
      <c r="S24" s="226">
        <f>ProposedEquipment0!L23</f>
        <v>0</v>
      </c>
      <c r="T24" s="226">
        <f>ProposedEquipment0!M23</f>
        <v>0</v>
      </c>
      <c r="U24" s="223" t="str">
        <f>ProposedEquipment0!Y23</f>
        <v/>
      </c>
      <c r="V24" s="223" t="str">
        <f>ProposedEquipment0!Z23</f>
        <v/>
      </c>
      <c r="W24" s="223" t="str">
        <f>ProposedEquipment0!AA23</f>
        <v/>
      </c>
      <c r="X24" s="223" t="str">
        <f>ProposedEquipment0!AB23</f>
        <v/>
      </c>
      <c r="Y24" s="223" t="str">
        <f>ProposedEquipment0!AC23</f>
        <v/>
      </c>
      <c r="Z24" s="223" t="str">
        <f>ProposedEquipment0!AD23</f>
        <v/>
      </c>
      <c r="AA24" s="223" t="str">
        <f>ProposedEquipment0!AE23</f>
        <v/>
      </c>
      <c r="AB24" s="223" t="str">
        <f>ProposedEquipment0!AF23</f>
        <v/>
      </c>
      <c r="AC24" s="223" t="str">
        <f>ProposedEquipment0!AG23</f>
        <v/>
      </c>
      <c r="AD24" s="223" t="str">
        <f>ProposedEquipment0!AH23</f>
        <v/>
      </c>
      <c r="AE24" s="334"/>
    </row>
    <row r="25" spans="2:31">
      <c r="B25" s="223" t="str">
        <f>ProposedEquipment0!E25</f>
        <v/>
      </c>
      <c r="C25" s="223">
        <f>ProposedEquipment0!AU25</f>
        <v>1</v>
      </c>
      <c r="D25" s="223" t="str">
        <f>ProposedEquipment0!F25</f>
        <v/>
      </c>
      <c r="E25" s="223">
        <f>ProposedEquipment0!G25</f>
        <v>0</v>
      </c>
      <c r="F25" s="223"/>
      <c r="G25" s="223"/>
      <c r="H25" s="223"/>
      <c r="I25" s="223"/>
      <c r="J25" s="223"/>
      <c r="K25" s="223"/>
      <c r="L25" s="223"/>
      <c r="M25" s="223"/>
      <c r="N25" s="224">
        <f>ProposedEquipment0!AR25</f>
        <v>100</v>
      </c>
      <c r="O25" s="224"/>
      <c r="P25" s="225">
        <f>ProposedEquipment0!I25</f>
        <v>0</v>
      </c>
      <c r="Q25" s="226">
        <f>ProposedEquipment0!J25</f>
        <v>0</v>
      </c>
      <c r="R25" s="225">
        <f>ProposedEquipment0!K25</f>
        <v>0</v>
      </c>
      <c r="S25" s="226">
        <f>ProposedEquipment0!L25</f>
        <v>0</v>
      </c>
      <c r="T25" s="226">
        <f>ProposedEquipment0!M25</f>
        <v>0</v>
      </c>
      <c r="U25" s="223" t="str">
        <f>ProposedEquipment0!Y25</f>
        <v/>
      </c>
      <c r="V25" s="223" t="str">
        <f>ProposedEquipment0!Z25</f>
        <v/>
      </c>
      <c r="W25" s="223" t="str">
        <f>ProposedEquipment0!AA25</f>
        <v/>
      </c>
      <c r="X25" s="223" t="str">
        <f>ProposedEquipment0!AB25</f>
        <v/>
      </c>
      <c r="Y25" s="223" t="str">
        <f>ProposedEquipment0!AC25</f>
        <v/>
      </c>
      <c r="Z25" s="223" t="str">
        <f>ProposedEquipment0!AD25</f>
        <v/>
      </c>
      <c r="AA25" s="223" t="str">
        <f>ProposedEquipment0!AE25</f>
        <v/>
      </c>
      <c r="AB25" s="223" t="str">
        <f>ProposedEquipment0!AF25</f>
        <v/>
      </c>
      <c r="AC25" s="223" t="str">
        <f>ProposedEquipment0!AG25</f>
        <v/>
      </c>
      <c r="AD25" s="223" t="str">
        <f>ProposedEquipment0!AH25</f>
        <v/>
      </c>
      <c r="AE25" s="334"/>
    </row>
    <row r="31" spans="2:31">
      <c r="B31" s="621" t="s">
        <v>262</v>
      </c>
    </row>
    <row r="32" spans="2:31">
      <c r="B32" s="222" t="s">
        <v>39</v>
      </c>
      <c r="C32" s="222" t="s">
        <v>146</v>
      </c>
      <c r="D32" s="222" t="s">
        <v>193</v>
      </c>
      <c r="E32" s="222" t="s">
        <v>137</v>
      </c>
      <c r="F32" s="222" t="s">
        <v>52</v>
      </c>
      <c r="G32" s="222" t="s">
        <v>53</v>
      </c>
      <c r="H32" s="222" t="s">
        <v>56</v>
      </c>
      <c r="I32" s="222" t="s">
        <v>705</v>
      </c>
      <c r="J32" s="222" t="s">
        <v>701</v>
      </c>
      <c r="K32" s="222" t="s">
        <v>702</v>
      </c>
      <c r="L32" s="222" t="s">
        <v>703</v>
      </c>
      <c r="M32" s="222" t="s">
        <v>704</v>
      </c>
      <c r="N32" s="222" t="s">
        <v>54</v>
      </c>
      <c r="O32" s="222" t="s">
        <v>235</v>
      </c>
      <c r="P32" s="222" t="s">
        <v>929</v>
      </c>
      <c r="Q32" s="222" t="s">
        <v>923</v>
      </c>
      <c r="R32" s="222" t="s">
        <v>828</v>
      </c>
      <c r="S32" s="222" t="s">
        <v>598</v>
      </c>
      <c r="T32" s="222" t="s">
        <v>832</v>
      </c>
      <c r="U32" s="222" t="s">
        <v>944</v>
      </c>
      <c r="V32" s="222" t="s">
        <v>924</v>
      </c>
      <c r="W32" s="222" t="s">
        <v>830</v>
      </c>
      <c r="X32" s="222" t="s">
        <v>600</v>
      </c>
      <c r="Y32" s="222" t="s">
        <v>834</v>
      </c>
      <c r="Z32" s="222" t="s">
        <v>945</v>
      </c>
      <c r="AA32" s="222" t="s">
        <v>925</v>
      </c>
      <c r="AB32" s="222" t="s">
        <v>831</v>
      </c>
      <c r="AC32" s="222" t="s">
        <v>601</v>
      </c>
      <c r="AD32" s="222" t="s">
        <v>835</v>
      </c>
      <c r="AE32" s="303" t="s">
        <v>310</v>
      </c>
    </row>
    <row r="33" spans="2:31">
      <c r="B33" s="223">
        <f>ProposedEquipment0!E31</f>
        <v>0</v>
      </c>
      <c r="C33" s="223">
        <f>ProposedEquipment0!AU31</f>
        <v>0</v>
      </c>
      <c r="D33" s="223">
        <f>ProposedEquipment0!F31</f>
        <v>0</v>
      </c>
      <c r="E33" s="223">
        <f>ProposedEquipment0!G31</f>
        <v>0</v>
      </c>
      <c r="F33" s="223">
        <f>ProposedEquipment0!BM31</f>
        <v>0</v>
      </c>
      <c r="G33" s="223">
        <f>ProposedEquipment0!BN31</f>
        <v>0</v>
      </c>
      <c r="H33" s="223">
        <f>ProposedEquipment0!BO31</f>
        <v>0</v>
      </c>
      <c r="I33" s="223">
        <f>ProposedEquipment0!BX31</f>
        <v>0</v>
      </c>
      <c r="J33" s="223">
        <f>ProposedEquipment0!BR31</f>
        <v>0</v>
      </c>
      <c r="K33" s="223">
        <f>ProposedEquipment0!BS31</f>
        <v>0</v>
      </c>
      <c r="L33" s="223">
        <f>ProposedEquipment0!BT31</f>
        <v>0</v>
      </c>
      <c r="M33" s="223">
        <f>ProposedEquipment0!BU31</f>
        <v>0</v>
      </c>
      <c r="N33" s="224">
        <f>ProposedEquipment0!AR31</f>
        <v>0</v>
      </c>
      <c r="O33" s="224">
        <f>ProposedEquipment0!AT31</f>
        <v>0</v>
      </c>
      <c r="P33" s="225">
        <f>ProposedEquipment0!I31</f>
        <v>0</v>
      </c>
      <c r="Q33" s="226">
        <f>ProposedEquipment0!J31</f>
        <v>0</v>
      </c>
      <c r="R33" s="225">
        <f>ProposedEquipment0!K31</f>
        <v>0</v>
      </c>
      <c r="S33" s="226">
        <f>ProposedEquipment0!L31</f>
        <v>0</v>
      </c>
      <c r="T33" s="226">
        <f>ProposedEquipment0!M31</f>
        <v>0</v>
      </c>
      <c r="U33" s="223">
        <f>ProposedEquipment0!Y31</f>
        <v>0</v>
      </c>
      <c r="V33" s="223">
        <f>ProposedEquipment0!Z31</f>
        <v>0</v>
      </c>
      <c r="W33" s="223">
        <f>ProposedEquipment0!AA31</f>
        <v>0</v>
      </c>
      <c r="X33" s="223">
        <f>ProposedEquipment0!AB31</f>
        <v>0</v>
      </c>
      <c r="Y33" s="223">
        <f>ProposedEquipment0!AC31</f>
        <v>0</v>
      </c>
      <c r="Z33" s="223">
        <f>ProposedEquipment0!AD31</f>
        <v>0</v>
      </c>
      <c r="AA33" s="223">
        <f>ProposedEquipment0!AE31</f>
        <v>0</v>
      </c>
      <c r="AB33" s="223">
        <f>ProposedEquipment0!AF31</f>
        <v>0</v>
      </c>
      <c r="AC33" s="223">
        <f>ProposedEquipment0!AG31</f>
        <v>0</v>
      </c>
      <c r="AD33" s="223">
        <f>ProposedEquipment0!AH31</f>
        <v>0</v>
      </c>
      <c r="AE33" s="334"/>
    </row>
    <row r="34" spans="2:31">
      <c r="B34" s="223">
        <f>ProposedEquipment0!E32</f>
        <v>0</v>
      </c>
      <c r="C34" s="223">
        <f>ProposedEquipment0!AU32</f>
        <v>0</v>
      </c>
      <c r="D34" s="223">
        <f>ProposedEquipment0!F32</f>
        <v>0</v>
      </c>
      <c r="E34" s="223">
        <f>ProposedEquipment0!G32</f>
        <v>0</v>
      </c>
      <c r="F34" s="223">
        <f>ProposedEquipment0!BM32</f>
        <v>0</v>
      </c>
      <c r="G34" s="223">
        <f>ProposedEquipment0!BN32</f>
        <v>0</v>
      </c>
      <c r="H34" s="223">
        <f>ProposedEquipment0!BO32</f>
        <v>0</v>
      </c>
      <c r="I34" s="223">
        <f>ProposedEquipment0!BX32</f>
        <v>0</v>
      </c>
      <c r="J34" s="223">
        <f>ProposedEquipment0!BR32</f>
        <v>0</v>
      </c>
      <c r="K34" s="223">
        <f>ProposedEquipment0!BS32</f>
        <v>0</v>
      </c>
      <c r="L34" s="223">
        <f>ProposedEquipment0!BT32</f>
        <v>0</v>
      </c>
      <c r="M34" s="223">
        <f>ProposedEquipment0!BU32</f>
        <v>0</v>
      </c>
      <c r="N34" s="224">
        <f>ProposedEquipment0!AR32</f>
        <v>0</v>
      </c>
      <c r="O34" s="224">
        <f>ProposedEquipment0!AT32</f>
        <v>0</v>
      </c>
      <c r="P34" s="225">
        <f>ProposedEquipment0!I32</f>
        <v>0</v>
      </c>
      <c r="Q34" s="226">
        <f>ProposedEquipment0!J32</f>
        <v>0</v>
      </c>
      <c r="R34" s="225">
        <f>ProposedEquipment0!K32</f>
        <v>0</v>
      </c>
      <c r="S34" s="226">
        <f>ProposedEquipment0!L32</f>
        <v>0</v>
      </c>
      <c r="T34" s="226">
        <f>ProposedEquipment0!M32</f>
        <v>0</v>
      </c>
      <c r="U34" s="223">
        <f>ProposedEquipment0!Y32</f>
        <v>0</v>
      </c>
      <c r="V34" s="223">
        <f>ProposedEquipment0!Z32</f>
        <v>0</v>
      </c>
      <c r="W34" s="223">
        <f>ProposedEquipment0!AA32</f>
        <v>0</v>
      </c>
      <c r="X34" s="223">
        <f>ProposedEquipment0!AB32</f>
        <v>0</v>
      </c>
      <c r="Y34" s="223">
        <f>ProposedEquipment0!AC32</f>
        <v>0</v>
      </c>
      <c r="Z34" s="223">
        <f>ProposedEquipment0!AD32</f>
        <v>0</v>
      </c>
      <c r="AA34" s="223">
        <f>ProposedEquipment0!AE32</f>
        <v>0</v>
      </c>
      <c r="AB34" s="223">
        <f>ProposedEquipment0!AF32</f>
        <v>0</v>
      </c>
      <c r="AC34" s="223">
        <f>ProposedEquipment0!AG32</f>
        <v>0</v>
      </c>
      <c r="AD34" s="223">
        <f>ProposedEquipment0!AH32</f>
        <v>0</v>
      </c>
      <c r="AE34" s="334"/>
    </row>
    <row r="35" spans="2:31">
      <c r="B35" s="223" t="str">
        <f>ProposedEquipment0!E33</f>
        <v/>
      </c>
      <c r="C35" s="223">
        <f>ProposedEquipment0!AU33</f>
        <v>0</v>
      </c>
      <c r="D35" s="223" t="str">
        <f>ProposedEquipment0!F33</f>
        <v/>
      </c>
      <c r="E35" s="223">
        <f>ProposedEquipment0!G33</f>
        <v>0</v>
      </c>
      <c r="F35" s="223">
        <f>ProposedEquipment0!BM33</f>
        <v>0</v>
      </c>
      <c r="G35" s="223">
        <f>ProposedEquipment0!BN33</f>
        <v>0</v>
      </c>
      <c r="H35" s="223">
        <f>ProposedEquipment0!BO33</f>
        <v>0</v>
      </c>
      <c r="I35" s="223">
        <f>ProposedEquipment0!BX33</f>
        <v>0</v>
      </c>
      <c r="J35" s="223">
        <f>ProposedEquipment0!BR33</f>
        <v>0</v>
      </c>
      <c r="K35" s="223">
        <f>ProposedEquipment0!BS33</f>
        <v>0</v>
      </c>
      <c r="L35" s="223">
        <f>ProposedEquipment0!BT33</f>
        <v>0</v>
      </c>
      <c r="M35" s="223">
        <f>ProposedEquipment0!BU33</f>
        <v>0</v>
      </c>
      <c r="N35" s="224">
        <f>ProposedEquipment0!AR33</f>
        <v>0</v>
      </c>
      <c r="O35" s="224">
        <f>ProposedEquipment0!AT33</f>
        <v>0</v>
      </c>
      <c r="P35" s="225">
        <f>ProposedEquipment0!I33</f>
        <v>0</v>
      </c>
      <c r="Q35" s="226">
        <f>ProposedEquipment0!J33</f>
        <v>0</v>
      </c>
      <c r="R35" s="225">
        <f>ProposedEquipment0!K33</f>
        <v>0</v>
      </c>
      <c r="S35" s="226">
        <f>ProposedEquipment0!L33</f>
        <v>0</v>
      </c>
      <c r="T35" s="226">
        <f>ProposedEquipment0!M33</f>
        <v>0</v>
      </c>
      <c r="U35" s="223">
        <f>ProposedEquipment0!Y33</f>
        <v>0</v>
      </c>
      <c r="V35" s="223">
        <f>ProposedEquipment0!Z33</f>
        <v>0</v>
      </c>
      <c r="W35" s="223">
        <f>ProposedEquipment0!AA33</f>
        <v>0</v>
      </c>
      <c r="X35" s="223">
        <f>ProposedEquipment0!AB33</f>
        <v>0</v>
      </c>
      <c r="Y35" s="223">
        <f>ProposedEquipment0!AC33</f>
        <v>0</v>
      </c>
      <c r="Z35" s="223">
        <f>ProposedEquipment0!AD33</f>
        <v>0</v>
      </c>
      <c r="AA35" s="223">
        <f>ProposedEquipment0!AE33</f>
        <v>0</v>
      </c>
      <c r="AB35" s="223">
        <f>ProposedEquipment0!AF33</f>
        <v>0</v>
      </c>
      <c r="AC35" s="223">
        <f>ProposedEquipment0!AG33</f>
        <v>0</v>
      </c>
      <c r="AD35" s="223">
        <f>ProposedEquipment0!AH33</f>
        <v>0</v>
      </c>
      <c r="AE35" s="334"/>
    </row>
    <row r="36" spans="2:31">
      <c r="B36" s="223" t="str">
        <f>ProposedEquipment0!E34</f>
        <v/>
      </c>
      <c r="C36" s="223">
        <f>ProposedEquipment0!AU34</f>
        <v>0</v>
      </c>
      <c r="D36" s="223" t="str">
        <f>ProposedEquipment0!F34</f>
        <v/>
      </c>
      <c r="E36" s="223">
        <f>ProposedEquipment0!G34</f>
        <v>0</v>
      </c>
      <c r="F36" s="223">
        <f>ProposedEquipment0!BM34</f>
        <v>0</v>
      </c>
      <c r="G36" s="223">
        <f>ProposedEquipment0!BN34</f>
        <v>0</v>
      </c>
      <c r="H36" s="223">
        <f>ProposedEquipment0!BO34</f>
        <v>0</v>
      </c>
      <c r="I36" s="223">
        <f>ProposedEquipment0!BX34</f>
        <v>0</v>
      </c>
      <c r="J36" s="223">
        <f>ProposedEquipment0!BR34</f>
        <v>0</v>
      </c>
      <c r="K36" s="223">
        <f>ProposedEquipment0!BS34</f>
        <v>0</v>
      </c>
      <c r="L36" s="223">
        <f>ProposedEquipment0!BT34</f>
        <v>0</v>
      </c>
      <c r="M36" s="223">
        <f>ProposedEquipment0!BU34</f>
        <v>0</v>
      </c>
      <c r="N36" s="224">
        <f>ProposedEquipment0!AR34</f>
        <v>0</v>
      </c>
      <c r="O36" s="224">
        <f>ProposedEquipment0!AT34</f>
        <v>0</v>
      </c>
      <c r="P36" s="225">
        <f>ProposedEquipment0!I34</f>
        <v>0</v>
      </c>
      <c r="Q36" s="226">
        <f>ProposedEquipment0!J34</f>
        <v>0</v>
      </c>
      <c r="R36" s="225">
        <f>ProposedEquipment0!K34</f>
        <v>0</v>
      </c>
      <c r="S36" s="226">
        <f>ProposedEquipment0!L34</f>
        <v>0</v>
      </c>
      <c r="T36" s="226">
        <f>ProposedEquipment0!M34</f>
        <v>0</v>
      </c>
      <c r="U36" s="223">
        <f>ProposedEquipment0!Y34</f>
        <v>0</v>
      </c>
      <c r="V36" s="223">
        <f>ProposedEquipment0!Z34</f>
        <v>0</v>
      </c>
      <c r="W36" s="223">
        <f>ProposedEquipment0!AA34</f>
        <v>0</v>
      </c>
      <c r="X36" s="223">
        <f>ProposedEquipment0!AB34</f>
        <v>0</v>
      </c>
      <c r="Y36" s="223">
        <f>ProposedEquipment0!AC34</f>
        <v>0</v>
      </c>
      <c r="Z36" s="223">
        <f>ProposedEquipment0!AD34</f>
        <v>0</v>
      </c>
      <c r="AA36" s="223">
        <f>ProposedEquipment0!AE34</f>
        <v>0</v>
      </c>
      <c r="AB36" s="223">
        <f>ProposedEquipment0!AF34</f>
        <v>0</v>
      </c>
      <c r="AC36" s="223">
        <f>ProposedEquipment0!AG34</f>
        <v>0</v>
      </c>
      <c r="AD36" s="223">
        <f>ProposedEquipment0!AH34</f>
        <v>0</v>
      </c>
      <c r="AE36" s="334"/>
    </row>
    <row r="37" spans="2:31">
      <c r="B37" s="223" t="str">
        <f>ProposedEquipment0!E35</f>
        <v/>
      </c>
      <c r="C37" s="223">
        <f>ProposedEquipment0!AU35</f>
        <v>0</v>
      </c>
      <c r="D37" s="223" t="str">
        <f>ProposedEquipment0!F35</f>
        <v/>
      </c>
      <c r="E37" s="223">
        <f>ProposedEquipment0!G35</f>
        <v>0</v>
      </c>
      <c r="F37" s="223">
        <f>ProposedEquipment0!BM35</f>
        <v>0</v>
      </c>
      <c r="G37" s="223">
        <f>ProposedEquipment0!BN35</f>
        <v>0</v>
      </c>
      <c r="H37" s="223">
        <f>ProposedEquipment0!BO35</f>
        <v>0</v>
      </c>
      <c r="I37" s="223">
        <f>ProposedEquipment0!BX35</f>
        <v>0</v>
      </c>
      <c r="J37" s="223">
        <f>ProposedEquipment0!BR35</f>
        <v>0</v>
      </c>
      <c r="K37" s="223">
        <f>ProposedEquipment0!BS35</f>
        <v>0</v>
      </c>
      <c r="L37" s="223">
        <f>ProposedEquipment0!BT35</f>
        <v>0</v>
      </c>
      <c r="M37" s="223">
        <f>ProposedEquipment0!BU35</f>
        <v>0</v>
      </c>
      <c r="N37" s="224">
        <f>ProposedEquipment0!AR35</f>
        <v>0</v>
      </c>
      <c r="O37" s="224">
        <f>ProposedEquipment0!AT35</f>
        <v>0</v>
      </c>
      <c r="P37" s="225">
        <f>ProposedEquipment0!I35</f>
        <v>0</v>
      </c>
      <c r="Q37" s="226">
        <f>ProposedEquipment0!J35</f>
        <v>0</v>
      </c>
      <c r="R37" s="225">
        <f>ProposedEquipment0!K35</f>
        <v>0</v>
      </c>
      <c r="S37" s="226">
        <f>ProposedEquipment0!L35</f>
        <v>0</v>
      </c>
      <c r="T37" s="226">
        <f>ProposedEquipment0!M35</f>
        <v>0</v>
      </c>
      <c r="U37" s="223">
        <f>ProposedEquipment0!Y35</f>
        <v>0</v>
      </c>
      <c r="V37" s="223">
        <f>ProposedEquipment0!Z35</f>
        <v>0</v>
      </c>
      <c r="W37" s="223">
        <f>ProposedEquipment0!AA35</f>
        <v>0</v>
      </c>
      <c r="X37" s="223">
        <f>ProposedEquipment0!AB35</f>
        <v>0</v>
      </c>
      <c r="Y37" s="223">
        <f>ProposedEquipment0!AC35</f>
        <v>0</v>
      </c>
      <c r="Z37" s="223">
        <f>ProposedEquipment0!AD35</f>
        <v>0</v>
      </c>
      <c r="AA37" s="223">
        <f>ProposedEquipment0!AE35</f>
        <v>0</v>
      </c>
      <c r="AB37" s="223">
        <f>ProposedEquipment0!AF35</f>
        <v>0</v>
      </c>
      <c r="AC37" s="223">
        <f>ProposedEquipment0!AG35</f>
        <v>0</v>
      </c>
      <c r="AD37" s="223">
        <f>ProposedEquipment0!AH35</f>
        <v>0</v>
      </c>
      <c r="AE37" s="334"/>
    </row>
    <row r="38" spans="2:31">
      <c r="B38" s="223">
        <f>ProposedEquipment0!E36</f>
        <v>0</v>
      </c>
      <c r="C38" s="223">
        <f>ProposedEquipment0!AU36</f>
        <v>0</v>
      </c>
      <c r="D38" s="223">
        <f>ProposedEquipment0!F36</f>
        <v>0</v>
      </c>
      <c r="E38" s="223">
        <f>ProposedEquipment0!G36</f>
        <v>0</v>
      </c>
      <c r="F38" s="223">
        <f>ProposedEquipment0!BM36</f>
        <v>0</v>
      </c>
      <c r="G38" s="223">
        <f>ProposedEquipment0!BN36</f>
        <v>0</v>
      </c>
      <c r="H38" s="223">
        <f>ProposedEquipment0!BO36</f>
        <v>0</v>
      </c>
      <c r="I38" s="223">
        <f>ProposedEquipment0!BX36</f>
        <v>0</v>
      </c>
      <c r="J38" s="223">
        <f>ProposedEquipment0!BR36</f>
        <v>0</v>
      </c>
      <c r="K38" s="223">
        <f>ProposedEquipment0!BS36</f>
        <v>0</v>
      </c>
      <c r="L38" s="223">
        <f>ProposedEquipment0!BT36</f>
        <v>0</v>
      </c>
      <c r="M38" s="223">
        <f>ProposedEquipment0!BU36</f>
        <v>0</v>
      </c>
      <c r="N38" s="224">
        <f>ProposedEquipment0!AR36</f>
        <v>0</v>
      </c>
      <c r="O38" s="224">
        <f>ProposedEquipment0!AT36</f>
        <v>0</v>
      </c>
      <c r="P38" s="225">
        <f>ProposedEquipment0!I36</f>
        <v>0</v>
      </c>
      <c r="Q38" s="226">
        <f>ProposedEquipment0!J36</f>
        <v>0</v>
      </c>
      <c r="R38" s="225">
        <f>ProposedEquipment0!K36</f>
        <v>0</v>
      </c>
      <c r="S38" s="226">
        <f>ProposedEquipment0!L36</f>
        <v>0</v>
      </c>
      <c r="T38" s="226">
        <f>ProposedEquipment0!M36</f>
        <v>0</v>
      </c>
      <c r="U38" s="223">
        <f>ProposedEquipment0!Y36</f>
        <v>0</v>
      </c>
      <c r="V38" s="223">
        <f>ProposedEquipment0!Z36</f>
        <v>0</v>
      </c>
      <c r="W38" s="223">
        <f>ProposedEquipment0!AA36</f>
        <v>0</v>
      </c>
      <c r="X38" s="223">
        <f>ProposedEquipment0!AB36</f>
        <v>0</v>
      </c>
      <c r="Y38" s="223">
        <f>ProposedEquipment0!AC36</f>
        <v>0</v>
      </c>
      <c r="Z38" s="223">
        <f>ProposedEquipment0!AD36</f>
        <v>0</v>
      </c>
      <c r="AA38" s="223">
        <f>ProposedEquipment0!AE36</f>
        <v>0</v>
      </c>
      <c r="AB38" s="223">
        <f>ProposedEquipment0!AF36</f>
        <v>0</v>
      </c>
      <c r="AC38" s="223">
        <f>ProposedEquipment0!AG36</f>
        <v>0</v>
      </c>
      <c r="AD38" s="223">
        <f>ProposedEquipment0!AH36</f>
        <v>0</v>
      </c>
      <c r="AE38" s="334"/>
    </row>
    <row r="39" spans="2:31">
      <c r="B39" s="223">
        <f>ProposedEquipment0!E37</f>
        <v>0</v>
      </c>
      <c r="C39" s="223">
        <f>ProposedEquipment0!AU37</f>
        <v>0</v>
      </c>
      <c r="D39" s="223">
        <f>ProposedEquipment0!F37</f>
        <v>0</v>
      </c>
      <c r="E39" s="223">
        <f>ProposedEquipment0!G37</f>
        <v>0</v>
      </c>
      <c r="F39" s="223">
        <f>ProposedEquipment0!BM37</f>
        <v>0</v>
      </c>
      <c r="G39" s="223">
        <f>ProposedEquipment0!BN37</f>
        <v>0</v>
      </c>
      <c r="H39" s="223">
        <f>ProposedEquipment0!BO37</f>
        <v>0</v>
      </c>
      <c r="I39" s="223">
        <f>ProposedEquipment0!BX37</f>
        <v>0</v>
      </c>
      <c r="J39" s="223">
        <f>ProposedEquipment0!BR37</f>
        <v>0</v>
      </c>
      <c r="K39" s="223">
        <f>ProposedEquipment0!BS37</f>
        <v>0</v>
      </c>
      <c r="L39" s="223">
        <f>ProposedEquipment0!BT37</f>
        <v>0</v>
      </c>
      <c r="M39" s="223">
        <f>ProposedEquipment0!BU37</f>
        <v>0</v>
      </c>
      <c r="N39" s="224">
        <f>ProposedEquipment0!AR37</f>
        <v>0</v>
      </c>
      <c r="O39" s="224">
        <f>ProposedEquipment0!AT37</f>
        <v>0</v>
      </c>
      <c r="P39" s="225">
        <f>ProposedEquipment0!I37</f>
        <v>0</v>
      </c>
      <c r="Q39" s="226">
        <f>ProposedEquipment0!J37</f>
        <v>0</v>
      </c>
      <c r="R39" s="225">
        <f>ProposedEquipment0!K37</f>
        <v>0</v>
      </c>
      <c r="S39" s="226">
        <f>ProposedEquipment0!L37</f>
        <v>0</v>
      </c>
      <c r="T39" s="226">
        <f>ProposedEquipment0!M37</f>
        <v>0</v>
      </c>
      <c r="U39" s="223">
        <f>ProposedEquipment0!Y37</f>
        <v>0</v>
      </c>
      <c r="V39" s="223">
        <f>ProposedEquipment0!Z37</f>
        <v>0</v>
      </c>
      <c r="W39" s="223">
        <f>ProposedEquipment0!AA37</f>
        <v>0</v>
      </c>
      <c r="X39" s="223">
        <f>ProposedEquipment0!AB37</f>
        <v>0</v>
      </c>
      <c r="Y39" s="223">
        <f>ProposedEquipment0!AC37</f>
        <v>0</v>
      </c>
      <c r="Z39" s="223">
        <f>ProposedEquipment0!AD37</f>
        <v>0</v>
      </c>
      <c r="AA39" s="223">
        <f>ProposedEquipment0!AE37</f>
        <v>0</v>
      </c>
      <c r="AB39" s="223">
        <f>ProposedEquipment0!AF37</f>
        <v>0</v>
      </c>
      <c r="AC39" s="223">
        <f>ProposedEquipment0!AG37</f>
        <v>0</v>
      </c>
      <c r="AD39" s="223">
        <f>ProposedEquipment0!AH37</f>
        <v>0</v>
      </c>
      <c r="AE39" s="334"/>
    </row>
    <row r="40" spans="2:31">
      <c r="B40" s="223">
        <f>ProposedEquipment0!E38</f>
        <v>0</v>
      </c>
      <c r="C40" s="223">
        <f>ProposedEquipment0!AU38</f>
        <v>0</v>
      </c>
      <c r="D40" s="223">
        <f>ProposedEquipment0!F38</f>
        <v>0</v>
      </c>
      <c r="E40" s="223">
        <f>ProposedEquipment0!G38</f>
        <v>0</v>
      </c>
      <c r="F40" s="223">
        <f>ProposedEquipment0!BM38</f>
        <v>0</v>
      </c>
      <c r="G40" s="223">
        <f>ProposedEquipment0!BN38</f>
        <v>0</v>
      </c>
      <c r="H40" s="223">
        <f>ProposedEquipment0!BO38</f>
        <v>0</v>
      </c>
      <c r="I40" s="223">
        <f>ProposedEquipment0!BX38</f>
        <v>0</v>
      </c>
      <c r="J40" s="223">
        <f>ProposedEquipment0!BR38</f>
        <v>0</v>
      </c>
      <c r="K40" s="223">
        <f>ProposedEquipment0!BS38</f>
        <v>0</v>
      </c>
      <c r="L40" s="223">
        <f>ProposedEquipment0!BT38</f>
        <v>0</v>
      </c>
      <c r="M40" s="223">
        <f>ProposedEquipment0!BU38</f>
        <v>0</v>
      </c>
      <c r="N40" s="224">
        <f>ProposedEquipment0!AR38</f>
        <v>0</v>
      </c>
      <c r="O40" s="224">
        <f>ProposedEquipment0!AT38</f>
        <v>0</v>
      </c>
      <c r="P40" s="225">
        <f>ProposedEquipment0!I38</f>
        <v>0</v>
      </c>
      <c r="Q40" s="226">
        <f>ProposedEquipment0!J38</f>
        <v>0</v>
      </c>
      <c r="R40" s="225">
        <f>ProposedEquipment0!K38</f>
        <v>0</v>
      </c>
      <c r="S40" s="226">
        <f>ProposedEquipment0!L38</f>
        <v>0</v>
      </c>
      <c r="T40" s="226">
        <f>ProposedEquipment0!M38</f>
        <v>0</v>
      </c>
      <c r="U40" s="223">
        <f>ProposedEquipment0!Y38</f>
        <v>0</v>
      </c>
      <c r="V40" s="223">
        <f>ProposedEquipment0!Z38</f>
        <v>0</v>
      </c>
      <c r="W40" s="223">
        <f>ProposedEquipment0!AA38</f>
        <v>0</v>
      </c>
      <c r="X40" s="223">
        <f>ProposedEquipment0!AB38</f>
        <v>0</v>
      </c>
      <c r="Y40" s="223">
        <f>ProposedEquipment0!AC38</f>
        <v>0</v>
      </c>
      <c r="Z40" s="223">
        <f>ProposedEquipment0!AD38</f>
        <v>0</v>
      </c>
      <c r="AA40" s="223">
        <f>ProposedEquipment0!AE38</f>
        <v>0</v>
      </c>
      <c r="AB40" s="223">
        <f>ProposedEquipment0!AF38</f>
        <v>0</v>
      </c>
      <c r="AC40" s="223">
        <f>ProposedEquipment0!AG38</f>
        <v>0</v>
      </c>
      <c r="AD40" s="223">
        <f>ProposedEquipment0!AH38</f>
        <v>0</v>
      </c>
      <c r="AE40" s="334"/>
    </row>
    <row r="41" spans="2:31">
      <c r="B41" s="223" t="str">
        <f>ProposedEquipment0!E39</f>
        <v/>
      </c>
      <c r="C41" s="223">
        <f>ProposedEquipment0!AU39</f>
        <v>0</v>
      </c>
      <c r="D41" s="223" t="str">
        <f>ProposedEquipment0!F39</f>
        <v/>
      </c>
      <c r="E41" s="223">
        <f>ProposedEquipment0!G39</f>
        <v>0</v>
      </c>
      <c r="F41" s="223">
        <f>ProposedEquipment0!BM39</f>
        <v>0</v>
      </c>
      <c r="G41" s="223">
        <f>ProposedEquipment0!BN39</f>
        <v>0</v>
      </c>
      <c r="H41" s="223">
        <f>ProposedEquipment0!BO39</f>
        <v>0</v>
      </c>
      <c r="I41" s="223">
        <f>ProposedEquipment0!BX39</f>
        <v>0</v>
      </c>
      <c r="J41" s="223">
        <f>ProposedEquipment0!BR39</f>
        <v>0</v>
      </c>
      <c r="K41" s="223">
        <f>ProposedEquipment0!BS39</f>
        <v>0</v>
      </c>
      <c r="L41" s="223">
        <f>ProposedEquipment0!BT39</f>
        <v>0</v>
      </c>
      <c r="M41" s="223">
        <f>ProposedEquipment0!BU39</f>
        <v>0</v>
      </c>
      <c r="N41" s="224">
        <f>ProposedEquipment0!AR39</f>
        <v>0</v>
      </c>
      <c r="O41" s="224">
        <f>ProposedEquipment0!AT39</f>
        <v>0</v>
      </c>
      <c r="P41" s="225">
        <f>ProposedEquipment0!I39</f>
        <v>0</v>
      </c>
      <c r="Q41" s="226">
        <f>ProposedEquipment0!J39</f>
        <v>0</v>
      </c>
      <c r="R41" s="225">
        <f>ProposedEquipment0!K39</f>
        <v>0</v>
      </c>
      <c r="S41" s="226">
        <f>ProposedEquipment0!L39</f>
        <v>0</v>
      </c>
      <c r="T41" s="226">
        <f>ProposedEquipment0!M39</f>
        <v>0</v>
      </c>
      <c r="U41" s="223">
        <f>ProposedEquipment0!Y39</f>
        <v>0</v>
      </c>
      <c r="V41" s="223">
        <f>ProposedEquipment0!Z39</f>
        <v>0</v>
      </c>
      <c r="W41" s="223">
        <f>ProposedEquipment0!AA39</f>
        <v>0</v>
      </c>
      <c r="X41" s="223">
        <f>ProposedEquipment0!AB39</f>
        <v>0</v>
      </c>
      <c r="Y41" s="223">
        <f>ProposedEquipment0!AC39</f>
        <v>0</v>
      </c>
      <c r="Z41" s="223">
        <f>ProposedEquipment0!AD39</f>
        <v>0</v>
      </c>
      <c r="AA41" s="223">
        <f>ProposedEquipment0!AE39</f>
        <v>0</v>
      </c>
      <c r="AB41" s="223">
        <f>ProposedEquipment0!AF39</f>
        <v>0</v>
      </c>
      <c r="AC41" s="223">
        <f>ProposedEquipment0!AG39</f>
        <v>0</v>
      </c>
      <c r="AD41" s="223">
        <f>ProposedEquipment0!AH39</f>
        <v>0</v>
      </c>
      <c r="AE41" s="334"/>
    </row>
    <row r="42" spans="2:31">
      <c r="B42" s="223">
        <f>ProposedEquipment0!E40</f>
        <v>0</v>
      </c>
      <c r="C42" s="223">
        <f>ProposedEquipment0!AU40</f>
        <v>0</v>
      </c>
      <c r="D42" s="223">
        <f>ProposedEquipment0!F40</f>
        <v>0</v>
      </c>
      <c r="E42" s="223">
        <f>ProposedEquipment0!G40</f>
        <v>0</v>
      </c>
      <c r="F42" s="223">
        <f>ProposedEquipment0!BM40</f>
        <v>0</v>
      </c>
      <c r="G42" s="223">
        <f>ProposedEquipment0!BN40</f>
        <v>0</v>
      </c>
      <c r="H42" s="223">
        <f>ProposedEquipment0!BO40</f>
        <v>0</v>
      </c>
      <c r="I42" s="223">
        <f>ProposedEquipment0!BX40</f>
        <v>0</v>
      </c>
      <c r="J42" s="223">
        <f>ProposedEquipment0!BR40</f>
        <v>0</v>
      </c>
      <c r="K42" s="223">
        <f>ProposedEquipment0!BS40</f>
        <v>0</v>
      </c>
      <c r="L42" s="223">
        <f>ProposedEquipment0!BT40</f>
        <v>0</v>
      </c>
      <c r="M42" s="223">
        <f>ProposedEquipment0!BU40</f>
        <v>0</v>
      </c>
      <c r="N42" s="224">
        <f>ProposedEquipment0!AR40</f>
        <v>0</v>
      </c>
      <c r="O42" s="224">
        <f>ProposedEquipment0!AT40</f>
        <v>0</v>
      </c>
      <c r="P42" s="225">
        <f>ProposedEquipment0!I40</f>
        <v>0</v>
      </c>
      <c r="Q42" s="226">
        <f>ProposedEquipment0!J40</f>
        <v>0</v>
      </c>
      <c r="R42" s="225">
        <f>ProposedEquipment0!K40</f>
        <v>0</v>
      </c>
      <c r="S42" s="226">
        <f>ProposedEquipment0!L40</f>
        <v>0</v>
      </c>
      <c r="T42" s="226">
        <f>ProposedEquipment0!M40</f>
        <v>0</v>
      </c>
      <c r="U42" s="223">
        <f>ProposedEquipment0!Y40</f>
        <v>0</v>
      </c>
      <c r="V42" s="223">
        <f>ProposedEquipment0!Z40</f>
        <v>0</v>
      </c>
      <c r="W42" s="223">
        <f>ProposedEquipment0!AA40</f>
        <v>0</v>
      </c>
      <c r="X42" s="223">
        <f>ProposedEquipment0!AB40</f>
        <v>0</v>
      </c>
      <c r="Y42" s="223">
        <f>ProposedEquipment0!AC40</f>
        <v>0</v>
      </c>
      <c r="Z42" s="223">
        <f>ProposedEquipment0!AD40</f>
        <v>0</v>
      </c>
      <c r="AA42" s="223">
        <f>ProposedEquipment0!AE40</f>
        <v>0</v>
      </c>
      <c r="AB42" s="223">
        <f>ProposedEquipment0!AF40</f>
        <v>0</v>
      </c>
      <c r="AC42" s="223">
        <f>ProposedEquipment0!AG40</f>
        <v>0</v>
      </c>
      <c r="AD42" s="223">
        <f>ProposedEquipment0!AH40</f>
        <v>0</v>
      </c>
      <c r="AE42" s="334"/>
    </row>
    <row r="43" spans="2:31">
      <c r="B43" s="223" t="str">
        <f>ProposedEquipment0!E42</f>
        <v/>
      </c>
      <c r="C43" s="223">
        <f>ProposedEquipment0!AU42</f>
        <v>0</v>
      </c>
      <c r="D43" s="223" t="str">
        <f>ProposedEquipment0!F42</f>
        <v/>
      </c>
      <c r="E43" s="223">
        <f>ProposedEquipment0!G42</f>
        <v>0</v>
      </c>
      <c r="F43" s="223"/>
      <c r="G43" s="223"/>
      <c r="H43" s="223"/>
      <c r="I43" s="223"/>
      <c r="J43" s="223"/>
      <c r="K43" s="223"/>
      <c r="L43" s="223"/>
      <c r="M43" s="223"/>
      <c r="N43" s="224">
        <f>ProposedEquipment0!AR42</f>
        <v>0</v>
      </c>
      <c r="O43" s="224"/>
      <c r="P43" s="225">
        <f>ProposedEquipment0!I42</f>
        <v>0</v>
      </c>
      <c r="Q43" s="226">
        <f>ProposedEquipment0!J42</f>
        <v>0</v>
      </c>
      <c r="R43" s="225">
        <f>ProposedEquipment0!K42</f>
        <v>0</v>
      </c>
      <c r="S43" s="226">
        <f>ProposedEquipment0!L42</f>
        <v>0</v>
      </c>
      <c r="T43" s="226">
        <f>ProposedEquipment0!M42</f>
        <v>0</v>
      </c>
      <c r="U43" s="223">
        <f>ProposedEquipment0!Y42</f>
        <v>0</v>
      </c>
      <c r="V43" s="223">
        <f>ProposedEquipment0!Z42</f>
        <v>0</v>
      </c>
      <c r="W43" s="223">
        <f>ProposedEquipment0!AA42</f>
        <v>0</v>
      </c>
      <c r="X43" s="223">
        <f>ProposedEquipment0!AB42</f>
        <v>0</v>
      </c>
      <c r="Y43" s="223">
        <f>ProposedEquipment0!AC42</f>
        <v>0</v>
      </c>
      <c r="Z43" s="223">
        <f>ProposedEquipment0!AD42</f>
        <v>0</v>
      </c>
      <c r="AA43" s="223">
        <f>ProposedEquipment0!AE42</f>
        <v>0</v>
      </c>
      <c r="AB43" s="223">
        <f>ProposedEquipment0!AF42</f>
        <v>0</v>
      </c>
      <c r="AC43" s="223">
        <f>ProposedEquipment0!AG42</f>
        <v>0</v>
      </c>
      <c r="AD43" s="223">
        <f>ProposedEquipment0!AH42</f>
        <v>0</v>
      </c>
      <c r="AE43" s="334"/>
    </row>
    <row r="44" spans="2:31">
      <c r="B44" s="223" t="str">
        <f>ProposedEquipment0!E43</f>
        <v/>
      </c>
      <c r="C44" s="223">
        <f>ProposedEquipment0!AU43</f>
        <v>0</v>
      </c>
      <c r="D44" s="223" t="str">
        <f>ProposedEquipment0!F43</f>
        <v/>
      </c>
      <c r="E44" s="223">
        <f>ProposedEquipment0!G43</f>
        <v>0</v>
      </c>
      <c r="F44" s="223"/>
      <c r="G44" s="223"/>
      <c r="H44" s="223"/>
      <c r="I44" s="223"/>
      <c r="J44" s="223"/>
      <c r="K44" s="223"/>
      <c r="L44" s="223"/>
      <c r="M44" s="223"/>
      <c r="N44" s="224">
        <f>ProposedEquipment0!AR43</f>
        <v>0</v>
      </c>
      <c r="O44" s="224"/>
      <c r="P44" s="225">
        <f>ProposedEquipment0!I43</f>
        <v>0</v>
      </c>
      <c r="Q44" s="226">
        <f>ProposedEquipment0!J43</f>
        <v>0</v>
      </c>
      <c r="R44" s="225">
        <f>ProposedEquipment0!K43</f>
        <v>0</v>
      </c>
      <c r="S44" s="226">
        <f>ProposedEquipment0!L43</f>
        <v>0</v>
      </c>
      <c r="T44" s="226">
        <f>ProposedEquipment0!M43</f>
        <v>0</v>
      </c>
      <c r="U44" s="223">
        <f>ProposedEquipment0!Y43</f>
        <v>0</v>
      </c>
      <c r="V44" s="223">
        <f>ProposedEquipment0!Z43</f>
        <v>0</v>
      </c>
      <c r="W44" s="223">
        <f>ProposedEquipment0!AA43</f>
        <v>0</v>
      </c>
      <c r="X44" s="223">
        <f>ProposedEquipment0!AB43</f>
        <v>0</v>
      </c>
      <c r="Y44" s="223">
        <f>ProposedEquipment0!AC43</f>
        <v>0</v>
      </c>
      <c r="Z44" s="223">
        <f>ProposedEquipment0!AD43</f>
        <v>0</v>
      </c>
      <c r="AA44" s="223">
        <f>ProposedEquipment0!AE43</f>
        <v>0</v>
      </c>
      <c r="AB44" s="223">
        <f>ProposedEquipment0!AF43</f>
        <v>0</v>
      </c>
      <c r="AC44" s="223">
        <f>ProposedEquipment0!AG43</f>
        <v>0</v>
      </c>
      <c r="AD44" s="223">
        <f>ProposedEquipment0!AH43</f>
        <v>0</v>
      </c>
      <c r="AE44" s="334"/>
    </row>
    <row r="45" spans="2:31">
      <c r="B45" s="223" t="str">
        <f>ProposedEquipment0!E44</f>
        <v/>
      </c>
      <c r="C45" s="223">
        <f>ProposedEquipment0!AU44</f>
        <v>0</v>
      </c>
      <c r="D45" s="223" t="str">
        <f>ProposedEquipment0!F44</f>
        <v/>
      </c>
      <c r="E45" s="223">
        <f>ProposedEquipment0!G44</f>
        <v>0</v>
      </c>
      <c r="F45" s="223"/>
      <c r="G45" s="223"/>
      <c r="H45" s="223"/>
      <c r="I45" s="223"/>
      <c r="J45" s="223"/>
      <c r="K45" s="223"/>
      <c r="L45" s="223"/>
      <c r="M45" s="223"/>
      <c r="N45" s="224">
        <f>ProposedEquipment0!AR44</f>
        <v>0</v>
      </c>
      <c r="O45" s="224"/>
      <c r="P45" s="225">
        <f>ProposedEquipment0!I44</f>
        <v>0</v>
      </c>
      <c r="Q45" s="226">
        <f>ProposedEquipment0!J44</f>
        <v>0</v>
      </c>
      <c r="R45" s="225">
        <f>ProposedEquipment0!K44</f>
        <v>0</v>
      </c>
      <c r="S45" s="226">
        <f>ProposedEquipment0!L44</f>
        <v>0</v>
      </c>
      <c r="T45" s="226">
        <f>ProposedEquipment0!M44</f>
        <v>0</v>
      </c>
      <c r="U45" s="223">
        <f>ProposedEquipment0!Y44</f>
        <v>0</v>
      </c>
      <c r="V45" s="223">
        <f>ProposedEquipment0!Z44</f>
        <v>0</v>
      </c>
      <c r="W45" s="223">
        <f>ProposedEquipment0!AA44</f>
        <v>0</v>
      </c>
      <c r="X45" s="223">
        <f>ProposedEquipment0!AB44</f>
        <v>0</v>
      </c>
      <c r="Y45" s="223">
        <f>ProposedEquipment0!AC44</f>
        <v>0</v>
      </c>
      <c r="Z45" s="223">
        <f>ProposedEquipment0!AD44</f>
        <v>0</v>
      </c>
      <c r="AA45" s="223">
        <f>ProposedEquipment0!AE44</f>
        <v>0</v>
      </c>
      <c r="AB45" s="223">
        <f>ProposedEquipment0!AF44</f>
        <v>0</v>
      </c>
      <c r="AC45" s="223">
        <f>ProposedEquipment0!AG44</f>
        <v>0</v>
      </c>
      <c r="AD45" s="223">
        <f>ProposedEquipment0!AH44</f>
        <v>0</v>
      </c>
      <c r="AE45" s="334"/>
    </row>
    <row r="46" spans="2:31">
      <c r="B46" s="223" t="str">
        <f>ProposedEquipment0!E45</f>
        <v/>
      </c>
      <c r="C46" s="223">
        <f>ProposedEquipment0!AU45</f>
        <v>0</v>
      </c>
      <c r="D46" s="223" t="str">
        <f>ProposedEquipment0!F45</f>
        <v/>
      </c>
      <c r="E46" s="223">
        <f>ProposedEquipment0!G45</f>
        <v>0</v>
      </c>
      <c r="F46" s="223"/>
      <c r="G46" s="223"/>
      <c r="H46" s="223"/>
      <c r="I46" s="223"/>
      <c r="J46" s="223"/>
      <c r="K46" s="223"/>
      <c r="L46" s="223"/>
      <c r="M46" s="223"/>
      <c r="N46" s="224">
        <f>ProposedEquipment0!AR45</f>
        <v>0</v>
      </c>
      <c r="O46" s="224"/>
      <c r="P46" s="225">
        <f>ProposedEquipment0!I45</f>
        <v>0</v>
      </c>
      <c r="Q46" s="226">
        <f>ProposedEquipment0!J45</f>
        <v>0</v>
      </c>
      <c r="R46" s="225">
        <f>ProposedEquipment0!K45</f>
        <v>0</v>
      </c>
      <c r="S46" s="226">
        <f>ProposedEquipment0!L45</f>
        <v>0</v>
      </c>
      <c r="T46" s="226">
        <f>ProposedEquipment0!M45</f>
        <v>0</v>
      </c>
      <c r="U46" s="223">
        <f>ProposedEquipment0!Y45</f>
        <v>0</v>
      </c>
      <c r="V46" s="223">
        <f>ProposedEquipment0!Z45</f>
        <v>0</v>
      </c>
      <c r="W46" s="223">
        <f>ProposedEquipment0!AA45</f>
        <v>0</v>
      </c>
      <c r="X46" s="223">
        <f>ProposedEquipment0!AB45</f>
        <v>0</v>
      </c>
      <c r="Y46" s="223">
        <f>ProposedEquipment0!AC45</f>
        <v>0</v>
      </c>
      <c r="Z46" s="223">
        <f>ProposedEquipment0!AD45</f>
        <v>0</v>
      </c>
      <c r="AA46" s="223">
        <f>ProposedEquipment0!AE45</f>
        <v>0</v>
      </c>
      <c r="AB46" s="223">
        <f>ProposedEquipment0!AF45</f>
        <v>0</v>
      </c>
      <c r="AC46" s="223">
        <f>ProposedEquipment0!AG45</f>
        <v>0</v>
      </c>
      <c r="AD46" s="223">
        <f>ProposedEquipment0!AH45</f>
        <v>0</v>
      </c>
      <c r="AE46" s="334"/>
    </row>
    <row r="47" spans="2:31">
      <c r="B47" s="223">
        <f>ProposedEquipment0!E46</f>
        <v>0</v>
      </c>
      <c r="C47" s="223">
        <f>ProposedEquipment0!AU46</f>
        <v>0</v>
      </c>
      <c r="D47" s="223">
        <f>ProposedEquipment0!F46</f>
        <v>0</v>
      </c>
      <c r="E47" s="223">
        <f>ProposedEquipment0!G46</f>
        <v>0</v>
      </c>
      <c r="F47" s="223"/>
      <c r="G47" s="223"/>
      <c r="H47" s="223"/>
      <c r="I47" s="223"/>
      <c r="J47" s="223"/>
      <c r="K47" s="223"/>
      <c r="L47" s="223"/>
      <c r="M47" s="223"/>
      <c r="N47" s="224">
        <f>ProposedEquipment0!AR46</f>
        <v>0</v>
      </c>
      <c r="O47" s="224"/>
      <c r="P47" s="225">
        <f>ProposedEquipment0!I46</f>
        <v>0</v>
      </c>
      <c r="Q47" s="226">
        <f>ProposedEquipment0!J46</f>
        <v>0</v>
      </c>
      <c r="R47" s="225">
        <f>ProposedEquipment0!K46</f>
        <v>0</v>
      </c>
      <c r="S47" s="226">
        <f>ProposedEquipment0!L46</f>
        <v>0</v>
      </c>
      <c r="T47" s="226">
        <f>ProposedEquipment0!M46</f>
        <v>0</v>
      </c>
      <c r="U47" s="223">
        <f>ProposedEquipment0!Y46</f>
        <v>0</v>
      </c>
      <c r="V47" s="223">
        <f>ProposedEquipment0!Z46</f>
        <v>0</v>
      </c>
      <c r="W47" s="223">
        <f>ProposedEquipment0!AA46</f>
        <v>0</v>
      </c>
      <c r="X47" s="223">
        <f>ProposedEquipment0!AB46</f>
        <v>0</v>
      </c>
      <c r="Y47" s="223">
        <f>ProposedEquipment0!AC46</f>
        <v>0</v>
      </c>
      <c r="Z47" s="223">
        <f>ProposedEquipment0!AD46</f>
        <v>0</v>
      </c>
      <c r="AA47" s="223">
        <f>ProposedEquipment0!AE46</f>
        <v>0</v>
      </c>
      <c r="AB47" s="223">
        <f>ProposedEquipment0!AF46</f>
        <v>0</v>
      </c>
      <c r="AC47" s="223">
        <f>ProposedEquipment0!AG46</f>
        <v>0</v>
      </c>
      <c r="AD47" s="223">
        <f>ProposedEquipment0!AH46</f>
        <v>0</v>
      </c>
      <c r="AE47" s="334"/>
    </row>
    <row r="48" spans="2:31">
      <c r="B48" s="223">
        <f>ProposedEquipment0!E47</f>
        <v>0</v>
      </c>
      <c r="C48" s="223">
        <f>ProposedEquipment0!AU47</f>
        <v>0</v>
      </c>
      <c r="D48" s="223">
        <f>ProposedEquipment0!F47</f>
        <v>0</v>
      </c>
      <c r="E48" s="223">
        <f>ProposedEquipment0!G47</f>
        <v>0</v>
      </c>
      <c r="F48" s="223"/>
      <c r="G48" s="223"/>
      <c r="H48" s="223"/>
      <c r="I48" s="223"/>
      <c r="J48" s="223"/>
      <c r="K48" s="223"/>
      <c r="L48" s="223"/>
      <c r="M48" s="223"/>
      <c r="N48" s="224">
        <f>ProposedEquipment0!AR47</f>
        <v>0</v>
      </c>
      <c r="O48" s="224"/>
      <c r="P48" s="225">
        <f>ProposedEquipment0!I47</f>
        <v>0</v>
      </c>
      <c r="Q48" s="226">
        <f>ProposedEquipment0!J47</f>
        <v>0</v>
      </c>
      <c r="R48" s="225">
        <f>ProposedEquipment0!K47</f>
        <v>0</v>
      </c>
      <c r="S48" s="226">
        <f>ProposedEquipment0!L47</f>
        <v>0</v>
      </c>
      <c r="T48" s="226">
        <f>ProposedEquipment0!M47</f>
        <v>0</v>
      </c>
      <c r="U48" s="223">
        <f>ProposedEquipment0!Y47</f>
        <v>0</v>
      </c>
      <c r="V48" s="223">
        <f>ProposedEquipment0!Z47</f>
        <v>0</v>
      </c>
      <c r="W48" s="223">
        <f>ProposedEquipment0!AA47</f>
        <v>0</v>
      </c>
      <c r="X48" s="223">
        <f>ProposedEquipment0!AB47</f>
        <v>0</v>
      </c>
      <c r="Y48" s="223">
        <f>ProposedEquipment0!AC47</f>
        <v>0</v>
      </c>
      <c r="Z48" s="223">
        <f>ProposedEquipment0!AD47</f>
        <v>0</v>
      </c>
      <c r="AA48" s="223">
        <f>ProposedEquipment0!AE47</f>
        <v>0</v>
      </c>
      <c r="AB48" s="223">
        <f>ProposedEquipment0!AF47</f>
        <v>0</v>
      </c>
      <c r="AC48" s="223">
        <f>ProposedEquipment0!AG47</f>
        <v>0</v>
      </c>
      <c r="AD48" s="223">
        <f>ProposedEquipment0!AH47</f>
        <v>0</v>
      </c>
      <c r="AE48" s="334"/>
    </row>
    <row r="49" spans="2:31">
      <c r="B49" s="223">
        <f>ProposedEquipment0!E48</f>
        <v>0</v>
      </c>
      <c r="C49" s="223">
        <f>ProposedEquipment0!AU48</f>
        <v>0</v>
      </c>
      <c r="D49" s="223">
        <f>ProposedEquipment0!F48</f>
        <v>0</v>
      </c>
      <c r="E49" s="223">
        <f>ProposedEquipment0!G48</f>
        <v>0</v>
      </c>
      <c r="F49" s="223"/>
      <c r="G49" s="223"/>
      <c r="H49" s="223"/>
      <c r="I49" s="223"/>
      <c r="J49" s="223"/>
      <c r="K49" s="223"/>
      <c r="L49" s="223"/>
      <c r="M49" s="223"/>
      <c r="N49" s="224">
        <f>ProposedEquipment0!AR48</f>
        <v>0</v>
      </c>
      <c r="O49" s="224"/>
      <c r="P49" s="225">
        <f>ProposedEquipment0!I48</f>
        <v>0</v>
      </c>
      <c r="Q49" s="226">
        <f>ProposedEquipment0!J48</f>
        <v>0</v>
      </c>
      <c r="R49" s="225">
        <f>ProposedEquipment0!K48</f>
        <v>0</v>
      </c>
      <c r="S49" s="226">
        <f>ProposedEquipment0!L48</f>
        <v>0</v>
      </c>
      <c r="T49" s="226">
        <f>ProposedEquipment0!M48</f>
        <v>0</v>
      </c>
      <c r="U49" s="223">
        <f>ProposedEquipment0!Y48</f>
        <v>0</v>
      </c>
      <c r="V49" s="223">
        <f>ProposedEquipment0!Z48</f>
        <v>0</v>
      </c>
      <c r="W49" s="223">
        <f>ProposedEquipment0!AA48</f>
        <v>0</v>
      </c>
      <c r="X49" s="223">
        <f>ProposedEquipment0!AB48</f>
        <v>0</v>
      </c>
      <c r="Y49" s="223">
        <f>ProposedEquipment0!AC48</f>
        <v>0</v>
      </c>
      <c r="Z49" s="223">
        <f>ProposedEquipment0!AD48</f>
        <v>0</v>
      </c>
      <c r="AA49" s="223">
        <f>ProposedEquipment0!AE48</f>
        <v>0</v>
      </c>
      <c r="AB49" s="223">
        <f>ProposedEquipment0!AF48</f>
        <v>0</v>
      </c>
      <c r="AC49" s="223">
        <f>ProposedEquipment0!AG48</f>
        <v>0</v>
      </c>
      <c r="AD49" s="223">
        <f>ProposedEquipment0!AH48</f>
        <v>0</v>
      </c>
      <c r="AE49" s="334"/>
    </row>
    <row r="50" spans="2:31">
      <c r="B50" s="223">
        <f>ProposedEquipment0!E49</f>
        <v>0</v>
      </c>
      <c r="C50" s="223">
        <f>ProposedEquipment0!AU49</f>
        <v>0</v>
      </c>
      <c r="D50" s="223">
        <f>ProposedEquipment0!F49</f>
        <v>0</v>
      </c>
      <c r="E50" s="223">
        <f>ProposedEquipment0!G49</f>
        <v>0</v>
      </c>
      <c r="F50" s="223"/>
      <c r="G50" s="223"/>
      <c r="H50" s="223"/>
      <c r="I50" s="223"/>
      <c r="J50" s="223"/>
      <c r="K50" s="223"/>
      <c r="L50" s="223"/>
      <c r="M50" s="223"/>
      <c r="N50" s="224">
        <f>ProposedEquipment0!AR49</f>
        <v>0</v>
      </c>
      <c r="O50" s="224"/>
      <c r="P50" s="225">
        <f>ProposedEquipment0!I49</f>
        <v>0</v>
      </c>
      <c r="Q50" s="226">
        <f>ProposedEquipment0!J49</f>
        <v>0</v>
      </c>
      <c r="R50" s="225">
        <f>ProposedEquipment0!K49</f>
        <v>0</v>
      </c>
      <c r="S50" s="226">
        <f>ProposedEquipment0!L49</f>
        <v>0</v>
      </c>
      <c r="T50" s="226">
        <f>ProposedEquipment0!M49</f>
        <v>0</v>
      </c>
      <c r="U50" s="223">
        <f>ProposedEquipment0!Y49</f>
        <v>0</v>
      </c>
      <c r="V50" s="223">
        <f>ProposedEquipment0!Z49</f>
        <v>0</v>
      </c>
      <c r="W50" s="223">
        <f>ProposedEquipment0!AA49</f>
        <v>0</v>
      </c>
      <c r="X50" s="223">
        <f>ProposedEquipment0!AB49</f>
        <v>0</v>
      </c>
      <c r="Y50" s="223">
        <f>ProposedEquipment0!AC49</f>
        <v>0</v>
      </c>
      <c r="Z50" s="223">
        <f>ProposedEquipment0!AD49</f>
        <v>0</v>
      </c>
      <c r="AA50" s="223">
        <f>ProposedEquipment0!AE49</f>
        <v>0</v>
      </c>
      <c r="AB50" s="223">
        <f>ProposedEquipment0!AF49</f>
        <v>0</v>
      </c>
      <c r="AC50" s="223">
        <f>ProposedEquipment0!AG49</f>
        <v>0</v>
      </c>
      <c r="AD50" s="223">
        <f>ProposedEquipment0!AH49</f>
        <v>0</v>
      </c>
      <c r="AE50" s="334"/>
    </row>
    <row r="51" spans="2:31">
      <c r="B51" s="223">
        <f>ProposedEquipment0!E50</f>
        <v>0</v>
      </c>
      <c r="C51" s="223">
        <f>ProposedEquipment0!AU50</f>
        <v>0</v>
      </c>
      <c r="D51" s="223">
        <f>ProposedEquipment0!F50</f>
        <v>0</v>
      </c>
      <c r="E51" s="223">
        <f>ProposedEquipment0!G50</f>
        <v>0</v>
      </c>
      <c r="F51" s="223"/>
      <c r="G51" s="223"/>
      <c r="H51" s="223"/>
      <c r="I51" s="223"/>
      <c r="J51" s="223"/>
      <c r="K51" s="223"/>
      <c r="L51" s="223"/>
      <c r="M51" s="223"/>
      <c r="N51" s="224">
        <f>ProposedEquipment0!AR50</f>
        <v>0</v>
      </c>
      <c r="O51" s="224"/>
      <c r="P51" s="225">
        <f>ProposedEquipment0!I50</f>
        <v>0</v>
      </c>
      <c r="Q51" s="226">
        <f>ProposedEquipment0!J50</f>
        <v>0</v>
      </c>
      <c r="R51" s="225">
        <f>ProposedEquipment0!K50</f>
        <v>0</v>
      </c>
      <c r="S51" s="226">
        <f>ProposedEquipment0!L50</f>
        <v>0</v>
      </c>
      <c r="T51" s="226">
        <f>ProposedEquipment0!M50</f>
        <v>0</v>
      </c>
      <c r="U51" s="223">
        <f>ProposedEquipment0!Y50</f>
        <v>0</v>
      </c>
      <c r="V51" s="223">
        <f>ProposedEquipment0!Z50</f>
        <v>0</v>
      </c>
      <c r="W51" s="223">
        <f>ProposedEquipment0!AA50</f>
        <v>0</v>
      </c>
      <c r="X51" s="223">
        <f>ProposedEquipment0!AB50</f>
        <v>0</v>
      </c>
      <c r="Y51" s="223">
        <f>ProposedEquipment0!AC50</f>
        <v>0</v>
      </c>
      <c r="Z51" s="223">
        <f>ProposedEquipment0!AD50</f>
        <v>0</v>
      </c>
      <c r="AA51" s="223">
        <f>ProposedEquipment0!AE50</f>
        <v>0</v>
      </c>
      <c r="AB51" s="223">
        <f>ProposedEquipment0!AF50</f>
        <v>0</v>
      </c>
      <c r="AC51" s="223">
        <f>ProposedEquipment0!AG50</f>
        <v>0</v>
      </c>
      <c r="AD51" s="223">
        <f>ProposedEquipment0!AH50</f>
        <v>0</v>
      </c>
      <c r="AE51" s="334"/>
    </row>
    <row r="52" spans="2:31">
      <c r="B52" s="223">
        <f>ProposedEquipment0!E51</f>
        <v>0</v>
      </c>
      <c r="C52" s="223">
        <f>ProposedEquipment0!AU51</f>
        <v>0</v>
      </c>
      <c r="D52" s="223">
        <f>ProposedEquipment0!F51</f>
        <v>0</v>
      </c>
      <c r="E52" s="223">
        <f>ProposedEquipment0!G51</f>
        <v>0</v>
      </c>
      <c r="F52" s="223"/>
      <c r="G52" s="223"/>
      <c r="H52" s="223"/>
      <c r="I52" s="223"/>
      <c r="J52" s="223"/>
      <c r="K52" s="223"/>
      <c r="L52" s="223"/>
      <c r="M52" s="223"/>
      <c r="N52" s="224">
        <f>ProposedEquipment0!AR51</f>
        <v>0</v>
      </c>
      <c r="O52" s="224"/>
      <c r="P52" s="225">
        <f>ProposedEquipment0!I51</f>
        <v>0</v>
      </c>
      <c r="Q52" s="226">
        <f>ProposedEquipment0!J51</f>
        <v>0</v>
      </c>
      <c r="R52" s="225">
        <f>ProposedEquipment0!K51</f>
        <v>0</v>
      </c>
      <c r="S52" s="226">
        <f>ProposedEquipment0!L51</f>
        <v>0</v>
      </c>
      <c r="T52" s="226">
        <f>ProposedEquipment0!M51</f>
        <v>0</v>
      </c>
      <c r="U52" s="223">
        <f>ProposedEquipment0!Y51</f>
        <v>0</v>
      </c>
      <c r="V52" s="223">
        <f>ProposedEquipment0!Z51</f>
        <v>0</v>
      </c>
      <c r="W52" s="223">
        <f>ProposedEquipment0!AA51</f>
        <v>0</v>
      </c>
      <c r="X52" s="223">
        <f>ProposedEquipment0!AB51</f>
        <v>0</v>
      </c>
      <c r="Y52" s="223">
        <f>ProposedEquipment0!AC51</f>
        <v>0</v>
      </c>
      <c r="Z52" s="223">
        <f>ProposedEquipment0!AD51</f>
        <v>0</v>
      </c>
      <c r="AA52" s="223">
        <f>ProposedEquipment0!AE51</f>
        <v>0</v>
      </c>
      <c r="AB52" s="223">
        <f>ProposedEquipment0!AF51</f>
        <v>0</v>
      </c>
      <c r="AC52" s="223">
        <f>ProposedEquipment0!AG51</f>
        <v>0</v>
      </c>
      <c r="AD52" s="223">
        <f>ProposedEquipment0!AH51</f>
        <v>0</v>
      </c>
      <c r="AE52" s="334"/>
    </row>
    <row r="53" spans="2:31">
      <c r="B53" s="223">
        <f>ProposedEquipment0!E52</f>
        <v>0</v>
      </c>
      <c r="C53" s="223">
        <f>ProposedEquipment0!AU52</f>
        <v>0</v>
      </c>
      <c r="D53" s="223">
        <f>ProposedEquipment0!F52</f>
        <v>0</v>
      </c>
      <c r="E53" s="223">
        <f>ProposedEquipment0!G52</f>
        <v>0</v>
      </c>
      <c r="F53" s="223"/>
      <c r="G53" s="223"/>
      <c r="H53" s="223"/>
      <c r="I53" s="223"/>
      <c r="J53" s="223"/>
      <c r="K53" s="223"/>
      <c r="L53" s="223"/>
      <c r="M53" s="223"/>
      <c r="N53" s="224">
        <f>ProposedEquipment0!AR52</f>
        <v>0</v>
      </c>
      <c r="O53" s="224"/>
      <c r="P53" s="225">
        <f>ProposedEquipment0!I52</f>
        <v>0</v>
      </c>
      <c r="Q53" s="226">
        <f>ProposedEquipment0!J52</f>
        <v>0</v>
      </c>
      <c r="R53" s="225">
        <f>ProposedEquipment0!K52</f>
        <v>0</v>
      </c>
      <c r="S53" s="226">
        <f>ProposedEquipment0!L52</f>
        <v>0</v>
      </c>
      <c r="T53" s="226">
        <f>ProposedEquipment0!M52</f>
        <v>0</v>
      </c>
      <c r="U53" s="223">
        <f>ProposedEquipment0!Y52</f>
        <v>0</v>
      </c>
      <c r="V53" s="223">
        <f>ProposedEquipment0!Z52</f>
        <v>0</v>
      </c>
      <c r="W53" s="223">
        <f>ProposedEquipment0!AA52</f>
        <v>0</v>
      </c>
      <c r="X53" s="223">
        <f>ProposedEquipment0!AB52</f>
        <v>0</v>
      </c>
      <c r="Y53" s="223">
        <f>ProposedEquipment0!AC52</f>
        <v>0</v>
      </c>
      <c r="Z53" s="223">
        <f>ProposedEquipment0!AD52</f>
        <v>0</v>
      </c>
      <c r="AA53" s="223">
        <f>ProposedEquipment0!AE52</f>
        <v>0</v>
      </c>
      <c r="AB53" s="223">
        <f>ProposedEquipment0!AF52</f>
        <v>0</v>
      </c>
      <c r="AC53" s="223">
        <f>ProposedEquipment0!AG52</f>
        <v>0</v>
      </c>
      <c r="AD53" s="223">
        <f>ProposedEquipment0!AH52</f>
        <v>0</v>
      </c>
      <c r="AE53" s="334"/>
    </row>
    <row r="54" spans="2:31">
      <c r="B54" s="223">
        <f>ProposedEquipment0!E54</f>
        <v>0</v>
      </c>
      <c r="C54" s="223">
        <f>ProposedEquipment0!AU54</f>
        <v>0</v>
      </c>
      <c r="D54" s="223">
        <f>ProposedEquipment0!F54</f>
        <v>0</v>
      </c>
      <c r="E54" s="223">
        <f>ProposedEquipment0!G54</f>
        <v>0</v>
      </c>
      <c r="F54" s="223"/>
      <c r="G54" s="223"/>
      <c r="H54" s="223"/>
      <c r="I54" s="223"/>
      <c r="J54" s="223"/>
      <c r="K54" s="223"/>
      <c r="L54" s="223"/>
      <c r="M54" s="223"/>
      <c r="N54" s="224">
        <f>ProposedEquipment0!AR54</f>
        <v>0</v>
      </c>
      <c r="O54" s="224"/>
      <c r="P54" s="225">
        <f>ProposedEquipment0!I54</f>
        <v>0</v>
      </c>
      <c r="Q54" s="226">
        <f>ProposedEquipment0!J54</f>
        <v>0</v>
      </c>
      <c r="R54" s="225">
        <f>ProposedEquipment0!K54</f>
        <v>0</v>
      </c>
      <c r="S54" s="226">
        <f>ProposedEquipment0!L54</f>
        <v>0</v>
      </c>
      <c r="T54" s="226">
        <f>ProposedEquipment0!M54</f>
        <v>0</v>
      </c>
      <c r="U54" s="223">
        <f>ProposedEquipment0!Y54</f>
        <v>0</v>
      </c>
      <c r="V54" s="223">
        <f>ProposedEquipment0!Z54</f>
        <v>0</v>
      </c>
      <c r="W54" s="223">
        <f>ProposedEquipment0!AA54</f>
        <v>0</v>
      </c>
      <c r="X54" s="223">
        <f>ProposedEquipment0!AB54</f>
        <v>0</v>
      </c>
      <c r="Y54" s="223">
        <f>ProposedEquipment0!AC54</f>
        <v>0</v>
      </c>
      <c r="Z54" s="223">
        <f>ProposedEquipment0!AD54</f>
        <v>0</v>
      </c>
      <c r="AA54" s="223">
        <f>ProposedEquipment0!AE54</f>
        <v>0</v>
      </c>
      <c r="AB54" s="223">
        <f>ProposedEquipment0!AF54</f>
        <v>0</v>
      </c>
      <c r="AC54" s="223">
        <f>ProposedEquipment0!AG54</f>
        <v>0</v>
      </c>
      <c r="AD54" s="223">
        <f>ProposedEquipment0!AH54</f>
        <v>0</v>
      </c>
      <c r="AE54" s="334"/>
    </row>
  </sheetData>
  <sheetProtection password="A36A" sheet="1" objects="1" scenarios="1"/>
  <conditionalFormatting sqref="B3:AD25 B32:AD54">
    <cfRule type="expression" dxfId="2" priority="82" stopIfTrue="1">
      <formula>$A$1=1118</formula>
    </cfRule>
  </conditionalFormatting>
  <conditionalFormatting sqref="AE3 AE32">
    <cfRule type="expression" dxfId="1" priority="1">
      <formula>$A$1=1118</formula>
    </cfRule>
  </conditionalFormatting>
  <conditionalFormatting sqref="AE4:AE25 AE33:AE54">
    <cfRule type="expression" dxfId="0" priority="2">
      <formula>$A$1=1118</formula>
    </cfRule>
  </conditionalFormatting>
  <pageMargins left="0.7" right="0.7" top="0.75" bottom="0.75" header="0.3" footer="0.3"/>
  <pageSetup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9B3446-1A79-400E-BA1A-A531AC02012D}">
  <sheetPr codeName="Sheet39">
    <tabColor rgb="FF00B050"/>
    <pageSetUpPr fitToPage="1"/>
  </sheetPr>
  <dimension ref="A1:N104"/>
  <sheetViews>
    <sheetView showGridLines="0" zoomScaleNormal="100" workbookViewId="0"/>
  </sheetViews>
  <sheetFormatPr defaultColWidth="0" defaultRowHeight="16.5" customHeight="1" zeroHeight="1"/>
  <cols>
    <col min="1" max="1" width="2" style="157" customWidth="1"/>
    <col min="2" max="2" width="13.54296875" style="157" customWidth="1"/>
    <col min="3" max="3" width="15.26953125" style="157" customWidth="1"/>
    <col min="4" max="11" width="13.54296875" style="157" customWidth="1"/>
    <col min="12" max="12" width="2" style="157" customWidth="1"/>
    <col min="13" max="13" width="0" style="157" hidden="1" customWidth="1"/>
    <col min="14" max="16384" width="8.81640625" style="157" hidden="1"/>
  </cols>
  <sheetData>
    <row r="1" spans="1:12" s="193" customFormat="1" ht="60" customHeight="1">
      <c r="A1" s="1891" t="str">
        <f>Development!$A$3&amp;" Multi-Family Program"</f>
        <v>2024 Multi-Family Program</v>
      </c>
      <c r="B1" s="1892"/>
      <c r="C1" s="1892"/>
      <c r="D1" s="1892"/>
      <c r="E1" s="1892"/>
      <c r="F1" s="1892"/>
      <c r="G1" s="1895"/>
      <c r="H1" s="1895"/>
      <c r="I1" s="1895"/>
      <c r="J1" s="1897"/>
      <c r="K1" s="1895"/>
      <c r="L1" s="1895"/>
    </row>
    <row r="2" spans="1:12" s="240" customFormat="1" ht="45.65" customHeight="1">
      <c r="A2" s="1893" t="str">
        <f>'Customer Information'!A2:H2</f>
        <v>Multi-Family 
Rebate Application, Version 2.0</v>
      </c>
      <c r="B2" s="1892"/>
      <c r="C2" s="1892"/>
      <c r="D2" s="1892"/>
      <c r="E2" s="1892"/>
      <c r="F2" s="1892"/>
      <c r="G2" s="1895"/>
      <c r="H2" s="1895"/>
      <c r="I2" s="1895"/>
      <c r="J2" s="1898"/>
      <c r="K2" s="1895"/>
      <c r="L2" s="1895"/>
    </row>
    <row r="3" spans="1:12" s="227" customFormat="1" ht="35" thickBot="1">
      <c r="A3" s="1896" t="s">
        <v>869</v>
      </c>
      <c r="B3" s="1892"/>
      <c r="C3" s="1892"/>
      <c r="D3" s="1892"/>
      <c r="E3" s="1892"/>
      <c r="F3" s="1892"/>
      <c r="G3" s="1895"/>
      <c r="H3" s="1895"/>
      <c r="I3" s="1895"/>
      <c r="J3" s="1897"/>
      <c r="K3" s="1895"/>
      <c r="L3" s="1895"/>
    </row>
    <row r="4" spans="1:12" s="193" customFormat="1" ht="18" customHeight="1" thickTop="1">
      <c r="A4" s="1073"/>
      <c r="B4" s="1073"/>
      <c r="C4" s="1073"/>
      <c r="D4" s="1073"/>
      <c r="E4" s="1073"/>
      <c r="F4" s="1073"/>
      <c r="G4" s="1073"/>
      <c r="H4" s="1073"/>
      <c r="I4" s="1073"/>
      <c r="J4" s="1073"/>
      <c r="K4" s="1073"/>
      <c r="L4" s="1073"/>
    </row>
    <row r="5" spans="1:12" s="1547" customFormat="1" ht="8.9" customHeight="1">
      <c r="A5" s="1545" t="s">
        <v>5072</v>
      </c>
      <c r="B5" s="1546"/>
      <c r="C5" s="1546"/>
      <c r="D5" s="1546"/>
      <c r="E5" s="1546"/>
      <c r="F5" s="1546"/>
      <c r="G5" s="1546"/>
      <c r="H5" s="1546"/>
      <c r="I5" s="1546"/>
      <c r="J5" s="1546"/>
      <c r="K5" s="1546"/>
    </row>
    <row r="6" spans="1:12" s="1548" customFormat="1" ht="25.4" customHeight="1">
      <c r="A6" s="229" t="s">
        <v>5073</v>
      </c>
      <c r="B6" s="2162" t="s">
        <v>5074</v>
      </c>
      <c r="C6" s="2162"/>
      <c r="D6" s="2162"/>
      <c r="E6" s="2162"/>
      <c r="F6" s="2162"/>
      <c r="G6" s="2162"/>
      <c r="H6" s="2162"/>
      <c r="I6" s="2162"/>
      <c r="J6" s="2162"/>
      <c r="K6" s="2162"/>
    </row>
    <row r="7" spans="1:12" s="1548" customFormat="1" ht="24.65" customHeight="1">
      <c r="A7" s="229" t="s">
        <v>5075</v>
      </c>
      <c r="B7" s="2162" t="s">
        <v>5076</v>
      </c>
      <c r="C7" s="2162"/>
      <c r="D7" s="2162"/>
      <c r="E7" s="2162"/>
      <c r="F7" s="2162"/>
      <c r="G7" s="2162"/>
      <c r="H7" s="2162"/>
      <c r="I7" s="2162"/>
      <c r="J7" s="2162"/>
      <c r="K7" s="2162"/>
    </row>
    <row r="8" spans="1:12" s="1548" customFormat="1" ht="9">
      <c r="A8" s="1549" t="s">
        <v>5077</v>
      </c>
      <c r="B8" s="1550" t="s">
        <v>5078</v>
      </c>
      <c r="C8" s="1550"/>
      <c r="D8" s="1550"/>
      <c r="E8" s="1550"/>
      <c r="F8" s="1550"/>
      <c r="G8" s="1550"/>
      <c r="H8" s="1550"/>
      <c r="I8" s="1550"/>
      <c r="J8" s="1550"/>
      <c r="K8" s="1550"/>
    </row>
    <row r="9" spans="1:12" s="1547" customFormat="1" ht="9">
      <c r="A9" s="1545" t="s">
        <v>5079</v>
      </c>
      <c r="B9" s="1546"/>
      <c r="C9" s="1546"/>
      <c r="D9" s="1546"/>
      <c r="E9" s="1546"/>
      <c r="F9" s="1546"/>
      <c r="G9" s="1546"/>
      <c r="H9" s="1546"/>
      <c r="I9" s="1546"/>
      <c r="J9" s="1546"/>
      <c r="K9" s="1546"/>
    </row>
    <row r="10" spans="1:12" s="1548" customFormat="1" ht="9">
      <c r="A10" s="1549" t="s">
        <v>5073</v>
      </c>
      <c r="B10" s="2162" t="s">
        <v>5080</v>
      </c>
      <c r="C10" s="2162"/>
      <c r="D10" s="2162"/>
      <c r="E10" s="2162"/>
      <c r="F10" s="2162"/>
      <c r="G10" s="2162"/>
      <c r="H10" s="2162"/>
      <c r="I10" s="2162"/>
      <c r="J10" s="2162"/>
      <c r="K10" s="2162"/>
    </row>
    <row r="11" spans="1:12" s="1548" customFormat="1" ht="22.4" customHeight="1">
      <c r="A11" s="1549" t="s">
        <v>5075</v>
      </c>
      <c r="B11" s="2162" t="s">
        <v>5080</v>
      </c>
      <c r="C11" s="2162"/>
      <c r="D11" s="2162"/>
      <c r="E11" s="2162"/>
      <c r="F11" s="2162"/>
      <c r="G11" s="2162"/>
      <c r="H11" s="2162"/>
      <c r="I11" s="2162"/>
      <c r="J11" s="2162"/>
      <c r="K11" s="2162"/>
    </row>
    <row r="12" spans="1:12" s="1547" customFormat="1" ht="9">
      <c r="A12" s="1545" t="s">
        <v>5081</v>
      </c>
      <c r="B12" s="1546"/>
      <c r="C12" s="1546"/>
      <c r="D12" s="1546"/>
      <c r="E12" s="1546"/>
      <c r="F12" s="1546"/>
      <c r="G12" s="1546"/>
      <c r="H12" s="1546"/>
      <c r="I12" s="1546"/>
      <c r="J12" s="1546"/>
      <c r="K12" s="1546"/>
    </row>
    <row r="13" spans="1:12" s="1548" customFormat="1" ht="25.4" customHeight="1">
      <c r="A13" s="1549" t="s">
        <v>5073</v>
      </c>
      <c r="B13" s="2162" t="s">
        <v>5082</v>
      </c>
      <c r="C13" s="2162"/>
      <c r="D13" s="2162"/>
      <c r="E13" s="2162"/>
      <c r="F13" s="2162"/>
      <c r="G13" s="2162"/>
      <c r="H13" s="2162"/>
      <c r="I13" s="2162"/>
      <c r="J13" s="2162"/>
      <c r="K13" s="2162"/>
    </row>
    <row r="14" spans="1:12" s="1548" customFormat="1" ht="9">
      <c r="A14" s="1549" t="s">
        <v>5075</v>
      </c>
      <c r="B14" s="351" t="s">
        <v>5083</v>
      </c>
      <c r="C14" s="351"/>
      <c r="D14" s="351"/>
      <c r="E14" s="351"/>
      <c r="F14" s="351"/>
      <c r="G14" s="351"/>
      <c r="H14" s="351"/>
      <c r="I14" s="351"/>
      <c r="J14" s="351"/>
      <c r="K14" s="351"/>
    </row>
    <row r="15" spans="1:12" s="1547" customFormat="1" ht="8.9" customHeight="1">
      <c r="A15" s="1545" t="s">
        <v>5084</v>
      </c>
      <c r="B15" s="1546"/>
      <c r="C15" s="1546"/>
      <c r="D15" s="1546"/>
      <c r="E15" s="1546"/>
      <c r="F15" s="1546"/>
      <c r="G15" s="1546"/>
      <c r="H15" s="1546"/>
      <c r="I15" s="1546"/>
      <c r="J15" s="1546"/>
      <c r="K15" s="1546"/>
    </row>
    <row r="16" spans="1:12" s="1548" customFormat="1" ht="27.65" customHeight="1">
      <c r="A16" s="1550"/>
      <c r="B16" s="2162" t="s">
        <v>5085</v>
      </c>
      <c r="C16" s="2162"/>
      <c r="D16" s="2162"/>
      <c r="E16" s="2162"/>
      <c r="F16" s="2162"/>
      <c r="G16" s="2162"/>
      <c r="H16" s="2162"/>
      <c r="I16" s="2162"/>
      <c r="J16" s="2162"/>
      <c r="K16" s="2162"/>
    </row>
    <row r="17" spans="1:14" s="1547" customFormat="1" ht="8.9" customHeight="1">
      <c r="A17" s="1545" t="s">
        <v>5086</v>
      </c>
      <c r="B17" s="1546"/>
      <c r="C17" s="1546"/>
      <c r="D17" s="1546"/>
      <c r="E17" s="1546"/>
      <c r="F17" s="1546"/>
      <c r="G17" s="1546"/>
      <c r="H17" s="1546"/>
      <c r="I17" s="1546"/>
      <c r="J17" s="1546"/>
      <c r="K17" s="1546"/>
      <c r="M17" s="1547" t="s">
        <v>1277</v>
      </c>
    </row>
    <row r="18" spans="1:14" s="1548" customFormat="1" ht="19.5" customHeight="1">
      <c r="A18" s="1549" t="s">
        <v>5073</v>
      </c>
      <c r="B18" s="2162" t="s">
        <v>5087</v>
      </c>
      <c r="C18" s="2162"/>
      <c r="D18" s="2162"/>
      <c r="E18" s="2162"/>
      <c r="F18" s="2162"/>
      <c r="G18" s="2162"/>
      <c r="H18" s="2162"/>
      <c r="I18" s="2162"/>
      <c r="J18" s="2162"/>
      <c r="K18" s="2162"/>
    </row>
    <row r="19" spans="1:14" s="1548" customFormat="1" ht="17.149999999999999" customHeight="1">
      <c r="A19" s="1549" t="s">
        <v>5075</v>
      </c>
      <c r="B19" s="2162" t="s">
        <v>5088</v>
      </c>
      <c r="C19" s="2162"/>
      <c r="D19" s="2162"/>
      <c r="E19" s="2162"/>
      <c r="F19" s="2162"/>
      <c r="G19" s="2162"/>
      <c r="H19" s="2162"/>
      <c r="I19" s="2162"/>
      <c r="J19" s="2162"/>
      <c r="K19" s="2162"/>
    </row>
    <row r="20" spans="1:14" s="1547" customFormat="1" ht="8.9" customHeight="1">
      <c r="A20" s="1545" t="s">
        <v>5089</v>
      </c>
      <c r="B20" s="1546"/>
      <c r="C20" s="1546"/>
      <c r="D20" s="1546"/>
      <c r="E20" s="1546"/>
      <c r="F20" s="1546"/>
      <c r="G20" s="1546"/>
      <c r="H20" s="1546"/>
      <c r="I20" s="1546"/>
      <c r="J20" s="1546"/>
      <c r="K20" s="1546"/>
    </row>
    <row r="21" spans="1:14" s="1548" customFormat="1" ht="20.149999999999999" customHeight="1">
      <c r="A21" s="1550"/>
      <c r="B21" s="2162" t="s">
        <v>5090</v>
      </c>
      <c r="C21" s="2162"/>
      <c r="D21" s="2162"/>
      <c r="E21" s="2162"/>
      <c r="F21" s="2162"/>
      <c r="G21" s="2162"/>
      <c r="H21" s="2162"/>
      <c r="I21" s="2162"/>
      <c r="J21" s="2162"/>
      <c r="K21" s="2162"/>
    </row>
    <row r="22" spans="1:14" s="1547" customFormat="1" ht="9">
      <c r="A22" s="1545" t="s">
        <v>5091</v>
      </c>
      <c r="B22" s="1546"/>
      <c r="C22" s="1546"/>
      <c r="D22" s="1546"/>
      <c r="E22" s="1546"/>
      <c r="F22" s="1546"/>
      <c r="G22" s="1546"/>
      <c r="H22" s="1546"/>
      <c r="I22" s="1546"/>
      <c r="J22" s="1546"/>
      <c r="K22" s="1546"/>
    </row>
    <row r="23" spans="1:14" s="1548" customFormat="1" ht="9">
      <c r="A23" s="1549" t="s">
        <v>5073</v>
      </c>
      <c r="B23" s="351" t="s">
        <v>5092</v>
      </c>
      <c r="C23" s="351"/>
      <c r="D23" s="351"/>
      <c r="E23" s="351"/>
      <c r="F23" s="351"/>
      <c r="G23" s="351"/>
      <c r="H23" s="351"/>
      <c r="I23" s="351"/>
      <c r="J23" s="351"/>
      <c r="K23" s="351"/>
    </row>
    <row r="24" spans="1:14" s="1548" customFormat="1" ht="9">
      <c r="A24" s="1549" t="s">
        <v>5075</v>
      </c>
      <c r="B24" s="2162" t="s">
        <v>5093</v>
      </c>
      <c r="C24" s="2162"/>
      <c r="D24" s="2162"/>
      <c r="E24" s="2162"/>
      <c r="F24" s="2162"/>
      <c r="G24" s="2162"/>
      <c r="H24" s="2162"/>
      <c r="I24" s="2162"/>
      <c r="J24" s="2162"/>
      <c r="K24" s="2162"/>
    </row>
    <row r="25" spans="1:14" s="1548" customFormat="1" ht="9">
      <c r="A25" s="1549" t="s">
        <v>5077</v>
      </c>
      <c r="B25" s="2162" t="s">
        <v>5094</v>
      </c>
      <c r="C25" s="2162"/>
      <c r="D25" s="2162"/>
      <c r="E25" s="2162"/>
      <c r="F25" s="2162"/>
      <c r="G25" s="2162"/>
      <c r="H25" s="2162"/>
      <c r="I25" s="2162"/>
      <c r="J25" s="2162"/>
      <c r="K25" s="2162"/>
    </row>
    <row r="26" spans="1:14" s="1548" customFormat="1" ht="20.149999999999999" customHeight="1">
      <c r="A26" s="1549" t="s">
        <v>5095</v>
      </c>
      <c r="B26" s="2162" t="s">
        <v>5096</v>
      </c>
      <c r="C26" s="2162"/>
      <c r="D26" s="2162"/>
      <c r="E26" s="2162"/>
      <c r="F26" s="2162"/>
      <c r="G26" s="2162"/>
      <c r="H26" s="2162"/>
      <c r="I26" s="2162"/>
      <c r="J26" s="2162"/>
      <c r="K26" s="2162"/>
      <c r="N26" s="1548" t="s">
        <v>1277</v>
      </c>
    </row>
    <row r="27" spans="1:14" s="1548" customFormat="1" ht="9">
      <c r="A27" s="1549" t="s">
        <v>5097</v>
      </c>
      <c r="B27" s="351" t="s">
        <v>5098</v>
      </c>
      <c r="C27" s="351"/>
      <c r="D27" s="351"/>
      <c r="E27" s="351"/>
      <c r="F27" s="351"/>
      <c r="G27" s="351"/>
      <c r="H27" s="351"/>
      <c r="I27" s="351"/>
      <c r="J27" s="351"/>
      <c r="K27" s="351"/>
    </row>
    <row r="28" spans="1:14" s="1548" customFormat="1" ht="9">
      <c r="A28" s="1549" t="s">
        <v>5099</v>
      </c>
      <c r="B28" s="2162" t="s">
        <v>5100</v>
      </c>
      <c r="C28" s="2162"/>
      <c r="D28" s="2162"/>
      <c r="E28" s="2162"/>
      <c r="F28" s="2162"/>
      <c r="G28" s="2162"/>
      <c r="H28" s="2162"/>
      <c r="I28" s="2162"/>
      <c r="J28" s="2162"/>
      <c r="K28" s="2162"/>
    </row>
    <row r="29" spans="1:14" s="1548" customFormat="1" ht="25.4" customHeight="1">
      <c r="A29" s="1549" t="s">
        <v>5101</v>
      </c>
      <c r="B29" s="2162" t="s">
        <v>5102</v>
      </c>
      <c r="C29" s="2162"/>
      <c r="D29" s="2162"/>
      <c r="E29" s="2162"/>
      <c r="F29" s="2162"/>
      <c r="G29" s="2162"/>
      <c r="H29" s="2162"/>
      <c r="I29" s="2162"/>
      <c r="J29" s="2162"/>
      <c r="K29" s="2162"/>
    </row>
    <row r="30" spans="1:14" s="1547" customFormat="1" ht="8.9" customHeight="1">
      <c r="A30" s="1545" t="s">
        <v>5103</v>
      </c>
      <c r="B30" s="1546"/>
      <c r="C30" s="1546"/>
      <c r="D30" s="1546"/>
      <c r="E30" s="1546"/>
      <c r="F30" s="1546"/>
      <c r="G30" s="1546"/>
      <c r="H30" s="1546"/>
      <c r="I30" s="1546"/>
      <c r="J30" s="1546"/>
      <c r="K30" s="1546"/>
    </row>
    <row r="31" spans="1:14" s="1548" customFormat="1" ht="37.4" customHeight="1">
      <c r="A31" s="1549" t="s">
        <v>5073</v>
      </c>
      <c r="B31" s="2162" t="s">
        <v>5104</v>
      </c>
      <c r="C31" s="2162"/>
      <c r="D31" s="2162"/>
      <c r="E31" s="2162"/>
      <c r="F31" s="2162"/>
      <c r="G31" s="2162"/>
      <c r="H31" s="2162"/>
      <c r="I31" s="2162"/>
      <c r="J31" s="2162"/>
      <c r="K31" s="2162"/>
    </row>
    <row r="32" spans="1:14" s="1548" customFormat="1" ht="18.649999999999999" customHeight="1">
      <c r="A32" s="1549" t="s">
        <v>5075</v>
      </c>
      <c r="B32" s="2162" t="s">
        <v>5105</v>
      </c>
      <c r="C32" s="2162"/>
      <c r="D32" s="2162"/>
      <c r="E32" s="2162"/>
      <c r="F32" s="2162"/>
      <c r="G32" s="2162"/>
      <c r="H32" s="2162"/>
      <c r="I32" s="2162"/>
      <c r="J32" s="2162"/>
      <c r="K32" s="2162"/>
    </row>
    <row r="33" spans="1:11" s="1548" customFormat="1" ht="9">
      <c r="A33" s="1549" t="s">
        <v>5077</v>
      </c>
      <c r="B33" s="1550" t="s">
        <v>5106</v>
      </c>
      <c r="C33" s="1550"/>
      <c r="D33" s="1550"/>
      <c r="E33" s="1550"/>
      <c r="F33" s="1550"/>
      <c r="G33" s="1550"/>
      <c r="H33" s="1550"/>
      <c r="I33" s="1550"/>
      <c r="J33" s="1550"/>
      <c r="K33" s="1550"/>
    </row>
    <row r="34" spans="1:11" s="1547" customFormat="1" ht="8.9" customHeight="1">
      <c r="A34" s="1545" t="s">
        <v>5107</v>
      </c>
      <c r="B34" s="1546"/>
      <c r="C34" s="1546"/>
      <c r="D34" s="1546"/>
      <c r="E34" s="1546"/>
      <c r="F34" s="1546"/>
      <c r="G34" s="1546"/>
      <c r="H34" s="1546"/>
      <c r="I34" s="1546"/>
      <c r="J34" s="1546"/>
      <c r="K34" s="1546"/>
    </row>
    <row r="35" spans="1:11" s="1548" customFormat="1" ht="9" customHeight="1">
      <c r="A35" s="1550"/>
      <c r="B35" s="2162" t="s">
        <v>5108</v>
      </c>
      <c r="C35" s="2162"/>
      <c r="D35" s="2162"/>
      <c r="E35" s="2162"/>
      <c r="F35" s="2162"/>
      <c r="G35" s="2162"/>
      <c r="H35" s="2162"/>
      <c r="I35" s="2162"/>
      <c r="J35" s="2162"/>
      <c r="K35" s="2162"/>
    </row>
    <row r="36" spans="1:11" s="1547" customFormat="1" ht="8.9" customHeight="1">
      <c r="A36" s="1545" t="s">
        <v>5109</v>
      </c>
      <c r="B36" s="1546"/>
      <c r="C36" s="1546"/>
      <c r="D36" s="1546"/>
      <c r="E36" s="1546"/>
      <c r="F36" s="1546"/>
      <c r="G36" s="1546"/>
      <c r="H36" s="1546"/>
      <c r="I36" s="1546"/>
      <c r="J36" s="1546"/>
      <c r="K36" s="1546"/>
    </row>
    <row r="37" spans="1:11" s="1548" customFormat="1" ht="21.65" customHeight="1">
      <c r="A37" s="1550"/>
      <c r="B37" s="2162" t="s">
        <v>5110</v>
      </c>
      <c r="C37" s="2162"/>
      <c r="D37" s="2162"/>
      <c r="E37" s="2162"/>
      <c r="F37" s="2162"/>
      <c r="G37" s="2162"/>
      <c r="H37" s="2162"/>
      <c r="I37" s="2162"/>
      <c r="J37" s="2162"/>
      <c r="K37" s="2162"/>
    </row>
    <row r="38" spans="1:11" s="1547" customFormat="1" ht="9">
      <c r="A38" s="1545" t="s">
        <v>5111</v>
      </c>
      <c r="B38" s="1546"/>
      <c r="C38" s="1546"/>
      <c r="D38" s="1546"/>
      <c r="E38" s="1546"/>
      <c r="F38" s="1546"/>
      <c r="G38" s="1546"/>
      <c r="H38" s="1546"/>
      <c r="I38" s="1546"/>
      <c r="J38" s="1546"/>
      <c r="K38" s="1546"/>
    </row>
    <row r="39" spans="1:11" s="1548" customFormat="1" ht="26.5" customHeight="1">
      <c r="A39" s="1550"/>
      <c r="B39" s="2162" t="s">
        <v>5112</v>
      </c>
      <c r="C39" s="2162"/>
      <c r="D39" s="2162"/>
      <c r="E39" s="2162"/>
      <c r="F39" s="2162"/>
      <c r="G39" s="2162"/>
      <c r="H39" s="2162"/>
      <c r="I39" s="2162"/>
      <c r="J39" s="2162"/>
      <c r="K39" s="2162"/>
    </row>
    <row r="40" spans="1:11" s="1547" customFormat="1" ht="9">
      <c r="A40" s="1545" t="s">
        <v>5113</v>
      </c>
      <c r="B40" s="1546"/>
      <c r="C40" s="1546"/>
      <c r="D40" s="1546"/>
      <c r="E40" s="1546"/>
      <c r="F40" s="1546"/>
      <c r="G40" s="1546"/>
      <c r="H40" s="1546"/>
      <c r="I40" s="1546"/>
      <c r="J40" s="1546"/>
      <c r="K40" s="1546"/>
    </row>
    <row r="41" spans="1:11" s="1548" customFormat="1" ht="9">
      <c r="A41" s="1550"/>
      <c r="B41" s="2181" t="s">
        <v>5114</v>
      </c>
      <c r="C41" s="2181"/>
      <c r="D41" s="2181"/>
      <c r="E41" s="2181"/>
      <c r="F41" s="2181"/>
      <c r="G41" s="2181"/>
      <c r="H41" s="2181"/>
      <c r="I41" s="2181"/>
      <c r="J41" s="2181"/>
      <c r="K41" s="2181"/>
    </row>
    <row r="42" spans="1:11" s="1547" customFormat="1" ht="9.65" customHeight="1">
      <c r="A42" s="1545" t="s">
        <v>5115</v>
      </c>
      <c r="B42" s="1546"/>
      <c r="C42" s="1546"/>
      <c r="D42" s="1546"/>
      <c r="E42" s="1546"/>
      <c r="F42" s="1546"/>
      <c r="G42" s="1546"/>
      <c r="H42" s="1546"/>
      <c r="I42" s="1546"/>
      <c r="J42" s="1546"/>
      <c r="K42" s="1546"/>
    </row>
    <row r="43" spans="1:11" s="1548" customFormat="1" ht="20.149999999999999" customHeight="1">
      <c r="A43" s="1549" t="s">
        <v>5073</v>
      </c>
      <c r="B43" s="2162" t="s">
        <v>5116</v>
      </c>
      <c r="C43" s="2162"/>
      <c r="D43" s="2162"/>
      <c r="E43" s="2162"/>
      <c r="F43" s="2162"/>
      <c r="G43" s="2162"/>
      <c r="H43" s="2162"/>
      <c r="I43" s="2162"/>
      <c r="J43" s="2162"/>
      <c r="K43" s="2162"/>
    </row>
    <row r="44" spans="1:11" s="1548" customFormat="1" ht="9">
      <c r="A44" s="1549" t="s">
        <v>5075</v>
      </c>
      <c r="B44" s="351" t="s">
        <v>5117</v>
      </c>
      <c r="C44" s="351"/>
      <c r="D44" s="351"/>
      <c r="E44" s="351"/>
      <c r="F44" s="351"/>
      <c r="G44" s="351"/>
      <c r="H44" s="351"/>
      <c r="I44" s="351"/>
      <c r="J44" s="351"/>
      <c r="K44" s="351"/>
    </row>
    <row r="45" spans="1:11" s="1547" customFormat="1" ht="10" customHeight="1">
      <c r="A45" s="1545" t="s">
        <v>5118</v>
      </c>
      <c r="B45" s="1546"/>
      <c r="C45" s="1546"/>
      <c r="D45" s="1546"/>
      <c r="E45" s="1546"/>
      <c r="F45" s="1546"/>
      <c r="G45" s="1546"/>
      <c r="H45" s="1546"/>
      <c r="I45" s="1546"/>
      <c r="J45" s="1546"/>
      <c r="K45" s="1546"/>
    </row>
    <row r="46" spans="1:11" s="1548" customFormat="1" ht="9">
      <c r="A46" s="1550"/>
      <c r="B46" s="351" t="s">
        <v>5119</v>
      </c>
      <c r="C46" s="351"/>
      <c r="D46" s="351"/>
      <c r="E46" s="351"/>
      <c r="F46" s="351"/>
      <c r="G46" s="351"/>
      <c r="H46" s="351"/>
      <c r="I46" s="351"/>
      <c r="J46" s="351"/>
      <c r="K46" s="351"/>
    </row>
    <row r="47" spans="1:11" s="1548" customFormat="1" ht="9">
      <c r="A47" s="1550"/>
      <c r="B47" s="2162" t="s">
        <v>5120</v>
      </c>
      <c r="C47" s="2162"/>
      <c r="D47" s="2162"/>
      <c r="E47" s="2162"/>
      <c r="F47" s="2162"/>
      <c r="G47" s="2162"/>
      <c r="H47" s="2162"/>
      <c r="I47" s="2162"/>
      <c r="J47" s="2162"/>
      <c r="K47" s="2162"/>
    </row>
    <row r="48" spans="1:11" s="1547" customFormat="1" ht="9.65" customHeight="1">
      <c r="A48" s="1545" t="s">
        <v>5121</v>
      </c>
      <c r="B48" s="1546"/>
      <c r="C48" s="1546"/>
      <c r="D48" s="1546"/>
      <c r="E48" s="1546"/>
      <c r="F48" s="1546"/>
      <c r="G48" s="1546"/>
      <c r="H48" s="1546"/>
      <c r="I48" s="1546"/>
      <c r="J48" s="1546"/>
      <c r="K48" s="1546"/>
    </row>
    <row r="49" spans="1:11" s="1548" customFormat="1" ht="9">
      <c r="A49" s="1549" t="s">
        <v>5073</v>
      </c>
      <c r="B49" s="2162" t="s">
        <v>5122</v>
      </c>
      <c r="C49" s="2162"/>
      <c r="D49" s="2162"/>
      <c r="E49" s="2162"/>
      <c r="F49" s="2162"/>
      <c r="G49" s="2162"/>
      <c r="H49" s="2162"/>
      <c r="I49" s="2162"/>
      <c r="J49" s="2162"/>
      <c r="K49" s="2162"/>
    </row>
    <row r="50" spans="1:11" s="1548" customFormat="1" ht="18" customHeight="1">
      <c r="A50" s="1549" t="s">
        <v>5075</v>
      </c>
      <c r="B50" s="2162" t="s">
        <v>5123</v>
      </c>
      <c r="C50" s="2162"/>
      <c r="D50" s="2162"/>
      <c r="E50" s="2162"/>
      <c r="F50" s="2162"/>
      <c r="G50" s="2162"/>
      <c r="H50" s="2162"/>
      <c r="I50" s="2162"/>
      <c r="J50" s="2162"/>
      <c r="K50" s="2162"/>
    </row>
    <row r="51" spans="1:11" s="1548" customFormat="1" ht="27" customHeight="1">
      <c r="A51" s="1549" t="s">
        <v>5077</v>
      </c>
      <c r="B51" s="2162" t="s">
        <v>5124</v>
      </c>
      <c r="C51" s="2162"/>
      <c r="D51" s="2162"/>
      <c r="E51" s="2162"/>
      <c r="F51" s="2162"/>
      <c r="G51" s="2162"/>
      <c r="H51" s="2162"/>
      <c r="I51" s="2162"/>
      <c r="J51" s="2162"/>
      <c r="K51" s="2162"/>
    </row>
    <row r="52" spans="1:11" s="1547" customFormat="1" ht="11.5" customHeight="1">
      <c r="A52" s="1545" t="s">
        <v>5125</v>
      </c>
      <c r="B52" s="1546"/>
      <c r="C52" s="1546"/>
      <c r="D52" s="1546"/>
      <c r="E52" s="1546"/>
      <c r="F52" s="1546"/>
      <c r="G52" s="1546"/>
      <c r="H52" s="1546"/>
      <c r="I52" s="1546"/>
      <c r="J52" s="1546"/>
      <c r="K52" s="1546"/>
    </row>
    <row r="53" spans="1:11" s="1548" customFormat="1" ht="9">
      <c r="A53" s="1550"/>
      <c r="B53" s="1550" t="s">
        <v>5126</v>
      </c>
      <c r="C53" s="1550"/>
      <c r="D53" s="1550"/>
      <c r="E53" s="1550"/>
      <c r="F53" s="1550"/>
      <c r="G53" s="1550"/>
      <c r="H53" s="1550"/>
      <c r="I53" s="1550"/>
      <c r="J53" s="1550"/>
      <c r="K53" s="1550"/>
    </row>
    <row r="54" spans="1:11" s="1547" customFormat="1" ht="8.9" customHeight="1">
      <c r="A54" s="1545" t="s">
        <v>5127</v>
      </c>
      <c r="B54" s="1546"/>
      <c r="C54" s="1546"/>
      <c r="D54" s="1546"/>
      <c r="E54" s="1546"/>
      <c r="F54" s="1546"/>
      <c r="G54" s="1546"/>
      <c r="H54" s="1546"/>
      <c r="I54" s="1546"/>
      <c r="J54" s="1546"/>
      <c r="K54" s="1546"/>
    </row>
    <row r="55" spans="1:11" s="1548" customFormat="1" ht="9">
      <c r="A55" s="1550"/>
      <c r="B55" s="2162" t="s">
        <v>5128</v>
      </c>
      <c r="C55" s="2162"/>
      <c r="D55" s="2162"/>
      <c r="E55" s="2162"/>
      <c r="F55" s="2162"/>
      <c r="G55" s="2162"/>
      <c r="H55" s="2162"/>
      <c r="I55" s="2162"/>
      <c r="J55" s="2162"/>
      <c r="K55" s="2162"/>
    </row>
    <row r="56" spans="1:11" s="1547" customFormat="1" ht="8.9" customHeight="1">
      <c r="A56" s="1545" t="s">
        <v>5129</v>
      </c>
      <c r="B56" s="1546"/>
      <c r="C56" s="1546"/>
      <c r="D56" s="1546"/>
      <c r="E56" s="1546"/>
      <c r="F56" s="1546"/>
      <c r="G56" s="1546"/>
      <c r="H56" s="1546"/>
      <c r="I56" s="1546"/>
      <c r="J56" s="1546"/>
      <c r="K56" s="1546"/>
    </row>
    <row r="57" spans="1:11" s="1548" customFormat="1" ht="22.75" customHeight="1">
      <c r="A57" s="1550"/>
      <c r="B57" s="2162" t="s">
        <v>5130</v>
      </c>
      <c r="C57" s="2162"/>
      <c r="D57" s="2162"/>
      <c r="E57" s="2162"/>
      <c r="F57" s="2162"/>
      <c r="G57" s="2162"/>
      <c r="H57" s="2162"/>
      <c r="I57" s="2162"/>
      <c r="J57" s="2162"/>
      <c r="K57" s="2162"/>
    </row>
    <row r="58" spans="1:11" s="1551" customFormat="1" ht="8.9" customHeight="1">
      <c r="A58" s="1545" t="s">
        <v>5131</v>
      </c>
      <c r="B58" s="1546"/>
      <c r="C58" s="1546"/>
      <c r="D58" s="1546"/>
      <c r="E58" s="1546"/>
      <c r="F58" s="1546"/>
      <c r="G58" s="1546"/>
      <c r="H58" s="1546"/>
      <c r="I58" s="1546"/>
      <c r="J58" s="1546"/>
      <c r="K58" s="1546"/>
    </row>
    <row r="59" spans="1:11" ht="24.65" customHeight="1">
      <c r="A59" s="1550"/>
      <c r="B59" s="2162" t="s">
        <v>5132</v>
      </c>
      <c r="C59" s="2162"/>
      <c r="D59" s="2162"/>
      <c r="E59" s="2162"/>
      <c r="F59" s="2162"/>
      <c r="G59" s="2162"/>
      <c r="H59" s="2162"/>
      <c r="I59" s="2162"/>
      <c r="J59" s="2162"/>
      <c r="K59" s="2162"/>
    </row>
    <row r="60" spans="1:11" ht="23.5" customHeight="1">
      <c r="A60" s="1550"/>
      <c r="B60" s="2162" t="s">
        <v>5133</v>
      </c>
      <c r="C60" s="2162"/>
      <c r="D60" s="2162"/>
      <c r="E60" s="2162"/>
      <c r="F60" s="2162"/>
      <c r="G60" s="2162"/>
      <c r="H60" s="2162"/>
      <c r="I60" s="2162"/>
      <c r="J60" s="2162"/>
      <c r="K60" s="2162"/>
    </row>
    <row r="61" spans="1:11" s="1551" customFormat="1" ht="11.15" customHeight="1">
      <c r="A61" s="1545" t="s">
        <v>5134</v>
      </c>
      <c r="B61" s="1546"/>
      <c r="C61" s="1546"/>
      <c r="D61" s="1546"/>
      <c r="E61" s="1546"/>
      <c r="F61" s="1546"/>
      <c r="G61" s="1546"/>
      <c r="H61" s="1546"/>
      <c r="I61" s="1546"/>
      <c r="J61" s="1546"/>
      <c r="K61" s="1546"/>
    </row>
    <row r="62" spans="1:11" ht="9" customHeight="1">
      <c r="A62" s="1549" t="s">
        <v>5073</v>
      </c>
      <c r="B62" s="2163" t="s">
        <v>5135</v>
      </c>
      <c r="C62" s="2163"/>
      <c r="D62" s="2163"/>
      <c r="E62" s="2163"/>
      <c r="F62" s="2163"/>
      <c r="G62" s="2163"/>
      <c r="H62" s="2163"/>
      <c r="I62" s="2163"/>
      <c r="J62" s="2163"/>
      <c r="K62" s="2163"/>
    </row>
    <row r="63" spans="1:11" ht="26.15" customHeight="1">
      <c r="A63" s="1549" t="s">
        <v>5075</v>
      </c>
      <c r="B63" s="2162" t="s">
        <v>5136</v>
      </c>
      <c r="C63" s="2162"/>
      <c r="D63" s="2162"/>
      <c r="E63" s="2162"/>
      <c r="F63" s="2162"/>
      <c r="G63" s="2162"/>
      <c r="H63" s="2162"/>
      <c r="I63" s="2162"/>
      <c r="J63" s="2162"/>
      <c r="K63" s="2162"/>
    </row>
    <row r="64" spans="1:11" s="1551" customFormat="1" ht="8.9" customHeight="1">
      <c r="A64" s="1545" t="s">
        <v>5137</v>
      </c>
      <c r="B64" s="1546"/>
      <c r="C64" s="1546"/>
      <c r="D64" s="1546"/>
      <c r="E64" s="1546"/>
      <c r="F64" s="1546"/>
      <c r="G64" s="1546"/>
      <c r="H64" s="1546"/>
      <c r="I64" s="1546"/>
      <c r="J64" s="1546"/>
      <c r="K64" s="1546"/>
    </row>
    <row r="65" spans="1:13" s="1548" customFormat="1" ht="15.65" customHeight="1">
      <c r="A65" s="1550"/>
      <c r="B65" s="2181" t="s">
        <v>5138</v>
      </c>
      <c r="C65" s="2181"/>
      <c r="D65" s="2181"/>
      <c r="E65" s="2181"/>
      <c r="F65" s="2181"/>
      <c r="G65" s="2181"/>
      <c r="H65" s="2181"/>
      <c r="I65" s="2181"/>
      <c r="J65" s="2181"/>
      <c r="K65" s="2181"/>
    </row>
    <row r="66" spans="1:13" s="1551" customFormat="1" ht="10" customHeight="1">
      <c r="A66" s="1545" t="s">
        <v>5139</v>
      </c>
      <c r="B66" s="1546"/>
      <c r="C66" s="1546"/>
      <c r="D66" s="1546"/>
      <c r="E66" s="1546"/>
      <c r="F66" s="1546"/>
      <c r="G66" s="1546"/>
      <c r="H66" s="1546"/>
      <c r="I66" s="1546"/>
      <c r="J66" s="1546"/>
      <c r="K66" s="1546"/>
    </row>
    <row r="67" spans="1:13" s="1548" customFormat="1" ht="22.75" customHeight="1">
      <c r="A67" s="1550"/>
      <c r="B67" s="2162" t="s">
        <v>5140</v>
      </c>
      <c r="C67" s="2162"/>
      <c r="D67" s="2162"/>
      <c r="E67" s="2162"/>
      <c r="F67" s="2162"/>
      <c r="G67" s="2162"/>
      <c r="H67" s="2162"/>
      <c r="I67" s="2162"/>
      <c r="J67" s="2162"/>
      <c r="K67" s="2162"/>
    </row>
    <row r="68" spans="1:13" s="1551" customFormat="1" ht="8.9" customHeight="1">
      <c r="A68" s="1545" t="s">
        <v>5141</v>
      </c>
      <c r="B68" s="1546"/>
      <c r="C68" s="1546"/>
      <c r="D68" s="1546"/>
      <c r="E68" s="1546"/>
      <c r="F68" s="1546"/>
      <c r="G68" s="1546"/>
      <c r="H68" s="1546"/>
      <c r="I68" s="1546"/>
      <c r="J68" s="1546"/>
      <c r="K68" s="1546"/>
    </row>
    <row r="69" spans="1:13" ht="14">
      <c r="A69" s="1550"/>
      <c r="B69" s="1550" t="s">
        <v>5142</v>
      </c>
      <c r="C69" s="1550"/>
      <c r="D69" s="1550"/>
      <c r="E69" s="1550"/>
      <c r="F69" s="1550"/>
      <c r="G69" s="1550"/>
      <c r="H69" s="1550"/>
      <c r="I69" s="1550"/>
      <c r="J69" s="1550"/>
      <c r="K69" s="1550"/>
    </row>
    <row r="70" spans="1:13" s="1551" customFormat="1" ht="9" customHeight="1">
      <c r="A70" s="1545" t="s">
        <v>5143</v>
      </c>
      <c r="B70" s="1546"/>
      <c r="C70" s="1546"/>
      <c r="D70" s="1546"/>
      <c r="E70" s="1546"/>
      <c r="F70" s="1546"/>
      <c r="G70" s="1546"/>
      <c r="H70" s="1546"/>
      <c r="I70" s="1546"/>
      <c r="J70" s="1546"/>
      <c r="K70" s="1546"/>
    </row>
    <row r="71" spans="1:13" ht="26.5" customHeight="1">
      <c r="A71" s="1550"/>
      <c r="B71" s="2162" t="s">
        <v>5144</v>
      </c>
      <c r="C71" s="2162"/>
      <c r="D71" s="2162"/>
      <c r="E71" s="2162"/>
      <c r="F71" s="2162"/>
      <c r="G71" s="2162"/>
      <c r="H71" s="2162"/>
      <c r="I71" s="2162"/>
      <c r="J71" s="2162"/>
      <c r="K71" s="2162"/>
    </row>
    <row r="72" spans="1:13" s="1551" customFormat="1" ht="9.65" customHeight="1">
      <c r="A72" s="1545" t="s">
        <v>5145</v>
      </c>
      <c r="B72" s="1546"/>
      <c r="C72" s="1546"/>
      <c r="D72" s="1546"/>
      <c r="E72" s="1546"/>
      <c r="F72" s="1546"/>
      <c r="G72" s="1546"/>
      <c r="H72" s="1546"/>
      <c r="I72" s="1546"/>
      <c r="J72" s="1546"/>
      <c r="K72" s="1546"/>
    </row>
    <row r="73" spans="1:13" s="1551" customFormat="1" ht="9.65" customHeight="1">
      <c r="A73" s="1549" t="s">
        <v>5073</v>
      </c>
      <c r="B73" s="2163" t="s">
        <v>5146</v>
      </c>
      <c r="C73" s="2163"/>
      <c r="D73" s="2163"/>
      <c r="E73" s="2163"/>
      <c r="F73" s="2163"/>
      <c r="G73" s="2163"/>
      <c r="H73" s="2163"/>
      <c r="I73" s="2163"/>
      <c r="J73" s="2163"/>
      <c r="K73" s="2163"/>
    </row>
    <row r="74" spans="1:13" ht="10.4" customHeight="1">
      <c r="A74" s="1549" t="s">
        <v>5075</v>
      </c>
      <c r="B74" s="2163" t="s">
        <v>5147</v>
      </c>
      <c r="C74" s="2163"/>
      <c r="D74" s="2163"/>
      <c r="E74" s="2163"/>
      <c r="F74" s="2163"/>
      <c r="G74" s="2163"/>
      <c r="H74" s="2163"/>
      <c r="I74" s="2163"/>
      <c r="J74" s="2163"/>
      <c r="K74" s="2163"/>
    </row>
    <row r="75" spans="1:13" ht="18" customHeight="1">
      <c r="A75" s="1549" t="s">
        <v>5077</v>
      </c>
      <c r="B75" s="2181" t="s">
        <v>5148</v>
      </c>
      <c r="C75" s="2181"/>
      <c r="D75" s="2181"/>
      <c r="E75" s="2181"/>
      <c r="F75" s="2181"/>
      <c r="G75" s="2181"/>
      <c r="H75" s="2181"/>
      <c r="I75" s="2181"/>
      <c r="J75" s="2181"/>
      <c r="K75" s="2181"/>
    </row>
    <row r="76" spans="1:13" ht="18" customHeight="1">
      <c r="A76" s="1549" t="s">
        <v>5095</v>
      </c>
      <c r="B76" s="228" t="s">
        <v>5149</v>
      </c>
      <c r="C76" s="1552"/>
      <c r="D76" s="1552"/>
      <c r="E76" s="1552"/>
      <c r="F76" s="1552"/>
      <c r="G76" s="1552"/>
      <c r="H76" s="1552"/>
      <c r="I76" s="1552"/>
      <c r="J76" s="1552"/>
      <c r="K76" s="1552"/>
    </row>
    <row r="77" spans="1:13" ht="18" customHeight="1">
      <c r="A77" s="1549"/>
      <c r="B77" s="1553" t="s">
        <v>3527</v>
      </c>
      <c r="C77" s="1552"/>
      <c r="D77" s="1552"/>
      <c r="E77" s="1552"/>
      <c r="F77" s="1554"/>
      <c r="G77" s="1555" t="s">
        <v>3528</v>
      </c>
      <c r="H77" s="1552"/>
      <c r="I77" s="1552"/>
      <c r="J77" s="1552"/>
      <c r="K77" s="1552"/>
    </row>
    <row r="78" spans="1:13" s="192" customFormat="1" ht="14">
      <c r="M78" s="231"/>
    </row>
    <row r="79" spans="1:13" s="192" customFormat="1" ht="14">
      <c r="M79" s="231"/>
    </row>
    <row r="80" spans="1:13" s="192" customFormat="1" ht="14" hidden="1">
      <c r="M80" s="231"/>
    </row>
    <row r="81" spans="13:13" s="192" customFormat="1" ht="14" hidden="1">
      <c r="M81" s="231"/>
    </row>
    <row r="82" spans="13:13" s="192" customFormat="1" ht="14" hidden="1">
      <c r="M82" s="231"/>
    </row>
    <row r="83" spans="13:13" s="192" customFormat="1" ht="14" hidden="1">
      <c r="M83" s="231"/>
    </row>
    <row r="84" spans="13:13" ht="14" hidden="1">
      <c r="M84" s="232"/>
    </row>
    <row r="85" spans="13:13" ht="14" hidden="1">
      <c r="M85" s="232"/>
    </row>
    <row r="86" spans="13:13" ht="14" hidden="1">
      <c r="M86" s="232"/>
    </row>
    <row r="87" spans="13:13" ht="14" hidden="1">
      <c r="M87" s="232"/>
    </row>
    <row r="88" spans="13:13" ht="14" hidden="1">
      <c r="M88" s="232"/>
    </row>
    <row r="89" spans="13:13" ht="14" hidden="1">
      <c r="M89" s="232"/>
    </row>
    <row r="90" spans="13:13" ht="14" hidden="1">
      <c r="M90" s="232"/>
    </row>
    <row r="91" spans="13:13" ht="14" hidden="1">
      <c r="M91" s="232"/>
    </row>
    <row r="92" spans="13:13" ht="14" hidden="1">
      <c r="M92" s="232"/>
    </row>
    <row r="93" spans="13:13" ht="14" hidden="1">
      <c r="M93" s="232"/>
    </row>
    <row r="94" spans="13:13" ht="14" hidden="1">
      <c r="M94" s="232"/>
    </row>
    <row r="95" spans="13:13" ht="14" hidden="1">
      <c r="M95" s="232"/>
    </row>
    <row r="96" spans="13:13" ht="14" hidden="1">
      <c r="M96" s="232"/>
    </row>
    <row r="97" spans="13:13" ht="14" hidden="1">
      <c r="M97" s="232"/>
    </row>
    <row r="98" spans="13:13" ht="14" hidden="1">
      <c r="M98" s="232"/>
    </row>
    <row r="99" spans="13:13" ht="14" hidden="1">
      <c r="M99" s="232"/>
    </row>
    <row r="100" spans="13:13" ht="14" hidden="1">
      <c r="M100" s="232"/>
    </row>
    <row r="101" spans="13:13" ht="14" hidden="1">
      <c r="M101" s="232"/>
    </row>
    <row r="102" spans="13:13" ht="14" hidden="1">
      <c r="M102" s="232"/>
    </row>
    <row r="103" spans="13:13" ht="14" hidden="1">
      <c r="M103" s="232"/>
    </row>
    <row r="104" spans="13:13" ht="14" hidden="1">
      <c r="M104" s="232"/>
    </row>
  </sheetData>
  <sheetProtection algorithmName="SHA-512" hashValue="3hKzKpc2MR9CRGHzfX1kMfThKcEEpltfFEl2ExiAE7X5xrxtyssHX3WCkIhwtzD+du7zFisV61XFEv/9WjIGAw==" saltValue="RopqMRBeHsMFJUXhTA/KYw==" spinCount="100000" sheet="1" objects="1" scenarios="1"/>
  <mergeCells count="37">
    <mergeCell ref="B75:K75"/>
    <mergeCell ref="B63:K63"/>
    <mergeCell ref="B65:K65"/>
    <mergeCell ref="B67:K67"/>
    <mergeCell ref="B71:K71"/>
    <mergeCell ref="B73:K73"/>
    <mergeCell ref="B74:K74"/>
    <mergeCell ref="B62:K62"/>
    <mergeCell ref="B39:K39"/>
    <mergeCell ref="B41:K41"/>
    <mergeCell ref="B43:K43"/>
    <mergeCell ref="B47:K47"/>
    <mergeCell ref="B49:K49"/>
    <mergeCell ref="B50:K50"/>
    <mergeCell ref="B51:K51"/>
    <mergeCell ref="B55:K55"/>
    <mergeCell ref="B57:K57"/>
    <mergeCell ref="B59:K59"/>
    <mergeCell ref="B60:K60"/>
    <mergeCell ref="B37:K37"/>
    <mergeCell ref="B18:K18"/>
    <mergeCell ref="B19:K19"/>
    <mergeCell ref="B21:K21"/>
    <mergeCell ref="B24:K24"/>
    <mergeCell ref="B25:K25"/>
    <mergeCell ref="B26:K26"/>
    <mergeCell ref="B28:K28"/>
    <mergeCell ref="B29:K29"/>
    <mergeCell ref="B31:K31"/>
    <mergeCell ref="B32:K32"/>
    <mergeCell ref="B35:K35"/>
    <mergeCell ref="B16:K16"/>
    <mergeCell ref="B6:K6"/>
    <mergeCell ref="B7:K7"/>
    <mergeCell ref="B10:K10"/>
    <mergeCell ref="B11:K11"/>
    <mergeCell ref="B13:K13"/>
  </mergeCells>
  <conditionalFormatting sqref="A1:H1 J1:L1 A3:H3 J3:L3">
    <cfRule type="cellIs" dxfId="96" priority="1" stopIfTrue="1" operator="equal">
      <formula>"Missing Info"</formula>
    </cfRule>
  </conditionalFormatting>
  <pageMargins left="0.25" right="0.25" top="0.25" bottom="0.25" header="0" footer="0"/>
  <pageSetup scale="62"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FCCB03-300A-4A65-ACBA-6E1ABC596D1D}">
  <sheetPr codeName="Sheet55">
    <tabColor rgb="FF00B050"/>
    <pageSetUpPr fitToPage="1"/>
  </sheetPr>
  <dimension ref="A1:XEW100"/>
  <sheetViews>
    <sheetView showGridLines="0" zoomScaleNormal="100" workbookViewId="0">
      <selection activeCell="F13" sqref="F13"/>
    </sheetView>
  </sheetViews>
  <sheetFormatPr defaultColWidth="0" defaultRowHeight="16.5" customHeight="1" zeroHeight="1"/>
  <cols>
    <col min="1" max="1" width="3.54296875" style="157" customWidth="1"/>
    <col min="2" max="2" width="13.81640625" style="157" customWidth="1"/>
    <col min="3" max="3" width="58.453125" style="157" customWidth="1"/>
    <col min="4" max="4" width="8.81640625" style="157" customWidth="1"/>
    <col min="5" max="5" width="14" style="157" customWidth="1"/>
    <col min="6" max="6" width="14.453125" style="157" customWidth="1"/>
    <col min="7" max="7" width="29" style="157" customWidth="1"/>
    <col min="8" max="8" width="15.1796875" style="157" customWidth="1"/>
    <col min="9" max="9" width="3.54296875" style="157" customWidth="1"/>
    <col min="10" max="13" width="8.81640625" style="157" hidden="1" customWidth="1"/>
    <col min="14" max="255" width="9.1796875" style="157" hidden="1" customWidth="1"/>
    <col min="256" max="16384" width="11.54296875" style="157" hidden="1"/>
  </cols>
  <sheetData>
    <row r="1" spans="1:1017 1025:2041 2049:3065 3073:4089 4097:5113 5121:6137 6145:7161 7169:8185 8193:9209 9217:10233 10241:11257 11265:12281 12289:13305 13313:14329 14337:15353 15361:16377" s="1070" customFormat="1" ht="60" customHeight="1">
      <c r="A1" s="1071" t="str">
        <f>Development!$A$3&amp;" Multi-Family Program"</f>
        <v>2024 Multi-Family Program</v>
      </c>
      <c r="I1" s="1071"/>
      <c r="Q1" s="1071"/>
      <c r="Y1" s="1071"/>
      <c r="AG1" s="1071"/>
      <c r="AO1" s="1071"/>
      <c r="AW1" s="1071"/>
      <c r="BE1" s="1071"/>
      <c r="BM1" s="1071"/>
      <c r="BU1" s="1071"/>
      <c r="CC1" s="1071"/>
      <c r="CK1" s="1071"/>
      <c r="CS1" s="1071"/>
      <c r="DA1" s="1071"/>
      <c r="DI1" s="1071"/>
      <c r="DQ1" s="1071"/>
      <c r="DY1" s="1071"/>
      <c r="EG1" s="1071"/>
      <c r="EO1" s="1071"/>
      <c r="EW1" s="1071"/>
      <c r="FE1" s="1071"/>
      <c r="FM1" s="1071"/>
      <c r="FU1" s="1071"/>
      <c r="GC1" s="1071"/>
      <c r="GK1" s="1071"/>
      <c r="GS1" s="1071"/>
      <c r="HA1" s="1071"/>
      <c r="HI1" s="1071"/>
      <c r="HQ1" s="1071"/>
      <c r="HY1" s="1071"/>
      <c r="IG1" s="1071"/>
      <c r="IO1" s="1071"/>
      <c r="IW1" s="1071"/>
      <c r="JE1" s="1071"/>
      <c r="JM1" s="1071"/>
      <c r="JU1" s="1071"/>
      <c r="KC1" s="1071"/>
      <c r="KK1" s="1071"/>
      <c r="KS1" s="1071"/>
      <c r="LA1" s="1071"/>
      <c r="LI1" s="1071"/>
      <c r="LQ1" s="1071"/>
      <c r="LY1" s="1071"/>
      <c r="MG1" s="1071"/>
      <c r="MO1" s="1071"/>
      <c r="MW1" s="1071"/>
      <c r="NE1" s="1071"/>
      <c r="NM1" s="1071"/>
      <c r="NU1" s="1071"/>
      <c r="OC1" s="1071"/>
      <c r="OK1" s="1071"/>
      <c r="OS1" s="1071"/>
      <c r="PA1" s="1071"/>
      <c r="PI1" s="1071"/>
      <c r="PQ1" s="1071"/>
      <c r="PY1" s="1071"/>
      <c r="QG1" s="1071"/>
      <c r="QO1" s="1071"/>
      <c r="QW1" s="1071"/>
      <c r="RE1" s="1071"/>
      <c r="RM1" s="1071"/>
      <c r="RU1" s="1071"/>
      <c r="SC1" s="1071"/>
      <c r="SK1" s="1071"/>
      <c r="SS1" s="1071"/>
      <c r="TA1" s="1071"/>
      <c r="TI1" s="1071"/>
      <c r="TQ1" s="1071"/>
      <c r="TY1" s="1071"/>
      <c r="UG1" s="1071"/>
      <c r="UO1" s="1071"/>
      <c r="UW1" s="1071"/>
      <c r="VE1" s="1071"/>
      <c r="VM1" s="1071"/>
      <c r="VU1" s="1071"/>
      <c r="WC1" s="1071"/>
      <c r="WK1" s="1071"/>
      <c r="WS1" s="1071"/>
      <c r="XA1" s="1071"/>
      <c r="XI1" s="1071"/>
      <c r="XQ1" s="1071"/>
      <c r="XY1" s="1071"/>
      <c r="YG1" s="1071"/>
      <c r="YO1" s="1071"/>
      <c r="YW1" s="1071"/>
      <c r="ZE1" s="1071"/>
      <c r="ZM1" s="1071"/>
      <c r="ZU1" s="1071"/>
      <c r="AAC1" s="1071"/>
      <c r="AAK1" s="1071"/>
      <c r="AAS1" s="1071"/>
      <c r="ABA1" s="1071"/>
      <c r="ABI1" s="1071"/>
      <c r="ABQ1" s="1071"/>
      <c r="ABY1" s="1071"/>
      <c r="ACG1" s="1071"/>
      <c r="ACO1" s="1071"/>
      <c r="ACW1" s="1071"/>
      <c r="ADE1" s="1071"/>
      <c r="ADM1" s="1071"/>
      <c r="ADU1" s="1071"/>
      <c r="AEC1" s="1071"/>
      <c r="AEK1" s="1071"/>
      <c r="AES1" s="1071"/>
      <c r="AFA1" s="1071"/>
      <c r="AFI1" s="1071"/>
      <c r="AFQ1" s="1071"/>
      <c r="AFY1" s="1071"/>
      <c r="AGG1" s="1071"/>
      <c r="AGO1" s="1071"/>
      <c r="AGW1" s="1071"/>
      <c r="AHE1" s="1071"/>
      <c r="AHM1" s="1071"/>
      <c r="AHU1" s="1071"/>
      <c r="AIC1" s="1071"/>
      <c r="AIK1" s="1071"/>
      <c r="AIS1" s="1071"/>
      <c r="AJA1" s="1071"/>
      <c r="AJI1" s="1071"/>
      <c r="AJQ1" s="1071"/>
      <c r="AJY1" s="1071"/>
      <c r="AKG1" s="1071"/>
      <c r="AKO1" s="1071"/>
      <c r="AKW1" s="1071"/>
      <c r="ALE1" s="1071"/>
      <c r="ALM1" s="1071"/>
      <c r="ALU1" s="1071"/>
      <c r="AMC1" s="1071"/>
      <c r="AMK1" s="1071"/>
      <c r="AMS1" s="1071"/>
      <c r="ANA1" s="1071"/>
      <c r="ANI1" s="1071"/>
      <c r="ANQ1" s="1071"/>
      <c r="ANY1" s="1071"/>
      <c r="AOG1" s="1071"/>
      <c r="AOO1" s="1071"/>
      <c r="AOW1" s="1071"/>
      <c r="APE1" s="1071"/>
      <c r="APM1" s="1071"/>
      <c r="APU1" s="1071"/>
      <c r="AQC1" s="1071"/>
      <c r="AQK1" s="1071"/>
      <c r="AQS1" s="1071"/>
      <c r="ARA1" s="1071"/>
      <c r="ARI1" s="1071"/>
      <c r="ARQ1" s="1071"/>
      <c r="ARY1" s="1071"/>
      <c r="ASG1" s="1071"/>
      <c r="ASO1" s="1071"/>
      <c r="ASW1" s="1071"/>
      <c r="ATE1" s="1071"/>
      <c r="ATM1" s="1071"/>
      <c r="ATU1" s="1071"/>
      <c r="AUC1" s="1071"/>
      <c r="AUK1" s="1071"/>
      <c r="AUS1" s="1071"/>
      <c r="AVA1" s="1071"/>
      <c r="AVI1" s="1071"/>
      <c r="AVQ1" s="1071"/>
      <c r="AVY1" s="1071"/>
      <c r="AWG1" s="1071"/>
      <c r="AWO1" s="1071"/>
      <c r="AWW1" s="1071"/>
      <c r="AXE1" s="1071"/>
      <c r="AXM1" s="1071"/>
      <c r="AXU1" s="1071"/>
      <c r="AYC1" s="1071"/>
      <c r="AYK1" s="1071"/>
      <c r="AYS1" s="1071"/>
      <c r="AZA1" s="1071"/>
      <c r="AZI1" s="1071"/>
      <c r="AZQ1" s="1071"/>
      <c r="AZY1" s="1071"/>
      <c r="BAG1" s="1071"/>
      <c r="BAO1" s="1071"/>
      <c r="BAW1" s="1071"/>
      <c r="BBE1" s="1071"/>
      <c r="BBM1" s="1071"/>
      <c r="BBU1" s="1071"/>
      <c r="BCC1" s="1071"/>
      <c r="BCK1" s="1071"/>
      <c r="BCS1" s="1071"/>
      <c r="BDA1" s="1071"/>
      <c r="BDI1" s="1071"/>
      <c r="BDQ1" s="1071"/>
      <c r="BDY1" s="1071"/>
      <c r="BEG1" s="1071"/>
      <c r="BEO1" s="1071"/>
      <c r="BEW1" s="1071"/>
      <c r="BFE1" s="1071"/>
      <c r="BFM1" s="1071"/>
      <c r="BFU1" s="1071"/>
      <c r="BGC1" s="1071"/>
      <c r="BGK1" s="1071"/>
      <c r="BGS1" s="1071"/>
      <c r="BHA1" s="1071"/>
      <c r="BHI1" s="1071"/>
      <c r="BHQ1" s="1071"/>
      <c r="BHY1" s="1071"/>
      <c r="BIG1" s="1071"/>
      <c r="BIO1" s="1071"/>
      <c r="BIW1" s="1071"/>
      <c r="BJE1" s="1071"/>
      <c r="BJM1" s="1071"/>
      <c r="BJU1" s="1071"/>
      <c r="BKC1" s="1071"/>
      <c r="BKK1" s="1071"/>
      <c r="BKS1" s="1071"/>
      <c r="BLA1" s="1071"/>
      <c r="BLI1" s="1071"/>
      <c r="BLQ1" s="1071"/>
      <c r="BLY1" s="1071"/>
      <c r="BMG1" s="1071"/>
      <c r="BMO1" s="1071"/>
      <c r="BMW1" s="1071"/>
      <c r="BNE1" s="1071"/>
      <c r="BNM1" s="1071"/>
      <c r="BNU1" s="1071"/>
      <c r="BOC1" s="1071"/>
      <c r="BOK1" s="1071"/>
      <c r="BOS1" s="1071"/>
      <c r="BPA1" s="1071"/>
      <c r="BPI1" s="1071"/>
      <c r="BPQ1" s="1071"/>
      <c r="BPY1" s="1071"/>
      <c r="BQG1" s="1071"/>
      <c r="BQO1" s="1071"/>
      <c r="BQW1" s="1071"/>
      <c r="BRE1" s="1071"/>
      <c r="BRM1" s="1071"/>
      <c r="BRU1" s="1071"/>
      <c r="BSC1" s="1071"/>
      <c r="BSK1" s="1071"/>
      <c r="BSS1" s="1071"/>
      <c r="BTA1" s="1071"/>
      <c r="BTI1" s="1071"/>
      <c r="BTQ1" s="1071"/>
      <c r="BTY1" s="1071"/>
      <c r="BUG1" s="1071"/>
      <c r="BUO1" s="1071"/>
      <c r="BUW1" s="1071"/>
      <c r="BVE1" s="1071"/>
      <c r="BVM1" s="1071"/>
      <c r="BVU1" s="1071"/>
      <c r="BWC1" s="1071"/>
      <c r="BWK1" s="1071"/>
      <c r="BWS1" s="1071"/>
      <c r="BXA1" s="1071"/>
      <c r="BXI1" s="1071"/>
      <c r="BXQ1" s="1071"/>
      <c r="BXY1" s="1071"/>
      <c r="BYG1" s="1071"/>
      <c r="BYO1" s="1071"/>
      <c r="BYW1" s="1071"/>
      <c r="BZE1" s="1071"/>
      <c r="BZM1" s="1071"/>
      <c r="BZU1" s="1071"/>
      <c r="CAC1" s="1071"/>
      <c r="CAK1" s="1071"/>
      <c r="CAS1" s="1071"/>
      <c r="CBA1" s="1071"/>
      <c r="CBI1" s="1071"/>
      <c r="CBQ1" s="1071"/>
      <c r="CBY1" s="1071"/>
      <c r="CCG1" s="1071"/>
      <c r="CCO1" s="1071"/>
      <c r="CCW1" s="1071"/>
      <c r="CDE1" s="1071"/>
      <c r="CDM1" s="1071"/>
      <c r="CDU1" s="1071"/>
      <c r="CEC1" s="1071"/>
      <c r="CEK1" s="1071"/>
      <c r="CES1" s="1071"/>
      <c r="CFA1" s="1071"/>
      <c r="CFI1" s="1071"/>
      <c r="CFQ1" s="1071"/>
      <c r="CFY1" s="1071"/>
      <c r="CGG1" s="1071"/>
      <c r="CGO1" s="1071"/>
      <c r="CGW1" s="1071"/>
      <c r="CHE1" s="1071"/>
      <c r="CHM1" s="1071"/>
      <c r="CHU1" s="1071"/>
      <c r="CIC1" s="1071"/>
      <c r="CIK1" s="1071"/>
      <c r="CIS1" s="1071"/>
      <c r="CJA1" s="1071"/>
      <c r="CJI1" s="1071"/>
      <c r="CJQ1" s="1071"/>
      <c r="CJY1" s="1071"/>
      <c r="CKG1" s="1071"/>
      <c r="CKO1" s="1071"/>
      <c r="CKW1" s="1071"/>
      <c r="CLE1" s="1071"/>
      <c r="CLM1" s="1071"/>
      <c r="CLU1" s="1071"/>
      <c r="CMC1" s="1071"/>
      <c r="CMK1" s="1071"/>
      <c r="CMS1" s="1071"/>
      <c r="CNA1" s="1071"/>
      <c r="CNI1" s="1071"/>
      <c r="CNQ1" s="1071"/>
      <c r="CNY1" s="1071"/>
      <c r="COG1" s="1071"/>
      <c r="COO1" s="1071"/>
      <c r="COW1" s="1071"/>
      <c r="CPE1" s="1071"/>
      <c r="CPM1" s="1071"/>
      <c r="CPU1" s="1071"/>
      <c r="CQC1" s="1071"/>
      <c r="CQK1" s="1071"/>
      <c r="CQS1" s="1071"/>
      <c r="CRA1" s="1071"/>
      <c r="CRI1" s="1071"/>
      <c r="CRQ1" s="1071"/>
      <c r="CRY1" s="1071"/>
      <c r="CSG1" s="1071"/>
      <c r="CSO1" s="1071"/>
      <c r="CSW1" s="1071"/>
      <c r="CTE1" s="1071"/>
      <c r="CTM1" s="1071"/>
      <c r="CTU1" s="1071"/>
      <c r="CUC1" s="1071"/>
      <c r="CUK1" s="1071"/>
      <c r="CUS1" s="1071"/>
      <c r="CVA1" s="1071"/>
      <c r="CVI1" s="1071"/>
      <c r="CVQ1" s="1071"/>
      <c r="CVY1" s="1071"/>
      <c r="CWG1" s="1071"/>
      <c r="CWO1" s="1071"/>
      <c r="CWW1" s="1071"/>
      <c r="CXE1" s="1071"/>
      <c r="CXM1" s="1071"/>
      <c r="CXU1" s="1071"/>
      <c r="CYC1" s="1071"/>
      <c r="CYK1" s="1071"/>
      <c r="CYS1" s="1071"/>
      <c r="CZA1" s="1071"/>
      <c r="CZI1" s="1071"/>
      <c r="CZQ1" s="1071"/>
      <c r="CZY1" s="1071"/>
      <c r="DAG1" s="1071"/>
      <c r="DAO1" s="1071"/>
      <c r="DAW1" s="1071"/>
      <c r="DBE1" s="1071"/>
      <c r="DBM1" s="1071"/>
      <c r="DBU1" s="1071"/>
      <c r="DCC1" s="1071"/>
      <c r="DCK1" s="1071"/>
      <c r="DCS1" s="1071"/>
      <c r="DDA1" s="1071"/>
      <c r="DDI1" s="1071"/>
      <c r="DDQ1" s="1071"/>
      <c r="DDY1" s="1071"/>
      <c r="DEG1" s="1071"/>
      <c r="DEO1" s="1071"/>
      <c r="DEW1" s="1071"/>
      <c r="DFE1" s="1071"/>
      <c r="DFM1" s="1071"/>
      <c r="DFU1" s="1071"/>
      <c r="DGC1" s="1071"/>
      <c r="DGK1" s="1071"/>
      <c r="DGS1" s="1071"/>
      <c r="DHA1" s="1071"/>
      <c r="DHI1" s="1071"/>
      <c r="DHQ1" s="1071"/>
      <c r="DHY1" s="1071"/>
      <c r="DIG1" s="1071"/>
      <c r="DIO1" s="1071"/>
      <c r="DIW1" s="1071"/>
      <c r="DJE1" s="1071"/>
      <c r="DJM1" s="1071"/>
      <c r="DJU1" s="1071"/>
      <c r="DKC1" s="1071"/>
      <c r="DKK1" s="1071"/>
      <c r="DKS1" s="1071"/>
      <c r="DLA1" s="1071"/>
      <c r="DLI1" s="1071"/>
      <c r="DLQ1" s="1071"/>
      <c r="DLY1" s="1071"/>
      <c r="DMG1" s="1071"/>
      <c r="DMO1" s="1071"/>
      <c r="DMW1" s="1071"/>
      <c r="DNE1" s="1071"/>
      <c r="DNM1" s="1071"/>
      <c r="DNU1" s="1071"/>
      <c r="DOC1" s="1071"/>
      <c r="DOK1" s="1071"/>
      <c r="DOS1" s="1071"/>
      <c r="DPA1" s="1071"/>
      <c r="DPI1" s="1071"/>
      <c r="DPQ1" s="1071"/>
      <c r="DPY1" s="1071"/>
      <c r="DQG1" s="1071"/>
      <c r="DQO1" s="1071"/>
      <c r="DQW1" s="1071"/>
      <c r="DRE1" s="1071"/>
      <c r="DRM1" s="1071"/>
      <c r="DRU1" s="1071"/>
      <c r="DSC1" s="1071"/>
      <c r="DSK1" s="1071"/>
      <c r="DSS1" s="1071"/>
      <c r="DTA1" s="1071"/>
      <c r="DTI1" s="1071"/>
      <c r="DTQ1" s="1071"/>
      <c r="DTY1" s="1071"/>
      <c r="DUG1" s="1071"/>
      <c r="DUO1" s="1071"/>
      <c r="DUW1" s="1071"/>
      <c r="DVE1" s="1071"/>
      <c r="DVM1" s="1071"/>
      <c r="DVU1" s="1071"/>
      <c r="DWC1" s="1071"/>
      <c r="DWK1" s="1071"/>
      <c r="DWS1" s="1071"/>
      <c r="DXA1" s="1071"/>
      <c r="DXI1" s="1071"/>
      <c r="DXQ1" s="1071"/>
      <c r="DXY1" s="1071"/>
      <c r="DYG1" s="1071"/>
      <c r="DYO1" s="1071"/>
      <c r="DYW1" s="1071"/>
      <c r="DZE1" s="1071"/>
      <c r="DZM1" s="1071"/>
      <c r="DZU1" s="1071"/>
      <c r="EAC1" s="1071"/>
      <c r="EAK1" s="1071"/>
      <c r="EAS1" s="1071"/>
      <c r="EBA1" s="1071"/>
      <c r="EBI1" s="1071"/>
      <c r="EBQ1" s="1071"/>
      <c r="EBY1" s="1071"/>
      <c r="ECG1" s="1071"/>
      <c r="ECO1" s="1071"/>
      <c r="ECW1" s="1071"/>
      <c r="EDE1" s="1071"/>
      <c r="EDM1" s="1071"/>
      <c r="EDU1" s="1071"/>
      <c r="EEC1" s="1071"/>
      <c r="EEK1" s="1071"/>
      <c r="EES1" s="1071"/>
      <c r="EFA1" s="1071"/>
      <c r="EFI1" s="1071"/>
      <c r="EFQ1" s="1071"/>
      <c r="EFY1" s="1071"/>
      <c r="EGG1" s="1071"/>
      <c r="EGO1" s="1071"/>
      <c r="EGW1" s="1071"/>
      <c r="EHE1" s="1071"/>
      <c r="EHM1" s="1071"/>
      <c r="EHU1" s="1071"/>
      <c r="EIC1" s="1071"/>
      <c r="EIK1" s="1071"/>
      <c r="EIS1" s="1071"/>
      <c r="EJA1" s="1071"/>
      <c r="EJI1" s="1071"/>
      <c r="EJQ1" s="1071"/>
      <c r="EJY1" s="1071"/>
      <c r="EKG1" s="1071"/>
      <c r="EKO1" s="1071"/>
      <c r="EKW1" s="1071"/>
      <c r="ELE1" s="1071"/>
      <c r="ELM1" s="1071"/>
      <c r="ELU1" s="1071"/>
      <c r="EMC1" s="1071"/>
      <c r="EMK1" s="1071"/>
      <c r="EMS1" s="1071"/>
      <c r="ENA1" s="1071"/>
      <c r="ENI1" s="1071"/>
      <c r="ENQ1" s="1071"/>
      <c r="ENY1" s="1071"/>
      <c r="EOG1" s="1071"/>
      <c r="EOO1" s="1071"/>
      <c r="EOW1" s="1071"/>
      <c r="EPE1" s="1071"/>
      <c r="EPM1" s="1071"/>
      <c r="EPU1" s="1071"/>
      <c r="EQC1" s="1071"/>
      <c r="EQK1" s="1071"/>
      <c r="EQS1" s="1071"/>
      <c r="ERA1" s="1071"/>
      <c r="ERI1" s="1071"/>
      <c r="ERQ1" s="1071"/>
      <c r="ERY1" s="1071"/>
      <c r="ESG1" s="1071"/>
      <c r="ESO1" s="1071"/>
      <c r="ESW1" s="1071"/>
      <c r="ETE1" s="1071"/>
      <c r="ETM1" s="1071"/>
      <c r="ETU1" s="1071"/>
      <c r="EUC1" s="1071"/>
      <c r="EUK1" s="1071"/>
      <c r="EUS1" s="1071"/>
      <c r="EVA1" s="1071"/>
      <c r="EVI1" s="1071"/>
      <c r="EVQ1" s="1071"/>
      <c r="EVY1" s="1071"/>
      <c r="EWG1" s="1071"/>
      <c r="EWO1" s="1071"/>
      <c r="EWW1" s="1071"/>
      <c r="EXE1" s="1071"/>
      <c r="EXM1" s="1071"/>
      <c r="EXU1" s="1071"/>
      <c r="EYC1" s="1071"/>
      <c r="EYK1" s="1071"/>
      <c r="EYS1" s="1071"/>
      <c r="EZA1" s="1071"/>
      <c r="EZI1" s="1071"/>
      <c r="EZQ1" s="1071"/>
      <c r="EZY1" s="1071"/>
      <c r="FAG1" s="1071"/>
      <c r="FAO1" s="1071"/>
      <c r="FAW1" s="1071"/>
      <c r="FBE1" s="1071"/>
      <c r="FBM1" s="1071"/>
      <c r="FBU1" s="1071"/>
      <c r="FCC1" s="1071"/>
      <c r="FCK1" s="1071"/>
      <c r="FCS1" s="1071"/>
      <c r="FDA1" s="1071"/>
      <c r="FDI1" s="1071"/>
      <c r="FDQ1" s="1071"/>
      <c r="FDY1" s="1071"/>
      <c r="FEG1" s="1071"/>
      <c r="FEO1" s="1071"/>
      <c r="FEW1" s="1071"/>
      <c r="FFE1" s="1071"/>
      <c r="FFM1" s="1071"/>
      <c r="FFU1" s="1071"/>
      <c r="FGC1" s="1071"/>
      <c r="FGK1" s="1071"/>
      <c r="FGS1" s="1071"/>
      <c r="FHA1" s="1071"/>
      <c r="FHI1" s="1071"/>
      <c r="FHQ1" s="1071"/>
      <c r="FHY1" s="1071"/>
      <c r="FIG1" s="1071"/>
      <c r="FIO1" s="1071"/>
      <c r="FIW1" s="1071"/>
      <c r="FJE1" s="1071"/>
      <c r="FJM1" s="1071"/>
      <c r="FJU1" s="1071"/>
      <c r="FKC1" s="1071"/>
      <c r="FKK1" s="1071"/>
      <c r="FKS1" s="1071"/>
      <c r="FLA1" s="1071"/>
      <c r="FLI1" s="1071"/>
      <c r="FLQ1" s="1071"/>
      <c r="FLY1" s="1071"/>
      <c r="FMG1" s="1071"/>
      <c r="FMO1" s="1071"/>
      <c r="FMW1" s="1071"/>
      <c r="FNE1" s="1071"/>
      <c r="FNM1" s="1071"/>
      <c r="FNU1" s="1071"/>
      <c r="FOC1" s="1071"/>
      <c r="FOK1" s="1071"/>
      <c r="FOS1" s="1071"/>
      <c r="FPA1" s="1071"/>
      <c r="FPI1" s="1071"/>
      <c r="FPQ1" s="1071"/>
      <c r="FPY1" s="1071"/>
      <c r="FQG1" s="1071"/>
      <c r="FQO1" s="1071"/>
      <c r="FQW1" s="1071"/>
      <c r="FRE1" s="1071"/>
      <c r="FRM1" s="1071"/>
      <c r="FRU1" s="1071"/>
      <c r="FSC1" s="1071"/>
      <c r="FSK1" s="1071"/>
      <c r="FSS1" s="1071"/>
      <c r="FTA1" s="1071"/>
      <c r="FTI1" s="1071"/>
      <c r="FTQ1" s="1071"/>
      <c r="FTY1" s="1071"/>
      <c r="FUG1" s="1071"/>
      <c r="FUO1" s="1071"/>
      <c r="FUW1" s="1071"/>
      <c r="FVE1" s="1071"/>
      <c r="FVM1" s="1071"/>
      <c r="FVU1" s="1071"/>
      <c r="FWC1" s="1071"/>
      <c r="FWK1" s="1071"/>
      <c r="FWS1" s="1071"/>
      <c r="FXA1" s="1071"/>
      <c r="FXI1" s="1071"/>
      <c r="FXQ1" s="1071"/>
      <c r="FXY1" s="1071"/>
      <c r="FYG1" s="1071"/>
      <c r="FYO1" s="1071"/>
      <c r="FYW1" s="1071"/>
      <c r="FZE1" s="1071"/>
      <c r="FZM1" s="1071"/>
      <c r="FZU1" s="1071"/>
      <c r="GAC1" s="1071"/>
      <c r="GAK1" s="1071"/>
      <c r="GAS1" s="1071"/>
      <c r="GBA1" s="1071"/>
      <c r="GBI1" s="1071"/>
      <c r="GBQ1" s="1071"/>
      <c r="GBY1" s="1071"/>
      <c r="GCG1" s="1071"/>
      <c r="GCO1" s="1071"/>
      <c r="GCW1" s="1071"/>
      <c r="GDE1" s="1071"/>
      <c r="GDM1" s="1071"/>
      <c r="GDU1" s="1071"/>
      <c r="GEC1" s="1071"/>
      <c r="GEK1" s="1071"/>
      <c r="GES1" s="1071"/>
      <c r="GFA1" s="1071"/>
      <c r="GFI1" s="1071"/>
      <c r="GFQ1" s="1071"/>
      <c r="GFY1" s="1071"/>
      <c r="GGG1" s="1071"/>
      <c r="GGO1" s="1071"/>
      <c r="GGW1" s="1071"/>
      <c r="GHE1" s="1071"/>
      <c r="GHM1" s="1071"/>
      <c r="GHU1" s="1071"/>
      <c r="GIC1" s="1071"/>
      <c r="GIK1" s="1071"/>
      <c r="GIS1" s="1071"/>
      <c r="GJA1" s="1071"/>
      <c r="GJI1" s="1071"/>
      <c r="GJQ1" s="1071"/>
      <c r="GJY1" s="1071"/>
      <c r="GKG1" s="1071"/>
      <c r="GKO1" s="1071"/>
      <c r="GKW1" s="1071"/>
      <c r="GLE1" s="1071"/>
      <c r="GLM1" s="1071"/>
      <c r="GLU1" s="1071"/>
      <c r="GMC1" s="1071"/>
      <c r="GMK1" s="1071"/>
      <c r="GMS1" s="1071"/>
      <c r="GNA1" s="1071"/>
      <c r="GNI1" s="1071"/>
      <c r="GNQ1" s="1071"/>
      <c r="GNY1" s="1071"/>
      <c r="GOG1" s="1071"/>
      <c r="GOO1" s="1071"/>
      <c r="GOW1" s="1071"/>
      <c r="GPE1" s="1071"/>
      <c r="GPM1" s="1071"/>
      <c r="GPU1" s="1071"/>
      <c r="GQC1" s="1071"/>
      <c r="GQK1" s="1071"/>
      <c r="GQS1" s="1071"/>
      <c r="GRA1" s="1071"/>
      <c r="GRI1" s="1071"/>
      <c r="GRQ1" s="1071"/>
      <c r="GRY1" s="1071"/>
      <c r="GSG1" s="1071"/>
      <c r="GSO1" s="1071"/>
      <c r="GSW1" s="1071"/>
      <c r="GTE1" s="1071"/>
      <c r="GTM1" s="1071"/>
      <c r="GTU1" s="1071"/>
      <c r="GUC1" s="1071"/>
      <c r="GUK1" s="1071"/>
      <c r="GUS1" s="1071"/>
      <c r="GVA1" s="1071"/>
      <c r="GVI1" s="1071"/>
      <c r="GVQ1" s="1071"/>
      <c r="GVY1" s="1071"/>
      <c r="GWG1" s="1071"/>
      <c r="GWO1" s="1071"/>
      <c r="GWW1" s="1071"/>
      <c r="GXE1" s="1071"/>
      <c r="GXM1" s="1071"/>
      <c r="GXU1" s="1071"/>
      <c r="GYC1" s="1071"/>
      <c r="GYK1" s="1071"/>
      <c r="GYS1" s="1071"/>
      <c r="GZA1" s="1071"/>
      <c r="GZI1" s="1071"/>
      <c r="GZQ1" s="1071"/>
      <c r="GZY1" s="1071"/>
      <c r="HAG1" s="1071"/>
      <c r="HAO1" s="1071"/>
      <c r="HAW1" s="1071"/>
      <c r="HBE1" s="1071"/>
      <c r="HBM1" s="1071"/>
      <c r="HBU1" s="1071"/>
      <c r="HCC1" s="1071"/>
      <c r="HCK1" s="1071"/>
      <c r="HCS1" s="1071"/>
      <c r="HDA1" s="1071"/>
      <c r="HDI1" s="1071"/>
      <c r="HDQ1" s="1071"/>
      <c r="HDY1" s="1071"/>
      <c r="HEG1" s="1071"/>
      <c r="HEO1" s="1071"/>
      <c r="HEW1" s="1071"/>
      <c r="HFE1" s="1071"/>
      <c r="HFM1" s="1071"/>
      <c r="HFU1" s="1071"/>
      <c r="HGC1" s="1071"/>
      <c r="HGK1" s="1071"/>
      <c r="HGS1" s="1071"/>
      <c r="HHA1" s="1071"/>
      <c r="HHI1" s="1071"/>
      <c r="HHQ1" s="1071"/>
      <c r="HHY1" s="1071"/>
      <c r="HIG1" s="1071"/>
      <c r="HIO1" s="1071"/>
      <c r="HIW1" s="1071"/>
      <c r="HJE1" s="1071"/>
      <c r="HJM1" s="1071"/>
      <c r="HJU1" s="1071"/>
      <c r="HKC1" s="1071"/>
      <c r="HKK1" s="1071"/>
      <c r="HKS1" s="1071"/>
      <c r="HLA1" s="1071"/>
      <c r="HLI1" s="1071"/>
      <c r="HLQ1" s="1071"/>
      <c r="HLY1" s="1071"/>
      <c r="HMG1" s="1071"/>
      <c r="HMO1" s="1071"/>
      <c r="HMW1" s="1071"/>
      <c r="HNE1" s="1071"/>
      <c r="HNM1" s="1071"/>
      <c r="HNU1" s="1071"/>
      <c r="HOC1" s="1071"/>
      <c r="HOK1" s="1071"/>
      <c r="HOS1" s="1071"/>
      <c r="HPA1" s="1071"/>
      <c r="HPI1" s="1071"/>
      <c r="HPQ1" s="1071"/>
      <c r="HPY1" s="1071"/>
      <c r="HQG1" s="1071"/>
      <c r="HQO1" s="1071"/>
      <c r="HQW1" s="1071"/>
      <c r="HRE1" s="1071"/>
      <c r="HRM1" s="1071"/>
      <c r="HRU1" s="1071"/>
      <c r="HSC1" s="1071"/>
      <c r="HSK1" s="1071"/>
      <c r="HSS1" s="1071"/>
      <c r="HTA1" s="1071"/>
      <c r="HTI1" s="1071"/>
      <c r="HTQ1" s="1071"/>
      <c r="HTY1" s="1071"/>
      <c r="HUG1" s="1071"/>
      <c r="HUO1" s="1071"/>
      <c r="HUW1" s="1071"/>
      <c r="HVE1" s="1071"/>
      <c r="HVM1" s="1071"/>
      <c r="HVU1" s="1071"/>
      <c r="HWC1" s="1071"/>
      <c r="HWK1" s="1071"/>
      <c r="HWS1" s="1071"/>
      <c r="HXA1" s="1071"/>
      <c r="HXI1" s="1071"/>
      <c r="HXQ1" s="1071"/>
      <c r="HXY1" s="1071"/>
      <c r="HYG1" s="1071"/>
      <c r="HYO1" s="1071"/>
      <c r="HYW1" s="1071"/>
      <c r="HZE1" s="1071"/>
      <c r="HZM1" s="1071"/>
      <c r="HZU1" s="1071"/>
      <c r="IAC1" s="1071"/>
      <c r="IAK1" s="1071"/>
      <c r="IAS1" s="1071"/>
      <c r="IBA1" s="1071"/>
      <c r="IBI1" s="1071"/>
      <c r="IBQ1" s="1071"/>
      <c r="IBY1" s="1071"/>
      <c r="ICG1" s="1071"/>
      <c r="ICO1" s="1071"/>
      <c r="ICW1" s="1071"/>
      <c r="IDE1" s="1071"/>
      <c r="IDM1" s="1071"/>
      <c r="IDU1" s="1071"/>
      <c r="IEC1" s="1071"/>
      <c r="IEK1" s="1071"/>
      <c r="IES1" s="1071"/>
      <c r="IFA1" s="1071"/>
      <c r="IFI1" s="1071"/>
      <c r="IFQ1" s="1071"/>
      <c r="IFY1" s="1071"/>
      <c r="IGG1" s="1071"/>
      <c r="IGO1" s="1071"/>
      <c r="IGW1" s="1071"/>
      <c r="IHE1" s="1071"/>
      <c r="IHM1" s="1071"/>
      <c r="IHU1" s="1071"/>
      <c r="IIC1" s="1071"/>
      <c r="IIK1" s="1071"/>
      <c r="IIS1" s="1071"/>
      <c r="IJA1" s="1071"/>
      <c r="IJI1" s="1071"/>
      <c r="IJQ1" s="1071"/>
      <c r="IJY1" s="1071"/>
      <c r="IKG1" s="1071"/>
      <c r="IKO1" s="1071"/>
      <c r="IKW1" s="1071"/>
      <c r="ILE1" s="1071"/>
      <c r="ILM1" s="1071"/>
      <c r="ILU1" s="1071"/>
      <c r="IMC1" s="1071"/>
      <c r="IMK1" s="1071"/>
      <c r="IMS1" s="1071"/>
      <c r="INA1" s="1071"/>
      <c r="INI1" s="1071"/>
      <c r="INQ1" s="1071"/>
      <c r="INY1" s="1071"/>
      <c r="IOG1" s="1071"/>
      <c r="IOO1" s="1071"/>
      <c r="IOW1" s="1071"/>
      <c r="IPE1" s="1071"/>
      <c r="IPM1" s="1071"/>
      <c r="IPU1" s="1071"/>
      <c r="IQC1" s="1071"/>
      <c r="IQK1" s="1071"/>
      <c r="IQS1" s="1071"/>
      <c r="IRA1" s="1071"/>
      <c r="IRI1" s="1071"/>
      <c r="IRQ1" s="1071"/>
      <c r="IRY1" s="1071"/>
      <c r="ISG1" s="1071"/>
      <c r="ISO1" s="1071"/>
      <c r="ISW1" s="1071"/>
      <c r="ITE1" s="1071"/>
      <c r="ITM1" s="1071"/>
      <c r="ITU1" s="1071"/>
      <c r="IUC1" s="1071"/>
      <c r="IUK1" s="1071"/>
      <c r="IUS1" s="1071"/>
      <c r="IVA1" s="1071"/>
      <c r="IVI1" s="1071"/>
      <c r="IVQ1" s="1071"/>
      <c r="IVY1" s="1071"/>
      <c r="IWG1" s="1071"/>
      <c r="IWO1" s="1071"/>
      <c r="IWW1" s="1071"/>
      <c r="IXE1" s="1071"/>
      <c r="IXM1" s="1071"/>
      <c r="IXU1" s="1071"/>
      <c r="IYC1" s="1071"/>
      <c r="IYK1" s="1071"/>
      <c r="IYS1" s="1071"/>
      <c r="IZA1" s="1071"/>
      <c r="IZI1" s="1071"/>
      <c r="IZQ1" s="1071"/>
      <c r="IZY1" s="1071"/>
      <c r="JAG1" s="1071"/>
      <c r="JAO1" s="1071"/>
      <c r="JAW1" s="1071"/>
      <c r="JBE1" s="1071"/>
      <c r="JBM1" s="1071"/>
      <c r="JBU1" s="1071"/>
      <c r="JCC1" s="1071"/>
      <c r="JCK1" s="1071"/>
      <c r="JCS1" s="1071"/>
      <c r="JDA1" s="1071"/>
      <c r="JDI1" s="1071"/>
      <c r="JDQ1" s="1071"/>
      <c r="JDY1" s="1071"/>
      <c r="JEG1" s="1071"/>
      <c r="JEO1" s="1071"/>
      <c r="JEW1" s="1071"/>
      <c r="JFE1" s="1071"/>
      <c r="JFM1" s="1071"/>
      <c r="JFU1" s="1071"/>
      <c r="JGC1" s="1071"/>
      <c r="JGK1" s="1071"/>
      <c r="JGS1" s="1071"/>
      <c r="JHA1" s="1071"/>
      <c r="JHI1" s="1071"/>
      <c r="JHQ1" s="1071"/>
      <c r="JHY1" s="1071"/>
      <c r="JIG1" s="1071"/>
      <c r="JIO1" s="1071"/>
      <c r="JIW1" s="1071"/>
      <c r="JJE1" s="1071"/>
      <c r="JJM1" s="1071"/>
      <c r="JJU1" s="1071"/>
      <c r="JKC1" s="1071"/>
      <c r="JKK1" s="1071"/>
      <c r="JKS1" s="1071"/>
      <c r="JLA1" s="1071"/>
      <c r="JLI1" s="1071"/>
      <c r="JLQ1" s="1071"/>
      <c r="JLY1" s="1071"/>
      <c r="JMG1" s="1071"/>
      <c r="JMO1" s="1071"/>
      <c r="JMW1" s="1071"/>
      <c r="JNE1" s="1071"/>
      <c r="JNM1" s="1071"/>
      <c r="JNU1" s="1071"/>
      <c r="JOC1" s="1071"/>
      <c r="JOK1" s="1071"/>
      <c r="JOS1" s="1071"/>
      <c r="JPA1" s="1071"/>
      <c r="JPI1" s="1071"/>
      <c r="JPQ1" s="1071"/>
      <c r="JPY1" s="1071"/>
      <c r="JQG1" s="1071"/>
      <c r="JQO1" s="1071"/>
      <c r="JQW1" s="1071"/>
      <c r="JRE1" s="1071"/>
      <c r="JRM1" s="1071"/>
      <c r="JRU1" s="1071"/>
      <c r="JSC1" s="1071"/>
      <c r="JSK1" s="1071"/>
      <c r="JSS1" s="1071"/>
      <c r="JTA1" s="1071"/>
      <c r="JTI1" s="1071"/>
      <c r="JTQ1" s="1071"/>
      <c r="JTY1" s="1071"/>
      <c r="JUG1" s="1071"/>
      <c r="JUO1" s="1071"/>
      <c r="JUW1" s="1071"/>
      <c r="JVE1" s="1071"/>
      <c r="JVM1" s="1071"/>
      <c r="JVU1" s="1071"/>
      <c r="JWC1" s="1071"/>
      <c r="JWK1" s="1071"/>
      <c r="JWS1" s="1071"/>
      <c r="JXA1" s="1071"/>
      <c r="JXI1" s="1071"/>
      <c r="JXQ1" s="1071"/>
      <c r="JXY1" s="1071"/>
      <c r="JYG1" s="1071"/>
      <c r="JYO1" s="1071"/>
      <c r="JYW1" s="1071"/>
      <c r="JZE1" s="1071"/>
      <c r="JZM1" s="1071"/>
      <c r="JZU1" s="1071"/>
      <c r="KAC1" s="1071"/>
      <c r="KAK1" s="1071"/>
      <c r="KAS1" s="1071"/>
      <c r="KBA1" s="1071"/>
      <c r="KBI1" s="1071"/>
      <c r="KBQ1" s="1071"/>
      <c r="KBY1" s="1071"/>
      <c r="KCG1" s="1071"/>
      <c r="KCO1" s="1071"/>
      <c r="KCW1" s="1071"/>
      <c r="KDE1" s="1071"/>
      <c r="KDM1" s="1071"/>
      <c r="KDU1" s="1071"/>
      <c r="KEC1" s="1071"/>
      <c r="KEK1" s="1071"/>
      <c r="KES1" s="1071"/>
      <c r="KFA1" s="1071"/>
      <c r="KFI1" s="1071"/>
      <c r="KFQ1" s="1071"/>
      <c r="KFY1" s="1071"/>
      <c r="KGG1" s="1071"/>
      <c r="KGO1" s="1071"/>
      <c r="KGW1" s="1071"/>
      <c r="KHE1" s="1071"/>
      <c r="KHM1" s="1071"/>
      <c r="KHU1" s="1071"/>
      <c r="KIC1" s="1071"/>
      <c r="KIK1" s="1071"/>
      <c r="KIS1" s="1071"/>
      <c r="KJA1" s="1071"/>
      <c r="KJI1" s="1071"/>
      <c r="KJQ1" s="1071"/>
      <c r="KJY1" s="1071"/>
      <c r="KKG1" s="1071"/>
      <c r="KKO1" s="1071"/>
      <c r="KKW1" s="1071"/>
      <c r="KLE1" s="1071"/>
      <c r="KLM1" s="1071"/>
      <c r="KLU1" s="1071"/>
      <c r="KMC1" s="1071"/>
      <c r="KMK1" s="1071"/>
      <c r="KMS1" s="1071"/>
      <c r="KNA1" s="1071"/>
      <c r="KNI1" s="1071"/>
      <c r="KNQ1" s="1071"/>
      <c r="KNY1" s="1071"/>
      <c r="KOG1" s="1071"/>
      <c r="KOO1" s="1071"/>
      <c r="KOW1" s="1071"/>
      <c r="KPE1" s="1071"/>
      <c r="KPM1" s="1071"/>
      <c r="KPU1" s="1071"/>
      <c r="KQC1" s="1071"/>
      <c r="KQK1" s="1071"/>
      <c r="KQS1" s="1071"/>
      <c r="KRA1" s="1071"/>
      <c r="KRI1" s="1071"/>
      <c r="KRQ1" s="1071"/>
      <c r="KRY1" s="1071"/>
      <c r="KSG1" s="1071"/>
      <c r="KSO1" s="1071"/>
      <c r="KSW1" s="1071"/>
      <c r="KTE1" s="1071"/>
      <c r="KTM1" s="1071"/>
      <c r="KTU1" s="1071"/>
      <c r="KUC1" s="1071"/>
      <c r="KUK1" s="1071"/>
      <c r="KUS1" s="1071"/>
      <c r="KVA1" s="1071"/>
      <c r="KVI1" s="1071"/>
      <c r="KVQ1" s="1071"/>
      <c r="KVY1" s="1071"/>
      <c r="KWG1" s="1071"/>
      <c r="KWO1" s="1071"/>
      <c r="KWW1" s="1071"/>
      <c r="KXE1" s="1071"/>
      <c r="KXM1" s="1071"/>
      <c r="KXU1" s="1071"/>
      <c r="KYC1" s="1071"/>
      <c r="KYK1" s="1071"/>
      <c r="KYS1" s="1071"/>
      <c r="KZA1" s="1071"/>
      <c r="KZI1" s="1071"/>
      <c r="KZQ1" s="1071"/>
      <c r="KZY1" s="1071"/>
      <c r="LAG1" s="1071"/>
      <c r="LAO1" s="1071"/>
      <c r="LAW1" s="1071"/>
      <c r="LBE1" s="1071"/>
      <c r="LBM1" s="1071"/>
      <c r="LBU1" s="1071"/>
      <c r="LCC1" s="1071"/>
      <c r="LCK1" s="1071"/>
      <c r="LCS1" s="1071"/>
      <c r="LDA1" s="1071"/>
      <c r="LDI1" s="1071"/>
      <c r="LDQ1" s="1071"/>
      <c r="LDY1" s="1071"/>
      <c r="LEG1" s="1071"/>
      <c r="LEO1" s="1071"/>
      <c r="LEW1" s="1071"/>
      <c r="LFE1" s="1071"/>
      <c r="LFM1" s="1071"/>
      <c r="LFU1" s="1071"/>
      <c r="LGC1" s="1071"/>
      <c r="LGK1" s="1071"/>
      <c r="LGS1" s="1071"/>
      <c r="LHA1" s="1071"/>
      <c r="LHI1" s="1071"/>
      <c r="LHQ1" s="1071"/>
      <c r="LHY1" s="1071"/>
      <c r="LIG1" s="1071"/>
      <c r="LIO1" s="1071"/>
      <c r="LIW1" s="1071"/>
      <c r="LJE1" s="1071"/>
      <c r="LJM1" s="1071"/>
      <c r="LJU1" s="1071"/>
      <c r="LKC1" s="1071"/>
      <c r="LKK1" s="1071"/>
      <c r="LKS1" s="1071"/>
      <c r="LLA1" s="1071"/>
      <c r="LLI1" s="1071"/>
      <c r="LLQ1" s="1071"/>
      <c r="LLY1" s="1071"/>
      <c r="LMG1" s="1071"/>
      <c r="LMO1" s="1071"/>
      <c r="LMW1" s="1071"/>
      <c r="LNE1" s="1071"/>
      <c r="LNM1" s="1071"/>
      <c r="LNU1" s="1071"/>
      <c r="LOC1" s="1071"/>
      <c r="LOK1" s="1071"/>
      <c r="LOS1" s="1071"/>
      <c r="LPA1" s="1071"/>
      <c r="LPI1" s="1071"/>
      <c r="LPQ1" s="1071"/>
      <c r="LPY1" s="1071"/>
      <c r="LQG1" s="1071"/>
      <c r="LQO1" s="1071"/>
      <c r="LQW1" s="1071"/>
      <c r="LRE1" s="1071"/>
      <c r="LRM1" s="1071"/>
      <c r="LRU1" s="1071"/>
      <c r="LSC1" s="1071"/>
      <c r="LSK1" s="1071"/>
      <c r="LSS1" s="1071"/>
      <c r="LTA1" s="1071"/>
      <c r="LTI1" s="1071"/>
      <c r="LTQ1" s="1071"/>
      <c r="LTY1" s="1071"/>
      <c r="LUG1" s="1071"/>
      <c r="LUO1" s="1071"/>
      <c r="LUW1" s="1071"/>
      <c r="LVE1" s="1071"/>
      <c r="LVM1" s="1071"/>
      <c r="LVU1" s="1071"/>
      <c r="LWC1" s="1071"/>
      <c r="LWK1" s="1071"/>
      <c r="LWS1" s="1071"/>
      <c r="LXA1" s="1071"/>
      <c r="LXI1" s="1071"/>
      <c r="LXQ1" s="1071"/>
      <c r="LXY1" s="1071"/>
      <c r="LYG1" s="1071"/>
      <c r="LYO1" s="1071"/>
      <c r="LYW1" s="1071"/>
      <c r="LZE1" s="1071"/>
      <c r="LZM1" s="1071"/>
      <c r="LZU1" s="1071"/>
      <c r="MAC1" s="1071"/>
      <c r="MAK1" s="1071"/>
      <c r="MAS1" s="1071"/>
      <c r="MBA1" s="1071"/>
      <c r="MBI1" s="1071"/>
      <c r="MBQ1" s="1071"/>
      <c r="MBY1" s="1071"/>
      <c r="MCG1" s="1071"/>
      <c r="MCO1" s="1071"/>
      <c r="MCW1" s="1071"/>
      <c r="MDE1" s="1071"/>
      <c r="MDM1" s="1071"/>
      <c r="MDU1" s="1071"/>
      <c r="MEC1" s="1071"/>
      <c r="MEK1" s="1071"/>
      <c r="MES1" s="1071"/>
      <c r="MFA1" s="1071"/>
      <c r="MFI1" s="1071"/>
      <c r="MFQ1" s="1071"/>
      <c r="MFY1" s="1071"/>
      <c r="MGG1" s="1071"/>
      <c r="MGO1" s="1071"/>
      <c r="MGW1" s="1071"/>
      <c r="MHE1" s="1071"/>
      <c r="MHM1" s="1071"/>
      <c r="MHU1" s="1071"/>
      <c r="MIC1" s="1071"/>
      <c r="MIK1" s="1071"/>
      <c r="MIS1" s="1071"/>
      <c r="MJA1" s="1071"/>
      <c r="MJI1" s="1071"/>
      <c r="MJQ1" s="1071"/>
      <c r="MJY1" s="1071"/>
      <c r="MKG1" s="1071"/>
      <c r="MKO1" s="1071"/>
      <c r="MKW1" s="1071"/>
      <c r="MLE1" s="1071"/>
      <c r="MLM1" s="1071"/>
      <c r="MLU1" s="1071"/>
      <c r="MMC1" s="1071"/>
      <c r="MMK1" s="1071"/>
      <c r="MMS1" s="1071"/>
      <c r="MNA1" s="1071"/>
      <c r="MNI1" s="1071"/>
      <c r="MNQ1" s="1071"/>
      <c r="MNY1" s="1071"/>
      <c r="MOG1" s="1071"/>
      <c r="MOO1" s="1071"/>
      <c r="MOW1" s="1071"/>
      <c r="MPE1" s="1071"/>
      <c r="MPM1" s="1071"/>
      <c r="MPU1" s="1071"/>
      <c r="MQC1" s="1071"/>
      <c r="MQK1" s="1071"/>
      <c r="MQS1" s="1071"/>
      <c r="MRA1" s="1071"/>
      <c r="MRI1" s="1071"/>
      <c r="MRQ1" s="1071"/>
      <c r="MRY1" s="1071"/>
      <c r="MSG1" s="1071"/>
      <c r="MSO1" s="1071"/>
      <c r="MSW1" s="1071"/>
      <c r="MTE1" s="1071"/>
      <c r="MTM1" s="1071"/>
      <c r="MTU1" s="1071"/>
      <c r="MUC1" s="1071"/>
      <c r="MUK1" s="1071"/>
      <c r="MUS1" s="1071"/>
      <c r="MVA1" s="1071"/>
      <c r="MVI1" s="1071"/>
      <c r="MVQ1" s="1071"/>
      <c r="MVY1" s="1071"/>
      <c r="MWG1" s="1071"/>
      <c r="MWO1" s="1071"/>
      <c r="MWW1" s="1071"/>
      <c r="MXE1" s="1071"/>
      <c r="MXM1" s="1071"/>
      <c r="MXU1" s="1071"/>
      <c r="MYC1" s="1071"/>
      <c r="MYK1" s="1071"/>
      <c r="MYS1" s="1071"/>
      <c r="MZA1" s="1071"/>
      <c r="MZI1" s="1071"/>
      <c r="MZQ1" s="1071"/>
      <c r="MZY1" s="1071"/>
      <c r="NAG1" s="1071"/>
      <c r="NAO1" s="1071"/>
      <c r="NAW1" s="1071"/>
      <c r="NBE1" s="1071"/>
      <c r="NBM1" s="1071"/>
      <c r="NBU1" s="1071"/>
      <c r="NCC1" s="1071"/>
      <c r="NCK1" s="1071"/>
      <c r="NCS1" s="1071"/>
      <c r="NDA1" s="1071"/>
      <c r="NDI1" s="1071"/>
      <c r="NDQ1" s="1071"/>
      <c r="NDY1" s="1071"/>
      <c r="NEG1" s="1071"/>
      <c r="NEO1" s="1071"/>
      <c r="NEW1" s="1071"/>
      <c r="NFE1" s="1071"/>
      <c r="NFM1" s="1071"/>
      <c r="NFU1" s="1071"/>
      <c r="NGC1" s="1071"/>
      <c r="NGK1" s="1071"/>
      <c r="NGS1" s="1071"/>
      <c r="NHA1" s="1071"/>
      <c r="NHI1" s="1071"/>
      <c r="NHQ1" s="1071"/>
      <c r="NHY1" s="1071"/>
      <c r="NIG1" s="1071"/>
      <c r="NIO1" s="1071"/>
      <c r="NIW1" s="1071"/>
      <c r="NJE1" s="1071"/>
      <c r="NJM1" s="1071"/>
      <c r="NJU1" s="1071"/>
      <c r="NKC1" s="1071"/>
      <c r="NKK1" s="1071"/>
      <c r="NKS1" s="1071"/>
      <c r="NLA1" s="1071"/>
      <c r="NLI1" s="1071"/>
      <c r="NLQ1" s="1071"/>
      <c r="NLY1" s="1071"/>
      <c r="NMG1" s="1071"/>
      <c r="NMO1" s="1071"/>
      <c r="NMW1" s="1071"/>
      <c r="NNE1" s="1071"/>
      <c r="NNM1" s="1071"/>
      <c r="NNU1" s="1071"/>
      <c r="NOC1" s="1071"/>
      <c r="NOK1" s="1071"/>
      <c r="NOS1" s="1071"/>
      <c r="NPA1" s="1071"/>
      <c r="NPI1" s="1071"/>
      <c r="NPQ1" s="1071"/>
      <c r="NPY1" s="1071"/>
      <c r="NQG1" s="1071"/>
      <c r="NQO1" s="1071"/>
      <c r="NQW1" s="1071"/>
      <c r="NRE1" s="1071"/>
      <c r="NRM1" s="1071"/>
      <c r="NRU1" s="1071"/>
      <c r="NSC1" s="1071"/>
      <c r="NSK1" s="1071"/>
      <c r="NSS1" s="1071"/>
      <c r="NTA1" s="1071"/>
      <c r="NTI1" s="1071"/>
      <c r="NTQ1" s="1071"/>
      <c r="NTY1" s="1071"/>
      <c r="NUG1" s="1071"/>
      <c r="NUO1" s="1071"/>
      <c r="NUW1" s="1071"/>
      <c r="NVE1" s="1071"/>
      <c r="NVM1" s="1071"/>
      <c r="NVU1" s="1071"/>
      <c r="NWC1" s="1071"/>
      <c r="NWK1" s="1071"/>
      <c r="NWS1" s="1071"/>
      <c r="NXA1" s="1071"/>
      <c r="NXI1" s="1071"/>
      <c r="NXQ1" s="1071"/>
      <c r="NXY1" s="1071"/>
      <c r="NYG1" s="1071"/>
      <c r="NYO1" s="1071"/>
      <c r="NYW1" s="1071"/>
      <c r="NZE1" s="1071"/>
      <c r="NZM1" s="1071"/>
      <c r="NZU1" s="1071"/>
      <c r="OAC1" s="1071"/>
      <c r="OAK1" s="1071"/>
      <c r="OAS1" s="1071"/>
      <c r="OBA1" s="1071"/>
      <c r="OBI1" s="1071"/>
      <c r="OBQ1" s="1071"/>
      <c r="OBY1" s="1071"/>
      <c r="OCG1" s="1071"/>
      <c r="OCO1" s="1071"/>
      <c r="OCW1" s="1071"/>
      <c r="ODE1" s="1071"/>
      <c r="ODM1" s="1071"/>
      <c r="ODU1" s="1071"/>
      <c r="OEC1" s="1071"/>
      <c r="OEK1" s="1071"/>
      <c r="OES1" s="1071"/>
      <c r="OFA1" s="1071"/>
      <c r="OFI1" s="1071"/>
      <c r="OFQ1" s="1071"/>
      <c r="OFY1" s="1071"/>
      <c r="OGG1" s="1071"/>
      <c r="OGO1" s="1071"/>
      <c r="OGW1" s="1071"/>
      <c r="OHE1" s="1071"/>
      <c r="OHM1" s="1071"/>
      <c r="OHU1" s="1071"/>
      <c r="OIC1" s="1071"/>
      <c r="OIK1" s="1071"/>
      <c r="OIS1" s="1071"/>
      <c r="OJA1" s="1071"/>
      <c r="OJI1" s="1071"/>
      <c r="OJQ1" s="1071"/>
      <c r="OJY1" s="1071"/>
      <c r="OKG1" s="1071"/>
      <c r="OKO1" s="1071"/>
      <c r="OKW1" s="1071"/>
      <c r="OLE1" s="1071"/>
      <c r="OLM1" s="1071"/>
      <c r="OLU1" s="1071"/>
      <c r="OMC1" s="1071"/>
      <c r="OMK1" s="1071"/>
      <c r="OMS1" s="1071"/>
      <c r="ONA1" s="1071"/>
      <c r="ONI1" s="1071"/>
      <c r="ONQ1" s="1071"/>
      <c r="ONY1" s="1071"/>
      <c r="OOG1" s="1071"/>
      <c r="OOO1" s="1071"/>
      <c r="OOW1" s="1071"/>
      <c r="OPE1" s="1071"/>
      <c r="OPM1" s="1071"/>
      <c r="OPU1" s="1071"/>
      <c r="OQC1" s="1071"/>
      <c r="OQK1" s="1071"/>
      <c r="OQS1" s="1071"/>
      <c r="ORA1" s="1071"/>
      <c r="ORI1" s="1071"/>
      <c r="ORQ1" s="1071"/>
      <c r="ORY1" s="1071"/>
      <c r="OSG1" s="1071"/>
      <c r="OSO1" s="1071"/>
      <c r="OSW1" s="1071"/>
      <c r="OTE1" s="1071"/>
      <c r="OTM1" s="1071"/>
      <c r="OTU1" s="1071"/>
      <c r="OUC1" s="1071"/>
      <c r="OUK1" s="1071"/>
      <c r="OUS1" s="1071"/>
      <c r="OVA1" s="1071"/>
      <c r="OVI1" s="1071"/>
      <c r="OVQ1" s="1071"/>
      <c r="OVY1" s="1071"/>
      <c r="OWG1" s="1071"/>
      <c r="OWO1" s="1071"/>
      <c r="OWW1" s="1071"/>
      <c r="OXE1" s="1071"/>
      <c r="OXM1" s="1071"/>
      <c r="OXU1" s="1071"/>
      <c r="OYC1" s="1071"/>
      <c r="OYK1" s="1071"/>
      <c r="OYS1" s="1071"/>
      <c r="OZA1" s="1071"/>
      <c r="OZI1" s="1071"/>
      <c r="OZQ1" s="1071"/>
      <c r="OZY1" s="1071"/>
      <c r="PAG1" s="1071"/>
      <c r="PAO1" s="1071"/>
      <c r="PAW1" s="1071"/>
      <c r="PBE1" s="1071"/>
      <c r="PBM1" s="1071"/>
      <c r="PBU1" s="1071"/>
      <c r="PCC1" s="1071"/>
      <c r="PCK1" s="1071"/>
      <c r="PCS1" s="1071"/>
      <c r="PDA1" s="1071"/>
      <c r="PDI1" s="1071"/>
      <c r="PDQ1" s="1071"/>
      <c r="PDY1" s="1071"/>
      <c r="PEG1" s="1071"/>
      <c r="PEO1" s="1071"/>
      <c r="PEW1" s="1071"/>
      <c r="PFE1" s="1071"/>
      <c r="PFM1" s="1071"/>
      <c r="PFU1" s="1071"/>
      <c r="PGC1" s="1071"/>
      <c r="PGK1" s="1071"/>
      <c r="PGS1" s="1071"/>
      <c r="PHA1" s="1071"/>
      <c r="PHI1" s="1071"/>
      <c r="PHQ1" s="1071"/>
      <c r="PHY1" s="1071"/>
      <c r="PIG1" s="1071"/>
      <c r="PIO1" s="1071"/>
      <c r="PIW1" s="1071"/>
      <c r="PJE1" s="1071"/>
      <c r="PJM1" s="1071"/>
      <c r="PJU1" s="1071"/>
      <c r="PKC1" s="1071"/>
      <c r="PKK1" s="1071"/>
      <c r="PKS1" s="1071"/>
      <c r="PLA1" s="1071"/>
      <c r="PLI1" s="1071"/>
      <c r="PLQ1" s="1071"/>
      <c r="PLY1" s="1071"/>
      <c r="PMG1" s="1071"/>
      <c r="PMO1" s="1071"/>
      <c r="PMW1" s="1071"/>
      <c r="PNE1" s="1071"/>
      <c r="PNM1" s="1071"/>
      <c r="PNU1" s="1071"/>
      <c r="POC1" s="1071"/>
      <c r="POK1" s="1071"/>
      <c r="POS1" s="1071"/>
      <c r="PPA1" s="1071"/>
      <c r="PPI1" s="1071"/>
      <c r="PPQ1" s="1071"/>
      <c r="PPY1" s="1071"/>
      <c r="PQG1" s="1071"/>
      <c r="PQO1" s="1071"/>
      <c r="PQW1" s="1071"/>
      <c r="PRE1" s="1071"/>
      <c r="PRM1" s="1071"/>
      <c r="PRU1" s="1071"/>
      <c r="PSC1" s="1071"/>
      <c r="PSK1" s="1071"/>
      <c r="PSS1" s="1071"/>
      <c r="PTA1" s="1071"/>
      <c r="PTI1" s="1071"/>
      <c r="PTQ1" s="1071"/>
      <c r="PTY1" s="1071"/>
      <c r="PUG1" s="1071"/>
      <c r="PUO1" s="1071"/>
      <c r="PUW1" s="1071"/>
      <c r="PVE1" s="1071"/>
      <c r="PVM1" s="1071"/>
      <c r="PVU1" s="1071"/>
      <c r="PWC1" s="1071"/>
      <c r="PWK1" s="1071"/>
      <c r="PWS1" s="1071"/>
      <c r="PXA1" s="1071"/>
      <c r="PXI1" s="1071"/>
      <c r="PXQ1" s="1071"/>
      <c r="PXY1" s="1071"/>
      <c r="PYG1" s="1071"/>
      <c r="PYO1" s="1071"/>
      <c r="PYW1" s="1071"/>
      <c r="PZE1" s="1071"/>
      <c r="PZM1" s="1071"/>
      <c r="PZU1" s="1071"/>
      <c r="QAC1" s="1071"/>
      <c r="QAK1" s="1071"/>
      <c r="QAS1" s="1071"/>
      <c r="QBA1" s="1071"/>
      <c r="QBI1" s="1071"/>
      <c r="QBQ1" s="1071"/>
      <c r="QBY1" s="1071"/>
      <c r="QCG1" s="1071"/>
      <c r="QCO1" s="1071"/>
      <c r="QCW1" s="1071"/>
      <c r="QDE1" s="1071"/>
      <c r="QDM1" s="1071"/>
      <c r="QDU1" s="1071"/>
      <c r="QEC1" s="1071"/>
      <c r="QEK1" s="1071"/>
      <c r="QES1" s="1071"/>
      <c r="QFA1" s="1071"/>
      <c r="QFI1" s="1071"/>
      <c r="QFQ1" s="1071"/>
      <c r="QFY1" s="1071"/>
      <c r="QGG1" s="1071"/>
      <c r="QGO1" s="1071"/>
      <c r="QGW1" s="1071"/>
      <c r="QHE1" s="1071"/>
      <c r="QHM1" s="1071"/>
      <c r="QHU1" s="1071"/>
      <c r="QIC1" s="1071"/>
      <c r="QIK1" s="1071"/>
      <c r="QIS1" s="1071"/>
      <c r="QJA1" s="1071"/>
      <c r="QJI1" s="1071"/>
      <c r="QJQ1" s="1071"/>
      <c r="QJY1" s="1071"/>
      <c r="QKG1" s="1071"/>
      <c r="QKO1" s="1071"/>
      <c r="QKW1" s="1071"/>
      <c r="QLE1" s="1071"/>
      <c r="QLM1" s="1071"/>
      <c r="QLU1" s="1071"/>
      <c r="QMC1" s="1071"/>
      <c r="QMK1" s="1071"/>
      <c r="QMS1" s="1071"/>
      <c r="QNA1" s="1071"/>
      <c r="QNI1" s="1071"/>
      <c r="QNQ1" s="1071"/>
      <c r="QNY1" s="1071"/>
      <c r="QOG1" s="1071"/>
      <c r="QOO1" s="1071"/>
      <c r="QOW1" s="1071"/>
      <c r="QPE1" s="1071"/>
      <c r="QPM1" s="1071"/>
      <c r="QPU1" s="1071"/>
      <c r="QQC1" s="1071"/>
      <c r="QQK1" s="1071"/>
      <c r="QQS1" s="1071"/>
      <c r="QRA1" s="1071"/>
      <c r="QRI1" s="1071"/>
      <c r="QRQ1" s="1071"/>
      <c r="QRY1" s="1071"/>
      <c r="QSG1" s="1071"/>
      <c r="QSO1" s="1071"/>
      <c r="QSW1" s="1071"/>
      <c r="QTE1" s="1071"/>
      <c r="QTM1" s="1071"/>
      <c r="QTU1" s="1071"/>
      <c r="QUC1" s="1071"/>
      <c r="QUK1" s="1071"/>
      <c r="QUS1" s="1071"/>
      <c r="QVA1" s="1071"/>
      <c r="QVI1" s="1071"/>
      <c r="QVQ1" s="1071"/>
      <c r="QVY1" s="1071"/>
      <c r="QWG1" s="1071"/>
      <c r="QWO1" s="1071"/>
      <c r="QWW1" s="1071"/>
      <c r="QXE1" s="1071"/>
      <c r="QXM1" s="1071"/>
      <c r="QXU1" s="1071"/>
      <c r="QYC1" s="1071"/>
      <c r="QYK1" s="1071"/>
      <c r="QYS1" s="1071"/>
      <c r="QZA1" s="1071"/>
      <c r="QZI1" s="1071"/>
      <c r="QZQ1" s="1071"/>
      <c r="QZY1" s="1071"/>
      <c r="RAG1" s="1071"/>
      <c r="RAO1" s="1071"/>
      <c r="RAW1" s="1071"/>
      <c r="RBE1" s="1071"/>
      <c r="RBM1" s="1071"/>
      <c r="RBU1" s="1071"/>
      <c r="RCC1" s="1071"/>
      <c r="RCK1" s="1071"/>
      <c r="RCS1" s="1071"/>
      <c r="RDA1" s="1071"/>
      <c r="RDI1" s="1071"/>
      <c r="RDQ1" s="1071"/>
      <c r="RDY1" s="1071"/>
      <c r="REG1" s="1071"/>
      <c r="REO1" s="1071"/>
      <c r="REW1" s="1071"/>
      <c r="RFE1" s="1071"/>
      <c r="RFM1" s="1071"/>
      <c r="RFU1" s="1071"/>
      <c r="RGC1" s="1071"/>
      <c r="RGK1" s="1071"/>
      <c r="RGS1" s="1071"/>
      <c r="RHA1" s="1071"/>
      <c r="RHI1" s="1071"/>
      <c r="RHQ1" s="1071"/>
      <c r="RHY1" s="1071"/>
      <c r="RIG1" s="1071"/>
      <c r="RIO1" s="1071"/>
      <c r="RIW1" s="1071"/>
      <c r="RJE1" s="1071"/>
      <c r="RJM1" s="1071"/>
      <c r="RJU1" s="1071"/>
      <c r="RKC1" s="1071"/>
      <c r="RKK1" s="1071"/>
      <c r="RKS1" s="1071"/>
      <c r="RLA1" s="1071"/>
      <c r="RLI1" s="1071"/>
      <c r="RLQ1" s="1071"/>
      <c r="RLY1" s="1071"/>
      <c r="RMG1" s="1071"/>
      <c r="RMO1" s="1071"/>
      <c r="RMW1" s="1071"/>
      <c r="RNE1" s="1071"/>
      <c r="RNM1" s="1071"/>
      <c r="RNU1" s="1071"/>
      <c r="ROC1" s="1071"/>
      <c r="ROK1" s="1071"/>
      <c r="ROS1" s="1071"/>
      <c r="RPA1" s="1071"/>
      <c r="RPI1" s="1071"/>
      <c r="RPQ1" s="1071"/>
      <c r="RPY1" s="1071"/>
      <c r="RQG1" s="1071"/>
      <c r="RQO1" s="1071"/>
      <c r="RQW1" s="1071"/>
      <c r="RRE1" s="1071"/>
      <c r="RRM1" s="1071"/>
      <c r="RRU1" s="1071"/>
      <c r="RSC1" s="1071"/>
      <c r="RSK1" s="1071"/>
      <c r="RSS1" s="1071"/>
      <c r="RTA1" s="1071"/>
      <c r="RTI1" s="1071"/>
      <c r="RTQ1" s="1071"/>
      <c r="RTY1" s="1071"/>
      <c r="RUG1" s="1071"/>
      <c r="RUO1" s="1071"/>
      <c r="RUW1" s="1071"/>
      <c r="RVE1" s="1071"/>
      <c r="RVM1" s="1071"/>
      <c r="RVU1" s="1071"/>
      <c r="RWC1" s="1071"/>
      <c r="RWK1" s="1071"/>
      <c r="RWS1" s="1071"/>
      <c r="RXA1" s="1071"/>
      <c r="RXI1" s="1071"/>
      <c r="RXQ1" s="1071"/>
      <c r="RXY1" s="1071"/>
      <c r="RYG1" s="1071"/>
      <c r="RYO1" s="1071"/>
      <c r="RYW1" s="1071"/>
      <c r="RZE1" s="1071"/>
      <c r="RZM1" s="1071"/>
      <c r="RZU1" s="1071"/>
      <c r="SAC1" s="1071"/>
      <c r="SAK1" s="1071"/>
      <c r="SAS1" s="1071"/>
      <c r="SBA1" s="1071"/>
      <c r="SBI1" s="1071"/>
      <c r="SBQ1" s="1071"/>
      <c r="SBY1" s="1071"/>
      <c r="SCG1" s="1071"/>
      <c r="SCO1" s="1071"/>
      <c r="SCW1" s="1071"/>
      <c r="SDE1" s="1071"/>
      <c r="SDM1" s="1071"/>
      <c r="SDU1" s="1071"/>
      <c r="SEC1" s="1071"/>
      <c r="SEK1" s="1071"/>
      <c r="SES1" s="1071"/>
      <c r="SFA1" s="1071"/>
      <c r="SFI1" s="1071"/>
      <c r="SFQ1" s="1071"/>
      <c r="SFY1" s="1071"/>
      <c r="SGG1" s="1071"/>
      <c r="SGO1" s="1071"/>
      <c r="SGW1" s="1071"/>
      <c r="SHE1" s="1071"/>
      <c r="SHM1" s="1071"/>
      <c r="SHU1" s="1071"/>
      <c r="SIC1" s="1071"/>
      <c r="SIK1" s="1071"/>
      <c r="SIS1" s="1071"/>
      <c r="SJA1" s="1071"/>
      <c r="SJI1" s="1071"/>
      <c r="SJQ1" s="1071"/>
      <c r="SJY1" s="1071"/>
      <c r="SKG1" s="1071"/>
      <c r="SKO1" s="1071"/>
      <c r="SKW1" s="1071"/>
      <c r="SLE1" s="1071"/>
      <c r="SLM1" s="1071"/>
      <c r="SLU1" s="1071"/>
      <c r="SMC1" s="1071"/>
      <c r="SMK1" s="1071"/>
      <c r="SMS1" s="1071"/>
      <c r="SNA1" s="1071"/>
      <c r="SNI1" s="1071"/>
      <c r="SNQ1" s="1071"/>
      <c r="SNY1" s="1071"/>
      <c r="SOG1" s="1071"/>
      <c r="SOO1" s="1071"/>
      <c r="SOW1" s="1071"/>
      <c r="SPE1" s="1071"/>
      <c r="SPM1" s="1071"/>
      <c r="SPU1" s="1071"/>
      <c r="SQC1" s="1071"/>
      <c r="SQK1" s="1071"/>
      <c r="SQS1" s="1071"/>
      <c r="SRA1" s="1071"/>
      <c r="SRI1" s="1071"/>
      <c r="SRQ1" s="1071"/>
      <c r="SRY1" s="1071"/>
      <c r="SSG1" s="1071"/>
      <c r="SSO1" s="1071"/>
      <c r="SSW1" s="1071"/>
      <c r="STE1" s="1071"/>
      <c r="STM1" s="1071"/>
      <c r="STU1" s="1071"/>
      <c r="SUC1" s="1071"/>
      <c r="SUK1" s="1071"/>
      <c r="SUS1" s="1071"/>
      <c r="SVA1" s="1071"/>
      <c r="SVI1" s="1071"/>
      <c r="SVQ1" s="1071"/>
      <c r="SVY1" s="1071"/>
      <c r="SWG1" s="1071"/>
      <c r="SWO1" s="1071"/>
      <c r="SWW1" s="1071"/>
      <c r="SXE1" s="1071"/>
      <c r="SXM1" s="1071"/>
      <c r="SXU1" s="1071"/>
      <c r="SYC1" s="1071"/>
      <c r="SYK1" s="1071"/>
      <c r="SYS1" s="1071"/>
      <c r="SZA1" s="1071"/>
      <c r="SZI1" s="1071"/>
      <c r="SZQ1" s="1071"/>
      <c r="SZY1" s="1071"/>
      <c r="TAG1" s="1071"/>
      <c r="TAO1" s="1071"/>
      <c r="TAW1" s="1071"/>
      <c r="TBE1" s="1071"/>
      <c r="TBM1" s="1071"/>
      <c r="TBU1" s="1071"/>
      <c r="TCC1" s="1071"/>
      <c r="TCK1" s="1071"/>
      <c r="TCS1" s="1071"/>
      <c r="TDA1" s="1071"/>
      <c r="TDI1" s="1071"/>
      <c r="TDQ1" s="1071"/>
      <c r="TDY1" s="1071"/>
      <c r="TEG1" s="1071"/>
      <c r="TEO1" s="1071"/>
      <c r="TEW1" s="1071"/>
      <c r="TFE1" s="1071"/>
      <c r="TFM1" s="1071"/>
      <c r="TFU1" s="1071"/>
      <c r="TGC1" s="1071"/>
      <c r="TGK1" s="1071"/>
      <c r="TGS1" s="1071"/>
      <c r="THA1" s="1071"/>
      <c r="THI1" s="1071"/>
      <c r="THQ1" s="1071"/>
      <c r="THY1" s="1071"/>
      <c r="TIG1" s="1071"/>
      <c r="TIO1" s="1071"/>
      <c r="TIW1" s="1071"/>
      <c r="TJE1" s="1071"/>
      <c r="TJM1" s="1071"/>
      <c r="TJU1" s="1071"/>
      <c r="TKC1" s="1071"/>
      <c r="TKK1" s="1071"/>
      <c r="TKS1" s="1071"/>
      <c r="TLA1" s="1071"/>
      <c r="TLI1" s="1071"/>
      <c r="TLQ1" s="1071"/>
      <c r="TLY1" s="1071"/>
      <c r="TMG1" s="1071"/>
      <c r="TMO1" s="1071"/>
      <c r="TMW1" s="1071"/>
      <c r="TNE1" s="1071"/>
      <c r="TNM1" s="1071"/>
      <c r="TNU1" s="1071"/>
      <c r="TOC1" s="1071"/>
      <c r="TOK1" s="1071"/>
      <c r="TOS1" s="1071"/>
      <c r="TPA1" s="1071"/>
      <c r="TPI1" s="1071"/>
      <c r="TPQ1" s="1071"/>
      <c r="TPY1" s="1071"/>
      <c r="TQG1" s="1071"/>
      <c r="TQO1" s="1071"/>
      <c r="TQW1" s="1071"/>
      <c r="TRE1" s="1071"/>
      <c r="TRM1" s="1071"/>
      <c r="TRU1" s="1071"/>
      <c r="TSC1" s="1071"/>
      <c r="TSK1" s="1071"/>
      <c r="TSS1" s="1071"/>
      <c r="TTA1" s="1071"/>
      <c r="TTI1" s="1071"/>
      <c r="TTQ1" s="1071"/>
      <c r="TTY1" s="1071"/>
      <c r="TUG1" s="1071"/>
      <c r="TUO1" s="1071"/>
      <c r="TUW1" s="1071"/>
      <c r="TVE1" s="1071"/>
      <c r="TVM1" s="1071"/>
      <c r="TVU1" s="1071"/>
      <c r="TWC1" s="1071"/>
      <c r="TWK1" s="1071"/>
      <c r="TWS1" s="1071"/>
      <c r="TXA1" s="1071"/>
      <c r="TXI1" s="1071"/>
      <c r="TXQ1" s="1071"/>
      <c r="TXY1" s="1071"/>
      <c r="TYG1" s="1071"/>
      <c r="TYO1" s="1071"/>
      <c r="TYW1" s="1071"/>
      <c r="TZE1" s="1071"/>
      <c r="TZM1" s="1071"/>
      <c r="TZU1" s="1071"/>
      <c r="UAC1" s="1071"/>
      <c r="UAK1" s="1071"/>
      <c r="UAS1" s="1071"/>
      <c r="UBA1" s="1071"/>
      <c r="UBI1" s="1071"/>
      <c r="UBQ1" s="1071"/>
      <c r="UBY1" s="1071"/>
      <c r="UCG1" s="1071"/>
      <c r="UCO1" s="1071"/>
      <c r="UCW1" s="1071"/>
      <c r="UDE1" s="1071"/>
      <c r="UDM1" s="1071"/>
      <c r="UDU1" s="1071"/>
      <c r="UEC1" s="1071"/>
      <c r="UEK1" s="1071"/>
      <c r="UES1" s="1071"/>
      <c r="UFA1" s="1071"/>
      <c r="UFI1" s="1071"/>
      <c r="UFQ1" s="1071"/>
      <c r="UFY1" s="1071"/>
      <c r="UGG1" s="1071"/>
      <c r="UGO1" s="1071"/>
      <c r="UGW1" s="1071"/>
      <c r="UHE1" s="1071"/>
      <c r="UHM1" s="1071"/>
      <c r="UHU1" s="1071"/>
      <c r="UIC1" s="1071"/>
      <c r="UIK1" s="1071"/>
      <c r="UIS1" s="1071"/>
      <c r="UJA1" s="1071"/>
      <c r="UJI1" s="1071"/>
      <c r="UJQ1" s="1071"/>
      <c r="UJY1" s="1071"/>
      <c r="UKG1" s="1071"/>
      <c r="UKO1" s="1071"/>
      <c r="UKW1" s="1071"/>
      <c r="ULE1" s="1071"/>
      <c r="ULM1" s="1071"/>
      <c r="ULU1" s="1071"/>
      <c r="UMC1" s="1071"/>
      <c r="UMK1" s="1071"/>
      <c r="UMS1" s="1071"/>
      <c r="UNA1" s="1071"/>
      <c r="UNI1" s="1071"/>
      <c r="UNQ1" s="1071"/>
      <c r="UNY1" s="1071"/>
      <c r="UOG1" s="1071"/>
      <c r="UOO1" s="1071"/>
      <c r="UOW1" s="1071"/>
      <c r="UPE1" s="1071"/>
      <c r="UPM1" s="1071"/>
      <c r="UPU1" s="1071"/>
      <c r="UQC1" s="1071"/>
      <c r="UQK1" s="1071"/>
      <c r="UQS1" s="1071"/>
      <c r="URA1" s="1071"/>
      <c r="URI1" s="1071"/>
      <c r="URQ1" s="1071"/>
      <c r="URY1" s="1071"/>
      <c r="USG1" s="1071"/>
      <c r="USO1" s="1071"/>
      <c r="USW1" s="1071"/>
      <c r="UTE1" s="1071"/>
      <c r="UTM1" s="1071"/>
      <c r="UTU1" s="1071"/>
      <c r="UUC1" s="1071"/>
      <c r="UUK1" s="1071"/>
      <c r="UUS1" s="1071"/>
      <c r="UVA1" s="1071"/>
      <c r="UVI1" s="1071"/>
      <c r="UVQ1" s="1071"/>
      <c r="UVY1" s="1071"/>
      <c r="UWG1" s="1071"/>
      <c r="UWO1" s="1071"/>
      <c r="UWW1" s="1071"/>
      <c r="UXE1" s="1071"/>
      <c r="UXM1" s="1071"/>
      <c r="UXU1" s="1071"/>
      <c r="UYC1" s="1071"/>
      <c r="UYK1" s="1071"/>
      <c r="UYS1" s="1071"/>
      <c r="UZA1" s="1071"/>
      <c r="UZI1" s="1071"/>
      <c r="UZQ1" s="1071"/>
      <c r="UZY1" s="1071"/>
      <c r="VAG1" s="1071"/>
      <c r="VAO1" s="1071"/>
      <c r="VAW1" s="1071"/>
      <c r="VBE1" s="1071"/>
      <c r="VBM1" s="1071"/>
      <c r="VBU1" s="1071"/>
      <c r="VCC1" s="1071"/>
      <c r="VCK1" s="1071"/>
      <c r="VCS1" s="1071"/>
      <c r="VDA1" s="1071"/>
      <c r="VDI1" s="1071"/>
      <c r="VDQ1" s="1071"/>
      <c r="VDY1" s="1071"/>
      <c r="VEG1" s="1071"/>
      <c r="VEO1" s="1071"/>
      <c r="VEW1" s="1071"/>
      <c r="VFE1" s="1071"/>
      <c r="VFM1" s="1071"/>
      <c r="VFU1" s="1071"/>
      <c r="VGC1" s="1071"/>
      <c r="VGK1" s="1071"/>
      <c r="VGS1" s="1071"/>
      <c r="VHA1" s="1071"/>
      <c r="VHI1" s="1071"/>
      <c r="VHQ1" s="1071"/>
      <c r="VHY1" s="1071"/>
      <c r="VIG1" s="1071"/>
      <c r="VIO1" s="1071"/>
      <c r="VIW1" s="1071"/>
      <c r="VJE1" s="1071"/>
      <c r="VJM1" s="1071"/>
      <c r="VJU1" s="1071"/>
      <c r="VKC1" s="1071"/>
      <c r="VKK1" s="1071"/>
      <c r="VKS1" s="1071"/>
      <c r="VLA1" s="1071"/>
      <c r="VLI1" s="1071"/>
      <c r="VLQ1" s="1071"/>
      <c r="VLY1" s="1071"/>
      <c r="VMG1" s="1071"/>
      <c r="VMO1" s="1071"/>
      <c r="VMW1" s="1071"/>
      <c r="VNE1" s="1071"/>
      <c r="VNM1" s="1071"/>
      <c r="VNU1" s="1071"/>
      <c r="VOC1" s="1071"/>
      <c r="VOK1" s="1071"/>
      <c r="VOS1" s="1071"/>
      <c r="VPA1" s="1071"/>
      <c r="VPI1" s="1071"/>
      <c r="VPQ1" s="1071"/>
      <c r="VPY1" s="1071"/>
      <c r="VQG1" s="1071"/>
      <c r="VQO1" s="1071"/>
      <c r="VQW1" s="1071"/>
      <c r="VRE1" s="1071"/>
      <c r="VRM1" s="1071"/>
      <c r="VRU1" s="1071"/>
      <c r="VSC1" s="1071"/>
      <c r="VSK1" s="1071"/>
      <c r="VSS1" s="1071"/>
      <c r="VTA1" s="1071"/>
      <c r="VTI1" s="1071"/>
      <c r="VTQ1" s="1071"/>
      <c r="VTY1" s="1071"/>
      <c r="VUG1" s="1071"/>
      <c r="VUO1" s="1071"/>
      <c r="VUW1" s="1071"/>
      <c r="VVE1" s="1071"/>
      <c r="VVM1" s="1071"/>
      <c r="VVU1" s="1071"/>
      <c r="VWC1" s="1071"/>
      <c r="VWK1" s="1071"/>
      <c r="VWS1" s="1071"/>
      <c r="VXA1" s="1071"/>
      <c r="VXI1" s="1071"/>
      <c r="VXQ1" s="1071"/>
      <c r="VXY1" s="1071"/>
      <c r="VYG1" s="1071"/>
      <c r="VYO1" s="1071"/>
      <c r="VYW1" s="1071"/>
      <c r="VZE1" s="1071"/>
      <c r="VZM1" s="1071"/>
      <c r="VZU1" s="1071"/>
      <c r="WAC1" s="1071"/>
      <c r="WAK1" s="1071"/>
      <c r="WAS1" s="1071"/>
      <c r="WBA1" s="1071"/>
      <c r="WBI1" s="1071"/>
      <c r="WBQ1" s="1071"/>
      <c r="WBY1" s="1071"/>
      <c r="WCG1" s="1071"/>
      <c r="WCO1" s="1071"/>
      <c r="WCW1" s="1071"/>
      <c r="WDE1" s="1071"/>
      <c r="WDM1" s="1071"/>
      <c r="WDU1" s="1071"/>
      <c r="WEC1" s="1071"/>
      <c r="WEK1" s="1071"/>
      <c r="WES1" s="1071"/>
      <c r="WFA1" s="1071"/>
      <c r="WFI1" s="1071"/>
      <c r="WFQ1" s="1071"/>
      <c r="WFY1" s="1071"/>
      <c r="WGG1" s="1071"/>
      <c r="WGO1" s="1071"/>
      <c r="WGW1" s="1071"/>
      <c r="WHE1" s="1071"/>
      <c r="WHM1" s="1071"/>
      <c r="WHU1" s="1071"/>
      <c r="WIC1" s="1071"/>
      <c r="WIK1" s="1071"/>
      <c r="WIS1" s="1071"/>
      <c r="WJA1" s="1071"/>
      <c r="WJI1" s="1071"/>
      <c r="WJQ1" s="1071"/>
      <c r="WJY1" s="1071"/>
      <c r="WKG1" s="1071"/>
      <c r="WKO1" s="1071"/>
      <c r="WKW1" s="1071"/>
      <c r="WLE1" s="1071"/>
      <c r="WLM1" s="1071"/>
      <c r="WLU1" s="1071"/>
      <c r="WMC1" s="1071"/>
      <c r="WMK1" s="1071"/>
      <c r="WMS1" s="1071"/>
      <c r="WNA1" s="1071"/>
      <c r="WNI1" s="1071"/>
      <c r="WNQ1" s="1071"/>
      <c r="WNY1" s="1071"/>
      <c r="WOG1" s="1071"/>
      <c r="WOO1" s="1071"/>
      <c r="WOW1" s="1071"/>
      <c r="WPE1" s="1071"/>
      <c r="WPM1" s="1071"/>
      <c r="WPU1" s="1071"/>
      <c r="WQC1" s="1071"/>
      <c r="WQK1" s="1071"/>
      <c r="WQS1" s="1071"/>
      <c r="WRA1" s="1071"/>
      <c r="WRI1" s="1071"/>
      <c r="WRQ1" s="1071"/>
      <c r="WRY1" s="1071"/>
      <c r="WSG1" s="1071"/>
      <c r="WSO1" s="1071"/>
      <c r="WSW1" s="1071"/>
      <c r="WTE1" s="1071"/>
      <c r="WTM1" s="1071"/>
      <c r="WTU1" s="1071"/>
      <c r="WUC1" s="1071"/>
      <c r="WUK1" s="1071"/>
      <c r="WUS1" s="1071"/>
      <c r="WVA1" s="1071"/>
      <c r="WVI1" s="1071"/>
      <c r="WVQ1" s="1071"/>
      <c r="WVY1" s="1071"/>
      <c r="WWG1" s="1071"/>
      <c r="WWO1" s="1071"/>
      <c r="WWW1" s="1071"/>
      <c r="WXE1" s="1071"/>
      <c r="WXM1" s="1071"/>
      <c r="WXU1" s="1071"/>
      <c r="WYC1" s="1071"/>
      <c r="WYK1" s="1071"/>
      <c r="WYS1" s="1071"/>
      <c r="WZA1" s="1071"/>
      <c r="WZI1" s="1071"/>
      <c r="WZQ1" s="1071"/>
      <c r="WZY1" s="1071"/>
      <c r="XAG1" s="1071"/>
      <c r="XAO1" s="1071"/>
      <c r="XAW1" s="1071"/>
      <c r="XBE1" s="1071"/>
      <c r="XBM1" s="1071"/>
      <c r="XBU1" s="1071"/>
      <c r="XCC1" s="1071"/>
      <c r="XCK1" s="1071"/>
      <c r="XCS1" s="1071"/>
      <c r="XDA1" s="1071"/>
      <c r="XDI1" s="1071"/>
      <c r="XDQ1" s="1071"/>
      <c r="XDY1" s="1071"/>
      <c r="XEG1" s="1071"/>
      <c r="XEO1" s="1071"/>
      <c r="XEW1" s="1071"/>
    </row>
    <row r="2" spans="1:1017 1025:2041 2049:3065 3073:4089 4097:5113 5121:6137 6145:7161 7169:8185 8193:9209 9217:10233 10241:11257 11265:12281 12289:13305 13313:14329 14337:15353 15361:16377" s="1070" customFormat="1" ht="60" customHeight="1" thickBot="1">
      <c r="A2" s="1074" t="str">
        <f>'Customer Information'!A2:H2</f>
        <v>Multi-Family 
Rebate Application, Version 2.0</v>
      </c>
      <c r="I2" s="1072"/>
      <c r="Q2" s="1072"/>
      <c r="Y2" s="1072"/>
      <c r="AG2" s="1072"/>
      <c r="AO2" s="1072"/>
      <c r="AW2" s="1072"/>
      <c r="BE2" s="1072"/>
      <c r="BM2" s="1072"/>
      <c r="BU2" s="1072"/>
      <c r="CC2" s="1072"/>
      <c r="CK2" s="1072"/>
      <c r="CS2" s="1072"/>
      <c r="DA2" s="1072"/>
      <c r="DI2" s="1072"/>
      <c r="DQ2" s="1072"/>
      <c r="DY2" s="1072"/>
      <c r="EG2" s="1072"/>
      <c r="EO2" s="1072"/>
      <c r="EW2" s="1072"/>
      <c r="FE2" s="1072"/>
      <c r="FM2" s="1072"/>
      <c r="FU2" s="1072"/>
      <c r="GC2" s="1072"/>
      <c r="GK2" s="1072"/>
      <c r="GS2" s="1072"/>
      <c r="HA2" s="1072"/>
      <c r="HI2" s="1072"/>
      <c r="HQ2" s="1072"/>
      <c r="HY2" s="1072"/>
      <c r="IG2" s="1072"/>
      <c r="IO2" s="1072"/>
      <c r="IW2" s="1072"/>
      <c r="JE2" s="1072"/>
      <c r="JM2" s="1072"/>
      <c r="JU2" s="1072"/>
      <c r="KC2" s="1072"/>
      <c r="KK2" s="1072"/>
      <c r="KS2" s="1072"/>
      <c r="LA2" s="1072"/>
      <c r="LI2" s="1072"/>
      <c r="LQ2" s="1072"/>
      <c r="LY2" s="1072"/>
      <c r="MG2" s="1072"/>
      <c r="MO2" s="1072"/>
      <c r="MW2" s="1072"/>
      <c r="NE2" s="1072"/>
      <c r="NM2" s="1072"/>
      <c r="NU2" s="1072"/>
      <c r="OC2" s="1072"/>
      <c r="OK2" s="1072"/>
      <c r="OS2" s="1072"/>
      <c r="PA2" s="1072"/>
      <c r="PI2" s="1072"/>
      <c r="PQ2" s="1072"/>
      <c r="PY2" s="1072"/>
      <c r="QG2" s="1072"/>
      <c r="QO2" s="1072"/>
      <c r="QW2" s="1072"/>
      <c r="RE2" s="1072"/>
      <c r="RM2" s="1072"/>
      <c r="RU2" s="1072"/>
      <c r="SC2" s="1072"/>
      <c r="SK2" s="1072"/>
      <c r="SS2" s="1072"/>
      <c r="TA2" s="1072"/>
      <c r="TI2" s="1072"/>
      <c r="TQ2" s="1072"/>
      <c r="TY2" s="1072"/>
      <c r="UG2" s="1072"/>
      <c r="UO2" s="1072"/>
      <c r="UW2" s="1072"/>
      <c r="VE2" s="1072"/>
      <c r="VM2" s="1072"/>
      <c r="VU2" s="1072"/>
      <c r="WC2" s="1072"/>
      <c r="WK2" s="1072"/>
      <c r="WS2" s="1072"/>
      <c r="XA2" s="1072"/>
      <c r="XI2" s="1072"/>
      <c r="XQ2" s="1072"/>
      <c r="XY2" s="1072"/>
      <c r="YG2" s="1072"/>
      <c r="YO2" s="1072"/>
      <c r="YW2" s="1072"/>
      <c r="ZE2" s="1072"/>
      <c r="ZM2" s="1072"/>
      <c r="ZU2" s="1072"/>
      <c r="AAC2" s="1072"/>
      <c r="AAK2" s="1072"/>
      <c r="AAS2" s="1072"/>
      <c r="ABA2" s="1072"/>
      <c r="ABI2" s="1072"/>
      <c r="ABQ2" s="1072"/>
      <c r="ABY2" s="1072"/>
      <c r="ACG2" s="1072"/>
      <c r="ACO2" s="1072"/>
      <c r="ACW2" s="1072"/>
      <c r="ADE2" s="1072"/>
      <c r="ADM2" s="1072"/>
      <c r="ADU2" s="1072"/>
      <c r="AEC2" s="1072"/>
      <c r="AEK2" s="1072"/>
      <c r="AES2" s="1072"/>
      <c r="AFA2" s="1072"/>
      <c r="AFI2" s="1072"/>
      <c r="AFQ2" s="1072"/>
      <c r="AFY2" s="1072"/>
      <c r="AGG2" s="1072"/>
      <c r="AGO2" s="1072"/>
      <c r="AGW2" s="1072"/>
      <c r="AHE2" s="1072"/>
      <c r="AHM2" s="1072"/>
      <c r="AHU2" s="1072"/>
      <c r="AIC2" s="1072"/>
      <c r="AIK2" s="1072"/>
      <c r="AIS2" s="1072"/>
      <c r="AJA2" s="1072"/>
      <c r="AJI2" s="1072"/>
      <c r="AJQ2" s="1072"/>
      <c r="AJY2" s="1072"/>
      <c r="AKG2" s="1072"/>
      <c r="AKO2" s="1072"/>
      <c r="AKW2" s="1072"/>
      <c r="ALE2" s="1072"/>
      <c r="ALM2" s="1072"/>
      <c r="ALU2" s="1072"/>
      <c r="AMC2" s="1072"/>
      <c r="AMK2" s="1072"/>
      <c r="AMS2" s="1072"/>
      <c r="ANA2" s="1072"/>
      <c r="ANI2" s="1072"/>
      <c r="ANQ2" s="1072"/>
      <c r="ANY2" s="1072"/>
      <c r="AOG2" s="1072"/>
      <c r="AOO2" s="1072"/>
      <c r="AOW2" s="1072"/>
      <c r="APE2" s="1072"/>
      <c r="APM2" s="1072"/>
      <c r="APU2" s="1072"/>
      <c r="AQC2" s="1072"/>
      <c r="AQK2" s="1072"/>
      <c r="AQS2" s="1072"/>
      <c r="ARA2" s="1072"/>
      <c r="ARI2" s="1072"/>
      <c r="ARQ2" s="1072"/>
      <c r="ARY2" s="1072"/>
      <c r="ASG2" s="1072"/>
      <c r="ASO2" s="1072"/>
      <c r="ASW2" s="1072"/>
      <c r="ATE2" s="1072"/>
      <c r="ATM2" s="1072"/>
      <c r="ATU2" s="1072"/>
      <c r="AUC2" s="1072"/>
      <c r="AUK2" s="1072"/>
      <c r="AUS2" s="1072"/>
      <c r="AVA2" s="1072"/>
      <c r="AVI2" s="1072"/>
      <c r="AVQ2" s="1072"/>
      <c r="AVY2" s="1072"/>
      <c r="AWG2" s="1072"/>
      <c r="AWO2" s="1072"/>
      <c r="AWW2" s="1072"/>
      <c r="AXE2" s="1072"/>
      <c r="AXM2" s="1072"/>
      <c r="AXU2" s="1072"/>
      <c r="AYC2" s="1072"/>
      <c r="AYK2" s="1072"/>
      <c r="AYS2" s="1072"/>
      <c r="AZA2" s="1072"/>
      <c r="AZI2" s="1072"/>
      <c r="AZQ2" s="1072"/>
      <c r="AZY2" s="1072"/>
      <c r="BAG2" s="1072"/>
      <c r="BAO2" s="1072"/>
      <c r="BAW2" s="1072"/>
      <c r="BBE2" s="1072"/>
      <c r="BBM2" s="1072"/>
      <c r="BBU2" s="1072"/>
      <c r="BCC2" s="1072"/>
      <c r="BCK2" s="1072"/>
      <c r="BCS2" s="1072"/>
      <c r="BDA2" s="1072"/>
      <c r="BDI2" s="1072"/>
      <c r="BDQ2" s="1072"/>
      <c r="BDY2" s="1072"/>
      <c r="BEG2" s="1072"/>
      <c r="BEO2" s="1072"/>
      <c r="BEW2" s="1072"/>
      <c r="BFE2" s="1072"/>
      <c r="BFM2" s="1072"/>
      <c r="BFU2" s="1072"/>
      <c r="BGC2" s="1072"/>
      <c r="BGK2" s="1072"/>
      <c r="BGS2" s="1072"/>
      <c r="BHA2" s="1072"/>
      <c r="BHI2" s="1072"/>
      <c r="BHQ2" s="1072"/>
      <c r="BHY2" s="1072"/>
      <c r="BIG2" s="1072"/>
      <c r="BIO2" s="1072"/>
      <c r="BIW2" s="1072"/>
      <c r="BJE2" s="1072"/>
      <c r="BJM2" s="1072"/>
      <c r="BJU2" s="1072"/>
      <c r="BKC2" s="1072"/>
      <c r="BKK2" s="1072"/>
      <c r="BKS2" s="1072"/>
      <c r="BLA2" s="1072"/>
      <c r="BLI2" s="1072"/>
      <c r="BLQ2" s="1072"/>
      <c r="BLY2" s="1072"/>
      <c r="BMG2" s="1072"/>
      <c r="BMO2" s="1072"/>
      <c r="BMW2" s="1072"/>
      <c r="BNE2" s="1072"/>
      <c r="BNM2" s="1072"/>
      <c r="BNU2" s="1072"/>
      <c r="BOC2" s="1072"/>
      <c r="BOK2" s="1072"/>
      <c r="BOS2" s="1072"/>
      <c r="BPA2" s="1072"/>
      <c r="BPI2" s="1072"/>
      <c r="BPQ2" s="1072"/>
      <c r="BPY2" s="1072"/>
      <c r="BQG2" s="1072"/>
      <c r="BQO2" s="1072"/>
      <c r="BQW2" s="1072"/>
      <c r="BRE2" s="1072"/>
      <c r="BRM2" s="1072"/>
      <c r="BRU2" s="1072"/>
      <c r="BSC2" s="1072"/>
      <c r="BSK2" s="1072"/>
      <c r="BSS2" s="1072"/>
      <c r="BTA2" s="1072"/>
      <c r="BTI2" s="1072"/>
      <c r="BTQ2" s="1072"/>
      <c r="BTY2" s="1072"/>
      <c r="BUG2" s="1072"/>
      <c r="BUO2" s="1072"/>
      <c r="BUW2" s="1072"/>
      <c r="BVE2" s="1072"/>
      <c r="BVM2" s="1072"/>
      <c r="BVU2" s="1072"/>
      <c r="BWC2" s="1072"/>
      <c r="BWK2" s="1072"/>
      <c r="BWS2" s="1072"/>
      <c r="BXA2" s="1072"/>
      <c r="BXI2" s="1072"/>
      <c r="BXQ2" s="1072"/>
      <c r="BXY2" s="1072"/>
      <c r="BYG2" s="1072"/>
      <c r="BYO2" s="1072"/>
      <c r="BYW2" s="1072"/>
      <c r="BZE2" s="1072"/>
      <c r="BZM2" s="1072"/>
      <c r="BZU2" s="1072"/>
      <c r="CAC2" s="1072"/>
      <c r="CAK2" s="1072"/>
      <c r="CAS2" s="1072"/>
      <c r="CBA2" s="1072"/>
      <c r="CBI2" s="1072"/>
      <c r="CBQ2" s="1072"/>
      <c r="CBY2" s="1072"/>
      <c r="CCG2" s="1072"/>
      <c r="CCO2" s="1072"/>
      <c r="CCW2" s="1072"/>
      <c r="CDE2" s="1072"/>
      <c r="CDM2" s="1072"/>
      <c r="CDU2" s="1072"/>
      <c r="CEC2" s="1072"/>
      <c r="CEK2" s="1072"/>
      <c r="CES2" s="1072"/>
      <c r="CFA2" s="1072"/>
      <c r="CFI2" s="1072"/>
      <c r="CFQ2" s="1072"/>
      <c r="CFY2" s="1072"/>
      <c r="CGG2" s="1072"/>
      <c r="CGO2" s="1072"/>
      <c r="CGW2" s="1072"/>
      <c r="CHE2" s="1072"/>
      <c r="CHM2" s="1072"/>
      <c r="CHU2" s="1072"/>
      <c r="CIC2" s="1072"/>
      <c r="CIK2" s="1072"/>
      <c r="CIS2" s="1072"/>
      <c r="CJA2" s="1072"/>
      <c r="CJI2" s="1072"/>
      <c r="CJQ2" s="1072"/>
      <c r="CJY2" s="1072"/>
      <c r="CKG2" s="1072"/>
      <c r="CKO2" s="1072"/>
      <c r="CKW2" s="1072"/>
      <c r="CLE2" s="1072"/>
      <c r="CLM2" s="1072"/>
      <c r="CLU2" s="1072"/>
      <c r="CMC2" s="1072"/>
      <c r="CMK2" s="1072"/>
      <c r="CMS2" s="1072"/>
      <c r="CNA2" s="1072"/>
      <c r="CNI2" s="1072"/>
      <c r="CNQ2" s="1072"/>
      <c r="CNY2" s="1072"/>
      <c r="COG2" s="1072"/>
      <c r="COO2" s="1072"/>
      <c r="COW2" s="1072"/>
      <c r="CPE2" s="1072"/>
      <c r="CPM2" s="1072"/>
      <c r="CPU2" s="1072"/>
      <c r="CQC2" s="1072"/>
      <c r="CQK2" s="1072"/>
      <c r="CQS2" s="1072"/>
      <c r="CRA2" s="1072"/>
      <c r="CRI2" s="1072"/>
      <c r="CRQ2" s="1072"/>
      <c r="CRY2" s="1072"/>
      <c r="CSG2" s="1072"/>
      <c r="CSO2" s="1072"/>
      <c r="CSW2" s="1072"/>
      <c r="CTE2" s="1072"/>
      <c r="CTM2" s="1072"/>
      <c r="CTU2" s="1072"/>
      <c r="CUC2" s="1072"/>
      <c r="CUK2" s="1072"/>
      <c r="CUS2" s="1072"/>
      <c r="CVA2" s="1072"/>
      <c r="CVI2" s="1072"/>
      <c r="CVQ2" s="1072"/>
      <c r="CVY2" s="1072"/>
      <c r="CWG2" s="1072"/>
      <c r="CWO2" s="1072"/>
      <c r="CWW2" s="1072"/>
      <c r="CXE2" s="1072"/>
      <c r="CXM2" s="1072"/>
      <c r="CXU2" s="1072"/>
      <c r="CYC2" s="1072"/>
      <c r="CYK2" s="1072"/>
      <c r="CYS2" s="1072"/>
      <c r="CZA2" s="1072"/>
      <c r="CZI2" s="1072"/>
      <c r="CZQ2" s="1072"/>
      <c r="CZY2" s="1072"/>
      <c r="DAG2" s="1072"/>
      <c r="DAO2" s="1072"/>
      <c r="DAW2" s="1072"/>
      <c r="DBE2" s="1072"/>
      <c r="DBM2" s="1072"/>
      <c r="DBU2" s="1072"/>
      <c r="DCC2" s="1072"/>
      <c r="DCK2" s="1072"/>
      <c r="DCS2" s="1072"/>
      <c r="DDA2" s="1072"/>
      <c r="DDI2" s="1072"/>
      <c r="DDQ2" s="1072"/>
      <c r="DDY2" s="1072"/>
      <c r="DEG2" s="1072"/>
      <c r="DEO2" s="1072"/>
      <c r="DEW2" s="1072"/>
      <c r="DFE2" s="1072"/>
      <c r="DFM2" s="1072"/>
      <c r="DFU2" s="1072"/>
      <c r="DGC2" s="1072"/>
      <c r="DGK2" s="1072"/>
      <c r="DGS2" s="1072"/>
      <c r="DHA2" s="1072"/>
      <c r="DHI2" s="1072"/>
      <c r="DHQ2" s="1072"/>
      <c r="DHY2" s="1072"/>
      <c r="DIG2" s="1072"/>
      <c r="DIO2" s="1072"/>
      <c r="DIW2" s="1072"/>
      <c r="DJE2" s="1072"/>
      <c r="DJM2" s="1072"/>
      <c r="DJU2" s="1072"/>
      <c r="DKC2" s="1072"/>
      <c r="DKK2" s="1072"/>
      <c r="DKS2" s="1072"/>
      <c r="DLA2" s="1072"/>
      <c r="DLI2" s="1072"/>
      <c r="DLQ2" s="1072"/>
      <c r="DLY2" s="1072"/>
      <c r="DMG2" s="1072"/>
      <c r="DMO2" s="1072"/>
      <c r="DMW2" s="1072"/>
      <c r="DNE2" s="1072"/>
      <c r="DNM2" s="1072"/>
      <c r="DNU2" s="1072"/>
      <c r="DOC2" s="1072"/>
      <c r="DOK2" s="1072"/>
      <c r="DOS2" s="1072"/>
      <c r="DPA2" s="1072"/>
      <c r="DPI2" s="1072"/>
      <c r="DPQ2" s="1072"/>
      <c r="DPY2" s="1072"/>
      <c r="DQG2" s="1072"/>
      <c r="DQO2" s="1072"/>
      <c r="DQW2" s="1072"/>
      <c r="DRE2" s="1072"/>
      <c r="DRM2" s="1072"/>
      <c r="DRU2" s="1072"/>
      <c r="DSC2" s="1072"/>
      <c r="DSK2" s="1072"/>
      <c r="DSS2" s="1072"/>
      <c r="DTA2" s="1072"/>
      <c r="DTI2" s="1072"/>
      <c r="DTQ2" s="1072"/>
      <c r="DTY2" s="1072"/>
      <c r="DUG2" s="1072"/>
      <c r="DUO2" s="1072"/>
      <c r="DUW2" s="1072"/>
      <c r="DVE2" s="1072"/>
      <c r="DVM2" s="1072"/>
      <c r="DVU2" s="1072"/>
      <c r="DWC2" s="1072"/>
      <c r="DWK2" s="1072"/>
      <c r="DWS2" s="1072"/>
      <c r="DXA2" s="1072"/>
      <c r="DXI2" s="1072"/>
      <c r="DXQ2" s="1072"/>
      <c r="DXY2" s="1072"/>
      <c r="DYG2" s="1072"/>
      <c r="DYO2" s="1072"/>
      <c r="DYW2" s="1072"/>
      <c r="DZE2" s="1072"/>
      <c r="DZM2" s="1072"/>
      <c r="DZU2" s="1072"/>
      <c r="EAC2" s="1072"/>
      <c r="EAK2" s="1072"/>
      <c r="EAS2" s="1072"/>
      <c r="EBA2" s="1072"/>
      <c r="EBI2" s="1072"/>
      <c r="EBQ2" s="1072"/>
      <c r="EBY2" s="1072"/>
      <c r="ECG2" s="1072"/>
      <c r="ECO2" s="1072"/>
      <c r="ECW2" s="1072"/>
      <c r="EDE2" s="1072"/>
      <c r="EDM2" s="1072"/>
      <c r="EDU2" s="1072"/>
      <c r="EEC2" s="1072"/>
      <c r="EEK2" s="1072"/>
      <c r="EES2" s="1072"/>
      <c r="EFA2" s="1072"/>
      <c r="EFI2" s="1072"/>
      <c r="EFQ2" s="1072"/>
      <c r="EFY2" s="1072"/>
      <c r="EGG2" s="1072"/>
      <c r="EGO2" s="1072"/>
      <c r="EGW2" s="1072"/>
      <c r="EHE2" s="1072"/>
      <c r="EHM2" s="1072"/>
      <c r="EHU2" s="1072"/>
      <c r="EIC2" s="1072"/>
      <c r="EIK2" s="1072"/>
      <c r="EIS2" s="1072"/>
      <c r="EJA2" s="1072"/>
      <c r="EJI2" s="1072"/>
      <c r="EJQ2" s="1072"/>
      <c r="EJY2" s="1072"/>
      <c r="EKG2" s="1072"/>
      <c r="EKO2" s="1072"/>
      <c r="EKW2" s="1072"/>
      <c r="ELE2" s="1072"/>
      <c r="ELM2" s="1072"/>
      <c r="ELU2" s="1072"/>
      <c r="EMC2" s="1072"/>
      <c r="EMK2" s="1072"/>
      <c r="EMS2" s="1072"/>
      <c r="ENA2" s="1072"/>
      <c r="ENI2" s="1072"/>
      <c r="ENQ2" s="1072"/>
      <c r="ENY2" s="1072"/>
      <c r="EOG2" s="1072"/>
      <c r="EOO2" s="1072"/>
      <c r="EOW2" s="1072"/>
      <c r="EPE2" s="1072"/>
      <c r="EPM2" s="1072"/>
      <c r="EPU2" s="1072"/>
      <c r="EQC2" s="1072"/>
      <c r="EQK2" s="1072"/>
      <c r="EQS2" s="1072"/>
      <c r="ERA2" s="1072"/>
      <c r="ERI2" s="1072"/>
      <c r="ERQ2" s="1072"/>
      <c r="ERY2" s="1072"/>
      <c r="ESG2" s="1072"/>
      <c r="ESO2" s="1072"/>
      <c r="ESW2" s="1072"/>
      <c r="ETE2" s="1072"/>
      <c r="ETM2" s="1072"/>
      <c r="ETU2" s="1072"/>
      <c r="EUC2" s="1072"/>
      <c r="EUK2" s="1072"/>
      <c r="EUS2" s="1072"/>
      <c r="EVA2" s="1072"/>
      <c r="EVI2" s="1072"/>
      <c r="EVQ2" s="1072"/>
      <c r="EVY2" s="1072"/>
      <c r="EWG2" s="1072"/>
      <c r="EWO2" s="1072"/>
      <c r="EWW2" s="1072"/>
      <c r="EXE2" s="1072"/>
      <c r="EXM2" s="1072"/>
      <c r="EXU2" s="1072"/>
      <c r="EYC2" s="1072"/>
      <c r="EYK2" s="1072"/>
      <c r="EYS2" s="1072"/>
      <c r="EZA2" s="1072"/>
      <c r="EZI2" s="1072"/>
      <c r="EZQ2" s="1072"/>
      <c r="EZY2" s="1072"/>
      <c r="FAG2" s="1072"/>
      <c r="FAO2" s="1072"/>
      <c r="FAW2" s="1072"/>
      <c r="FBE2" s="1072"/>
      <c r="FBM2" s="1072"/>
      <c r="FBU2" s="1072"/>
      <c r="FCC2" s="1072"/>
      <c r="FCK2" s="1072"/>
      <c r="FCS2" s="1072"/>
      <c r="FDA2" s="1072"/>
      <c r="FDI2" s="1072"/>
      <c r="FDQ2" s="1072"/>
      <c r="FDY2" s="1072"/>
      <c r="FEG2" s="1072"/>
      <c r="FEO2" s="1072"/>
      <c r="FEW2" s="1072"/>
      <c r="FFE2" s="1072"/>
      <c r="FFM2" s="1072"/>
      <c r="FFU2" s="1072"/>
      <c r="FGC2" s="1072"/>
      <c r="FGK2" s="1072"/>
      <c r="FGS2" s="1072"/>
      <c r="FHA2" s="1072"/>
      <c r="FHI2" s="1072"/>
      <c r="FHQ2" s="1072"/>
      <c r="FHY2" s="1072"/>
      <c r="FIG2" s="1072"/>
      <c r="FIO2" s="1072"/>
      <c r="FIW2" s="1072"/>
      <c r="FJE2" s="1072"/>
      <c r="FJM2" s="1072"/>
      <c r="FJU2" s="1072"/>
      <c r="FKC2" s="1072"/>
      <c r="FKK2" s="1072"/>
      <c r="FKS2" s="1072"/>
      <c r="FLA2" s="1072"/>
      <c r="FLI2" s="1072"/>
      <c r="FLQ2" s="1072"/>
      <c r="FLY2" s="1072"/>
      <c r="FMG2" s="1072"/>
      <c r="FMO2" s="1072"/>
      <c r="FMW2" s="1072"/>
      <c r="FNE2" s="1072"/>
      <c r="FNM2" s="1072"/>
      <c r="FNU2" s="1072"/>
      <c r="FOC2" s="1072"/>
      <c r="FOK2" s="1072"/>
      <c r="FOS2" s="1072"/>
      <c r="FPA2" s="1072"/>
      <c r="FPI2" s="1072"/>
      <c r="FPQ2" s="1072"/>
      <c r="FPY2" s="1072"/>
      <c r="FQG2" s="1072"/>
      <c r="FQO2" s="1072"/>
      <c r="FQW2" s="1072"/>
      <c r="FRE2" s="1072"/>
      <c r="FRM2" s="1072"/>
      <c r="FRU2" s="1072"/>
      <c r="FSC2" s="1072"/>
      <c r="FSK2" s="1072"/>
      <c r="FSS2" s="1072"/>
      <c r="FTA2" s="1072"/>
      <c r="FTI2" s="1072"/>
      <c r="FTQ2" s="1072"/>
      <c r="FTY2" s="1072"/>
      <c r="FUG2" s="1072"/>
      <c r="FUO2" s="1072"/>
      <c r="FUW2" s="1072"/>
      <c r="FVE2" s="1072"/>
      <c r="FVM2" s="1072"/>
      <c r="FVU2" s="1072"/>
      <c r="FWC2" s="1072"/>
      <c r="FWK2" s="1072"/>
      <c r="FWS2" s="1072"/>
      <c r="FXA2" s="1072"/>
      <c r="FXI2" s="1072"/>
      <c r="FXQ2" s="1072"/>
      <c r="FXY2" s="1072"/>
      <c r="FYG2" s="1072"/>
      <c r="FYO2" s="1072"/>
      <c r="FYW2" s="1072"/>
      <c r="FZE2" s="1072"/>
      <c r="FZM2" s="1072"/>
      <c r="FZU2" s="1072"/>
      <c r="GAC2" s="1072"/>
      <c r="GAK2" s="1072"/>
      <c r="GAS2" s="1072"/>
      <c r="GBA2" s="1072"/>
      <c r="GBI2" s="1072"/>
      <c r="GBQ2" s="1072"/>
      <c r="GBY2" s="1072"/>
      <c r="GCG2" s="1072"/>
      <c r="GCO2" s="1072"/>
      <c r="GCW2" s="1072"/>
      <c r="GDE2" s="1072"/>
      <c r="GDM2" s="1072"/>
      <c r="GDU2" s="1072"/>
      <c r="GEC2" s="1072"/>
      <c r="GEK2" s="1072"/>
      <c r="GES2" s="1072"/>
      <c r="GFA2" s="1072"/>
      <c r="GFI2" s="1072"/>
      <c r="GFQ2" s="1072"/>
      <c r="GFY2" s="1072"/>
      <c r="GGG2" s="1072"/>
      <c r="GGO2" s="1072"/>
      <c r="GGW2" s="1072"/>
      <c r="GHE2" s="1072"/>
      <c r="GHM2" s="1072"/>
      <c r="GHU2" s="1072"/>
      <c r="GIC2" s="1072"/>
      <c r="GIK2" s="1072"/>
      <c r="GIS2" s="1072"/>
      <c r="GJA2" s="1072"/>
      <c r="GJI2" s="1072"/>
      <c r="GJQ2" s="1072"/>
      <c r="GJY2" s="1072"/>
      <c r="GKG2" s="1072"/>
      <c r="GKO2" s="1072"/>
      <c r="GKW2" s="1072"/>
      <c r="GLE2" s="1072"/>
      <c r="GLM2" s="1072"/>
      <c r="GLU2" s="1072"/>
      <c r="GMC2" s="1072"/>
      <c r="GMK2" s="1072"/>
      <c r="GMS2" s="1072"/>
      <c r="GNA2" s="1072"/>
      <c r="GNI2" s="1072"/>
      <c r="GNQ2" s="1072"/>
      <c r="GNY2" s="1072"/>
      <c r="GOG2" s="1072"/>
      <c r="GOO2" s="1072"/>
      <c r="GOW2" s="1072"/>
      <c r="GPE2" s="1072"/>
      <c r="GPM2" s="1072"/>
      <c r="GPU2" s="1072"/>
      <c r="GQC2" s="1072"/>
      <c r="GQK2" s="1072"/>
      <c r="GQS2" s="1072"/>
      <c r="GRA2" s="1072"/>
      <c r="GRI2" s="1072"/>
      <c r="GRQ2" s="1072"/>
      <c r="GRY2" s="1072"/>
      <c r="GSG2" s="1072"/>
      <c r="GSO2" s="1072"/>
      <c r="GSW2" s="1072"/>
      <c r="GTE2" s="1072"/>
      <c r="GTM2" s="1072"/>
      <c r="GTU2" s="1072"/>
      <c r="GUC2" s="1072"/>
      <c r="GUK2" s="1072"/>
      <c r="GUS2" s="1072"/>
      <c r="GVA2" s="1072"/>
      <c r="GVI2" s="1072"/>
      <c r="GVQ2" s="1072"/>
      <c r="GVY2" s="1072"/>
      <c r="GWG2" s="1072"/>
      <c r="GWO2" s="1072"/>
      <c r="GWW2" s="1072"/>
      <c r="GXE2" s="1072"/>
      <c r="GXM2" s="1072"/>
      <c r="GXU2" s="1072"/>
      <c r="GYC2" s="1072"/>
      <c r="GYK2" s="1072"/>
      <c r="GYS2" s="1072"/>
      <c r="GZA2" s="1072"/>
      <c r="GZI2" s="1072"/>
      <c r="GZQ2" s="1072"/>
      <c r="GZY2" s="1072"/>
      <c r="HAG2" s="1072"/>
      <c r="HAO2" s="1072"/>
      <c r="HAW2" s="1072"/>
      <c r="HBE2" s="1072"/>
      <c r="HBM2" s="1072"/>
      <c r="HBU2" s="1072"/>
      <c r="HCC2" s="1072"/>
      <c r="HCK2" s="1072"/>
      <c r="HCS2" s="1072"/>
      <c r="HDA2" s="1072"/>
      <c r="HDI2" s="1072"/>
      <c r="HDQ2" s="1072"/>
      <c r="HDY2" s="1072"/>
      <c r="HEG2" s="1072"/>
      <c r="HEO2" s="1072"/>
      <c r="HEW2" s="1072"/>
      <c r="HFE2" s="1072"/>
      <c r="HFM2" s="1072"/>
      <c r="HFU2" s="1072"/>
      <c r="HGC2" s="1072"/>
      <c r="HGK2" s="1072"/>
      <c r="HGS2" s="1072"/>
      <c r="HHA2" s="1072"/>
      <c r="HHI2" s="1072"/>
      <c r="HHQ2" s="1072"/>
      <c r="HHY2" s="1072"/>
      <c r="HIG2" s="1072"/>
      <c r="HIO2" s="1072"/>
      <c r="HIW2" s="1072"/>
      <c r="HJE2" s="1072"/>
      <c r="HJM2" s="1072"/>
      <c r="HJU2" s="1072"/>
      <c r="HKC2" s="1072"/>
      <c r="HKK2" s="1072"/>
      <c r="HKS2" s="1072"/>
      <c r="HLA2" s="1072"/>
      <c r="HLI2" s="1072"/>
      <c r="HLQ2" s="1072"/>
      <c r="HLY2" s="1072"/>
      <c r="HMG2" s="1072"/>
      <c r="HMO2" s="1072"/>
      <c r="HMW2" s="1072"/>
      <c r="HNE2" s="1072"/>
      <c r="HNM2" s="1072"/>
      <c r="HNU2" s="1072"/>
      <c r="HOC2" s="1072"/>
      <c r="HOK2" s="1072"/>
      <c r="HOS2" s="1072"/>
      <c r="HPA2" s="1072"/>
      <c r="HPI2" s="1072"/>
      <c r="HPQ2" s="1072"/>
      <c r="HPY2" s="1072"/>
      <c r="HQG2" s="1072"/>
      <c r="HQO2" s="1072"/>
      <c r="HQW2" s="1072"/>
      <c r="HRE2" s="1072"/>
      <c r="HRM2" s="1072"/>
      <c r="HRU2" s="1072"/>
      <c r="HSC2" s="1072"/>
      <c r="HSK2" s="1072"/>
      <c r="HSS2" s="1072"/>
      <c r="HTA2" s="1072"/>
      <c r="HTI2" s="1072"/>
      <c r="HTQ2" s="1072"/>
      <c r="HTY2" s="1072"/>
      <c r="HUG2" s="1072"/>
      <c r="HUO2" s="1072"/>
      <c r="HUW2" s="1072"/>
      <c r="HVE2" s="1072"/>
      <c r="HVM2" s="1072"/>
      <c r="HVU2" s="1072"/>
      <c r="HWC2" s="1072"/>
      <c r="HWK2" s="1072"/>
      <c r="HWS2" s="1072"/>
      <c r="HXA2" s="1072"/>
      <c r="HXI2" s="1072"/>
      <c r="HXQ2" s="1072"/>
      <c r="HXY2" s="1072"/>
      <c r="HYG2" s="1072"/>
      <c r="HYO2" s="1072"/>
      <c r="HYW2" s="1072"/>
      <c r="HZE2" s="1072"/>
      <c r="HZM2" s="1072"/>
      <c r="HZU2" s="1072"/>
      <c r="IAC2" s="1072"/>
      <c r="IAK2" s="1072"/>
      <c r="IAS2" s="1072"/>
      <c r="IBA2" s="1072"/>
      <c r="IBI2" s="1072"/>
      <c r="IBQ2" s="1072"/>
      <c r="IBY2" s="1072"/>
      <c r="ICG2" s="1072"/>
      <c r="ICO2" s="1072"/>
      <c r="ICW2" s="1072"/>
      <c r="IDE2" s="1072"/>
      <c r="IDM2" s="1072"/>
      <c r="IDU2" s="1072"/>
      <c r="IEC2" s="1072"/>
      <c r="IEK2" s="1072"/>
      <c r="IES2" s="1072"/>
      <c r="IFA2" s="1072"/>
      <c r="IFI2" s="1072"/>
      <c r="IFQ2" s="1072"/>
      <c r="IFY2" s="1072"/>
      <c r="IGG2" s="1072"/>
      <c r="IGO2" s="1072"/>
      <c r="IGW2" s="1072"/>
      <c r="IHE2" s="1072"/>
      <c r="IHM2" s="1072"/>
      <c r="IHU2" s="1072"/>
      <c r="IIC2" s="1072"/>
      <c r="IIK2" s="1072"/>
      <c r="IIS2" s="1072"/>
      <c r="IJA2" s="1072"/>
      <c r="IJI2" s="1072"/>
      <c r="IJQ2" s="1072"/>
      <c r="IJY2" s="1072"/>
      <c r="IKG2" s="1072"/>
      <c r="IKO2" s="1072"/>
      <c r="IKW2" s="1072"/>
      <c r="ILE2" s="1072"/>
      <c r="ILM2" s="1072"/>
      <c r="ILU2" s="1072"/>
      <c r="IMC2" s="1072"/>
      <c r="IMK2" s="1072"/>
      <c r="IMS2" s="1072"/>
      <c r="INA2" s="1072"/>
      <c r="INI2" s="1072"/>
      <c r="INQ2" s="1072"/>
      <c r="INY2" s="1072"/>
      <c r="IOG2" s="1072"/>
      <c r="IOO2" s="1072"/>
      <c r="IOW2" s="1072"/>
      <c r="IPE2" s="1072"/>
      <c r="IPM2" s="1072"/>
      <c r="IPU2" s="1072"/>
      <c r="IQC2" s="1072"/>
      <c r="IQK2" s="1072"/>
      <c r="IQS2" s="1072"/>
      <c r="IRA2" s="1072"/>
      <c r="IRI2" s="1072"/>
      <c r="IRQ2" s="1072"/>
      <c r="IRY2" s="1072"/>
      <c r="ISG2" s="1072"/>
      <c r="ISO2" s="1072"/>
      <c r="ISW2" s="1072"/>
      <c r="ITE2" s="1072"/>
      <c r="ITM2" s="1072"/>
      <c r="ITU2" s="1072"/>
      <c r="IUC2" s="1072"/>
      <c r="IUK2" s="1072"/>
      <c r="IUS2" s="1072"/>
      <c r="IVA2" s="1072"/>
      <c r="IVI2" s="1072"/>
      <c r="IVQ2" s="1072"/>
      <c r="IVY2" s="1072"/>
      <c r="IWG2" s="1072"/>
      <c r="IWO2" s="1072"/>
      <c r="IWW2" s="1072"/>
      <c r="IXE2" s="1072"/>
      <c r="IXM2" s="1072"/>
      <c r="IXU2" s="1072"/>
      <c r="IYC2" s="1072"/>
      <c r="IYK2" s="1072"/>
      <c r="IYS2" s="1072"/>
      <c r="IZA2" s="1072"/>
      <c r="IZI2" s="1072"/>
      <c r="IZQ2" s="1072"/>
      <c r="IZY2" s="1072"/>
      <c r="JAG2" s="1072"/>
      <c r="JAO2" s="1072"/>
      <c r="JAW2" s="1072"/>
      <c r="JBE2" s="1072"/>
      <c r="JBM2" s="1072"/>
      <c r="JBU2" s="1072"/>
      <c r="JCC2" s="1072"/>
      <c r="JCK2" s="1072"/>
      <c r="JCS2" s="1072"/>
      <c r="JDA2" s="1072"/>
      <c r="JDI2" s="1072"/>
      <c r="JDQ2" s="1072"/>
      <c r="JDY2" s="1072"/>
      <c r="JEG2" s="1072"/>
      <c r="JEO2" s="1072"/>
      <c r="JEW2" s="1072"/>
      <c r="JFE2" s="1072"/>
      <c r="JFM2" s="1072"/>
      <c r="JFU2" s="1072"/>
      <c r="JGC2" s="1072"/>
      <c r="JGK2" s="1072"/>
      <c r="JGS2" s="1072"/>
      <c r="JHA2" s="1072"/>
      <c r="JHI2" s="1072"/>
      <c r="JHQ2" s="1072"/>
      <c r="JHY2" s="1072"/>
      <c r="JIG2" s="1072"/>
      <c r="JIO2" s="1072"/>
      <c r="JIW2" s="1072"/>
      <c r="JJE2" s="1072"/>
      <c r="JJM2" s="1072"/>
      <c r="JJU2" s="1072"/>
      <c r="JKC2" s="1072"/>
      <c r="JKK2" s="1072"/>
      <c r="JKS2" s="1072"/>
      <c r="JLA2" s="1072"/>
      <c r="JLI2" s="1072"/>
      <c r="JLQ2" s="1072"/>
      <c r="JLY2" s="1072"/>
      <c r="JMG2" s="1072"/>
      <c r="JMO2" s="1072"/>
      <c r="JMW2" s="1072"/>
      <c r="JNE2" s="1072"/>
      <c r="JNM2" s="1072"/>
      <c r="JNU2" s="1072"/>
      <c r="JOC2" s="1072"/>
      <c r="JOK2" s="1072"/>
      <c r="JOS2" s="1072"/>
      <c r="JPA2" s="1072"/>
      <c r="JPI2" s="1072"/>
      <c r="JPQ2" s="1072"/>
      <c r="JPY2" s="1072"/>
      <c r="JQG2" s="1072"/>
      <c r="JQO2" s="1072"/>
      <c r="JQW2" s="1072"/>
      <c r="JRE2" s="1072"/>
      <c r="JRM2" s="1072"/>
      <c r="JRU2" s="1072"/>
      <c r="JSC2" s="1072"/>
      <c r="JSK2" s="1072"/>
      <c r="JSS2" s="1072"/>
      <c r="JTA2" s="1072"/>
      <c r="JTI2" s="1072"/>
      <c r="JTQ2" s="1072"/>
      <c r="JTY2" s="1072"/>
      <c r="JUG2" s="1072"/>
      <c r="JUO2" s="1072"/>
      <c r="JUW2" s="1072"/>
      <c r="JVE2" s="1072"/>
      <c r="JVM2" s="1072"/>
      <c r="JVU2" s="1072"/>
      <c r="JWC2" s="1072"/>
      <c r="JWK2" s="1072"/>
      <c r="JWS2" s="1072"/>
      <c r="JXA2" s="1072"/>
      <c r="JXI2" s="1072"/>
      <c r="JXQ2" s="1072"/>
      <c r="JXY2" s="1072"/>
      <c r="JYG2" s="1072"/>
      <c r="JYO2" s="1072"/>
      <c r="JYW2" s="1072"/>
      <c r="JZE2" s="1072"/>
      <c r="JZM2" s="1072"/>
      <c r="JZU2" s="1072"/>
      <c r="KAC2" s="1072"/>
      <c r="KAK2" s="1072"/>
      <c r="KAS2" s="1072"/>
      <c r="KBA2" s="1072"/>
      <c r="KBI2" s="1072"/>
      <c r="KBQ2" s="1072"/>
      <c r="KBY2" s="1072"/>
      <c r="KCG2" s="1072"/>
      <c r="KCO2" s="1072"/>
      <c r="KCW2" s="1072"/>
      <c r="KDE2" s="1072"/>
      <c r="KDM2" s="1072"/>
      <c r="KDU2" s="1072"/>
      <c r="KEC2" s="1072"/>
      <c r="KEK2" s="1072"/>
      <c r="KES2" s="1072"/>
      <c r="KFA2" s="1072"/>
      <c r="KFI2" s="1072"/>
      <c r="KFQ2" s="1072"/>
      <c r="KFY2" s="1072"/>
      <c r="KGG2" s="1072"/>
      <c r="KGO2" s="1072"/>
      <c r="KGW2" s="1072"/>
      <c r="KHE2" s="1072"/>
      <c r="KHM2" s="1072"/>
      <c r="KHU2" s="1072"/>
      <c r="KIC2" s="1072"/>
      <c r="KIK2" s="1072"/>
      <c r="KIS2" s="1072"/>
      <c r="KJA2" s="1072"/>
      <c r="KJI2" s="1072"/>
      <c r="KJQ2" s="1072"/>
      <c r="KJY2" s="1072"/>
      <c r="KKG2" s="1072"/>
      <c r="KKO2" s="1072"/>
      <c r="KKW2" s="1072"/>
      <c r="KLE2" s="1072"/>
      <c r="KLM2" s="1072"/>
      <c r="KLU2" s="1072"/>
      <c r="KMC2" s="1072"/>
      <c r="KMK2" s="1072"/>
      <c r="KMS2" s="1072"/>
      <c r="KNA2" s="1072"/>
      <c r="KNI2" s="1072"/>
      <c r="KNQ2" s="1072"/>
      <c r="KNY2" s="1072"/>
      <c r="KOG2" s="1072"/>
      <c r="KOO2" s="1072"/>
      <c r="KOW2" s="1072"/>
      <c r="KPE2" s="1072"/>
      <c r="KPM2" s="1072"/>
      <c r="KPU2" s="1072"/>
      <c r="KQC2" s="1072"/>
      <c r="KQK2" s="1072"/>
      <c r="KQS2" s="1072"/>
      <c r="KRA2" s="1072"/>
      <c r="KRI2" s="1072"/>
      <c r="KRQ2" s="1072"/>
      <c r="KRY2" s="1072"/>
      <c r="KSG2" s="1072"/>
      <c r="KSO2" s="1072"/>
      <c r="KSW2" s="1072"/>
      <c r="KTE2" s="1072"/>
      <c r="KTM2" s="1072"/>
      <c r="KTU2" s="1072"/>
      <c r="KUC2" s="1072"/>
      <c r="KUK2" s="1072"/>
      <c r="KUS2" s="1072"/>
      <c r="KVA2" s="1072"/>
      <c r="KVI2" s="1072"/>
      <c r="KVQ2" s="1072"/>
      <c r="KVY2" s="1072"/>
      <c r="KWG2" s="1072"/>
      <c r="KWO2" s="1072"/>
      <c r="KWW2" s="1072"/>
      <c r="KXE2" s="1072"/>
      <c r="KXM2" s="1072"/>
      <c r="KXU2" s="1072"/>
      <c r="KYC2" s="1072"/>
      <c r="KYK2" s="1072"/>
      <c r="KYS2" s="1072"/>
      <c r="KZA2" s="1072"/>
      <c r="KZI2" s="1072"/>
      <c r="KZQ2" s="1072"/>
      <c r="KZY2" s="1072"/>
      <c r="LAG2" s="1072"/>
      <c r="LAO2" s="1072"/>
      <c r="LAW2" s="1072"/>
      <c r="LBE2" s="1072"/>
      <c r="LBM2" s="1072"/>
      <c r="LBU2" s="1072"/>
      <c r="LCC2" s="1072"/>
      <c r="LCK2" s="1072"/>
      <c r="LCS2" s="1072"/>
      <c r="LDA2" s="1072"/>
      <c r="LDI2" s="1072"/>
      <c r="LDQ2" s="1072"/>
      <c r="LDY2" s="1072"/>
      <c r="LEG2" s="1072"/>
      <c r="LEO2" s="1072"/>
      <c r="LEW2" s="1072"/>
      <c r="LFE2" s="1072"/>
      <c r="LFM2" s="1072"/>
      <c r="LFU2" s="1072"/>
      <c r="LGC2" s="1072"/>
      <c r="LGK2" s="1072"/>
      <c r="LGS2" s="1072"/>
      <c r="LHA2" s="1072"/>
      <c r="LHI2" s="1072"/>
      <c r="LHQ2" s="1072"/>
      <c r="LHY2" s="1072"/>
      <c r="LIG2" s="1072"/>
      <c r="LIO2" s="1072"/>
      <c r="LIW2" s="1072"/>
      <c r="LJE2" s="1072"/>
      <c r="LJM2" s="1072"/>
      <c r="LJU2" s="1072"/>
      <c r="LKC2" s="1072"/>
      <c r="LKK2" s="1072"/>
      <c r="LKS2" s="1072"/>
      <c r="LLA2" s="1072"/>
      <c r="LLI2" s="1072"/>
      <c r="LLQ2" s="1072"/>
      <c r="LLY2" s="1072"/>
      <c r="LMG2" s="1072"/>
      <c r="LMO2" s="1072"/>
      <c r="LMW2" s="1072"/>
      <c r="LNE2" s="1072"/>
      <c r="LNM2" s="1072"/>
      <c r="LNU2" s="1072"/>
      <c r="LOC2" s="1072"/>
      <c r="LOK2" s="1072"/>
      <c r="LOS2" s="1072"/>
      <c r="LPA2" s="1072"/>
      <c r="LPI2" s="1072"/>
      <c r="LPQ2" s="1072"/>
      <c r="LPY2" s="1072"/>
      <c r="LQG2" s="1072"/>
      <c r="LQO2" s="1072"/>
      <c r="LQW2" s="1072"/>
      <c r="LRE2" s="1072"/>
      <c r="LRM2" s="1072"/>
      <c r="LRU2" s="1072"/>
      <c r="LSC2" s="1072"/>
      <c r="LSK2" s="1072"/>
      <c r="LSS2" s="1072"/>
      <c r="LTA2" s="1072"/>
      <c r="LTI2" s="1072"/>
      <c r="LTQ2" s="1072"/>
      <c r="LTY2" s="1072"/>
      <c r="LUG2" s="1072"/>
      <c r="LUO2" s="1072"/>
      <c r="LUW2" s="1072"/>
      <c r="LVE2" s="1072"/>
      <c r="LVM2" s="1072"/>
      <c r="LVU2" s="1072"/>
      <c r="LWC2" s="1072"/>
      <c r="LWK2" s="1072"/>
      <c r="LWS2" s="1072"/>
      <c r="LXA2" s="1072"/>
      <c r="LXI2" s="1072"/>
      <c r="LXQ2" s="1072"/>
      <c r="LXY2" s="1072"/>
      <c r="LYG2" s="1072"/>
      <c r="LYO2" s="1072"/>
      <c r="LYW2" s="1072"/>
      <c r="LZE2" s="1072"/>
      <c r="LZM2" s="1072"/>
      <c r="LZU2" s="1072"/>
      <c r="MAC2" s="1072"/>
      <c r="MAK2" s="1072"/>
      <c r="MAS2" s="1072"/>
      <c r="MBA2" s="1072"/>
      <c r="MBI2" s="1072"/>
      <c r="MBQ2" s="1072"/>
      <c r="MBY2" s="1072"/>
      <c r="MCG2" s="1072"/>
      <c r="MCO2" s="1072"/>
      <c r="MCW2" s="1072"/>
      <c r="MDE2" s="1072"/>
      <c r="MDM2" s="1072"/>
      <c r="MDU2" s="1072"/>
      <c r="MEC2" s="1072"/>
      <c r="MEK2" s="1072"/>
      <c r="MES2" s="1072"/>
      <c r="MFA2" s="1072"/>
      <c r="MFI2" s="1072"/>
      <c r="MFQ2" s="1072"/>
      <c r="MFY2" s="1072"/>
      <c r="MGG2" s="1072"/>
      <c r="MGO2" s="1072"/>
      <c r="MGW2" s="1072"/>
      <c r="MHE2" s="1072"/>
      <c r="MHM2" s="1072"/>
      <c r="MHU2" s="1072"/>
      <c r="MIC2" s="1072"/>
      <c r="MIK2" s="1072"/>
      <c r="MIS2" s="1072"/>
      <c r="MJA2" s="1072"/>
      <c r="MJI2" s="1072"/>
      <c r="MJQ2" s="1072"/>
      <c r="MJY2" s="1072"/>
      <c r="MKG2" s="1072"/>
      <c r="MKO2" s="1072"/>
      <c r="MKW2" s="1072"/>
      <c r="MLE2" s="1072"/>
      <c r="MLM2" s="1072"/>
      <c r="MLU2" s="1072"/>
      <c r="MMC2" s="1072"/>
      <c r="MMK2" s="1072"/>
      <c r="MMS2" s="1072"/>
      <c r="MNA2" s="1072"/>
      <c r="MNI2" s="1072"/>
      <c r="MNQ2" s="1072"/>
      <c r="MNY2" s="1072"/>
      <c r="MOG2" s="1072"/>
      <c r="MOO2" s="1072"/>
      <c r="MOW2" s="1072"/>
      <c r="MPE2" s="1072"/>
      <c r="MPM2" s="1072"/>
      <c r="MPU2" s="1072"/>
      <c r="MQC2" s="1072"/>
      <c r="MQK2" s="1072"/>
      <c r="MQS2" s="1072"/>
      <c r="MRA2" s="1072"/>
      <c r="MRI2" s="1072"/>
      <c r="MRQ2" s="1072"/>
      <c r="MRY2" s="1072"/>
      <c r="MSG2" s="1072"/>
      <c r="MSO2" s="1072"/>
      <c r="MSW2" s="1072"/>
      <c r="MTE2" s="1072"/>
      <c r="MTM2" s="1072"/>
      <c r="MTU2" s="1072"/>
      <c r="MUC2" s="1072"/>
      <c r="MUK2" s="1072"/>
      <c r="MUS2" s="1072"/>
      <c r="MVA2" s="1072"/>
      <c r="MVI2" s="1072"/>
      <c r="MVQ2" s="1072"/>
      <c r="MVY2" s="1072"/>
      <c r="MWG2" s="1072"/>
      <c r="MWO2" s="1072"/>
      <c r="MWW2" s="1072"/>
      <c r="MXE2" s="1072"/>
      <c r="MXM2" s="1072"/>
      <c r="MXU2" s="1072"/>
      <c r="MYC2" s="1072"/>
      <c r="MYK2" s="1072"/>
      <c r="MYS2" s="1072"/>
      <c r="MZA2" s="1072"/>
      <c r="MZI2" s="1072"/>
      <c r="MZQ2" s="1072"/>
      <c r="MZY2" s="1072"/>
      <c r="NAG2" s="1072"/>
      <c r="NAO2" s="1072"/>
      <c r="NAW2" s="1072"/>
      <c r="NBE2" s="1072"/>
      <c r="NBM2" s="1072"/>
      <c r="NBU2" s="1072"/>
      <c r="NCC2" s="1072"/>
      <c r="NCK2" s="1072"/>
      <c r="NCS2" s="1072"/>
      <c r="NDA2" s="1072"/>
      <c r="NDI2" s="1072"/>
      <c r="NDQ2" s="1072"/>
      <c r="NDY2" s="1072"/>
      <c r="NEG2" s="1072"/>
      <c r="NEO2" s="1072"/>
      <c r="NEW2" s="1072"/>
      <c r="NFE2" s="1072"/>
      <c r="NFM2" s="1072"/>
      <c r="NFU2" s="1072"/>
      <c r="NGC2" s="1072"/>
      <c r="NGK2" s="1072"/>
      <c r="NGS2" s="1072"/>
      <c r="NHA2" s="1072"/>
      <c r="NHI2" s="1072"/>
      <c r="NHQ2" s="1072"/>
      <c r="NHY2" s="1072"/>
      <c r="NIG2" s="1072"/>
      <c r="NIO2" s="1072"/>
      <c r="NIW2" s="1072"/>
      <c r="NJE2" s="1072"/>
      <c r="NJM2" s="1072"/>
      <c r="NJU2" s="1072"/>
      <c r="NKC2" s="1072"/>
      <c r="NKK2" s="1072"/>
      <c r="NKS2" s="1072"/>
      <c r="NLA2" s="1072"/>
      <c r="NLI2" s="1072"/>
      <c r="NLQ2" s="1072"/>
      <c r="NLY2" s="1072"/>
      <c r="NMG2" s="1072"/>
      <c r="NMO2" s="1072"/>
      <c r="NMW2" s="1072"/>
      <c r="NNE2" s="1072"/>
      <c r="NNM2" s="1072"/>
      <c r="NNU2" s="1072"/>
      <c r="NOC2" s="1072"/>
      <c r="NOK2" s="1072"/>
      <c r="NOS2" s="1072"/>
      <c r="NPA2" s="1072"/>
      <c r="NPI2" s="1072"/>
      <c r="NPQ2" s="1072"/>
      <c r="NPY2" s="1072"/>
      <c r="NQG2" s="1072"/>
      <c r="NQO2" s="1072"/>
      <c r="NQW2" s="1072"/>
      <c r="NRE2" s="1072"/>
      <c r="NRM2" s="1072"/>
      <c r="NRU2" s="1072"/>
      <c r="NSC2" s="1072"/>
      <c r="NSK2" s="1072"/>
      <c r="NSS2" s="1072"/>
      <c r="NTA2" s="1072"/>
      <c r="NTI2" s="1072"/>
      <c r="NTQ2" s="1072"/>
      <c r="NTY2" s="1072"/>
      <c r="NUG2" s="1072"/>
      <c r="NUO2" s="1072"/>
      <c r="NUW2" s="1072"/>
      <c r="NVE2" s="1072"/>
      <c r="NVM2" s="1072"/>
      <c r="NVU2" s="1072"/>
      <c r="NWC2" s="1072"/>
      <c r="NWK2" s="1072"/>
      <c r="NWS2" s="1072"/>
      <c r="NXA2" s="1072"/>
      <c r="NXI2" s="1072"/>
      <c r="NXQ2" s="1072"/>
      <c r="NXY2" s="1072"/>
      <c r="NYG2" s="1072"/>
      <c r="NYO2" s="1072"/>
      <c r="NYW2" s="1072"/>
      <c r="NZE2" s="1072"/>
      <c r="NZM2" s="1072"/>
      <c r="NZU2" s="1072"/>
      <c r="OAC2" s="1072"/>
      <c r="OAK2" s="1072"/>
      <c r="OAS2" s="1072"/>
      <c r="OBA2" s="1072"/>
      <c r="OBI2" s="1072"/>
      <c r="OBQ2" s="1072"/>
      <c r="OBY2" s="1072"/>
      <c r="OCG2" s="1072"/>
      <c r="OCO2" s="1072"/>
      <c r="OCW2" s="1072"/>
      <c r="ODE2" s="1072"/>
      <c r="ODM2" s="1072"/>
      <c r="ODU2" s="1072"/>
      <c r="OEC2" s="1072"/>
      <c r="OEK2" s="1072"/>
      <c r="OES2" s="1072"/>
      <c r="OFA2" s="1072"/>
      <c r="OFI2" s="1072"/>
      <c r="OFQ2" s="1072"/>
      <c r="OFY2" s="1072"/>
      <c r="OGG2" s="1072"/>
      <c r="OGO2" s="1072"/>
      <c r="OGW2" s="1072"/>
      <c r="OHE2" s="1072"/>
      <c r="OHM2" s="1072"/>
      <c r="OHU2" s="1072"/>
      <c r="OIC2" s="1072"/>
      <c r="OIK2" s="1072"/>
      <c r="OIS2" s="1072"/>
      <c r="OJA2" s="1072"/>
      <c r="OJI2" s="1072"/>
      <c r="OJQ2" s="1072"/>
      <c r="OJY2" s="1072"/>
      <c r="OKG2" s="1072"/>
      <c r="OKO2" s="1072"/>
      <c r="OKW2" s="1072"/>
      <c r="OLE2" s="1072"/>
      <c r="OLM2" s="1072"/>
      <c r="OLU2" s="1072"/>
      <c r="OMC2" s="1072"/>
      <c r="OMK2" s="1072"/>
      <c r="OMS2" s="1072"/>
      <c r="ONA2" s="1072"/>
      <c r="ONI2" s="1072"/>
      <c r="ONQ2" s="1072"/>
      <c r="ONY2" s="1072"/>
      <c r="OOG2" s="1072"/>
      <c r="OOO2" s="1072"/>
      <c r="OOW2" s="1072"/>
      <c r="OPE2" s="1072"/>
      <c r="OPM2" s="1072"/>
      <c r="OPU2" s="1072"/>
      <c r="OQC2" s="1072"/>
      <c r="OQK2" s="1072"/>
      <c r="OQS2" s="1072"/>
      <c r="ORA2" s="1072"/>
      <c r="ORI2" s="1072"/>
      <c r="ORQ2" s="1072"/>
      <c r="ORY2" s="1072"/>
      <c r="OSG2" s="1072"/>
      <c r="OSO2" s="1072"/>
      <c r="OSW2" s="1072"/>
      <c r="OTE2" s="1072"/>
      <c r="OTM2" s="1072"/>
      <c r="OTU2" s="1072"/>
      <c r="OUC2" s="1072"/>
      <c r="OUK2" s="1072"/>
      <c r="OUS2" s="1072"/>
      <c r="OVA2" s="1072"/>
      <c r="OVI2" s="1072"/>
      <c r="OVQ2" s="1072"/>
      <c r="OVY2" s="1072"/>
      <c r="OWG2" s="1072"/>
      <c r="OWO2" s="1072"/>
      <c r="OWW2" s="1072"/>
      <c r="OXE2" s="1072"/>
      <c r="OXM2" s="1072"/>
      <c r="OXU2" s="1072"/>
      <c r="OYC2" s="1072"/>
      <c r="OYK2" s="1072"/>
      <c r="OYS2" s="1072"/>
      <c r="OZA2" s="1072"/>
      <c r="OZI2" s="1072"/>
      <c r="OZQ2" s="1072"/>
      <c r="OZY2" s="1072"/>
      <c r="PAG2" s="1072"/>
      <c r="PAO2" s="1072"/>
      <c r="PAW2" s="1072"/>
      <c r="PBE2" s="1072"/>
      <c r="PBM2" s="1072"/>
      <c r="PBU2" s="1072"/>
      <c r="PCC2" s="1072"/>
      <c r="PCK2" s="1072"/>
      <c r="PCS2" s="1072"/>
      <c r="PDA2" s="1072"/>
      <c r="PDI2" s="1072"/>
      <c r="PDQ2" s="1072"/>
      <c r="PDY2" s="1072"/>
      <c r="PEG2" s="1072"/>
      <c r="PEO2" s="1072"/>
      <c r="PEW2" s="1072"/>
      <c r="PFE2" s="1072"/>
      <c r="PFM2" s="1072"/>
      <c r="PFU2" s="1072"/>
      <c r="PGC2" s="1072"/>
      <c r="PGK2" s="1072"/>
      <c r="PGS2" s="1072"/>
      <c r="PHA2" s="1072"/>
      <c r="PHI2" s="1072"/>
      <c r="PHQ2" s="1072"/>
      <c r="PHY2" s="1072"/>
      <c r="PIG2" s="1072"/>
      <c r="PIO2" s="1072"/>
      <c r="PIW2" s="1072"/>
      <c r="PJE2" s="1072"/>
      <c r="PJM2" s="1072"/>
      <c r="PJU2" s="1072"/>
      <c r="PKC2" s="1072"/>
      <c r="PKK2" s="1072"/>
      <c r="PKS2" s="1072"/>
      <c r="PLA2" s="1072"/>
      <c r="PLI2" s="1072"/>
      <c r="PLQ2" s="1072"/>
      <c r="PLY2" s="1072"/>
      <c r="PMG2" s="1072"/>
      <c r="PMO2" s="1072"/>
      <c r="PMW2" s="1072"/>
      <c r="PNE2" s="1072"/>
      <c r="PNM2" s="1072"/>
      <c r="PNU2" s="1072"/>
      <c r="POC2" s="1072"/>
      <c r="POK2" s="1072"/>
      <c r="POS2" s="1072"/>
      <c r="PPA2" s="1072"/>
      <c r="PPI2" s="1072"/>
      <c r="PPQ2" s="1072"/>
      <c r="PPY2" s="1072"/>
      <c r="PQG2" s="1072"/>
      <c r="PQO2" s="1072"/>
      <c r="PQW2" s="1072"/>
      <c r="PRE2" s="1072"/>
      <c r="PRM2" s="1072"/>
      <c r="PRU2" s="1072"/>
      <c r="PSC2" s="1072"/>
      <c r="PSK2" s="1072"/>
      <c r="PSS2" s="1072"/>
      <c r="PTA2" s="1072"/>
      <c r="PTI2" s="1072"/>
      <c r="PTQ2" s="1072"/>
      <c r="PTY2" s="1072"/>
      <c r="PUG2" s="1072"/>
      <c r="PUO2" s="1072"/>
      <c r="PUW2" s="1072"/>
      <c r="PVE2" s="1072"/>
      <c r="PVM2" s="1072"/>
      <c r="PVU2" s="1072"/>
      <c r="PWC2" s="1072"/>
      <c r="PWK2" s="1072"/>
      <c r="PWS2" s="1072"/>
      <c r="PXA2" s="1072"/>
      <c r="PXI2" s="1072"/>
      <c r="PXQ2" s="1072"/>
      <c r="PXY2" s="1072"/>
      <c r="PYG2" s="1072"/>
      <c r="PYO2" s="1072"/>
      <c r="PYW2" s="1072"/>
      <c r="PZE2" s="1072"/>
      <c r="PZM2" s="1072"/>
      <c r="PZU2" s="1072"/>
      <c r="QAC2" s="1072"/>
      <c r="QAK2" s="1072"/>
      <c r="QAS2" s="1072"/>
      <c r="QBA2" s="1072"/>
      <c r="QBI2" s="1072"/>
      <c r="QBQ2" s="1072"/>
      <c r="QBY2" s="1072"/>
      <c r="QCG2" s="1072"/>
      <c r="QCO2" s="1072"/>
      <c r="QCW2" s="1072"/>
      <c r="QDE2" s="1072"/>
      <c r="QDM2" s="1072"/>
      <c r="QDU2" s="1072"/>
      <c r="QEC2" s="1072"/>
      <c r="QEK2" s="1072"/>
      <c r="QES2" s="1072"/>
      <c r="QFA2" s="1072"/>
      <c r="QFI2" s="1072"/>
      <c r="QFQ2" s="1072"/>
      <c r="QFY2" s="1072"/>
      <c r="QGG2" s="1072"/>
      <c r="QGO2" s="1072"/>
      <c r="QGW2" s="1072"/>
      <c r="QHE2" s="1072"/>
      <c r="QHM2" s="1072"/>
      <c r="QHU2" s="1072"/>
      <c r="QIC2" s="1072"/>
      <c r="QIK2" s="1072"/>
      <c r="QIS2" s="1072"/>
      <c r="QJA2" s="1072"/>
      <c r="QJI2" s="1072"/>
      <c r="QJQ2" s="1072"/>
      <c r="QJY2" s="1072"/>
      <c r="QKG2" s="1072"/>
      <c r="QKO2" s="1072"/>
      <c r="QKW2" s="1072"/>
      <c r="QLE2" s="1072"/>
      <c r="QLM2" s="1072"/>
      <c r="QLU2" s="1072"/>
      <c r="QMC2" s="1072"/>
      <c r="QMK2" s="1072"/>
      <c r="QMS2" s="1072"/>
      <c r="QNA2" s="1072"/>
      <c r="QNI2" s="1072"/>
      <c r="QNQ2" s="1072"/>
      <c r="QNY2" s="1072"/>
      <c r="QOG2" s="1072"/>
      <c r="QOO2" s="1072"/>
      <c r="QOW2" s="1072"/>
      <c r="QPE2" s="1072"/>
      <c r="QPM2" s="1072"/>
      <c r="QPU2" s="1072"/>
      <c r="QQC2" s="1072"/>
      <c r="QQK2" s="1072"/>
      <c r="QQS2" s="1072"/>
      <c r="QRA2" s="1072"/>
      <c r="QRI2" s="1072"/>
      <c r="QRQ2" s="1072"/>
      <c r="QRY2" s="1072"/>
      <c r="QSG2" s="1072"/>
      <c r="QSO2" s="1072"/>
      <c r="QSW2" s="1072"/>
      <c r="QTE2" s="1072"/>
      <c r="QTM2" s="1072"/>
      <c r="QTU2" s="1072"/>
      <c r="QUC2" s="1072"/>
      <c r="QUK2" s="1072"/>
      <c r="QUS2" s="1072"/>
      <c r="QVA2" s="1072"/>
      <c r="QVI2" s="1072"/>
      <c r="QVQ2" s="1072"/>
      <c r="QVY2" s="1072"/>
      <c r="QWG2" s="1072"/>
      <c r="QWO2" s="1072"/>
      <c r="QWW2" s="1072"/>
      <c r="QXE2" s="1072"/>
      <c r="QXM2" s="1072"/>
      <c r="QXU2" s="1072"/>
      <c r="QYC2" s="1072"/>
      <c r="QYK2" s="1072"/>
      <c r="QYS2" s="1072"/>
      <c r="QZA2" s="1072"/>
      <c r="QZI2" s="1072"/>
      <c r="QZQ2" s="1072"/>
      <c r="QZY2" s="1072"/>
      <c r="RAG2" s="1072"/>
      <c r="RAO2" s="1072"/>
      <c r="RAW2" s="1072"/>
      <c r="RBE2" s="1072"/>
      <c r="RBM2" s="1072"/>
      <c r="RBU2" s="1072"/>
      <c r="RCC2" s="1072"/>
      <c r="RCK2" s="1072"/>
      <c r="RCS2" s="1072"/>
      <c r="RDA2" s="1072"/>
      <c r="RDI2" s="1072"/>
      <c r="RDQ2" s="1072"/>
      <c r="RDY2" s="1072"/>
      <c r="REG2" s="1072"/>
      <c r="REO2" s="1072"/>
      <c r="REW2" s="1072"/>
      <c r="RFE2" s="1072"/>
      <c r="RFM2" s="1072"/>
      <c r="RFU2" s="1072"/>
      <c r="RGC2" s="1072"/>
      <c r="RGK2" s="1072"/>
      <c r="RGS2" s="1072"/>
      <c r="RHA2" s="1072"/>
      <c r="RHI2" s="1072"/>
      <c r="RHQ2" s="1072"/>
      <c r="RHY2" s="1072"/>
      <c r="RIG2" s="1072"/>
      <c r="RIO2" s="1072"/>
      <c r="RIW2" s="1072"/>
      <c r="RJE2" s="1072"/>
      <c r="RJM2" s="1072"/>
      <c r="RJU2" s="1072"/>
      <c r="RKC2" s="1072"/>
      <c r="RKK2" s="1072"/>
      <c r="RKS2" s="1072"/>
      <c r="RLA2" s="1072"/>
      <c r="RLI2" s="1072"/>
      <c r="RLQ2" s="1072"/>
      <c r="RLY2" s="1072"/>
      <c r="RMG2" s="1072"/>
      <c r="RMO2" s="1072"/>
      <c r="RMW2" s="1072"/>
      <c r="RNE2" s="1072"/>
      <c r="RNM2" s="1072"/>
      <c r="RNU2" s="1072"/>
      <c r="ROC2" s="1072"/>
      <c r="ROK2" s="1072"/>
      <c r="ROS2" s="1072"/>
      <c r="RPA2" s="1072"/>
      <c r="RPI2" s="1072"/>
      <c r="RPQ2" s="1072"/>
      <c r="RPY2" s="1072"/>
      <c r="RQG2" s="1072"/>
      <c r="RQO2" s="1072"/>
      <c r="RQW2" s="1072"/>
      <c r="RRE2" s="1072"/>
      <c r="RRM2" s="1072"/>
      <c r="RRU2" s="1072"/>
      <c r="RSC2" s="1072"/>
      <c r="RSK2" s="1072"/>
      <c r="RSS2" s="1072"/>
      <c r="RTA2" s="1072"/>
      <c r="RTI2" s="1072"/>
      <c r="RTQ2" s="1072"/>
      <c r="RTY2" s="1072"/>
      <c r="RUG2" s="1072"/>
      <c r="RUO2" s="1072"/>
      <c r="RUW2" s="1072"/>
      <c r="RVE2" s="1072"/>
      <c r="RVM2" s="1072"/>
      <c r="RVU2" s="1072"/>
      <c r="RWC2" s="1072"/>
      <c r="RWK2" s="1072"/>
      <c r="RWS2" s="1072"/>
      <c r="RXA2" s="1072"/>
      <c r="RXI2" s="1072"/>
      <c r="RXQ2" s="1072"/>
      <c r="RXY2" s="1072"/>
      <c r="RYG2" s="1072"/>
      <c r="RYO2" s="1072"/>
      <c r="RYW2" s="1072"/>
      <c r="RZE2" s="1072"/>
      <c r="RZM2" s="1072"/>
      <c r="RZU2" s="1072"/>
      <c r="SAC2" s="1072"/>
      <c r="SAK2" s="1072"/>
      <c r="SAS2" s="1072"/>
      <c r="SBA2" s="1072"/>
      <c r="SBI2" s="1072"/>
      <c r="SBQ2" s="1072"/>
      <c r="SBY2" s="1072"/>
      <c r="SCG2" s="1072"/>
      <c r="SCO2" s="1072"/>
      <c r="SCW2" s="1072"/>
      <c r="SDE2" s="1072"/>
      <c r="SDM2" s="1072"/>
      <c r="SDU2" s="1072"/>
      <c r="SEC2" s="1072"/>
      <c r="SEK2" s="1072"/>
      <c r="SES2" s="1072"/>
      <c r="SFA2" s="1072"/>
      <c r="SFI2" s="1072"/>
      <c r="SFQ2" s="1072"/>
      <c r="SFY2" s="1072"/>
      <c r="SGG2" s="1072"/>
      <c r="SGO2" s="1072"/>
      <c r="SGW2" s="1072"/>
      <c r="SHE2" s="1072"/>
      <c r="SHM2" s="1072"/>
      <c r="SHU2" s="1072"/>
      <c r="SIC2" s="1072"/>
      <c r="SIK2" s="1072"/>
      <c r="SIS2" s="1072"/>
      <c r="SJA2" s="1072"/>
      <c r="SJI2" s="1072"/>
      <c r="SJQ2" s="1072"/>
      <c r="SJY2" s="1072"/>
      <c r="SKG2" s="1072"/>
      <c r="SKO2" s="1072"/>
      <c r="SKW2" s="1072"/>
      <c r="SLE2" s="1072"/>
      <c r="SLM2" s="1072"/>
      <c r="SLU2" s="1072"/>
      <c r="SMC2" s="1072"/>
      <c r="SMK2" s="1072"/>
      <c r="SMS2" s="1072"/>
      <c r="SNA2" s="1072"/>
      <c r="SNI2" s="1072"/>
      <c r="SNQ2" s="1072"/>
      <c r="SNY2" s="1072"/>
      <c r="SOG2" s="1072"/>
      <c r="SOO2" s="1072"/>
      <c r="SOW2" s="1072"/>
      <c r="SPE2" s="1072"/>
      <c r="SPM2" s="1072"/>
      <c r="SPU2" s="1072"/>
      <c r="SQC2" s="1072"/>
      <c r="SQK2" s="1072"/>
      <c r="SQS2" s="1072"/>
      <c r="SRA2" s="1072"/>
      <c r="SRI2" s="1072"/>
      <c r="SRQ2" s="1072"/>
      <c r="SRY2" s="1072"/>
      <c r="SSG2" s="1072"/>
      <c r="SSO2" s="1072"/>
      <c r="SSW2" s="1072"/>
      <c r="STE2" s="1072"/>
      <c r="STM2" s="1072"/>
      <c r="STU2" s="1072"/>
      <c r="SUC2" s="1072"/>
      <c r="SUK2" s="1072"/>
      <c r="SUS2" s="1072"/>
      <c r="SVA2" s="1072"/>
      <c r="SVI2" s="1072"/>
      <c r="SVQ2" s="1072"/>
      <c r="SVY2" s="1072"/>
      <c r="SWG2" s="1072"/>
      <c r="SWO2" s="1072"/>
      <c r="SWW2" s="1072"/>
      <c r="SXE2" s="1072"/>
      <c r="SXM2" s="1072"/>
      <c r="SXU2" s="1072"/>
      <c r="SYC2" s="1072"/>
      <c r="SYK2" s="1072"/>
      <c r="SYS2" s="1072"/>
      <c r="SZA2" s="1072"/>
      <c r="SZI2" s="1072"/>
      <c r="SZQ2" s="1072"/>
      <c r="SZY2" s="1072"/>
      <c r="TAG2" s="1072"/>
      <c r="TAO2" s="1072"/>
      <c r="TAW2" s="1072"/>
      <c r="TBE2" s="1072"/>
      <c r="TBM2" s="1072"/>
      <c r="TBU2" s="1072"/>
      <c r="TCC2" s="1072"/>
      <c r="TCK2" s="1072"/>
      <c r="TCS2" s="1072"/>
      <c r="TDA2" s="1072"/>
      <c r="TDI2" s="1072"/>
      <c r="TDQ2" s="1072"/>
      <c r="TDY2" s="1072"/>
      <c r="TEG2" s="1072"/>
      <c r="TEO2" s="1072"/>
      <c r="TEW2" s="1072"/>
      <c r="TFE2" s="1072"/>
      <c r="TFM2" s="1072"/>
      <c r="TFU2" s="1072"/>
      <c r="TGC2" s="1072"/>
      <c r="TGK2" s="1072"/>
      <c r="TGS2" s="1072"/>
      <c r="THA2" s="1072"/>
      <c r="THI2" s="1072"/>
      <c r="THQ2" s="1072"/>
      <c r="THY2" s="1072"/>
      <c r="TIG2" s="1072"/>
      <c r="TIO2" s="1072"/>
      <c r="TIW2" s="1072"/>
      <c r="TJE2" s="1072"/>
      <c r="TJM2" s="1072"/>
      <c r="TJU2" s="1072"/>
      <c r="TKC2" s="1072"/>
      <c r="TKK2" s="1072"/>
      <c r="TKS2" s="1072"/>
      <c r="TLA2" s="1072"/>
      <c r="TLI2" s="1072"/>
      <c r="TLQ2" s="1072"/>
      <c r="TLY2" s="1072"/>
      <c r="TMG2" s="1072"/>
      <c r="TMO2" s="1072"/>
      <c r="TMW2" s="1072"/>
      <c r="TNE2" s="1072"/>
      <c r="TNM2" s="1072"/>
      <c r="TNU2" s="1072"/>
      <c r="TOC2" s="1072"/>
      <c r="TOK2" s="1072"/>
      <c r="TOS2" s="1072"/>
      <c r="TPA2" s="1072"/>
      <c r="TPI2" s="1072"/>
      <c r="TPQ2" s="1072"/>
      <c r="TPY2" s="1072"/>
      <c r="TQG2" s="1072"/>
      <c r="TQO2" s="1072"/>
      <c r="TQW2" s="1072"/>
      <c r="TRE2" s="1072"/>
      <c r="TRM2" s="1072"/>
      <c r="TRU2" s="1072"/>
      <c r="TSC2" s="1072"/>
      <c r="TSK2" s="1072"/>
      <c r="TSS2" s="1072"/>
      <c r="TTA2" s="1072"/>
      <c r="TTI2" s="1072"/>
      <c r="TTQ2" s="1072"/>
      <c r="TTY2" s="1072"/>
      <c r="TUG2" s="1072"/>
      <c r="TUO2" s="1072"/>
      <c r="TUW2" s="1072"/>
      <c r="TVE2" s="1072"/>
      <c r="TVM2" s="1072"/>
      <c r="TVU2" s="1072"/>
      <c r="TWC2" s="1072"/>
      <c r="TWK2" s="1072"/>
      <c r="TWS2" s="1072"/>
      <c r="TXA2" s="1072"/>
      <c r="TXI2" s="1072"/>
      <c r="TXQ2" s="1072"/>
      <c r="TXY2" s="1072"/>
      <c r="TYG2" s="1072"/>
      <c r="TYO2" s="1072"/>
      <c r="TYW2" s="1072"/>
      <c r="TZE2" s="1072"/>
      <c r="TZM2" s="1072"/>
      <c r="TZU2" s="1072"/>
      <c r="UAC2" s="1072"/>
      <c r="UAK2" s="1072"/>
      <c r="UAS2" s="1072"/>
      <c r="UBA2" s="1072"/>
      <c r="UBI2" s="1072"/>
      <c r="UBQ2" s="1072"/>
      <c r="UBY2" s="1072"/>
      <c r="UCG2" s="1072"/>
      <c r="UCO2" s="1072"/>
      <c r="UCW2" s="1072"/>
      <c r="UDE2" s="1072"/>
      <c r="UDM2" s="1072"/>
      <c r="UDU2" s="1072"/>
      <c r="UEC2" s="1072"/>
      <c r="UEK2" s="1072"/>
      <c r="UES2" s="1072"/>
      <c r="UFA2" s="1072"/>
      <c r="UFI2" s="1072"/>
      <c r="UFQ2" s="1072"/>
      <c r="UFY2" s="1072"/>
      <c r="UGG2" s="1072"/>
      <c r="UGO2" s="1072"/>
      <c r="UGW2" s="1072"/>
      <c r="UHE2" s="1072"/>
      <c r="UHM2" s="1072"/>
      <c r="UHU2" s="1072"/>
      <c r="UIC2" s="1072"/>
      <c r="UIK2" s="1072"/>
      <c r="UIS2" s="1072"/>
      <c r="UJA2" s="1072"/>
      <c r="UJI2" s="1072"/>
      <c r="UJQ2" s="1072"/>
      <c r="UJY2" s="1072"/>
      <c r="UKG2" s="1072"/>
      <c r="UKO2" s="1072"/>
      <c r="UKW2" s="1072"/>
      <c r="ULE2" s="1072"/>
      <c r="ULM2" s="1072"/>
      <c r="ULU2" s="1072"/>
      <c r="UMC2" s="1072"/>
      <c r="UMK2" s="1072"/>
      <c r="UMS2" s="1072"/>
      <c r="UNA2" s="1072"/>
      <c r="UNI2" s="1072"/>
      <c r="UNQ2" s="1072"/>
      <c r="UNY2" s="1072"/>
      <c r="UOG2" s="1072"/>
      <c r="UOO2" s="1072"/>
      <c r="UOW2" s="1072"/>
      <c r="UPE2" s="1072"/>
      <c r="UPM2" s="1072"/>
      <c r="UPU2" s="1072"/>
      <c r="UQC2" s="1072"/>
      <c r="UQK2" s="1072"/>
      <c r="UQS2" s="1072"/>
      <c r="URA2" s="1072"/>
      <c r="URI2" s="1072"/>
      <c r="URQ2" s="1072"/>
      <c r="URY2" s="1072"/>
      <c r="USG2" s="1072"/>
      <c r="USO2" s="1072"/>
      <c r="USW2" s="1072"/>
      <c r="UTE2" s="1072"/>
      <c r="UTM2" s="1072"/>
      <c r="UTU2" s="1072"/>
      <c r="UUC2" s="1072"/>
      <c r="UUK2" s="1072"/>
      <c r="UUS2" s="1072"/>
      <c r="UVA2" s="1072"/>
      <c r="UVI2" s="1072"/>
      <c r="UVQ2" s="1072"/>
      <c r="UVY2" s="1072"/>
      <c r="UWG2" s="1072"/>
      <c r="UWO2" s="1072"/>
      <c r="UWW2" s="1072"/>
      <c r="UXE2" s="1072"/>
      <c r="UXM2" s="1072"/>
      <c r="UXU2" s="1072"/>
      <c r="UYC2" s="1072"/>
      <c r="UYK2" s="1072"/>
      <c r="UYS2" s="1072"/>
      <c r="UZA2" s="1072"/>
      <c r="UZI2" s="1072"/>
      <c r="UZQ2" s="1072"/>
      <c r="UZY2" s="1072"/>
      <c r="VAG2" s="1072"/>
      <c r="VAO2" s="1072"/>
      <c r="VAW2" s="1072"/>
      <c r="VBE2" s="1072"/>
      <c r="VBM2" s="1072"/>
      <c r="VBU2" s="1072"/>
      <c r="VCC2" s="1072"/>
      <c r="VCK2" s="1072"/>
      <c r="VCS2" s="1072"/>
      <c r="VDA2" s="1072"/>
      <c r="VDI2" s="1072"/>
      <c r="VDQ2" s="1072"/>
      <c r="VDY2" s="1072"/>
      <c r="VEG2" s="1072"/>
      <c r="VEO2" s="1072"/>
      <c r="VEW2" s="1072"/>
      <c r="VFE2" s="1072"/>
      <c r="VFM2" s="1072"/>
      <c r="VFU2" s="1072"/>
      <c r="VGC2" s="1072"/>
      <c r="VGK2" s="1072"/>
      <c r="VGS2" s="1072"/>
      <c r="VHA2" s="1072"/>
      <c r="VHI2" s="1072"/>
      <c r="VHQ2" s="1072"/>
      <c r="VHY2" s="1072"/>
      <c r="VIG2" s="1072"/>
      <c r="VIO2" s="1072"/>
      <c r="VIW2" s="1072"/>
      <c r="VJE2" s="1072"/>
      <c r="VJM2" s="1072"/>
      <c r="VJU2" s="1072"/>
      <c r="VKC2" s="1072"/>
      <c r="VKK2" s="1072"/>
      <c r="VKS2" s="1072"/>
      <c r="VLA2" s="1072"/>
      <c r="VLI2" s="1072"/>
      <c r="VLQ2" s="1072"/>
      <c r="VLY2" s="1072"/>
      <c r="VMG2" s="1072"/>
      <c r="VMO2" s="1072"/>
      <c r="VMW2" s="1072"/>
      <c r="VNE2" s="1072"/>
      <c r="VNM2" s="1072"/>
      <c r="VNU2" s="1072"/>
      <c r="VOC2" s="1072"/>
      <c r="VOK2" s="1072"/>
      <c r="VOS2" s="1072"/>
      <c r="VPA2" s="1072"/>
      <c r="VPI2" s="1072"/>
      <c r="VPQ2" s="1072"/>
      <c r="VPY2" s="1072"/>
      <c r="VQG2" s="1072"/>
      <c r="VQO2" s="1072"/>
      <c r="VQW2" s="1072"/>
      <c r="VRE2" s="1072"/>
      <c r="VRM2" s="1072"/>
      <c r="VRU2" s="1072"/>
      <c r="VSC2" s="1072"/>
      <c r="VSK2" s="1072"/>
      <c r="VSS2" s="1072"/>
      <c r="VTA2" s="1072"/>
      <c r="VTI2" s="1072"/>
      <c r="VTQ2" s="1072"/>
      <c r="VTY2" s="1072"/>
      <c r="VUG2" s="1072"/>
      <c r="VUO2" s="1072"/>
      <c r="VUW2" s="1072"/>
      <c r="VVE2" s="1072"/>
      <c r="VVM2" s="1072"/>
      <c r="VVU2" s="1072"/>
      <c r="VWC2" s="1072"/>
      <c r="VWK2" s="1072"/>
      <c r="VWS2" s="1072"/>
      <c r="VXA2" s="1072"/>
      <c r="VXI2" s="1072"/>
      <c r="VXQ2" s="1072"/>
      <c r="VXY2" s="1072"/>
      <c r="VYG2" s="1072"/>
      <c r="VYO2" s="1072"/>
      <c r="VYW2" s="1072"/>
      <c r="VZE2" s="1072"/>
      <c r="VZM2" s="1072"/>
      <c r="VZU2" s="1072"/>
      <c r="WAC2" s="1072"/>
      <c r="WAK2" s="1072"/>
      <c r="WAS2" s="1072"/>
      <c r="WBA2" s="1072"/>
      <c r="WBI2" s="1072"/>
      <c r="WBQ2" s="1072"/>
      <c r="WBY2" s="1072"/>
      <c r="WCG2" s="1072"/>
      <c r="WCO2" s="1072"/>
      <c r="WCW2" s="1072"/>
      <c r="WDE2" s="1072"/>
      <c r="WDM2" s="1072"/>
      <c r="WDU2" s="1072"/>
      <c r="WEC2" s="1072"/>
      <c r="WEK2" s="1072"/>
      <c r="WES2" s="1072"/>
      <c r="WFA2" s="1072"/>
      <c r="WFI2" s="1072"/>
      <c r="WFQ2" s="1072"/>
      <c r="WFY2" s="1072"/>
      <c r="WGG2" s="1072"/>
      <c r="WGO2" s="1072"/>
      <c r="WGW2" s="1072"/>
      <c r="WHE2" s="1072"/>
      <c r="WHM2" s="1072"/>
      <c r="WHU2" s="1072"/>
      <c r="WIC2" s="1072"/>
      <c r="WIK2" s="1072"/>
      <c r="WIS2" s="1072"/>
      <c r="WJA2" s="1072"/>
      <c r="WJI2" s="1072"/>
      <c r="WJQ2" s="1072"/>
      <c r="WJY2" s="1072"/>
      <c r="WKG2" s="1072"/>
      <c r="WKO2" s="1072"/>
      <c r="WKW2" s="1072"/>
      <c r="WLE2" s="1072"/>
      <c r="WLM2" s="1072"/>
      <c r="WLU2" s="1072"/>
      <c r="WMC2" s="1072"/>
      <c r="WMK2" s="1072"/>
      <c r="WMS2" s="1072"/>
      <c r="WNA2" s="1072"/>
      <c r="WNI2" s="1072"/>
      <c r="WNQ2" s="1072"/>
      <c r="WNY2" s="1072"/>
      <c r="WOG2" s="1072"/>
      <c r="WOO2" s="1072"/>
      <c r="WOW2" s="1072"/>
      <c r="WPE2" s="1072"/>
      <c r="WPM2" s="1072"/>
      <c r="WPU2" s="1072"/>
      <c r="WQC2" s="1072"/>
      <c r="WQK2" s="1072"/>
      <c r="WQS2" s="1072"/>
      <c r="WRA2" s="1072"/>
      <c r="WRI2" s="1072"/>
      <c r="WRQ2" s="1072"/>
      <c r="WRY2" s="1072"/>
      <c r="WSG2" s="1072"/>
      <c r="WSO2" s="1072"/>
      <c r="WSW2" s="1072"/>
      <c r="WTE2" s="1072"/>
      <c r="WTM2" s="1072"/>
      <c r="WTU2" s="1072"/>
      <c r="WUC2" s="1072"/>
      <c r="WUK2" s="1072"/>
      <c r="WUS2" s="1072"/>
      <c r="WVA2" s="1072"/>
      <c r="WVI2" s="1072"/>
      <c r="WVQ2" s="1072"/>
      <c r="WVY2" s="1072"/>
      <c r="WWG2" s="1072"/>
      <c r="WWO2" s="1072"/>
      <c r="WWW2" s="1072"/>
      <c r="WXE2" s="1072"/>
      <c r="WXM2" s="1072"/>
      <c r="WXU2" s="1072"/>
      <c r="WYC2" s="1072"/>
      <c r="WYK2" s="1072"/>
      <c r="WYS2" s="1072"/>
      <c r="WZA2" s="1072"/>
      <c r="WZI2" s="1072"/>
      <c r="WZQ2" s="1072"/>
      <c r="WZY2" s="1072"/>
      <c r="XAG2" s="1072"/>
      <c r="XAO2" s="1072"/>
      <c r="XAW2" s="1072"/>
      <c r="XBE2" s="1072"/>
      <c r="XBM2" s="1072"/>
      <c r="XBU2" s="1072"/>
      <c r="XCC2" s="1072"/>
      <c r="XCK2" s="1072"/>
      <c r="XCS2" s="1072"/>
      <c r="XDA2" s="1072"/>
      <c r="XDI2" s="1072"/>
      <c r="XDQ2" s="1072"/>
      <c r="XDY2" s="1072"/>
      <c r="XEG2" s="1072"/>
      <c r="XEO2" s="1072"/>
      <c r="XEW2" s="1072"/>
    </row>
    <row r="3" spans="1:1017 1025:2041 2049:3065 3073:4089 4097:5113 5121:6137 6145:7161 7169:8185 8193:9209 9217:10233 10241:11257 11265:12281 12289:13305 13313:14329 14337:15353 15361:16377" s="1073" customFormat="1" ht="22" thickTop="1">
      <c r="B3" s="1556" t="s">
        <v>5150</v>
      </c>
    </row>
    <row r="4" spans="1:1017 1025:2041 2049:3065 3073:4089 4097:5113 5121:6137 6145:7161 7169:8185 8193:9209 9217:10233 10241:11257 11265:12281 12289:13305 13313:14329 14337:15353 15361:16377" ht="18" customHeight="1" thickBot="1">
      <c r="B4" s="402" t="s">
        <v>5151</v>
      </c>
      <c r="C4" s="1557"/>
      <c r="D4" s="1557"/>
      <c r="E4" s="1557"/>
      <c r="F4" s="1557"/>
      <c r="G4" s="1558"/>
      <c r="H4" s="1558"/>
    </row>
    <row r="5" spans="1:1017 1025:2041 2049:3065 3073:4089 4097:5113 5121:6137 6145:7161 7169:8185 8193:9209 9217:10233 10241:11257 11265:12281 12289:13305 13313:14329 14337:15353 15361:16377" ht="27" customHeight="1">
      <c r="B5" s="349" t="s">
        <v>5152</v>
      </c>
      <c r="D5" s="76" t="s">
        <v>5153</v>
      </c>
      <c r="E5" s="76"/>
      <c r="G5" s="346"/>
    </row>
    <row r="6" spans="1:1017 1025:2041 2049:3065 3073:4089 4097:5113 5121:6137 6145:7161 7169:8185 8193:9209 9217:10233 10241:11257 11265:12281 12289:13305 13313:14329 14337:15353 15361:16377" ht="18" customHeight="1">
      <c r="B6" s="1559"/>
      <c r="D6" s="157" t="s">
        <v>5154</v>
      </c>
    </row>
    <row r="7" spans="1:1017 1025:2041 2049:3065 3073:4089 4097:5113 5121:6137 6145:7161 7169:8185 8193:9209 9217:10233 10241:11257 11265:12281 12289:13305 13313:14329 14337:15353 15361:16377" ht="18" customHeight="1">
      <c r="B7" s="1559"/>
      <c r="D7" s="157" t="s">
        <v>5154</v>
      </c>
    </row>
    <row r="8" spans="1:1017 1025:2041 2049:3065 3073:4089 4097:5113 5121:6137 6145:7161 7169:8185 8193:9209 9217:10233 10241:11257 11265:12281 12289:13305 13313:14329 14337:15353 15361:16377" ht="18" customHeight="1">
      <c r="B8" s="1559"/>
      <c r="D8" s="157" t="s">
        <v>5154</v>
      </c>
    </row>
    <row r="9" spans="1:1017 1025:2041 2049:3065 3073:4089 4097:5113 5121:6137 6145:7161 7169:8185 8193:9209 9217:10233 10241:11257 11265:12281 12289:13305 13313:14329 14337:15353 15361:16377" ht="18" customHeight="1">
      <c r="B9" s="1559"/>
      <c r="D9" s="157" t="s">
        <v>5154</v>
      </c>
      <c r="E9" s="192"/>
    </row>
    <row r="10" spans="1:1017 1025:2041 2049:3065 3073:4089 4097:5113 5121:6137 6145:7161 7169:8185 8193:9209 9217:10233 10241:11257 11265:12281 12289:13305 13313:14329 14337:15353 15361:16377" ht="15.65" hidden="1" customHeight="1">
      <c r="B10" s="1559"/>
      <c r="E10" s="192"/>
    </row>
    <row r="11" spans="1:1017 1025:2041 2049:3065 3073:4089 4097:5113 5121:6137 6145:7161 7169:8185 8193:9209 9217:10233 10241:11257 11265:12281 12289:13305 13313:14329 14337:15353 15361:16377" ht="18" customHeight="1">
      <c r="B11" s="2183"/>
      <c r="C11" s="2183"/>
      <c r="D11" s="18" t="s">
        <v>15</v>
      </c>
      <c r="E11" s="18"/>
    </row>
    <row r="12" spans="1:1017 1025:2041 2049:3065 3073:4089 4097:5113 5121:6137 6145:7161 7169:8185 8193:9209 9217:10233 10241:11257 11265:12281 12289:13305 13313:14329 14337:15353 15361:16377" ht="18" customHeight="1">
      <c r="B12" s="2183"/>
      <c r="C12" s="2183"/>
      <c r="D12" s="18" t="s">
        <v>15</v>
      </c>
      <c r="E12" s="18"/>
    </row>
    <row r="13" spans="1:1017 1025:2041 2049:3065 3073:4089 4097:5113 5121:6137 6145:7161 7169:8185 8193:9209 9217:10233 10241:11257 11265:12281 12289:13305 13313:14329 14337:15353 15361:16377" ht="18" customHeight="1">
      <c r="B13" s="1559"/>
      <c r="D13" s="192"/>
      <c r="E13" s="192"/>
    </row>
    <row r="14" spans="1:1017 1025:2041 2049:3065 3073:4089 4097:5113 5121:6137 6145:7161 7169:8185 8193:9209 9217:10233 10241:11257 11265:12281 12289:13305 13313:14329 14337:15353 15361:16377" ht="18" customHeight="1">
      <c r="B14" s="2183"/>
      <c r="C14" s="2183"/>
      <c r="D14" s="18" t="s">
        <v>15</v>
      </c>
      <c r="E14" s="18"/>
    </row>
    <row r="15" spans="1:1017 1025:2041 2049:3065 3073:4089 4097:5113 5121:6137 6145:7161 7169:8185 8193:9209 9217:10233 10241:11257 11265:12281 12289:13305 13313:14329 14337:15353 15361:16377" ht="18" customHeight="1">
      <c r="B15" s="2183"/>
      <c r="C15" s="2183"/>
      <c r="D15" s="18" t="s">
        <v>15</v>
      </c>
      <c r="E15" s="18"/>
    </row>
    <row r="16" spans="1:1017 1025:2041 2049:3065 3073:4089 4097:5113 5121:6137 6145:7161 7169:8185 8193:9209 9217:10233 10241:11257 11265:12281 12289:13305 13313:14329 14337:15353 15361:16377" ht="18" customHeight="1">
      <c r="B16" s="1559"/>
      <c r="D16" s="192"/>
      <c r="E16" s="192"/>
    </row>
    <row r="17" spans="2:10" ht="18" customHeight="1">
      <c r="B17" s="1559"/>
      <c r="D17" s="192" t="s">
        <v>15</v>
      </c>
      <c r="E17" s="192"/>
    </row>
    <row r="18" spans="2:10" ht="18" customHeight="1">
      <c r="B18" s="1559"/>
      <c r="D18" s="192"/>
      <c r="E18" s="192"/>
    </row>
    <row r="19" spans="2:10" ht="18" customHeight="1">
      <c r="B19" s="1559"/>
      <c r="D19" s="192"/>
      <c r="E19" s="192"/>
    </row>
    <row r="20" spans="2:10" ht="19" customHeight="1">
      <c r="B20" s="1559"/>
    </row>
    <row r="21" spans="2:10" ht="18" customHeight="1" thickBot="1">
      <c r="B21" s="402" t="s">
        <v>5155</v>
      </c>
      <c r="C21" s="402"/>
      <c r="D21" s="402"/>
      <c r="E21" s="402"/>
      <c r="F21" s="402"/>
      <c r="G21" s="1560"/>
      <c r="H21" s="1560"/>
    </row>
    <row r="22" spans="2:10" ht="27" customHeight="1">
      <c r="B22" s="349" t="s">
        <v>5152</v>
      </c>
      <c r="D22" s="76" t="s">
        <v>5153</v>
      </c>
      <c r="E22" s="76"/>
      <c r="F22" s="1561"/>
    </row>
    <row r="23" spans="2:10" ht="18" customHeight="1">
      <c r="B23" s="1559"/>
      <c r="D23" s="157" t="s">
        <v>5156</v>
      </c>
    </row>
    <row r="24" spans="2:10" ht="18" customHeight="1">
      <c r="B24" s="1559"/>
      <c r="D24" s="157" t="s">
        <v>15</v>
      </c>
    </row>
    <row r="25" spans="2:10" ht="18" customHeight="1">
      <c r="B25" s="1559"/>
      <c r="D25" s="192" t="s">
        <v>5156</v>
      </c>
      <c r="E25" s="192"/>
    </row>
    <row r="26" spans="2:10" ht="18" customHeight="1">
      <c r="B26" s="1559"/>
      <c r="D26" s="192" t="s">
        <v>5157</v>
      </c>
      <c r="E26" s="192"/>
    </row>
    <row r="27" spans="2:10" ht="18" customHeight="1">
      <c r="B27" s="1559"/>
      <c r="D27" s="157" t="s">
        <v>15</v>
      </c>
    </row>
    <row r="28" spans="2:10" ht="14.25" customHeight="1">
      <c r="E28" s="42"/>
      <c r="I28" s="42"/>
      <c r="J28" s="42"/>
    </row>
    <row r="29" spans="2:10" ht="15" customHeight="1">
      <c r="D29" s="157" t="s">
        <v>15</v>
      </c>
    </row>
    <row r="30" spans="2:10" ht="18" customHeight="1">
      <c r="D30" s="192" t="s">
        <v>15</v>
      </c>
      <c r="E30" s="192"/>
    </row>
    <row r="31" spans="2:10" ht="21" customHeight="1">
      <c r="B31" s="193"/>
      <c r="D31" s="157" t="s">
        <v>15</v>
      </c>
    </row>
    <row r="32" spans="2:10" ht="16.5" customHeight="1"/>
    <row r="33" spans="2:5" ht="21" customHeight="1">
      <c r="B33" s="2184"/>
      <c r="C33" s="2184"/>
      <c r="D33" s="42"/>
      <c r="E33" s="194"/>
    </row>
    <row r="34" spans="2:5" s="194" customFormat="1" ht="21" customHeight="1"/>
    <row r="35" spans="2:5" ht="14"/>
    <row r="36" spans="2:5" ht="14"/>
    <row r="37" spans="2:5" ht="14"/>
    <row r="38" spans="2:5" ht="14"/>
    <row r="39" spans="2:5" ht="14"/>
    <row r="40" spans="2:5" ht="14"/>
    <row r="41" spans="2:5" ht="14"/>
    <row r="42" spans="2:5" ht="14"/>
    <row r="43" spans="2:5" ht="16.5" customHeight="1"/>
    <row r="44" spans="2:5" ht="16.5" customHeight="1"/>
    <row r="45" spans="2:5" ht="16.5" customHeight="1"/>
    <row r="46" spans="2:5" ht="16.5" customHeight="1"/>
    <row r="47" spans="2:5" ht="16.5" customHeight="1"/>
    <row r="48" spans="2:5" ht="16.5" customHeight="1">
      <c r="B48" s="2183"/>
      <c r="C48" s="2183"/>
    </row>
    <row r="49" spans="1:9" ht="16.5" customHeight="1"/>
    <row r="50" spans="1:9" ht="16.5" customHeight="1">
      <c r="B50" s="2185" t="s">
        <v>5158</v>
      </c>
      <c r="C50" s="2185"/>
      <c r="D50" s="2185"/>
      <c r="E50" s="2185"/>
      <c r="F50" s="2185"/>
      <c r="G50" s="2185"/>
      <c r="H50" s="2185"/>
    </row>
    <row r="51" spans="1:9" s="192" customFormat="1" ht="16.5" customHeight="1">
      <c r="B51" s="2182" t="s">
        <v>5159</v>
      </c>
      <c r="C51" s="2182"/>
      <c r="D51" s="2182"/>
      <c r="E51" s="2182"/>
      <c r="F51" s="2182"/>
      <c r="G51" s="2182"/>
      <c r="H51" s="2182"/>
      <c r="I51" s="2182"/>
    </row>
    <row r="52" spans="1:9" ht="16.5" customHeight="1"/>
    <row r="53" spans="1:9" ht="16.5" customHeight="1"/>
    <row r="54" spans="1:9" s="94" customFormat="1" ht="16.5" customHeight="1">
      <c r="A54" s="157"/>
    </row>
    <row r="55" spans="1:9" ht="16.5" customHeight="1">
      <c r="B55" s="195" t="s">
        <v>223</v>
      </c>
      <c r="C55" s="1021" t="str">
        <f>Version</f>
        <v>2.0</v>
      </c>
      <c r="G55" s="1562" t="s">
        <v>225</v>
      </c>
      <c r="H55" s="1563" t="str">
        <f>Development!$A$4</f>
        <v>4.01.2024</v>
      </c>
    </row>
    <row r="56" spans="1:9" ht="16.5" customHeight="1"/>
    <row r="57" spans="1:9" ht="16.5" customHeight="1"/>
    <row r="58" spans="1:9" ht="16.5" customHeight="1"/>
    <row r="59" spans="1:9" ht="16.5" customHeight="1"/>
    <row r="60" spans="1:9" ht="16.5" customHeight="1"/>
    <row r="61" spans="1:9" ht="16.5" customHeight="1"/>
    <row r="62" spans="1:9" ht="16.5" customHeight="1"/>
    <row r="63" spans="1:9" ht="16.5" customHeight="1"/>
    <row r="64" spans="1:9"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sheetData>
  <mergeCells count="6">
    <mergeCell ref="B51:I51"/>
    <mergeCell ref="B11:C12"/>
    <mergeCell ref="B14:C15"/>
    <mergeCell ref="B33:C33"/>
    <mergeCell ref="B48:C48"/>
    <mergeCell ref="B50:H50"/>
  </mergeCells>
  <printOptions horizontalCentered="1"/>
  <pageMargins left="0" right="0" top="0.25" bottom="0.25" header="0.3" footer="0.3"/>
  <pageSetup scale="6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551937" r:id="rId4" name="Check Box 1">
              <controlPr defaultSize="0" autoFill="0" autoLine="0" autoPict="0">
                <anchor moveWithCells="1">
                  <from>
                    <xdr:col>16383</xdr:col>
                    <xdr:colOff>0</xdr:colOff>
                    <xdr:row>3</xdr:row>
                    <xdr:rowOff>0</xdr:rowOff>
                  </from>
                  <to>
                    <xdr:col>16383</xdr:col>
                    <xdr:colOff>0</xdr:colOff>
                    <xdr:row>3</xdr:row>
                    <xdr:rowOff>0</xdr:rowOff>
                  </to>
                </anchor>
              </controlPr>
            </control>
          </mc:Choice>
        </mc:AlternateContent>
        <mc:AlternateContent xmlns:mc="http://schemas.openxmlformats.org/markup-compatibility/2006">
          <mc:Choice Requires="x14">
            <control shapeId="551938" r:id="rId5" name="Check Box 2">
              <controlPr defaultSize="0" autoFill="0" autoLine="0" autoPict="0">
                <anchor moveWithCells="1">
                  <from>
                    <xdr:col>16383</xdr:col>
                    <xdr:colOff>0</xdr:colOff>
                    <xdr:row>3</xdr:row>
                    <xdr:rowOff>0</xdr:rowOff>
                  </from>
                  <to>
                    <xdr:col>16383</xdr:col>
                    <xdr:colOff>0</xdr:colOff>
                    <xdr:row>3</xdr:row>
                    <xdr:rowOff>0</xdr:rowOff>
                  </to>
                </anchor>
              </controlPr>
            </control>
          </mc:Choice>
        </mc:AlternateContent>
        <mc:AlternateContent xmlns:mc="http://schemas.openxmlformats.org/markup-compatibility/2006">
          <mc:Choice Requires="x14">
            <control shapeId="551939" r:id="rId6" name="Check Box 3">
              <controlPr defaultSize="0" autoFill="0" autoLine="0" autoPict="0">
                <anchor moveWithCells="1">
                  <from>
                    <xdr:col>1</xdr:col>
                    <xdr:colOff>533400</xdr:colOff>
                    <xdr:row>5</xdr:row>
                    <xdr:rowOff>12700</xdr:rowOff>
                  </from>
                  <to>
                    <xdr:col>2</xdr:col>
                    <xdr:colOff>3505200</xdr:colOff>
                    <xdr:row>5</xdr:row>
                    <xdr:rowOff>184150</xdr:rowOff>
                  </to>
                </anchor>
              </controlPr>
            </control>
          </mc:Choice>
        </mc:AlternateContent>
        <mc:AlternateContent xmlns:mc="http://schemas.openxmlformats.org/markup-compatibility/2006">
          <mc:Choice Requires="x14">
            <control shapeId="551940" r:id="rId7" name="Check Box 4">
              <controlPr defaultSize="0" autoFill="0" autoLine="0" autoPict="0">
                <anchor moveWithCells="1">
                  <from>
                    <xdr:col>1</xdr:col>
                    <xdr:colOff>565150</xdr:colOff>
                    <xdr:row>24</xdr:row>
                    <xdr:rowOff>12700</xdr:rowOff>
                  </from>
                  <to>
                    <xdr:col>2</xdr:col>
                    <xdr:colOff>3536950</xdr:colOff>
                    <xdr:row>25</xdr:row>
                    <xdr:rowOff>0</xdr:rowOff>
                  </to>
                </anchor>
              </controlPr>
            </control>
          </mc:Choice>
        </mc:AlternateContent>
        <mc:AlternateContent xmlns:mc="http://schemas.openxmlformats.org/markup-compatibility/2006">
          <mc:Choice Requires="x14">
            <control shapeId="551941" r:id="rId8" name="Check Box 5">
              <controlPr defaultSize="0" autoFill="0" autoLine="0" autoPict="0">
                <anchor moveWithCells="1">
                  <from>
                    <xdr:col>1</xdr:col>
                    <xdr:colOff>552450</xdr:colOff>
                    <xdr:row>22</xdr:row>
                    <xdr:rowOff>0</xdr:rowOff>
                  </from>
                  <to>
                    <xdr:col>2</xdr:col>
                    <xdr:colOff>3536950</xdr:colOff>
                    <xdr:row>22</xdr:row>
                    <xdr:rowOff>209550</xdr:rowOff>
                  </to>
                </anchor>
              </controlPr>
            </control>
          </mc:Choice>
        </mc:AlternateContent>
        <mc:AlternateContent xmlns:mc="http://schemas.openxmlformats.org/markup-compatibility/2006">
          <mc:Choice Requires="x14">
            <control shapeId="551942" r:id="rId9" name="Check Box 6">
              <controlPr defaultSize="0" autoFill="0" autoLine="0" autoPict="0">
                <anchor moveWithCells="1">
                  <from>
                    <xdr:col>1</xdr:col>
                    <xdr:colOff>565150</xdr:colOff>
                    <xdr:row>23</xdr:row>
                    <xdr:rowOff>19050</xdr:rowOff>
                  </from>
                  <to>
                    <xdr:col>2</xdr:col>
                    <xdr:colOff>3536950</xdr:colOff>
                    <xdr:row>24</xdr:row>
                    <xdr:rowOff>0</xdr:rowOff>
                  </to>
                </anchor>
              </controlPr>
            </control>
          </mc:Choice>
        </mc:AlternateContent>
        <mc:AlternateContent xmlns:mc="http://schemas.openxmlformats.org/markup-compatibility/2006">
          <mc:Choice Requires="x14">
            <control shapeId="551943" r:id="rId10" name="Check Box 7">
              <controlPr defaultSize="0" autoFill="0" autoLine="0" autoPict="0">
                <anchor moveWithCells="1">
                  <from>
                    <xdr:col>1</xdr:col>
                    <xdr:colOff>546100</xdr:colOff>
                    <xdr:row>10</xdr:row>
                    <xdr:rowOff>38100</xdr:rowOff>
                  </from>
                  <to>
                    <xdr:col>2</xdr:col>
                    <xdr:colOff>3517900</xdr:colOff>
                    <xdr:row>11</xdr:row>
                    <xdr:rowOff>19050</xdr:rowOff>
                  </to>
                </anchor>
              </controlPr>
            </control>
          </mc:Choice>
        </mc:AlternateContent>
        <mc:AlternateContent xmlns:mc="http://schemas.openxmlformats.org/markup-compatibility/2006">
          <mc:Choice Requires="x14">
            <control shapeId="551944" r:id="rId11" name="Check Box 8">
              <controlPr defaultSize="0" autoFill="0" autoLine="0" autoPict="0">
                <anchor moveWithCells="1">
                  <from>
                    <xdr:col>1</xdr:col>
                    <xdr:colOff>533400</xdr:colOff>
                    <xdr:row>6</xdr:row>
                    <xdr:rowOff>12700</xdr:rowOff>
                  </from>
                  <to>
                    <xdr:col>2</xdr:col>
                    <xdr:colOff>3505200</xdr:colOff>
                    <xdr:row>6</xdr:row>
                    <xdr:rowOff>222250</xdr:rowOff>
                  </to>
                </anchor>
              </controlPr>
            </control>
          </mc:Choice>
        </mc:AlternateContent>
        <mc:AlternateContent xmlns:mc="http://schemas.openxmlformats.org/markup-compatibility/2006">
          <mc:Choice Requires="x14">
            <control shapeId="551945" r:id="rId12" name="Check Box 9">
              <controlPr defaultSize="0" autoFill="0" autoLine="0" autoPict="0">
                <anchor moveWithCells="1">
                  <from>
                    <xdr:col>1</xdr:col>
                    <xdr:colOff>565150</xdr:colOff>
                    <xdr:row>26</xdr:row>
                    <xdr:rowOff>76200</xdr:rowOff>
                  </from>
                  <to>
                    <xdr:col>2</xdr:col>
                    <xdr:colOff>3295650</xdr:colOff>
                    <xdr:row>27</xdr:row>
                    <xdr:rowOff>146050</xdr:rowOff>
                  </to>
                </anchor>
              </controlPr>
            </control>
          </mc:Choice>
        </mc:AlternateContent>
        <mc:AlternateContent xmlns:mc="http://schemas.openxmlformats.org/markup-compatibility/2006">
          <mc:Choice Requires="x14">
            <control shapeId="551946" r:id="rId13" name="Check Box 10">
              <controlPr defaultSize="0" autoFill="0" autoLine="0" autoPict="0">
                <anchor moveWithCells="1">
                  <from>
                    <xdr:col>1</xdr:col>
                    <xdr:colOff>546100</xdr:colOff>
                    <xdr:row>11</xdr:row>
                    <xdr:rowOff>57150</xdr:rowOff>
                  </from>
                  <to>
                    <xdr:col>2</xdr:col>
                    <xdr:colOff>3524250</xdr:colOff>
                    <xdr:row>12</xdr:row>
                    <xdr:rowOff>152400</xdr:rowOff>
                  </to>
                </anchor>
              </controlPr>
            </control>
          </mc:Choice>
        </mc:AlternateContent>
        <mc:AlternateContent xmlns:mc="http://schemas.openxmlformats.org/markup-compatibility/2006">
          <mc:Choice Requires="x14">
            <control shapeId="551947" r:id="rId14" name="Check Box 11">
              <controlPr defaultSize="0" autoFill="0" autoLine="0" autoPict="0">
                <anchor moveWithCells="1">
                  <from>
                    <xdr:col>1</xdr:col>
                    <xdr:colOff>533400</xdr:colOff>
                    <xdr:row>8</xdr:row>
                    <xdr:rowOff>38100</xdr:rowOff>
                  </from>
                  <to>
                    <xdr:col>2</xdr:col>
                    <xdr:colOff>3505200</xdr:colOff>
                    <xdr:row>10</xdr:row>
                    <xdr:rowOff>19050</xdr:rowOff>
                  </to>
                </anchor>
              </controlPr>
            </control>
          </mc:Choice>
        </mc:AlternateContent>
        <mc:AlternateContent xmlns:mc="http://schemas.openxmlformats.org/markup-compatibility/2006">
          <mc:Choice Requires="x14">
            <control shapeId="551948" r:id="rId15" name="Check Box 12">
              <controlPr defaultSize="0" autoFill="0" autoLine="0" autoPict="0">
                <anchor moveWithCells="1">
                  <from>
                    <xdr:col>1</xdr:col>
                    <xdr:colOff>571500</xdr:colOff>
                    <xdr:row>25</xdr:row>
                    <xdr:rowOff>31750</xdr:rowOff>
                  </from>
                  <to>
                    <xdr:col>2</xdr:col>
                    <xdr:colOff>3556000</xdr:colOff>
                    <xdr:row>26</xdr:row>
                    <xdr:rowOff>19050</xdr:rowOff>
                  </to>
                </anchor>
              </controlPr>
            </control>
          </mc:Choice>
        </mc:AlternateContent>
        <mc:AlternateContent xmlns:mc="http://schemas.openxmlformats.org/markup-compatibility/2006">
          <mc:Choice Requires="x14">
            <control shapeId="551949" r:id="rId16" name="Check Box 13">
              <controlPr defaultSize="0" autoFill="0" autoLine="0" autoPict="0">
                <anchor moveWithCells="1">
                  <from>
                    <xdr:col>1</xdr:col>
                    <xdr:colOff>552450</xdr:colOff>
                    <xdr:row>14</xdr:row>
                    <xdr:rowOff>190500</xdr:rowOff>
                  </from>
                  <to>
                    <xdr:col>2</xdr:col>
                    <xdr:colOff>3536950</xdr:colOff>
                    <xdr:row>15</xdr:row>
                    <xdr:rowOff>114300</xdr:rowOff>
                  </to>
                </anchor>
              </controlPr>
            </control>
          </mc:Choice>
        </mc:AlternateContent>
        <mc:AlternateContent xmlns:mc="http://schemas.openxmlformats.org/markup-compatibility/2006">
          <mc:Choice Requires="x14">
            <control shapeId="551950" r:id="rId17" name="Check Box 14">
              <controlPr defaultSize="0" autoFill="0" autoLine="0" autoPict="0">
                <anchor moveWithCells="1">
                  <from>
                    <xdr:col>1</xdr:col>
                    <xdr:colOff>546100</xdr:colOff>
                    <xdr:row>16</xdr:row>
                    <xdr:rowOff>19050</xdr:rowOff>
                  </from>
                  <to>
                    <xdr:col>2</xdr:col>
                    <xdr:colOff>3536950</xdr:colOff>
                    <xdr:row>16</xdr:row>
                    <xdr:rowOff>171450</xdr:rowOff>
                  </to>
                </anchor>
              </controlPr>
            </control>
          </mc:Choice>
        </mc:AlternateContent>
        <mc:AlternateContent xmlns:mc="http://schemas.openxmlformats.org/markup-compatibility/2006">
          <mc:Choice Requires="x14">
            <control shapeId="551951" r:id="rId18" name="Check Box 15">
              <controlPr defaultSize="0" autoFill="0" autoLine="0" autoPict="0">
                <anchor moveWithCells="1">
                  <from>
                    <xdr:col>1</xdr:col>
                    <xdr:colOff>533400</xdr:colOff>
                    <xdr:row>7</xdr:row>
                    <xdr:rowOff>19050</xdr:rowOff>
                  </from>
                  <to>
                    <xdr:col>2</xdr:col>
                    <xdr:colOff>3505200</xdr:colOff>
                    <xdr:row>8</xdr:row>
                    <xdr:rowOff>0</xdr:rowOff>
                  </to>
                </anchor>
              </controlPr>
            </control>
          </mc:Choice>
        </mc:AlternateContent>
        <mc:AlternateContent xmlns:mc="http://schemas.openxmlformats.org/markup-compatibility/2006">
          <mc:Choice Requires="x14">
            <control shapeId="551952" r:id="rId19" name="Check Box 16">
              <controlPr defaultSize="0" autoFill="0" autoLine="0" autoPict="0">
                <anchor moveWithCells="1">
                  <from>
                    <xdr:col>1</xdr:col>
                    <xdr:colOff>552450</xdr:colOff>
                    <xdr:row>12</xdr:row>
                    <xdr:rowOff>209550</xdr:rowOff>
                  </from>
                  <to>
                    <xdr:col>2</xdr:col>
                    <xdr:colOff>3536950</xdr:colOff>
                    <xdr:row>14</xdr:row>
                    <xdr:rowOff>76200</xdr:rowOff>
                  </to>
                </anchor>
              </controlPr>
            </control>
          </mc:Choice>
        </mc:AlternateContent>
        <mc:AlternateContent xmlns:mc="http://schemas.openxmlformats.org/markup-compatibility/2006">
          <mc:Choice Requires="x14">
            <control shapeId="551953" r:id="rId20" name="Check Box 17">
              <controlPr defaultSize="0" autoFill="0" autoLine="0" autoPict="0">
                <anchor moveWithCells="1">
                  <from>
                    <xdr:col>1</xdr:col>
                    <xdr:colOff>584200</xdr:colOff>
                    <xdr:row>30</xdr:row>
                    <xdr:rowOff>12700</xdr:rowOff>
                  </from>
                  <to>
                    <xdr:col>2</xdr:col>
                    <xdr:colOff>3556000</xdr:colOff>
                    <xdr:row>30</xdr:row>
                    <xdr:rowOff>228600</xdr:rowOff>
                  </to>
                </anchor>
              </controlPr>
            </control>
          </mc:Choice>
        </mc:AlternateContent>
        <mc:AlternateContent xmlns:mc="http://schemas.openxmlformats.org/markup-compatibility/2006">
          <mc:Choice Requires="x14">
            <control shapeId="551954" r:id="rId21" name="Check Box 18">
              <controlPr defaultSize="0" autoFill="0" autoLine="0" autoPict="0">
                <anchor moveWithCells="1">
                  <from>
                    <xdr:col>1</xdr:col>
                    <xdr:colOff>571500</xdr:colOff>
                    <xdr:row>27</xdr:row>
                    <xdr:rowOff>146050</xdr:rowOff>
                  </from>
                  <to>
                    <xdr:col>2</xdr:col>
                    <xdr:colOff>3556000</xdr:colOff>
                    <xdr:row>28</xdr:row>
                    <xdr:rowOff>171450</xdr:rowOff>
                  </to>
                </anchor>
              </controlPr>
            </control>
          </mc:Choice>
        </mc:AlternateContent>
        <mc:AlternateContent xmlns:mc="http://schemas.openxmlformats.org/markup-compatibility/2006">
          <mc:Choice Requires="x14">
            <control shapeId="551955" r:id="rId22" name="Check Box 19">
              <controlPr defaultSize="0" autoFill="0" autoLine="0" autoPict="0">
                <anchor moveWithCells="1">
                  <from>
                    <xdr:col>1</xdr:col>
                    <xdr:colOff>584200</xdr:colOff>
                    <xdr:row>29</xdr:row>
                    <xdr:rowOff>19050</xdr:rowOff>
                  </from>
                  <to>
                    <xdr:col>2</xdr:col>
                    <xdr:colOff>3905250</xdr:colOff>
                    <xdr:row>30</xdr:row>
                    <xdr:rowOff>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0A6A5-C371-48AD-83F7-945401225586}">
  <sheetPr codeName="Sheet18">
    <tabColor rgb="FF00B050"/>
    <pageSetUpPr fitToPage="1"/>
  </sheetPr>
  <dimension ref="A1:XEW102"/>
  <sheetViews>
    <sheetView showGridLines="0" zoomScaleNormal="100" workbookViewId="0"/>
  </sheetViews>
  <sheetFormatPr defaultColWidth="0" defaultRowHeight="16.5" customHeight="1" zeroHeight="1"/>
  <cols>
    <col min="1" max="1" width="3.54296875" style="157" customWidth="1"/>
    <col min="2" max="2" width="13.81640625" style="157" customWidth="1"/>
    <col min="3" max="3" width="58.453125" style="157" customWidth="1"/>
    <col min="4" max="4" width="8.81640625" style="157" customWidth="1"/>
    <col min="5" max="5" width="14" style="157" customWidth="1"/>
    <col min="6" max="6" width="14.453125" style="157" customWidth="1"/>
    <col min="7" max="7" width="29" style="157" customWidth="1"/>
    <col min="8" max="8" width="15.1796875" style="157" customWidth="1"/>
    <col min="9" max="9" width="3.54296875" style="157" customWidth="1"/>
    <col min="10" max="13" width="8.81640625" style="157" hidden="1" customWidth="1"/>
    <col min="14" max="255" width="9.1796875" style="157" hidden="1" customWidth="1"/>
    <col min="256" max="16384" width="11.54296875" style="157" hidden="1"/>
  </cols>
  <sheetData>
    <row r="1" spans="1:1017 1025:2041 2049:3065 3073:4089 4097:5113 5121:6137 6145:7161 7169:8185 8193:9209 9217:10233 10241:11257 11265:12281 12289:13305 13313:14329 14337:15353 15361:16377" s="1895" customFormat="1" ht="60" customHeight="1">
      <c r="A1" s="1891" t="str">
        <f>Development!$A$3&amp;" Multi-Family Program"</f>
        <v>2024 Multi-Family Program</v>
      </c>
      <c r="B1" s="1892"/>
      <c r="C1" s="1892"/>
      <c r="D1" s="1892"/>
      <c r="E1" s="1892"/>
      <c r="I1" s="1897"/>
      <c r="Q1" s="1897"/>
      <c r="Y1" s="1897"/>
      <c r="AG1" s="1897"/>
      <c r="AO1" s="1897"/>
      <c r="AW1" s="1897"/>
      <c r="BE1" s="1897"/>
      <c r="BM1" s="1897"/>
      <c r="BU1" s="1897"/>
      <c r="CC1" s="1897"/>
      <c r="CK1" s="1897"/>
      <c r="CS1" s="1897"/>
      <c r="DA1" s="1897"/>
      <c r="DI1" s="1897"/>
      <c r="DQ1" s="1897"/>
      <c r="DY1" s="1897"/>
      <c r="EG1" s="1897"/>
      <c r="EO1" s="1897"/>
      <c r="EW1" s="1897"/>
      <c r="FE1" s="1897"/>
      <c r="FM1" s="1897"/>
      <c r="FU1" s="1897"/>
      <c r="GC1" s="1897"/>
      <c r="GK1" s="1897"/>
      <c r="GS1" s="1897"/>
      <c r="HA1" s="1897"/>
      <c r="HI1" s="1897"/>
      <c r="HQ1" s="1897"/>
      <c r="HY1" s="1897"/>
      <c r="IG1" s="1897"/>
      <c r="IO1" s="1897"/>
      <c r="IW1" s="1897"/>
      <c r="JE1" s="1897"/>
      <c r="JM1" s="1897"/>
      <c r="JU1" s="1897"/>
      <c r="KC1" s="1897"/>
      <c r="KK1" s="1897"/>
      <c r="KS1" s="1897"/>
      <c r="LA1" s="1897"/>
      <c r="LI1" s="1897"/>
      <c r="LQ1" s="1897"/>
      <c r="LY1" s="1897"/>
      <c r="MG1" s="1897"/>
      <c r="MO1" s="1897"/>
      <c r="MW1" s="1897"/>
      <c r="NE1" s="1897"/>
      <c r="NM1" s="1897"/>
      <c r="NU1" s="1897"/>
      <c r="OC1" s="1897"/>
      <c r="OK1" s="1897"/>
      <c r="OS1" s="1897"/>
      <c r="PA1" s="1897"/>
      <c r="PI1" s="1897"/>
      <c r="PQ1" s="1897"/>
      <c r="PY1" s="1897"/>
      <c r="QG1" s="1897"/>
      <c r="QO1" s="1897"/>
      <c r="QW1" s="1897"/>
      <c r="RE1" s="1897"/>
      <c r="RM1" s="1897"/>
      <c r="RU1" s="1897"/>
      <c r="SC1" s="1897"/>
      <c r="SK1" s="1897"/>
      <c r="SS1" s="1897"/>
      <c r="TA1" s="1897"/>
      <c r="TI1" s="1897"/>
      <c r="TQ1" s="1897"/>
      <c r="TY1" s="1897"/>
      <c r="UG1" s="1897"/>
      <c r="UO1" s="1897"/>
      <c r="UW1" s="1897"/>
      <c r="VE1" s="1897"/>
      <c r="VM1" s="1897"/>
      <c r="VU1" s="1897"/>
      <c r="WC1" s="1897"/>
      <c r="WK1" s="1897"/>
      <c r="WS1" s="1897"/>
      <c r="XA1" s="1897"/>
      <c r="XI1" s="1897"/>
      <c r="XQ1" s="1897"/>
      <c r="XY1" s="1897"/>
      <c r="YG1" s="1897"/>
      <c r="YO1" s="1897"/>
      <c r="YW1" s="1897"/>
      <c r="ZE1" s="1897"/>
      <c r="ZM1" s="1897"/>
      <c r="ZU1" s="1897"/>
      <c r="AAC1" s="1897"/>
      <c r="AAK1" s="1897"/>
      <c r="AAS1" s="1897"/>
      <c r="ABA1" s="1897"/>
      <c r="ABI1" s="1897"/>
      <c r="ABQ1" s="1897"/>
      <c r="ABY1" s="1897"/>
      <c r="ACG1" s="1897"/>
      <c r="ACO1" s="1897"/>
      <c r="ACW1" s="1897"/>
      <c r="ADE1" s="1897"/>
      <c r="ADM1" s="1897"/>
      <c r="ADU1" s="1897"/>
      <c r="AEC1" s="1897"/>
      <c r="AEK1" s="1897"/>
      <c r="AES1" s="1897"/>
      <c r="AFA1" s="1897"/>
      <c r="AFI1" s="1897"/>
      <c r="AFQ1" s="1897"/>
      <c r="AFY1" s="1897"/>
      <c r="AGG1" s="1897"/>
      <c r="AGO1" s="1897"/>
      <c r="AGW1" s="1897"/>
      <c r="AHE1" s="1897"/>
      <c r="AHM1" s="1897"/>
      <c r="AHU1" s="1897"/>
      <c r="AIC1" s="1897"/>
      <c r="AIK1" s="1897"/>
      <c r="AIS1" s="1897"/>
      <c r="AJA1" s="1897"/>
      <c r="AJI1" s="1897"/>
      <c r="AJQ1" s="1897"/>
      <c r="AJY1" s="1897"/>
      <c r="AKG1" s="1897"/>
      <c r="AKO1" s="1897"/>
      <c r="AKW1" s="1897"/>
      <c r="ALE1" s="1897"/>
      <c r="ALM1" s="1897"/>
      <c r="ALU1" s="1897"/>
      <c r="AMC1" s="1897"/>
      <c r="AMK1" s="1897"/>
      <c r="AMS1" s="1897"/>
      <c r="ANA1" s="1897"/>
      <c r="ANI1" s="1897"/>
      <c r="ANQ1" s="1897"/>
      <c r="ANY1" s="1897"/>
      <c r="AOG1" s="1897"/>
      <c r="AOO1" s="1897"/>
      <c r="AOW1" s="1897"/>
      <c r="APE1" s="1897"/>
      <c r="APM1" s="1897"/>
      <c r="APU1" s="1897"/>
      <c r="AQC1" s="1897"/>
      <c r="AQK1" s="1897"/>
      <c r="AQS1" s="1897"/>
      <c r="ARA1" s="1897"/>
      <c r="ARI1" s="1897"/>
      <c r="ARQ1" s="1897"/>
      <c r="ARY1" s="1897"/>
      <c r="ASG1" s="1897"/>
      <c r="ASO1" s="1897"/>
      <c r="ASW1" s="1897"/>
      <c r="ATE1" s="1897"/>
      <c r="ATM1" s="1897"/>
      <c r="ATU1" s="1897"/>
      <c r="AUC1" s="1897"/>
      <c r="AUK1" s="1897"/>
      <c r="AUS1" s="1897"/>
      <c r="AVA1" s="1897"/>
      <c r="AVI1" s="1897"/>
      <c r="AVQ1" s="1897"/>
      <c r="AVY1" s="1897"/>
      <c r="AWG1" s="1897"/>
      <c r="AWO1" s="1897"/>
      <c r="AWW1" s="1897"/>
      <c r="AXE1" s="1897"/>
      <c r="AXM1" s="1897"/>
      <c r="AXU1" s="1897"/>
      <c r="AYC1" s="1897"/>
      <c r="AYK1" s="1897"/>
      <c r="AYS1" s="1897"/>
      <c r="AZA1" s="1897"/>
      <c r="AZI1" s="1897"/>
      <c r="AZQ1" s="1897"/>
      <c r="AZY1" s="1897"/>
      <c r="BAG1" s="1897"/>
      <c r="BAO1" s="1897"/>
      <c r="BAW1" s="1897"/>
      <c r="BBE1" s="1897"/>
      <c r="BBM1" s="1897"/>
      <c r="BBU1" s="1897"/>
      <c r="BCC1" s="1897"/>
      <c r="BCK1" s="1897"/>
      <c r="BCS1" s="1897"/>
      <c r="BDA1" s="1897"/>
      <c r="BDI1" s="1897"/>
      <c r="BDQ1" s="1897"/>
      <c r="BDY1" s="1897"/>
      <c r="BEG1" s="1897"/>
      <c r="BEO1" s="1897"/>
      <c r="BEW1" s="1897"/>
      <c r="BFE1" s="1897"/>
      <c r="BFM1" s="1897"/>
      <c r="BFU1" s="1897"/>
      <c r="BGC1" s="1897"/>
      <c r="BGK1" s="1897"/>
      <c r="BGS1" s="1897"/>
      <c r="BHA1" s="1897"/>
      <c r="BHI1" s="1897"/>
      <c r="BHQ1" s="1897"/>
      <c r="BHY1" s="1897"/>
      <c r="BIG1" s="1897"/>
      <c r="BIO1" s="1897"/>
      <c r="BIW1" s="1897"/>
      <c r="BJE1" s="1897"/>
      <c r="BJM1" s="1897"/>
      <c r="BJU1" s="1897"/>
      <c r="BKC1" s="1897"/>
      <c r="BKK1" s="1897"/>
      <c r="BKS1" s="1897"/>
      <c r="BLA1" s="1897"/>
      <c r="BLI1" s="1897"/>
      <c r="BLQ1" s="1897"/>
      <c r="BLY1" s="1897"/>
      <c r="BMG1" s="1897"/>
      <c r="BMO1" s="1897"/>
      <c r="BMW1" s="1897"/>
      <c r="BNE1" s="1897"/>
      <c r="BNM1" s="1897"/>
      <c r="BNU1" s="1897"/>
      <c r="BOC1" s="1897"/>
      <c r="BOK1" s="1897"/>
      <c r="BOS1" s="1897"/>
      <c r="BPA1" s="1897"/>
      <c r="BPI1" s="1897"/>
      <c r="BPQ1" s="1897"/>
      <c r="BPY1" s="1897"/>
      <c r="BQG1" s="1897"/>
      <c r="BQO1" s="1897"/>
      <c r="BQW1" s="1897"/>
      <c r="BRE1" s="1897"/>
      <c r="BRM1" s="1897"/>
      <c r="BRU1" s="1897"/>
      <c r="BSC1" s="1897"/>
      <c r="BSK1" s="1897"/>
      <c r="BSS1" s="1897"/>
      <c r="BTA1" s="1897"/>
      <c r="BTI1" s="1897"/>
      <c r="BTQ1" s="1897"/>
      <c r="BTY1" s="1897"/>
      <c r="BUG1" s="1897"/>
      <c r="BUO1" s="1897"/>
      <c r="BUW1" s="1897"/>
      <c r="BVE1" s="1897"/>
      <c r="BVM1" s="1897"/>
      <c r="BVU1" s="1897"/>
      <c r="BWC1" s="1897"/>
      <c r="BWK1" s="1897"/>
      <c r="BWS1" s="1897"/>
      <c r="BXA1" s="1897"/>
      <c r="BXI1" s="1897"/>
      <c r="BXQ1" s="1897"/>
      <c r="BXY1" s="1897"/>
      <c r="BYG1" s="1897"/>
      <c r="BYO1" s="1897"/>
      <c r="BYW1" s="1897"/>
      <c r="BZE1" s="1897"/>
      <c r="BZM1" s="1897"/>
      <c r="BZU1" s="1897"/>
      <c r="CAC1" s="1897"/>
      <c r="CAK1" s="1897"/>
      <c r="CAS1" s="1897"/>
      <c r="CBA1" s="1897"/>
      <c r="CBI1" s="1897"/>
      <c r="CBQ1" s="1897"/>
      <c r="CBY1" s="1897"/>
      <c r="CCG1" s="1897"/>
      <c r="CCO1" s="1897"/>
      <c r="CCW1" s="1897"/>
      <c r="CDE1" s="1897"/>
      <c r="CDM1" s="1897"/>
      <c r="CDU1" s="1897"/>
      <c r="CEC1" s="1897"/>
      <c r="CEK1" s="1897"/>
      <c r="CES1" s="1897"/>
      <c r="CFA1" s="1897"/>
      <c r="CFI1" s="1897"/>
      <c r="CFQ1" s="1897"/>
      <c r="CFY1" s="1897"/>
      <c r="CGG1" s="1897"/>
      <c r="CGO1" s="1897"/>
      <c r="CGW1" s="1897"/>
      <c r="CHE1" s="1897"/>
      <c r="CHM1" s="1897"/>
      <c r="CHU1" s="1897"/>
      <c r="CIC1" s="1897"/>
      <c r="CIK1" s="1897"/>
      <c r="CIS1" s="1897"/>
      <c r="CJA1" s="1897"/>
      <c r="CJI1" s="1897"/>
      <c r="CJQ1" s="1897"/>
      <c r="CJY1" s="1897"/>
      <c r="CKG1" s="1897"/>
      <c r="CKO1" s="1897"/>
      <c r="CKW1" s="1897"/>
      <c r="CLE1" s="1897"/>
      <c r="CLM1" s="1897"/>
      <c r="CLU1" s="1897"/>
      <c r="CMC1" s="1897"/>
      <c r="CMK1" s="1897"/>
      <c r="CMS1" s="1897"/>
      <c r="CNA1" s="1897"/>
      <c r="CNI1" s="1897"/>
      <c r="CNQ1" s="1897"/>
      <c r="CNY1" s="1897"/>
      <c r="COG1" s="1897"/>
      <c r="COO1" s="1897"/>
      <c r="COW1" s="1897"/>
      <c r="CPE1" s="1897"/>
      <c r="CPM1" s="1897"/>
      <c r="CPU1" s="1897"/>
      <c r="CQC1" s="1897"/>
      <c r="CQK1" s="1897"/>
      <c r="CQS1" s="1897"/>
      <c r="CRA1" s="1897"/>
      <c r="CRI1" s="1897"/>
      <c r="CRQ1" s="1897"/>
      <c r="CRY1" s="1897"/>
      <c r="CSG1" s="1897"/>
      <c r="CSO1" s="1897"/>
      <c r="CSW1" s="1897"/>
      <c r="CTE1" s="1897"/>
      <c r="CTM1" s="1897"/>
      <c r="CTU1" s="1897"/>
      <c r="CUC1" s="1897"/>
      <c r="CUK1" s="1897"/>
      <c r="CUS1" s="1897"/>
      <c r="CVA1" s="1897"/>
      <c r="CVI1" s="1897"/>
      <c r="CVQ1" s="1897"/>
      <c r="CVY1" s="1897"/>
      <c r="CWG1" s="1897"/>
      <c r="CWO1" s="1897"/>
      <c r="CWW1" s="1897"/>
      <c r="CXE1" s="1897"/>
      <c r="CXM1" s="1897"/>
      <c r="CXU1" s="1897"/>
      <c r="CYC1" s="1897"/>
      <c r="CYK1" s="1897"/>
      <c r="CYS1" s="1897"/>
      <c r="CZA1" s="1897"/>
      <c r="CZI1" s="1897"/>
      <c r="CZQ1" s="1897"/>
      <c r="CZY1" s="1897"/>
      <c r="DAG1" s="1897"/>
      <c r="DAO1" s="1897"/>
      <c r="DAW1" s="1897"/>
      <c r="DBE1" s="1897"/>
      <c r="DBM1" s="1897"/>
      <c r="DBU1" s="1897"/>
      <c r="DCC1" s="1897"/>
      <c r="DCK1" s="1897"/>
      <c r="DCS1" s="1897"/>
      <c r="DDA1" s="1897"/>
      <c r="DDI1" s="1897"/>
      <c r="DDQ1" s="1897"/>
      <c r="DDY1" s="1897"/>
      <c r="DEG1" s="1897"/>
      <c r="DEO1" s="1897"/>
      <c r="DEW1" s="1897"/>
      <c r="DFE1" s="1897"/>
      <c r="DFM1" s="1897"/>
      <c r="DFU1" s="1897"/>
      <c r="DGC1" s="1897"/>
      <c r="DGK1" s="1897"/>
      <c r="DGS1" s="1897"/>
      <c r="DHA1" s="1897"/>
      <c r="DHI1" s="1897"/>
      <c r="DHQ1" s="1897"/>
      <c r="DHY1" s="1897"/>
      <c r="DIG1" s="1897"/>
      <c r="DIO1" s="1897"/>
      <c r="DIW1" s="1897"/>
      <c r="DJE1" s="1897"/>
      <c r="DJM1" s="1897"/>
      <c r="DJU1" s="1897"/>
      <c r="DKC1" s="1897"/>
      <c r="DKK1" s="1897"/>
      <c r="DKS1" s="1897"/>
      <c r="DLA1" s="1897"/>
      <c r="DLI1" s="1897"/>
      <c r="DLQ1" s="1897"/>
      <c r="DLY1" s="1897"/>
      <c r="DMG1" s="1897"/>
      <c r="DMO1" s="1897"/>
      <c r="DMW1" s="1897"/>
      <c r="DNE1" s="1897"/>
      <c r="DNM1" s="1897"/>
      <c r="DNU1" s="1897"/>
      <c r="DOC1" s="1897"/>
      <c r="DOK1" s="1897"/>
      <c r="DOS1" s="1897"/>
      <c r="DPA1" s="1897"/>
      <c r="DPI1" s="1897"/>
      <c r="DPQ1" s="1897"/>
      <c r="DPY1" s="1897"/>
      <c r="DQG1" s="1897"/>
      <c r="DQO1" s="1897"/>
      <c r="DQW1" s="1897"/>
      <c r="DRE1" s="1897"/>
      <c r="DRM1" s="1897"/>
      <c r="DRU1" s="1897"/>
      <c r="DSC1" s="1897"/>
      <c r="DSK1" s="1897"/>
      <c r="DSS1" s="1897"/>
      <c r="DTA1" s="1897"/>
      <c r="DTI1" s="1897"/>
      <c r="DTQ1" s="1897"/>
      <c r="DTY1" s="1897"/>
      <c r="DUG1" s="1897"/>
      <c r="DUO1" s="1897"/>
      <c r="DUW1" s="1897"/>
      <c r="DVE1" s="1897"/>
      <c r="DVM1" s="1897"/>
      <c r="DVU1" s="1897"/>
      <c r="DWC1" s="1897"/>
      <c r="DWK1" s="1897"/>
      <c r="DWS1" s="1897"/>
      <c r="DXA1" s="1897"/>
      <c r="DXI1" s="1897"/>
      <c r="DXQ1" s="1897"/>
      <c r="DXY1" s="1897"/>
      <c r="DYG1" s="1897"/>
      <c r="DYO1" s="1897"/>
      <c r="DYW1" s="1897"/>
      <c r="DZE1" s="1897"/>
      <c r="DZM1" s="1897"/>
      <c r="DZU1" s="1897"/>
      <c r="EAC1" s="1897"/>
      <c r="EAK1" s="1897"/>
      <c r="EAS1" s="1897"/>
      <c r="EBA1" s="1897"/>
      <c r="EBI1" s="1897"/>
      <c r="EBQ1" s="1897"/>
      <c r="EBY1" s="1897"/>
      <c r="ECG1" s="1897"/>
      <c r="ECO1" s="1897"/>
      <c r="ECW1" s="1897"/>
      <c r="EDE1" s="1897"/>
      <c r="EDM1" s="1897"/>
      <c r="EDU1" s="1897"/>
      <c r="EEC1" s="1897"/>
      <c r="EEK1" s="1897"/>
      <c r="EES1" s="1897"/>
      <c r="EFA1" s="1897"/>
      <c r="EFI1" s="1897"/>
      <c r="EFQ1" s="1897"/>
      <c r="EFY1" s="1897"/>
      <c r="EGG1" s="1897"/>
      <c r="EGO1" s="1897"/>
      <c r="EGW1" s="1897"/>
      <c r="EHE1" s="1897"/>
      <c r="EHM1" s="1897"/>
      <c r="EHU1" s="1897"/>
      <c r="EIC1" s="1897"/>
      <c r="EIK1" s="1897"/>
      <c r="EIS1" s="1897"/>
      <c r="EJA1" s="1897"/>
      <c r="EJI1" s="1897"/>
      <c r="EJQ1" s="1897"/>
      <c r="EJY1" s="1897"/>
      <c r="EKG1" s="1897"/>
      <c r="EKO1" s="1897"/>
      <c r="EKW1" s="1897"/>
      <c r="ELE1" s="1897"/>
      <c r="ELM1" s="1897"/>
      <c r="ELU1" s="1897"/>
      <c r="EMC1" s="1897"/>
      <c r="EMK1" s="1897"/>
      <c r="EMS1" s="1897"/>
      <c r="ENA1" s="1897"/>
      <c r="ENI1" s="1897"/>
      <c r="ENQ1" s="1897"/>
      <c r="ENY1" s="1897"/>
      <c r="EOG1" s="1897"/>
      <c r="EOO1" s="1897"/>
      <c r="EOW1" s="1897"/>
      <c r="EPE1" s="1897"/>
      <c r="EPM1" s="1897"/>
      <c r="EPU1" s="1897"/>
      <c r="EQC1" s="1897"/>
      <c r="EQK1" s="1897"/>
      <c r="EQS1" s="1897"/>
      <c r="ERA1" s="1897"/>
      <c r="ERI1" s="1897"/>
      <c r="ERQ1" s="1897"/>
      <c r="ERY1" s="1897"/>
      <c r="ESG1" s="1897"/>
      <c r="ESO1" s="1897"/>
      <c r="ESW1" s="1897"/>
      <c r="ETE1" s="1897"/>
      <c r="ETM1" s="1897"/>
      <c r="ETU1" s="1897"/>
      <c r="EUC1" s="1897"/>
      <c r="EUK1" s="1897"/>
      <c r="EUS1" s="1897"/>
      <c r="EVA1" s="1897"/>
      <c r="EVI1" s="1897"/>
      <c r="EVQ1" s="1897"/>
      <c r="EVY1" s="1897"/>
      <c r="EWG1" s="1897"/>
      <c r="EWO1" s="1897"/>
      <c r="EWW1" s="1897"/>
      <c r="EXE1" s="1897"/>
      <c r="EXM1" s="1897"/>
      <c r="EXU1" s="1897"/>
      <c r="EYC1" s="1897"/>
      <c r="EYK1" s="1897"/>
      <c r="EYS1" s="1897"/>
      <c r="EZA1" s="1897"/>
      <c r="EZI1" s="1897"/>
      <c r="EZQ1" s="1897"/>
      <c r="EZY1" s="1897"/>
      <c r="FAG1" s="1897"/>
      <c r="FAO1" s="1897"/>
      <c r="FAW1" s="1897"/>
      <c r="FBE1" s="1897"/>
      <c r="FBM1" s="1897"/>
      <c r="FBU1" s="1897"/>
      <c r="FCC1" s="1897"/>
      <c r="FCK1" s="1897"/>
      <c r="FCS1" s="1897"/>
      <c r="FDA1" s="1897"/>
      <c r="FDI1" s="1897"/>
      <c r="FDQ1" s="1897"/>
      <c r="FDY1" s="1897"/>
      <c r="FEG1" s="1897"/>
      <c r="FEO1" s="1897"/>
      <c r="FEW1" s="1897"/>
      <c r="FFE1" s="1897"/>
      <c r="FFM1" s="1897"/>
      <c r="FFU1" s="1897"/>
      <c r="FGC1" s="1897"/>
      <c r="FGK1" s="1897"/>
      <c r="FGS1" s="1897"/>
      <c r="FHA1" s="1897"/>
      <c r="FHI1" s="1897"/>
      <c r="FHQ1" s="1897"/>
      <c r="FHY1" s="1897"/>
      <c r="FIG1" s="1897"/>
      <c r="FIO1" s="1897"/>
      <c r="FIW1" s="1897"/>
      <c r="FJE1" s="1897"/>
      <c r="FJM1" s="1897"/>
      <c r="FJU1" s="1897"/>
      <c r="FKC1" s="1897"/>
      <c r="FKK1" s="1897"/>
      <c r="FKS1" s="1897"/>
      <c r="FLA1" s="1897"/>
      <c r="FLI1" s="1897"/>
      <c r="FLQ1" s="1897"/>
      <c r="FLY1" s="1897"/>
      <c r="FMG1" s="1897"/>
      <c r="FMO1" s="1897"/>
      <c r="FMW1" s="1897"/>
      <c r="FNE1" s="1897"/>
      <c r="FNM1" s="1897"/>
      <c r="FNU1" s="1897"/>
      <c r="FOC1" s="1897"/>
      <c r="FOK1" s="1897"/>
      <c r="FOS1" s="1897"/>
      <c r="FPA1" s="1897"/>
      <c r="FPI1" s="1897"/>
      <c r="FPQ1" s="1897"/>
      <c r="FPY1" s="1897"/>
      <c r="FQG1" s="1897"/>
      <c r="FQO1" s="1897"/>
      <c r="FQW1" s="1897"/>
      <c r="FRE1" s="1897"/>
      <c r="FRM1" s="1897"/>
      <c r="FRU1" s="1897"/>
      <c r="FSC1" s="1897"/>
      <c r="FSK1" s="1897"/>
      <c r="FSS1" s="1897"/>
      <c r="FTA1" s="1897"/>
      <c r="FTI1" s="1897"/>
      <c r="FTQ1" s="1897"/>
      <c r="FTY1" s="1897"/>
      <c r="FUG1" s="1897"/>
      <c r="FUO1" s="1897"/>
      <c r="FUW1" s="1897"/>
      <c r="FVE1" s="1897"/>
      <c r="FVM1" s="1897"/>
      <c r="FVU1" s="1897"/>
      <c r="FWC1" s="1897"/>
      <c r="FWK1" s="1897"/>
      <c r="FWS1" s="1897"/>
      <c r="FXA1" s="1897"/>
      <c r="FXI1" s="1897"/>
      <c r="FXQ1" s="1897"/>
      <c r="FXY1" s="1897"/>
      <c r="FYG1" s="1897"/>
      <c r="FYO1" s="1897"/>
      <c r="FYW1" s="1897"/>
      <c r="FZE1" s="1897"/>
      <c r="FZM1" s="1897"/>
      <c r="FZU1" s="1897"/>
      <c r="GAC1" s="1897"/>
      <c r="GAK1" s="1897"/>
      <c r="GAS1" s="1897"/>
      <c r="GBA1" s="1897"/>
      <c r="GBI1" s="1897"/>
      <c r="GBQ1" s="1897"/>
      <c r="GBY1" s="1897"/>
      <c r="GCG1" s="1897"/>
      <c r="GCO1" s="1897"/>
      <c r="GCW1" s="1897"/>
      <c r="GDE1" s="1897"/>
      <c r="GDM1" s="1897"/>
      <c r="GDU1" s="1897"/>
      <c r="GEC1" s="1897"/>
      <c r="GEK1" s="1897"/>
      <c r="GES1" s="1897"/>
      <c r="GFA1" s="1897"/>
      <c r="GFI1" s="1897"/>
      <c r="GFQ1" s="1897"/>
      <c r="GFY1" s="1897"/>
      <c r="GGG1" s="1897"/>
      <c r="GGO1" s="1897"/>
      <c r="GGW1" s="1897"/>
      <c r="GHE1" s="1897"/>
      <c r="GHM1" s="1897"/>
      <c r="GHU1" s="1897"/>
      <c r="GIC1" s="1897"/>
      <c r="GIK1" s="1897"/>
      <c r="GIS1" s="1897"/>
      <c r="GJA1" s="1897"/>
      <c r="GJI1" s="1897"/>
      <c r="GJQ1" s="1897"/>
      <c r="GJY1" s="1897"/>
      <c r="GKG1" s="1897"/>
      <c r="GKO1" s="1897"/>
      <c r="GKW1" s="1897"/>
      <c r="GLE1" s="1897"/>
      <c r="GLM1" s="1897"/>
      <c r="GLU1" s="1897"/>
      <c r="GMC1" s="1897"/>
      <c r="GMK1" s="1897"/>
      <c r="GMS1" s="1897"/>
      <c r="GNA1" s="1897"/>
      <c r="GNI1" s="1897"/>
      <c r="GNQ1" s="1897"/>
      <c r="GNY1" s="1897"/>
      <c r="GOG1" s="1897"/>
      <c r="GOO1" s="1897"/>
      <c r="GOW1" s="1897"/>
      <c r="GPE1" s="1897"/>
      <c r="GPM1" s="1897"/>
      <c r="GPU1" s="1897"/>
      <c r="GQC1" s="1897"/>
      <c r="GQK1" s="1897"/>
      <c r="GQS1" s="1897"/>
      <c r="GRA1" s="1897"/>
      <c r="GRI1" s="1897"/>
      <c r="GRQ1" s="1897"/>
      <c r="GRY1" s="1897"/>
      <c r="GSG1" s="1897"/>
      <c r="GSO1" s="1897"/>
      <c r="GSW1" s="1897"/>
      <c r="GTE1" s="1897"/>
      <c r="GTM1" s="1897"/>
      <c r="GTU1" s="1897"/>
      <c r="GUC1" s="1897"/>
      <c r="GUK1" s="1897"/>
      <c r="GUS1" s="1897"/>
      <c r="GVA1" s="1897"/>
      <c r="GVI1" s="1897"/>
      <c r="GVQ1" s="1897"/>
      <c r="GVY1" s="1897"/>
      <c r="GWG1" s="1897"/>
      <c r="GWO1" s="1897"/>
      <c r="GWW1" s="1897"/>
      <c r="GXE1" s="1897"/>
      <c r="GXM1" s="1897"/>
      <c r="GXU1" s="1897"/>
      <c r="GYC1" s="1897"/>
      <c r="GYK1" s="1897"/>
      <c r="GYS1" s="1897"/>
      <c r="GZA1" s="1897"/>
      <c r="GZI1" s="1897"/>
      <c r="GZQ1" s="1897"/>
      <c r="GZY1" s="1897"/>
      <c r="HAG1" s="1897"/>
      <c r="HAO1" s="1897"/>
      <c r="HAW1" s="1897"/>
      <c r="HBE1" s="1897"/>
      <c r="HBM1" s="1897"/>
      <c r="HBU1" s="1897"/>
      <c r="HCC1" s="1897"/>
      <c r="HCK1" s="1897"/>
      <c r="HCS1" s="1897"/>
      <c r="HDA1" s="1897"/>
      <c r="HDI1" s="1897"/>
      <c r="HDQ1" s="1897"/>
      <c r="HDY1" s="1897"/>
      <c r="HEG1" s="1897"/>
      <c r="HEO1" s="1897"/>
      <c r="HEW1" s="1897"/>
      <c r="HFE1" s="1897"/>
      <c r="HFM1" s="1897"/>
      <c r="HFU1" s="1897"/>
      <c r="HGC1" s="1897"/>
      <c r="HGK1" s="1897"/>
      <c r="HGS1" s="1897"/>
      <c r="HHA1" s="1897"/>
      <c r="HHI1" s="1897"/>
      <c r="HHQ1" s="1897"/>
      <c r="HHY1" s="1897"/>
      <c r="HIG1" s="1897"/>
      <c r="HIO1" s="1897"/>
      <c r="HIW1" s="1897"/>
      <c r="HJE1" s="1897"/>
      <c r="HJM1" s="1897"/>
      <c r="HJU1" s="1897"/>
      <c r="HKC1" s="1897"/>
      <c r="HKK1" s="1897"/>
      <c r="HKS1" s="1897"/>
      <c r="HLA1" s="1897"/>
      <c r="HLI1" s="1897"/>
      <c r="HLQ1" s="1897"/>
      <c r="HLY1" s="1897"/>
      <c r="HMG1" s="1897"/>
      <c r="HMO1" s="1897"/>
      <c r="HMW1" s="1897"/>
      <c r="HNE1" s="1897"/>
      <c r="HNM1" s="1897"/>
      <c r="HNU1" s="1897"/>
      <c r="HOC1" s="1897"/>
      <c r="HOK1" s="1897"/>
      <c r="HOS1" s="1897"/>
      <c r="HPA1" s="1897"/>
      <c r="HPI1" s="1897"/>
      <c r="HPQ1" s="1897"/>
      <c r="HPY1" s="1897"/>
      <c r="HQG1" s="1897"/>
      <c r="HQO1" s="1897"/>
      <c r="HQW1" s="1897"/>
      <c r="HRE1" s="1897"/>
      <c r="HRM1" s="1897"/>
      <c r="HRU1" s="1897"/>
      <c r="HSC1" s="1897"/>
      <c r="HSK1" s="1897"/>
      <c r="HSS1" s="1897"/>
      <c r="HTA1" s="1897"/>
      <c r="HTI1" s="1897"/>
      <c r="HTQ1" s="1897"/>
      <c r="HTY1" s="1897"/>
      <c r="HUG1" s="1897"/>
      <c r="HUO1" s="1897"/>
      <c r="HUW1" s="1897"/>
      <c r="HVE1" s="1897"/>
      <c r="HVM1" s="1897"/>
      <c r="HVU1" s="1897"/>
      <c r="HWC1" s="1897"/>
      <c r="HWK1" s="1897"/>
      <c r="HWS1" s="1897"/>
      <c r="HXA1" s="1897"/>
      <c r="HXI1" s="1897"/>
      <c r="HXQ1" s="1897"/>
      <c r="HXY1" s="1897"/>
      <c r="HYG1" s="1897"/>
      <c r="HYO1" s="1897"/>
      <c r="HYW1" s="1897"/>
      <c r="HZE1" s="1897"/>
      <c r="HZM1" s="1897"/>
      <c r="HZU1" s="1897"/>
      <c r="IAC1" s="1897"/>
      <c r="IAK1" s="1897"/>
      <c r="IAS1" s="1897"/>
      <c r="IBA1" s="1897"/>
      <c r="IBI1" s="1897"/>
      <c r="IBQ1" s="1897"/>
      <c r="IBY1" s="1897"/>
      <c r="ICG1" s="1897"/>
      <c r="ICO1" s="1897"/>
      <c r="ICW1" s="1897"/>
      <c r="IDE1" s="1897"/>
      <c r="IDM1" s="1897"/>
      <c r="IDU1" s="1897"/>
      <c r="IEC1" s="1897"/>
      <c r="IEK1" s="1897"/>
      <c r="IES1" s="1897"/>
      <c r="IFA1" s="1897"/>
      <c r="IFI1" s="1897"/>
      <c r="IFQ1" s="1897"/>
      <c r="IFY1" s="1897"/>
      <c r="IGG1" s="1897"/>
      <c r="IGO1" s="1897"/>
      <c r="IGW1" s="1897"/>
      <c r="IHE1" s="1897"/>
      <c r="IHM1" s="1897"/>
      <c r="IHU1" s="1897"/>
      <c r="IIC1" s="1897"/>
      <c r="IIK1" s="1897"/>
      <c r="IIS1" s="1897"/>
      <c r="IJA1" s="1897"/>
      <c r="IJI1" s="1897"/>
      <c r="IJQ1" s="1897"/>
      <c r="IJY1" s="1897"/>
      <c r="IKG1" s="1897"/>
      <c r="IKO1" s="1897"/>
      <c r="IKW1" s="1897"/>
      <c r="ILE1" s="1897"/>
      <c r="ILM1" s="1897"/>
      <c r="ILU1" s="1897"/>
      <c r="IMC1" s="1897"/>
      <c r="IMK1" s="1897"/>
      <c r="IMS1" s="1897"/>
      <c r="INA1" s="1897"/>
      <c r="INI1" s="1897"/>
      <c r="INQ1" s="1897"/>
      <c r="INY1" s="1897"/>
      <c r="IOG1" s="1897"/>
      <c r="IOO1" s="1897"/>
      <c r="IOW1" s="1897"/>
      <c r="IPE1" s="1897"/>
      <c r="IPM1" s="1897"/>
      <c r="IPU1" s="1897"/>
      <c r="IQC1" s="1897"/>
      <c r="IQK1" s="1897"/>
      <c r="IQS1" s="1897"/>
      <c r="IRA1" s="1897"/>
      <c r="IRI1" s="1897"/>
      <c r="IRQ1" s="1897"/>
      <c r="IRY1" s="1897"/>
      <c r="ISG1" s="1897"/>
      <c r="ISO1" s="1897"/>
      <c r="ISW1" s="1897"/>
      <c r="ITE1" s="1897"/>
      <c r="ITM1" s="1897"/>
      <c r="ITU1" s="1897"/>
      <c r="IUC1" s="1897"/>
      <c r="IUK1" s="1897"/>
      <c r="IUS1" s="1897"/>
      <c r="IVA1" s="1897"/>
      <c r="IVI1" s="1897"/>
      <c r="IVQ1" s="1897"/>
      <c r="IVY1" s="1897"/>
      <c r="IWG1" s="1897"/>
      <c r="IWO1" s="1897"/>
      <c r="IWW1" s="1897"/>
      <c r="IXE1" s="1897"/>
      <c r="IXM1" s="1897"/>
      <c r="IXU1" s="1897"/>
      <c r="IYC1" s="1897"/>
      <c r="IYK1" s="1897"/>
      <c r="IYS1" s="1897"/>
      <c r="IZA1" s="1897"/>
      <c r="IZI1" s="1897"/>
      <c r="IZQ1" s="1897"/>
      <c r="IZY1" s="1897"/>
      <c r="JAG1" s="1897"/>
      <c r="JAO1" s="1897"/>
      <c r="JAW1" s="1897"/>
      <c r="JBE1" s="1897"/>
      <c r="JBM1" s="1897"/>
      <c r="JBU1" s="1897"/>
      <c r="JCC1" s="1897"/>
      <c r="JCK1" s="1897"/>
      <c r="JCS1" s="1897"/>
      <c r="JDA1" s="1897"/>
      <c r="JDI1" s="1897"/>
      <c r="JDQ1" s="1897"/>
      <c r="JDY1" s="1897"/>
      <c r="JEG1" s="1897"/>
      <c r="JEO1" s="1897"/>
      <c r="JEW1" s="1897"/>
      <c r="JFE1" s="1897"/>
      <c r="JFM1" s="1897"/>
      <c r="JFU1" s="1897"/>
      <c r="JGC1" s="1897"/>
      <c r="JGK1" s="1897"/>
      <c r="JGS1" s="1897"/>
      <c r="JHA1" s="1897"/>
      <c r="JHI1" s="1897"/>
      <c r="JHQ1" s="1897"/>
      <c r="JHY1" s="1897"/>
      <c r="JIG1" s="1897"/>
      <c r="JIO1" s="1897"/>
      <c r="JIW1" s="1897"/>
      <c r="JJE1" s="1897"/>
      <c r="JJM1" s="1897"/>
      <c r="JJU1" s="1897"/>
      <c r="JKC1" s="1897"/>
      <c r="JKK1" s="1897"/>
      <c r="JKS1" s="1897"/>
      <c r="JLA1" s="1897"/>
      <c r="JLI1" s="1897"/>
      <c r="JLQ1" s="1897"/>
      <c r="JLY1" s="1897"/>
      <c r="JMG1" s="1897"/>
      <c r="JMO1" s="1897"/>
      <c r="JMW1" s="1897"/>
      <c r="JNE1" s="1897"/>
      <c r="JNM1" s="1897"/>
      <c r="JNU1" s="1897"/>
      <c r="JOC1" s="1897"/>
      <c r="JOK1" s="1897"/>
      <c r="JOS1" s="1897"/>
      <c r="JPA1" s="1897"/>
      <c r="JPI1" s="1897"/>
      <c r="JPQ1" s="1897"/>
      <c r="JPY1" s="1897"/>
      <c r="JQG1" s="1897"/>
      <c r="JQO1" s="1897"/>
      <c r="JQW1" s="1897"/>
      <c r="JRE1" s="1897"/>
      <c r="JRM1" s="1897"/>
      <c r="JRU1" s="1897"/>
      <c r="JSC1" s="1897"/>
      <c r="JSK1" s="1897"/>
      <c r="JSS1" s="1897"/>
      <c r="JTA1" s="1897"/>
      <c r="JTI1" s="1897"/>
      <c r="JTQ1" s="1897"/>
      <c r="JTY1" s="1897"/>
      <c r="JUG1" s="1897"/>
      <c r="JUO1" s="1897"/>
      <c r="JUW1" s="1897"/>
      <c r="JVE1" s="1897"/>
      <c r="JVM1" s="1897"/>
      <c r="JVU1" s="1897"/>
      <c r="JWC1" s="1897"/>
      <c r="JWK1" s="1897"/>
      <c r="JWS1" s="1897"/>
      <c r="JXA1" s="1897"/>
      <c r="JXI1" s="1897"/>
      <c r="JXQ1" s="1897"/>
      <c r="JXY1" s="1897"/>
      <c r="JYG1" s="1897"/>
      <c r="JYO1" s="1897"/>
      <c r="JYW1" s="1897"/>
      <c r="JZE1" s="1897"/>
      <c r="JZM1" s="1897"/>
      <c r="JZU1" s="1897"/>
      <c r="KAC1" s="1897"/>
      <c r="KAK1" s="1897"/>
      <c r="KAS1" s="1897"/>
      <c r="KBA1" s="1897"/>
      <c r="KBI1" s="1897"/>
      <c r="KBQ1" s="1897"/>
      <c r="KBY1" s="1897"/>
      <c r="KCG1" s="1897"/>
      <c r="KCO1" s="1897"/>
      <c r="KCW1" s="1897"/>
      <c r="KDE1" s="1897"/>
      <c r="KDM1" s="1897"/>
      <c r="KDU1" s="1897"/>
      <c r="KEC1" s="1897"/>
      <c r="KEK1" s="1897"/>
      <c r="KES1" s="1897"/>
      <c r="KFA1" s="1897"/>
      <c r="KFI1" s="1897"/>
      <c r="KFQ1" s="1897"/>
      <c r="KFY1" s="1897"/>
      <c r="KGG1" s="1897"/>
      <c r="KGO1" s="1897"/>
      <c r="KGW1" s="1897"/>
      <c r="KHE1" s="1897"/>
      <c r="KHM1" s="1897"/>
      <c r="KHU1" s="1897"/>
      <c r="KIC1" s="1897"/>
      <c r="KIK1" s="1897"/>
      <c r="KIS1" s="1897"/>
      <c r="KJA1" s="1897"/>
      <c r="KJI1" s="1897"/>
      <c r="KJQ1" s="1897"/>
      <c r="KJY1" s="1897"/>
      <c r="KKG1" s="1897"/>
      <c r="KKO1" s="1897"/>
      <c r="KKW1" s="1897"/>
      <c r="KLE1" s="1897"/>
      <c r="KLM1" s="1897"/>
      <c r="KLU1" s="1897"/>
      <c r="KMC1" s="1897"/>
      <c r="KMK1" s="1897"/>
      <c r="KMS1" s="1897"/>
      <c r="KNA1" s="1897"/>
      <c r="KNI1" s="1897"/>
      <c r="KNQ1" s="1897"/>
      <c r="KNY1" s="1897"/>
      <c r="KOG1" s="1897"/>
      <c r="KOO1" s="1897"/>
      <c r="KOW1" s="1897"/>
      <c r="KPE1" s="1897"/>
      <c r="KPM1" s="1897"/>
      <c r="KPU1" s="1897"/>
      <c r="KQC1" s="1897"/>
      <c r="KQK1" s="1897"/>
      <c r="KQS1" s="1897"/>
      <c r="KRA1" s="1897"/>
      <c r="KRI1" s="1897"/>
      <c r="KRQ1" s="1897"/>
      <c r="KRY1" s="1897"/>
      <c r="KSG1" s="1897"/>
      <c r="KSO1" s="1897"/>
      <c r="KSW1" s="1897"/>
      <c r="KTE1" s="1897"/>
      <c r="KTM1" s="1897"/>
      <c r="KTU1" s="1897"/>
      <c r="KUC1" s="1897"/>
      <c r="KUK1" s="1897"/>
      <c r="KUS1" s="1897"/>
      <c r="KVA1" s="1897"/>
      <c r="KVI1" s="1897"/>
      <c r="KVQ1" s="1897"/>
      <c r="KVY1" s="1897"/>
      <c r="KWG1" s="1897"/>
      <c r="KWO1" s="1897"/>
      <c r="KWW1" s="1897"/>
      <c r="KXE1" s="1897"/>
      <c r="KXM1" s="1897"/>
      <c r="KXU1" s="1897"/>
      <c r="KYC1" s="1897"/>
      <c r="KYK1" s="1897"/>
      <c r="KYS1" s="1897"/>
      <c r="KZA1" s="1897"/>
      <c r="KZI1" s="1897"/>
      <c r="KZQ1" s="1897"/>
      <c r="KZY1" s="1897"/>
      <c r="LAG1" s="1897"/>
      <c r="LAO1" s="1897"/>
      <c r="LAW1" s="1897"/>
      <c r="LBE1" s="1897"/>
      <c r="LBM1" s="1897"/>
      <c r="LBU1" s="1897"/>
      <c r="LCC1" s="1897"/>
      <c r="LCK1" s="1897"/>
      <c r="LCS1" s="1897"/>
      <c r="LDA1" s="1897"/>
      <c r="LDI1" s="1897"/>
      <c r="LDQ1" s="1897"/>
      <c r="LDY1" s="1897"/>
      <c r="LEG1" s="1897"/>
      <c r="LEO1" s="1897"/>
      <c r="LEW1" s="1897"/>
      <c r="LFE1" s="1897"/>
      <c r="LFM1" s="1897"/>
      <c r="LFU1" s="1897"/>
      <c r="LGC1" s="1897"/>
      <c r="LGK1" s="1897"/>
      <c r="LGS1" s="1897"/>
      <c r="LHA1" s="1897"/>
      <c r="LHI1" s="1897"/>
      <c r="LHQ1" s="1897"/>
      <c r="LHY1" s="1897"/>
      <c r="LIG1" s="1897"/>
      <c r="LIO1" s="1897"/>
      <c r="LIW1" s="1897"/>
      <c r="LJE1" s="1897"/>
      <c r="LJM1" s="1897"/>
      <c r="LJU1" s="1897"/>
      <c r="LKC1" s="1897"/>
      <c r="LKK1" s="1897"/>
      <c r="LKS1" s="1897"/>
      <c r="LLA1" s="1897"/>
      <c r="LLI1" s="1897"/>
      <c r="LLQ1" s="1897"/>
      <c r="LLY1" s="1897"/>
      <c r="LMG1" s="1897"/>
      <c r="LMO1" s="1897"/>
      <c r="LMW1" s="1897"/>
      <c r="LNE1" s="1897"/>
      <c r="LNM1" s="1897"/>
      <c r="LNU1" s="1897"/>
      <c r="LOC1" s="1897"/>
      <c r="LOK1" s="1897"/>
      <c r="LOS1" s="1897"/>
      <c r="LPA1" s="1897"/>
      <c r="LPI1" s="1897"/>
      <c r="LPQ1" s="1897"/>
      <c r="LPY1" s="1897"/>
      <c r="LQG1" s="1897"/>
      <c r="LQO1" s="1897"/>
      <c r="LQW1" s="1897"/>
      <c r="LRE1" s="1897"/>
      <c r="LRM1" s="1897"/>
      <c r="LRU1" s="1897"/>
      <c r="LSC1" s="1897"/>
      <c r="LSK1" s="1897"/>
      <c r="LSS1" s="1897"/>
      <c r="LTA1" s="1897"/>
      <c r="LTI1" s="1897"/>
      <c r="LTQ1" s="1897"/>
      <c r="LTY1" s="1897"/>
      <c r="LUG1" s="1897"/>
      <c r="LUO1" s="1897"/>
      <c r="LUW1" s="1897"/>
      <c r="LVE1" s="1897"/>
      <c r="LVM1" s="1897"/>
      <c r="LVU1" s="1897"/>
      <c r="LWC1" s="1897"/>
      <c r="LWK1" s="1897"/>
      <c r="LWS1" s="1897"/>
      <c r="LXA1" s="1897"/>
      <c r="LXI1" s="1897"/>
      <c r="LXQ1" s="1897"/>
      <c r="LXY1" s="1897"/>
      <c r="LYG1" s="1897"/>
      <c r="LYO1" s="1897"/>
      <c r="LYW1" s="1897"/>
      <c r="LZE1" s="1897"/>
      <c r="LZM1" s="1897"/>
      <c r="LZU1" s="1897"/>
      <c r="MAC1" s="1897"/>
      <c r="MAK1" s="1897"/>
      <c r="MAS1" s="1897"/>
      <c r="MBA1" s="1897"/>
      <c r="MBI1" s="1897"/>
      <c r="MBQ1" s="1897"/>
      <c r="MBY1" s="1897"/>
      <c r="MCG1" s="1897"/>
      <c r="MCO1" s="1897"/>
      <c r="MCW1" s="1897"/>
      <c r="MDE1" s="1897"/>
      <c r="MDM1" s="1897"/>
      <c r="MDU1" s="1897"/>
      <c r="MEC1" s="1897"/>
      <c r="MEK1" s="1897"/>
      <c r="MES1" s="1897"/>
      <c r="MFA1" s="1897"/>
      <c r="MFI1" s="1897"/>
      <c r="MFQ1" s="1897"/>
      <c r="MFY1" s="1897"/>
      <c r="MGG1" s="1897"/>
      <c r="MGO1" s="1897"/>
      <c r="MGW1" s="1897"/>
      <c r="MHE1" s="1897"/>
      <c r="MHM1" s="1897"/>
      <c r="MHU1" s="1897"/>
      <c r="MIC1" s="1897"/>
      <c r="MIK1" s="1897"/>
      <c r="MIS1" s="1897"/>
      <c r="MJA1" s="1897"/>
      <c r="MJI1" s="1897"/>
      <c r="MJQ1" s="1897"/>
      <c r="MJY1" s="1897"/>
      <c r="MKG1" s="1897"/>
      <c r="MKO1" s="1897"/>
      <c r="MKW1" s="1897"/>
      <c r="MLE1" s="1897"/>
      <c r="MLM1" s="1897"/>
      <c r="MLU1" s="1897"/>
      <c r="MMC1" s="1897"/>
      <c r="MMK1" s="1897"/>
      <c r="MMS1" s="1897"/>
      <c r="MNA1" s="1897"/>
      <c r="MNI1" s="1897"/>
      <c r="MNQ1" s="1897"/>
      <c r="MNY1" s="1897"/>
      <c r="MOG1" s="1897"/>
      <c r="MOO1" s="1897"/>
      <c r="MOW1" s="1897"/>
      <c r="MPE1" s="1897"/>
      <c r="MPM1" s="1897"/>
      <c r="MPU1" s="1897"/>
      <c r="MQC1" s="1897"/>
      <c r="MQK1" s="1897"/>
      <c r="MQS1" s="1897"/>
      <c r="MRA1" s="1897"/>
      <c r="MRI1" s="1897"/>
      <c r="MRQ1" s="1897"/>
      <c r="MRY1" s="1897"/>
      <c r="MSG1" s="1897"/>
      <c r="MSO1" s="1897"/>
      <c r="MSW1" s="1897"/>
      <c r="MTE1" s="1897"/>
      <c r="MTM1" s="1897"/>
      <c r="MTU1" s="1897"/>
      <c r="MUC1" s="1897"/>
      <c r="MUK1" s="1897"/>
      <c r="MUS1" s="1897"/>
      <c r="MVA1" s="1897"/>
      <c r="MVI1" s="1897"/>
      <c r="MVQ1" s="1897"/>
      <c r="MVY1" s="1897"/>
      <c r="MWG1" s="1897"/>
      <c r="MWO1" s="1897"/>
      <c r="MWW1" s="1897"/>
      <c r="MXE1" s="1897"/>
      <c r="MXM1" s="1897"/>
      <c r="MXU1" s="1897"/>
      <c r="MYC1" s="1897"/>
      <c r="MYK1" s="1897"/>
      <c r="MYS1" s="1897"/>
      <c r="MZA1" s="1897"/>
      <c r="MZI1" s="1897"/>
      <c r="MZQ1" s="1897"/>
      <c r="MZY1" s="1897"/>
      <c r="NAG1" s="1897"/>
      <c r="NAO1" s="1897"/>
      <c r="NAW1" s="1897"/>
      <c r="NBE1" s="1897"/>
      <c r="NBM1" s="1897"/>
      <c r="NBU1" s="1897"/>
      <c r="NCC1" s="1897"/>
      <c r="NCK1" s="1897"/>
      <c r="NCS1" s="1897"/>
      <c r="NDA1" s="1897"/>
      <c r="NDI1" s="1897"/>
      <c r="NDQ1" s="1897"/>
      <c r="NDY1" s="1897"/>
      <c r="NEG1" s="1897"/>
      <c r="NEO1" s="1897"/>
      <c r="NEW1" s="1897"/>
      <c r="NFE1" s="1897"/>
      <c r="NFM1" s="1897"/>
      <c r="NFU1" s="1897"/>
      <c r="NGC1" s="1897"/>
      <c r="NGK1" s="1897"/>
      <c r="NGS1" s="1897"/>
      <c r="NHA1" s="1897"/>
      <c r="NHI1" s="1897"/>
      <c r="NHQ1" s="1897"/>
      <c r="NHY1" s="1897"/>
      <c r="NIG1" s="1897"/>
      <c r="NIO1" s="1897"/>
      <c r="NIW1" s="1897"/>
      <c r="NJE1" s="1897"/>
      <c r="NJM1" s="1897"/>
      <c r="NJU1" s="1897"/>
      <c r="NKC1" s="1897"/>
      <c r="NKK1" s="1897"/>
      <c r="NKS1" s="1897"/>
      <c r="NLA1" s="1897"/>
      <c r="NLI1" s="1897"/>
      <c r="NLQ1" s="1897"/>
      <c r="NLY1" s="1897"/>
      <c r="NMG1" s="1897"/>
      <c r="NMO1" s="1897"/>
      <c r="NMW1" s="1897"/>
      <c r="NNE1" s="1897"/>
      <c r="NNM1" s="1897"/>
      <c r="NNU1" s="1897"/>
      <c r="NOC1" s="1897"/>
      <c r="NOK1" s="1897"/>
      <c r="NOS1" s="1897"/>
      <c r="NPA1" s="1897"/>
      <c r="NPI1" s="1897"/>
      <c r="NPQ1" s="1897"/>
      <c r="NPY1" s="1897"/>
      <c r="NQG1" s="1897"/>
      <c r="NQO1" s="1897"/>
      <c r="NQW1" s="1897"/>
      <c r="NRE1" s="1897"/>
      <c r="NRM1" s="1897"/>
      <c r="NRU1" s="1897"/>
      <c r="NSC1" s="1897"/>
      <c r="NSK1" s="1897"/>
      <c r="NSS1" s="1897"/>
      <c r="NTA1" s="1897"/>
      <c r="NTI1" s="1897"/>
      <c r="NTQ1" s="1897"/>
      <c r="NTY1" s="1897"/>
      <c r="NUG1" s="1897"/>
      <c r="NUO1" s="1897"/>
      <c r="NUW1" s="1897"/>
      <c r="NVE1" s="1897"/>
      <c r="NVM1" s="1897"/>
      <c r="NVU1" s="1897"/>
      <c r="NWC1" s="1897"/>
      <c r="NWK1" s="1897"/>
      <c r="NWS1" s="1897"/>
      <c r="NXA1" s="1897"/>
      <c r="NXI1" s="1897"/>
      <c r="NXQ1" s="1897"/>
      <c r="NXY1" s="1897"/>
      <c r="NYG1" s="1897"/>
      <c r="NYO1" s="1897"/>
      <c r="NYW1" s="1897"/>
      <c r="NZE1" s="1897"/>
      <c r="NZM1" s="1897"/>
      <c r="NZU1" s="1897"/>
      <c r="OAC1" s="1897"/>
      <c r="OAK1" s="1897"/>
      <c r="OAS1" s="1897"/>
      <c r="OBA1" s="1897"/>
      <c r="OBI1" s="1897"/>
      <c r="OBQ1" s="1897"/>
      <c r="OBY1" s="1897"/>
      <c r="OCG1" s="1897"/>
      <c r="OCO1" s="1897"/>
      <c r="OCW1" s="1897"/>
      <c r="ODE1" s="1897"/>
      <c r="ODM1" s="1897"/>
      <c r="ODU1" s="1897"/>
      <c r="OEC1" s="1897"/>
      <c r="OEK1" s="1897"/>
      <c r="OES1" s="1897"/>
      <c r="OFA1" s="1897"/>
      <c r="OFI1" s="1897"/>
      <c r="OFQ1" s="1897"/>
      <c r="OFY1" s="1897"/>
      <c r="OGG1" s="1897"/>
      <c r="OGO1" s="1897"/>
      <c r="OGW1" s="1897"/>
      <c r="OHE1" s="1897"/>
      <c r="OHM1" s="1897"/>
      <c r="OHU1" s="1897"/>
      <c r="OIC1" s="1897"/>
      <c r="OIK1" s="1897"/>
      <c r="OIS1" s="1897"/>
      <c r="OJA1" s="1897"/>
      <c r="OJI1" s="1897"/>
      <c r="OJQ1" s="1897"/>
      <c r="OJY1" s="1897"/>
      <c r="OKG1" s="1897"/>
      <c r="OKO1" s="1897"/>
      <c r="OKW1" s="1897"/>
      <c r="OLE1" s="1897"/>
      <c r="OLM1" s="1897"/>
      <c r="OLU1" s="1897"/>
      <c r="OMC1" s="1897"/>
      <c r="OMK1" s="1897"/>
      <c r="OMS1" s="1897"/>
      <c r="ONA1" s="1897"/>
      <c r="ONI1" s="1897"/>
      <c r="ONQ1" s="1897"/>
      <c r="ONY1" s="1897"/>
      <c r="OOG1" s="1897"/>
      <c r="OOO1" s="1897"/>
      <c r="OOW1" s="1897"/>
      <c r="OPE1" s="1897"/>
      <c r="OPM1" s="1897"/>
      <c r="OPU1" s="1897"/>
      <c r="OQC1" s="1897"/>
      <c r="OQK1" s="1897"/>
      <c r="OQS1" s="1897"/>
      <c r="ORA1" s="1897"/>
      <c r="ORI1" s="1897"/>
      <c r="ORQ1" s="1897"/>
      <c r="ORY1" s="1897"/>
      <c r="OSG1" s="1897"/>
      <c r="OSO1" s="1897"/>
      <c r="OSW1" s="1897"/>
      <c r="OTE1" s="1897"/>
      <c r="OTM1" s="1897"/>
      <c r="OTU1" s="1897"/>
      <c r="OUC1" s="1897"/>
      <c r="OUK1" s="1897"/>
      <c r="OUS1" s="1897"/>
      <c r="OVA1" s="1897"/>
      <c r="OVI1" s="1897"/>
      <c r="OVQ1" s="1897"/>
      <c r="OVY1" s="1897"/>
      <c r="OWG1" s="1897"/>
      <c r="OWO1" s="1897"/>
      <c r="OWW1" s="1897"/>
      <c r="OXE1" s="1897"/>
      <c r="OXM1" s="1897"/>
      <c r="OXU1" s="1897"/>
      <c r="OYC1" s="1897"/>
      <c r="OYK1" s="1897"/>
      <c r="OYS1" s="1897"/>
      <c r="OZA1" s="1897"/>
      <c r="OZI1" s="1897"/>
      <c r="OZQ1" s="1897"/>
      <c r="OZY1" s="1897"/>
      <c r="PAG1" s="1897"/>
      <c r="PAO1" s="1897"/>
      <c r="PAW1" s="1897"/>
      <c r="PBE1" s="1897"/>
      <c r="PBM1" s="1897"/>
      <c r="PBU1" s="1897"/>
      <c r="PCC1" s="1897"/>
      <c r="PCK1" s="1897"/>
      <c r="PCS1" s="1897"/>
      <c r="PDA1" s="1897"/>
      <c r="PDI1" s="1897"/>
      <c r="PDQ1" s="1897"/>
      <c r="PDY1" s="1897"/>
      <c r="PEG1" s="1897"/>
      <c r="PEO1" s="1897"/>
      <c r="PEW1" s="1897"/>
      <c r="PFE1" s="1897"/>
      <c r="PFM1" s="1897"/>
      <c r="PFU1" s="1897"/>
      <c r="PGC1" s="1897"/>
      <c r="PGK1" s="1897"/>
      <c r="PGS1" s="1897"/>
      <c r="PHA1" s="1897"/>
      <c r="PHI1" s="1897"/>
      <c r="PHQ1" s="1897"/>
      <c r="PHY1" s="1897"/>
      <c r="PIG1" s="1897"/>
      <c r="PIO1" s="1897"/>
      <c r="PIW1" s="1897"/>
      <c r="PJE1" s="1897"/>
      <c r="PJM1" s="1897"/>
      <c r="PJU1" s="1897"/>
      <c r="PKC1" s="1897"/>
      <c r="PKK1" s="1897"/>
      <c r="PKS1" s="1897"/>
      <c r="PLA1" s="1897"/>
      <c r="PLI1" s="1897"/>
      <c r="PLQ1" s="1897"/>
      <c r="PLY1" s="1897"/>
      <c r="PMG1" s="1897"/>
      <c r="PMO1" s="1897"/>
      <c r="PMW1" s="1897"/>
      <c r="PNE1" s="1897"/>
      <c r="PNM1" s="1897"/>
      <c r="PNU1" s="1897"/>
      <c r="POC1" s="1897"/>
      <c r="POK1" s="1897"/>
      <c r="POS1" s="1897"/>
      <c r="PPA1" s="1897"/>
      <c r="PPI1" s="1897"/>
      <c r="PPQ1" s="1897"/>
      <c r="PPY1" s="1897"/>
      <c r="PQG1" s="1897"/>
      <c r="PQO1" s="1897"/>
      <c r="PQW1" s="1897"/>
      <c r="PRE1" s="1897"/>
      <c r="PRM1" s="1897"/>
      <c r="PRU1" s="1897"/>
      <c r="PSC1" s="1897"/>
      <c r="PSK1" s="1897"/>
      <c r="PSS1" s="1897"/>
      <c r="PTA1" s="1897"/>
      <c r="PTI1" s="1897"/>
      <c r="PTQ1" s="1897"/>
      <c r="PTY1" s="1897"/>
      <c r="PUG1" s="1897"/>
      <c r="PUO1" s="1897"/>
      <c r="PUW1" s="1897"/>
      <c r="PVE1" s="1897"/>
      <c r="PVM1" s="1897"/>
      <c r="PVU1" s="1897"/>
      <c r="PWC1" s="1897"/>
      <c r="PWK1" s="1897"/>
      <c r="PWS1" s="1897"/>
      <c r="PXA1" s="1897"/>
      <c r="PXI1" s="1897"/>
      <c r="PXQ1" s="1897"/>
      <c r="PXY1" s="1897"/>
      <c r="PYG1" s="1897"/>
      <c r="PYO1" s="1897"/>
      <c r="PYW1" s="1897"/>
      <c r="PZE1" s="1897"/>
      <c r="PZM1" s="1897"/>
      <c r="PZU1" s="1897"/>
      <c r="QAC1" s="1897"/>
      <c r="QAK1" s="1897"/>
      <c r="QAS1" s="1897"/>
      <c r="QBA1" s="1897"/>
      <c r="QBI1" s="1897"/>
      <c r="QBQ1" s="1897"/>
      <c r="QBY1" s="1897"/>
      <c r="QCG1" s="1897"/>
      <c r="QCO1" s="1897"/>
      <c r="QCW1" s="1897"/>
      <c r="QDE1" s="1897"/>
      <c r="QDM1" s="1897"/>
      <c r="QDU1" s="1897"/>
      <c r="QEC1" s="1897"/>
      <c r="QEK1" s="1897"/>
      <c r="QES1" s="1897"/>
      <c r="QFA1" s="1897"/>
      <c r="QFI1" s="1897"/>
      <c r="QFQ1" s="1897"/>
      <c r="QFY1" s="1897"/>
      <c r="QGG1" s="1897"/>
      <c r="QGO1" s="1897"/>
      <c r="QGW1" s="1897"/>
      <c r="QHE1" s="1897"/>
      <c r="QHM1" s="1897"/>
      <c r="QHU1" s="1897"/>
      <c r="QIC1" s="1897"/>
      <c r="QIK1" s="1897"/>
      <c r="QIS1" s="1897"/>
      <c r="QJA1" s="1897"/>
      <c r="QJI1" s="1897"/>
      <c r="QJQ1" s="1897"/>
      <c r="QJY1" s="1897"/>
      <c r="QKG1" s="1897"/>
      <c r="QKO1" s="1897"/>
      <c r="QKW1" s="1897"/>
      <c r="QLE1" s="1897"/>
      <c r="QLM1" s="1897"/>
      <c r="QLU1" s="1897"/>
      <c r="QMC1" s="1897"/>
      <c r="QMK1" s="1897"/>
      <c r="QMS1" s="1897"/>
      <c r="QNA1" s="1897"/>
      <c r="QNI1" s="1897"/>
      <c r="QNQ1" s="1897"/>
      <c r="QNY1" s="1897"/>
      <c r="QOG1" s="1897"/>
      <c r="QOO1" s="1897"/>
      <c r="QOW1" s="1897"/>
      <c r="QPE1" s="1897"/>
      <c r="QPM1" s="1897"/>
      <c r="QPU1" s="1897"/>
      <c r="QQC1" s="1897"/>
      <c r="QQK1" s="1897"/>
      <c r="QQS1" s="1897"/>
      <c r="QRA1" s="1897"/>
      <c r="QRI1" s="1897"/>
      <c r="QRQ1" s="1897"/>
      <c r="QRY1" s="1897"/>
      <c r="QSG1" s="1897"/>
      <c r="QSO1" s="1897"/>
      <c r="QSW1" s="1897"/>
      <c r="QTE1" s="1897"/>
      <c r="QTM1" s="1897"/>
      <c r="QTU1" s="1897"/>
      <c r="QUC1" s="1897"/>
      <c r="QUK1" s="1897"/>
      <c r="QUS1" s="1897"/>
      <c r="QVA1" s="1897"/>
      <c r="QVI1" s="1897"/>
      <c r="QVQ1" s="1897"/>
      <c r="QVY1" s="1897"/>
      <c r="QWG1" s="1897"/>
      <c r="QWO1" s="1897"/>
      <c r="QWW1" s="1897"/>
      <c r="QXE1" s="1897"/>
      <c r="QXM1" s="1897"/>
      <c r="QXU1" s="1897"/>
      <c r="QYC1" s="1897"/>
      <c r="QYK1" s="1897"/>
      <c r="QYS1" s="1897"/>
      <c r="QZA1" s="1897"/>
      <c r="QZI1" s="1897"/>
      <c r="QZQ1" s="1897"/>
      <c r="QZY1" s="1897"/>
      <c r="RAG1" s="1897"/>
      <c r="RAO1" s="1897"/>
      <c r="RAW1" s="1897"/>
      <c r="RBE1" s="1897"/>
      <c r="RBM1" s="1897"/>
      <c r="RBU1" s="1897"/>
      <c r="RCC1" s="1897"/>
      <c r="RCK1" s="1897"/>
      <c r="RCS1" s="1897"/>
      <c r="RDA1" s="1897"/>
      <c r="RDI1" s="1897"/>
      <c r="RDQ1" s="1897"/>
      <c r="RDY1" s="1897"/>
      <c r="REG1" s="1897"/>
      <c r="REO1" s="1897"/>
      <c r="REW1" s="1897"/>
      <c r="RFE1" s="1897"/>
      <c r="RFM1" s="1897"/>
      <c r="RFU1" s="1897"/>
      <c r="RGC1" s="1897"/>
      <c r="RGK1" s="1897"/>
      <c r="RGS1" s="1897"/>
      <c r="RHA1" s="1897"/>
      <c r="RHI1" s="1897"/>
      <c r="RHQ1" s="1897"/>
      <c r="RHY1" s="1897"/>
      <c r="RIG1" s="1897"/>
      <c r="RIO1" s="1897"/>
      <c r="RIW1" s="1897"/>
      <c r="RJE1" s="1897"/>
      <c r="RJM1" s="1897"/>
      <c r="RJU1" s="1897"/>
      <c r="RKC1" s="1897"/>
      <c r="RKK1" s="1897"/>
      <c r="RKS1" s="1897"/>
      <c r="RLA1" s="1897"/>
      <c r="RLI1" s="1897"/>
      <c r="RLQ1" s="1897"/>
      <c r="RLY1" s="1897"/>
      <c r="RMG1" s="1897"/>
      <c r="RMO1" s="1897"/>
      <c r="RMW1" s="1897"/>
      <c r="RNE1" s="1897"/>
      <c r="RNM1" s="1897"/>
      <c r="RNU1" s="1897"/>
      <c r="ROC1" s="1897"/>
      <c r="ROK1" s="1897"/>
      <c r="ROS1" s="1897"/>
      <c r="RPA1" s="1897"/>
      <c r="RPI1" s="1897"/>
      <c r="RPQ1" s="1897"/>
      <c r="RPY1" s="1897"/>
      <c r="RQG1" s="1897"/>
      <c r="RQO1" s="1897"/>
      <c r="RQW1" s="1897"/>
      <c r="RRE1" s="1897"/>
      <c r="RRM1" s="1897"/>
      <c r="RRU1" s="1897"/>
      <c r="RSC1" s="1897"/>
      <c r="RSK1" s="1897"/>
      <c r="RSS1" s="1897"/>
      <c r="RTA1" s="1897"/>
      <c r="RTI1" s="1897"/>
      <c r="RTQ1" s="1897"/>
      <c r="RTY1" s="1897"/>
      <c r="RUG1" s="1897"/>
      <c r="RUO1" s="1897"/>
      <c r="RUW1" s="1897"/>
      <c r="RVE1" s="1897"/>
      <c r="RVM1" s="1897"/>
      <c r="RVU1" s="1897"/>
      <c r="RWC1" s="1897"/>
      <c r="RWK1" s="1897"/>
      <c r="RWS1" s="1897"/>
      <c r="RXA1" s="1897"/>
      <c r="RXI1" s="1897"/>
      <c r="RXQ1" s="1897"/>
      <c r="RXY1" s="1897"/>
      <c r="RYG1" s="1897"/>
      <c r="RYO1" s="1897"/>
      <c r="RYW1" s="1897"/>
      <c r="RZE1" s="1897"/>
      <c r="RZM1" s="1897"/>
      <c r="RZU1" s="1897"/>
      <c r="SAC1" s="1897"/>
      <c r="SAK1" s="1897"/>
      <c r="SAS1" s="1897"/>
      <c r="SBA1" s="1897"/>
      <c r="SBI1" s="1897"/>
      <c r="SBQ1" s="1897"/>
      <c r="SBY1" s="1897"/>
      <c r="SCG1" s="1897"/>
      <c r="SCO1" s="1897"/>
      <c r="SCW1" s="1897"/>
      <c r="SDE1" s="1897"/>
      <c r="SDM1" s="1897"/>
      <c r="SDU1" s="1897"/>
      <c r="SEC1" s="1897"/>
      <c r="SEK1" s="1897"/>
      <c r="SES1" s="1897"/>
      <c r="SFA1" s="1897"/>
      <c r="SFI1" s="1897"/>
      <c r="SFQ1" s="1897"/>
      <c r="SFY1" s="1897"/>
      <c r="SGG1" s="1897"/>
      <c r="SGO1" s="1897"/>
      <c r="SGW1" s="1897"/>
      <c r="SHE1" s="1897"/>
      <c r="SHM1" s="1897"/>
      <c r="SHU1" s="1897"/>
      <c r="SIC1" s="1897"/>
      <c r="SIK1" s="1897"/>
      <c r="SIS1" s="1897"/>
      <c r="SJA1" s="1897"/>
      <c r="SJI1" s="1897"/>
      <c r="SJQ1" s="1897"/>
      <c r="SJY1" s="1897"/>
      <c r="SKG1" s="1897"/>
      <c r="SKO1" s="1897"/>
      <c r="SKW1" s="1897"/>
      <c r="SLE1" s="1897"/>
      <c r="SLM1" s="1897"/>
      <c r="SLU1" s="1897"/>
      <c r="SMC1" s="1897"/>
      <c r="SMK1" s="1897"/>
      <c r="SMS1" s="1897"/>
      <c r="SNA1" s="1897"/>
      <c r="SNI1" s="1897"/>
      <c r="SNQ1" s="1897"/>
      <c r="SNY1" s="1897"/>
      <c r="SOG1" s="1897"/>
      <c r="SOO1" s="1897"/>
      <c r="SOW1" s="1897"/>
      <c r="SPE1" s="1897"/>
      <c r="SPM1" s="1897"/>
      <c r="SPU1" s="1897"/>
      <c r="SQC1" s="1897"/>
      <c r="SQK1" s="1897"/>
      <c r="SQS1" s="1897"/>
      <c r="SRA1" s="1897"/>
      <c r="SRI1" s="1897"/>
      <c r="SRQ1" s="1897"/>
      <c r="SRY1" s="1897"/>
      <c r="SSG1" s="1897"/>
      <c r="SSO1" s="1897"/>
      <c r="SSW1" s="1897"/>
      <c r="STE1" s="1897"/>
      <c r="STM1" s="1897"/>
      <c r="STU1" s="1897"/>
      <c r="SUC1" s="1897"/>
      <c r="SUK1" s="1897"/>
      <c r="SUS1" s="1897"/>
      <c r="SVA1" s="1897"/>
      <c r="SVI1" s="1897"/>
      <c r="SVQ1" s="1897"/>
      <c r="SVY1" s="1897"/>
      <c r="SWG1" s="1897"/>
      <c r="SWO1" s="1897"/>
      <c r="SWW1" s="1897"/>
      <c r="SXE1" s="1897"/>
      <c r="SXM1" s="1897"/>
      <c r="SXU1" s="1897"/>
      <c r="SYC1" s="1897"/>
      <c r="SYK1" s="1897"/>
      <c r="SYS1" s="1897"/>
      <c r="SZA1" s="1897"/>
      <c r="SZI1" s="1897"/>
      <c r="SZQ1" s="1897"/>
      <c r="SZY1" s="1897"/>
      <c r="TAG1" s="1897"/>
      <c r="TAO1" s="1897"/>
      <c r="TAW1" s="1897"/>
      <c r="TBE1" s="1897"/>
      <c r="TBM1" s="1897"/>
      <c r="TBU1" s="1897"/>
      <c r="TCC1" s="1897"/>
      <c r="TCK1" s="1897"/>
      <c r="TCS1" s="1897"/>
      <c r="TDA1" s="1897"/>
      <c r="TDI1" s="1897"/>
      <c r="TDQ1" s="1897"/>
      <c r="TDY1" s="1897"/>
      <c r="TEG1" s="1897"/>
      <c r="TEO1" s="1897"/>
      <c r="TEW1" s="1897"/>
      <c r="TFE1" s="1897"/>
      <c r="TFM1" s="1897"/>
      <c r="TFU1" s="1897"/>
      <c r="TGC1" s="1897"/>
      <c r="TGK1" s="1897"/>
      <c r="TGS1" s="1897"/>
      <c r="THA1" s="1897"/>
      <c r="THI1" s="1897"/>
      <c r="THQ1" s="1897"/>
      <c r="THY1" s="1897"/>
      <c r="TIG1" s="1897"/>
      <c r="TIO1" s="1897"/>
      <c r="TIW1" s="1897"/>
      <c r="TJE1" s="1897"/>
      <c r="TJM1" s="1897"/>
      <c r="TJU1" s="1897"/>
      <c r="TKC1" s="1897"/>
      <c r="TKK1" s="1897"/>
      <c r="TKS1" s="1897"/>
      <c r="TLA1" s="1897"/>
      <c r="TLI1" s="1897"/>
      <c r="TLQ1" s="1897"/>
      <c r="TLY1" s="1897"/>
      <c r="TMG1" s="1897"/>
      <c r="TMO1" s="1897"/>
      <c r="TMW1" s="1897"/>
      <c r="TNE1" s="1897"/>
      <c r="TNM1" s="1897"/>
      <c r="TNU1" s="1897"/>
      <c r="TOC1" s="1897"/>
      <c r="TOK1" s="1897"/>
      <c r="TOS1" s="1897"/>
      <c r="TPA1" s="1897"/>
      <c r="TPI1" s="1897"/>
      <c r="TPQ1" s="1897"/>
      <c r="TPY1" s="1897"/>
      <c r="TQG1" s="1897"/>
      <c r="TQO1" s="1897"/>
      <c r="TQW1" s="1897"/>
      <c r="TRE1" s="1897"/>
      <c r="TRM1" s="1897"/>
      <c r="TRU1" s="1897"/>
      <c r="TSC1" s="1897"/>
      <c r="TSK1" s="1897"/>
      <c r="TSS1" s="1897"/>
      <c r="TTA1" s="1897"/>
      <c r="TTI1" s="1897"/>
      <c r="TTQ1" s="1897"/>
      <c r="TTY1" s="1897"/>
      <c r="TUG1" s="1897"/>
      <c r="TUO1" s="1897"/>
      <c r="TUW1" s="1897"/>
      <c r="TVE1" s="1897"/>
      <c r="TVM1" s="1897"/>
      <c r="TVU1" s="1897"/>
      <c r="TWC1" s="1897"/>
      <c r="TWK1" s="1897"/>
      <c r="TWS1" s="1897"/>
      <c r="TXA1" s="1897"/>
      <c r="TXI1" s="1897"/>
      <c r="TXQ1" s="1897"/>
      <c r="TXY1" s="1897"/>
      <c r="TYG1" s="1897"/>
      <c r="TYO1" s="1897"/>
      <c r="TYW1" s="1897"/>
      <c r="TZE1" s="1897"/>
      <c r="TZM1" s="1897"/>
      <c r="TZU1" s="1897"/>
      <c r="UAC1" s="1897"/>
      <c r="UAK1" s="1897"/>
      <c r="UAS1" s="1897"/>
      <c r="UBA1" s="1897"/>
      <c r="UBI1" s="1897"/>
      <c r="UBQ1" s="1897"/>
      <c r="UBY1" s="1897"/>
      <c r="UCG1" s="1897"/>
      <c r="UCO1" s="1897"/>
      <c r="UCW1" s="1897"/>
      <c r="UDE1" s="1897"/>
      <c r="UDM1" s="1897"/>
      <c r="UDU1" s="1897"/>
      <c r="UEC1" s="1897"/>
      <c r="UEK1" s="1897"/>
      <c r="UES1" s="1897"/>
      <c r="UFA1" s="1897"/>
      <c r="UFI1" s="1897"/>
      <c r="UFQ1" s="1897"/>
      <c r="UFY1" s="1897"/>
      <c r="UGG1" s="1897"/>
      <c r="UGO1" s="1897"/>
      <c r="UGW1" s="1897"/>
      <c r="UHE1" s="1897"/>
      <c r="UHM1" s="1897"/>
      <c r="UHU1" s="1897"/>
      <c r="UIC1" s="1897"/>
      <c r="UIK1" s="1897"/>
      <c r="UIS1" s="1897"/>
      <c r="UJA1" s="1897"/>
      <c r="UJI1" s="1897"/>
      <c r="UJQ1" s="1897"/>
      <c r="UJY1" s="1897"/>
      <c r="UKG1" s="1897"/>
      <c r="UKO1" s="1897"/>
      <c r="UKW1" s="1897"/>
      <c r="ULE1" s="1897"/>
      <c r="ULM1" s="1897"/>
      <c r="ULU1" s="1897"/>
      <c r="UMC1" s="1897"/>
      <c r="UMK1" s="1897"/>
      <c r="UMS1" s="1897"/>
      <c r="UNA1" s="1897"/>
      <c r="UNI1" s="1897"/>
      <c r="UNQ1" s="1897"/>
      <c r="UNY1" s="1897"/>
      <c r="UOG1" s="1897"/>
      <c r="UOO1" s="1897"/>
      <c r="UOW1" s="1897"/>
      <c r="UPE1" s="1897"/>
      <c r="UPM1" s="1897"/>
      <c r="UPU1" s="1897"/>
      <c r="UQC1" s="1897"/>
      <c r="UQK1" s="1897"/>
      <c r="UQS1" s="1897"/>
      <c r="URA1" s="1897"/>
      <c r="URI1" s="1897"/>
      <c r="URQ1" s="1897"/>
      <c r="URY1" s="1897"/>
      <c r="USG1" s="1897"/>
      <c r="USO1" s="1897"/>
      <c r="USW1" s="1897"/>
      <c r="UTE1" s="1897"/>
      <c r="UTM1" s="1897"/>
      <c r="UTU1" s="1897"/>
      <c r="UUC1" s="1897"/>
      <c r="UUK1" s="1897"/>
      <c r="UUS1" s="1897"/>
      <c r="UVA1" s="1897"/>
      <c r="UVI1" s="1897"/>
      <c r="UVQ1" s="1897"/>
      <c r="UVY1" s="1897"/>
      <c r="UWG1" s="1897"/>
      <c r="UWO1" s="1897"/>
      <c r="UWW1" s="1897"/>
      <c r="UXE1" s="1897"/>
      <c r="UXM1" s="1897"/>
      <c r="UXU1" s="1897"/>
      <c r="UYC1" s="1897"/>
      <c r="UYK1" s="1897"/>
      <c r="UYS1" s="1897"/>
      <c r="UZA1" s="1897"/>
      <c r="UZI1" s="1897"/>
      <c r="UZQ1" s="1897"/>
      <c r="UZY1" s="1897"/>
      <c r="VAG1" s="1897"/>
      <c r="VAO1" s="1897"/>
      <c r="VAW1" s="1897"/>
      <c r="VBE1" s="1897"/>
      <c r="VBM1" s="1897"/>
      <c r="VBU1" s="1897"/>
      <c r="VCC1" s="1897"/>
      <c r="VCK1" s="1897"/>
      <c r="VCS1" s="1897"/>
      <c r="VDA1" s="1897"/>
      <c r="VDI1" s="1897"/>
      <c r="VDQ1" s="1897"/>
      <c r="VDY1" s="1897"/>
      <c r="VEG1" s="1897"/>
      <c r="VEO1" s="1897"/>
      <c r="VEW1" s="1897"/>
      <c r="VFE1" s="1897"/>
      <c r="VFM1" s="1897"/>
      <c r="VFU1" s="1897"/>
      <c r="VGC1" s="1897"/>
      <c r="VGK1" s="1897"/>
      <c r="VGS1" s="1897"/>
      <c r="VHA1" s="1897"/>
      <c r="VHI1" s="1897"/>
      <c r="VHQ1" s="1897"/>
      <c r="VHY1" s="1897"/>
      <c r="VIG1" s="1897"/>
      <c r="VIO1" s="1897"/>
      <c r="VIW1" s="1897"/>
      <c r="VJE1" s="1897"/>
      <c r="VJM1" s="1897"/>
      <c r="VJU1" s="1897"/>
      <c r="VKC1" s="1897"/>
      <c r="VKK1" s="1897"/>
      <c r="VKS1" s="1897"/>
      <c r="VLA1" s="1897"/>
      <c r="VLI1" s="1897"/>
      <c r="VLQ1" s="1897"/>
      <c r="VLY1" s="1897"/>
      <c r="VMG1" s="1897"/>
      <c r="VMO1" s="1897"/>
      <c r="VMW1" s="1897"/>
      <c r="VNE1" s="1897"/>
      <c r="VNM1" s="1897"/>
      <c r="VNU1" s="1897"/>
      <c r="VOC1" s="1897"/>
      <c r="VOK1" s="1897"/>
      <c r="VOS1" s="1897"/>
      <c r="VPA1" s="1897"/>
      <c r="VPI1" s="1897"/>
      <c r="VPQ1" s="1897"/>
      <c r="VPY1" s="1897"/>
      <c r="VQG1" s="1897"/>
      <c r="VQO1" s="1897"/>
      <c r="VQW1" s="1897"/>
      <c r="VRE1" s="1897"/>
      <c r="VRM1" s="1897"/>
      <c r="VRU1" s="1897"/>
      <c r="VSC1" s="1897"/>
      <c r="VSK1" s="1897"/>
      <c r="VSS1" s="1897"/>
      <c r="VTA1" s="1897"/>
      <c r="VTI1" s="1897"/>
      <c r="VTQ1" s="1897"/>
      <c r="VTY1" s="1897"/>
      <c r="VUG1" s="1897"/>
      <c r="VUO1" s="1897"/>
      <c r="VUW1" s="1897"/>
      <c r="VVE1" s="1897"/>
      <c r="VVM1" s="1897"/>
      <c r="VVU1" s="1897"/>
      <c r="VWC1" s="1897"/>
      <c r="VWK1" s="1897"/>
      <c r="VWS1" s="1897"/>
      <c r="VXA1" s="1897"/>
      <c r="VXI1" s="1897"/>
      <c r="VXQ1" s="1897"/>
      <c r="VXY1" s="1897"/>
      <c r="VYG1" s="1897"/>
      <c r="VYO1" s="1897"/>
      <c r="VYW1" s="1897"/>
      <c r="VZE1" s="1897"/>
      <c r="VZM1" s="1897"/>
      <c r="VZU1" s="1897"/>
      <c r="WAC1" s="1897"/>
      <c r="WAK1" s="1897"/>
      <c r="WAS1" s="1897"/>
      <c r="WBA1" s="1897"/>
      <c r="WBI1" s="1897"/>
      <c r="WBQ1" s="1897"/>
      <c r="WBY1" s="1897"/>
      <c r="WCG1" s="1897"/>
      <c r="WCO1" s="1897"/>
      <c r="WCW1" s="1897"/>
      <c r="WDE1" s="1897"/>
      <c r="WDM1" s="1897"/>
      <c r="WDU1" s="1897"/>
      <c r="WEC1" s="1897"/>
      <c r="WEK1" s="1897"/>
      <c r="WES1" s="1897"/>
      <c r="WFA1" s="1897"/>
      <c r="WFI1" s="1897"/>
      <c r="WFQ1" s="1897"/>
      <c r="WFY1" s="1897"/>
      <c r="WGG1" s="1897"/>
      <c r="WGO1" s="1897"/>
      <c r="WGW1" s="1897"/>
      <c r="WHE1" s="1897"/>
      <c r="WHM1" s="1897"/>
      <c r="WHU1" s="1897"/>
      <c r="WIC1" s="1897"/>
      <c r="WIK1" s="1897"/>
      <c r="WIS1" s="1897"/>
      <c r="WJA1" s="1897"/>
      <c r="WJI1" s="1897"/>
      <c r="WJQ1" s="1897"/>
      <c r="WJY1" s="1897"/>
      <c r="WKG1" s="1897"/>
      <c r="WKO1" s="1897"/>
      <c r="WKW1" s="1897"/>
      <c r="WLE1" s="1897"/>
      <c r="WLM1" s="1897"/>
      <c r="WLU1" s="1897"/>
      <c r="WMC1" s="1897"/>
      <c r="WMK1" s="1897"/>
      <c r="WMS1" s="1897"/>
      <c r="WNA1" s="1897"/>
      <c r="WNI1" s="1897"/>
      <c r="WNQ1" s="1897"/>
      <c r="WNY1" s="1897"/>
      <c r="WOG1" s="1897"/>
      <c r="WOO1" s="1897"/>
      <c r="WOW1" s="1897"/>
      <c r="WPE1" s="1897"/>
      <c r="WPM1" s="1897"/>
      <c r="WPU1" s="1897"/>
      <c r="WQC1" s="1897"/>
      <c r="WQK1" s="1897"/>
      <c r="WQS1" s="1897"/>
      <c r="WRA1" s="1897"/>
      <c r="WRI1" s="1897"/>
      <c r="WRQ1" s="1897"/>
      <c r="WRY1" s="1897"/>
      <c r="WSG1" s="1897"/>
      <c r="WSO1" s="1897"/>
      <c r="WSW1" s="1897"/>
      <c r="WTE1" s="1897"/>
      <c r="WTM1" s="1897"/>
      <c r="WTU1" s="1897"/>
      <c r="WUC1" s="1897"/>
      <c r="WUK1" s="1897"/>
      <c r="WUS1" s="1897"/>
      <c r="WVA1" s="1897"/>
      <c r="WVI1" s="1897"/>
      <c r="WVQ1" s="1897"/>
      <c r="WVY1" s="1897"/>
      <c r="WWG1" s="1897"/>
      <c r="WWO1" s="1897"/>
      <c r="WWW1" s="1897"/>
      <c r="WXE1" s="1897"/>
      <c r="WXM1" s="1897"/>
      <c r="WXU1" s="1897"/>
      <c r="WYC1" s="1897"/>
      <c r="WYK1" s="1897"/>
      <c r="WYS1" s="1897"/>
      <c r="WZA1" s="1897"/>
      <c r="WZI1" s="1897"/>
      <c r="WZQ1" s="1897"/>
      <c r="WZY1" s="1897"/>
      <c r="XAG1" s="1897"/>
      <c r="XAO1" s="1897"/>
      <c r="XAW1" s="1897"/>
      <c r="XBE1" s="1897"/>
      <c r="XBM1" s="1897"/>
      <c r="XBU1" s="1897"/>
      <c r="XCC1" s="1897"/>
      <c r="XCK1" s="1897"/>
      <c r="XCS1" s="1897"/>
      <c r="XDA1" s="1897"/>
      <c r="XDI1" s="1897"/>
      <c r="XDQ1" s="1897"/>
      <c r="XDY1" s="1897"/>
      <c r="XEG1" s="1897"/>
      <c r="XEO1" s="1897"/>
      <c r="XEW1" s="1897"/>
    </row>
    <row r="2" spans="1:1017 1025:2041 2049:3065 3073:4089 4097:5113 5121:6137 6145:7161 7169:8185 8193:9209 9217:10233 10241:11257 11265:12281 12289:13305 13313:14329 14337:15353 15361:16377" s="1895" customFormat="1" ht="60" customHeight="1" thickBot="1">
      <c r="A2" s="1894" t="str">
        <f>'Customer Information'!A2:H2</f>
        <v>Multi-Family 
Rebate Application, Version 2.0</v>
      </c>
      <c r="B2" s="1892"/>
      <c r="C2" s="1892"/>
      <c r="D2" s="1892"/>
      <c r="E2" s="1892"/>
      <c r="I2" s="1898"/>
      <c r="Q2" s="1898"/>
      <c r="Y2" s="1898"/>
      <c r="AG2" s="1898"/>
      <c r="AO2" s="1898"/>
      <c r="AW2" s="1898"/>
      <c r="BE2" s="1898"/>
      <c r="BM2" s="1898"/>
      <c r="BU2" s="1898"/>
      <c r="CC2" s="1898"/>
      <c r="CK2" s="1898"/>
      <c r="CS2" s="1898"/>
      <c r="DA2" s="1898"/>
      <c r="DI2" s="1898"/>
      <c r="DQ2" s="1898"/>
      <c r="DY2" s="1898"/>
      <c r="EG2" s="1898"/>
      <c r="EO2" s="1898"/>
      <c r="EW2" s="1898"/>
      <c r="FE2" s="1898"/>
      <c r="FM2" s="1898"/>
      <c r="FU2" s="1898"/>
      <c r="GC2" s="1898"/>
      <c r="GK2" s="1898"/>
      <c r="GS2" s="1898"/>
      <c r="HA2" s="1898"/>
      <c r="HI2" s="1898"/>
      <c r="HQ2" s="1898"/>
      <c r="HY2" s="1898"/>
      <c r="IG2" s="1898"/>
      <c r="IO2" s="1898"/>
      <c r="IW2" s="1898"/>
      <c r="JE2" s="1898"/>
      <c r="JM2" s="1898"/>
      <c r="JU2" s="1898"/>
      <c r="KC2" s="1898"/>
      <c r="KK2" s="1898"/>
      <c r="KS2" s="1898"/>
      <c r="LA2" s="1898"/>
      <c r="LI2" s="1898"/>
      <c r="LQ2" s="1898"/>
      <c r="LY2" s="1898"/>
      <c r="MG2" s="1898"/>
      <c r="MO2" s="1898"/>
      <c r="MW2" s="1898"/>
      <c r="NE2" s="1898"/>
      <c r="NM2" s="1898"/>
      <c r="NU2" s="1898"/>
      <c r="OC2" s="1898"/>
      <c r="OK2" s="1898"/>
      <c r="OS2" s="1898"/>
      <c r="PA2" s="1898"/>
      <c r="PI2" s="1898"/>
      <c r="PQ2" s="1898"/>
      <c r="PY2" s="1898"/>
      <c r="QG2" s="1898"/>
      <c r="QO2" s="1898"/>
      <c r="QW2" s="1898"/>
      <c r="RE2" s="1898"/>
      <c r="RM2" s="1898"/>
      <c r="RU2" s="1898"/>
      <c r="SC2" s="1898"/>
      <c r="SK2" s="1898"/>
      <c r="SS2" s="1898"/>
      <c r="TA2" s="1898"/>
      <c r="TI2" s="1898"/>
      <c r="TQ2" s="1898"/>
      <c r="TY2" s="1898"/>
      <c r="UG2" s="1898"/>
      <c r="UO2" s="1898"/>
      <c r="UW2" s="1898"/>
      <c r="VE2" s="1898"/>
      <c r="VM2" s="1898"/>
      <c r="VU2" s="1898"/>
      <c r="WC2" s="1898"/>
      <c r="WK2" s="1898"/>
      <c r="WS2" s="1898"/>
      <c r="XA2" s="1898"/>
      <c r="XI2" s="1898"/>
      <c r="XQ2" s="1898"/>
      <c r="XY2" s="1898"/>
      <c r="YG2" s="1898"/>
      <c r="YO2" s="1898"/>
      <c r="YW2" s="1898"/>
      <c r="ZE2" s="1898"/>
      <c r="ZM2" s="1898"/>
      <c r="ZU2" s="1898"/>
      <c r="AAC2" s="1898"/>
      <c r="AAK2" s="1898"/>
      <c r="AAS2" s="1898"/>
      <c r="ABA2" s="1898"/>
      <c r="ABI2" s="1898"/>
      <c r="ABQ2" s="1898"/>
      <c r="ABY2" s="1898"/>
      <c r="ACG2" s="1898"/>
      <c r="ACO2" s="1898"/>
      <c r="ACW2" s="1898"/>
      <c r="ADE2" s="1898"/>
      <c r="ADM2" s="1898"/>
      <c r="ADU2" s="1898"/>
      <c r="AEC2" s="1898"/>
      <c r="AEK2" s="1898"/>
      <c r="AES2" s="1898"/>
      <c r="AFA2" s="1898"/>
      <c r="AFI2" s="1898"/>
      <c r="AFQ2" s="1898"/>
      <c r="AFY2" s="1898"/>
      <c r="AGG2" s="1898"/>
      <c r="AGO2" s="1898"/>
      <c r="AGW2" s="1898"/>
      <c r="AHE2" s="1898"/>
      <c r="AHM2" s="1898"/>
      <c r="AHU2" s="1898"/>
      <c r="AIC2" s="1898"/>
      <c r="AIK2" s="1898"/>
      <c r="AIS2" s="1898"/>
      <c r="AJA2" s="1898"/>
      <c r="AJI2" s="1898"/>
      <c r="AJQ2" s="1898"/>
      <c r="AJY2" s="1898"/>
      <c r="AKG2" s="1898"/>
      <c r="AKO2" s="1898"/>
      <c r="AKW2" s="1898"/>
      <c r="ALE2" s="1898"/>
      <c r="ALM2" s="1898"/>
      <c r="ALU2" s="1898"/>
      <c r="AMC2" s="1898"/>
      <c r="AMK2" s="1898"/>
      <c r="AMS2" s="1898"/>
      <c r="ANA2" s="1898"/>
      <c r="ANI2" s="1898"/>
      <c r="ANQ2" s="1898"/>
      <c r="ANY2" s="1898"/>
      <c r="AOG2" s="1898"/>
      <c r="AOO2" s="1898"/>
      <c r="AOW2" s="1898"/>
      <c r="APE2" s="1898"/>
      <c r="APM2" s="1898"/>
      <c r="APU2" s="1898"/>
      <c r="AQC2" s="1898"/>
      <c r="AQK2" s="1898"/>
      <c r="AQS2" s="1898"/>
      <c r="ARA2" s="1898"/>
      <c r="ARI2" s="1898"/>
      <c r="ARQ2" s="1898"/>
      <c r="ARY2" s="1898"/>
      <c r="ASG2" s="1898"/>
      <c r="ASO2" s="1898"/>
      <c r="ASW2" s="1898"/>
      <c r="ATE2" s="1898"/>
      <c r="ATM2" s="1898"/>
      <c r="ATU2" s="1898"/>
      <c r="AUC2" s="1898"/>
      <c r="AUK2" s="1898"/>
      <c r="AUS2" s="1898"/>
      <c r="AVA2" s="1898"/>
      <c r="AVI2" s="1898"/>
      <c r="AVQ2" s="1898"/>
      <c r="AVY2" s="1898"/>
      <c r="AWG2" s="1898"/>
      <c r="AWO2" s="1898"/>
      <c r="AWW2" s="1898"/>
      <c r="AXE2" s="1898"/>
      <c r="AXM2" s="1898"/>
      <c r="AXU2" s="1898"/>
      <c r="AYC2" s="1898"/>
      <c r="AYK2" s="1898"/>
      <c r="AYS2" s="1898"/>
      <c r="AZA2" s="1898"/>
      <c r="AZI2" s="1898"/>
      <c r="AZQ2" s="1898"/>
      <c r="AZY2" s="1898"/>
      <c r="BAG2" s="1898"/>
      <c r="BAO2" s="1898"/>
      <c r="BAW2" s="1898"/>
      <c r="BBE2" s="1898"/>
      <c r="BBM2" s="1898"/>
      <c r="BBU2" s="1898"/>
      <c r="BCC2" s="1898"/>
      <c r="BCK2" s="1898"/>
      <c r="BCS2" s="1898"/>
      <c r="BDA2" s="1898"/>
      <c r="BDI2" s="1898"/>
      <c r="BDQ2" s="1898"/>
      <c r="BDY2" s="1898"/>
      <c r="BEG2" s="1898"/>
      <c r="BEO2" s="1898"/>
      <c r="BEW2" s="1898"/>
      <c r="BFE2" s="1898"/>
      <c r="BFM2" s="1898"/>
      <c r="BFU2" s="1898"/>
      <c r="BGC2" s="1898"/>
      <c r="BGK2" s="1898"/>
      <c r="BGS2" s="1898"/>
      <c r="BHA2" s="1898"/>
      <c r="BHI2" s="1898"/>
      <c r="BHQ2" s="1898"/>
      <c r="BHY2" s="1898"/>
      <c r="BIG2" s="1898"/>
      <c r="BIO2" s="1898"/>
      <c r="BIW2" s="1898"/>
      <c r="BJE2" s="1898"/>
      <c r="BJM2" s="1898"/>
      <c r="BJU2" s="1898"/>
      <c r="BKC2" s="1898"/>
      <c r="BKK2" s="1898"/>
      <c r="BKS2" s="1898"/>
      <c r="BLA2" s="1898"/>
      <c r="BLI2" s="1898"/>
      <c r="BLQ2" s="1898"/>
      <c r="BLY2" s="1898"/>
      <c r="BMG2" s="1898"/>
      <c r="BMO2" s="1898"/>
      <c r="BMW2" s="1898"/>
      <c r="BNE2" s="1898"/>
      <c r="BNM2" s="1898"/>
      <c r="BNU2" s="1898"/>
      <c r="BOC2" s="1898"/>
      <c r="BOK2" s="1898"/>
      <c r="BOS2" s="1898"/>
      <c r="BPA2" s="1898"/>
      <c r="BPI2" s="1898"/>
      <c r="BPQ2" s="1898"/>
      <c r="BPY2" s="1898"/>
      <c r="BQG2" s="1898"/>
      <c r="BQO2" s="1898"/>
      <c r="BQW2" s="1898"/>
      <c r="BRE2" s="1898"/>
      <c r="BRM2" s="1898"/>
      <c r="BRU2" s="1898"/>
      <c r="BSC2" s="1898"/>
      <c r="BSK2" s="1898"/>
      <c r="BSS2" s="1898"/>
      <c r="BTA2" s="1898"/>
      <c r="BTI2" s="1898"/>
      <c r="BTQ2" s="1898"/>
      <c r="BTY2" s="1898"/>
      <c r="BUG2" s="1898"/>
      <c r="BUO2" s="1898"/>
      <c r="BUW2" s="1898"/>
      <c r="BVE2" s="1898"/>
      <c r="BVM2" s="1898"/>
      <c r="BVU2" s="1898"/>
      <c r="BWC2" s="1898"/>
      <c r="BWK2" s="1898"/>
      <c r="BWS2" s="1898"/>
      <c r="BXA2" s="1898"/>
      <c r="BXI2" s="1898"/>
      <c r="BXQ2" s="1898"/>
      <c r="BXY2" s="1898"/>
      <c r="BYG2" s="1898"/>
      <c r="BYO2" s="1898"/>
      <c r="BYW2" s="1898"/>
      <c r="BZE2" s="1898"/>
      <c r="BZM2" s="1898"/>
      <c r="BZU2" s="1898"/>
      <c r="CAC2" s="1898"/>
      <c r="CAK2" s="1898"/>
      <c r="CAS2" s="1898"/>
      <c r="CBA2" s="1898"/>
      <c r="CBI2" s="1898"/>
      <c r="CBQ2" s="1898"/>
      <c r="CBY2" s="1898"/>
      <c r="CCG2" s="1898"/>
      <c r="CCO2" s="1898"/>
      <c r="CCW2" s="1898"/>
      <c r="CDE2" s="1898"/>
      <c r="CDM2" s="1898"/>
      <c r="CDU2" s="1898"/>
      <c r="CEC2" s="1898"/>
      <c r="CEK2" s="1898"/>
      <c r="CES2" s="1898"/>
      <c r="CFA2" s="1898"/>
      <c r="CFI2" s="1898"/>
      <c r="CFQ2" s="1898"/>
      <c r="CFY2" s="1898"/>
      <c r="CGG2" s="1898"/>
      <c r="CGO2" s="1898"/>
      <c r="CGW2" s="1898"/>
      <c r="CHE2" s="1898"/>
      <c r="CHM2" s="1898"/>
      <c r="CHU2" s="1898"/>
      <c r="CIC2" s="1898"/>
      <c r="CIK2" s="1898"/>
      <c r="CIS2" s="1898"/>
      <c r="CJA2" s="1898"/>
      <c r="CJI2" s="1898"/>
      <c r="CJQ2" s="1898"/>
      <c r="CJY2" s="1898"/>
      <c r="CKG2" s="1898"/>
      <c r="CKO2" s="1898"/>
      <c r="CKW2" s="1898"/>
      <c r="CLE2" s="1898"/>
      <c r="CLM2" s="1898"/>
      <c r="CLU2" s="1898"/>
      <c r="CMC2" s="1898"/>
      <c r="CMK2" s="1898"/>
      <c r="CMS2" s="1898"/>
      <c r="CNA2" s="1898"/>
      <c r="CNI2" s="1898"/>
      <c r="CNQ2" s="1898"/>
      <c r="CNY2" s="1898"/>
      <c r="COG2" s="1898"/>
      <c r="COO2" s="1898"/>
      <c r="COW2" s="1898"/>
      <c r="CPE2" s="1898"/>
      <c r="CPM2" s="1898"/>
      <c r="CPU2" s="1898"/>
      <c r="CQC2" s="1898"/>
      <c r="CQK2" s="1898"/>
      <c r="CQS2" s="1898"/>
      <c r="CRA2" s="1898"/>
      <c r="CRI2" s="1898"/>
      <c r="CRQ2" s="1898"/>
      <c r="CRY2" s="1898"/>
      <c r="CSG2" s="1898"/>
      <c r="CSO2" s="1898"/>
      <c r="CSW2" s="1898"/>
      <c r="CTE2" s="1898"/>
      <c r="CTM2" s="1898"/>
      <c r="CTU2" s="1898"/>
      <c r="CUC2" s="1898"/>
      <c r="CUK2" s="1898"/>
      <c r="CUS2" s="1898"/>
      <c r="CVA2" s="1898"/>
      <c r="CVI2" s="1898"/>
      <c r="CVQ2" s="1898"/>
      <c r="CVY2" s="1898"/>
      <c r="CWG2" s="1898"/>
      <c r="CWO2" s="1898"/>
      <c r="CWW2" s="1898"/>
      <c r="CXE2" s="1898"/>
      <c r="CXM2" s="1898"/>
      <c r="CXU2" s="1898"/>
      <c r="CYC2" s="1898"/>
      <c r="CYK2" s="1898"/>
      <c r="CYS2" s="1898"/>
      <c r="CZA2" s="1898"/>
      <c r="CZI2" s="1898"/>
      <c r="CZQ2" s="1898"/>
      <c r="CZY2" s="1898"/>
      <c r="DAG2" s="1898"/>
      <c r="DAO2" s="1898"/>
      <c r="DAW2" s="1898"/>
      <c r="DBE2" s="1898"/>
      <c r="DBM2" s="1898"/>
      <c r="DBU2" s="1898"/>
      <c r="DCC2" s="1898"/>
      <c r="DCK2" s="1898"/>
      <c r="DCS2" s="1898"/>
      <c r="DDA2" s="1898"/>
      <c r="DDI2" s="1898"/>
      <c r="DDQ2" s="1898"/>
      <c r="DDY2" s="1898"/>
      <c r="DEG2" s="1898"/>
      <c r="DEO2" s="1898"/>
      <c r="DEW2" s="1898"/>
      <c r="DFE2" s="1898"/>
      <c r="DFM2" s="1898"/>
      <c r="DFU2" s="1898"/>
      <c r="DGC2" s="1898"/>
      <c r="DGK2" s="1898"/>
      <c r="DGS2" s="1898"/>
      <c r="DHA2" s="1898"/>
      <c r="DHI2" s="1898"/>
      <c r="DHQ2" s="1898"/>
      <c r="DHY2" s="1898"/>
      <c r="DIG2" s="1898"/>
      <c r="DIO2" s="1898"/>
      <c r="DIW2" s="1898"/>
      <c r="DJE2" s="1898"/>
      <c r="DJM2" s="1898"/>
      <c r="DJU2" s="1898"/>
      <c r="DKC2" s="1898"/>
      <c r="DKK2" s="1898"/>
      <c r="DKS2" s="1898"/>
      <c r="DLA2" s="1898"/>
      <c r="DLI2" s="1898"/>
      <c r="DLQ2" s="1898"/>
      <c r="DLY2" s="1898"/>
      <c r="DMG2" s="1898"/>
      <c r="DMO2" s="1898"/>
      <c r="DMW2" s="1898"/>
      <c r="DNE2" s="1898"/>
      <c r="DNM2" s="1898"/>
      <c r="DNU2" s="1898"/>
      <c r="DOC2" s="1898"/>
      <c r="DOK2" s="1898"/>
      <c r="DOS2" s="1898"/>
      <c r="DPA2" s="1898"/>
      <c r="DPI2" s="1898"/>
      <c r="DPQ2" s="1898"/>
      <c r="DPY2" s="1898"/>
      <c r="DQG2" s="1898"/>
      <c r="DQO2" s="1898"/>
      <c r="DQW2" s="1898"/>
      <c r="DRE2" s="1898"/>
      <c r="DRM2" s="1898"/>
      <c r="DRU2" s="1898"/>
      <c r="DSC2" s="1898"/>
      <c r="DSK2" s="1898"/>
      <c r="DSS2" s="1898"/>
      <c r="DTA2" s="1898"/>
      <c r="DTI2" s="1898"/>
      <c r="DTQ2" s="1898"/>
      <c r="DTY2" s="1898"/>
      <c r="DUG2" s="1898"/>
      <c r="DUO2" s="1898"/>
      <c r="DUW2" s="1898"/>
      <c r="DVE2" s="1898"/>
      <c r="DVM2" s="1898"/>
      <c r="DVU2" s="1898"/>
      <c r="DWC2" s="1898"/>
      <c r="DWK2" s="1898"/>
      <c r="DWS2" s="1898"/>
      <c r="DXA2" s="1898"/>
      <c r="DXI2" s="1898"/>
      <c r="DXQ2" s="1898"/>
      <c r="DXY2" s="1898"/>
      <c r="DYG2" s="1898"/>
      <c r="DYO2" s="1898"/>
      <c r="DYW2" s="1898"/>
      <c r="DZE2" s="1898"/>
      <c r="DZM2" s="1898"/>
      <c r="DZU2" s="1898"/>
      <c r="EAC2" s="1898"/>
      <c r="EAK2" s="1898"/>
      <c r="EAS2" s="1898"/>
      <c r="EBA2" s="1898"/>
      <c r="EBI2" s="1898"/>
      <c r="EBQ2" s="1898"/>
      <c r="EBY2" s="1898"/>
      <c r="ECG2" s="1898"/>
      <c r="ECO2" s="1898"/>
      <c r="ECW2" s="1898"/>
      <c r="EDE2" s="1898"/>
      <c r="EDM2" s="1898"/>
      <c r="EDU2" s="1898"/>
      <c r="EEC2" s="1898"/>
      <c r="EEK2" s="1898"/>
      <c r="EES2" s="1898"/>
      <c r="EFA2" s="1898"/>
      <c r="EFI2" s="1898"/>
      <c r="EFQ2" s="1898"/>
      <c r="EFY2" s="1898"/>
      <c r="EGG2" s="1898"/>
      <c r="EGO2" s="1898"/>
      <c r="EGW2" s="1898"/>
      <c r="EHE2" s="1898"/>
      <c r="EHM2" s="1898"/>
      <c r="EHU2" s="1898"/>
      <c r="EIC2" s="1898"/>
      <c r="EIK2" s="1898"/>
      <c r="EIS2" s="1898"/>
      <c r="EJA2" s="1898"/>
      <c r="EJI2" s="1898"/>
      <c r="EJQ2" s="1898"/>
      <c r="EJY2" s="1898"/>
      <c r="EKG2" s="1898"/>
      <c r="EKO2" s="1898"/>
      <c r="EKW2" s="1898"/>
      <c r="ELE2" s="1898"/>
      <c r="ELM2" s="1898"/>
      <c r="ELU2" s="1898"/>
      <c r="EMC2" s="1898"/>
      <c r="EMK2" s="1898"/>
      <c r="EMS2" s="1898"/>
      <c r="ENA2" s="1898"/>
      <c r="ENI2" s="1898"/>
      <c r="ENQ2" s="1898"/>
      <c r="ENY2" s="1898"/>
      <c r="EOG2" s="1898"/>
      <c r="EOO2" s="1898"/>
      <c r="EOW2" s="1898"/>
      <c r="EPE2" s="1898"/>
      <c r="EPM2" s="1898"/>
      <c r="EPU2" s="1898"/>
      <c r="EQC2" s="1898"/>
      <c r="EQK2" s="1898"/>
      <c r="EQS2" s="1898"/>
      <c r="ERA2" s="1898"/>
      <c r="ERI2" s="1898"/>
      <c r="ERQ2" s="1898"/>
      <c r="ERY2" s="1898"/>
      <c r="ESG2" s="1898"/>
      <c r="ESO2" s="1898"/>
      <c r="ESW2" s="1898"/>
      <c r="ETE2" s="1898"/>
      <c r="ETM2" s="1898"/>
      <c r="ETU2" s="1898"/>
      <c r="EUC2" s="1898"/>
      <c r="EUK2" s="1898"/>
      <c r="EUS2" s="1898"/>
      <c r="EVA2" s="1898"/>
      <c r="EVI2" s="1898"/>
      <c r="EVQ2" s="1898"/>
      <c r="EVY2" s="1898"/>
      <c r="EWG2" s="1898"/>
      <c r="EWO2" s="1898"/>
      <c r="EWW2" s="1898"/>
      <c r="EXE2" s="1898"/>
      <c r="EXM2" s="1898"/>
      <c r="EXU2" s="1898"/>
      <c r="EYC2" s="1898"/>
      <c r="EYK2" s="1898"/>
      <c r="EYS2" s="1898"/>
      <c r="EZA2" s="1898"/>
      <c r="EZI2" s="1898"/>
      <c r="EZQ2" s="1898"/>
      <c r="EZY2" s="1898"/>
      <c r="FAG2" s="1898"/>
      <c r="FAO2" s="1898"/>
      <c r="FAW2" s="1898"/>
      <c r="FBE2" s="1898"/>
      <c r="FBM2" s="1898"/>
      <c r="FBU2" s="1898"/>
      <c r="FCC2" s="1898"/>
      <c r="FCK2" s="1898"/>
      <c r="FCS2" s="1898"/>
      <c r="FDA2" s="1898"/>
      <c r="FDI2" s="1898"/>
      <c r="FDQ2" s="1898"/>
      <c r="FDY2" s="1898"/>
      <c r="FEG2" s="1898"/>
      <c r="FEO2" s="1898"/>
      <c r="FEW2" s="1898"/>
      <c r="FFE2" s="1898"/>
      <c r="FFM2" s="1898"/>
      <c r="FFU2" s="1898"/>
      <c r="FGC2" s="1898"/>
      <c r="FGK2" s="1898"/>
      <c r="FGS2" s="1898"/>
      <c r="FHA2" s="1898"/>
      <c r="FHI2" s="1898"/>
      <c r="FHQ2" s="1898"/>
      <c r="FHY2" s="1898"/>
      <c r="FIG2" s="1898"/>
      <c r="FIO2" s="1898"/>
      <c r="FIW2" s="1898"/>
      <c r="FJE2" s="1898"/>
      <c r="FJM2" s="1898"/>
      <c r="FJU2" s="1898"/>
      <c r="FKC2" s="1898"/>
      <c r="FKK2" s="1898"/>
      <c r="FKS2" s="1898"/>
      <c r="FLA2" s="1898"/>
      <c r="FLI2" s="1898"/>
      <c r="FLQ2" s="1898"/>
      <c r="FLY2" s="1898"/>
      <c r="FMG2" s="1898"/>
      <c r="FMO2" s="1898"/>
      <c r="FMW2" s="1898"/>
      <c r="FNE2" s="1898"/>
      <c r="FNM2" s="1898"/>
      <c r="FNU2" s="1898"/>
      <c r="FOC2" s="1898"/>
      <c r="FOK2" s="1898"/>
      <c r="FOS2" s="1898"/>
      <c r="FPA2" s="1898"/>
      <c r="FPI2" s="1898"/>
      <c r="FPQ2" s="1898"/>
      <c r="FPY2" s="1898"/>
      <c r="FQG2" s="1898"/>
      <c r="FQO2" s="1898"/>
      <c r="FQW2" s="1898"/>
      <c r="FRE2" s="1898"/>
      <c r="FRM2" s="1898"/>
      <c r="FRU2" s="1898"/>
      <c r="FSC2" s="1898"/>
      <c r="FSK2" s="1898"/>
      <c r="FSS2" s="1898"/>
      <c r="FTA2" s="1898"/>
      <c r="FTI2" s="1898"/>
      <c r="FTQ2" s="1898"/>
      <c r="FTY2" s="1898"/>
      <c r="FUG2" s="1898"/>
      <c r="FUO2" s="1898"/>
      <c r="FUW2" s="1898"/>
      <c r="FVE2" s="1898"/>
      <c r="FVM2" s="1898"/>
      <c r="FVU2" s="1898"/>
      <c r="FWC2" s="1898"/>
      <c r="FWK2" s="1898"/>
      <c r="FWS2" s="1898"/>
      <c r="FXA2" s="1898"/>
      <c r="FXI2" s="1898"/>
      <c r="FXQ2" s="1898"/>
      <c r="FXY2" s="1898"/>
      <c r="FYG2" s="1898"/>
      <c r="FYO2" s="1898"/>
      <c r="FYW2" s="1898"/>
      <c r="FZE2" s="1898"/>
      <c r="FZM2" s="1898"/>
      <c r="FZU2" s="1898"/>
      <c r="GAC2" s="1898"/>
      <c r="GAK2" s="1898"/>
      <c r="GAS2" s="1898"/>
      <c r="GBA2" s="1898"/>
      <c r="GBI2" s="1898"/>
      <c r="GBQ2" s="1898"/>
      <c r="GBY2" s="1898"/>
      <c r="GCG2" s="1898"/>
      <c r="GCO2" s="1898"/>
      <c r="GCW2" s="1898"/>
      <c r="GDE2" s="1898"/>
      <c r="GDM2" s="1898"/>
      <c r="GDU2" s="1898"/>
      <c r="GEC2" s="1898"/>
      <c r="GEK2" s="1898"/>
      <c r="GES2" s="1898"/>
      <c r="GFA2" s="1898"/>
      <c r="GFI2" s="1898"/>
      <c r="GFQ2" s="1898"/>
      <c r="GFY2" s="1898"/>
      <c r="GGG2" s="1898"/>
      <c r="GGO2" s="1898"/>
      <c r="GGW2" s="1898"/>
      <c r="GHE2" s="1898"/>
      <c r="GHM2" s="1898"/>
      <c r="GHU2" s="1898"/>
      <c r="GIC2" s="1898"/>
      <c r="GIK2" s="1898"/>
      <c r="GIS2" s="1898"/>
      <c r="GJA2" s="1898"/>
      <c r="GJI2" s="1898"/>
      <c r="GJQ2" s="1898"/>
      <c r="GJY2" s="1898"/>
      <c r="GKG2" s="1898"/>
      <c r="GKO2" s="1898"/>
      <c r="GKW2" s="1898"/>
      <c r="GLE2" s="1898"/>
      <c r="GLM2" s="1898"/>
      <c r="GLU2" s="1898"/>
      <c r="GMC2" s="1898"/>
      <c r="GMK2" s="1898"/>
      <c r="GMS2" s="1898"/>
      <c r="GNA2" s="1898"/>
      <c r="GNI2" s="1898"/>
      <c r="GNQ2" s="1898"/>
      <c r="GNY2" s="1898"/>
      <c r="GOG2" s="1898"/>
      <c r="GOO2" s="1898"/>
      <c r="GOW2" s="1898"/>
      <c r="GPE2" s="1898"/>
      <c r="GPM2" s="1898"/>
      <c r="GPU2" s="1898"/>
      <c r="GQC2" s="1898"/>
      <c r="GQK2" s="1898"/>
      <c r="GQS2" s="1898"/>
      <c r="GRA2" s="1898"/>
      <c r="GRI2" s="1898"/>
      <c r="GRQ2" s="1898"/>
      <c r="GRY2" s="1898"/>
      <c r="GSG2" s="1898"/>
      <c r="GSO2" s="1898"/>
      <c r="GSW2" s="1898"/>
      <c r="GTE2" s="1898"/>
      <c r="GTM2" s="1898"/>
      <c r="GTU2" s="1898"/>
      <c r="GUC2" s="1898"/>
      <c r="GUK2" s="1898"/>
      <c r="GUS2" s="1898"/>
      <c r="GVA2" s="1898"/>
      <c r="GVI2" s="1898"/>
      <c r="GVQ2" s="1898"/>
      <c r="GVY2" s="1898"/>
      <c r="GWG2" s="1898"/>
      <c r="GWO2" s="1898"/>
      <c r="GWW2" s="1898"/>
      <c r="GXE2" s="1898"/>
      <c r="GXM2" s="1898"/>
      <c r="GXU2" s="1898"/>
      <c r="GYC2" s="1898"/>
      <c r="GYK2" s="1898"/>
      <c r="GYS2" s="1898"/>
      <c r="GZA2" s="1898"/>
      <c r="GZI2" s="1898"/>
      <c r="GZQ2" s="1898"/>
      <c r="GZY2" s="1898"/>
      <c r="HAG2" s="1898"/>
      <c r="HAO2" s="1898"/>
      <c r="HAW2" s="1898"/>
      <c r="HBE2" s="1898"/>
      <c r="HBM2" s="1898"/>
      <c r="HBU2" s="1898"/>
      <c r="HCC2" s="1898"/>
      <c r="HCK2" s="1898"/>
      <c r="HCS2" s="1898"/>
      <c r="HDA2" s="1898"/>
      <c r="HDI2" s="1898"/>
      <c r="HDQ2" s="1898"/>
      <c r="HDY2" s="1898"/>
      <c r="HEG2" s="1898"/>
      <c r="HEO2" s="1898"/>
      <c r="HEW2" s="1898"/>
      <c r="HFE2" s="1898"/>
      <c r="HFM2" s="1898"/>
      <c r="HFU2" s="1898"/>
      <c r="HGC2" s="1898"/>
      <c r="HGK2" s="1898"/>
      <c r="HGS2" s="1898"/>
      <c r="HHA2" s="1898"/>
      <c r="HHI2" s="1898"/>
      <c r="HHQ2" s="1898"/>
      <c r="HHY2" s="1898"/>
      <c r="HIG2" s="1898"/>
      <c r="HIO2" s="1898"/>
      <c r="HIW2" s="1898"/>
      <c r="HJE2" s="1898"/>
      <c r="HJM2" s="1898"/>
      <c r="HJU2" s="1898"/>
      <c r="HKC2" s="1898"/>
      <c r="HKK2" s="1898"/>
      <c r="HKS2" s="1898"/>
      <c r="HLA2" s="1898"/>
      <c r="HLI2" s="1898"/>
      <c r="HLQ2" s="1898"/>
      <c r="HLY2" s="1898"/>
      <c r="HMG2" s="1898"/>
      <c r="HMO2" s="1898"/>
      <c r="HMW2" s="1898"/>
      <c r="HNE2" s="1898"/>
      <c r="HNM2" s="1898"/>
      <c r="HNU2" s="1898"/>
      <c r="HOC2" s="1898"/>
      <c r="HOK2" s="1898"/>
      <c r="HOS2" s="1898"/>
      <c r="HPA2" s="1898"/>
      <c r="HPI2" s="1898"/>
      <c r="HPQ2" s="1898"/>
      <c r="HPY2" s="1898"/>
      <c r="HQG2" s="1898"/>
      <c r="HQO2" s="1898"/>
      <c r="HQW2" s="1898"/>
      <c r="HRE2" s="1898"/>
      <c r="HRM2" s="1898"/>
      <c r="HRU2" s="1898"/>
      <c r="HSC2" s="1898"/>
      <c r="HSK2" s="1898"/>
      <c r="HSS2" s="1898"/>
      <c r="HTA2" s="1898"/>
      <c r="HTI2" s="1898"/>
      <c r="HTQ2" s="1898"/>
      <c r="HTY2" s="1898"/>
      <c r="HUG2" s="1898"/>
      <c r="HUO2" s="1898"/>
      <c r="HUW2" s="1898"/>
      <c r="HVE2" s="1898"/>
      <c r="HVM2" s="1898"/>
      <c r="HVU2" s="1898"/>
      <c r="HWC2" s="1898"/>
      <c r="HWK2" s="1898"/>
      <c r="HWS2" s="1898"/>
      <c r="HXA2" s="1898"/>
      <c r="HXI2" s="1898"/>
      <c r="HXQ2" s="1898"/>
      <c r="HXY2" s="1898"/>
      <c r="HYG2" s="1898"/>
      <c r="HYO2" s="1898"/>
      <c r="HYW2" s="1898"/>
      <c r="HZE2" s="1898"/>
      <c r="HZM2" s="1898"/>
      <c r="HZU2" s="1898"/>
      <c r="IAC2" s="1898"/>
      <c r="IAK2" s="1898"/>
      <c r="IAS2" s="1898"/>
      <c r="IBA2" s="1898"/>
      <c r="IBI2" s="1898"/>
      <c r="IBQ2" s="1898"/>
      <c r="IBY2" s="1898"/>
      <c r="ICG2" s="1898"/>
      <c r="ICO2" s="1898"/>
      <c r="ICW2" s="1898"/>
      <c r="IDE2" s="1898"/>
      <c r="IDM2" s="1898"/>
      <c r="IDU2" s="1898"/>
      <c r="IEC2" s="1898"/>
      <c r="IEK2" s="1898"/>
      <c r="IES2" s="1898"/>
      <c r="IFA2" s="1898"/>
      <c r="IFI2" s="1898"/>
      <c r="IFQ2" s="1898"/>
      <c r="IFY2" s="1898"/>
      <c r="IGG2" s="1898"/>
      <c r="IGO2" s="1898"/>
      <c r="IGW2" s="1898"/>
      <c r="IHE2" s="1898"/>
      <c r="IHM2" s="1898"/>
      <c r="IHU2" s="1898"/>
      <c r="IIC2" s="1898"/>
      <c r="IIK2" s="1898"/>
      <c r="IIS2" s="1898"/>
      <c r="IJA2" s="1898"/>
      <c r="IJI2" s="1898"/>
      <c r="IJQ2" s="1898"/>
      <c r="IJY2" s="1898"/>
      <c r="IKG2" s="1898"/>
      <c r="IKO2" s="1898"/>
      <c r="IKW2" s="1898"/>
      <c r="ILE2" s="1898"/>
      <c r="ILM2" s="1898"/>
      <c r="ILU2" s="1898"/>
      <c r="IMC2" s="1898"/>
      <c r="IMK2" s="1898"/>
      <c r="IMS2" s="1898"/>
      <c r="INA2" s="1898"/>
      <c r="INI2" s="1898"/>
      <c r="INQ2" s="1898"/>
      <c r="INY2" s="1898"/>
      <c r="IOG2" s="1898"/>
      <c r="IOO2" s="1898"/>
      <c r="IOW2" s="1898"/>
      <c r="IPE2" s="1898"/>
      <c r="IPM2" s="1898"/>
      <c r="IPU2" s="1898"/>
      <c r="IQC2" s="1898"/>
      <c r="IQK2" s="1898"/>
      <c r="IQS2" s="1898"/>
      <c r="IRA2" s="1898"/>
      <c r="IRI2" s="1898"/>
      <c r="IRQ2" s="1898"/>
      <c r="IRY2" s="1898"/>
      <c r="ISG2" s="1898"/>
      <c r="ISO2" s="1898"/>
      <c r="ISW2" s="1898"/>
      <c r="ITE2" s="1898"/>
      <c r="ITM2" s="1898"/>
      <c r="ITU2" s="1898"/>
      <c r="IUC2" s="1898"/>
      <c r="IUK2" s="1898"/>
      <c r="IUS2" s="1898"/>
      <c r="IVA2" s="1898"/>
      <c r="IVI2" s="1898"/>
      <c r="IVQ2" s="1898"/>
      <c r="IVY2" s="1898"/>
      <c r="IWG2" s="1898"/>
      <c r="IWO2" s="1898"/>
      <c r="IWW2" s="1898"/>
      <c r="IXE2" s="1898"/>
      <c r="IXM2" s="1898"/>
      <c r="IXU2" s="1898"/>
      <c r="IYC2" s="1898"/>
      <c r="IYK2" s="1898"/>
      <c r="IYS2" s="1898"/>
      <c r="IZA2" s="1898"/>
      <c r="IZI2" s="1898"/>
      <c r="IZQ2" s="1898"/>
      <c r="IZY2" s="1898"/>
      <c r="JAG2" s="1898"/>
      <c r="JAO2" s="1898"/>
      <c r="JAW2" s="1898"/>
      <c r="JBE2" s="1898"/>
      <c r="JBM2" s="1898"/>
      <c r="JBU2" s="1898"/>
      <c r="JCC2" s="1898"/>
      <c r="JCK2" s="1898"/>
      <c r="JCS2" s="1898"/>
      <c r="JDA2" s="1898"/>
      <c r="JDI2" s="1898"/>
      <c r="JDQ2" s="1898"/>
      <c r="JDY2" s="1898"/>
      <c r="JEG2" s="1898"/>
      <c r="JEO2" s="1898"/>
      <c r="JEW2" s="1898"/>
      <c r="JFE2" s="1898"/>
      <c r="JFM2" s="1898"/>
      <c r="JFU2" s="1898"/>
      <c r="JGC2" s="1898"/>
      <c r="JGK2" s="1898"/>
      <c r="JGS2" s="1898"/>
      <c r="JHA2" s="1898"/>
      <c r="JHI2" s="1898"/>
      <c r="JHQ2" s="1898"/>
      <c r="JHY2" s="1898"/>
      <c r="JIG2" s="1898"/>
      <c r="JIO2" s="1898"/>
      <c r="JIW2" s="1898"/>
      <c r="JJE2" s="1898"/>
      <c r="JJM2" s="1898"/>
      <c r="JJU2" s="1898"/>
      <c r="JKC2" s="1898"/>
      <c r="JKK2" s="1898"/>
      <c r="JKS2" s="1898"/>
      <c r="JLA2" s="1898"/>
      <c r="JLI2" s="1898"/>
      <c r="JLQ2" s="1898"/>
      <c r="JLY2" s="1898"/>
      <c r="JMG2" s="1898"/>
      <c r="JMO2" s="1898"/>
      <c r="JMW2" s="1898"/>
      <c r="JNE2" s="1898"/>
      <c r="JNM2" s="1898"/>
      <c r="JNU2" s="1898"/>
      <c r="JOC2" s="1898"/>
      <c r="JOK2" s="1898"/>
      <c r="JOS2" s="1898"/>
      <c r="JPA2" s="1898"/>
      <c r="JPI2" s="1898"/>
      <c r="JPQ2" s="1898"/>
      <c r="JPY2" s="1898"/>
      <c r="JQG2" s="1898"/>
      <c r="JQO2" s="1898"/>
      <c r="JQW2" s="1898"/>
      <c r="JRE2" s="1898"/>
      <c r="JRM2" s="1898"/>
      <c r="JRU2" s="1898"/>
      <c r="JSC2" s="1898"/>
      <c r="JSK2" s="1898"/>
      <c r="JSS2" s="1898"/>
      <c r="JTA2" s="1898"/>
      <c r="JTI2" s="1898"/>
      <c r="JTQ2" s="1898"/>
      <c r="JTY2" s="1898"/>
      <c r="JUG2" s="1898"/>
      <c r="JUO2" s="1898"/>
      <c r="JUW2" s="1898"/>
      <c r="JVE2" s="1898"/>
      <c r="JVM2" s="1898"/>
      <c r="JVU2" s="1898"/>
      <c r="JWC2" s="1898"/>
      <c r="JWK2" s="1898"/>
      <c r="JWS2" s="1898"/>
      <c r="JXA2" s="1898"/>
      <c r="JXI2" s="1898"/>
      <c r="JXQ2" s="1898"/>
      <c r="JXY2" s="1898"/>
      <c r="JYG2" s="1898"/>
      <c r="JYO2" s="1898"/>
      <c r="JYW2" s="1898"/>
      <c r="JZE2" s="1898"/>
      <c r="JZM2" s="1898"/>
      <c r="JZU2" s="1898"/>
      <c r="KAC2" s="1898"/>
      <c r="KAK2" s="1898"/>
      <c r="KAS2" s="1898"/>
      <c r="KBA2" s="1898"/>
      <c r="KBI2" s="1898"/>
      <c r="KBQ2" s="1898"/>
      <c r="KBY2" s="1898"/>
      <c r="KCG2" s="1898"/>
      <c r="KCO2" s="1898"/>
      <c r="KCW2" s="1898"/>
      <c r="KDE2" s="1898"/>
      <c r="KDM2" s="1898"/>
      <c r="KDU2" s="1898"/>
      <c r="KEC2" s="1898"/>
      <c r="KEK2" s="1898"/>
      <c r="KES2" s="1898"/>
      <c r="KFA2" s="1898"/>
      <c r="KFI2" s="1898"/>
      <c r="KFQ2" s="1898"/>
      <c r="KFY2" s="1898"/>
      <c r="KGG2" s="1898"/>
      <c r="KGO2" s="1898"/>
      <c r="KGW2" s="1898"/>
      <c r="KHE2" s="1898"/>
      <c r="KHM2" s="1898"/>
      <c r="KHU2" s="1898"/>
      <c r="KIC2" s="1898"/>
      <c r="KIK2" s="1898"/>
      <c r="KIS2" s="1898"/>
      <c r="KJA2" s="1898"/>
      <c r="KJI2" s="1898"/>
      <c r="KJQ2" s="1898"/>
      <c r="KJY2" s="1898"/>
      <c r="KKG2" s="1898"/>
      <c r="KKO2" s="1898"/>
      <c r="KKW2" s="1898"/>
      <c r="KLE2" s="1898"/>
      <c r="KLM2" s="1898"/>
      <c r="KLU2" s="1898"/>
      <c r="KMC2" s="1898"/>
      <c r="KMK2" s="1898"/>
      <c r="KMS2" s="1898"/>
      <c r="KNA2" s="1898"/>
      <c r="KNI2" s="1898"/>
      <c r="KNQ2" s="1898"/>
      <c r="KNY2" s="1898"/>
      <c r="KOG2" s="1898"/>
      <c r="KOO2" s="1898"/>
      <c r="KOW2" s="1898"/>
      <c r="KPE2" s="1898"/>
      <c r="KPM2" s="1898"/>
      <c r="KPU2" s="1898"/>
      <c r="KQC2" s="1898"/>
      <c r="KQK2" s="1898"/>
      <c r="KQS2" s="1898"/>
      <c r="KRA2" s="1898"/>
      <c r="KRI2" s="1898"/>
      <c r="KRQ2" s="1898"/>
      <c r="KRY2" s="1898"/>
      <c r="KSG2" s="1898"/>
      <c r="KSO2" s="1898"/>
      <c r="KSW2" s="1898"/>
      <c r="KTE2" s="1898"/>
      <c r="KTM2" s="1898"/>
      <c r="KTU2" s="1898"/>
      <c r="KUC2" s="1898"/>
      <c r="KUK2" s="1898"/>
      <c r="KUS2" s="1898"/>
      <c r="KVA2" s="1898"/>
      <c r="KVI2" s="1898"/>
      <c r="KVQ2" s="1898"/>
      <c r="KVY2" s="1898"/>
      <c r="KWG2" s="1898"/>
      <c r="KWO2" s="1898"/>
      <c r="KWW2" s="1898"/>
      <c r="KXE2" s="1898"/>
      <c r="KXM2" s="1898"/>
      <c r="KXU2" s="1898"/>
      <c r="KYC2" s="1898"/>
      <c r="KYK2" s="1898"/>
      <c r="KYS2" s="1898"/>
      <c r="KZA2" s="1898"/>
      <c r="KZI2" s="1898"/>
      <c r="KZQ2" s="1898"/>
      <c r="KZY2" s="1898"/>
      <c r="LAG2" s="1898"/>
      <c r="LAO2" s="1898"/>
      <c r="LAW2" s="1898"/>
      <c r="LBE2" s="1898"/>
      <c r="LBM2" s="1898"/>
      <c r="LBU2" s="1898"/>
      <c r="LCC2" s="1898"/>
      <c r="LCK2" s="1898"/>
      <c r="LCS2" s="1898"/>
      <c r="LDA2" s="1898"/>
      <c r="LDI2" s="1898"/>
      <c r="LDQ2" s="1898"/>
      <c r="LDY2" s="1898"/>
      <c r="LEG2" s="1898"/>
      <c r="LEO2" s="1898"/>
      <c r="LEW2" s="1898"/>
      <c r="LFE2" s="1898"/>
      <c r="LFM2" s="1898"/>
      <c r="LFU2" s="1898"/>
      <c r="LGC2" s="1898"/>
      <c r="LGK2" s="1898"/>
      <c r="LGS2" s="1898"/>
      <c r="LHA2" s="1898"/>
      <c r="LHI2" s="1898"/>
      <c r="LHQ2" s="1898"/>
      <c r="LHY2" s="1898"/>
      <c r="LIG2" s="1898"/>
      <c r="LIO2" s="1898"/>
      <c r="LIW2" s="1898"/>
      <c r="LJE2" s="1898"/>
      <c r="LJM2" s="1898"/>
      <c r="LJU2" s="1898"/>
      <c r="LKC2" s="1898"/>
      <c r="LKK2" s="1898"/>
      <c r="LKS2" s="1898"/>
      <c r="LLA2" s="1898"/>
      <c r="LLI2" s="1898"/>
      <c r="LLQ2" s="1898"/>
      <c r="LLY2" s="1898"/>
      <c r="LMG2" s="1898"/>
      <c r="LMO2" s="1898"/>
      <c r="LMW2" s="1898"/>
      <c r="LNE2" s="1898"/>
      <c r="LNM2" s="1898"/>
      <c r="LNU2" s="1898"/>
      <c r="LOC2" s="1898"/>
      <c r="LOK2" s="1898"/>
      <c r="LOS2" s="1898"/>
      <c r="LPA2" s="1898"/>
      <c r="LPI2" s="1898"/>
      <c r="LPQ2" s="1898"/>
      <c r="LPY2" s="1898"/>
      <c r="LQG2" s="1898"/>
      <c r="LQO2" s="1898"/>
      <c r="LQW2" s="1898"/>
      <c r="LRE2" s="1898"/>
      <c r="LRM2" s="1898"/>
      <c r="LRU2" s="1898"/>
      <c r="LSC2" s="1898"/>
      <c r="LSK2" s="1898"/>
      <c r="LSS2" s="1898"/>
      <c r="LTA2" s="1898"/>
      <c r="LTI2" s="1898"/>
      <c r="LTQ2" s="1898"/>
      <c r="LTY2" s="1898"/>
      <c r="LUG2" s="1898"/>
      <c r="LUO2" s="1898"/>
      <c r="LUW2" s="1898"/>
      <c r="LVE2" s="1898"/>
      <c r="LVM2" s="1898"/>
      <c r="LVU2" s="1898"/>
      <c r="LWC2" s="1898"/>
      <c r="LWK2" s="1898"/>
      <c r="LWS2" s="1898"/>
      <c r="LXA2" s="1898"/>
      <c r="LXI2" s="1898"/>
      <c r="LXQ2" s="1898"/>
      <c r="LXY2" s="1898"/>
      <c r="LYG2" s="1898"/>
      <c r="LYO2" s="1898"/>
      <c r="LYW2" s="1898"/>
      <c r="LZE2" s="1898"/>
      <c r="LZM2" s="1898"/>
      <c r="LZU2" s="1898"/>
      <c r="MAC2" s="1898"/>
      <c r="MAK2" s="1898"/>
      <c r="MAS2" s="1898"/>
      <c r="MBA2" s="1898"/>
      <c r="MBI2" s="1898"/>
      <c r="MBQ2" s="1898"/>
      <c r="MBY2" s="1898"/>
      <c r="MCG2" s="1898"/>
      <c r="MCO2" s="1898"/>
      <c r="MCW2" s="1898"/>
      <c r="MDE2" s="1898"/>
      <c r="MDM2" s="1898"/>
      <c r="MDU2" s="1898"/>
      <c r="MEC2" s="1898"/>
      <c r="MEK2" s="1898"/>
      <c r="MES2" s="1898"/>
      <c r="MFA2" s="1898"/>
      <c r="MFI2" s="1898"/>
      <c r="MFQ2" s="1898"/>
      <c r="MFY2" s="1898"/>
      <c r="MGG2" s="1898"/>
      <c r="MGO2" s="1898"/>
      <c r="MGW2" s="1898"/>
      <c r="MHE2" s="1898"/>
      <c r="MHM2" s="1898"/>
      <c r="MHU2" s="1898"/>
      <c r="MIC2" s="1898"/>
      <c r="MIK2" s="1898"/>
      <c r="MIS2" s="1898"/>
      <c r="MJA2" s="1898"/>
      <c r="MJI2" s="1898"/>
      <c r="MJQ2" s="1898"/>
      <c r="MJY2" s="1898"/>
      <c r="MKG2" s="1898"/>
      <c r="MKO2" s="1898"/>
      <c r="MKW2" s="1898"/>
      <c r="MLE2" s="1898"/>
      <c r="MLM2" s="1898"/>
      <c r="MLU2" s="1898"/>
      <c r="MMC2" s="1898"/>
      <c r="MMK2" s="1898"/>
      <c r="MMS2" s="1898"/>
      <c r="MNA2" s="1898"/>
      <c r="MNI2" s="1898"/>
      <c r="MNQ2" s="1898"/>
      <c r="MNY2" s="1898"/>
      <c r="MOG2" s="1898"/>
      <c r="MOO2" s="1898"/>
      <c r="MOW2" s="1898"/>
      <c r="MPE2" s="1898"/>
      <c r="MPM2" s="1898"/>
      <c r="MPU2" s="1898"/>
      <c r="MQC2" s="1898"/>
      <c r="MQK2" s="1898"/>
      <c r="MQS2" s="1898"/>
      <c r="MRA2" s="1898"/>
      <c r="MRI2" s="1898"/>
      <c r="MRQ2" s="1898"/>
      <c r="MRY2" s="1898"/>
      <c r="MSG2" s="1898"/>
      <c r="MSO2" s="1898"/>
      <c r="MSW2" s="1898"/>
      <c r="MTE2" s="1898"/>
      <c r="MTM2" s="1898"/>
      <c r="MTU2" s="1898"/>
      <c r="MUC2" s="1898"/>
      <c r="MUK2" s="1898"/>
      <c r="MUS2" s="1898"/>
      <c r="MVA2" s="1898"/>
      <c r="MVI2" s="1898"/>
      <c r="MVQ2" s="1898"/>
      <c r="MVY2" s="1898"/>
      <c r="MWG2" s="1898"/>
      <c r="MWO2" s="1898"/>
      <c r="MWW2" s="1898"/>
      <c r="MXE2" s="1898"/>
      <c r="MXM2" s="1898"/>
      <c r="MXU2" s="1898"/>
      <c r="MYC2" s="1898"/>
      <c r="MYK2" s="1898"/>
      <c r="MYS2" s="1898"/>
      <c r="MZA2" s="1898"/>
      <c r="MZI2" s="1898"/>
      <c r="MZQ2" s="1898"/>
      <c r="MZY2" s="1898"/>
      <c r="NAG2" s="1898"/>
      <c r="NAO2" s="1898"/>
      <c r="NAW2" s="1898"/>
      <c r="NBE2" s="1898"/>
      <c r="NBM2" s="1898"/>
      <c r="NBU2" s="1898"/>
      <c r="NCC2" s="1898"/>
      <c r="NCK2" s="1898"/>
      <c r="NCS2" s="1898"/>
      <c r="NDA2" s="1898"/>
      <c r="NDI2" s="1898"/>
      <c r="NDQ2" s="1898"/>
      <c r="NDY2" s="1898"/>
      <c r="NEG2" s="1898"/>
      <c r="NEO2" s="1898"/>
      <c r="NEW2" s="1898"/>
      <c r="NFE2" s="1898"/>
      <c r="NFM2" s="1898"/>
      <c r="NFU2" s="1898"/>
      <c r="NGC2" s="1898"/>
      <c r="NGK2" s="1898"/>
      <c r="NGS2" s="1898"/>
      <c r="NHA2" s="1898"/>
      <c r="NHI2" s="1898"/>
      <c r="NHQ2" s="1898"/>
      <c r="NHY2" s="1898"/>
      <c r="NIG2" s="1898"/>
      <c r="NIO2" s="1898"/>
      <c r="NIW2" s="1898"/>
      <c r="NJE2" s="1898"/>
      <c r="NJM2" s="1898"/>
      <c r="NJU2" s="1898"/>
      <c r="NKC2" s="1898"/>
      <c r="NKK2" s="1898"/>
      <c r="NKS2" s="1898"/>
      <c r="NLA2" s="1898"/>
      <c r="NLI2" s="1898"/>
      <c r="NLQ2" s="1898"/>
      <c r="NLY2" s="1898"/>
      <c r="NMG2" s="1898"/>
      <c r="NMO2" s="1898"/>
      <c r="NMW2" s="1898"/>
      <c r="NNE2" s="1898"/>
      <c r="NNM2" s="1898"/>
      <c r="NNU2" s="1898"/>
      <c r="NOC2" s="1898"/>
      <c r="NOK2" s="1898"/>
      <c r="NOS2" s="1898"/>
      <c r="NPA2" s="1898"/>
      <c r="NPI2" s="1898"/>
      <c r="NPQ2" s="1898"/>
      <c r="NPY2" s="1898"/>
      <c r="NQG2" s="1898"/>
      <c r="NQO2" s="1898"/>
      <c r="NQW2" s="1898"/>
      <c r="NRE2" s="1898"/>
      <c r="NRM2" s="1898"/>
      <c r="NRU2" s="1898"/>
      <c r="NSC2" s="1898"/>
      <c r="NSK2" s="1898"/>
      <c r="NSS2" s="1898"/>
      <c r="NTA2" s="1898"/>
      <c r="NTI2" s="1898"/>
      <c r="NTQ2" s="1898"/>
      <c r="NTY2" s="1898"/>
      <c r="NUG2" s="1898"/>
      <c r="NUO2" s="1898"/>
      <c r="NUW2" s="1898"/>
      <c r="NVE2" s="1898"/>
      <c r="NVM2" s="1898"/>
      <c r="NVU2" s="1898"/>
      <c r="NWC2" s="1898"/>
      <c r="NWK2" s="1898"/>
      <c r="NWS2" s="1898"/>
      <c r="NXA2" s="1898"/>
      <c r="NXI2" s="1898"/>
      <c r="NXQ2" s="1898"/>
      <c r="NXY2" s="1898"/>
      <c r="NYG2" s="1898"/>
      <c r="NYO2" s="1898"/>
      <c r="NYW2" s="1898"/>
      <c r="NZE2" s="1898"/>
      <c r="NZM2" s="1898"/>
      <c r="NZU2" s="1898"/>
      <c r="OAC2" s="1898"/>
      <c r="OAK2" s="1898"/>
      <c r="OAS2" s="1898"/>
      <c r="OBA2" s="1898"/>
      <c r="OBI2" s="1898"/>
      <c r="OBQ2" s="1898"/>
      <c r="OBY2" s="1898"/>
      <c r="OCG2" s="1898"/>
      <c r="OCO2" s="1898"/>
      <c r="OCW2" s="1898"/>
      <c r="ODE2" s="1898"/>
      <c r="ODM2" s="1898"/>
      <c r="ODU2" s="1898"/>
      <c r="OEC2" s="1898"/>
      <c r="OEK2" s="1898"/>
      <c r="OES2" s="1898"/>
      <c r="OFA2" s="1898"/>
      <c r="OFI2" s="1898"/>
      <c r="OFQ2" s="1898"/>
      <c r="OFY2" s="1898"/>
      <c r="OGG2" s="1898"/>
      <c r="OGO2" s="1898"/>
      <c r="OGW2" s="1898"/>
      <c r="OHE2" s="1898"/>
      <c r="OHM2" s="1898"/>
      <c r="OHU2" s="1898"/>
      <c r="OIC2" s="1898"/>
      <c r="OIK2" s="1898"/>
      <c r="OIS2" s="1898"/>
      <c r="OJA2" s="1898"/>
      <c r="OJI2" s="1898"/>
      <c r="OJQ2" s="1898"/>
      <c r="OJY2" s="1898"/>
      <c r="OKG2" s="1898"/>
      <c r="OKO2" s="1898"/>
      <c r="OKW2" s="1898"/>
      <c r="OLE2" s="1898"/>
      <c r="OLM2" s="1898"/>
      <c r="OLU2" s="1898"/>
      <c r="OMC2" s="1898"/>
      <c r="OMK2" s="1898"/>
      <c r="OMS2" s="1898"/>
      <c r="ONA2" s="1898"/>
      <c r="ONI2" s="1898"/>
      <c r="ONQ2" s="1898"/>
      <c r="ONY2" s="1898"/>
      <c r="OOG2" s="1898"/>
      <c r="OOO2" s="1898"/>
      <c r="OOW2" s="1898"/>
      <c r="OPE2" s="1898"/>
      <c r="OPM2" s="1898"/>
      <c r="OPU2" s="1898"/>
      <c r="OQC2" s="1898"/>
      <c r="OQK2" s="1898"/>
      <c r="OQS2" s="1898"/>
      <c r="ORA2" s="1898"/>
      <c r="ORI2" s="1898"/>
      <c r="ORQ2" s="1898"/>
      <c r="ORY2" s="1898"/>
      <c r="OSG2" s="1898"/>
      <c r="OSO2" s="1898"/>
      <c r="OSW2" s="1898"/>
      <c r="OTE2" s="1898"/>
      <c r="OTM2" s="1898"/>
      <c r="OTU2" s="1898"/>
      <c r="OUC2" s="1898"/>
      <c r="OUK2" s="1898"/>
      <c r="OUS2" s="1898"/>
      <c r="OVA2" s="1898"/>
      <c r="OVI2" s="1898"/>
      <c r="OVQ2" s="1898"/>
      <c r="OVY2" s="1898"/>
      <c r="OWG2" s="1898"/>
      <c r="OWO2" s="1898"/>
      <c r="OWW2" s="1898"/>
      <c r="OXE2" s="1898"/>
      <c r="OXM2" s="1898"/>
      <c r="OXU2" s="1898"/>
      <c r="OYC2" s="1898"/>
      <c r="OYK2" s="1898"/>
      <c r="OYS2" s="1898"/>
      <c r="OZA2" s="1898"/>
      <c r="OZI2" s="1898"/>
      <c r="OZQ2" s="1898"/>
      <c r="OZY2" s="1898"/>
      <c r="PAG2" s="1898"/>
      <c r="PAO2" s="1898"/>
      <c r="PAW2" s="1898"/>
      <c r="PBE2" s="1898"/>
      <c r="PBM2" s="1898"/>
      <c r="PBU2" s="1898"/>
      <c r="PCC2" s="1898"/>
      <c r="PCK2" s="1898"/>
      <c r="PCS2" s="1898"/>
      <c r="PDA2" s="1898"/>
      <c r="PDI2" s="1898"/>
      <c r="PDQ2" s="1898"/>
      <c r="PDY2" s="1898"/>
      <c r="PEG2" s="1898"/>
      <c r="PEO2" s="1898"/>
      <c r="PEW2" s="1898"/>
      <c r="PFE2" s="1898"/>
      <c r="PFM2" s="1898"/>
      <c r="PFU2" s="1898"/>
      <c r="PGC2" s="1898"/>
      <c r="PGK2" s="1898"/>
      <c r="PGS2" s="1898"/>
      <c r="PHA2" s="1898"/>
      <c r="PHI2" s="1898"/>
      <c r="PHQ2" s="1898"/>
      <c r="PHY2" s="1898"/>
      <c r="PIG2" s="1898"/>
      <c r="PIO2" s="1898"/>
      <c r="PIW2" s="1898"/>
      <c r="PJE2" s="1898"/>
      <c r="PJM2" s="1898"/>
      <c r="PJU2" s="1898"/>
      <c r="PKC2" s="1898"/>
      <c r="PKK2" s="1898"/>
      <c r="PKS2" s="1898"/>
      <c r="PLA2" s="1898"/>
      <c r="PLI2" s="1898"/>
      <c r="PLQ2" s="1898"/>
      <c r="PLY2" s="1898"/>
      <c r="PMG2" s="1898"/>
      <c r="PMO2" s="1898"/>
      <c r="PMW2" s="1898"/>
      <c r="PNE2" s="1898"/>
      <c r="PNM2" s="1898"/>
      <c r="PNU2" s="1898"/>
      <c r="POC2" s="1898"/>
      <c r="POK2" s="1898"/>
      <c r="POS2" s="1898"/>
      <c r="PPA2" s="1898"/>
      <c r="PPI2" s="1898"/>
      <c r="PPQ2" s="1898"/>
      <c r="PPY2" s="1898"/>
      <c r="PQG2" s="1898"/>
      <c r="PQO2" s="1898"/>
      <c r="PQW2" s="1898"/>
      <c r="PRE2" s="1898"/>
      <c r="PRM2" s="1898"/>
      <c r="PRU2" s="1898"/>
      <c r="PSC2" s="1898"/>
      <c r="PSK2" s="1898"/>
      <c r="PSS2" s="1898"/>
      <c r="PTA2" s="1898"/>
      <c r="PTI2" s="1898"/>
      <c r="PTQ2" s="1898"/>
      <c r="PTY2" s="1898"/>
      <c r="PUG2" s="1898"/>
      <c r="PUO2" s="1898"/>
      <c r="PUW2" s="1898"/>
      <c r="PVE2" s="1898"/>
      <c r="PVM2" s="1898"/>
      <c r="PVU2" s="1898"/>
      <c r="PWC2" s="1898"/>
      <c r="PWK2" s="1898"/>
      <c r="PWS2" s="1898"/>
      <c r="PXA2" s="1898"/>
      <c r="PXI2" s="1898"/>
      <c r="PXQ2" s="1898"/>
      <c r="PXY2" s="1898"/>
      <c r="PYG2" s="1898"/>
      <c r="PYO2" s="1898"/>
      <c r="PYW2" s="1898"/>
      <c r="PZE2" s="1898"/>
      <c r="PZM2" s="1898"/>
      <c r="PZU2" s="1898"/>
      <c r="QAC2" s="1898"/>
      <c r="QAK2" s="1898"/>
      <c r="QAS2" s="1898"/>
      <c r="QBA2" s="1898"/>
      <c r="QBI2" s="1898"/>
      <c r="QBQ2" s="1898"/>
      <c r="QBY2" s="1898"/>
      <c r="QCG2" s="1898"/>
      <c r="QCO2" s="1898"/>
      <c r="QCW2" s="1898"/>
      <c r="QDE2" s="1898"/>
      <c r="QDM2" s="1898"/>
      <c r="QDU2" s="1898"/>
      <c r="QEC2" s="1898"/>
      <c r="QEK2" s="1898"/>
      <c r="QES2" s="1898"/>
      <c r="QFA2" s="1898"/>
      <c r="QFI2" s="1898"/>
      <c r="QFQ2" s="1898"/>
      <c r="QFY2" s="1898"/>
      <c r="QGG2" s="1898"/>
      <c r="QGO2" s="1898"/>
      <c r="QGW2" s="1898"/>
      <c r="QHE2" s="1898"/>
      <c r="QHM2" s="1898"/>
      <c r="QHU2" s="1898"/>
      <c r="QIC2" s="1898"/>
      <c r="QIK2" s="1898"/>
      <c r="QIS2" s="1898"/>
      <c r="QJA2" s="1898"/>
      <c r="QJI2" s="1898"/>
      <c r="QJQ2" s="1898"/>
      <c r="QJY2" s="1898"/>
      <c r="QKG2" s="1898"/>
      <c r="QKO2" s="1898"/>
      <c r="QKW2" s="1898"/>
      <c r="QLE2" s="1898"/>
      <c r="QLM2" s="1898"/>
      <c r="QLU2" s="1898"/>
      <c r="QMC2" s="1898"/>
      <c r="QMK2" s="1898"/>
      <c r="QMS2" s="1898"/>
      <c r="QNA2" s="1898"/>
      <c r="QNI2" s="1898"/>
      <c r="QNQ2" s="1898"/>
      <c r="QNY2" s="1898"/>
      <c r="QOG2" s="1898"/>
      <c r="QOO2" s="1898"/>
      <c r="QOW2" s="1898"/>
      <c r="QPE2" s="1898"/>
      <c r="QPM2" s="1898"/>
      <c r="QPU2" s="1898"/>
      <c r="QQC2" s="1898"/>
      <c r="QQK2" s="1898"/>
      <c r="QQS2" s="1898"/>
      <c r="QRA2" s="1898"/>
      <c r="QRI2" s="1898"/>
      <c r="QRQ2" s="1898"/>
      <c r="QRY2" s="1898"/>
      <c r="QSG2" s="1898"/>
      <c r="QSO2" s="1898"/>
      <c r="QSW2" s="1898"/>
      <c r="QTE2" s="1898"/>
      <c r="QTM2" s="1898"/>
      <c r="QTU2" s="1898"/>
      <c r="QUC2" s="1898"/>
      <c r="QUK2" s="1898"/>
      <c r="QUS2" s="1898"/>
      <c r="QVA2" s="1898"/>
      <c r="QVI2" s="1898"/>
      <c r="QVQ2" s="1898"/>
      <c r="QVY2" s="1898"/>
      <c r="QWG2" s="1898"/>
      <c r="QWO2" s="1898"/>
      <c r="QWW2" s="1898"/>
      <c r="QXE2" s="1898"/>
      <c r="QXM2" s="1898"/>
      <c r="QXU2" s="1898"/>
      <c r="QYC2" s="1898"/>
      <c r="QYK2" s="1898"/>
      <c r="QYS2" s="1898"/>
      <c r="QZA2" s="1898"/>
      <c r="QZI2" s="1898"/>
      <c r="QZQ2" s="1898"/>
      <c r="QZY2" s="1898"/>
      <c r="RAG2" s="1898"/>
      <c r="RAO2" s="1898"/>
      <c r="RAW2" s="1898"/>
      <c r="RBE2" s="1898"/>
      <c r="RBM2" s="1898"/>
      <c r="RBU2" s="1898"/>
      <c r="RCC2" s="1898"/>
      <c r="RCK2" s="1898"/>
      <c r="RCS2" s="1898"/>
      <c r="RDA2" s="1898"/>
      <c r="RDI2" s="1898"/>
      <c r="RDQ2" s="1898"/>
      <c r="RDY2" s="1898"/>
      <c r="REG2" s="1898"/>
      <c r="REO2" s="1898"/>
      <c r="REW2" s="1898"/>
      <c r="RFE2" s="1898"/>
      <c r="RFM2" s="1898"/>
      <c r="RFU2" s="1898"/>
      <c r="RGC2" s="1898"/>
      <c r="RGK2" s="1898"/>
      <c r="RGS2" s="1898"/>
      <c r="RHA2" s="1898"/>
      <c r="RHI2" s="1898"/>
      <c r="RHQ2" s="1898"/>
      <c r="RHY2" s="1898"/>
      <c r="RIG2" s="1898"/>
      <c r="RIO2" s="1898"/>
      <c r="RIW2" s="1898"/>
      <c r="RJE2" s="1898"/>
      <c r="RJM2" s="1898"/>
      <c r="RJU2" s="1898"/>
      <c r="RKC2" s="1898"/>
      <c r="RKK2" s="1898"/>
      <c r="RKS2" s="1898"/>
      <c r="RLA2" s="1898"/>
      <c r="RLI2" s="1898"/>
      <c r="RLQ2" s="1898"/>
      <c r="RLY2" s="1898"/>
      <c r="RMG2" s="1898"/>
      <c r="RMO2" s="1898"/>
      <c r="RMW2" s="1898"/>
      <c r="RNE2" s="1898"/>
      <c r="RNM2" s="1898"/>
      <c r="RNU2" s="1898"/>
      <c r="ROC2" s="1898"/>
      <c r="ROK2" s="1898"/>
      <c r="ROS2" s="1898"/>
      <c r="RPA2" s="1898"/>
      <c r="RPI2" s="1898"/>
      <c r="RPQ2" s="1898"/>
      <c r="RPY2" s="1898"/>
      <c r="RQG2" s="1898"/>
      <c r="RQO2" s="1898"/>
      <c r="RQW2" s="1898"/>
      <c r="RRE2" s="1898"/>
      <c r="RRM2" s="1898"/>
      <c r="RRU2" s="1898"/>
      <c r="RSC2" s="1898"/>
      <c r="RSK2" s="1898"/>
      <c r="RSS2" s="1898"/>
      <c r="RTA2" s="1898"/>
      <c r="RTI2" s="1898"/>
      <c r="RTQ2" s="1898"/>
      <c r="RTY2" s="1898"/>
      <c r="RUG2" s="1898"/>
      <c r="RUO2" s="1898"/>
      <c r="RUW2" s="1898"/>
      <c r="RVE2" s="1898"/>
      <c r="RVM2" s="1898"/>
      <c r="RVU2" s="1898"/>
      <c r="RWC2" s="1898"/>
      <c r="RWK2" s="1898"/>
      <c r="RWS2" s="1898"/>
      <c r="RXA2" s="1898"/>
      <c r="RXI2" s="1898"/>
      <c r="RXQ2" s="1898"/>
      <c r="RXY2" s="1898"/>
      <c r="RYG2" s="1898"/>
      <c r="RYO2" s="1898"/>
      <c r="RYW2" s="1898"/>
      <c r="RZE2" s="1898"/>
      <c r="RZM2" s="1898"/>
      <c r="RZU2" s="1898"/>
      <c r="SAC2" s="1898"/>
      <c r="SAK2" s="1898"/>
      <c r="SAS2" s="1898"/>
      <c r="SBA2" s="1898"/>
      <c r="SBI2" s="1898"/>
      <c r="SBQ2" s="1898"/>
      <c r="SBY2" s="1898"/>
      <c r="SCG2" s="1898"/>
      <c r="SCO2" s="1898"/>
      <c r="SCW2" s="1898"/>
      <c r="SDE2" s="1898"/>
      <c r="SDM2" s="1898"/>
      <c r="SDU2" s="1898"/>
      <c r="SEC2" s="1898"/>
      <c r="SEK2" s="1898"/>
      <c r="SES2" s="1898"/>
      <c r="SFA2" s="1898"/>
      <c r="SFI2" s="1898"/>
      <c r="SFQ2" s="1898"/>
      <c r="SFY2" s="1898"/>
      <c r="SGG2" s="1898"/>
      <c r="SGO2" s="1898"/>
      <c r="SGW2" s="1898"/>
      <c r="SHE2" s="1898"/>
      <c r="SHM2" s="1898"/>
      <c r="SHU2" s="1898"/>
      <c r="SIC2" s="1898"/>
      <c r="SIK2" s="1898"/>
      <c r="SIS2" s="1898"/>
      <c r="SJA2" s="1898"/>
      <c r="SJI2" s="1898"/>
      <c r="SJQ2" s="1898"/>
      <c r="SJY2" s="1898"/>
      <c r="SKG2" s="1898"/>
      <c r="SKO2" s="1898"/>
      <c r="SKW2" s="1898"/>
      <c r="SLE2" s="1898"/>
      <c r="SLM2" s="1898"/>
      <c r="SLU2" s="1898"/>
      <c r="SMC2" s="1898"/>
      <c r="SMK2" s="1898"/>
      <c r="SMS2" s="1898"/>
      <c r="SNA2" s="1898"/>
      <c r="SNI2" s="1898"/>
      <c r="SNQ2" s="1898"/>
      <c r="SNY2" s="1898"/>
      <c r="SOG2" s="1898"/>
      <c r="SOO2" s="1898"/>
      <c r="SOW2" s="1898"/>
      <c r="SPE2" s="1898"/>
      <c r="SPM2" s="1898"/>
      <c r="SPU2" s="1898"/>
      <c r="SQC2" s="1898"/>
      <c r="SQK2" s="1898"/>
      <c r="SQS2" s="1898"/>
      <c r="SRA2" s="1898"/>
      <c r="SRI2" s="1898"/>
      <c r="SRQ2" s="1898"/>
      <c r="SRY2" s="1898"/>
      <c r="SSG2" s="1898"/>
      <c r="SSO2" s="1898"/>
      <c r="SSW2" s="1898"/>
      <c r="STE2" s="1898"/>
      <c r="STM2" s="1898"/>
      <c r="STU2" s="1898"/>
      <c r="SUC2" s="1898"/>
      <c r="SUK2" s="1898"/>
      <c r="SUS2" s="1898"/>
      <c r="SVA2" s="1898"/>
      <c r="SVI2" s="1898"/>
      <c r="SVQ2" s="1898"/>
      <c r="SVY2" s="1898"/>
      <c r="SWG2" s="1898"/>
      <c r="SWO2" s="1898"/>
      <c r="SWW2" s="1898"/>
      <c r="SXE2" s="1898"/>
      <c r="SXM2" s="1898"/>
      <c r="SXU2" s="1898"/>
      <c r="SYC2" s="1898"/>
      <c r="SYK2" s="1898"/>
      <c r="SYS2" s="1898"/>
      <c r="SZA2" s="1898"/>
      <c r="SZI2" s="1898"/>
      <c r="SZQ2" s="1898"/>
      <c r="SZY2" s="1898"/>
      <c r="TAG2" s="1898"/>
      <c r="TAO2" s="1898"/>
      <c r="TAW2" s="1898"/>
      <c r="TBE2" s="1898"/>
      <c r="TBM2" s="1898"/>
      <c r="TBU2" s="1898"/>
      <c r="TCC2" s="1898"/>
      <c r="TCK2" s="1898"/>
      <c r="TCS2" s="1898"/>
      <c r="TDA2" s="1898"/>
      <c r="TDI2" s="1898"/>
      <c r="TDQ2" s="1898"/>
      <c r="TDY2" s="1898"/>
      <c r="TEG2" s="1898"/>
      <c r="TEO2" s="1898"/>
      <c r="TEW2" s="1898"/>
      <c r="TFE2" s="1898"/>
      <c r="TFM2" s="1898"/>
      <c r="TFU2" s="1898"/>
      <c r="TGC2" s="1898"/>
      <c r="TGK2" s="1898"/>
      <c r="TGS2" s="1898"/>
      <c r="THA2" s="1898"/>
      <c r="THI2" s="1898"/>
      <c r="THQ2" s="1898"/>
      <c r="THY2" s="1898"/>
      <c r="TIG2" s="1898"/>
      <c r="TIO2" s="1898"/>
      <c r="TIW2" s="1898"/>
      <c r="TJE2" s="1898"/>
      <c r="TJM2" s="1898"/>
      <c r="TJU2" s="1898"/>
      <c r="TKC2" s="1898"/>
      <c r="TKK2" s="1898"/>
      <c r="TKS2" s="1898"/>
      <c r="TLA2" s="1898"/>
      <c r="TLI2" s="1898"/>
      <c r="TLQ2" s="1898"/>
      <c r="TLY2" s="1898"/>
      <c r="TMG2" s="1898"/>
      <c r="TMO2" s="1898"/>
      <c r="TMW2" s="1898"/>
      <c r="TNE2" s="1898"/>
      <c r="TNM2" s="1898"/>
      <c r="TNU2" s="1898"/>
      <c r="TOC2" s="1898"/>
      <c r="TOK2" s="1898"/>
      <c r="TOS2" s="1898"/>
      <c r="TPA2" s="1898"/>
      <c r="TPI2" s="1898"/>
      <c r="TPQ2" s="1898"/>
      <c r="TPY2" s="1898"/>
      <c r="TQG2" s="1898"/>
      <c r="TQO2" s="1898"/>
      <c r="TQW2" s="1898"/>
      <c r="TRE2" s="1898"/>
      <c r="TRM2" s="1898"/>
      <c r="TRU2" s="1898"/>
      <c r="TSC2" s="1898"/>
      <c r="TSK2" s="1898"/>
      <c r="TSS2" s="1898"/>
      <c r="TTA2" s="1898"/>
      <c r="TTI2" s="1898"/>
      <c r="TTQ2" s="1898"/>
      <c r="TTY2" s="1898"/>
      <c r="TUG2" s="1898"/>
      <c r="TUO2" s="1898"/>
      <c r="TUW2" s="1898"/>
      <c r="TVE2" s="1898"/>
      <c r="TVM2" s="1898"/>
      <c r="TVU2" s="1898"/>
      <c r="TWC2" s="1898"/>
      <c r="TWK2" s="1898"/>
      <c r="TWS2" s="1898"/>
      <c r="TXA2" s="1898"/>
      <c r="TXI2" s="1898"/>
      <c r="TXQ2" s="1898"/>
      <c r="TXY2" s="1898"/>
      <c r="TYG2" s="1898"/>
      <c r="TYO2" s="1898"/>
      <c r="TYW2" s="1898"/>
      <c r="TZE2" s="1898"/>
      <c r="TZM2" s="1898"/>
      <c r="TZU2" s="1898"/>
      <c r="UAC2" s="1898"/>
      <c r="UAK2" s="1898"/>
      <c r="UAS2" s="1898"/>
      <c r="UBA2" s="1898"/>
      <c r="UBI2" s="1898"/>
      <c r="UBQ2" s="1898"/>
      <c r="UBY2" s="1898"/>
      <c r="UCG2" s="1898"/>
      <c r="UCO2" s="1898"/>
      <c r="UCW2" s="1898"/>
      <c r="UDE2" s="1898"/>
      <c r="UDM2" s="1898"/>
      <c r="UDU2" s="1898"/>
      <c r="UEC2" s="1898"/>
      <c r="UEK2" s="1898"/>
      <c r="UES2" s="1898"/>
      <c r="UFA2" s="1898"/>
      <c r="UFI2" s="1898"/>
      <c r="UFQ2" s="1898"/>
      <c r="UFY2" s="1898"/>
      <c r="UGG2" s="1898"/>
      <c r="UGO2" s="1898"/>
      <c r="UGW2" s="1898"/>
      <c r="UHE2" s="1898"/>
      <c r="UHM2" s="1898"/>
      <c r="UHU2" s="1898"/>
      <c r="UIC2" s="1898"/>
      <c r="UIK2" s="1898"/>
      <c r="UIS2" s="1898"/>
      <c r="UJA2" s="1898"/>
      <c r="UJI2" s="1898"/>
      <c r="UJQ2" s="1898"/>
      <c r="UJY2" s="1898"/>
      <c r="UKG2" s="1898"/>
      <c r="UKO2" s="1898"/>
      <c r="UKW2" s="1898"/>
      <c r="ULE2" s="1898"/>
      <c r="ULM2" s="1898"/>
      <c r="ULU2" s="1898"/>
      <c r="UMC2" s="1898"/>
      <c r="UMK2" s="1898"/>
      <c r="UMS2" s="1898"/>
      <c r="UNA2" s="1898"/>
      <c r="UNI2" s="1898"/>
      <c r="UNQ2" s="1898"/>
      <c r="UNY2" s="1898"/>
      <c r="UOG2" s="1898"/>
      <c r="UOO2" s="1898"/>
      <c r="UOW2" s="1898"/>
      <c r="UPE2" s="1898"/>
      <c r="UPM2" s="1898"/>
      <c r="UPU2" s="1898"/>
      <c r="UQC2" s="1898"/>
      <c r="UQK2" s="1898"/>
      <c r="UQS2" s="1898"/>
      <c r="URA2" s="1898"/>
      <c r="URI2" s="1898"/>
      <c r="URQ2" s="1898"/>
      <c r="URY2" s="1898"/>
      <c r="USG2" s="1898"/>
      <c r="USO2" s="1898"/>
      <c r="USW2" s="1898"/>
      <c r="UTE2" s="1898"/>
      <c r="UTM2" s="1898"/>
      <c r="UTU2" s="1898"/>
      <c r="UUC2" s="1898"/>
      <c r="UUK2" s="1898"/>
      <c r="UUS2" s="1898"/>
      <c r="UVA2" s="1898"/>
      <c r="UVI2" s="1898"/>
      <c r="UVQ2" s="1898"/>
      <c r="UVY2" s="1898"/>
      <c r="UWG2" s="1898"/>
      <c r="UWO2" s="1898"/>
      <c r="UWW2" s="1898"/>
      <c r="UXE2" s="1898"/>
      <c r="UXM2" s="1898"/>
      <c r="UXU2" s="1898"/>
      <c r="UYC2" s="1898"/>
      <c r="UYK2" s="1898"/>
      <c r="UYS2" s="1898"/>
      <c r="UZA2" s="1898"/>
      <c r="UZI2" s="1898"/>
      <c r="UZQ2" s="1898"/>
      <c r="UZY2" s="1898"/>
      <c r="VAG2" s="1898"/>
      <c r="VAO2" s="1898"/>
      <c r="VAW2" s="1898"/>
      <c r="VBE2" s="1898"/>
      <c r="VBM2" s="1898"/>
      <c r="VBU2" s="1898"/>
      <c r="VCC2" s="1898"/>
      <c r="VCK2" s="1898"/>
      <c r="VCS2" s="1898"/>
      <c r="VDA2" s="1898"/>
      <c r="VDI2" s="1898"/>
      <c r="VDQ2" s="1898"/>
      <c r="VDY2" s="1898"/>
      <c r="VEG2" s="1898"/>
      <c r="VEO2" s="1898"/>
      <c r="VEW2" s="1898"/>
      <c r="VFE2" s="1898"/>
      <c r="VFM2" s="1898"/>
      <c r="VFU2" s="1898"/>
      <c r="VGC2" s="1898"/>
      <c r="VGK2" s="1898"/>
      <c r="VGS2" s="1898"/>
      <c r="VHA2" s="1898"/>
      <c r="VHI2" s="1898"/>
      <c r="VHQ2" s="1898"/>
      <c r="VHY2" s="1898"/>
      <c r="VIG2" s="1898"/>
      <c r="VIO2" s="1898"/>
      <c r="VIW2" s="1898"/>
      <c r="VJE2" s="1898"/>
      <c r="VJM2" s="1898"/>
      <c r="VJU2" s="1898"/>
      <c r="VKC2" s="1898"/>
      <c r="VKK2" s="1898"/>
      <c r="VKS2" s="1898"/>
      <c r="VLA2" s="1898"/>
      <c r="VLI2" s="1898"/>
      <c r="VLQ2" s="1898"/>
      <c r="VLY2" s="1898"/>
      <c r="VMG2" s="1898"/>
      <c r="VMO2" s="1898"/>
      <c r="VMW2" s="1898"/>
      <c r="VNE2" s="1898"/>
      <c r="VNM2" s="1898"/>
      <c r="VNU2" s="1898"/>
      <c r="VOC2" s="1898"/>
      <c r="VOK2" s="1898"/>
      <c r="VOS2" s="1898"/>
      <c r="VPA2" s="1898"/>
      <c r="VPI2" s="1898"/>
      <c r="VPQ2" s="1898"/>
      <c r="VPY2" s="1898"/>
      <c r="VQG2" s="1898"/>
      <c r="VQO2" s="1898"/>
      <c r="VQW2" s="1898"/>
      <c r="VRE2" s="1898"/>
      <c r="VRM2" s="1898"/>
      <c r="VRU2" s="1898"/>
      <c r="VSC2" s="1898"/>
      <c r="VSK2" s="1898"/>
      <c r="VSS2" s="1898"/>
      <c r="VTA2" s="1898"/>
      <c r="VTI2" s="1898"/>
      <c r="VTQ2" s="1898"/>
      <c r="VTY2" s="1898"/>
      <c r="VUG2" s="1898"/>
      <c r="VUO2" s="1898"/>
      <c r="VUW2" s="1898"/>
      <c r="VVE2" s="1898"/>
      <c r="VVM2" s="1898"/>
      <c r="VVU2" s="1898"/>
      <c r="VWC2" s="1898"/>
      <c r="VWK2" s="1898"/>
      <c r="VWS2" s="1898"/>
      <c r="VXA2" s="1898"/>
      <c r="VXI2" s="1898"/>
      <c r="VXQ2" s="1898"/>
      <c r="VXY2" s="1898"/>
      <c r="VYG2" s="1898"/>
      <c r="VYO2" s="1898"/>
      <c r="VYW2" s="1898"/>
      <c r="VZE2" s="1898"/>
      <c r="VZM2" s="1898"/>
      <c r="VZU2" s="1898"/>
      <c r="WAC2" s="1898"/>
      <c r="WAK2" s="1898"/>
      <c r="WAS2" s="1898"/>
      <c r="WBA2" s="1898"/>
      <c r="WBI2" s="1898"/>
      <c r="WBQ2" s="1898"/>
      <c r="WBY2" s="1898"/>
      <c r="WCG2" s="1898"/>
      <c r="WCO2" s="1898"/>
      <c r="WCW2" s="1898"/>
      <c r="WDE2" s="1898"/>
      <c r="WDM2" s="1898"/>
      <c r="WDU2" s="1898"/>
      <c r="WEC2" s="1898"/>
      <c r="WEK2" s="1898"/>
      <c r="WES2" s="1898"/>
      <c r="WFA2" s="1898"/>
      <c r="WFI2" s="1898"/>
      <c r="WFQ2" s="1898"/>
      <c r="WFY2" s="1898"/>
      <c r="WGG2" s="1898"/>
      <c r="WGO2" s="1898"/>
      <c r="WGW2" s="1898"/>
      <c r="WHE2" s="1898"/>
      <c r="WHM2" s="1898"/>
      <c r="WHU2" s="1898"/>
      <c r="WIC2" s="1898"/>
      <c r="WIK2" s="1898"/>
      <c r="WIS2" s="1898"/>
      <c r="WJA2" s="1898"/>
      <c r="WJI2" s="1898"/>
      <c r="WJQ2" s="1898"/>
      <c r="WJY2" s="1898"/>
      <c r="WKG2" s="1898"/>
      <c r="WKO2" s="1898"/>
      <c r="WKW2" s="1898"/>
      <c r="WLE2" s="1898"/>
      <c r="WLM2" s="1898"/>
      <c r="WLU2" s="1898"/>
      <c r="WMC2" s="1898"/>
      <c r="WMK2" s="1898"/>
      <c r="WMS2" s="1898"/>
      <c r="WNA2" s="1898"/>
      <c r="WNI2" s="1898"/>
      <c r="WNQ2" s="1898"/>
      <c r="WNY2" s="1898"/>
      <c r="WOG2" s="1898"/>
      <c r="WOO2" s="1898"/>
      <c r="WOW2" s="1898"/>
      <c r="WPE2" s="1898"/>
      <c r="WPM2" s="1898"/>
      <c r="WPU2" s="1898"/>
      <c r="WQC2" s="1898"/>
      <c r="WQK2" s="1898"/>
      <c r="WQS2" s="1898"/>
      <c r="WRA2" s="1898"/>
      <c r="WRI2" s="1898"/>
      <c r="WRQ2" s="1898"/>
      <c r="WRY2" s="1898"/>
      <c r="WSG2" s="1898"/>
      <c r="WSO2" s="1898"/>
      <c r="WSW2" s="1898"/>
      <c r="WTE2" s="1898"/>
      <c r="WTM2" s="1898"/>
      <c r="WTU2" s="1898"/>
      <c r="WUC2" s="1898"/>
      <c r="WUK2" s="1898"/>
      <c r="WUS2" s="1898"/>
      <c r="WVA2" s="1898"/>
      <c r="WVI2" s="1898"/>
      <c r="WVQ2" s="1898"/>
      <c r="WVY2" s="1898"/>
      <c r="WWG2" s="1898"/>
      <c r="WWO2" s="1898"/>
      <c r="WWW2" s="1898"/>
      <c r="WXE2" s="1898"/>
      <c r="WXM2" s="1898"/>
      <c r="WXU2" s="1898"/>
      <c r="WYC2" s="1898"/>
      <c r="WYK2" s="1898"/>
      <c r="WYS2" s="1898"/>
      <c r="WZA2" s="1898"/>
      <c r="WZI2" s="1898"/>
      <c r="WZQ2" s="1898"/>
      <c r="WZY2" s="1898"/>
      <c r="XAG2" s="1898"/>
      <c r="XAO2" s="1898"/>
      <c r="XAW2" s="1898"/>
      <c r="XBE2" s="1898"/>
      <c r="XBM2" s="1898"/>
      <c r="XBU2" s="1898"/>
      <c r="XCC2" s="1898"/>
      <c r="XCK2" s="1898"/>
      <c r="XCS2" s="1898"/>
      <c r="XDA2" s="1898"/>
      <c r="XDI2" s="1898"/>
      <c r="XDQ2" s="1898"/>
      <c r="XDY2" s="1898"/>
      <c r="XEG2" s="1898"/>
      <c r="XEO2" s="1898"/>
      <c r="XEW2" s="1898"/>
    </row>
    <row r="3" spans="1:1017 1025:2041 2049:3065 3073:4089 4097:5113 5121:6137 6145:7161 7169:8185 8193:9209 9217:10233 10241:11257 11265:12281 12289:13305 13313:14329 14337:15353 15361:16377" s="1073" customFormat="1" ht="22" thickTop="1">
      <c r="B3" s="1556" t="s">
        <v>5150</v>
      </c>
    </row>
    <row r="4" spans="1:1017 1025:2041 2049:3065 3073:4089 4097:5113 5121:6137 6145:7161 7169:8185 8193:9209 9217:10233 10241:11257 11265:12281 12289:13305 13313:14329 14337:15353 15361:16377" ht="18" customHeight="1" thickBot="1">
      <c r="B4" s="402" t="s">
        <v>5151</v>
      </c>
      <c r="C4" s="1557"/>
      <c r="D4" s="1557"/>
      <c r="E4" s="1557"/>
      <c r="F4" s="1557"/>
      <c r="G4" s="1558"/>
      <c r="H4" s="1558"/>
    </row>
    <row r="5" spans="1:1017 1025:2041 2049:3065 3073:4089 4097:5113 5121:6137 6145:7161 7169:8185 8193:9209 9217:10233 10241:11257 11265:12281 12289:13305 13313:14329 14337:15353 15361:16377" ht="27" customHeight="1">
      <c r="B5" s="349" t="s">
        <v>5152</v>
      </c>
      <c r="D5" s="76" t="s">
        <v>5153</v>
      </c>
      <c r="E5" s="76"/>
      <c r="G5"/>
    </row>
    <row r="6" spans="1:1017 1025:2041 2049:3065 3073:4089 4097:5113 5121:6137 6145:7161 7169:8185 8193:9209 9217:10233 10241:11257 11265:12281 12289:13305 13313:14329 14337:15353 15361:16377" ht="18" customHeight="1">
      <c r="B6" s="2183"/>
      <c r="C6" s="2183"/>
      <c r="D6" s="157" t="s">
        <v>5156</v>
      </c>
      <c r="G6"/>
    </row>
    <row r="7" spans="1:1017 1025:2041 2049:3065 3073:4089 4097:5113 5121:6137 6145:7161 7169:8185 8193:9209 9217:10233 10241:11257 11265:12281 12289:13305 13313:14329 14337:15353 15361:16377" ht="18" customHeight="1">
      <c r="B7" s="2183"/>
      <c r="C7" s="2183"/>
      <c r="D7" s="157" t="s">
        <v>5577</v>
      </c>
      <c r="G7"/>
    </row>
    <row r="8" spans="1:1017 1025:2041 2049:3065 3073:4089 4097:5113 5121:6137 6145:7161 7169:8185 8193:9209 9217:10233 10241:11257 11265:12281 12289:13305 13313:14329 14337:15353 15361:16377" ht="18" customHeight="1">
      <c r="B8" s="2183"/>
      <c r="C8" s="2183"/>
      <c r="D8" s="157" t="s">
        <v>5156</v>
      </c>
      <c r="G8"/>
    </row>
    <row r="9" spans="1:1017 1025:2041 2049:3065 3073:4089 4097:5113 5121:6137 6145:7161 7169:8185 8193:9209 9217:10233 10241:11257 11265:12281 12289:13305 13313:14329 14337:15353 15361:16377" ht="18" customHeight="1">
      <c r="B9" s="2183"/>
      <c r="C9" s="2183"/>
      <c r="D9" s="157" t="s">
        <v>5156</v>
      </c>
      <c r="E9" s="192"/>
      <c r="G9"/>
    </row>
    <row r="10" spans="1:1017 1025:2041 2049:3065 3073:4089 4097:5113 5121:6137 6145:7161 7169:8185 8193:9209 9217:10233 10241:11257 11265:12281 12289:13305 13313:14329 14337:15353 15361:16377" ht="15.65" hidden="1" customHeight="1">
      <c r="B10" s="2183"/>
      <c r="C10" s="2183"/>
      <c r="E10" s="192"/>
      <c r="G10"/>
    </row>
    <row r="11" spans="1:1017 1025:2041 2049:3065 3073:4089 4097:5113 5121:6137 6145:7161 7169:8185 8193:9209 9217:10233 10241:11257 11265:12281 12289:13305 13313:14329 14337:15353 15361:16377" ht="18" customHeight="1">
      <c r="B11" s="2183"/>
      <c r="C11" s="2183"/>
      <c r="D11" s="18" t="s">
        <v>5578</v>
      </c>
      <c r="E11" s="18"/>
      <c r="G11"/>
    </row>
    <row r="12" spans="1:1017 1025:2041 2049:3065 3073:4089 4097:5113 5121:6137 6145:7161 7169:8185 8193:9209 9217:10233 10241:11257 11265:12281 12289:13305 13313:14329 14337:15353 15361:16377" ht="18" customHeight="1">
      <c r="B12" s="2183"/>
      <c r="C12" s="2183"/>
      <c r="D12" s="157" t="s">
        <v>5156</v>
      </c>
      <c r="E12" s="18"/>
      <c r="G12"/>
    </row>
    <row r="13" spans="1:1017 1025:2041 2049:3065 3073:4089 4097:5113 5121:6137 6145:7161 7169:8185 8193:9209 9217:10233 10241:11257 11265:12281 12289:13305 13313:14329 14337:15353 15361:16377" ht="18" customHeight="1">
      <c r="B13" s="2183"/>
      <c r="C13" s="2183"/>
      <c r="D13" s="2186" t="s">
        <v>5156</v>
      </c>
      <c r="E13" s="2186"/>
      <c r="G13"/>
    </row>
    <row r="14" spans="1:1017 1025:2041 2049:3065 3073:4089 4097:5113 5121:6137 6145:7161 7169:8185 8193:9209 9217:10233 10241:11257 11265:12281 12289:13305 13313:14329 14337:15353 15361:16377" ht="18" customHeight="1">
      <c r="B14" s="2183"/>
      <c r="C14" s="2183"/>
      <c r="D14" s="2186"/>
      <c r="E14" s="2186"/>
    </row>
    <row r="15" spans="1:1017 1025:2041 2049:3065 3073:4089 4097:5113 5121:6137 6145:7161 7169:8185 8193:9209 9217:10233 10241:11257 11265:12281 12289:13305 13313:14329 14337:15353 15361:16377" ht="18" customHeight="1">
      <c r="B15" s="2183"/>
      <c r="C15" s="2183"/>
      <c r="D15" s="157" t="s">
        <v>5156</v>
      </c>
      <c r="E15" s="18"/>
    </row>
    <row r="16" spans="1:1017 1025:2041 2049:3065 3073:4089 4097:5113 5121:6137 6145:7161 7169:8185 8193:9209 9217:10233 10241:11257 11265:12281 12289:13305 13313:14329 14337:15353 15361:16377" ht="18" customHeight="1">
      <c r="B16" s="2183"/>
      <c r="C16" s="2183"/>
      <c r="D16" s="2186" t="s">
        <v>5156</v>
      </c>
      <c r="E16" s="2186"/>
    </row>
    <row r="17" spans="2:10" ht="18" customHeight="1">
      <c r="B17" s="2183"/>
      <c r="C17" s="2183"/>
      <c r="D17" s="2186"/>
      <c r="E17" s="2186"/>
    </row>
    <row r="18" spans="2:10" ht="18" customHeight="1">
      <c r="B18" s="2183"/>
      <c r="C18" s="2183"/>
      <c r="D18" s="157" t="s">
        <v>5156</v>
      </c>
      <c r="E18" s="192"/>
    </row>
    <row r="19" spans="2:10" ht="18" customHeight="1">
      <c r="B19" s="2183"/>
      <c r="C19" s="2183"/>
      <c r="D19" s="157" t="s">
        <v>5156</v>
      </c>
      <c r="E19" s="192"/>
    </row>
    <row r="20" spans="2:10" ht="18" customHeight="1">
      <c r="B20" s="1425"/>
      <c r="C20" s="1425"/>
      <c r="D20" s="157" t="s">
        <v>5156</v>
      </c>
      <c r="E20" s="192"/>
    </row>
    <row r="21" spans="2:10" ht="18" customHeight="1">
      <c r="B21" s="1425"/>
      <c r="C21" s="1425"/>
      <c r="D21" s="157" t="s">
        <v>5156</v>
      </c>
      <c r="E21" s="192"/>
    </row>
    <row r="22" spans="2:10" ht="19" customHeight="1">
      <c r="B22" s="2183"/>
      <c r="C22" s="2183"/>
    </row>
    <row r="23" spans="2:10" ht="18" customHeight="1" thickBot="1">
      <c r="B23" s="402" t="s">
        <v>5155</v>
      </c>
      <c r="C23" s="402"/>
      <c r="D23" s="402"/>
      <c r="E23" s="402"/>
      <c r="F23" s="402"/>
      <c r="G23" s="1560"/>
      <c r="H23" s="1560"/>
    </row>
    <row r="24" spans="2:10" ht="27" customHeight="1">
      <c r="B24" s="349" t="s">
        <v>5152</v>
      </c>
      <c r="D24" s="76" t="s">
        <v>5153</v>
      </c>
      <c r="E24" s="76"/>
      <c r="F24" s="1561"/>
    </row>
    <row r="25" spans="2:10" ht="18" customHeight="1">
      <c r="B25" s="1559"/>
      <c r="D25" s="157" t="s">
        <v>5156</v>
      </c>
    </row>
    <row r="26" spans="2:10" ht="18" customHeight="1">
      <c r="B26" s="1559"/>
      <c r="D26" s="157" t="s">
        <v>15</v>
      </c>
    </row>
    <row r="27" spans="2:10" ht="18" customHeight="1">
      <c r="B27" s="1559"/>
      <c r="D27" s="192" t="s">
        <v>5157</v>
      </c>
      <c r="E27" s="192"/>
    </row>
    <row r="28" spans="2:10" ht="2.5" customHeight="1">
      <c r="E28" s="42"/>
      <c r="I28" s="42"/>
      <c r="J28" s="42"/>
    </row>
    <row r="29" spans="2:10" ht="15" customHeight="1">
      <c r="D29" s="157" t="s">
        <v>15</v>
      </c>
    </row>
    <row r="30" spans="2:10" ht="18" customHeight="1">
      <c r="D30" s="192" t="s">
        <v>15</v>
      </c>
      <c r="E30" s="192"/>
    </row>
    <row r="31" spans="2:10" ht="21" customHeight="1">
      <c r="B31" s="193"/>
      <c r="D31" s="157" t="s">
        <v>15</v>
      </c>
    </row>
    <row r="32" spans="2:10" ht="16.5" customHeight="1"/>
    <row r="33" spans="1:9" ht="16.5" customHeight="1">
      <c r="B33" s="2185" t="s">
        <v>5158</v>
      </c>
      <c r="C33" s="2185"/>
      <c r="D33" s="2185"/>
      <c r="E33" s="2185"/>
      <c r="F33" s="2185"/>
      <c r="G33" s="2185"/>
      <c r="H33" s="2185"/>
    </row>
    <row r="34" spans="1:9" s="192" customFormat="1" ht="16.5" customHeight="1">
      <c r="B34" s="2182" t="s">
        <v>5159</v>
      </c>
      <c r="C34" s="2182"/>
      <c r="D34" s="2182"/>
      <c r="E34" s="2182"/>
      <c r="F34" s="2182"/>
      <c r="G34" s="2182"/>
      <c r="H34" s="2182"/>
      <c r="I34" s="2182"/>
    </row>
    <row r="35" spans="1:9" ht="16.5" customHeight="1"/>
    <row r="36" spans="1:9" ht="16.5" customHeight="1"/>
    <row r="37" spans="1:9" s="94" customFormat="1" ht="16.5" customHeight="1">
      <c r="A37" s="157"/>
    </row>
    <row r="38" spans="1:9" ht="16.5" customHeight="1">
      <c r="B38" s="195" t="s">
        <v>223</v>
      </c>
      <c r="C38" s="1021" t="str">
        <f>Version</f>
        <v>2.0</v>
      </c>
      <c r="G38" s="1562" t="s">
        <v>225</v>
      </c>
      <c r="H38" s="1563" t="str">
        <f>Development!$A$4</f>
        <v>4.01.2024</v>
      </c>
    </row>
    <row r="39" spans="1:9" ht="16.5" customHeight="1"/>
    <row r="40" spans="1:9" ht="16.5" customHeight="1"/>
    <row r="41" spans="1:9" ht="16.5" customHeight="1"/>
    <row r="42" spans="1:9" ht="16.5" customHeight="1"/>
    <row r="43" spans="1:9" ht="16.5" customHeight="1"/>
    <row r="44" spans="1:9" ht="16.5" customHeight="1"/>
    <row r="45" spans="1:9" ht="16.5" customHeight="1"/>
    <row r="46" spans="1:9" ht="16.5" customHeight="1"/>
    <row r="47" spans="1:9" ht="16.5" customHeight="1"/>
    <row r="48" spans="1:9" ht="16.5" customHeight="1"/>
    <row r="49" ht="16.5" customHeight="1"/>
    <row r="50" ht="16.5" customHeight="1"/>
    <row r="51" ht="16.5" customHeight="1"/>
    <row r="52" ht="16.5" customHeight="1"/>
    <row r="53" ht="16.5" customHeight="1"/>
    <row r="54" ht="16.5" customHeight="1"/>
    <row r="55" ht="16.5" customHeight="1"/>
    <row r="56" ht="16.5" customHeight="1"/>
    <row r="57" ht="16.5" customHeight="1"/>
    <row r="58" ht="16.5" customHeight="1"/>
    <row r="59" ht="16.5" customHeight="1"/>
    <row r="60" ht="16.5" customHeight="1"/>
    <row r="61" ht="16.5" customHeight="1"/>
    <row r="62" ht="16.5" customHeight="1"/>
    <row r="63" ht="16.5" customHeight="1"/>
    <row r="64"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sheetData>
  <sheetProtection algorithmName="SHA-512" hashValue="2v1M+Pc2K4dL1zK+s+UeyemtF8ZGr0TT5ldpgptXFThT+HgXup8W4oSaBy1zTjp2QXvzSEuAvycVkDPCZ5KoVQ==" saltValue="hrkqtKk3f0VL1fOtm2JWag==" spinCount="100000" sheet="1" objects="1" scenarios="1"/>
  <mergeCells count="19">
    <mergeCell ref="B6:C6"/>
    <mergeCell ref="B7:C7"/>
    <mergeCell ref="B8:C8"/>
    <mergeCell ref="B9:C9"/>
    <mergeCell ref="B10:C10"/>
    <mergeCell ref="B34:I34"/>
    <mergeCell ref="B33:H33"/>
    <mergeCell ref="B11:C11"/>
    <mergeCell ref="B12:C12"/>
    <mergeCell ref="B13:C13"/>
    <mergeCell ref="B14:C14"/>
    <mergeCell ref="B15:C15"/>
    <mergeCell ref="B16:C16"/>
    <mergeCell ref="B17:C17"/>
    <mergeCell ref="B18:C18"/>
    <mergeCell ref="B19:C19"/>
    <mergeCell ref="B22:C22"/>
    <mergeCell ref="D13:E14"/>
    <mergeCell ref="D16:E17"/>
  </mergeCells>
  <conditionalFormatting sqref="A1:XFD1">
    <cfRule type="cellIs" dxfId="95" priority="1" stopIfTrue="1" operator="equal">
      <formula>"Missing Info"</formula>
    </cfRule>
  </conditionalFormatting>
  <printOptions horizontalCentered="1"/>
  <pageMargins left="0" right="0" top="0.25" bottom="0.25" header="0.3" footer="0.3"/>
  <pageSetup scale="67" orientation="portrait" r:id="rId1"/>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35201" r:id="rId4" name="Check Box 1">
              <controlPr defaultSize="0" autoFill="0" autoLine="0" autoPict="0">
                <anchor moveWithCells="1">
                  <from>
                    <xdr:col>16383</xdr:col>
                    <xdr:colOff>0</xdr:colOff>
                    <xdr:row>3</xdr:row>
                    <xdr:rowOff>0</xdr:rowOff>
                  </from>
                  <to>
                    <xdr:col>16383</xdr:col>
                    <xdr:colOff>0</xdr:colOff>
                    <xdr:row>3</xdr:row>
                    <xdr:rowOff>0</xdr:rowOff>
                  </to>
                </anchor>
              </controlPr>
            </control>
          </mc:Choice>
        </mc:AlternateContent>
        <mc:AlternateContent xmlns:mc="http://schemas.openxmlformats.org/markup-compatibility/2006">
          <mc:Choice Requires="x14">
            <control shapeId="435202" r:id="rId5" name="Check Box 2">
              <controlPr defaultSize="0" autoFill="0" autoLine="0" autoPict="0">
                <anchor moveWithCells="1">
                  <from>
                    <xdr:col>16383</xdr:col>
                    <xdr:colOff>0</xdr:colOff>
                    <xdr:row>3</xdr:row>
                    <xdr:rowOff>0</xdr:rowOff>
                  </from>
                  <to>
                    <xdr:col>16383</xdr:col>
                    <xdr:colOff>0</xdr:colOff>
                    <xdr:row>3</xdr:row>
                    <xdr:rowOff>0</xdr:rowOff>
                  </to>
                </anchor>
              </controlPr>
            </control>
          </mc:Choice>
        </mc:AlternateContent>
        <mc:AlternateContent xmlns:mc="http://schemas.openxmlformats.org/markup-compatibility/2006">
          <mc:Choice Requires="x14">
            <control shapeId="435203" r:id="rId6" name="Check Box 3">
              <controlPr defaultSize="0" autoFill="0" autoLine="0" autoPict="0">
                <anchor moveWithCells="1">
                  <from>
                    <xdr:col>1</xdr:col>
                    <xdr:colOff>742950</xdr:colOff>
                    <xdr:row>5</xdr:row>
                    <xdr:rowOff>50800</xdr:rowOff>
                  </from>
                  <to>
                    <xdr:col>2</xdr:col>
                    <xdr:colOff>3714750</xdr:colOff>
                    <xdr:row>5</xdr:row>
                    <xdr:rowOff>209550</xdr:rowOff>
                  </to>
                </anchor>
              </controlPr>
            </control>
          </mc:Choice>
        </mc:AlternateContent>
        <mc:AlternateContent xmlns:mc="http://schemas.openxmlformats.org/markup-compatibility/2006">
          <mc:Choice Requires="x14">
            <control shapeId="435205" r:id="rId7" name="Check Box 5">
              <controlPr defaultSize="0" autoFill="0" autoLine="0" autoPict="0">
                <anchor moveWithCells="1">
                  <from>
                    <xdr:col>1</xdr:col>
                    <xdr:colOff>552450</xdr:colOff>
                    <xdr:row>24</xdr:row>
                    <xdr:rowOff>0</xdr:rowOff>
                  </from>
                  <to>
                    <xdr:col>2</xdr:col>
                    <xdr:colOff>3536950</xdr:colOff>
                    <xdr:row>24</xdr:row>
                    <xdr:rowOff>209550</xdr:rowOff>
                  </to>
                </anchor>
              </controlPr>
            </control>
          </mc:Choice>
        </mc:AlternateContent>
        <mc:AlternateContent xmlns:mc="http://schemas.openxmlformats.org/markup-compatibility/2006">
          <mc:Choice Requires="x14">
            <control shapeId="435206" r:id="rId8" name="Check Box 6">
              <controlPr defaultSize="0" autoFill="0" autoLine="0" autoPict="0">
                <anchor moveWithCells="1">
                  <from>
                    <xdr:col>1</xdr:col>
                    <xdr:colOff>565150</xdr:colOff>
                    <xdr:row>25</xdr:row>
                    <xdr:rowOff>19050</xdr:rowOff>
                  </from>
                  <to>
                    <xdr:col>2</xdr:col>
                    <xdr:colOff>3536950</xdr:colOff>
                    <xdr:row>26</xdr:row>
                    <xdr:rowOff>0</xdr:rowOff>
                  </to>
                </anchor>
              </controlPr>
            </control>
          </mc:Choice>
        </mc:AlternateContent>
        <mc:AlternateContent xmlns:mc="http://schemas.openxmlformats.org/markup-compatibility/2006">
          <mc:Choice Requires="x14">
            <control shapeId="435208" r:id="rId9" name="Check Box 8">
              <controlPr defaultSize="0" autoFill="0" autoLine="0" autoPict="0">
                <anchor moveWithCells="1">
                  <from>
                    <xdr:col>1</xdr:col>
                    <xdr:colOff>774700</xdr:colOff>
                    <xdr:row>17</xdr:row>
                    <xdr:rowOff>19050</xdr:rowOff>
                  </from>
                  <to>
                    <xdr:col>2</xdr:col>
                    <xdr:colOff>3746500</xdr:colOff>
                    <xdr:row>18</xdr:row>
                    <xdr:rowOff>0</xdr:rowOff>
                  </to>
                </anchor>
              </controlPr>
            </control>
          </mc:Choice>
        </mc:AlternateContent>
        <mc:AlternateContent xmlns:mc="http://schemas.openxmlformats.org/markup-compatibility/2006">
          <mc:Choice Requires="x14">
            <control shapeId="435210" r:id="rId10" name="Check Box 10">
              <controlPr defaultSize="0" autoFill="0" autoLine="0" autoPict="0">
                <anchor moveWithCells="1">
                  <from>
                    <xdr:col>1</xdr:col>
                    <xdr:colOff>774700</xdr:colOff>
                    <xdr:row>15</xdr:row>
                    <xdr:rowOff>69850</xdr:rowOff>
                  </from>
                  <to>
                    <xdr:col>2</xdr:col>
                    <xdr:colOff>3752850</xdr:colOff>
                    <xdr:row>16</xdr:row>
                    <xdr:rowOff>165100</xdr:rowOff>
                  </to>
                </anchor>
              </controlPr>
            </control>
          </mc:Choice>
        </mc:AlternateContent>
        <mc:AlternateContent xmlns:mc="http://schemas.openxmlformats.org/markup-compatibility/2006">
          <mc:Choice Requires="x14">
            <control shapeId="435211" r:id="rId11" name="Check Box 11">
              <controlPr defaultSize="0" autoFill="0" autoLine="0" autoPict="0">
                <anchor moveWithCells="1">
                  <from>
                    <xdr:col>1</xdr:col>
                    <xdr:colOff>774700</xdr:colOff>
                    <xdr:row>18</xdr:row>
                    <xdr:rowOff>12700</xdr:rowOff>
                  </from>
                  <to>
                    <xdr:col>2</xdr:col>
                    <xdr:colOff>3733800</xdr:colOff>
                    <xdr:row>18</xdr:row>
                    <xdr:rowOff>222250</xdr:rowOff>
                  </to>
                </anchor>
              </controlPr>
            </control>
          </mc:Choice>
        </mc:AlternateContent>
        <mc:AlternateContent xmlns:mc="http://schemas.openxmlformats.org/markup-compatibility/2006">
          <mc:Choice Requires="x14">
            <control shapeId="435212" r:id="rId12" name="Check Box 12">
              <controlPr defaultSize="0" autoFill="0" autoLine="0" autoPict="0">
                <anchor moveWithCells="1">
                  <from>
                    <xdr:col>1</xdr:col>
                    <xdr:colOff>571500</xdr:colOff>
                    <xdr:row>26</xdr:row>
                    <xdr:rowOff>31750</xdr:rowOff>
                  </from>
                  <to>
                    <xdr:col>2</xdr:col>
                    <xdr:colOff>3556000</xdr:colOff>
                    <xdr:row>27</xdr:row>
                    <xdr:rowOff>19050</xdr:rowOff>
                  </to>
                </anchor>
              </controlPr>
            </control>
          </mc:Choice>
        </mc:AlternateContent>
        <mc:AlternateContent xmlns:mc="http://schemas.openxmlformats.org/markup-compatibility/2006">
          <mc:Choice Requires="x14">
            <control shapeId="435213" r:id="rId13" name="Check Box 13">
              <controlPr defaultSize="0" autoFill="0" autoLine="0" autoPict="0">
                <anchor moveWithCells="1">
                  <from>
                    <xdr:col>1</xdr:col>
                    <xdr:colOff>762000</xdr:colOff>
                    <xdr:row>14</xdr:row>
                    <xdr:rowOff>50800</xdr:rowOff>
                  </from>
                  <to>
                    <xdr:col>2</xdr:col>
                    <xdr:colOff>3746500</xdr:colOff>
                    <xdr:row>14</xdr:row>
                    <xdr:rowOff>190500</xdr:rowOff>
                  </to>
                </anchor>
              </controlPr>
            </control>
          </mc:Choice>
        </mc:AlternateContent>
        <mc:AlternateContent xmlns:mc="http://schemas.openxmlformats.org/markup-compatibility/2006">
          <mc:Choice Requires="x14">
            <control shapeId="435214" r:id="rId14" name="Check Box 14">
              <controlPr defaultSize="0" autoFill="0" autoLine="0" autoPict="0">
                <anchor moveWithCells="1">
                  <from>
                    <xdr:col>1</xdr:col>
                    <xdr:colOff>755650</xdr:colOff>
                    <xdr:row>7</xdr:row>
                    <xdr:rowOff>50800</xdr:rowOff>
                  </from>
                  <to>
                    <xdr:col>2</xdr:col>
                    <xdr:colOff>3746500</xdr:colOff>
                    <xdr:row>7</xdr:row>
                    <xdr:rowOff>190500</xdr:rowOff>
                  </to>
                </anchor>
              </controlPr>
            </control>
          </mc:Choice>
        </mc:AlternateContent>
        <mc:AlternateContent xmlns:mc="http://schemas.openxmlformats.org/markup-compatibility/2006">
          <mc:Choice Requires="x14">
            <control shapeId="435215" r:id="rId15" name="Check Box 15">
              <controlPr defaultSize="0" autoFill="0" autoLine="0" autoPict="0">
                <anchor moveWithCells="1">
                  <from>
                    <xdr:col>1</xdr:col>
                    <xdr:colOff>755650</xdr:colOff>
                    <xdr:row>11</xdr:row>
                    <xdr:rowOff>12700</xdr:rowOff>
                  </from>
                  <to>
                    <xdr:col>2</xdr:col>
                    <xdr:colOff>3727450</xdr:colOff>
                    <xdr:row>11</xdr:row>
                    <xdr:rowOff>222250</xdr:rowOff>
                  </to>
                </anchor>
              </controlPr>
            </control>
          </mc:Choice>
        </mc:AlternateContent>
        <mc:AlternateContent xmlns:mc="http://schemas.openxmlformats.org/markup-compatibility/2006">
          <mc:Choice Requires="x14">
            <control shapeId="435216" r:id="rId16" name="Check Box 16">
              <controlPr defaultSize="0" autoFill="0" autoLine="0" autoPict="0">
                <anchor moveWithCells="1">
                  <from>
                    <xdr:col>1</xdr:col>
                    <xdr:colOff>762000</xdr:colOff>
                    <xdr:row>12</xdr:row>
                    <xdr:rowOff>57150</xdr:rowOff>
                  </from>
                  <to>
                    <xdr:col>2</xdr:col>
                    <xdr:colOff>3746500</xdr:colOff>
                    <xdr:row>13</xdr:row>
                    <xdr:rowOff>165100</xdr:rowOff>
                  </to>
                </anchor>
              </controlPr>
            </control>
          </mc:Choice>
        </mc:AlternateContent>
        <mc:AlternateContent xmlns:mc="http://schemas.openxmlformats.org/markup-compatibility/2006">
          <mc:Choice Requires="x14">
            <control shapeId="435217" r:id="rId17" name="Check Box 17">
              <controlPr defaultSize="0" autoFill="0" autoLine="0" autoPict="0">
                <anchor moveWithCells="1">
                  <from>
                    <xdr:col>1</xdr:col>
                    <xdr:colOff>584200</xdr:colOff>
                    <xdr:row>30</xdr:row>
                    <xdr:rowOff>12700</xdr:rowOff>
                  </from>
                  <to>
                    <xdr:col>2</xdr:col>
                    <xdr:colOff>3556000</xdr:colOff>
                    <xdr:row>30</xdr:row>
                    <xdr:rowOff>228600</xdr:rowOff>
                  </to>
                </anchor>
              </controlPr>
            </control>
          </mc:Choice>
        </mc:AlternateContent>
        <mc:AlternateContent xmlns:mc="http://schemas.openxmlformats.org/markup-compatibility/2006">
          <mc:Choice Requires="x14">
            <control shapeId="435218" r:id="rId18" name="Check Box 18">
              <controlPr defaultSize="0" autoFill="0" autoLine="0" autoPict="0">
                <anchor moveWithCells="1">
                  <from>
                    <xdr:col>1</xdr:col>
                    <xdr:colOff>571500</xdr:colOff>
                    <xdr:row>27</xdr:row>
                    <xdr:rowOff>146050</xdr:rowOff>
                  </from>
                  <to>
                    <xdr:col>2</xdr:col>
                    <xdr:colOff>3556000</xdr:colOff>
                    <xdr:row>29</xdr:row>
                    <xdr:rowOff>12700</xdr:rowOff>
                  </to>
                </anchor>
              </controlPr>
            </control>
          </mc:Choice>
        </mc:AlternateContent>
        <mc:AlternateContent xmlns:mc="http://schemas.openxmlformats.org/markup-compatibility/2006">
          <mc:Choice Requires="x14">
            <control shapeId="435219" r:id="rId19" name="Check Box 19">
              <controlPr defaultSize="0" autoFill="0" autoLine="0" autoPict="0">
                <anchor moveWithCells="1">
                  <from>
                    <xdr:col>1</xdr:col>
                    <xdr:colOff>584200</xdr:colOff>
                    <xdr:row>29</xdr:row>
                    <xdr:rowOff>19050</xdr:rowOff>
                  </from>
                  <to>
                    <xdr:col>2</xdr:col>
                    <xdr:colOff>3905250</xdr:colOff>
                    <xdr:row>30</xdr:row>
                    <xdr:rowOff>0</xdr:rowOff>
                  </to>
                </anchor>
              </controlPr>
            </control>
          </mc:Choice>
        </mc:AlternateContent>
        <mc:AlternateContent xmlns:mc="http://schemas.openxmlformats.org/markup-compatibility/2006">
          <mc:Choice Requires="x14">
            <control shapeId="435220" r:id="rId20" name="Check Box 20">
              <controlPr defaultSize="0" autoFill="0" autoLine="0" autoPict="0">
                <anchor moveWithCells="1">
                  <from>
                    <xdr:col>1</xdr:col>
                    <xdr:colOff>755650</xdr:colOff>
                    <xdr:row>8</xdr:row>
                    <xdr:rowOff>38100</xdr:rowOff>
                  </from>
                  <to>
                    <xdr:col>2</xdr:col>
                    <xdr:colOff>3746500</xdr:colOff>
                    <xdr:row>8</xdr:row>
                    <xdr:rowOff>190500</xdr:rowOff>
                  </to>
                </anchor>
              </controlPr>
            </control>
          </mc:Choice>
        </mc:AlternateContent>
        <mc:AlternateContent xmlns:mc="http://schemas.openxmlformats.org/markup-compatibility/2006">
          <mc:Choice Requires="x14">
            <control shapeId="435221" r:id="rId21" name="Check Box 21">
              <controlPr defaultSize="0" autoFill="0" autoLine="0" autoPict="0">
                <anchor moveWithCells="1">
                  <from>
                    <xdr:col>1</xdr:col>
                    <xdr:colOff>755650</xdr:colOff>
                    <xdr:row>6</xdr:row>
                    <xdr:rowOff>31750</xdr:rowOff>
                  </from>
                  <to>
                    <xdr:col>2</xdr:col>
                    <xdr:colOff>3746500</xdr:colOff>
                    <xdr:row>6</xdr:row>
                    <xdr:rowOff>190500</xdr:rowOff>
                  </to>
                </anchor>
              </controlPr>
            </control>
          </mc:Choice>
        </mc:AlternateContent>
        <mc:AlternateContent xmlns:mc="http://schemas.openxmlformats.org/markup-compatibility/2006">
          <mc:Choice Requires="x14">
            <control shapeId="435222" r:id="rId22" name="Check Box 22">
              <controlPr defaultSize="0" autoFill="0" autoLine="0" autoPict="0">
                <anchor moveWithCells="1">
                  <from>
                    <xdr:col>1</xdr:col>
                    <xdr:colOff>755650</xdr:colOff>
                    <xdr:row>9</xdr:row>
                    <xdr:rowOff>12700</xdr:rowOff>
                  </from>
                  <to>
                    <xdr:col>2</xdr:col>
                    <xdr:colOff>3727450</xdr:colOff>
                    <xdr:row>10</xdr:row>
                    <xdr:rowOff>209550</xdr:rowOff>
                  </to>
                </anchor>
              </controlPr>
            </control>
          </mc:Choice>
        </mc:AlternateContent>
        <mc:AlternateContent xmlns:mc="http://schemas.openxmlformats.org/markup-compatibility/2006">
          <mc:Choice Requires="x14">
            <control shapeId="435223" r:id="rId23" name="Check Box 23">
              <controlPr defaultSize="0" autoFill="0" autoLine="0" autoPict="0">
                <anchor moveWithCells="1">
                  <from>
                    <xdr:col>1</xdr:col>
                    <xdr:colOff>781050</xdr:colOff>
                    <xdr:row>18</xdr:row>
                    <xdr:rowOff>203200</xdr:rowOff>
                  </from>
                  <to>
                    <xdr:col>2</xdr:col>
                    <xdr:colOff>3733800</xdr:colOff>
                    <xdr:row>19</xdr:row>
                    <xdr:rowOff>184150</xdr:rowOff>
                  </to>
                </anchor>
              </controlPr>
            </control>
          </mc:Choice>
        </mc:AlternateContent>
        <mc:AlternateContent xmlns:mc="http://schemas.openxmlformats.org/markup-compatibility/2006">
          <mc:Choice Requires="x14">
            <control shapeId="435224" r:id="rId24" name="Check Box 24">
              <controlPr defaultSize="0" autoFill="0" autoLine="0" autoPict="0">
                <anchor moveWithCells="1">
                  <from>
                    <xdr:col>1</xdr:col>
                    <xdr:colOff>781050</xdr:colOff>
                    <xdr:row>19</xdr:row>
                    <xdr:rowOff>190500</xdr:rowOff>
                  </from>
                  <to>
                    <xdr:col>2</xdr:col>
                    <xdr:colOff>3746500</xdr:colOff>
                    <xdr:row>20</xdr:row>
                    <xdr:rowOff>171450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31C077-1F09-43E3-95BB-5E285EEFDFCD}">
  <sheetPr codeName="Sheet9">
    <tabColor rgb="FFC00000"/>
  </sheetPr>
  <dimension ref="A1:IV90"/>
  <sheetViews>
    <sheetView showGridLines="0" topLeftCell="A13" zoomScaleNormal="100" workbookViewId="0">
      <selection activeCell="A87" sqref="A87:L88"/>
    </sheetView>
  </sheetViews>
  <sheetFormatPr defaultColWidth="0" defaultRowHeight="0" customHeight="1" zeroHeight="1"/>
  <cols>
    <col min="1" max="1" width="4.54296875" style="764" customWidth="1"/>
    <col min="2" max="3" width="11.453125" style="157" customWidth="1"/>
    <col min="4" max="4" width="18.81640625" style="157" customWidth="1"/>
    <col min="5" max="5" width="14.54296875" style="157" customWidth="1"/>
    <col min="6" max="6" width="13.81640625" style="157" customWidth="1"/>
    <col min="7" max="7" width="63.453125" style="157" customWidth="1"/>
    <col min="8" max="11" width="11.453125" style="157" customWidth="1"/>
    <col min="12" max="12" width="21.453125" style="157" customWidth="1"/>
    <col min="13" max="16384" width="0" style="157" hidden="1"/>
  </cols>
  <sheetData>
    <row r="1" spans="1:256" s="192" customFormat="1" ht="60" customHeight="1">
      <c r="A1" s="1891" t="str">
        <f>Development!$A$3&amp;" Multi-Family Program"</f>
        <v>2024 Multi-Family Program</v>
      </c>
      <c r="B1" s="1892"/>
      <c r="C1" s="1892"/>
      <c r="D1" s="1892"/>
      <c r="E1" s="1892"/>
      <c r="F1" s="1892"/>
      <c r="G1" s="1892"/>
      <c r="H1" s="1897"/>
      <c r="I1" s="1895"/>
      <c r="J1" s="1895"/>
      <c r="K1" s="1895"/>
      <c r="L1" s="1895"/>
      <c r="M1" s="10"/>
      <c r="N1" s="10"/>
      <c r="O1" s="10"/>
      <c r="P1" s="10"/>
      <c r="Q1" s="10"/>
      <c r="R1" s="10"/>
      <c r="S1" s="10"/>
      <c r="V1" s="2187"/>
      <c r="W1" s="2187"/>
      <c r="X1" s="2187"/>
      <c r="Y1" s="2187"/>
      <c r="Z1" s="2187"/>
      <c r="AA1" s="2187"/>
      <c r="AB1" s="2187"/>
      <c r="AC1" s="2187"/>
      <c r="AD1" s="2187"/>
      <c r="AE1" s="2187"/>
      <c r="AF1" s="2187"/>
      <c r="AG1" s="2187"/>
      <c r="AH1" s="2187"/>
      <c r="AI1" s="2187"/>
      <c r="AJ1" s="2187"/>
      <c r="AK1" s="2187"/>
      <c r="AL1" s="2187"/>
      <c r="AM1" s="2187"/>
      <c r="AN1" s="2187"/>
      <c r="AO1" s="2187"/>
      <c r="AP1" s="2187"/>
      <c r="AQ1" s="2187"/>
      <c r="AR1" s="2187"/>
      <c r="AS1" s="2187"/>
      <c r="AT1" s="2187"/>
      <c r="AU1" s="2187"/>
      <c r="AV1" s="2187"/>
      <c r="AW1" s="2187"/>
      <c r="AX1" s="2187"/>
      <c r="AY1" s="2187"/>
      <c r="AZ1" s="2187"/>
      <c r="BA1" s="2187"/>
      <c r="BB1" s="2187"/>
      <c r="BC1" s="2187"/>
      <c r="BD1" s="2187"/>
      <c r="BE1" s="2187"/>
      <c r="BF1" s="2187"/>
      <c r="BG1" s="2187"/>
      <c r="BH1" s="2187"/>
      <c r="BI1" s="2187"/>
      <c r="BJ1" s="2187"/>
      <c r="BK1" s="2187"/>
      <c r="BL1" s="2187"/>
      <c r="BM1" s="2187"/>
      <c r="BN1" s="2187"/>
      <c r="BO1" s="2187"/>
      <c r="BP1" s="2187"/>
      <c r="BQ1" s="2187"/>
      <c r="BR1" s="2187"/>
      <c r="BS1" s="2187"/>
      <c r="BT1" s="2187"/>
      <c r="BU1" s="2187"/>
      <c r="BV1" s="2187"/>
      <c r="BW1" s="2187"/>
      <c r="BX1" s="2187"/>
      <c r="BY1" s="2187"/>
      <c r="BZ1" s="2187"/>
      <c r="CA1" s="2187"/>
      <c r="CB1" s="2187"/>
      <c r="CC1" s="2187"/>
      <c r="CD1" s="2187"/>
      <c r="CE1" s="2187"/>
      <c r="CF1" s="2187"/>
      <c r="CG1" s="2187"/>
      <c r="CH1" s="2187"/>
      <c r="CI1" s="2187"/>
      <c r="CJ1" s="2187"/>
      <c r="CK1" s="2187"/>
      <c r="CL1" s="2187"/>
      <c r="CM1" s="2187"/>
      <c r="CN1" s="2187"/>
      <c r="CO1" s="2187"/>
      <c r="CP1" s="2187"/>
      <c r="CQ1" s="2187"/>
      <c r="CR1" s="2187"/>
      <c r="CS1" s="2187"/>
      <c r="CT1" s="2187"/>
      <c r="CU1" s="2187"/>
      <c r="CV1" s="2187"/>
      <c r="CW1" s="2187"/>
      <c r="CX1" s="2187"/>
      <c r="CY1" s="2187"/>
      <c r="CZ1" s="2187"/>
      <c r="DA1" s="2187"/>
      <c r="DB1" s="2187"/>
      <c r="DC1" s="2187"/>
      <c r="DD1" s="2187"/>
      <c r="DE1" s="2187"/>
      <c r="DF1" s="2187"/>
      <c r="DG1" s="2187"/>
      <c r="DH1" s="2187"/>
      <c r="DI1" s="2187"/>
      <c r="DJ1" s="2187"/>
      <c r="DK1" s="2187"/>
      <c r="DL1" s="2187"/>
      <c r="DM1" s="2187"/>
      <c r="DN1" s="2187"/>
      <c r="DO1" s="2187"/>
      <c r="DP1" s="2187"/>
      <c r="DQ1" s="2187"/>
      <c r="DR1" s="2187"/>
      <c r="DS1" s="2187"/>
      <c r="DT1" s="2187"/>
      <c r="DU1" s="2187"/>
      <c r="DV1" s="2187"/>
      <c r="DW1" s="2187"/>
      <c r="DX1" s="2187"/>
      <c r="DY1" s="2187"/>
      <c r="DZ1" s="2187"/>
      <c r="EA1" s="2187"/>
      <c r="EB1" s="2187"/>
      <c r="EC1" s="2187"/>
      <c r="ED1" s="2187"/>
      <c r="EE1" s="2187"/>
      <c r="EF1" s="2187"/>
      <c r="EG1" s="2187"/>
      <c r="EH1" s="2187"/>
      <c r="EI1" s="2187"/>
      <c r="EJ1" s="2187"/>
      <c r="EK1" s="2187"/>
      <c r="EL1" s="2187"/>
      <c r="EM1" s="2187"/>
      <c r="EN1" s="2187"/>
      <c r="EO1" s="2187"/>
      <c r="EP1" s="2187"/>
      <c r="EQ1" s="2187"/>
      <c r="ER1" s="2187"/>
      <c r="ES1" s="2187"/>
      <c r="ET1" s="2187"/>
      <c r="EU1" s="2187"/>
      <c r="EV1" s="2187"/>
      <c r="EW1" s="2187"/>
      <c r="EX1" s="2187"/>
      <c r="EY1" s="2187"/>
      <c r="EZ1" s="2187"/>
      <c r="FA1" s="2187"/>
      <c r="FB1" s="2187"/>
      <c r="FC1" s="2187"/>
      <c r="FD1" s="2187"/>
      <c r="FE1" s="2187"/>
      <c r="FF1" s="2187"/>
      <c r="FG1" s="2187"/>
      <c r="FH1" s="2187"/>
      <c r="FI1" s="2187"/>
      <c r="FJ1" s="2187"/>
      <c r="FK1" s="2187"/>
      <c r="FL1" s="2187"/>
      <c r="FM1" s="2187"/>
      <c r="FN1" s="2187"/>
      <c r="FO1" s="2187"/>
      <c r="FP1" s="2187"/>
      <c r="FQ1" s="2187"/>
      <c r="FR1" s="2187"/>
      <c r="FS1" s="2187"/>
      <c r="FT1" s="2187"/>
      <c r="FU1" s="2187"/>
      <c r="FV1" s="2187"/>
      <c r="FW1" s="2187"/>
      <c r="FX1" s="2187"/>
      <c r="FY1" s="2187"/>
      <c r="FZ1" s="2187"/>
      <c r="GA1" s="2187"/>
      <c r="GB1" s="2187"/>
      <c r="GC1" s="2187"/>
      <c r="GD1" s="2187"/>
      <c r="GE1" s="2187"/>
      <c r="GF1" s="2187"/>
      <c r="GG1" s="2187"/>
      <c r="GH1" s="2187"/>
      <c r="GI1" s="2187"/>
      <c r="GJ1" s="2187"/>
      <c r="GK1" s="2187"/>
      <c r="GL1" s="2187"/>
      <c r="GM1" s="2187"/>
      <c r="GN1" s="2187"/>
      <c r="GO1" s="2187"/>
      <c r="GP1" s="2187"/>
      <c r="GQ1" s="2187"/>
      <c r="GR1" s="2187"/>
      <c r="GS1" s="2187"/>
      <c r="GT1" s="2187"/>
      <c r="GU1" s="2187"/>
      <c r="GV1" s="2187"/>
      <c r="GW1" s="2187"/>
      <c r="GX1" s="2187"/>
      <c r="GY1" s="2187"/>
      <c r="GZ1" s="2187"/>
      <c r="HA1" s="2187"/>
      <c r="HB1" s="2187"/>
      <c r="HC1" s="2187"/>
      <c r="HD1" s="2187"/>
      <c r="HE1" s="2187"/>
      <c r="HF1" s="2187"/>
      <c r="HG1" s="2187"/>
      <c r="HH1" s="2187"/>
      <c r="HI1" s="2187"/>
      <c r="HJ1" s="2187"/>
      <c r="HK1" s="2187"/>
      <c r="HL1" s="2187"/>
      <c r="HM1" s="2187"/>
      <c r="HN1" s="2187"/>
      <c r="HO1" s="2187"/>
      <c r="HP1" s="2187"/>
      <c r="HQ1" s="2187"/>
      <c r="HR1" s="2187"/>
      <c r="HS1" s="2187"/>
      <c r="HT1" s="2187"/>
      <c r="HU1" s="2187"/>
      <c r="HV1" s="2187"/>
      <c r="HW1" s="2187"/>
      <c r="HX1" s="2187"/>
      <c r="HY1" s="2187"/>
      <c r="HZ1" s="2187"/>
      <c r="IA1" s="2187"/>
      <c r="IB1" s="2187"/>
      <c r="IC1" s="2187"/>
      <c r="ID1" s="2187"/>
      <c r="IE1" s="2187"/>
      <c r="IF1" s="2187"/>
      <c r="IG1" s="2187"/>
      <c r="IH1" s="2187"/>
      <c r="II1" s="2187"/>
      <c r="IJ1" s="2187"/>
      <c r="IK1" s="2187"/>
      <c r="IL1" s="2187"/>
      <c r="IM1" s="2187"/>
      <c r="IN1" s="2187"/>
      <c r="IO1" s="2187"/>
      <c r="IP1" s="2187"/>
      <c r="IQ1" s="2187"/>
      <c r="IR1" s="2187"/>
      <c r="IS1" s="2187"/>
      <c r="IT1" s="2187"/>
      <c r="IU1" s="2187"/>
      <c r="IV1" s="2187"/>
    </row>
    <row r="2" spans="1:256" s="192" customFormat="1" ht="48" customHeight="1" thickBot="1">
      <c r="A2" s="1894" t="str">
        <f>'Customer Information'!A2</f>
        <v>Multi-Family 
Rebate Application, Version 2.0</v>
      </c>
      <c r="B2" s="1892"/>
      <c r="C2" s="1892"/>
      <c r="D2" s="1892"/>
      <c r="E2" s="1892"/>
      <c r="F2" s="1892"/>
      <c r="G2" s="1893"/>
      <c r="H2" s="1898"/>
      <c r="I2" s="1898"/>
      <c r="J2" s="1898"/>
      <c r="K2" s="1898"/>
      <c r="L2" s="1898"/>
      <c r="M2" s="1564"/>
      <c r="N2" s="1564"/>
      <c r="O2" s="1564"/>
      <c r="P2" s="1564"/>
      <c r="Q2" s="1564"/>
      <c r="R2" s="1564"/>
      <c r="S2" s="1564"/>
      <c r="T2" s="1565"/>
      <c r="U2" s="1565"/>
      <c r="V2" s="2188"/>
      <c r="W2" s="2188"/>
      <c r="X2" s="2188"/>
      <c r="Y2" s="2188"/>
      <c r="Z2" s="2188"/>
      <c r="AA2" s="2188"/>
      <c r="AB2" s="2188"/>
      <c r="AC2" s="2188"/>
      <c r="AD2" s="2188"/>
      <c r="AE2" s="2188"/>
      <c r="AF2" s="2188"/>
      <c r="AG2" s="2188"/>
      <c r="AH2" s="2188"/>
      <c r="AI2" s="2188"/>
      <c r="AJ2" s="2188"/>
      <c r="AK2" s="2188"/>
      <c r="AL2" s="2188"/>
      <c r="AM2" s="2188"/>
      <c r="AN2" s="2188"/>
      <c r="AO2" s="2188"/>
      <c r="AP2" s="2188"/>
      <c r="AQ2" s="2188"/>
      <c r="AR2" s="2188"/>
      <c r="AS2" s="2188"/>
      <c r="AT2" s="2188"/>
      <c r="AU2" s="2188"/>
      <c r="AV2" s="2188"/>
      <c r="AW2" s="2188"/>
      <c r="AX2" s="2188"/>
      <c r="AY2" s="2188"/>
      <c r="AZ2" s="2188"/>
      <c r="BA2" s="2188"/>
      <c r="BB2" s="2188"/>
      <c r="BC2" s="2188"/>
      <c r="BD2" s="2188"/>
      <c r="BE2" s="2188"/>
      <c r="BF2" s="2188"/>
      <c r="BG2" s="2188"/>
      <c r="BH2" s="2188"/>
      <c r="BI2" s="2188"/>
      <c r="BJ2" s="2188"/>
      <c r="BK2" s="2188"/>
      <c r="BL2" s="2188"/>
      <c r="BM2" s="2188"/>
      <c r="BN2" s="2188"/>
      <c r="BO2" s="2188"/>
      <c r="BP2" s="2188"/>
      <c r="BQ2" s="2188"/>
      <c r="BR2" s="2188"/>
      <c r="BS2" s="2188"/>
      <c r="BT2" s="2188"/>
      <c r="BU2" s="2188"/>
      <c r="BV2" s="2188"/>
      <c r="BW2" s="2188"/>
      <c r="BX2" s="2188"/>
      <c r="BY2" s="2188"/>
      <c r="BZ2" s="2188"/>
      <c r="CA2" s="2188"/>
      <c r="CB2" s="2188"/>
      <c r="CC2" s="2188"/>
      <c r="CD2" s="2188"/>
      <c r="CE2" s="2188"/>
      <c r="CF2" s="2188"/>
      <c r="CG2" s="2188"/>
      <c r="CH2" s="2188"/>
      <c r="CI2" s="2188"/>
      <c r="CJ2" s="2188"/>
      <c r="CK2" s="2188"/>
      <c r="CL2" s="2188"/>
      <c r="CM2" s="2188"/>
      <c r="CN2" s="2188"/>
      <c r="CO2" s="2188"/>
      <c r="CP2" s="2188"/>
      <c r="CQ2" s="2188"/>
      <c r="CR2" s="2188"/>
      <c r="CS2" s="2188"/>
      <c r="CT2" s="2188"/>
      <c r="CU2" s="2188"/>
      <c r="CV2" s="2188"/>
      <c r="CW2" s="2188"/>
      <c r="CX2" s="2188"/>
      <c r="CY2" s="2188"/>
      <c r="CZ2" s="2188"/>
      <c r="DA2" s="2188"/>
      <c r="DB2" s="2188"/>
      <c r="DC2" s="2188"/>
      <c r="DD2" s="2188"/>
      <c r="DE2" s="2188"/>
      <c r="DF2" s="2188"/>
      <c r="DG2" s="2188"/>
      <c r="DH2" s="2188"/>
      <c r="DI2" s="2188"/>
      <c r="DJ2" s="2188"/>
      <c r="DK2" s="2188"/>
      <c r="DL2" s="2188"/>
      <c r="DM2" s="2188"/>
      <c r="DN2" s="2188"/>
      <c r="DO2" s="2188"/>
      <c r="DP2" s="2188"/>
      <c r="DQ2" s="2188"/>
      <c r="DR2" s="2188"/>
      <c r="DS2" s="2188"/>
      <c r="DT2" s="2188"/>
      <c r="DU2" s="2188"/>
      <c r="DV2" s="2188"/>
      <c r="DW2" s="2188"/>
      <c r="DX2" s="2188"/>
      <c r="DY2" s="2188"/>
      <c r="DZ2" s="2188"/>
      <c r="EA2" s="2188"/>
      <c r="EB2" s="2188"/>
      <c r="EC2" s="2188"/>
      <c r="ED2" s="2188"/>
      <c r="EE2" s="2188"/>
      <c r="EF2" s="2188"/>
      <c r="EG2" s="2188"/>
      <c r="EH2" s="2188"/>
      <c r="EI2" s="2188"/>
      <c r="EJ2" s="2188"/>
      <c r="EK2" s="2188"/>
      <c r="EL2" s="2188"/>
      <c r="EM2" s="2188"/>
      <c r="EN2" s="2188"/>
      <c r="EO2" s="2188"/>
      <c r="EP2" s="2188"/>
      <c r="EQ2" s="2188"/>
      <c r="ER2" s="2188"/>
      <c r="ES2" s="2188"/>
      <c r="ET2" s="2188"/>
      <c r="EU2" s="2188"/>
      <c r="EV2" s="2188"/>
      <c r="EW2" s="2188"/>
      <c r="EX2" s="2188"/>
      <c r="EY2" s="2188"/>
      <c r="EZ2" s="2188"/>
      <c r="FA2" s="2188"/>
      <c r="FB2" s="2188"/>
      <c r="FC2" s="2188"/>
      <c r="FD2" s="2188"/>
      <c r="FE2" s="2188"/>
      <c r="FF2" s="2188"/>
      <c r="FG2" s="2188"/>
      <c r="FH2" s="2188"/>
      <c r="FI2" s="2188"/>
      <c r="FJ2" s="2188"/>
      <c r="FK2" s="2188"/>
      <c r="FL2" s="2188"/>
      <c r="FM2" s="2188"/>
      <c r="FN2" s="2188"/>
      <c r="FO2" s="2188"/>
      <c r="FP2" s="2188"/>
      <c r="FQ2" s="2188"/>
      <c r="FR2" s="2188"/>
      <c r="FS2" s="2188"/>
      <c r="FT2" s="2188"/>
      <c r="FU2" s="2188"/>
      <c r="FV2" s="2188"/>
      <c r="FW2" s="2188"/>
      <c r="FX2" s="2188"/>
      <c r="FY2" s="2188"/>
      <c r="FZ2" s="2188"/>
      <c r="GA2" s="2188"/>
      <c r="GB2" s="2188"/>
      <c r="GC2" s="2188"/>
      <c r="GD2" s="2188"/>
      <c r="GE2" s="2188"/>
      <c r="GF2" s="2188"/>
      <c r="GG2" s="2188"/>
      <c r="GH2" s="2188"/>
      <c r="GI2" s="2188"/>
      <c r="GJ2" s="2188"/>
      <c r="GK2" s="2188"/>
      <c r="GL2" s="2188"/>
      <c r="GM2" s="2188"/>
      <c r="GN2" s="2188"/>
      <c r="GO2" s="2188"/>
      <c r="GP2" s="2188"/>
      <c r="GQ2" s="2188"/>
      <c r="GR2" s="2188"/>
      <c r="GS2" s="2188"/>
      <c r="GT2" s="2188"/>
      <c r="GU2" s="2188"/>
      <c r="GV2" s="2188"/>
      <c r="GW2" s="2188"/>
      <c r="GX2" s="2188"/>
      <c r="GY2" s="2188"/>
      <c r="GZ2" s="2188"/>
      <c r="HA2" s="2188"/>
      <c r="HB2" s="2188"/>
      <c r="HC2" s="2188"/>
      <c r="HD2" s="2188"/>
      <c r="HE2" s="2188"/>
      <c r="HF2" s="2188"/>
      <c r="HG2" s="2188"/>
      <c r="HH2" s="2188"/>
      <c r="HI2" s="2188"/>
      <c r="HJ2" s="2188"/>
      <c r="HK2" s="2188"/>
      <c r="HL2" s="2188"/>
      <c r="HM2" s="2188"/>
      <c r="HN2" s="2188"/>
      <c r="HO2" s="2188"/>
      <c r="HP2" s="2188"/>
      <c r="HQ2" s="2188"/>
      <c r="HR2" s="2188"/>
      <c r="HS2" s="2188"/>
      <c r="HT2" s="2188"/>
      <c r="HU2" s="2188"/>
      <c r="HV2" s="2188"/>
      <c r="HW2" s="2188"/>
      <c r="HX2" s="2188"/>
      <c r="HY2" s="2188"/>
      <c r="HZ2" s="2188"/>
      <c r="IA2" s="2188"/>
      <c r="IB2" s="2188"/>
      <c r="IC2" s="2188"/>
      <c r="ID2" s="2188"/>
      <c r="IE2" s="2188"/>
      <c r="IF2" s="2188"/>
      <c r="IG2" s="2188"/>
      <c r="IH2" s="2188"/>
      <c r="II2" s="2188"/>
      <c r="IJ2" s="2188"/>
      <c r="IK2" s="2188"/>
      <c r="IL2" s="2188"/>
      <c r="IM2" s="2188"/>
      <c r="IN2" s="2188"/>
      <c r="IO2" s="2188"/>
      <c r="IP2" s="2188"/>
      <c r="IQ2" s="2188"/>
      <c r="IR2" s="2188"/>
      <c r="IS2" s="2188"/>
      <c r="IT2" s="2188"/>
      <c r="IU2" s="2188"/>
      <c r="IV2" s="2188"/>
    </row>
    <row r="3" spans="1:256" s="192" customFormat="1" ht="14.15" customHeight="1" thickTop="1">
      <c r="A3" s="1073"/>
      <c r="B3" s="1073"/>
      <c r="C3" s="1073"/>
      <c r="D3" s="1073"/>
      <c r="E3" s="1073"/>
      <c r="F3" s="1073"/>
      <c r="G3" s="1073"/>
      <c r="H3" s="1073"/>
      <c r="I3" s="1073"/>
      <c r="J3" s="1073"/>
      <c r="K3" s="1073"/>
      <c r="L3" s="1073"/>
      <c r="M3" s="1564"/>
      <c r="N3" s="1564"/>
      <c r="O3" s="1564"/>
      <c r="P3" s="1564"/>
      <c r="Q3" s="1564"/>
      <c r="R3" s="1564"/>
      <c r="S3" s="1564"/>
      <c r="T3" s="1565"/>
      <c r="U3" s="1565"/>
      <c r="V3" s="1325"/>
      <c r="W3" s="1325"/>
      <c r="X3" s="1325"/>
      <c r="Y3" s="1325"/>
      <c r="Z3" s="1325"/>
      <c r="AA3" s="1325"/>
      <c r="AB3" s="1325"/>
      <c r="AC3" s="1325"/>
      <c r="AD3" s="1325"/>
      <c r="AE3" s="1325"/>
      <c r="AF3" s="1325"/>
      <c r="AG3" s="1325"/>
      <c r="AH3" s="1325"/>
      <c r="AI3" s="1325"/>
      <c r="AJ3" s="1325"/>
      <c r="AK3" s="1325"/>
      <c r="AL3" s="1325"/>
      <c r="AM3" s="1325"/>
      <c r="AN3" s="1325"/>
      <c r="AO3" s="1325"/>
      <c r="AP3" s="1325"/>
      <c r="AQ3" s="1325"/>
      <c r="AR3" s="1325"/>
      <c r="AS3" s="1325"/>
      <c r="AT3" s="1325"/>
      <c r="AU3" s="1325"/>
      <c r="AV3" s="1325"/>
      <c r="AW3" s="1325"/>
      <c r="AX3" s="1325"/>
      <c r="AY3" s="1325"/>
      <c r="AZ3" s="1325"/>
      <c r="BA3" s="1325"/>
      <c r="BB3" s="1325"/>
      <c r="BC3" s="1325"/>
      <c r="BD3" s="1325"/>
      <c r="BE3" s="1325"/>
      <c r="BF3" s="1325"/>
      <c r="BG3" s="1325"/>
      <c r="BH3" s="1325"/>
      <c r="BI3" s="1325"/>
      <c r="BJ3" s="1325"/>
      <c r="BK3" s="1325"/>
      <c r="BL3" s="1325"/>
      <c r="BM3" s="1325"/>
      <c r="BN3" s="1325"/>
      <c r="BO3" s="1325"/>
      <c r="BP3" s="1325"/>
      <c r="BQ3" s="1325"/>
      <c r="BR3" s="1325"/>
      <c r="BS3" s="1325"/>
      <c r="BT3" s="1325"/>
      <c r="BU3" s="1325"/>
      <c r="BV3" s="1325"/>
      <c r="BW3" s="1325"/>
      <c r="BX3" s="1325"/>
      <c r="BY3" s="1325"/>
      <c r="BZ3" s="1325"/>
      <c r="CA3" s="1325"/>
      <c r="CB3" s="1325"/>
      <c r="CC3" s="1325"/>
      <c r="CD3" s="1325"/>
      <c r="CE3" s="1325"/>
      <c r="CF3" s="1325"/>
      <c r="CG3" s="1325"/>
      <c r="CH3" s="1325"/>
      <c r="CI3" s="1325"/>
      <c r="CJ3" s="1325"/>
      <c r="CK3" s="1325"/>
      <c r="CL3" s="1325"/>
      <c r="CM3" s="1325"/>
      <c r="CN3" s="1325"/>
      <c r="CO3" s="1325"/>
      <c r="CP3" s="1325"/>
      <c r="CQ3" s="1325"/>
      <c r="CR3" s="1325"/>
      <c r="CS3" s="1325"/>
      <c r="CT3" s="1325"/>
      <c r="CU3" s="1325"/>
      <c r="CV3" s="1325"/>
      <c r="CW3" s="1325"/>
      <c r="CX3" s="1325"/>
      <c r="CY3" s="1325"/>
      <c r="CZ3" s="1325"/>
      <c r="DA3" s="1325"/>
      <c r="DB3" s="1325"/>
      <c r="DC3" s="1325"/>
      <c r="DD3" s="1325"/>
      <c r="DE3" s="1325"/>
      <c r="DF3" s="1325"/>
      <c r="DG3" s="1325"/>
      <c r="DH3" s="1325"/>
      <c r="DI3" s="1325"/>
      <c r="DJ3" s="1325"/>
      <c r="DK3" s="1325"/>
      <c r="DL3" s="1325"/>
      <c r="DM3" s="1325"/>
      <c r="DN3" s="1325"/>
      <c r="DO3" s="1325"/>
      <c r="DP3" s="1325"/>
      <c r="DQ3" s="1325"/>
      <c r="DR3" s="1325"/>
      <c r="DS3" s="1325"/>
      <c r="DT3" s="1325"/>
      <c r="DU3" s="1325"/>
      <c r="DV3" s="1325"/>
      <c r="DW3" s="1325"/>
      <c r="DX3" s="1325"/>
      <c r="DY3" s="1325"/>
      <c r="DZ3" s="1325"/>
      <c r="EA3" s="1325"/>
      <c r="EB3" s="1325"/>
      <c r="EC3" s="1325"/>
      <c r="ED3" s="1325"/>
      <c r="EE3" s="1325"/>
      <c r="EF3" s="1325"/>
      <c r="EG3" s="1325"/>
      <c r="EH3" s="1325"/>
      <c r="EI3" s="1325"/>
      <c r="EJ3" s="1325"/>
      <c r="EK3" s="1325"/>
      <c r="EL3" s="1325"/>
      <c r="EM3" s="1325"/>
      <c r="EN3" s="1325"/>
      <c r="EO3" s="1325"/>
      <c r="EP3" s="1325"/>
      <c r="EQ3" s="1325"/>
      <c r="ER3" s="1325"/>
      <c r="ES3" s="1325"/>
      <c r="ET3" s="1325"/>
      <c r="EU3" s="1325"/>
      <c r="EV3" s="1325"/>
      <c r="EW3" s="1325"/>
      <c r="EX3" s="1325"/>
      <c r="EY3" s="1325"/>
      <c r="EZ3" s="1325"/>
      <c r="FA3" s="1325"/>
      <c r="FB3" s="1325"/>
      <c r="FC3" s="1325"/>
      <c r="FD3" s="1325"/>
      <c r="FE3" s="1325"/>
      <c r="FF3" s="1325"/>
      <c r="FG3" s="1325"/>
      <c r="FH3" s="1325"/>
      <c r="FI3" s="1325"/>
      <c r="FJ3" s="1325"/>
      <c r="FK3" s="1325"/>
      <c r="FL3" s="1325"/>
      <c r="FM3" s="1325"/>
      <c r="FN3" s="1325"/>
      <c r="FO3" s="1325"/>
      <c r="FP3" s="1325"/>
      <c r="FQ3" s="1325"/>
      <c r="FR3" s="1325"/>
      <c r="FS3" s="1325"/>
      <c r="FT3" s="1325"/>
      <c r="FU3" s="1325"/>
      <c r="FV3" s="1325"/>
      <c r="FW3" s="1325"/>
      <c r="FX3" s="1325"/>
      <c r="FY3" s="1325"/>
      <c r="FZ3" s="1325"/>
      <c r="GA3" s="1325"/>
      <c r="GB3" s="1325"/>
      <c r="GC3" s="1325"/>
      <c r="GD3" s="1325"/>
      <c r="GE3" s="1325"/>
      <c r="GF3" s="1325"/>
      <c r="GG3" s="1325"/>
      <c r="GH3" s="1325"/>
      <c r="GI3" s="1325"/>
      <c r="GJ3" s="1325"/>
      <c r="GK3" s="1325"/>
      <c r="GL3" s="1325"/>
      <c r="GM3" s="1325"/>
      <c r="GN3" s="1325"/>
      <c r="GO3" s="1325"/>
      <c r="GP3" s="1325"/>
      <c r="GQ3" s="1325"/>
      <c r="GR3" s="1325"/>
      <c r="GS3" s="1325"/>
      <c r="GT3" s="1325"/>
      <c r="GU3" s="1325"/>
      <c r="GV3" s="1325"/>
      <c r="GW3" s="1325"/>
      <c r="GX3" s="1325"/>
      <c r="GY3" s="1325"/>
      <c r="GZ3" s="1325"/>
      <c r="HA3" s="1325"/>
      <c r="HB3" s="1325"/>
      <c r="HC3" s="1325"/>
      <c r="HD3" s="1325"/>
      <c r="HE3" s="1325"/>
      <c r="HF3" s="1325"/>
      <c r="HG3" s="1325"/>
      <c r="HH3" s="1325"/>
      <c r="HI3" s="1325"/>
      <c r="HJ3" s="1325"/>
      <c r="HK3" s="1325"/>
      <c r="HL3" s="1325"/>
      <c r="HM3" s="1325"/>
      <c r="HN3" s="1325"/>
      <c r="HO3" s="1325"/>
      <c r="HP3" s="1325"/>
      <c r="HQ3" s="1325"/>
      <c r="HR3" s="1325"/>
      <c r="HS3" s="1325"/>
      <c r="HT3" s="1325"/>
      <c r="HU3" s="1325"/>
      <c r="HV3" s="1325"/>
      <c r="HW3" s="1325"/>
      <c r="HX3" s="1325"/>
      <c r="HY3" s="1325"/>
      <c r="HZ3" s="1325"/>
      <c r="IA3" s="1325"/>
      <c r="IB3" s="1325"/>
      <c r="IC3" s="1325"/>
      <c r="ID3" s="1325"/>
      <c r="IE3" s="1325"/>
      <c r="IF3" s="1325"/>
      <c r="IG3" s="1325"/>
      <c r="IH3" s="1325"/>
      <c r="II3" s="1325"/>
      <c r="IJ3" s="1325"/>
      <c r="IK3" s="1325"/>
      <c r="IL3" s="1325"/>
      <c r="IM3" s="1325"/>
      <c r="IN3" s="1325"/>
      <c r="IO3" s="1325"/>
      <c r="IP3" s="1325"/>
      <c r="IQ3" s="1325"/>
      <c r="IR3" s="1325"/>
      <c r="IS3" s="1325"/>
      <c r="IT3" s="1325"/>
      <c r="IU3" s="1325"/>
      <c r="IV3" s="1325"/>
    </row>
    <row r="4" spans="1:256" s="1567" customFormat="1" ht="18.5" thickBot="1">
      <c r="A4" s="402" t="s">
        <v>5160</v>
      </c>
      <c r="B4" s="402"/>
      <c r="C4" s="1544"/>
      <c r="D4" s="1544"/>
      <c r="E4" s="1544"/>
      <c r="F4" s="1544"/>
      <c r="G4" s="1544"/>
      <c r="H4" s="1544"/>
      <c r="I4" s="1544"/>
      <c r="J4" s="1544"/>
      <c r="K4" s="1544"/>
      <c r="L4" s="1544"/>
      <c r="M4" s="1566"/>
      <c r="N4" s="1566"/>
      <c r="O4" s="1566"/>
    </row>
    <row r="5" spans="1:256" s="186" customFormat="1" ht="18">
      <c r="A5" s="1568" t="s">
        <v>35</v>
      </c>
      <c r="B5" s="1541"/>
      <c r="C5" s="1543"/>
      <c r="D5" s="1543"/>
      <c r="E5" s="1543"/>
      <c r="F5" s="1543"/>
      <c r="G5" s="1543"/>
      <c r="H5" s="1543"/>
      <c r="I5" s="1543"/>
      <c r="J5" s="1543"/>
      <c r="K5" s="1543"/>
      <c r="L5" s="1543"/>
      <c r="M5" s="42"/>
      <c r="N5" s="42"/>
      <c r="O5" s="42"/>
    </row>
    <row r="6" spans="1:256" s="186" customFormat="1" ht="18">
      <c r="A6" s="1568" t="s">
        <v>35</v>
      </c>
      <c r="B6" s="1541"/>
      <c r="C6" s="1543"/>
      <c r="D6" s="1543"/>
      <c r="E6" s="1543"/>
      <c r="F6" s="1543"/>
      <c r="G6" s="1543"/>
      <c r="H6" s="1543"/>
      <c r="I6" s="1543"/>
      <c r="J6" s="1543"/>
      <c r="K6" s="1543"/>
      <c r="L6" s="1543"/>
      <c r="M6" s="42"/>
      <c r="N6" s="42"/>
      <c r="O6" s="42"/>
    </row>
    <row r="7" spans="1:256" s="1542" customFormat="1" ht="16.5" customHeight="1">
      <c r="A7" s="1568" t="s">
        <v>35</v>
      </c>
      <c r="B7" s="1541"/>
      <c r="C7" s="1541"/>
      <c r="D7" s="1541"/>
      <c r="E7" s="1541"/>
      <c r="F7" s="1541"/>
      <c r="G7" s="1541"/>
      <c r="H7" s="1541"/>
      <c r="I7" s="1541"/>
      <c r="J7" s="1541"/>
      <c r="K7" s="1541"/>
      <c r="L7" s="1541"/>
      <c r="M7" s="684"/>
      <c r="N7" s="684"/>
      <c r="O7" s="684"/>
    </row>
    <row r="8" spans="1:256" s="1542" customFormat="1" ht="14.5">
      <c r="A8" s="1568" t="s">
        <v>35</v>
      </c>
      <c r="B8" s="1541"/>
      <c r="C8" s="1541"/>
      <c r="D8" s="1541"/>
      <c r="E8" s="1541"/>
      <c r="F8" s="1541"/>
      <c r="G8" s="1541"/>
      <c r="H8" s="1541"/>
      <c r="I8" s="1541"/>
      <c r="J8" s="1541"/>
      <c r="K8" s="1541"/>
      <c r="L8" s="1541"/>
      <c r="M8" s="684"/>
      <c r="N8" s="684"/>
      <c r="O8" s="684"/>
    </row>
    <row r="9" spans="1:256" s="1542" customFormat="1" ht="14.5" hidden="1">
      <c r="A9" s="1568"/>
      <c r="B9" s="1541"/>
      <c r="C9" s="1541"/>
      <c r="D9" s="1541"/>
      <c r="E9" s="1541"/>
      <c r="F9" s="1541"/>
      <c r="G9" s="1541"/>
      <c r="H9" s="1541"/>
      <c r="I9" s="1541"/>
      <c r="J9" s="1541"/>
      <c r="K9" s="1541"/>
      <c r="L9" s="1541"/>
      <c r="M9" s="684"/>
      <c r="N9" s="684"/>
      <c r="O9" s="684"/>
    </row>
    <row r="10" spans="1:256" s="1542" customFormat="1" ht="16.5" customHeight="1">
      <c r="A10" s="1568" t="s">
        <v>35</v>
      </c>
      <c r="B10" s="2161"/>
      <c r="C10" s="2161"/>
      <c r="D10" s="2161"/>
      <c r="E10" s="2161"/>
      <c r="F10" s="2161"/>
      <c r="G10" s="2161"/>
      <c r="H10" s="1541"/>
      <c r="I10" s="1541"/>
      <c r="J10" s="1541"/>
      <c r="K10" s="1541"/>
      <c r="L10" s="1541"/>
      <c r="M10" s="684"/>
      <c r="N10" s="684"/>
      <c r="O10" s="684"/>
    </row>
    <row r="11" spans="1:256" s="1542" customFormat="1" ht="16.5" customHeight="1">
      <c r="A11" s="1568"/>
      <c r="B11" s="2161"/>
      <c r="C11" s="2161"/>
      <c r="D11" s="2161"/>
      <c r="E11" s="2161"/>
      <c r="F11" s="2161"/>
      <c r="G11" s="2161"/>
      <c r="H11" s="2161"/>
      <c r="I11" s="2161"/>
      <c r="J11" s="2161"/>
      <c r="K11" s="2161"/>
      <c r="L11" s="1541"/>
      <c r="M11" s="684"/>
      <c r="N11" s="684"/>
      <c r="O11" s="684"/>
    </row>
    <row r="12" spans="1:256" s="1542" customFormat="1" ht="16.5" customHeight="1">
      <c r="A12" s="1568" t="s">
        <v>35</v>
      </c>
      <c r="B12" s="2161"/>
      <c r="C12" s="2161"/>
      <c r="D12" s="2161"/>
      <c r="E12" s="2161"/>
      <c r="F12" s="2161"/>
      <c r="G12" s="2161"/>
      <c r="H12" s="2161"/>
      <c r="I12" s="1541"/>
      <c r="J12" s="1541"/>
      <c r="K12" s="1541"/>
      <c r="L12" s="1541"/>
      <c r="M12" s="684"/>
      <c r="N12" s="684"/>
      <c r="O12" s="684"/>
    </row>
    <row r="13" spans="1:256" s="1542" customFormat="1" ht="16.5" customHeight="1">
      <c r="A13" s="1568" t="s">
        <v>35</v>
      </c>
      <c r="B13" s="2161"/>
      <c r="C13" s="2161"/>
      <c r="D13" s="2161"/>
      <c r="E13" s="2161"/>
      <c r="F13" s="2161"/>
      <c r="G13" s="2161"/>
      <c r="H13" s="2161"/>
      <c r="I13" s="2161"/>
      <c r="J13" s="1540"/>
      <c r="K13" s="1540"/>
      <c r="L13" s="1541"/>
      <c r="M13" s="684"/>
      <c r="N13" s="684"/>
      <c r="O13" s="684"/>
    </row>
    <row r="14" spans="1:256" s="1542" customFormat="1" ht="16.5" customHeight="1">
      <c r="A14" s="1568" t="s">
        <v>35</v>
      </c>
      <c r="B14" s="2161"/>
      <c r="C14" s="2161"/>
      <c r="D14" s="2161"/>
      <c r="E14" s="2161"/>
      <c r="F14" s="2161"/>
      <c r="G14" s="2161"/>
      <c r="H14" s="2161"/>
      <c r="I14" s="2161"/>
      <c r="J14" s="2161"/>
      <c r="K14" s="2161"/>
      <c r="L14" s="1541"/>
      <c r="M14" s="684"/>
      <c r="N14" s="684"/>
      <c r="O14" s="684"/>
    </row>
    <row r="15" spans="1:256" ht="17.149999999999999" customHeight="1">
      <c r="A15" s="1569" t="s">
        <v>35</v>
      </c>
      <c r="B15" s="2191"/>
      <c r="C15" s="2191"/>
      <c r="D15" s="2191"/>
      <c r="E15" s="2191"/>
      <c r="F15" s="2191"/>
      <c r="G15" s="2191"/>
      <c r="H15" s="2191"/>
      <c r="I15" s="2191"/>
      <c r="J15" s="2191"/>
      <c r="K15" s="2191"/>
      <c r="L15" s="2191"/>
      <c r="M15" s="42"/>
      <c r="N15" s="42"/>
      <c r="O15" s="42"/>
    </row>
    <row r="16" spans="1:256" s="1542" customFormat="1" ht="16.5" customHeight="1">
      <c r="A16" s="1568" t="s">
        <v>35</v>
      </c>
      <c r="B16" s="2192"/>
      <c r="C16" s="2193"/>
      <c r="D16" s="2193"/>
      <c r="E16" s="2193"/>
      <c r="F16" s="2193"/>
      <c r="G16" s="2193"/>
      <c r="H16" s="2193"/>
      <c r="I16" s="2193"/>
      <c r="J16" s="2193"/>
      <c r="K16" s="2193"/>
      <c r="L16" s="2193"/>
      <c r="M16" s="684"/>
      <c r="N16" s="684"/>
      <c r="O16" s="684"/>
    </row>
    <row r="17" spans="1:15" s="1542" customFormat="1" ht="16.5" customHeight="1">
      <c r="A17" s="1568" t="s">
        <v>35</v>
      </c>
      <c r="B17" s="2192"/>
      <c r="C17" s="2192"/>
      <c r="D17" s="2192"/>
      <c r="E17" s="2192"/>
      <c r="F17" s="2192"/>
      <c r="G17" s="2192"/>
      <c r="H17" s="2192"/>
      <c r="I17" s="2192"/>
      <c r="J17" s="2192"/>
      <c r="K17" s="2192"/>
      <c r="L17" s="1570"/>
      <c r="M17" s="684"/>
      <c r="N17" s="684"/>
      <c r="O17" s="684"/>
    </row>
    <row r="18" spans="1:15" s="1542" customFormat="1" ht="16" customHeight="1">
      <c r="A18" s="1568" t="s">
        <v>35</v>
      </c>
      <c r="B18" s="2157"/>
      <c r="C18" s="2157"/>
      <c r="D18" s="2157"/>
      <c r="E18" s="2157"/>
      <c r="F18" s="2157"/>
      <c r="G18" s="2157"/>
      <c r="H18" s="2157"/>
      <c r="I18" s="2157"/>
      <c r="J18" s="2157"/>
      <c r="K18" s="2157"/>
      <c r="L18" s="2157"/>
      <c r="M18" s="684"/>
      <c r="N18" s="684"/>
      <c r="O18" s="684"/>
    </row>
    <row r="19" spans="1:15" s="1542" customFormat="1" ht="16.5" customHeight="1">
      <c r="A19" s="1568" t="s">
        <v>35</v>
      </c>
      <c r="B19" s="2029"/>
      <c r="C19" s="2029"/>
      <c r="D19" s="2029"/>
      <c r="E19" s="2029"/>
      <c r="F19" s="2029"/>
      <c r="G19" s="2029"/>
      <c r="M19" s="684"/>
      <c r="N19" s="684"/>
      <c r="O19" s="684"/>
    </row>
    <row r="20" spans="1:15" s="1542" customFormat="1" ht="17.149999999999999" customHeight="1">
      <c r="A20" s="1571" t="s">
        <v>35</v>
      </c>
      <c r="B20" s="2161"/>
      <c r="C20" s="2161"/>
      <c r="D20" s="2161"/>
      <c r="E20" s="2161"/>
      <c r="F20" s="2161"/>
      <c r="G20" s="2161"/>
      <c r="H20" s="2161"/>
      <c r="I20" s="2161"/>
      <c r="J20" s="2161"/>
      <c r="K20" s="2161"/>
      <c r="L20" s="2161"/>
      <c r="M20" s="684"/>
      <c r="N20" s="684"/>
      <c r="O20" s="684"/>
    </row>
    <row r="21" spans="1:15" s="1542" customFormat="1" ht="17.149999999999999" customHeight="1">
      <c r="A21" s="1571" t="s">
        <v>35</v>
      </c>
      <c r="B21" s="2161" t="s">
        <v>5162</v>
      </c>
      <c r="C21" s="2161"/>
      <c r="D21" s="2161"/>
      <c r="E21" s="2161"/>
      <c r="F21" s="2161"/>
      <c r="G21" s="2161"/>
      <c r="H21" s="1540"/>
      <c r="I21" s="1540"/>
      <c r="J21" s="1540"/>
      <c r="K21" s="1540"/>
      <c r="L21" s="1540"/>
      <c r="M21" s="684"/>
      <c r="N21" s="684"/>
      <c r="O21" s="684"/>
    </row>
    <row r="22" spans="1:15" s="1572" customFormat="1" ht="16.5" customHeight="1">
      <c r="A22" s="764" t="s">
        <v>35</v>
      </c>
      <c r="B22" s="2190" t="s">
        <v>5163</v>
      </c>
      <c r="C22" s="2190"/>
      <c r="D22" s="2190"/>
      <c r="E22" s="2190"/>
      <c r="F22" s="2190"/>
      <c r="G22" s="2190"/>
      <c r="H22" s="2190"/>
      <c r="I22" s="2190"/>
      <c r="J22" s="2190"/>
      <c r="K22" s="2190"/>
      <c r="L22" s="2190"/>
      <c r="M22" s="42"/>
      <c r="N22" s="42"/>
      <c r="O22" s="42"/>
    </row>
    <row r="23" spans="1:15" s="1572" customFormat="1" ht="16.5" customHeight="1">
      <c r="A23" s="1624" t="s">
        <v>35</v>
      </c>
      <c r="B23" s="33" t="s">
        <v>5164</v>
      </c>
      <c r="C23" s="33"/>
      <c r="D23" s="33"/>
      <c r="E23" s="33"/>
      <c r="F23" s="33"/>
      <c r="G23" s="33"/>
      <c r="H23" s="1573"/>
      <c r="I23" s="1573"/>
      <c r="J23" s="1573"/>
      <c r="K23" s="1573"/>
      <c r="L23" s="1573"/>
      <c r="M23" s="42"/>
      <c r="N23" s="42"/>
      <c r="O23" s="42"/>
    </row>
    <row r="24" spans="1:15" s="1572" customFormat="1" ht="16.5" customHeight="1">
      <c r="A24" s="1624" t="s">
        <v>35</v>
      </c>
      <c r="B24" s="33" t="s">
        <v>5165</v>
      </c>
      <c r="C24" s="33"/>
      <c r="D24" s="33"/>
      <c r="E24" s="33"/>
      <c r="F24" s="33"/>
      <c r="G24" s="33"/>
      <c r="H24" s="1573"/>
      <c r="I24" s="1573"/>
      <c r="J24" s="1573"/>
      <c r="K24" s="1573"/>
      <c r="L24" s="1573"/>
      <c r="M24" s="42"/>
      <c r="N24" s="42"/>
      <c r="O24" s="42"/>
    </row>
    <row r="25" spans="1:15" s="1572" customFormat="1" ht="16.5" customHeight="1">
      <c r="A25" s="2030" t="s">
        <v>35</v>
      </c>
      <c r="B25" s="33" t="s">
        <v>5166</v>
      </c>
      <c r="C25" s="33"/>
      <c r="D25" s="33"/>
      <c r="E25" s="33"/>
      <c r="F25" s="33"/>
      <c r="G25" s="33"/>
      <c r="H25" s="1573"/>
      <c r="I25" s="1573"/>
      <c r="J25" s="1573"/>
      <c r="K25" s="1573"/>
      <c r="L25" s="1573"/>
      <c r="M25" s="42"/>
      <c r="N25" s="42"/>
      <c r="O25" s="42"/>
    </row>
    <row r="26" spans="1:15" s="1572" customFormat="1" ht="16.5" customHeight="1">
      <c r="A26" s="2030" t="s">
        <v>35</v>
      </c>
      <c r="B26" s="33" t="s">
        <v>5167</v>
      </c>
      <c r="C26" s="33"/>
      <c r="D26" s="33"/>
      <c r="E26" s="33"/>
      <c r="F26" s="33"/>
      <c r="G26" s="33"/>
      <c r="H26" s="1573"/>
      <c r="I26" s="1573"/>
      <c r="J26" s="1573"/>
      <c r="K26" s="1573"/>
      <c r="L26" s="1573"/>
      <c r="M26" s="42"/>
      <c r="N26" s="42"/>
      <c r="O26" s="42"/>
    </row>
    <row r="27" spans="1:15" s="1572" customFormat="1" ht="18.649999999999999" customHeight="1">
      <c r="A27" s="2030" t="s">
        <v>35</v>
      </c>
      <c r="B27" s="33" t="s">
        <v>5168</v>
      </c>
      <c r="C27" s="33"/>
      <c r="D27" s="33"/>
      <c r="E27" s="33"/>
      <c r="F27" s="33"/>
      <c r="G27" s="33"/>
      <c r="H27" s="1573"/>
      <c r="I27" s="1573"/>
      <c r="J27" s="1573"/>
      <c r="K27" s="1573"/>
      <c r="L27" s="1573"/>
      <c r="M27" s="42"/>
      <c r="N27" s="42"/>
      <c r="O27" s="42"/>
    </row>
    <row r="28" spans="1:15" s="1572" customFormat="1" ht="18.649999999999999" hidden="1" customHeight="1">
      <c r="A28" s="1569" t="s">
        <v>35</v>
      </c>
      <c r="B28" s="1573" t="s">
        <v>5169</v>
      </c>
      <c r="C28" s="1573"/>
      <c r="D28" s="1573"/>
      <c r="E28" s="1573"/>
      <c r="F28" s="1573"/>
      <c r="G28" s="1573"/>
      <c r="H28" s="1573"/>
      <c r="I28" s="1573"/>
      <c r="J28" s="1573"/>
      <c r="K28" s="1573"/>
      <c r="L28" s="1573"/>
      <c r="M28" s="42"/>
      <c r="N28" s="42"/>
      <c r="O28" s="42"/>
    </row>
    <row r="29" spans="1:15" s="1572" customFormat="1" ht="18.649999999999999" hidden="1" customHeight="1">
      <c r="A29" s="1569" t="s">
        <v>35</v>
      </c>
      <c r="B29" s="1573" t="s">
        <v>5170</v>
      </c>
      <c r="C29" s="1573"/>
      <c r="D29" s="1573"/>
      <c r="E29" s="1573"/>
      <c r="F29" s="1573"/>
      <c r="G29" s="1573"/>
      <c r="H29" s="1573"/>
      <c r="I29" s="1573"/>
      <c r="J29" s="1573"/>
      <c r="K29" s="1573"/>
      <c r="L29" s="1573"/>
      <c r="M29" s="42"/>
      <c r="N29" s="42"/>
      <c r="O29" s="42"/>
    </row>
    <row r="30" spans="1:15" s="1572" customFormat="1" ht="18.649999999999999" customHeight="1">
      <c r="A30" s="1569"/>
      <c r="B30" s="1573"/>
      <c r="C30" s="1573"/>
      <c r="D30" s="1573"/>
      <c r="E30" s="1573"/>
      <c r="F30" s="1573"/>
      <c r="G30" s="1573"/>
      <c r="H30" s="1573"/>
      <c r="I30" s="1573"/>
      <c r="J30" s="1573"/>
      <c r="K30" s="1573"/>
      <c r="L30" s="1573"/>
      <c r="M30" s="42"/>
      <c r="N30" s="42"/>
      <c r="O30" s="42"/>
    </row>
    <row r="31" spans="1:15" s="1572" customFormat="1" ht="27.65" customHeight="1" thickBot="1">
      <c r="A31" s="402" t="s">
        <v>5171</v>
      </c>
      <c r="B31" s="402"/>
      <c r="C31" s="1544"/>
      <c r="D31" s="1544"/>
      <c r="E31" s="1544"/>
      <c r="F31" s="1544"/>
      <c r="G31" s="1544"/>
      <c r="H31" s="1544"/>
      <c r="I31" s="1544"/>
      <c r="J31" s="1544"/>
      <c r="K31" s="1544"/>
      <c r="L31" s="1544"/>
      <c r="M31" s="42"/>
      <c r="N31" s="42"/>
      <c r="O31" s="42"/>
    </row>
    <row r="32" spans="1:15" s="1572" customFormat="1" ht="15.65" customHeight="1">
      <c r="A32" s="1571" t="s">
        <v>35</v>
      </c>
      <c r="B32" s="2161" t="s">
        <v>5172</v>
      </c>
      <c r="C32" s="2161"/>
      <c r="D32" s="2161"/>
      <c r="E32" s="2161"/>
      <c r="F32" s="2161"/>
      <c r="G32" s="2161"/>
      <c r="H32" s="2161"/>
      <c r="I32" s="2161"/>
      <c r="J32" s="2161"/>
      <c r="K32" s="2161"/>
      <c r="L32" s="2161"/>
      <c r="M32" s="42"/>
      <c r="N32" s="42"/>
      <c r="O32" s="42"/>
    </row>
    <row r="33" spans="1:15" s="1572" customFormat="1" ht="16.399999999999999" customHeight="1">
      <c r="A33" s="1571"/>
      <c r="B33" s="2194" t="s">
        <v>5173</v>
      </c>
      <c r="C33" s="2195"/>
      <c r="D33" s="1540"/>
      <c r="E33" s="1540"/>
      <c r="F33" s="1540"/>
      <c r="G33" s="1540"/>
      <c r="H33" s="1540"/>
      <c r="I33" s="1540"/>
      <c r="J33" s="1540"/>
      <c r="K33" s="1540"/>
      <c r="L33" s="1540"/>
      <c r="M33" s="42"/>
      <c r="N33" s="42"/>
      <c r="O33" s="42"/>
    </row>
    <row r="34" spans="1:15" s="1572" customFormat="1" ht="16.399999999999999" customHeight="1">
      <c r="A34" s="1571" t="s">
        <v>35</v>
      </c>
      <c r="B34" s="1573" t="s">
        <v>5174</v>
      </c>
      <c r="C34" s="1574"/>
      <c r="D34" s="1540"/>
      <c r="E34" s="1540"/>
      <c r="F34" s="1540"/>
      <c r="G34" s="1540"/>
      <c r="H34" s="1540"/>
      <c r="I34" s="1540"/>
      <c r="J34" s="1540"/>
      <c r="K34" s="1540"/>
      <c r="L34" s="1540"/>
      <c r="M34" s="42"/>
      <c r="N34" s="42"/>
      <c r="O34" s="42"/>
    </row>
    <row r="35" spans="1:15" s="1572" customFormat="1" ht="16.399999999999999" customHeight="1">
      <c r="A35" s="1571" t="s">
        <v>35</v>
      </c>
      <c r="B35" s="1573" t="s">
        <v>5297</v>
      </c>
      <c r="C35" s="1574"/>
      <c r="D35" s="1540"/>
      <c r="E35" s="1540"/>
      <c r="F35" s="1540"/>
      <c r="G35" s="1540"/>
      <c r="H35" s="1540"/>
      <c r="I35" s="1540"/>
      <c r="J35" s="1540"/>
      <c r="K35" s="1540"/>
      <c r="L35" s="1540"/>
      <c r="M35" s="42"/>
      <c r="N35" s="42"/>
      <c r="O35" s="42"/>
    </row>
    <row r="37" spans="1:15" s="1572" customFormat="1" ht="16.399999999999999" customHeight="1">
      <c r="A37" s="1571" t="s">
        <v>35</v>
      </c>
      <c r="B37" s="1573" t="s">
        <v>1921</v>
      </c>
      <c r="C37" s="1574"/>
      <c r="D37" s="1540"/>
      <c r="E37" s="1540"/>
      <c r="F37" s="1540"/>
      <c r="G37" s="1540"/>
      <c r="H37" s="1540"/>
      <c r="I37" s="1540"/>
      <c r="J37" s="1540"/>
      <c r="K37" s="1540"/>
      <c r="L37" s="1540"/>
      <c r="M37" s="42"/>
      <c r="N37" s="42"/>
      <c r="O37" s="42"/>
    </row>
    <row r="38" spans="1:15" s="1572" customFormat="1" ht="29.5" customHeight="1">
      <c r="A38" s="1569" t="s">
        <v>35</v>
      </c>
      <c r="B38" s="2172" t="s">
        <v>5298</v>
      </c>
      <c r="C38" s="2172"/>
      <c r="D38" s="2172"/>
      <c r="E38" s="2172"/>
      <c r="F38" s="2172"/>
      <c r="G38" s="2172"/>
      <c r="H38" s="2172"/>
      <c r="I38" s="2172"/>
      <c r="J38" s="2172"/>
      <c r="K38" s="2172"/>
      <c r="L38" s="2172"/>
      <c r="M38" s="42"/>
      <c r="N38" s="42"/>
      <c r="O38" s="42"/>
    </row>
    <row r="39" spans="1:15" s="1572" customFormat="1" ht="18.649999999999999" customHeight="1">
      <c r="A39" s="1569" t="s">
        <v>35</v>
      </c>
      <c r="B39" s="1573" t="s">
        <v>5175</v>
      </c>
      <c r="C39" s="1573"/>
      <c r="D39" s="1573"/>
      <c r="E39" s="1573"/>
      <c r="F39" s="1573"/>
      <c r="G39" s="1573"/>
      <c r="H39" s="1573"/>
      <c r="I39" s="1573"/>
      <c r="J39" s="1573"/>
      <c r="K39" s="1573"/>
      <c r="L39" s="1573"/>
      <c r="M39" s="42"/>
      <c r="N39" s="42"/>
      <c r="O39" s="42"/>
    </row>
    <row r="40" spans="1:15" s="1572" customFormat="1" ht="18.649999999999999" customHeight="1">
      <c r="A40" s="1569" t="s">
        <v>35</v>
      </c>
      <c r="B40" s="1573" t="s">
        <v>5176</v>
      </c>
      <c r="C40" s="1573"/>
      <c r="D40" s="1573"/>
      <c r="E40" s="1573"/>
      <c r="F40" s="1573"/>
      <c r="G40" s="1573"/>
      <c r="H40" s="1573"/>
      <c r="I40" s="1573"/>
      <c r="J40" s="1573"/>
      <c r="K40" s="1573"/>
      <c r="L40" s="1573"/>
      <c r="M40" s="42"/>
      <c r="N40" s="42"/>
      <c r="O40" s="42"/>
    </row>
    <row r="41" spans="1:15" s="1572" customFormat="1" ht="18.649999999999999" customHeight="1">
      <c r="A41" s="1569"/>
      <c r="B41" s="1577" t="s">
        <v>5308</v>
      </c>
      <c r="C41" s="1573"/>
      <c r="D41" s="1573"/>
      <c r="E41" s="1573"/>
      <c r="F41" s="1573"/>
      <c r="G41" s="1573"/>
      <c r="H41" s="1573"/>
      <c r="I41" s="1573"/>
      <c r="J41" s="1573"/>
      <c r="K41" s="1573"/>
      <c r="L41" s="1573"/>
      <c r="M41" s="42"/>
      <c r="N41" s="42"/>
      <c r="O41" s="42"/>
    </row>
    <row r="42" spans="1:15" s="1572" customFormat="1" ht="18.649999999999999" customHeight="1">
      <c r="A42" s="1569"/>
      <c r="B42" s="1577" t="s">
        <v>5309</v>
      </c>
      <c r="C42" s="1573"/>
      <c r="D42" s="1573"/>
      <c r="E42" s="1573"/>
      <c r="F42" s="1573"/>
      <c r="G42" s="1573"/>
      <c r="H42" s="1573"/>
      <c r="I42" s="1573"/>
      <c r="J42" s="1573"/>
      <c r="K42" s="1573"/>
      <c r="L42" s="1573"/>
      <c r="M42" s="42"/>
      <c r="N42" s="42"/>
      <c r="O42" s="42"/>
    </row>
    <row r="43" spans="1:15" s="1572" customFormat="1" ht="34.5" customHeight="1">
      <c r="A43" s="1569" t="s">
        <v>35</v>
      </c>
      <c r="B43" s="2161" t="s">
        <v>5177</v>
      </c>
      <c r="C43" s="2161"/>
      <c r="D43" s="2161"/>
      <c r="E43" s="2161"/>
      <c r="F43" s="2161"/>
      <c r="G43" s="2161"/>
      <c r="H43" s="2161"/>
      <c r="I43" s="2161"/>
      <c r="J43" s="2161"/>
      <c r="K43" s="2161"/>
      <c r="L43" s="1573"/>
      <c r="M43" s="42"/>
      <c r="N43" s="42"/>
      <c r="O43" s="42"/>
    </row>
    <row r="44" spans="1:15" s="1572" customFormat="1" ht="18.649999999999999" customHeight="1">
      <c r="A44" s="1569" t="s">
        <v>35</v>
      </c>
      <c r="B44" s="2161" t="s">
        <v>5307</v>
      </c>
      <c r="C44" s="2161"/>
      <c r="D44" s="2161"/>
      <c r="E44" s="2161"/>
      <c r="F44" s="2161"/>
      <c r="G44" s="2161"/>
      <c r="H44" s="2161"/>
      <c r="I44" s="2161"/>
      <c r="J44" s="2161"/>
      <c r="K44" s="2161"/>
      <c r="L44" s="1573"/>
      <c r="M44" s="42"/>
      <c r="N44" s="42"/>
      <c r="O44" s="42"/>
    </row>
    <row r="45" spans="1:15" s="1572" customFormat="1" ht="18.649999999999999" customHeight="1">
      <c r="A45" s="1569" t="s">
        <v>35</v>
      </c>
      <c r="B45" s="2161" t="s">
        <v>5306</v>
      </c>
      <c r="C45" s="2161"/>
      <c r="D45" s="2161"/>
      <c r="E45" s="2161"/>
      <c r="F45" s="2161"/>
      <c r="G45" s="2161"/>
      <c r="H45" s="2161"/>
      <c r="I45" s="2161"/>
      <c r="J45" s="2161"/>
      <c r="K45" s="2161"/>
      <c r="L45" s="1573"/>
      <c r="M45" s="42"/>
      <c r="N45" s="42"/>
      <c r="O45" s="42"/>
    </row>
    <row r="46" spans="1:15" s="1040" customFormat="1" ht="33" customHeight="1">
      <c r="A46" s="1575" t="s">
        <v>35</v>
      </c>
      <c r="B46" s="2161" t="s">
        <v>5178</v>
      </c>
      <c r="C46" s="2161"/>
      <c r="D46" s="2161"/>
      <c r="E46" s="2161"/>
      <c r="F46" s="2161"/>
      <c r="G46" s="2161"/>
      <c r="H46" s="2161"/>
      <c r="I46" s="2161"/>
      <c r="J46" s="2161"/>
      <c r="K46" s="2161"/>
      <c r="L46" s="1540"/>
      <c r="M46" s="1576"/>
      <c r="N46" s="1576"/>
      <c r="O46" s="1576"/>
    </row>
    <row r="47" spans="1:15" s="1040" customFormat="1" ht="33" hidden="1" customHeight="1" thickBot="1">
      <c r="A47" s="2189" t="s">
        <v>5179</v>
      </c>
      <c r="B47" s="2189"/>
      <c r="C47" s="2189"/>
      <c r="D47" s="2189"/>
      <c r="E47" s="2189"/>
      <c r="F47" s="2189"/>
      <c r="G47" s="2189"/>
      <c r="H47" s="2189"/>
      <c r="I47" s="2189"/>
      <c r="J47" s="2189"/>
      <c r="K47" s="2189"/>
      <c r="L47" s="2189"/>
      <c r="M47" s="1576"/>
      <c r="N47" s="1576"/>
      <c r="O47" s="1576"/>
    </row>
    <row r="48" spans="1:15" s="1040" customFormat="1" ht="19" hidden="1" customHeight="1">
      <c r="A48" s="1571" t="s">
        <v>35</v>
      </c>
      <c r="B48" s="2172" t="s">
        <v>5180</v>
      </c>
      <c r="C48" s="2190"/>
      <c r="D48" s="2190"/>
      <c r="E48" s="2190"/>
      <c r="F48" s="2190"/>
      <c r="G48" s="2190"/>
      <c r="H48" s="2190"/>
      <c r="I48" s="2190"/>
      <c r="J48" s="2190"/>
      <c r="K48" s="2190"/>
      <c r="L48" s="2190"/>
      <c r="M48" s="1576"/>
      <c r="N48" s="1576"/>
      <c r="O48" s="1576"/>
    </row>
    <row r="49" spans="1:15" s="1040" customFormat="1" ht="19" hidden="1" customHeight="1">
      <c r="A49" s="1571" t="s">
        <v>35</v>
      </c>
      <c r="B49" s="2172" t="s">
        <v>5181</v>
      </c>
      <c r="C49" s="2190"/>
      <c r="D49" s="2190"/>
      <c r="E49" s="2190"/>
      <c r="F49" s="2190"/>
      <c r="G49" s="2190"/>
      <c r="H49" s="2190"/>
      <c r="I49" s="2190"/>
      <c r="J49" s="2190"/>
      <c r="K49" s="2190"/>
      <c r="L49" s="2190"/>
      <c r="M49" s="1576"/>
      <c r="N49" s="1576"/>
      <c r="O49" s="1576"/>
    </row>
    <row r="50" spans="1:15" s="1040" customFormat="1" ht="19" hidden="1" customHeight="1">
      <c r="A50" s="1571" t="s">
        <v>35</v>
      </c>
      <c r="B50" s="1573" t="s">
        <v>5182</v>
      </c>
      <c r="C50" s="1572"/>
      <c r="D50" s="1572"/>
      <c r="E50" s="1572"/>
      <c r="F50" s="1572"/>
      <c r="G50" s="1572"/>
      <c r="H50" s="1572"/>
      <c r="I50" s="1572"/>
      <c r="J50" s="1572"/>
      <c r="K50" s="1572"/>
      <c r="L50" s="1572"/>
      <c r="M50" s="1576"/>
      <c r="N50" s="1576"/>
      <c r="O50" s="1576"/>
    </row>
    <row r="51" spans="1:15" s="1040" customFormat="1" ht="19" hidden="1" customHeight="1">
      <c r="A51" s="1571" t="s">
        <v>35</v>
      </c>
      <c r="B51" s="1573" t="s">
        <v>5183</v>
      </c>
      <c r="C51" s="1573"/>
      <c r="D51" s="1573"/>
      <c r="E51" s="1573"/>
      <c r="F51" s="1573"/>
      <c r="G51" s="1573"/>
      <c r="H51" s="1573"/>
      <c r="I51" s="1573"/>
      <c r="J51" s="1573"/>
      <c r="K51" s="1573"/>
      <c r="L51" s="1573"/>
      <c r="M51" s="1576"/>
      <c r="N51" s="1576"/>
      <c r="O51" s="1576"/>
    </row>
    <row r="52" spans="1:15" s="1040" customFormat="1" ht="19" hidden="1" customHeight="1">
      <c r="A52" s="1571"/>
      <c r="B52" s="1577" t="s">
        <v>5184</v>
      </c>
      <c r="C52" s="1573"/>
      <c r="D52" s="1573"/>
      <c r="E52" s="1573"/>
      <c r="F52" s="1573"/>
      <c r="G52" s="1573"/>
      <c r="H52" s="1573"/>
      <c r="I52" s="1573"/>
      <c r="J52" s="1573"/>
      <c r="K52" s="1573"/>
      <c r="L52" s="1573"/>
      <c r="M52" s="1576"/>
      <c r="N52" s="1576"/>
      <c r="O52" s="1576"/>
    </row>
    <row r="53" spans="1:15" s="1040" customFormat="1" ht="19" hidden="1" customHeight="1">
      <c r="A53" s="1571" t="s">
        <v>35</v>
      </c>
      <c r="B53" s="1573" t="s">
        <v>5185</v>
      </c>
      <c r="C53" s="1573"/>
      <c r="D53" s="1573"/>
      <c r="E53" s="1573"/>
      <c r="F53" s="1573"/>
      <c r="G53" s="1573"/>
      <c r="H53" s="1573"/>
      <c r="I53" s="1573"/>
      <c r="J53" s="1573"/>
      <c r="K53" s="1573"/>
      <c r="L53" s="1573"/>
      <c r="M53" s="1576"/>
      <c r="N53" s="1576"/>
      <c r="O53" s="1576"/>
    </row>
    <row r="54" spans="1:15" s="1040" customFormat="1" ht="19" hidden="1" customHeight="1">
      <c r="A54" s="1571" t="s">
        <v>35</v>
      </c>
      <c r="B54" s="1573" t="s">
        <v>5186</v>
      </c>
      <c r="C54" s="1573"/>
      <c r="D54" s="1573"/>
      <c r="E54" s="1573"/>
      <c r="F54" s="1573"/>
      <c r="G54" s="1573"/>
      <c r="H54" s="1573"/>
      <c r="I54" s="1573"/>
      <c r="J54" s="1573"/>
      <c r="K54" s="1573"/>
      <c r="L54" s="1573"/>
      <c r="M54" s="1576"/>
      <c r="N54" s="1576"/>
      <c r="O54" s="1576"/>
    </row>
    <row r="55" spans="1:15" s="1040" customFormat="1" ht="19" hidden="1" customHeight="1">
      <c r="A55" s="1571" t="s">
        <v>35</v>
      </c>
      <c r="B55" s="1578" t="s">
        <v>5187</v>
      </c>
      <c r="C55" s="1579"/>
      <c r="D55" s="1579"/>
      <c r="E55" s="1579"/>
      <c r="F55" s="1579"/>
      <c r="G55" s="1573"/>
      <c r="H55" s="1573"/>
      <c r="I55" s="1573"/>
      <c r="J55" s="1573"/>
      <c r="K55" s="1573"/>
      <c r="L55" s="1573"/>
      <c r="M55" s="1576"/>
      <c r="N55" s="1576"/>
      <c r="O55" s="1576"/>
    </row>
    <row r="56" spans="1:15" s="1040" customFormat="1" ht="19" hidden="1" customHeight="1">
      <c r="A56" s="1571" t="s">
        <v>35</v>
      </c>
      <c r="B56" s="1578" t="s">
        <v>5188</v>
      </c>
      <c r="C56" s="1580"/>
      <c r="D56" s="1580"/>
      <c r="E56" s="1580"/>
      <c r="F56" s="1580"/>
      <c r="G56" s="1573"/>
      <c r="H56" s="1573"/>
      <c r="I56" s="1573"/>
      <c r="J56" s="1573"/>
      <c r="K56" s="1573"/>
      <c r="L56" s="1573"/>
      <c r="M56" s="1576"/>
      <c r="N56" s="1576"/>
      <c r="O56" s="1576"/>
    </row>
    <row r="57" spans="1:15" s="1040" customFormat="1" ht="19" hidden="1" customHeight="1">
      <c r="A57" s="1571" t="s">
        <v>35</v>
      </c>
      <c r="B57" s="1578" t="s">
        <v>5189</v>
      </c>
      <c r="C57" s="1579"/>
      <c r="D57" s="1579"/>
      <c r="E57" s="1579"/>
      <c r="F57" s="1580"/>
      <c r="G57" s="1573"/>
      <c r="H57" s="1573"/>
      <c r="I57" s="1573"/>
      <c r="J57" s="1573"/>
      <c r="K57" s="1573"/>
      <c r="L57" s="1573"/>
      <c r="M57" s="1576"/>
      <c r="N57" s="1576"/>
      <c r="O57" s="1576"/>
    </row>
    <row r="58" spans="1:15" s="1040" customFormat="1" ht="19" hidden="1" customHeight="1">
      <c r="A58" s="1575"/>
      <c r="B58" s="1578" t="s">
        <v>5190</v>
      </c>
      <c r="C58" s="1579"/>
      <c r="D58" s="1579"/>
      <c r="E58" s="1579"/>
      <c r="F58" s="1580"/>
      <c r="G58" s="1573"/>
      <c r="H58" s="1573"/>
      <c r="I58" s="1573"/>
      <c r="J58" s="1573"/>
      <c r="K58" s="1573"/>
      <c r="L58" s="1573"/>
      <c r="M58" s="1576"/>
      <c r="N58" s="1576"/>
      <c r="O58" s="1576"/>
    </row>
    <row r="59" spans="1:15" s="1040" customFormat="1" ht="19" hidden="1" customHeight="1">
      <c r="A59" s="1575"/>
      <c r="B59" s="1578" t="s">
        <v>5191</v>
      </c>
      <c r="C59" s="1579"/>
      <c r="D59" s="1579"/>
      <c r="E59" s="1579"/>
      <c r="F59" s="1580"/>
      <c r="G59" s="1573"/>
      <c r="H59" s="1573"/>
      <c r="I59" s="1573"/>
      <c r="J59" s="1573"/>
      <c r="K59" s="1573"/>
      <c r="L59" s="1573"/>
      <c r="M59" s="1576"/>
      <c r="N59" s="1576"/>
      <c r="O59" s="1576"/>
    </row>
    <row r="60" spans="1:15" s="1040" customFormat="1" ht="19" hidden="1" customHeight="1">
      <c r="A60" s="1571" t="s">
        <v>35</v>
      </c>
      <c r="B60" s="1578" t="s">
        <v>5192</v>
      </c>
      <c r="C60" s="1580"/>
      <c r="D60" s="1580"/>
      <c r="E60" s="1580"/>
      <c r="F60" s="1580"/>
      <c r="G60" s="1573"/>
      <c r="H60" s="1573"/>
      <c r="I60" s="1573"/>
      <c r="J60" s="1573"/>
      <c r="K60" s="1573"/>
      <c r="L60" s="1573"/>
      <c r="M60" s="1576"/>
      <c r="N60" s="1576"/>
      <c r="O60" s="1576"/>
    </row>
    <row r="61" spans="1:15" s="1040" customFormat="1" ht="19" hidden="1" customHeight="1">
      <c r="A61" s="1571" t="s">
        <v>35</v>
      </c>
      <c r="B61" s="1578" t="s">
        <v>5266</v>
      </c>
      <c r="C61" s="1580"/>
      <c r="D61" s="1580"/>
      <c r="E61" s="1580"/>
      <c r="F61" s="1580"/>
      <c r="G61" s="1573"/>
      <c r="H61" s="1573"/>
      <c r="I61" s="1573"/>
      <c r="J61" s="1573"/>
      <c r="K61" s="1573"/>
      <c r="L61" s="1573"/>
      <c r="M61" s="1576"/>
      <c r="N61" s="1576"/>
      <c r="O61" s="1576"/>
    </row>
    <row r="62" spans="1:15" s="1040" customFormat="1" ht="19" hidden="1" customHeight="1">
      <c r="A62" s="1571"/>
      <c r="B62" s="268"/>
      <c r="C62" s="1580"/>
      <c r="D62" s="1580"/>
      <c r="E62" s="1580"/>
      <c r="F62" s="1580"/>
      <c r="G62" s="1573"/>
      <c r="H62" s="1573"/>
      <c r="I62" s="1573"/>
      <c r="J62" s="1573"/>
      <c r="K62" s="1573"/>
      <c r="L62" s="1573"/>
      <c r="M62" s="1576"/>
      <c r="N62" s="1576"/>
      <c r="O62" s="1576"/>
    </row>
    <row r="63" spans="1:15" s="1572" customFormat="1" ht="28" customHeight="1" thickBot="1">
      <c r="A63" s="402" t="s">
        <v>5585</v>
      </c>
      <c r="B63" s="1544"/>
      <c r="C63" s="1544"/>
      <c r="D63" s="1544"/>
      <c r="E63" s="1544"/>
      <c r="F63" s="1544"/>
      <c r="G63" s="1544"/>
      <c r="H63" s="1544"/>
      <c r="I63" s="1544"/>
      <c r="J63" s="1544"/>
      <c r="K63" s="1544"/>
      <c r="L63" s="1544"/>
      <c r="M63" s="42"/>
      <c r="N63" s="42"/>
      <c r="O63" s="42"/>
    </row>
    <row r="64" spans="1:15" ht="14.15" customHeight="1">
      <c r="A64" s="1569" t="s">
        <v>35</v>
      </c>
      <c r="B64" s="2172" t="s">
        <v>5586</v>
      </c>
      <c r="C64" s="2172"/>
      <c r="D64" s="2172"/>
      <c r="E64" s="2172"/>
      <c r="F64" s="2172"/>
      <c r="G64" s="2172"/>
    </row>
    <row r="65" spans="1:15" ht="14.15" customHeight="1">
      <c r="A65" s="1569"/>
      <c r="B65" s="2172" t="s">
        <v>5193</v>
      </c>
      <c r="C65" s="2172"/>
      <c r="D65" s="2172"/>
      <c r="E65" s="2172"/>
      <c r="F65" s="2172"/>
      <c r="G65" s="2172"/>
      <c r="H65" s="2172"/>
      <c r="I65" s="2172"/>
      <c r="J65" s="2172"/>
      <c r="K65" s="2172"/>
    </row>
    <row r="66" spans="1:15" s="192" customFormat="1" ht="14.15" customHeight="1">
      <c r="A66" s="1568" t="s">
        <v>35</v>
      </c>
      <c r="B66" s="2172" t="s">
        <v>5194</v>
      </c>
      <c r="C66" s="2172"/>
      <c r="D66" s="2172"/>
      <c r="E66" s="2172"/>
      <c r="F66" s="2172"/>
      <c r="G66" s="2172"/>
    </row>
    <row r="67" spans="1:15" s="1542" customFormat="1" ht="13.5" customHeight="1">
      <c r="A67" s="1571" t="s">
        <v>35</v>
      </c>
      <c r="B67" s="1542" t="s">
        <v>5195</v>
      </c>
    </row>
    <row r="68" spans="1:15" ht="14.5" customHeight="1">
      <c r="A68" s="764" t="s">
        <v>35</v>
      </c>
      <c r="B68" s="157" t="s">
        <v>5196</v>
      </c>
    </row>
    <row r="69" spans="1:15" ht="14.5" customHeight="1"/>
    <row r="70" spans="1:15" s="1583" customFormat="1" ht="28" customHeight="1" thickBot="1">
      <c r="A70" s="2196" t="s">
        <v>5197</v>
      </c>
      <c r="B70" s="2196"/>
      <c r="C70" s="2196"/>
      <c r="D70" s="2196"/>
      <c r="E70" s="2196"/>
      <c r="F70" s="2196"/>
      <c r="G70" s="2196"/>
      <c r="H70" s="2196"/>
      <c r="I70" s="2196"/>
      <c r="J70" s="2196"/>
      <c r="K70" s="2196"/>
      <c r="L70" s="2196"/>
      <c r="M70" s="1582"/>
      <c r="N70" s="1582"/>
      <c r="O70" s="1582"/>
    </row>
    <row r="71" spans="1:15" s="1586" customFormat="1" ht="18" customHeight="1">
      <c r="A71" s="1584"/>
      <c r="B71" s="1584" t="s">
        <v>5198</v>
      </c>
      <c r="C71" s="1584"/>
      <c r="D71" s="1584"/>
      <c r="E71" s="1584"/>
      <c r="F71" s="1584"/>
      <c r="G71" s="1584"/>
      <c r="H71" s="1584"/>
      <c r="I71" s="1584"/>
      <c r="J71" s="1584"/>
      <c r="K71" s="1584"/>
      <c r="L71" s="1584"/>
      <c r="M71" s="1585"/>
      <c r="N71" s="1585"/>
      <c r="O71" s="1585"/>
    </row>
    <row r="72" spans="1:15" s="1542" customFormat="1" ht="16.5" customHeight="1">
      <c r="A72" s="1568" t="s">
        <v>35</v>
      </c>
      <c r="B72" s="1541" t="s">
        <v>5199</v>
      </c>
      <c r="C72" s="1541"/>
      <c r="D72" s="1541"/>
      <c r="E72" s="1541"/>
      <c r="F72" s="1541"/>
      <c r="G72" s="1541"/>
      <c r="H72" s="1541"/>
      <c r="I72" s="1541"/>
      <c r="J72" s="1541"/>
      <c r="K72" s="1541"/>
      <c r="L72" s="1541"/>
      <c r="M72" s="684"/>
      <c r="N72" s="684"/>
      <c r="O72" s="684"/>
    </row>
    <row r="73" spans="1:15" s="1542" customFormat="1" ht="16.5" customHeight="1">
      <c r="A73" s="1568" t="s">
        <v>35</v>
      </c>
      <c r="B73" s="1541" t="s">
        <v>5200</v>
      </c>
      <c r="C73" s="1541"/>
      <c r="D73" s="1541"/>
      <c r="E73" s="1541"/>
      <c r="F73" s="1541"/>
      <c r="G73" s="1541"/>
      <c r="H73" s="1541"/>
      <c r="I73" s="1541"/>
      <c r="J73" s="1541"/>
      <c r="K73" s="1541"/>
      <c r="L73" s="1541"/>
      <c r="M73" s="684"/>
      <c r="N73" s="684"/>
      <c r="O73" s="684"/>
    </row>
    <row r="74" spans="1:15" s="18" customFormat="1" ht="16.5" customHeight="1">
      <c r="A74" s="1568" t="s">
        <v>35</v>
      </c>
      <c r="B74" s="1542" t="s">
        <v>5201</v>
      </c>
      <c r="C74" s="1587"/>
      <c r="D74" s="1587"/>
      <c r="E74" s="1587"/>
      <c r="F74" s="1587"/>
      <c r="G74" s="1587"/>
      <c r="H74" s="1587"/>
      <c r="I74" s="1587"/>
      <c r="J74" s="1587"/>
      <c r="K74" s="1587"/>
      <c r="L74" s="1588"/>
      <c r="M74" s="684"/>
      <c r="N74" s="684"/>
      <c r="O74" s="684"/>
    </row>
    <row r="75" spans="1:15" s="18" customFormat="1" ht="16.5" customHeight="1">
      <c r="A75" s="1568" t="s">
        <v>35</v>
      </c>
      <c r="B75" s="1542" t="s">
        <v>5202</v>
      </c>
      <c r="C75" s="1587"/>
      <c r="D75" s="1587"/>
      <c r="E75" s="1587"/>
      <c r="F75" s="1587"/>
      <c r="G75" s="1587"/>
      <c r="H75" s="1587"/>
      <c r="I75" s="1587"/>
      <c r="J75" s="1587"/>
      <c r="K75" s="1587"/>
      <c r="L75" s="1588"/>
      <c r="M75" s="684"/>
      <c r="N75" s="684"/>
      <c r="O75" s="684"/>
    </row>
    <row r="76" spans="1:15" s="1594" customFormat="1" ht="18" customHeight="1">
      <c r="A76" s="1589"/>
      <c r="B76" s="1590" t="s">
        <v>5203</v>
      </c>
      <c r="C76" s="1591"/>
      <c r="D76" s="1591"/>
      <c r="E76" s="1591"/>
      <c r="F76" s="1591"/>
      <c r="G76" s="1591"/>
      <c r="H76" s="1591"/>
      <c r="I76" s="1591"/>
      <c r="J76" s="1591"/>
      <c r="K76" s="1591"/>
      <c r="L76" s="1592"/>
      <c r="M76" s="1593"/>
      <c r="N76" s="1593"/>
      <c r="O76" s="1593"/>
    </row>
    <row r="77" spans="1:15" ht="34" customHeight="1">
      <c r="A77" s="1569" t="s">
        <v>35</v>
      </c>
      <c r="B77" s="2197" t="s">
        <v>5204</v>
      </c>
      <c r="C77" s="2197"/>
      <c r="D77" s="2197"/>
      <c r="E77" s="2197"/>
      <c r="F77" s="2197"/>
      <c r="G77" s="2197"/>
      <c r="H77" s="2197"/>
      <c r="I77" s="2197"/>
      <c r="J77" s="2197"/>
      <c r="K77" s="2197"/>
      <c r="L77" s="1595"/>
      <c r="M77" s="42"/>
      <c r="N77" s="42"/>
      <c r="O77" s="42"/>
    </row>
    <row r="78" spans="1:15" ht="17.5" customHeight="1">
      <c r="A78" s="764" t="s">
        <v>35</v>
      </c>
      <c r="B78" s="1596" t="s">
        <v>5205</v>
      </c>
      <c r="C78" s="1572"/>
      <c r="D78" s="1597"/>
      <c r="E78" s="1597"/>
      <c r="F78" s="1597"/>
      <c r="G78" s="1597"/>
      <c r="H78" s="1597"/>
      <c r="I78" s="1597"/>
      <c r="J78" s="1597"/>
      <c r="K78" s="1597"/>
      <c r="L78" s="1595"/>
      <c r="M78" s="42"/>
      <c r="N78" s="42"/>
      <c r="O78" s="42"/>
    </row>
    <row r="79" spans="1:15" ht="17.149999999999999" customHeight="1">
      <c r="A79" s="764" t="s">
        <v>35</v>
      </c>
      <c r="B79" s="1596" t="s">
        <v>5206</v>
      </c>
      <c r="C79" s="1572"/>
      <c r="D79" s="1597"/>
      <c r="E79" s="1597"/>
      <c r="F79" s="1597"/>
      <c r="G79" s="1597"/>
      <c r="H79" s="1597"/>
      <c r="I79" s="1597"/>
      <c r="J79" s="1597"/>
      <c r="K79" s="1597"/>
      <c r="L79" s="1595"/>
      <c r="M79" s="42"/>
      <c r="N79" s="42"/>
      <c r="O79" s="42"/>
    </row>
    <row r="80" spans="1:15" ht="18.649999999999999" customHeight="1">
      <c r="A80" s="764" t="s">
        <v>35</v>
      </c>
      <c r="B80" s="1596" t="s">
        <v>5323</v>
      </c>
      <c r="C80" s="1572"/>
      <c r="D80" s="1597"/>
      <c r="E80" s="1597"/>
      <c r="F80" s="1597"/>
      <c r="G80" s="1597"/>
      <c r="H80" s="1597"/>
      <c r="I80" s="1597"/>
      <c r="J80" s="1597"/>
      <c r="K80" s="1597"/>
      <c r="L80" s="1595"/>
      <c r="M80" s="42"/>
      <c r="N80" s="42"/>
      <c r="O80" s="42"/>
    </row>
    <row r="81" spans="1:256" ht="14.5">
      <c r="A81" s="764" t="s">
        <v>35</v>
      </c>
      <c r="B81" s="1596" t="s">
        <v>5207</v>
      </c>
      <c r="C81" s="1572"/>
      <c r="D81" s="1597"/>
      <c r="E81" s="1597"/>
      <c r="F81" s="1597"/>
      <c r="G81" s="1597"/>
      <c r="H81" s="1597"/>
      <c r="I81" s="1597"/>
      <c r="J81" s="1597"/>
      <c r="K81" s="1597"/>
      <c r="L81" s="1595"/>
      <c r="M81" s="42"/>
      <c r="N81" s="42"/>
      <c r="O81" s="42"/>
    </row>
    <row r="82" spans="1:256" s="192" customFormat="1" ht="14.5">
      <c r="A82" s="1571" t="s">
        <v>35</v>
      </c>
      <c r="B82" s="1541" t="s">
        <v>5223</v>
      </c>
      <c r="D82" s="1598"/>
      <c r="E82" s="1598"/>
      <c r="F82" s="1598"/>
      <c r="G82" s="1603" t="s">
        <v>5224</v>
      </c>
      <c r="H82" s="1598"/>
      <c r="I82" s="1598"/>
      <c r="J82" s="1598"/>
      <c r="K82" s="1598"/>
      <c r="L82" s="1598"/>
      <c r="M82" s="684"/>
      <c r="N82" s="684"/>
      <c r="O82" s="684"/>
    </row>
    <row r="83" spans="1:256" s="764" customFormat="1" ht="17.25" customHeight="1">
      <c r="A83" s="1571"/>
      <c r="B83" s="1541" t="s">
        <v>5225</v>
      </c>
      <c r="D83" s="1541"/>
      <c r="E83" s="1599" t="s">
        <v>5208</v>
      </c>
      <c r="F83" s="1599"/>
      <c r="G83" s="1600" t="s">
        <v>5209</v>
      </c>
      <c r="H83" s="1541"/>
      <c r="I83" s="1541"/>
      <c r="J83" s="1541"/>
      <c r="K83" s="1541"/>
      <c r="L83" s="1541"/>
      <c r="M83" s="42"/>
      <c r="N83" s="42"/>
      <c r="O83" s="42"/>
      <c r="P83" s="157"/>
      <c r="Q83" s="157"/>
      <c r="R83" s="157"/>
      <c r="S83" s="157"/>
      <c r="T83" s="157"/>
      <c r="U83" s="157"/>
      <c r="V83" s="157"/>
      <c r="W83" s="157"/>
      <c r="X83" s="157"/>
      <c r="Y83" s="157"/>
      <c r="Z83" s="157"/>
      <c r="AA83" s="157"/>
      <c r="AB83" s="157"/>
      <c r="AC83" s="157"/>
      <c r="AD83" s="157"/>
      <c r="AE83" s="157"/>
      <c r="AF83" s="157"/>
      <c r="AG83" s="157"/>
      <c r="AH83" s="157"/>
      <c r="AI83" s="157"/>
      <c r="AJ83" s="157"/>
      <c r="AK83" s="157"/>
      <c r="AL83" s="157"/>
      <c r="AM83" s="157"/>
      <c r="AN83" s="157"/>
      <c r="AO83" s="157"/>
      <c r="AP83" s="157"/>
      <c r="AQ83" s="157"/>
      <c r="AR83" s="157"/>
      <c r="AS83" s="157"/>
      <c r="AT83" s="157"/>
      <c r="AU83" s="157"/>
      <c r="AV83" s="157"/>
      <c r="AW83" s="157"/>
      <c r="AX83" s="157"/>
      <c r="AY83" s="157"/>
      <c r="AZ83" s="157"/>
      <c r="BA83" s="157"/>
      <c r="BB83" s="157"/>
      <c r="BC83" s="157"/>
      <c r="BD83" s="157"/>
      <c r="BE83" s="157"/>
      <c r="BF83" s="157"/>
      <c r="BG83" s="157"/>
      <c r="BH83" s="157"/>
      <c r="BI83" s="157"/>
      <c r="BJ83" s="157"/>
      <c r="BK83" s="157"/>
      <c r="BL83" s="157"/>
      <c r="BM83" s="157"/>
      <c r="BN83" s="157"/>
      <c r="BO83" s="157"/>
      <c r="BP83" s="157"/>
      <c r="BQ83" s="157"/>
      <c r="BR83" s="157"/>
      <c r="BS83" s="157"/>
      <c r="BT83" s="157"/>
      <c r="BU83" s="157"/>
      <c r="BV83" s="157"/>
      <c r="BW83" s="157"/>
      <c r="BX83" s="157"/>
      <c r="BY83" s="157"/>
      <c r="BZ83" s="157"/>
      <c r="CA83" s="157"/>
      <c r="CB83" s="157"/>
      <c r="CC83" s="157"/>
      <c r="CD83" s="157"/>
      <c r="CE83" s="157"/>
      <c r="CF83" s="157"/>
      <c r="CG83" s="157"/>
      <c r="CH83" s="157"/>
      <c r="CI83" s="157"/>
      <c r="CJ83" s="157"/>
      <c r="CK83" s="157"/>
      <c r="CL83" s="157"/>
      <c r="CM83" s="157"/>
      <c r="CN83" s="157"/>
      <c r="CO83" s="157"/>
      <c r="CP83" s="157"/>
      <c r="CQ83" s="157"/>
      <c r="CR83" s="157"/>
      <c r="CS83" s="157"/>
      <c r="CT83" s="157"/>
      <c r="CU83" s="157"/>
      <c r="CV83" s="157"/>
      <c r="CW83" s="157"/>
      <c r="CX83" s="157"/>
      <c r="CY83" s="157"/>
      <c r="CZ83" s="157"/>
      <c r="DA83" s="157"/>
      <c r="DB83" s="157"/>
      <c r="DC83" s="157"/>
      <c r="DD83" s="157"/>
      <c r="DE83" s="157"/>
      <c r="DF83" s="157"/>
      <c r="DG83" s="157"/>
      <c r="DH83" s="157"/>
      <c r="DI83" s="157"/>
      <c r="DJ83" s="157"/>
      <c r="DK83" s="157"/>
      <c r="DL83" s="157"/>
      <c r="DM83" s="157"/>
      <c r="DN83" s="157"/>
      <c r="DO83" s="157"/>
      <c r="DP83" s="157"/>
      <c r="DQ83" s="157"/>
      <c r="DR83" s="157"/>
      <c r="DS83" s="157"/>
      <c r="DT83" s="157"/>
      <c r="DU83" s="157"/>
      <c r="DV83" s="157"/>
      <c r="DW83" s="157"/>
      <c r="DX83" s="157"/>
      <c r="DY83" s="157"/>
      <c r="DZ83" s="157"/>
      <c r="EA83" s="157"/>
      <c r="EB83" s="157"/>
      <c r="EC83" s="157"/>
      <c r="ED83" s="157"/>
      <c r="EE83" s="157"/>
      <c r="EF83" s="157"/>
      <c r="EG83" s="157"/>
      <c r="EH83" s="157"/>
      <c r="EI83" s="157"/>
      <c r="EJ83" s="157"/>
      <c r="EK83" s="157"/>
      <c r="EL83" s="157"/>
      <c r="EM83" s="157"/>
      <c r="EN83" s="157"/>
      <c r="EO83" s="157"/>
      <c r="EP83" s="157"/>
      <c r="EQ83" s="157"/>
      <c r="ER83" s="157"/>
      <c r="ES83" s="157"/>
      <c r="ET83" s="157"/>
      <c r="EU83" s="157"/>
      <c r="EV83" s="157"/>
      <c r="EW83" s="157"/>
      <c r="EX83" s="157"/>
      <c r="EY83" s="157"/>
      <c r="EZ83" s="157"/>
      <c r="FA83" s="157"/>
      <c r="FB83" s="157"/>
      <c r="FC83" s="157"/>
      <c r="FD83" s="157"/>
      <c r="FE83" s="157"/>
      <c r="FF83" s="157"/>
      <c r="FG83" s="157"/>
      <c r="FH83" s="157"/>
      <c r="FI83" s="157"/>
      <c r="FJ83" s="157"/>
      <c r="FK83" s="157"/>
      <c r="FL83" s="157"/>
      <c r="FM83" s="157"/>
      <c r="FN83" s="157"/>
      <c r="FO83" s="157"/>
      <c r="FP83" s="157"/>
      <c r="FQ83" s="157"/>
      <c r="FR83" s="157"/>
      <c r="FS83" s="157"/>
      <c r="FT83" s="157"/>
      <c r="FU83" s="157"/>
      <c r="FV83" s="157"/>
      <c r="FW83" s="157"/>
      <c r="FX83" s="157"/>
      <c r="FY83" s="157"/>
      <c r="FZ83" s="157"/>
      <c r="GA83" s="157"/>
      <c r="GB83" s="157"/>
      <c r="GC83" s="157"/>
      <c r="GD83" s="157"/>
      <c r="GE83" s="157"/>
      <c r="GF83" s="157"/>
      <c r="GG83" s="157"/>
      <c r="GH83" s="157"/>
      <c r="GI83" s="157"/>
      <c r="GJ83" s="157"/>
      <c r="GK83" s="157"/>
      <c r="GL83" s="157"/>
      <c r="GM83" s="157"/>
      <c r="GN83" s="157"/>
      <c r="GO83" s="157"/>
      <c r="GP83" s="157"/>
      <c r="GQ83" s="157"/>
      <c r="GR83" s="157"/>
      <c r="GS83" s="157"/>
      <c r="GT83" s="157"/>
      <c r="GU83" s="157"/>
      <c r="GV83" s="157"/>
      <c r="GW83" s="157"/>
      <c r="GX83" s="157"/>
      <c r="GY83" s="157"/>
      <c r="GZ83" s="157"/>
      <c r="HA83" s="157"/>
      <c r="HB83" s="157"/>
      <c r="HC83" s="157"/>
      <c r="HD83" s="157"/>
      <c r="HE83" s="157"/>
      <c r="HF83" s="157"/>
      <c r="HG83" s="157"/>
      <c r="HH83" s="157"/>
      <c r="HI83" s="157"/>
      <c r="HJ83" s="157"/>
      <c r="HK83" s="157"/>
      <c r="HL83" s="157"/>
      <c r="HM83" s="157"/>
      <c r="HN83" s="157"/>
      <c r="HO83" s="157"/>
      <c r="HP83" s="157"/>
      <c r="HQ83" s="157"/>
      <c r="HR83" s="157"/>
      <c r="HS83" s="157"/>
      <c r="HT83" s="157"/>
      <c r="HU83" s="157"/>
      <c r="HV83" s="157"/>
      <c r="HW83" s="157"/>
      <c r="HX83" s="157"/>
      <c r="HY83" s="157"/>
      <c r="HZ83" s="157"/>
      <c r="IA83" s="157"/>
      <c r="IB83" s="157"/>
      <c r="IC83" s="157"/>
      <c r="ID83" s="157"/>
      <c r="IE83" s="157"/>
      <c r="IF83" s="157"/>
      <c r="IG83" s="157"/>
      <c r="IH83" s="157"/>
      <c r="II83" s="157"/>
      <c r="IJ83" s="157"/>
      <c r="IK83" s="157"/>
      <c r="IL83" s="157"/>
      <c r="IM83" s="157"/>
      <c r="IN83" s="157"/>
      <c r="IO83" s="157"/>
      <c r="IP83" s="157"/>
      <c r="IQ83" s="157"/>
      <c r="IR83" s="157"/>
      <c r="IS83" s="157"/>
      <c r="IT83" s="157"/>
      <c r="IU83" s="157"/>
      <c r="IV83" s="157"/>
    </row>
    <row r="84" spans="1:256" s="764" customFormat="1" ht="19.5" customHeight="1">
      <c r="B84" s="1541"/>
      <c r="D84" s="1541"/>
      <c r="E84" s="1599"/>
      <c r="F84" s="1599"/>
      <c r="G84" s="1600"/>
      <c r="H84" s="157"/>
      <c r="I84" s="157"/>
      <c r="J84" s="157"/>
      <c r="K84" s="157"/>
      <c r="L84" s="157"/>
      <c r="M84" s="42"/>
      <c r="N84" s="42"/>
      <c r="O84" s="42"/>
      <c r="P84" s="157"/>
      <c r="Q84" s="157"/>
      <c r="R84" s="157"/>
      <c r="S84" s="157"/>
      <c r="T84" s="157"/>
      <c r="U84" s="157"/>
      <c r="V84" s="157"/>
      <c r="W84" s="157"/>
      <c r="X84" s="157"/>
      <c r="Y84" s="157"/>
      <c r="Z84" s="157"/>
      <c r="AA84" s="157"/>
      <c r="AB84" s="157"/>
      <c r="AC84" s="157"/>
      <c r="AD84" s="157"/>
      <c r="AE84" s="157"/>
      <c r="AF84" s="157"/>
      <c r="AG84" s="157"/>
      <c r="AH84" s="157"/>
      <c r="AI84" s="157"/>
      <c r="AJ84" s="157"/>
      <c r="AK84" s="157"/>
      <c r="AL84" s="157"/>
      <c r="AM84" s="157"/>
      <c r="AN84" s="157"/>
      <c r="AO84" s="157"/>
      <c r="AP84" s="157"/>
      <c r="AQ84" s="157"/>
      <c r="AR84" s="157"/>
      <c r="AS84" s="157"/>
      <c r="AT84" s="157"/>
      <c r="AU84" s="157"/>
      <c r="AV84" s="157"/>
      <c r="AW84" s="157"/>
      <c r="AX84" s="157"/>
      <c r="AY84" s="157"/>
      <c r="AZ84" s="157"/>
      <c r="BA84" s="157"/>
      <c r="BB84" s="157"/>
      <c r="BC84" s="157"/>
      <c r="BD84" s="157"/>
      <c r="BE84" s="157"/>
      <c r="BF84" s="157"/>
      <c r="BG84" s="157"/>
      <c r="BH84" s="157"/>
      <c r="BI84" s="157"/>
      <c r="BJ84" s="157"/>
      <c r="BK84" s="157"/>
      <c r="BL84" s="157"/>
      <c r="BM84" s="157"/>
      <c r="BN84" s="157"/>
      <c r="BO84" s="157"/>
      <c r="BP84" s="157"/>
      <c r="BQ84" s="157"/>
      <c r="BR84" s="157"/>
      <c r="BS84" s="157"/>
      <c r="BT84" s="157"/>
      <c r="BU84" s="157"/>
      <c r="BV84" s="157"/>
      <c r="BW84" s="157"/>
      <c r="BX84" s="157"/>
      <c r="BY84" s="157"/>
      <c r="BZ84" s="157"/>
      <c r="CA84" s="157"/>
      <c r="CB84" s="157"/>
      <c r="CC84" s="157"/>
      <c r="CD84" s="157"/>
      <c r="CE84" s="157"/>
      <c r="CF84" s="157"/>
      <c r="CG84" s="157"/>
      <c r="CH84" s="157"/>
      <c r="CI84" s="157"/>
      <c r="CJ84" s="157"/>
      <c r="CK84" s="157"/>
      <c r="CL84" s="157"/>
      <c r="CM84" s="157"/>
      <c r="CN84" s="157"/>
      <c r="CO84" s="157"/>
      <c r="CP84" s="157"/>
      <c r="CQ84" s="157"/>
      <c r="CR84" s="157"/>
      <c r="CS84" s="157"/>
      <c r="CT84" s="157"/>
      <c r="CU84" s="157"/>
      <c r="CV84" s="157"/>
      <c r="CW84" s="157"/>
      <c r="CX84" s="157"/>
      <c r="CY84" s="157"/>
      <c r="CZ84" s="157"/>
      <c r="DA84" s="157"/>
      <c r="DB84" s="157"/>
      <c r="DC84" s="157"/>
      <c r="DD84" s="157"/>
      <c r="DE84" s="157"/>
      <c r="DF84" s="157"/>
      <c r="DG84" s="157"/>
      <c r="DH84" s="157"/>
      <c r="DI84" s="157"/>
      <c r="DJ84" s="157"/>
      <c r="DK84" s="157"/>
      <c r="DL84" s="157"/>
      <c r="DM84" s="157"/>
      <c r="DN84" s="157"/>
      <c r="DO84" s="157"/>
      <c r="DP84" s="157"/>
      <c r="DQ84" s="157"/>
      <c r="DR84" s="157"/>
      <c r="DS84" s="157"/>
      <c r="DT84" s="157"/>
      <c r="DU84" s="157"/>
      <c r="DV84" s="157"/>
      <c r="DW84" s="157"/>
      <c r="DX84" s="157"/>
      <c r="DY84" s="157"/>
      <c r="DZ84" s="157"/>
      <c r="EA84" s="157"/>
      <c r="EB84" s="157"/>
      <c r="EC84" s="157"/>
      <c r="ED84" s="157"/>
      <c r="EE84" s="157"/>
      <c r="EF84" s="157"/>
      <c r="EG84" s="157"/>
      <c r="EH84" s="157"/>
      <c r="EI84" s="157"/>
      <c r="EJ84" s="157"/>
      <c r="EK84" s="157"/>
      <c r="EL84" s="157"/>
      <c r="EM84" s="157"/>
      <c r="EN84" s="157"/>
      <c r="EO84" s="157"/>
      <c r="EP84" s="157"/>
      <c r="EQ84" s="157"/>
      <c r="ER84" s="157"/>
      <c r="ES84" s="157"/>
      <c r="ET84" s="157"/>
      <c r="EU84" s="157"/>
      <c r="EV84" s="157"/>
      <c r="EW84" s="157"/>
      <c r="EX84" s="157"/>
      <c r="EY84" s="157"/>
      <c r="EZ84" s="157"/>
      <c r="FA84" s="157"/>
      <c r="FB84" s="157"/>
      <c r="FC84" s="157"/>
      <c r="FD84" s="157"/>
      <c r="FE84" s="157"/>
      <c r="FF84" s="157"/>
      <c r="FG84" s="157"/>
      <c r="FH84" s="157"/>
      <c r="FI84" s="157"/>
      <c r="FJ84" s="157"/>
      <c r="FK84" s="157"/>
      <c r="FL84" s="157"/>
      <c r="FM84" s="157"/>
      <c r="FN84" s="157"/>
      <c r="FO84" s="157"/>
      <c r="FP84" s="157"/>
      <c r="FQ84" s="157"/>
      <c r="FR84" s="157"/>
      <c r="FS84" s="157"/>
      <c r="FT84" s="157"/>
      <c r="FU84" s="157"/>
      <c r="FV84" s="157"/>
      <c r="FW84" s="157"/>
      <c r="FX84" s="157"/>
      <c r="FY84" s="157"/>
      <c r="FZ84" s="157"/>
      <c r="GA84" s="157"/>
      <c r="GB84" s="157"/>
      <c r="GC84" s="157"/>
      <c r="GD84" s="157"/>
      <c r="GE84" s="157"/>
      <c r="GF84" s="157"/>
      <c r="GG84" s="157"/>
      <c r="GH84" s="157"/>
      <c r="GI84" s="157"/>
      <c r="GJ84" s="157"/>
      <c r="GK84" s="157"/>
      <c r="GL84" s="157"/>
      <c r="GM84" s="157"/>
      <c r="GN84" s="157"/>
      <c r="GO84" s="157"/>
      <c r="GP84" s="157"/>
      <c r="GQ84" s="157"/>
      <c r="GR84" s="157"/>
      <c r="GS84" s="157"/>
      <c r="GT84" s="157"/>
      <c r="GU84" s="157"/>
      <c r="GV84" s="157"/>
      <c r="GW84" s="157"/>
      <c r="GX84" s="157"/>
      <c r="GY84" s="157"/>
      <c r="GZ84" s="157"/>
      <c r="HA84" s="157"/>
      <c r="HB84" s="157"/>
      <c r="HC84" s="157"/>
      <c r="HD84" s="157"/>
      <c r="HE84" s="157"/>
      <c r="HF84" s="157"/>
      <c r="HG84" s="157"/>
      <c r="HH84" s="157"/>
      <c r="HI84" s="157"/>
      <c r="HJ84" s="157"/>
      <c r="HK84" s="157"/>
      <c r="HL84" s="157"/>
      <c r="HM84" s="157"/>
      <c r="HN84" s="157"/>
      <c r="HO84" s="157"/>
      <c r="HP84" s="157"/>
      <c r="HQ84" s="157"/>
      <c r="HR84" s="157"/>
      <c r="HS84" s="157"/>
      <c r="HT84" s="157"/>
      <c r="HU84" s="157"/>
      <c r="HV84" s="157"/>
      <c r="HW84" s="157"/>
      <c r="HX84" s="157"/>
      <c r="HY84" s="157"/>
      <c r="HZ84" s="157"/>
      <c r="IA84" s="157"/>
      <c r="IB84" s="157"/>
      <c r="IC84" s="157"/>
      <c r="ID84" s="157"/>
      <c r="IE84" s="157"/>
      <c r="IF84" s="157"/>
      <c r="IG84" s="157"/>
      <c r="IH84" s="157"/>
      <c r="II84" s="157"/>
      <c r="IJ84" s="157"/>
      <c r="IK84" s="157"/>
      <c r="IL84" s="157"/>
      <c r="IM84" s="157"/>
      <c r="IN84" s="157"/>
      <c r="IO84" s="157"/>
      <c r="IP84" s="157"/>
      <c r="IQ84" s="157"/>
      <c r="IR84" s="157"/>
      <c r="IS84" s="157"/>
      <c r="IT84" s="157"/>
      <c r="IU84" s="157"/>
      <c r="IV84" s="157"/>
    </row>
    <row r="85" spans="1:256" s="764" customFormat="1" ht="14.5">
      <c r="B85" s="2172"/>
      <c r="C85" s="2172"/>
      <c r="D85" s="2172"/>
      <c r="E85" s="2172"/>
      <c r="F85" s="2172"/>
      <c r="G85" s="2172"/>
      <c r="H85" s="2172"/>
      <c r="I85" s="2172"/>
      <c r="J85" s="2172"/>
      <c r="K85" s="2172"/>
      <c r="L85" s="2172"/>
      <c r="M85" s="42"/>
      <c r="N85" s="42"/>
      <c r="O85" s="42"/>
      <c r="P85" s="157"/>
      <c r="Q85" s="157"/>
      <c r="R85" s="157"/>
      <c r="S85" s="157"/>
      <c r="T85" s="157"/>
      <c r="U85" s="157"/>
      <c r="V85" s="157"/>
      <c r="W85" s="157"/>
      <c r="X85" s="157"/>
      <c r="Y85" s="157"/>
      <c r="Z85" s="157"/>
      <c r="AA85" s="157"/>
      <c r="AB85" s="157"/>
      <c r="AC85" s="157"/>
      <c r="AD85" s="157"/>
      <c r="AE85" s="157"/>
      <c r="AF85" s="157"/>
      <c r="AG85" s="157"/>
      <c r="AH85" s="157"/>
      <c r="AI85" s="157"/>
      <c r="AJ85" s="157"/>
      <c r="AK85" s="157"/>
      <c r="AL85" s="157"/>
      <c r="AM85" s="157"/>
      <c r="AN85" s="157"/>
      <c r="AO85" s="157"/>
      <c r="AP85" s="157"/>
      <c r="AQ85" s="157"/>
      <c r="AR85" s="157"/>
      <c r="AS85" s="157"/>
      <c r="AT85" s="157"/>
      <c r="AU85" s="157"/>
      <c r="AV85" s="157"/>
      <c r="AW85" s="157"/>
      <c r="AX85" s="157"/>
      <c r="AY85" s="157"/>
      <c r="AZ85" s="157"/>
      <c r="BA85" s="157"/>
      <c r="BB85" s="157"/>
      <c r="BC85" s="157"/>
      <c r="BD85" s="157"/>
      <c r="BE85" s="157"/>
      <c r="BF85" s="157"/>
      <c r="BG85" s="157"/>
      <c r="BH85" s="157"/>
      <c r="BI85" s="157"/>
      <c r="BJ85" s="157"/>
      <c r="BK85" s="157"/>
      <c r="BL85" s="157"/>
      <c r="BM85" s="157"/>
      <c r="BN85" s="157"/>
      <c r="BO85" s="157"/>
      <c r="BP85" s="157"/>
      <c r="BQ85" s="157"/>
      <c r="BR85" s="157"/>
      <c r="BS85" s="157"/>
      <c r="BT85" s="157"/>
      <c r="BU85" s="157"/>
      <c r="BV85" s="157"/>
      <c r="BW85" s="157"/>
      <c r="BX85" s="157"/>
      <c r="BY85" s="157"/>
      <c r="BZ85" s="157"/>
      <c r="CA85" s="157"/>
      <c r="CB85" s="157"/>
      <c r="CC85" s="157"/>
      <c r="CD85" s="157"/>
      <c r="CE85" s="157"/>
      <c r="CF85" s="157"/>
      <c r="CG85" s="157"/>
      <c r="CH85" s="157"/>
      <c r="CI85" s="157"/>
      <c r="CJ85" s="157"/>
      <c r="CK85" s="157"/>
      <c r="CL85" s="157"/>
      <c r="CM85" s="157"/>
      <c r="CN85" s="157"/>
      <c r="CO85" s="157"/>
      <c r="CP85" s="157"/>
      <c r="CQ85" s="157"/>
      <c r="CR85" s="157"/>
      <c r="CS85" s="157"/>
      <c r="CT85" s="157"/>
      <c r="CU85" s="157"/>
      <c r="CV85" s="157"/>
      <c r="CW85" s="157"/>
      <c r="CX85" s="157"/>
      <c r="CY85" s="157"/>
      <c r="CZ85" s="157"/>
      <c r="DA85" s="157"/>
      <c r="DB85" s="157"/>
      <c r="DC85" s="157"/>
      <c r="DD85" s="157"/>
      <c r="DE85" s="157"/>
      <c r="DF85" s="157"/>
      <c r="DG85" s="157"/>
      <c r="DH85" s="157"/>
      <c r="DI85" s="157"/>
      <c r="DJ85" s="157"/>
      <c r="DK85" s="157"/>
      <c r="DL85" s="157"/>
      <c r="DM85" s="157"/>
      <c r="DN85" s="157"/>
      <c r="DO85" s="157"/>
      <c r="DP85" s="157"/>
      <c r="DQ85" s="157"/>
      <c r="DR85" s="157"/>
      <c r="DS85" s="157"/>
      <c r="DT85" s="157"/>
      <c r="DU85" s="157"/>
      <c r="DV85" s="157"/>
      <c r="DW85" s="157"/>
      <c r="DX85" s="157"/>
      <c r="DY85" s="157"/>
      <c r="DZ85" s="157"/>
      <c r="EA85" s="157"/>
      <c r="EB85" s="157"/>
      <c r="EC85" s="157"/>
      <c r="ED85" s="157"/>
      <c r="EE85" s="157"/>
      <c r="EF85" s="157"/>
      <c r="EG85" s="157"/>
      <c r="EH85" s="157"/>
      <c r="EI85" s="157"/>
      <c r="EJ85" s="157"/>
      <c r="EK85" s="157"/>
      <c r="EL85" s="157"/>
      <c r="EM85" s="157"/>
      <c r="EN85" s="157"/>
      <c r="EO85" s="157"/>
      <c r="EP85" s="157"/>
      <c r="EQ85" s="157"/>
      <c r="ER85" s="157"/>
      <c r="ES85" s="157"/>
      <c r="ET85" s="157"/>
      <c r="EU85" s="157"/>
      <c r="EV85" s="157"/>
      <c r="EW85" s="157"/>
      <c r="EX85" s="157"/>
      <c r="EY85" s="157"/>
      <c r="EZ85" s="157"/>
      <c r="FA85" s="157"/>
      <c r="FB85" s="157"/>
      <c r="FC85" s="157"/>
      <c r="FD85" s="157"/>
      <c r="FE85" s="157"/>
      <c r="FF85" s="157"/>
      <c r="FG85" s="157"/>
      <c r="FH85" s="157"/>
      <c r="FI85" s="157"/>
      <c r="FJ85" s="157"/>
      <c r="FK85" s="157"/>
      <c r="FL85" s="157"/>
      <c r="FM85" s="157"/>
      <c r="FN85" s="157"/>
      <c r="FO85" s="157"/>
      <c r="FP85" s="157"/>
      <c r="FQ85" s="157"/>
      <c r="FR85" s="157"/>
      <c r="FS85" s="157"/>
      <c r="FT85" s="157"/>
      <c r="FU85" s="157"/>
      <c r="FV85" s="157"/>
      <c r="FW85" s="157"/>
      <c r="FX85" s="157"/>
      <c r="FY85" s="157"/>
      <c r="FZ85" s="157"/>
      <c r="GA85" s="157"/>
      <c r="GB85" s="157"/>
      <c r="GC85" s="157"/>
      <c r="GD85" s="157"/>
      <c r="GE85" s="157"/>
      <c r="GF85" s="157"/>
      <c r="GG85" s="157"/>
      <c r="GH85" s="157"/>
      <c r="GI85" s="157"/>
      <c r="GJ85" s="157"/>
      <c r="GK85" s="157"/>
      <c r="GL85" s="157"/>
      <c r="GM85" s="157"/>
      <c r="GN85" s="157"/>
      <c r="GO85" s="157"/>
      <c r="GP85" s="157"/>
      <c r="GQ85" s="157"/>
      <c r="GR85" s="157"/>
      <c r="GS85" s="157"/>
      <c r="GT85" s="157"/>
      <c r="GU85" s="157"/>
      <c r="GV85" s="157"/>
      <c r="GW85" s="157"/>
      <c r="GX85" s="157"/>
      <c r="GY85" s="157"/>
      <c r="GZ85" s="157"/>
      <c r="HA85" s="157"/>
      <c r="HB85" s="157"/>
      <c r="HC85" s="157"/>
      <c r="HD85" s="157"/>
      <c r="HE85" s="157"/>
      <c r="HF85" s="157"/>
      <c r="HG85" s="157"/>
      <c r="HH85" s="157"/>
      <c r="HI85" s="157"/>
      <c r="HJ85" s="157"/>
      <c r="HK85" s="157"/>
      <c r="HL85" s="157"/>
      <c r="HM85" s="157"/>
      <c r="HN85" s="157"/>
      <c r="HO85" s="157"/>
      <c r="HP85" s="157"/>
      <c r="HQ85" s="157"/>
      <c r="HR85" s="157"/>
      <c r="HS85" s="157"/>
      <c r="HT85" s="157"/>
      <c r="HU85" s="157"/>
      <c r="HV85" s="157"/>
      <c r="HW85" s="157"/>
      <c r="HX85" s="157"/>
      <c r="HY85" s="157"/>
      <c r="HZ85" s="157"/>
      <c r="IA85" s="157"/>
      <c r="IB85" s="157"/>
      <c r="IC85" s="157"/>
      <c r="ID85" s="157"/>
      <c r="IE85" s="157"/>
      <c r="IF85" s="157"/>
      <c r="IG85" s="157"/>
      <c r="IH85" s="157"/>
      <c r="II85" s="157"/>
      <c r="IJ85" s="157"/>
      <c r="IK85" s="157"/>
      <c r="IL85" s="157"/>
      <c r="IM85" s="157"/>
      <c r="IN85" s="157"/>
      <c r="IO85" s="157"/>
      <c r="IP85" s="157"/>
      <c r="IQ85" s="157"/>
      <c r="IR85" s="157"/>
      <c r="IS85" s="157"/>
      <c r="IT85" s="157"/>
      <c r="IU85" s="157"/>
      <c r="IV85" s="157"/>
    </row>
    <row r="86" spans="1:256" ht="16.5" customHeight="1">
      <c r="C86" s="1601"/>
      <c r="M86" s="42"/>
      <c r="N86" s="42"/>
      <c r="O86" s="42"/>
    </row>
    <row r="87" spans="1:256" ht="16.5" customHeight="1">
      <c r="D87" s="1602"/>
    </row>
    <row r="88" spans="1:256" ht="16.5" customHeight="1">
      <c r="A88" s="80" t="s">
        <v>223</v>
      </c>
      <c r="B88" s="83"/>
      <c r="C88" s="668" t="str">
        <f>Development!$A$2</f>
        <v>2.0</v>
      </c>
      <c r="D88" s="2136"/>
      <c r="E88" s="2136"/>
      <c r="F88" s="2136"/>
      <c r="G88" s="2137"/>
      <c r="H88" s="2137"/>
      <c r="I88" s="2137"/>
      <c r="J88" s="83"/>
      <c r="K88" s="84" t="s">
        <v>225</v>
      </c>
      <c r="L88" s="85" t="str">
        <f>Development!$A$4</f>
        <v>4.01.2024</v>
      </c>
    </row>
    <row r="89" spans="1:256" ht="16.5" customHeight="1"/>
    <row r="90" spans="1:256" ht="16.5" customHeight="1"/>
  </sheetData>
  <mergeCells count="78">
    <mergeCell ref="B66:G66"/>
    <mergeCell ref="B85:L85"/>
    <mergeCell ref="D88:F88"/>
    <mergeCell ref="G88:I88"/>
    <mergeCell ref="A70:L70"/>
    <mergeCell ref="B77:K77"/>
    <mergeCell ref="B45:K45"/>
    <mergeCell ref="B38:L38"/>
    <mergeCell ref="B49:L49"/>
    <mergeCell ref="B64:G64"/>
    <mergeCell ref="B65:K65"/>
    <mergeCell ref="B22:L22"/>
    <mergeCell ref="B32:L32"/>
    <mergeCell ref="B33:C33"/>
    <mergeCell ref="B43:K43"/>
    <mergeCell ref="B44:K44"/>
    <mergeCell ref="DR2:EA2"/>
    <mergeCell ref="EB2:EK2"/>
    <mergeCell ref="A47:L47"/>
    <mergeCell ref="B48:L48"/>
    <mergeCell ref="B10:G10"/>
    <mergeCell ref="B11:K11"/>
    <mergeCell ref="B12:H12"/>
    <mergeCell ref="B13:I13"/>
    <mergeCell ref="B14:K14"/>
    <mergeCell ref="B15:L15"/>
    <mergeCell ref="B46:K46"/>
    <mergeCell ref="B16:L16"/>
    <mergeCell ref="B17:K17"/>
    <mergeCell ref="B18:L18"/>
    <mergeCell ref="B20:L20"/>
    <mergeCell ref="B21:G21"/>
    <mergeCell ref="V2:AE2"/>
    <mergeCell ref="AF2:AO2"/>
    <mergeCell ref="AP2:AY2"/>
    <mergeCell ref="AZ2:BI2"/>
    <mergeCell ref="BJ2:BS2"/>
    <mergeCell ref="IH2:IQ2"/>
    <mergeCell ref="IR2:IV2"/>
    <mergeCell ref="EL2:EU2"/>
    <mergeCell ref="EV2:FE2"/>
    <mergeCell ref="FF2:FO2"/>
    <mergeCell ref="FP2:FY2"/>
    <mergeCell ref="FZ2:GI2"/>
    <mergeCell ref="GJ2:GS2"/>
    <mergeCell ref="GT2:HC2"/>
    <mergeCell ref="HD2:HM2"/>
    <mergeCell ref="HN2:HW2"/>
    <mergeCell ref="HX2:IG2"/>
    <mergeCell ref="BT2:CC2"/>
    <mergeCell ref="GT1:HC1"/>
    <mergeCell ref="HD1:HM1"/>
    <mergeCell ref="HN1:HW1"/>
    <mergeCell ref="HX1:IG1"/>
    <mergeCell ref="CD1:CM1"/>
    <mergeCell ref="CN1:CW1"/>
    <mergeCell ref="CX1:DG1"/>
    <mergeCell ref="DH1:DQ1"/>
    <mergeCell ref="DR1:EA1"/>
    <mergeCell ref="EB1:EK1"/>
    <mergeCell ref="BT1:CC1"/>
    <mergeCell ref="CD2:CM2"/>
    <mergeCell ref="CN2:CW2"/>
    <mergeCell ref="CX2:DG2"/>
    <mergeCell ref="DH2:DQ2"/>
    <mergeCell ref="IH1:IQ1"/>
    <mergeCell ref="IR1:IV1"/>
    <mergeCell ref="EL1:EU1"/>
    <mergeCell ref="EV1:FE1"/>
    <mergeCell ref="FF1:FO1"/>
    <mergeCell ref="FP1:FY1"/>
    <mergeCell ref="FZ1:GI1"/>
    <mergeCell ref="GJ1:GS1"/>
    <mergeCell ref="V1:AE1"/>
    <mergeCell ref="AF1:AO1"/>
    <mergeCell ref="AP1:AY1"/>
    <mergeCell ref="AZ1:BI1"/>
    <mergeCell ref="BJ1:BS1"/>
  </mergeCells>
  <conditionalFormatting sqref="A1:L1">
    <cfRule type="cellIs" dxfId="94" priority="1" stopIfTrue="1" operator="equal">
      <formula>"Missing Info"</formula>
    </cfRule>
  </conditionalFormatting>
  <hyperlinks>
    <hyperlink ref="B33" r:id="rId1" xr:uid="{58134D60-0FB4-4EC7-A12D-71B33EA14166}"/>
    <hyperlink ref="E83" r:id="rId2" xr:uid="{0B9F9A8B-628E-4F5D-A5F4-46502F70D155}"/>
    <hyperlink ref="G82" r:id="rId3" xr:uid="{62A0C1BD-C5EC-49C3-AFED-8FDD498962C0}"/>
  </hyperlinks>
  <pageMargins left="0" right="0" top="0.25" bottom="0.25" header="0.3" footer="0.3"/>
  <pageSetup scale="52" fitToHeight="4" orientation="portrait" r:id="rId4"/>
  <headerFooter>
    <oddHeader>&amp;C_x000D__x000D__x000D_</oddHeader>
    <oddFooter>&amp;C_x000D__x000D__x000D_</oddFooter>
    <evenHeader>&amp;C_x000D__x000D__x000D_</evenHeader>
    <evenFooter>&amp;C_x000D__x000D__x000D_</evenFooter>
    <firstHeader>&amp;C_x000D__x000D__x000D_</firstHeader>
    <firstFooter>&amp;C_x000D__x000D__x000D_</firstFooter>
  </headerFooter>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0BE115781C6D98428AD8305F3496AD75" ma:contentTypeVersion="13" ma:contentTypeDescription="Create a new document." ma:contentTypeScope="" ma:versionID="0d15e331ce0d6ac8d43c54c4f528e819">
  <xsd:schema xmlns:xsd="http://www.w3.org/2001/XMLSchema" xmlns:xs="http://www.w3.org/2001/XMLSchema" xmlns:p="http://schemas.microsoft.com/office/2006/metadata/properties" xmlns:ns3="1625fe05-97fd-4dfd-9e4f-1c71b8f9ce90" xmlns:ns4="d8e7ddf3-702e-47b5-99ae-6c5d1640f5c0" targetNamespace="http://schemas.microsoft.com/office/2006/metadata/properties" ma:root="true" ma:fieldsID="68c5f00f36a45f6eda71cfc06a1e9a55" ns3:_="" ns4:_="">
    <xsd:import namespace="1625fe05-97fd-4dfd-9e4f-1c71b8f9ce90"/>
    <xsd:import namespace="d8e7ddf3-702e-47b5-99ae-6c5d1640f5c0"/>
    <xsd:element name="properties">
      <xsd:complexType>
        <xsd:sequence>
          <xsd:element name="documentManagement">
            <xsd:complexType>
              <xsd:all>
                <xsd:element ref="ns3:MediaServiceMetadata" minOccurs="0"/>
                <xsd:element ref="ns3:MediaServiceFastMetadata" minOccurs="0"/>
                <xsd:element ref="ns4:SharedWithUsers" minOccurs="0"/>
                <xsd:element ref="ns4:SharedWithDetails" minOccurs="0"/>
                <xsd:element ref="ns4:SharingHintHash"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625fe05-97fd-4dfd-9e4f-1c71b8f9ce9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DateTaken" ma:index="19" nillable="true" ma:displayName="MediaServiceDateTaken" ma:hidden="true" ma:internalName="MediaServiceDateTaken"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8e7ddf3-702e-47b5-99ae-6c5d1640f5c0"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SharingHintHash" ma:index="12"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0349B90-4A22-4C25-8F85-FE9097FC7D91}">
  <ds:schemaRefs>
    <ds:schemaRef ds:uri="http://schemas.openxmlformats.org/package/2006/metadata/core-properties"/>
    <ds:schemaRef ds:uri="http://schemas.microsoft.com/office/2006/documentManagement/types"/>
    <ds:schemaRef ds:uri="http://schemas.microsoft.com/office/infopath/2007/PartnerControls"/>
    <ds:schemaRef ds:uri="1625fe05-97fd-4dfd-9e4f-1c71b8f9ce90"/>
    <ds:schemaRef ds:uri="http://purl.org/dc/elements/1.1/"/>
    <ds:schemaRef ds:uri="http://schemas.microsoft.com/office/2006/metadata/properties"/>
    <ds:schemaRef ds:uri="d8e7ddf3-702e-47b5-99ae-6c5d1640f5c0"/>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1AC757BE-62F1-4165-854E-B618A2717E15}">
  <ds:schemaRefs>
    <ds:schemaRef ds:uri="http://schemas.microsoft.com/sharepoint/v3/contenttype/forms"/>
  </ds:schemaRefs>
</ds:datastoreItem>
</file>

<file path=customXml/itemProps3.xml><?xml version="1.0" encoding="utf-8"?>
<ds:datastoreItem xmlns:ds="http://schemas.openxmlformats.org/officeDocument/2006/customXml" ds:itemID="{4ACEF26C-A805-4CFD-9714-2D048C6EDC0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625fe05-97fd-4dfd-9e4f-1c71b8f9ce90"/>
    <ds:schemaRef ds:uri="d8e7ddf3-702e-47b5-99ae-6c5d1640f5c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37</vt:i4>
      </vt:variant>
      <vt:variant>
        <vt:lpstr>Named Ranges</vt:lpstr>
      </vt:variant>
      <vt:variant>
        <vt:i4>358</vt:i4>
      </vt:variant>
    </vt:vector>
  </HeadingPairs>
  <TitlesOfParts>
    <vt:vector size="395" baseType="lpstr">
      <vt:lpstr>Customer Information</vt:lpstr>
      <vt:lpstr>Ts and Cs</vt:lpstr>
      <vt:lpstr>Required Documents</vt:lpstr>
      <vt:lpstr>Guidelines</vt:lpstr>
      <vt:lpstr>Multi-Family Heat Pumps</vt:lpstr>
      <vt:lpstr>In Unit HVAC Worksheet</vt:lpstr>
      <vt:lpstr>Integrated Controls</vt:lpstr>
      <vt:lpstr>In Unit HVAC Pre Inspection</vt:lpstr>
      <vt:lpstr>In Unit HVAC Post Inspection</vt:lpstr>
      <vt:lpstr>Smart T-Stats</vt:lpstr>
      <vt:lpstr>Worksheet Common HVAC</vt:lpstr>
      <vt:lpstr>Common HVAC Inspection</vt:lpstr>
      <vt:lpstr>Worksheet Common Lighting</vt:lpstr>
      <vt:lpstr>Elevator Modernization</vt:lpstr>
      <vt:lpstr>Elevator Inspect</vt:lpstr>
      <vt:lpstr>Worksheet Common Pool</vt:lpstr>
      <vt:lpstr>Pool Equip Inspect</vt:lpstr>
      <vt:lpstr>Worksheet Common VFD Motors</vt:lpstr>
      <vt:lpstr>VFD Motor Inspect</vt:lpstr>
      <vt:lpstr>Space Heating Worksheet</vt:lpstr>
      <vt:lpstr>Dedicated Water Heating</vt:lpstr>
      <vt:lpstr>Loop Field Cx Form</vt:lpstr>
      <vt:lpstr>Air Flow References</vt:lpstr>
      <vt:lpstr>AIRFLOW FORM</vt:lpstr>
      <vt:lpstr>AIRFLOW FORM 2</vt:lpstr>
      <vt:lpstr>AIRFLOW FORM 3</vt:lpstr>
      <vt:lpstr>AIRFLOW FORM 4</vt:lpstr>
      <vt:lpstr>AIRFLOW FORM 5</vt:lpstr>
      <vt:lpstr>AIRFLOW FORM 6</vt:lpstr>
      <vt:lpstr>AIRFLOW FORM 7</vt:lpstr>
      <vt:lpstr>AIRFLOW FORM 8</vt:lpstr>
      <vt:lpstr>AIRFLOW FORM 9</vt:lpstr>
      <vt:lpstr>AIRFLOW FORM 10</vt:lpstr>
      <vt:lpstr>Geothermal Pre Inspection Form</vt:lpstr>
      <vt:lpstr>Geothermal Post Inspection Form</vt:lpstr>
      <vt:lpstr>Common Lighting Inspection</vt:lpstr>
      <vt:lpstr>Appliances Inspection Form</vt:lpstr>
      <vt:lpstr>AC_Types</vt:lpstr>
      <vt:lpstr>Account_Name</vt:lpstr>
      <vt:lpstr>Air_Flow_Refernce_Tabs</vt:lpstr>
      <vt:lpstr>Application_Code</vt:lpstr>
      <vt:lpstr>Apt_Type</vt:lpstr>
      <vt:lpstr>'HPwES H&amp;S'!attic</vt:lpstr>
      <vt:lpstr>attic_code</vt:lpstr>
      <vt:lpstr>attic_rvalues</vt:lpstr>
      <vt:lpstr>atticins</vt:lpstr>
      <vt:lpstr>Baseline_Drive_Eff</vt:lpstr>
      <vt:lpstr>Baseline_Motor_Drive</vt:lpstr>
      <vt:lpstr>Belt_Type</vt:lpstr>
      <vt:lpstr>Blddg_Type</vt:lpstr>
      <vt:lpstr>BuildingList</vt:lpstr>
      <vt:lpstr>BuildingType_List</vt:lpstr>
      <vt:lpstr>bypass</vt:lpstr>
      <vt:lpstr>bypass_codes</vt:lpstr>
      <vt:lpstr>Code_Table</vt:lpstr>
      <vt:lpstr>Color</vt:lpstr>
      <vt:lpstr>Color2</vt:lpstr>
      <vt:lpstr>Combustion_Equip</vt:lpstr>
      <vt:lpstr>CON</vt:lpstr>
      <vt:lpstr>CON_CODES</vt:lpstr>
      <vt:lpstr>condition</vt:lpstr>
      <vt:lpstr>Conditioned</vt:lpstr>
      <vt:lpstr>Conditioned_Unconditioned</vt:lpstr>
      <vt:lpstr>Conditioned_Unconditioned2</vt:lpstr>
      <vt:lpstr>'Dedicated Water Heating'!Contractor_Lookup</vt:lpstr>
      <vt:lpstr>'Loop Field Cx Form'!Contractor_Lookup</vt:lpstr>
      <vt:lpstr>'Space Heating Worksheet'!Contractor_Lookup</vt:lpstr>
      <vt:lpstr>Contractor_Lookup</vt:lpstr>
      <vt:lpstr>Count</vt:lpstr>
      <vt:lpstr>CrawlSpace_Duct_Attribute</vt:lpstr>
      <vt:lpstr>Customer_Info</vt:lpstr>
      <vt:lpstr>Customer_Sector</vt:lpstr>
      <vt:lpstr>CustomerInfo</vt:lpstr>
      <vt:lpstr>CustomerInputs</vt:lpstr>
      <vt:lpstr>'Dedicated Water Heating'!Data_Inputs</vt:lpstr>
      <vt:lpstr>Data_Inputs</vt:lpstr>
      <vt:lpstr>DeviceCategory</vt:lpstr>
      <vt:lpstr>DHW_Equipment</vt:lpstr>
      <vt:lpstr>Distribution</vt:lpstr>
      <vt:lpstr>DLC_Rating</vt:lpstr>
      <vt:lpstr>Downlights</vt:lpstr>
      <vt:lpstr>Dual_Fuel_Thermostat</vt:lpstr>
      <vt:lpstr>Duct_Attribute</vt:lpstr>
      <vt:lpstr>Duct_HeatingCooling_System</vt:lpstr>
      <vt:lpstr>Duct_Location</vt:lpstr>
      <vt:lpstr>ECM_VFD_Size</vt:lpstr>
      <vt:lpstr>'Dedicated Water Heating'!Efficiency</vt:lpstr>
      <vt:lpstr>'Loop Field Cx Form'!Efficiency</vt:lpstr>
      <vt:lpstr>'Space Heating Worksheet'!Efficiency</vt:lpstr>
      <vt:lpstr>Efficiency</vt:lpstr>
      <vt:lpstr>Elevator_Gear_System</vt:lpstr>
      <vt:lpstr>Equipment_Info</vt:lpstr>
      <vt:lpstr>'Dedicated Water Heating'!Equipment_Type</vt:lpstr>
      <vt:lpstr>HPwES!Equipment_Type</vt:lpstr>
      <vt:lpstr>'HPwES H&amp;S'!Equipment_Type</vt:lpstr>
      <vt:lpstr>'Loop Field Cx Form'!Equipment_Type</vt:lpstr>
      <vt:lpstr>'Space Heating Worksheet'!Equipment_Type</vt:lpstr>
      <vt:lpstr>Equipment_Type</vt:lpstr>
      <vt:lpstr>Equipment_Type_DHW</vt:lpstr>
      <vt:lpstr>'Common HVAC Calculation'!EquipmentTypeEE</vt:lpstr>
      <vt:lpstr>'Common HVAC References'!EquipmentTypeEE</vt:lpstr>
      <vt:lpstr>'Worksheet Common HVAC'!EquipmentTypeEE</vt:lpstr>
      <vt:lpstr>EquipmentTypeNC</vt:lpstr>
      <vt:lpstr>EquipTypeDD</vt:lpstr>
      <vt:lpstr>Ex_LED_Downlights</vt:lpstr>
      <vt:lpstr>'Dedicated Water Heating'!Existing_Equipment</vt:lpstr>
      <vt:lpstr>'Loop Field Cx Form'!Existing_Equipment</vt:lpstr>
      <vt:lpstr>'Space Heating Worksheet'!Existing_Equipment</vt:lpstr>
      <vt:lpstr>Existing_Equipment</vt:lpstr>
      <vt:lpstr>'Dedicated Water Heating'!Existing_Equipment_Entry</vt:lpstr>
      <vt:lpstr>Existing_Equipment_Entry</vt:lpstr>
      <vt:lpstr>'Dedicated Water Heating'!Existing_Equipment_Fields</vt:lpstr>
      <vt:lpstr>Existing_Equipment_Fields</vt:lpstr>
      <vt:lpstr>Existing_Heating_Source</vt:lpstr>
      <vt:lpstr>ExistingEquipToggleCI</vt:lpstr>
      <vt:lpstr>ExistingUnitInventory</vt:lpstr>
      <vt:lpstr>ExistingUnitType</vt:lpstr>
      <vt:lpstr>Exterior_Existing</vt:lpstr>
      <vt:lpstr>'Dedicated Water Heating'!FLH_Cool</vt:lpstr>
      <vt:lpstr>'Loop Field Cx Form'!FLH_Cool</vt:lpstr>
      <vt:lpstr>'Space Heating Worksheet'!FLH_Cool</vt:lpstr>
      <vt:lpstr>FLH_Cool</vt:lpstr>
      <vt:lpstr>'Dedicated Water Heating'!FLH_Heat</vt:lpstr>
      <vt:lpstr>'Loop Field Cx Form'!FLH_Heat</vt:lpstr>
      <vt:lpstr>'Space Heating Worksheet'!FLH_Heat</vt:lpstr>
      <vt:lpstr>FLH_Heat</vt:lpstr>
      <vt:lpstr>FLH_Hours</vt:lpstr>
      <vt:lpstr>FLH_Table</vt:lpstr>
      <vt:lpstr>FT_Measure_Data</vt:lpstr>
      <vt:lpstr>Fuel_Type</vt:lpstr>
      <vt:lpstr>Full_Load_Hours_Cool_1</vt:lpstr>
      <vt:lpstr>Full_Load_Hours_Cool_2</vt:lpstr>
      <vt:lpstr>Full_LOad_Hours_Cool_3</vt:lpstr>
      <vt:lpstr>Full_Load_Hours_Heat_1</vt:lpstr>
      <vt:lpstr>Full_Load_Hours_Heat_2</vt:lpstr>
      <vt:lpstr>Full_Load_Hours_Heat_3</vt:lpstr>
      <vt:lpstr>HeaderTopCI</vt:lpstr>
      <vt:lpstr>HeadingsCI</vt:lpstr>
      <vt:lpstr>Heating_Install_Type</vt:lpstr>
      <vt:lpstr>Heating_Source</vt:lpstr>
      <vt:lpstr>HPwES!Heating_Type</vt:lpstr>
      <vt:lpstr>Heating_Type</vt:lpstr>
      <vt:lpstr>Hinge</vt:lpstr>
      <vt:lpstr>'Dedicated Water Heating'!Home</vt:lpstr>
      <vt:lpstr>'Loop Field Cx Form'!Home</vt:lpstr>
      <vt:lpstr>'Space Heating Worksheet'!Home</vt:lpstr>
      <vt:lpstr>Home</vt:lpstr>
      <vt:lpstr>Home_Performance_Reference_Tab</vt:lpstr>
      <vt:lpstr>HP_Content1</vt:lpstr>
      <vt:lpstr>HP_Content2</vt:lpstr>
      <vt:lpstr>HP_Content3</vt:lpstr>
      <vt:lpstr>HP_kW_CA</vt:lpstr>
      <vt:lpstr>HP_kW_RS</vt:lpstr>
      <vt:lpstr>HP_QI_kWh</vt:lpstr>
      <vt:lpstr>HP_Unit1_QI_CA</vt:lpstr>
      <vt:lpstr>HP_Unit1_QI_kWh</vt:lpstr>
      <vt:lpstr>HPWH_Size</vt:lpstr>
      <vt:lpstr>HVAC_Equipment_Info</vt:lpstr>
      <vt:lpstr>'Common HVAC Calculation'!HVAC_T1T2ReferenceTable</vt:lpstr>
      <vt:lpstr>'Common HVAC References'!HVAC_T1T2ReferenceTable</vt:lpstr>
      <vt:lpstr>'Worksheet Common HVAC'!HVAC_T1T2ReferenceTable</vt:lpstr>
      <vt:lpstr>HVAC_Type</vt:lpstr>
      <vt:lpstr>HVACInventory</vt:lpstr>
      <vt:lpstr>Idling_Factor</vt:lpstr>
      <vt:lpstr>Import_All</vt:lpstr>
      <vt:lpstr>Import_CH</vt:lpstr>
      <vt:lpstr>Industrial</vt:lpstr>
      <vt:lpstr>Industrials</vt:lpstr>
      <vt:lpstr>InspectionForm</vt:lpstr>
      <vt:lpstr>Install_Type</vt:lpstr>
      <vt:lpstr>Installed_Drive_Eff</vt:lpstr>
      <vt:lpstr>InstalledCost_Cap</vt:lpstr>
      <vt:lpstr>Insulation_Existing_RValue</vt:lpstr>
      <vt:lpstr>Insulation_Installed_RValue</vt:lpstr>
      <vt:lpstr>Insulation_Location</vt:lpstr>
      <vt:lpstr>insulations</vt:lpstr>
      <vt:lpstr>'Dedicated Water Heating'!kW_CA</vt:lpstr>
      <vt:lpstr>'Loop Field Cx Form'!kW_CA</vt:lpstr>
      <vt:lpstr>'Space Heating Worksheet'!kW_CA</vt:lpstr>
      <vt:lpstr>kW_CA</vt:lpstr>
      <vt:lpstr>kW_RS</vt:lpstr>
      <vt:lpstr>kWh_Cap</vt:lpstr>
      <vt:lpstr>Lamp</vt:lpstr>
      <vt:lpstr>Lamps</vt:lpstr>
      <vt:lpstr>Linear</vt:lpstr>
      <vt:lpstr>Linear_Lamps</vt:lpstr>
      <vt:lpstr>Linear_Lamps2</vt:lpstr>
      <vt:lpstr>Linear2</vt:lpstr>
      <vt:lpstr>Liq_Line_Temp</vt:lpstr>
      <vt:lpstr>Liquid_Line_Pressure</vt:lpstr>
      <vt:lpstr>Location_Code</vt:lpstr>
      <vt:lpstr>location3</vt:lpstr>
      <vt:lpstr>Locations_2</vt:lpstr>
      <vt:lpstr>LR700_E</vt:lpstr>
      <vt:lpstr>LR700_Existing</vt:lpstr>
      <vt:lpstr>Manufacturer2</vt:lpstr>
      <vt:lpstr>ManufacturerList</vt:lpstr>
      <vt:lpstr>Manufacturers</vt:lpstr>
      <vt:lpstr>Manufacturers2</vt:lpstr>
      <vt:lpstr>Measure_Description</vt:lpstr>
      <vt:lpstr>MeasureCodeProposed</vt:lpstr>
      <vt:lpstr>MF_CommonArea_HPs</vt:lpstr>
      <vt:lpstr>MFG_Spec_SuperHeat</vt:lpstr>
      <vt:lpstr>MinSavings_Cap</vt:lpstr>
      <vt:lpstr>MinSavings_CostEffectiveness</vt:lpstr>
      <vt:lpstr>MinSavings_PercentRebate</vt:lpstr>
      <vt:lpstr>Model_Data</vt:lpstr>
      <vt:lpstr>New_Equipment_Data</vt:lpstr>
      <vt:lpstr>NewConstruction</vt:lpstr>
      <vt:lpstr>notes</vt:lpstr>
      <vt:lpstr>'HC - Ts and Cs'!OLE_LINK2</vt:lpstr>
      <vt:lpstr>'Ts and Cs'!OLE_LINK2</vt:lpstr>
      <vt:lpstr>Outdoor_DryBulb_Temp</vt:lpstr>
      <vt:lpstr>PASS_FAIL2</vt:lpstr>
      <vt:lpstr>PoolHeater_Fuel</vt:lpstr>
      <vt:lpstr>PreApproval_Length</vt:lpstr>
      <vt:lpstr>Primary_Device_Category</vt:lpstr>
      <vt:lpstr>'AIRFLOW FORM 10'!Print_Area</vt:lpstr>
      <vt:lpstr>'AIRFLOW FORM 2'!Print_Area</vt:lpstr>
      <vt:lpstr>'AIRFLOW FORM 3'!Print_Area</vt:lpstr>
      <vt:lpstr>'AIRFLOW FORM 4'!Print_Area</vt:lpstr>
      <vt:lpstr>'AIRFLOW FORM 5'!Print_Area</vt:lpstr>
      <vt:lpstr>'AIRFLOW FORM 6'!Print_Area</vt:lpstr>
      <vt:lpstr>'AIRFLOW FORM 7'!Print_Area</vt:lpstr>
      <vt:lpstr>'AIRFLOW FORM 8'!Print_Area</vt:lpstr>
      <vt:lpstr>'AIRFLOW FORM 9'!Print_Area</vt:lpstr>
      <vt:lpstr>'Application Form'!Print_Area</vt:lpstr>
      <vt:lpstr>'Common Lighting Inspection'!Print_Area</vt:lpstr>
      <vt:lpstr>'Elevator Inspect'!Print_Area</vt:lpstr>
      <vt:lpstr>'HC - Ts and Cs'!Print_Area</vt:lpstr>
      <vt:lpstr>HPwES!Print_Area</vt:lpstr>
      <vt:lpstr>'HPwES H&amp;S'!Print_Area</vt:lpstr>
      <vt:lpstr>'Integrated Controls'!Print_Area</vt:lpstr>
      <vt:lpstr>'Multi-Family Heat Pumps'!Print_Area</vt:lpstr>
      <vt:lpstr>'Pool Equip Inspect'!Print_Area</vt:lpstr>
      <vt:lpstr>'Project Completion Form'!Print_Area</vt:lpstr>
      <vt:lpstr>'Project Completion Form HPwES'!Print_Area</vt:lpstr>
      <vt:lpstr>'Required Documents'!Print_Area</vt:lpstr>
      <vt:lpstr>'Required Documents (2)'!Print_Area</vt:lpstr>
      <vt:lpstr>'Smart T-Stats'!Print_Area</vt:lpstr>
      <vt:lpstr>'Ts and Cs'!Print_Area</vt:lpstr>
      <vt:lpstr>'HPwES H&amp;S'!Print_Titles</vt:lpstr>
      <vt:lpstr>Pump_Type</vt:lpstr>
      <vt:lpstr>QI_kWh</vt:lpstr>
      <vt:lpstr>'Dedicated Water Heating'!Rebate_Lookup</vt:lpstr>
      <vt:lpstr>'Loop Field Cx Form'!Rebate_Lookup</vt:lpstr>
      <vt:lpstr>'Space Heating Worksheet'!Rebate_Lookup</vt:lpstr>
      <vt:lpstr>Rebate_Lookup</vt:lpstr>
      <vt:lpstr>RebateTable</vt:lpstr>
      <vt:lpstr>RebateYear</vt:lpstr>
      <vt:lpstr>RebateYear_Range</vt:lpstr>
      <vt:lpstr>Regen_Breaking</vt:lpstr>
      <vt:lpstr>'Dedicated Water Heating'!Replacement_Type</vt:lpstr>
      <vt:lpstr>'Loop Field Cx Form'!Replacement_Type</vt:lpstr>
      <vt:lpstr>'Space Heating Worksheet'!Replacement_Type</vt:lpstr>
      <vt:lpstr>Replacement_Type</vt:lpstr>
      <vt:lpstr>Reqd_SubCooling</vt:lpstr>
      <vt:lpstr>Retro_2foot</vt:lpstr>
      <vt:lpstr>Retro_2ft</vt:lpstr>
      <vt:lpstr>Retro_4foot</vt:lpstr>
      <vt:lpstr>Retro_4ft</vt:lpstr>
      <vt:lpstr>Retrofit_FixtureCodeList</vt:lpstr>
      <vt:lpstr>Retrofit_MeasureCodeList</vt:lpstr>
      <vt:lpstr>Retrofit_MeasureCodeTable</vt:lpstr>
      <vt:lpstr>Retrofit_SensorCodeList</vt:lpstr>
      <vt:lpstr>rvalues</vt:lpstr>
      <vt:lpstr>Sat_Temp</vt:lpstr>
      <vt:lpstr>SatTemp_SuperHeat</vt:lpstr>
      <vt:lpstr>Side</vt:lpstr>
      <vt:lpstr>Siding</vt:lpstr>
      <vt:lpstr>Size_Table</vt:lpstr>
      <vt:lpstr>'Common HVAC Calculation'!SizeCategory</vt:lpstr>
      <vt:lpstr>'Common HVAC References'!SizeCategory</vt:lpstr>
      <vt:lpstr>'Worksheet Common HVAC'!SizeCategory</vt:lpstr>
      <vt:lpstr>Smart_Thermostat</vt:lpstr>
      <vt:lpstr>SmartTherm_Entries</vt:lpstr>
      <vt:lpstr>Stages</vt:lpstr>
      <vt:lpstr>Stages_Range</vt:lpstr>
      <vt:lpstr>Start_ApprovedStats</vt:lpstr>
      <vt:lpstr>Start_Baseline_Code</vt:lpstr>
      <vt:lpstr>Start_DeviceCode</vt:lpstr>
      <vt:lpstr>Start_Devicecodeproposed</vt:lpstr>
      <vt:lpstr>Start_Existing_Cooling</vt:lpstr>
      <vt:lpstr>Start_Existing_Heating</vt:lpstr>
      <vt:lpstr>Start_Existing_Water</vt:lpstr>
      <vt:lpstr>Start_ExistingUnitType</vt:lpstr>
      <vt:lpstr>Start_Models</vt:lpstr>
      <vt:lpstr>'Common HVAC Calculation'!Start_SizeCategory</vt:lpstr>
      <vt:lpstr>'Common HVAC References'!Start_SizeCategory</vt:lpstr>
      <vt:lpstr>'Worksheet Common HVAC'!Start_SizeCategory</vt:lpstr>
      <vt:lpstr>'Common HVAC Calculation'!Start_SubCategory</vt:lpstr>
      <vt:lpstr>'Common HVAC References'!Start_SubCategory</vt:lpstr>
      <vt:lpstr>'Worksheet Common HVAC'!Start_SubCategory</vt:lpstr>
      <vt:lpstr>'Common HVAC Calculation'!SubCategory</vt:lpstr>
      <vt:lpstr>'Common HVAC References'!SubCategory</vt:lpstr>
      <vt:lpstr>'Worksheet Common HVAC'!SubCategory</vt:lpstr>
      <vt:lpstr>System</vt:lpstr>
      <vt:lpstr>T0_ReferenceTable</vt:lpstr>
      <vt:lpstr>T1T2_ReferenceTable</vt:lpstr>
      <vt:lpstr>True_Flow_CFM_Measured</vt:lpstr>
      <vt:lpstr>'Integrated Controls'!Tstat_Data</vt:lpstr>
      <vt:lpstr>Tstat_Data</vt:lpstr>
      <vt:lpstr>TStat_Equipment_Type</vt:lpstr>
      <vt:lpstr>Tstat_Manufacturers</vt:lpstr>
      <vt:lpstr>HPwES!Unit_Number</vt:lpstr>
      <vt:lpstr>'HPwES H&amp;S'!Unit_Number</vt:lpstr>
      <vt:lpstr>Unit_Number</vt:lpstr>
      <vt:lpstr>'Dedicated Water Heating'!Unit1_QI_CA</vt:lpstr>
      <vt:lpstr>'Loop Field Cx Form'!Unit1_QI_CA</vt:lpstr>
      <vt:lpstr>'Space Heating Worksheet'!Unit1_QI_CA</vt:lpstr>
      <vt:lpstr>Unit1_QI_CA</vt:lpstr>
      <vt:lpstr>'Dedicated Water Heating'!Unit1_QI_kWh</vt:lpstr>
      <vt:lpstr>'Loop Field Cx Form'!Unit1_QI_kWh</vt:lpstr>
      <vt:lpstr>'Space Heating Worksheet'!Unit1_QI_kWh</vt:lpstr>
      <vt:lpstr>Unit1_QI_kWh</vt:lpstr>
      <vt:lpstr>'Dedicated Water Heating'!Unit1_QI_RS</vt:lpstr>
      <vt:lpstr>'Loop Field Cx Form'!Unit1_QI_RS</vt:lpstr>
      <vt:lpstr>'Space Heating Worksheet'!Unit1_QI_RS</vt:lpstr>
      <vt:lpstr>Unit1_QI_RS</vt:lpstr>
      <vt:lpstr>Unit10_QI_CA</vt:lpstr>
      <vt:lpstr>Unit10_QI_kWh</vt:lpstr>
      <vt:lpstr>Unit10_QI_RS</vt:lpstr>
      <vt:lpstr>'Dedicated Water Heating'!Unit2_QI_CA</vt:lpstr>
      <vt:lpstr>'Loop Field Cx Form'!Unit2_QI_CA</vt:lpstr>
      <vt:lpstr>'Space Heating Worksheet'!Unit2_QI_CA</vt:lpstr>
      <vt:lpstr>Unit2_QI_CA</vt:lpstr>
      <vt:lpstr>'Dedicated Water Heating'!Unit2_QI_kWh</vt:lpstr>
      <vt:lpstr>'Loop Field Cx Form'!Unit2_QI_kWh</vt:lpstr>
      <vt:lpstr>'Space Heating Worksheet'!Unit2_QI_kWh</vt:lpstr>
      <vt:lpstr>Unit2_QI_kWh</vt:lpstr>
      <vt:lpstr>'Dedicated Water Heating'!Unit2_QI_RS</vt:lpstr>
      <vt:lpstr>'Loop Field Cx Form'!Unit2_QI_RS</vt:lpstr>
      <vt:lpstr>'Space Heating Worksheet'!Unit2_QI_RS</vt:lpstr>
      <vt:lpstr>Unit2_QI_RS</vt:lpstr>
      <vt:lpstr>'Dedicated Water Heating'!Unit3_QI_CA</vt:lpstr>
      <vt:lpstr>'Loop Field Cx Form'!Unit3_QI_CA</vt:lpstr>
      <vt:lpstr>'Space Heating Worksheet'!Unit3_QI_CA</vt:lpstr>
      <vt:lpstr>Unit3_QI_CA</vt:lpstr>
      <vt:lpstr>'Dedicated Water Heating'!Unit3_QI_kWh</vt:lpstr>
      <vt:lpstr>'Loop Field Cx Form'!Unit3_QI_kWh</vt:lpstr>
      <vt:lpstr>'Space Heating Worksheet'!Unit3_QI_kWh</vt:lpstr>
      <vt:lpstr>Unit3_QI_kWh</vt:lpstr>
      <vt:lpstr>'Dedicated Water Heating'!Unit3_QI_RS</vt:lpstr>
      <vt:lpstr>'Loop Field Cx Form'!Unit3_QI_RS</vt:lpstr>
      <vt:lpstr>'Space Heating Worksheet'!Unit3_QI_RS</vt:lpstr>
      <vt:lpstr>Unit3_QI_RS</vt:lpstr>
      <vt:lpstr>'Dedicated Water Heating'!Unit4_QI_CA</vt:lpstr>
      <vt:lpstr>'Loop Field Cx Form'!Unit4_QI_CA</vt:lpstr>
      <vt:lpstr>'Space Heating Worksheet'!Unit4_QI_CA</vt:lpstr>
      <vt:lpstr>Unit4_QI_CA</vt:lpstr>
      <vt:lpstr>'Dedicated Water Heating'!Unit4_QI_kWh</vt:lpstr>
      <vt:lpstr>'Loop Field Cx Form'!Unit4_QI_kWh</vt:lpstr>
      <vt:lpstr>'Space Heating Worksheet'!Unit4_QI_kWh</vt:lpstr>
      <vt:lpstr>Unit4_QI_kWh</vt:lpstr>
      <vt:lpstr>'Dedicated Water Heating'!Unit4_QI_RS</vt:lpstr>
      <vt:lpstr>'Loop Field Cx Form'!Unit4_QI_RS</vt:lpstr>
      <vt:lpstr>'Space Heating Worksheet'!Unit4_QI_RS</vt:lpstr>
      <vt:lpstr>Unit4_QI_RS</vt:lpstr>
      <vt:lpstr>'Dedicated Water Heating'!Unit5_QI_CA</vt:lpstr>
      <vt:lpstr>'Loop Field Cx Form'!Unit5_QI_CA</vt:lpstr>
      <vt:lpstr>'Space Heating Worksheet'!Unit5_QI_CA</vt:lpstr>
      <vt:lpstr>Unit5_QI_CA</vt:lpstr>
      <vt:lpstr>'Dedicated Water Heating'!Unit5_QI_kWh</vt:lpstr>
      <vt:lpstr>'Loop Field Cx Form'!Unit5_QI_kWh</vt:lpstr>
      <vt:lpstr>'Space Heating Worksheet'!Unit5_QI_kWh</vt:lpstr>
      <vt:lpstr>Unit5_QI_kWh</vt:lpstr>
      <vt:lpstr>'Dedicated Water Heating'!Unit5_QI_RS</vt:lpstr>
      <vt:lpstr>'Loop Field Cx Form'!Unit5_QI_RS</vt:lpstr>
      <vt:lpstr>'Space Heating Worksheet'!Unit5_QI_RS</vt:lpstr>
      <vt:lpstr>Unit5_QI_RS</vt:lpstr>
      <vt:lpstr>Unit6_QI_CA</vt:lpstr>
      <vt:lpstr>Unit6_QI_kWh</vt:lpstr>
      <vt:lpstr>Unit6_QI_RS</vt:lpstr>
      <vt:lpstr>Unit7_QI_CA</vt:lpstr>
      <vt:lpstr>Unit7_QI_kWh</vt:lpstr>
      <vt:lpstr>Unit7_QI_RS</vt:lpstr>
      <vt:lpstr>Unit8_QI_CA</vt:lpstr>
      <vt:lpstr>Unit8_QI_kWh</vt:lpstr>
      <vt:lpstr>Unit8_QI_RS</vt:lpstr>
      <vt:lpstr>Unit9_QI_CA</vt:lpstr>
      <vt:lpstr>Unit9_QI_kWh</vt:lpstr>
      <vt:lpstr>Unit9_QI_RS</vt:lpstr>
      <vt:lpstr>'Loop Field Cx Form'!Use</vt:lpstr>
      <vt:lpstr>Use</vt:lpstr>
      <vt:lpstr>Venting</vt:lpstr>
      <vt:lpstr>Version</vt:lpstr>
      <vt:lpstr>Water_Type</vt:lpstr>
      <vt:lpstr>WholeHouse_TF</vt:lpstr>
      <vt:lpstr>WkshtName</vt:lpstr>
      <vt:lpstr>'Dedicated Water Heating'!YES_NO</vt:lpstr>
      <vt:lpstr>HPwES!YES_NO</vt:lpstr>
      <vt:lpstr>'HPwES H&amp;S'!YES_NO</vt:lpstr>
      <vt:lpstr>'Loop Field Cx Form'!YES_NO</vt:lpstr>
      <vt:lpstr>'Space Heating Worksheet'!YES_NO</vt:lpstr>
      <vt:lpstr>YES_NO</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meaghan.c.rush@lmco.com</dc:creator>
  <cp:keywords>Unrestricted</cp:keywords>
  <cp:lastModifiedBy>Dean, Evelyn</cp:lastModifiedBy>
  <cp:lastPrinted>2020-01-13T18:12:56Z</cp:lastPrinted>
  <dcterms:created xsi:type="dcterms:W3CDTF">2013-11-05T18:43:11Z</dcterms:created>
  <dcterms:modified xsi:type="dcterms:W3CDTF">2024-03-29T13:38:15Z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ProgramsCount">
    <vt:i4>0</vt:i4>
  </property>
  <property fmtid="{D5CDD505-2E9C-101B-9397-08002B2CF9AE}" pid="3" name="LM SIP Document Sensitivity">
    <vt:lpwstr/>
  </property>
  <property fmtid="{D5CDD505-2E9C-101B-9397-08002B2CF9AE}" pid="4" name="Document Author">
    <vt:lpwstr>US\e338671</vt:lpwstr>
  </property>
  <property fmtid="{D5CDD505-2E9C-101B-9397-08002B2CF9AE}" pid="5" name="Document Sensitivity">
    <vt:lpwstr>1</vt:lpwstr>
  </property>
  <property fmtid="{D5CDD505-2E9C-101B-9397-08002B2CF9AE}" pid="6" name="ThirdParty">
    <vt:lpwstr/>
  </property>
  <property fmtid="{D5CDD505-2E9C-101B-9397-08002B2CF9AE}" pid="7" name="OCI Restriction">
    <vt:bool>false</vt:bool>
  </property>
  <property fmtid="{D5CDD505-2E9C-101B-9397-08002B2CF9AE}" pid="8" name="OCI Additional Info">
    <vt:lpwstr/>
  </property>
  <property fmtid="{D5CDD505-2E9C-101B-9397-08002B2CF9AE}" pid="9" name="Allow Header Overwrite">
    <vt:bool>true</vt:bool>
  </property>
  <property fmtid="{D5CDD505-2E9C-101B-9397-08002B2CF9AE}" pid="10" name="Allow Footer Overwrite">
    <vt:bool>true</vt:bool>
  </property>
  <property fmtid="{D5CDD505-2E9C-101B-9397-08002B2CF9AE}" pid="11" name="Multiple Selected">
    <vt:lpwstr>-1</vt:lpwstr>
  </property>
  <property fmtid="{D5CDD505-2E9C-101B-9397-08002B2CF9AE}" pid="12" name="SIPLongWording">
    <vt:lpwstr>_x000d_
_x000d_
</vt:lpwstr>
  </property>
  <property fmtid="{D5CDD505-2E9C-101B-9397-08002B2CF9AE}" pid="13" name="ExpCountry">
    <vt:lpwstr/>
  </property>
  <property fmtid="{D5CDD505-2E9C-101B-9397-08002B2CF9AE}" pid="14" name="ContentTypeId">
    <vt:lpwstr>0x0101000BE115781C6D98428AD8305F3496AD75</vt:lpwstr>
  </property>
</Properties>
</file>